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tables/table1.xml" ContentType="application/vnd.openxmlformats-officedocument.spreadsheetml.table+xml"/>
  <Override PartName="/xl/pivotTables/pivotTable2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defaultThemeVersion="166925"/>
  <mc:AlternateContent xmlns:mc="http://schemas.openxmlformats.org/markup-compatibility/2006">
    <mc:Choice Requires="x15">
      <x15ac:absPath xmlns:x15ac="http://schemas.microsoft.com/office/spreadsheetml/2010/11/ac" url="/Users/sarah/Documents/Western Spaces/Delta/Focus Group/Data/"/>
    </mc:Choice>
  </mc:AlternateContent>
  <xr:revisionPtr revIDLastSave="0" documentId="8_{B31E780C-7C18-4F43-9700-42D55DEF7F3C}" xr6:coauthVersionLast="47" xr6:coauthVersionMax="47" xr10:uidLastSave="{00000000-0000-0000-0000-000000000000}"/>
  <bookViews>
    <workbookView xWindow="0" yWindow="660" windowWidth="30240" windowHeight="18980" tabRatio="776" xr2:uid="{00000000-000D-0000-FFFF-FFFF00000000}"/>
  </bookViews>
  <sheets>
    <sheet name="Intro" sheetId="16" r:id="rId1"/>
    <sheet name="Weekly Market Updates" sheetId="31" r:id="rId2"/>
    <sheet name="30-Day Trends" sheetId="12" r:id="rId3"/>
    <sheet name="Data" sheetId="13" state="hidden" r:id="rId4"/>
    <sheet name="Data Analysis" sheetId="15" r:id="rId5"/>
    <sheet name="Leasing Trends" sheetId="29" r:id="rId6"/>
    <sheet name="Rent Comps" sheetId="2" r:id="rId7"/>
    <sheet name="Rent Comparison" sheetId="27" r:id="rId8"/>
    <sheet name="Rents by Unit Type" sheetId="37" r:id="rId9"/>
    <sheet name="Unit-Level Data" sheetId="3" r:id="rId10"/>
    <sheet name="Unit Mix" sheetId="18" r:id="rId11"/>
    <sheet name="Reviews Analysis" sheetId="35" r:id="rId12"/>
    <sheet name="Fees &amp; Amenities" sheetId="36" r:id="rId13"/>
    <sheet name="Specials" sheetId="25" r:id="rId14"/>
    <sheet name="Financial Analysis" sheetId="4" r:id="rId15"/>
    <sheet name="Pro Forma Model" sheetId="24" r:id="rId16"/>
    <sheet name="Tables" sheetId="30" state="hidden" r:id="rId17"/>
  </sheets>
  <definedNames>
    <definedName name="_xlnm._FilterDatabase" localSheetId="8" hidden="1">'Rents by Unit Type'!$F$6:$AJ$206</definedName>
    <definedName name="NativeTimeline_Leased_Date">#N/A</definedName>
    <definedName name="Scenario" localSheetId="16">#REF!</definedName>
    <definedName name="Slicer_Baths">#N/A</definedName>
    <definedName name="Slicer_Beds">#N/A</definedName>
    <definedName name="Slicer_Beds1">#N/A</definedName>
    <definedName name="Slicer_Property_Name">#N/A</definedName>
    <definedName name="Slicer_Property_Name1">#N/A</definedName>
  </definedNames>
  <calcPr calcId="191029"/>
  <pivotCaches>
    <pivotCache cacheId="30" r:id="rId18"/>
    <pivotCache cacheId="34" r:id="rId19"/>
  </pivotCaches>
  <extLs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37" l="1"/>
  <c r="T6" i="37"/>
  <c r="C32" i="37" l="1" a="1"/>
  <c r="C32" i="37" s="1"/>
  <c r="B32" i="37" l="1" a="1"/>
  <c r="B32" i="37" s="1"/>
  <c r="J5" i="2"/>
  <c r="Z506" i="18"/>
  <c r="S806" i="37"/>
  <c r="S805" i="37"/>
  <c r="S804" i="37"/>
  <c r="S803" i="37"/>
  <c r="S802" i="37"/>
  <c r="S801" i="37"/>
  <c r="S800" i="37"/>
  <c r="S799" i="37"/>
  <c r="S798" i="37"/>
  <c r="S797" i="37"/>
  <c r="S796" i="37"/>
  <c r="S795" i="37"/>
  <c r="S794" i="37"/>
  <c r="S793" i="37"/>
  <c r="S792" i="37"/>
  <c r="S791" i="37"/>
  <c r="S790" i="37"/>
  <c r="S789" i="37"/>
  <c r="S788" i="37"/>
  <c r="S787" i="37"/>
  <c r="S786" i="37"/>
  <c r="S785" i="37"/>
  <c r="S784" i="37"/>
  <c r="S783" i="37"/>
  <c r="S782" i="37"/>
  <c r="S781" i="37"/>
  <c r="S780" i="37"/>
  <c r="S779" i="37"/>
  <c r="S778" i="37"/>
  <c r="S777" i="37"/>
  <c r="S776" i="37"/>
  <c r="S775" i="37"/>
  <c r="S774" i="37"/>
  <c r="S773" i="37"/>
  <c r="S772" i="37"/>
  <c r="S771" i="37"/>
  <c r="S770" i="37"/>
  <c r="S769" i="37"/>
  <c r="S768" i="37"/>
  <c r="S767" i="37"/>
  <c r="S766" i="37"/>
  <c r="S765" i="37"/>
  <c r="S764" i="37"/>
  <c r="S763" i="37"/>
  <c r="S762" i="37"/>
  <c r="S761" i="37"/>
  <c r="S760" i="37"/>
  <c r="S759" i="37"/>
  <c r="S758" i="37"/>
  <c r="S757" i="37"/>
  <c r="S756" i="37"/>
  <c r="S755" i="37"/>
  <c r="S754" i="37"/>
  <c r="S753" i="37"/>
  <c r="S752" i="37"/>
  <c r="S751" i="37"/>
  <c r="S750" i="37"/>
  <c r="S749" i="37"/>
  <c r="S748" i="37"/>
  <c r="S747" i="37"/>
  <c r="S746" i="37"/>
  <c r="S745" i="37"/>
  <c r="S744" i="37"/>
  <c r="S743" i="37"/>
  <c r="S742" i="37"/>
  <c r="S741" i="37"/>
  <c r="S740" i="37"/>
  <c r="S739" i="37"/>
  <c r="S738" i="37"/>
  <c r="S737" i="37"/>
  <c r="S736" i="37"/>
  <c r="S735" i="37"/>
  <c r="S734" i="37"/>
  <c r="S733" i="37"/>
  <c r="S732" i="37"/>
  <c r="S731" i="37"/>
  <c r="S730" i="37"/>
  <c r="S729" i="37"/>
  <c r="S728" i="37"/>
  <c r="S727" i="37"/>
  <c r="S726" i="37"/>
  <c r="S725" i="37"/>
  <c r="S724" i="37"/>
  <c r="S723" i="37"/>
  <c r="S722" i="37"/>
  <c r="S721" i="37"/>
  <c r="S720" i="37"/>
  <c r="S719" i="37"/>
  <c r="S718" i="37"/>
  <c r="S717" i="37"/>
  <c r="S716" i="37"/>
  <c r="S715" i="37"/>
  <c r="S714" i="37"/>
  <c r="S713" i="37"/>
  <c r="S712" i="37"/>
  <c r="S711" i="37"/>
  <c r="S710" i="37"/>
  <c r="S709" i="37"/>
  <c r="S708" i="37"/>
  <c r="S707" i="37"/>
  <c r="S706" i="37"/>
  <c r="S705" i="37"/>
  <c r="S704" i="37"/>
  <c r="S703" i="37"/>
  <c r="S702" i="37"/>
  <c r="S701" i="37"/>
  <c r="S700" i="37"/>
  <c r="S699" i="37"/>
  <c r="S698" i="37"/>
  <c r="S697" i="37"/>
  <c r="S696" i="37"/>
  <c r="S695" i="37"/>
  <c r="S694" i="37"/>
  <c r="S693" i="37"/>
  <c r="S692" i="37"/>
  <c r="S691" i="37"/>
  <c r="S690" i="37"/>
  <c r="S689" i="37"/>
  <c r="S688" i="37"/>
  <c r="S687" i="37"/>
  <c r="S686" i="37"/>
  <c r="S685" i="37"/>
  <c r="S684" i="37"/>
  <c r="S683" i="37"/>
  <c r="S682" i="37"/>
  <c r="S681" i="37"/>
  <c r="S680" i="37"/>
  <c r="S679" i="37"/>
  <c r="S678" i="37"/>
  <c r="S677" i="37"/>
  <c r="S676" i="37"/>
  <c r="S675" i="37"/>
  <c r="S674" i="37"/>
  <c r="S673" i="37"/>
  <c r="S672" i="37"/>
  <c r="S671" i="37"/>
  <c r="S670" i="37"/>
  <c r="S669" i="37"/>
  <c r="S668" i="37"/>
  <c r="S667" i="37"/>
  <c r="S666" i="37"/>
  <c r="S665" i="37"/>
  <c r="S664" i="37"/>
  <c r="S663" i="37"/>
  <c r="S662" i="37"/>
  <c r="S661" i="37"/>
  <c r="S660" i="37"/>
  <c r="S659" i="37"/>
  <c r="S658" i="37"/>
  <c r="S657" i="37"/>
  <c r="S656" i="37"/>
  <c r="S655" i="37"/>
  <c r="S654" i="37"/>
  <c r="S653" i="37"/>
  <c r="S652" i="37"/>
  <c r="S651" i="37"/>
  <c r="S650" i="37"/>
  <c r="S649" i="37"/>
  <c r="S648" i="37"/>
  <c r="S647" i="37"/>
  <c r="S646" i="37"/>
  <c r="S645" i="37"/>
  <c r="S644" i="37"/>
  <c r="S643" i="37"/>
  <c r="S642" i="37"/>
  <c r="S641" i="37"/>
  <c r="S640" i="37"/>
  <c r="S639" i="37"/>
  <c r="S638" i="37"/>
  <c r="S637" i="37"/>
  <c r="S636" i="37"/>
  <c r="S635" i="37"/>
  <c r="S634" i="37"/>
  <c r="S633" i="37"/>
  <c r="S632" i="37"/>
  <c r="S631" i="37"/>
  <c r="S630" i="37"/>
  <c r="S629" i="37"/>
  <c r="S628" i="37"/>
  <c r="S627" i="37"/>
  <c r="S626" i="37"/>
  <c r="S625" i="37"/>
  <c r="S624" i="37"/>
  <c r="S623" i="37"/>
  <c r="S622" i="37"/>
  <c r="S621" i="37"/>
  <c r="S620" i="37"/>
  <c r="S619" i="37"/>
  <c r="S618" i="37"/>
  <c r="S617" i="37"/>
  <c r="S616" i="37"/>
  <c r="S615" i="37"/>
  <c r="S614" i="37"/>
  <c r="S613" i="37"/>
  <c r="S612" i="37"/>
  <c r="S611" i="37"/>
  <c r="S610" i="37"/>
  <c r="S609" i="37"/>
  <c r="S608" i="37"/>
  <c r="S607" i="37"/>
  <c r="S606" i="37"/>
  <c r="S605" i="37"/>
  <c r="S604" i="37"/>
  <c r="S603" i="37"/>
  <c r="S602" i="37"/>
  <c r="S601" i="37"/>
  <c r="S600" i="37"/>
  <c r="S599" i="37"/>
  <c r="S598" i="37"/>
  <c r="S597" i="37"/>
  <c r="S596" i="37"/>
  <c r="S595" i="37"/>
  <c r="S594" i="37"/>
  <c r="S593" i="37"/>
  <c r="S592" i="37"/>
  <c r="S591" i="37"/>
  <c r="S590" i="37"/>
  <c r="S589" i="37"/>
  <c r="S588" i="37"/>
  <c r="S587" i="37"/>
  <c r="S586" i="37"/>
  <c r="S585" i="37"/>
  <c r="S584" i="37"/>
  <c r="S583" i="37"/>
  <c r="S582" i="37"/>
  <c r="S581" i="37"/>
  <c r="S580" i="37"/>
  <c r="S579" i="37"/>
  <c r="S578" i="37"/>
  <c r="S577" i="37"/>
  <c r="S576" i="37"/>
  <c r="S575" i="37"/>
  <c r="S574" i="37"/>
  <c r="S573" i="37"/>
  <c r="S572" i="37"/>
  <c r="S571" i="37"/>
  <c r="S570" i="37"/>
  <c r="S569" i="37"/>
  <c r="S568" i="37"/>
  <c r="S567" i="37"/>
  <c r="S566" i="37"/>
  <c r="S565" i="37"/>
  <c r="S564" i="37"/>
  <c r="S563" i="37"/>
  <c r="S562" i="37"/>
  <c r="S561" i="37"/>
  <c r="S560" i="37"/>
  <c r="S559" i="37"/>
  <c r="S558" i="37"/>
  <c r="S557" i="37"/>
  <c r="S556" i="37"/>
  <c r="S555" i="37"/>
  <c r="S554" i="37"/>
  <c r="S553" i="37"/>
  <c r="S552" i="37"/>
  <c r="S551" i="37"/>
  <c r="S550" i="37"/>
  <c r="S549" i="37"/>
  <c r="S548" i="37"/>
  <c r="S547" i="37"/>
  <c r="S546" i="37"/>
  <c r="S545" i="37"/>
  <c r="S544" i="37"/>
  <c r="S543" i="37"/>
  <c r="S542" i="37"/>
  <c r="S541" i="37"/>
  <c r="S540" i="37"/>
  <c r="S539" i="37"/>
  <c r="S538" i="37"/>
  <c r="S537" i="37"/>
  <c r="S536" i="37"/>
  <c r="S535" i="37"/>
  <c r="S534" i="37"/>
  <c r="S533" i="37"/>
  <c r="S532" i="37"/>
  <c r="S531" i="37"/>
  <c r="S530" i="37"/>
  <c r="S529" i="37"/>
  <c r="S528" i="37"/>
  <c r="S527" i="37"/>
  <c r="S526" i="37"/>
  <c r="S525" i="37"/>
  <c r="S524" i="37"/>
  <c r="S523" i="37"/>
  <c r="S522" i="37"/>
  <c r="S521" i="37"/>
  <c r="S520" i="37"/>
  <c r="S519" i="37"/>
  <c r="S518" i="37"/>
  <c r="S517" i="37"/>
  <c r="S516" i="37"/>
  <c r="S515" i="37"/>
  <c r="S514" i="37"/>
  <c r="S513" i="37"/>
  <c r="S512" i="37"/>
  <c r="S511" i="37"/>
  <c r="S510" i="37"/>
  <c r="S509" i="37"/>
  <c r="S508" i="37"/>
  <c r="S507" i="37"/>
  <c r="S506" i="37"/>
  <c r="S505" i="37"/>
  <c r="S504" i="37"/>
  <c r="S503" i="37"/>
  <c r="S502" i="37"/>
  <c r="S501" i="37"/>
  <c r="S500" i="37"/>
  <c r="S499" i="37"/>
  <c r="S498" i="37"/>
  <c r="S497" i="37"/>
  <c r="S496" i="37"/>
  <c r="S495" i="37"/>
  <c r="S494" i="37"/>
  <c r="S493" i="37"/>
  <c r="S492" i="37"/>
  <c r="S491" i="37"/>
  <c r="S490" i="37"/>
  <c r="S489" i="37"/>
  <c r="S488" i="37"/>
  <c r="S487" i="37"/>
  <c r="S486" i="37"/>
  <c r="S485" i="37"/>
  <c r="S484" i="37"/>
  <c r="S483" i="37"/>
  <c r="S482" i="37"/>
  <c r="S481" i="37"/>
  <c r="S480" i="37"/>
  <c r="S479" i="37"/>
  <c r="S478" i="37"/>
  <c r="S477" i="37"/>
  <c r="S476" i="37"/>
  <c r="S475" i="37"/>
  <c r="S474" i="37"/>
  <c r="S473" i="37"/>
  <c r="S472" i="37"/>
  <c r="S471" i="37"/>
  <c r="S470" i="37"/>
  <c r="S469" i="37"/>
  <c r="S468" i="37"/>
  <c r="S467" i="37"/>
  <c r="S466" i="37"/>
  <c r="S465" i="37"/>
  <c r="S464" i="37"/>
  <c r="S463" i="37"/>
  <c r="S462" i="37"/>
  <c r="S461" i="37"/>
  <c r="S460" i="37"/>
  <c r="S459" i="37"/>
  <c r="S458" i="37"/>
  <c r="S457" i="37"/>
  <c r="S456" i="37"/>
  <c r="S455" i="37"/>
  <c r="S454" i="37"/>
  <c r="S453" i="37"/>
  <c r="S452" i="37"/>
  <c r="S451" i="37"/>
  <c r="S450" i="37"/>
  <c r="S449" i="37"/>
  <c r="S448" i="37"/>
  <c r="S447" i="37"/>
  <c r="S446" i="37"/>
  <c r="S445" i="37"/>
  <c r="S444" i="37"/>
  <c r="S443" i="37"/>
  <c r="S442" i="37"/>
  <c r="S441" i="37"/>
  <c r="S440" i="37"/>
  <c r="S439" i="37"/>
  <c r="S438" i="37"/>
  <c r="S437" i="37"/>
  <c r="S436" i="37"/>
  <c r="S435" i="37"/>
  <c r="S434" i="37"/>
  <c r="S433" i="37"/>
  <c r="S432" i="37"/>
  <c r="S431" i="37"/>
  <c r="S430" i="37"/>
  <c r="S429" i="37"/>
  <c r="S428" i="37"/>
  <c r="S427" i="37"/>
  <c r="S426" i="37"/>
  <c r="S425" i="37"/>
  <c r="S424" i="37"/>
  <c r="S423" i="37"/>
  <c r="S422" i="37"/>
  <c r="S421" i="37"/>
  <c r="S420" i="37"/>
  <c r="S419" i="37"/>
  <c r="S418" i="37"/>
  <c r="S417" i="37"/>
  <c r="S416" i="37"/>
  <c r="S415" i="37"/>
  <c r="S414" i="37"/>
  <c r="S413" i="37"/>
  <c r="S412" i="37"/>
  <c r="S411" i="37"/>
  <c r="S410" i="37"/>
  <c r="S409" i="37"/>
  <c r="S408" i="37"/>
  <c r="S407" i="37"/>
  <c r="S406" i="37"/>
  <c r="S405" i="37"/>
  <c r="S404" i="37"/>
  <c r="S403" i="37"/>
  <c r="S402" i="37"/>
  <c r="S401" i="37"/>
  <c r="S400" i="37"/>
  <c r="S399" i="37"/>
  <c r="S398" i="37"/>
  <c r="S397" i="37"/>
  <c r="S396" i="37"/>
  <c r="S395" i="37"/>
  <c r="S394" i="37"/>
  <c r="S393" i="37"/>
  <c r="S392" i="37"/>
  <c r="S391" i="37"/>
  <c r="S390" i="37"/>
  <c r="S389" i="37"/>
  <c r="S388" i="37"/>
  <c r="S387" i="37"/>
  <c r="S386" i="37"/>
  <c r="S385" i="37"/>
  <c r="S384" i="37"/>
  <c r="S383" i="37"/>
  <c r="S382" i="37"/>
  <c r="S381" i="37"/>
  <c r="S380" i="37"/>
  <c r="S379" i="37"/>
  <c r="S378" i="37"/>
  <c r="S377" i="37"/>
  <c r="S376" i="37"/>
  <c r="S375" i="37"/>
  <c r="S374" i="37"/>
  <c r="S373" i="37"/>
  <c r="S372" i="37"/>
  <c r="S371" i="37"/>
  <c r="S370" i="37"/>
  <c r="S369" i="37"/>
  <c r="S368" i="37"/>
  <c r="S367" i="37"/>
  <c r="S366" i="37"/>
  <c r="S365" i="37"/>
  <c r="S364" i="37"/>
  <c r="S363" i="37"/>
  <c r="S362" i="37"/>
  <c r="S361" i="37"/>
  <c r="S360" i="37"/>
  <c r="S359" i="37"/>
  <c r="S358" i="37"/>
  <c r="S357" i="37"/>
  <c r="S356" i="37"/>
  <c r="S355" i="37"/>
  <c r="S354" i="37"/>
  <c r="S353" i="37"/>
  <c r="S352" i="37"/>
  <c r="S351" i="37"/>
  <c r="S350" i="37"/>
  <c r="S349" i="37"/>
  <c r="S348" i="37"/>
  <c r="S347" i="37"/>
  <c r="S346" i="37"/>
  <c r="S345" i="37"/>
  <c r="S344" i="37"/>
  <c r="S343" i="37"/>
  <c r="S342" i="37"/>
  <c r="S341" i="37"/>
  <c r="S340" i="37"/>
  <c r="S339" i="37"/>
  <c r="S338" i="37"/>
  <c r="S337" i="37"/>
  <c r="S336" i="37"/>
  <c r="S335" i="37"/>
  <c r="S334" i="37"/>
  <c r="S333" i="37"/>
  <c r="S332" i="37"/>
  <c r="S331" i="37"/>
  <c r="S330" i="37"/>
  <c r="S329" i="37"/>
  <c r="S328" i="37"/>
  <c r="S327" i="37"/>
  <c r="S326" i="37"/>
  <c r="S325" i="37"/>
  <c r="S324" i="37"/>
  <c r="S323" i="37"/>
  <c r="S322" i="37"/>
  <c r="S321" i="37"/>
  <c r="S320" i="37"/>
  <c r="S319" i="37"/>
  <c r="S318" i="37"/>
  <c r="S317" i="37"/>
  <c r="S316" i="37"/>
  <c r="S315" i="37"/>
  <c r="S314" i="37"/>
  <c r="S313" i="37"/>
  <c r="S312" i="37"/>
  <c r="S311" i="37"/>
  <c r="S310" i="37"/>
  <c r="S309" i="37"/>
  <c r="S308" i="37"/>
  <c r="S307" i="37"/>
  <c r="S306" i="37"/>
  <c r="S305" i="37"/>
  <c r="S304" i="37"/>
  <c r="S303" i="37"/>
  <c r="S302" i="37"/>
  <c r="S301" i="37"/>
  <c r="S300" i="37"/>
  <c r="S299" i="37"/>
  <c r="S298" i="37"/>
  <c r="S297" i="37"/>
  <c r="S296" i="37"/>
  <c r="S295" i="37"/>
  <c r="S294" i="37"/>
  <c r="S293" i="37"/>
  <c r="S292" i="37"/>
  <c r="S291" i="37"/>
  <c r="S290" i="37"/>
  <c r="S289" i="37"/>
  <c r="S288" i="37"/>
  <c r="S287" i="37"/>
  <c r="S286" i="37"/>
  <c r="S285" i="37"/>
  <c r="S284" i="37"/>
  <c r="S283" i="37"/>
  <c r="S282" i="37"/>
  <c r="S281" i="37"/>
  <c r="S280" i="37"/>
  <c r="S279" i="37"/>
  <c r="S278" i="37"/>
  <c r="S277" i="37"/>
  <c r="S276" i="37"/>
  <c r="S275" i="37"/>
  <c r="S274" i="37"/>
  <c r="S273" i="37"/>
  <c r="S272" i="37"/>
  <c r="S271" i="37"/>
  <c r="S270" i="37"/>
  <c r="S269" i="37"/>
  <c r="S268" i="37"/>
  <c r="S267" i="37"/>
  <c r="S266" i="37"/>
  <c r="S265" i="37"/>
  <c r="S264" i="37"/>
  <c r="S263" i="37"/>
  <c r="S262" i="37"/>
  <c r="S261" i="37"/>
  <c r="S260" i="37"/>
  <c r="S259" i="37"/>
  <c r="S258" i="37"/>
  <c r="S257" i="37"/>
  <c r="S256" i="37"/>
  <c r="S255" i="37"/>
  <c r="S254" i="37"/>
  <c r="S253" i="37"/>
  <c r="S252" i="37"/>
  <c r="S251" i="37"/>
  <c r="S250" i="37"/>
  <c r="S249" i="37"/>
  <c r="S248" i="37"/>
  <c r="S247" i="37"/>
  <c r="S246" i="37"/>
  <c r="S245" i="37"/>
  <c r="S244" i="37"/>
  <c r="S243" i="37"/>
  <c r="S242" i="37"/>
  <c r="S241" i="37"/>
  <c r="S240" i="37"/>
  <c r="S239" i="37"/>
  <c r="S238" i="37"/>
  <c r="S237" i="37"/>
  <c r="S236" i="37"/>
  <c r="S235" i="37"/>
  <c r="S234" i="37"/>
  <c r="S233" i="37"/>
  <c r="S232" i="37"/>
  <c r="S231" i="37"/>
  <c r="S230" i="37"/>
  <c r="S229" i="37"/>
  <c r="S228" i="37"/>
  <c r="S227" i="37"/>
  <c r="S226" i="37"/>
  <c r="S225" i="37"/>
  <c r="S224" i="37"/>
  <c r="S223" i="37"/>
  <c r="S222" i="37"/>
  <c r="S221" i="37"/>
  <c r="S220" i="37"/>
  <c r="S219" i="37"/>
  <c r="S218" i="37"/>
  <c r="S217" i="37"/>
  <c r="S216" i="37"/>
  <c r="S215" i="37"/>
  <c r="S214" i="37"/>
  <c r="S213" i="37"/>
  <c r="S212" i="37"/>
  <c r="S211" i="37"/>
  <c r="S210" i="37"/>
  <c r="S209" i="37"/>
  <c r="S208" i="37"/>
  <c r="S207" i="37"/>
  <c r="S206" i="37"/>
  <c r="S205" i="37"/>
  <c r="S204" i="37"/>
  <c r="S203" i="37"/>
  <c r="S202" i="37"/>
  <c r="S201" i="37"/>
  <c r="S200" i="37"/>
  <c r="S199" i="37"/>
  <c r="S198" i="37"/>
  <c r="S197" i="37"/>
  <c r="S196" i="37"/>
  <c r="S195" i="37"/>
  <c r="S194" i="37"/>
  <c r="S193" i="37"/>
  <c r="S192" i="37"/>
  <c r="S191" i="37"/>
  <c r="S190" i="37"/>
  <c r="S189" i="37"/>
  <c r="S188" i="37"/>
  <c r="S187" i="37"/>
  <c r="S186" i="37"/>
  <c r="S185" i="37"/>
  <c r="S184" i="37"/>
  <c r="S183" i="37"/>
  <c r="S182" i="37"/>
  <c r="S181" i="37"/>
  <c r="S180" i="37"/>
  <c r="S179" i="37"/>
  <c r="S178" i="37"/>
  <c r="S177" i="37"/>
  <c r="S176" i="37"/>
  <c r="S175" i="37"/>
  <c r="S174" i="37"/>
  <c r="S173" i="37"/>
  <c r="S172" i="37"/>
  <c r="S171" i="37"/>
  <c r="S170" i="37"/>
  <c r="S169" i="37"/>
  <c r="S168" i="37"/>
  <c r="S167" i="37"/>
  <c r="S166" i="37"/>
  <c r="S165" i="37"/>
  <c r="S164" i="37"/>
  <c r="S163" i="37"/>
  <c r="S162" i="37"/>
  <c r="S161" i="37"/>
  <c r="S160" i="37"/>
  <c r="S159" i="37"/>
  <c r="S158" i="37"/>
  <c r="S157" i="37"/>
  <c r="S156" i="37"/>
  <c r="S155" i="37"/>
  <c r="S154" i="37"/>
  <c r="S153" i="37"/>
  <c r="S152" i="37"/>
  <c r="S151" i="37"/>
  <c r="S150" i="37"/>
  <c r="S149" i="37"/>
  <c r="S148" i="37"/>
  <c r="S147" i="37"/>
  <c r="S146" i="37"/>
  <c r="S145" i="37"/>
  <c r="S144" i="37"/>
  <c r="S143" i="37"/>
  <c r="S142" i="37"/>
  <c r="S141" i="37"/>
  <c r="S140" i="37"/>
  <c r="S139" i="37"/>
  <c r="S138" i="37"/>
  <c r="S137" i="37"/>
  <c r="S136" i="37"/>
  <c r="S135" i="37"/>
  <c r="S134" i="37"/>
  <c r="S133" i="37"/>
  <c r="S132" i="37"/>
  <c r="S131" i="37"/>
  <c r="S130" i="37"/>
  <c r="S129" i="37"/>
  <c r="S128" i="37"/>
  <c r="S127" i="37"/>
  <c r="S126" i="37"/>
  <c r="S125" i="37"/>
  <c r="S124" i="37"/>
  <c r="S123" i="37"/>
  <c r="S122" i="37"/>
  <c r="S121" i="37"/>
  <c r="S120" i="37"/>
  <c r="S119" i="37"/>
  <c r="S118" i="37"/>
  <c r="S117" i="37"/>
  <c r="S116" i="37"/>
  <c r="S115" i="37"/>
  <c r="S114" i="37"/>
  <c r="S113" i="37"/>
  <c r="S112" i="37"/>
  <c r="S111" i="37"/>
  <c r="S110" i="37"/>
  <c r="S109" i="37"/>
  <c r="S108" i="37"/>
  <c r="S107" i="37"/>
  <c r="S106" i="37"/>
  <c r="S105" i="37"/>
  <c r="S104" i="37"/>
  <c r="S103" i="37"/>
  <c r="S102" i="37"/>
  <c r="S101" i="37"/>
  <c r="S100" i="37"/>
  <c r="S99" i="37"/>
  <c r="S98" i="37"/>
  <c r="S97" i="37"/>
  <c r="S96" i="37"/>
  <c r="S95" i="37"/>
  <c r="S94" i="37"/>
  <c r="S93" i="37"/>
  <c r="S92" i="37"/>
  <c r="S91" i="37"/>
  <c r="S90" i="37"/>
  <c r="S89" i="37"/>
  <c r="S88" i="37"/>
  <c r="S87" i="37"/>
  <c r="S86" i="37"/>
  <c r="S85" i="37"/>
  <c r="S84" i="37"/>
  <c r="S83" i="37"/>
  <c r="S82" i="37"/>
  <c r="S81" i="37"/>
  <c r="S80" i="37"/>
  <c r="S79" i="37"/>
  <c r="S78" i="37"/>
  <c r="S77" i="37"/>
  <c r="S76" i="37"/>
  <c r="S75" i="37"/>
  <c r="S74" i="37"/>
  <c r="S73" i="37"/>
  <c r="S72" i="37"/>
  <c r="S71" i="37"/>
  <c r="S70" i="37"/>
  <c r="S69" i="37"/>
  <c r="S68" i="37"/>
  <c r="S67" i="37"/>
  <c r="S66" i="37"/>
  <c r="S65" i="37"/>
  <c r="S64" i="37"/>
  <c r="S63" i="37"/>
  <c r="S62" i="37"/>
  <c r="S61" i="37"/>
  <c r="S60" i="37"/>
  <c r="S59" i="37"/>
  <c r="S58" i="37"/>
  <c r="S57" i="37"/>
  <c r="S56" i="37"/>
  <c r="S55" i="37"/>
  <c r="S54" i="37"/>
  <c r="S53" i="37"/>
  <c r="S52" i="37"/>
  <c r="S51" i="37"/>
  <c r="S50" i="37"/>
  <c r="S49" i="37"/>
  <c r="S48" i="37"/>
  <c r="S47" i="37"/>
  <c r="S46" i="37"/>
  <c r="S45" i="37"/>
  <c r="S44" i="37"/>
  <c r="S43" i="37"/>
  <c r="S42" i="37"/>
  <c r="S41" i="37"/>
  <c r="S40" i="37"/>
  <c r="S39" i="37"/>
  <c r="S38" i="37"/>
  <c r="S37" i="37"/>
  <c r="S36" i="37"/>
  <c r="S35" i="37"/>
  <c r="S34" i="37"/>
  <c r="S33" i="37"/>
  <c r="S32" i="37"/>
  <c r="S31" i="37"/>
  <c r="S30" i="37"/>
  <c r="S29" i="37"/>
  <c r="S28" i="37"/>
  <c r="S27" i="37"/>
  <c r="S26" i="37"/>
  <c r="S25" i="37"/>
  <c r="S24" i="37"/>
  <c r="S23" i="37"/>
  <c r="S22" i="37"/>
  <c r="S21" i="37"/>
  <c r="S20" i="37"/>
  <c r="S19" i="37"/>
  <c r="S18" i="37"/>
  <c r="S17" i="37"/>
  <c r="S16" i="37"/>
  <c r="S15" i="37"/>
  <c r="S14" i="37"/>
  <c r="S13" i="37"/>
  <c r="S12" i="37"/>
  <c r="S11" i="37"/>
  <c r="S10" i="37"/>
  <c r="S9" i="37"/>
  <c r="S8" i="37"/>
  <c r="S7" i="37"/>
  <c r="Z499" i="18"/>
  <c r="Z498" i="18"/>
  <c r="Z497" i="18"/>
  <c r="Z495" i="18"/>
  <c r="Z494" i="18"/>
  <c r="Z493" i="18"/>
  <c r="Z492" i="18"/>
  <c r="Z491" i="18"/>
  <c r="Z490" i="18"/>
  <c r="Z486" i="18"/>
  <c r="Z485" i="18"/>
  <c r="Z484" i="18"/>
  <c r="Z483" i="18"/>
  <c r="Z482" i="18"/>
  <c r="Z481" i="18"/>
  <c r="Z480" i="18"/>
  <c r="Z479" i="18"/>
  <c r="Z478" i="18"/>
  <c r="Z477" i="18"/>
  <c r="Z476" i="18"/>
  <c r="Z475" i="18"/>
  <c r="Z467" i="18"/>
  <c r="Z466" i="18"/>
  <c r="Z465" i="18"/>
  <c r="Z463" i="18"/>
  <c r="Z462" i="18"/>
  <c r="Z461" i="18"/>
  <c r="Z460" i="18"/>
  <c r="Z459" i="18"/>
  <c r="Z458" i="18"/>
  <c r="Z454" i="18"/>
  <c r="Z453" i="18"/>
  <c r="Z452" i="18"/>
  <c r="Z451" i="18"/>
  <c r="Z450" i="18"/>
  <c r="Z449" i="18"/>
  <c r="Z448" i="18"/>
  <c r="Z447" i="18"/>
  <c r="Z446" i="18"/>
  <c r="Z445" i="18"/>
  <c r="Z444" i="18"/>
  <c r="Z443" i="18"/>
  <c r="Z435" i="18"/>
  <c r="Z434" i="18"/>
  <c r="Z433" i="18"/>
  <c r="Z431" i="18"/>
  <c r="Z430" i="18"/>
  <c r="Z429" i="18"/>
  <c r="Z428" i="18"/>
  <c r="Z427" i="18"/>
  <c r="Z426" i="18"/>
  <c r="Z422" i="18"/>
  <c r="Z421" i="18"/>
  <c r="Z420" i="18"/>
  <c r="Z419" i="18"/>
  <c r="Z418" i="18"/>
  <c r="Z417" i="18"/>
  <c r="Z416" i="18"/>
  <c r="Z415" i="18"/>
  <c r="Z414" i="18"/>
  <c r="Z413" i="18"/>
  <c r="Z412" i="18"/>
  <c r="Z411" i="18"/>
  <c r="Z403" i="18"/>
  <c r="Z402" i="18"/>
  <c r="Z401" i="18"/>
  <c r="Z399" i="18"/>
  <c r="Z398" i="18"/>
  <c r="Z397" i="18"/>
  <c r="Z396" i="18"/>
  <c r="Z395" i="18"/>
  <c r="Z394" i="18"/>
  <c r="Z390" i="18"/>
  <c r="Z389" i="18"/>
  <c r="Z388" i="18"/>
  <c r="Z387" i="18"/>
  <c r="Z386" i="18"/>
  <c r="Z385" i="18"/>
  <c r="Z384" i="18"/>
  <c r="Z383" i="18"/>
  <c r="Z382" i="18"/>
  <c r="Z381" i="18"/>
  <c r="Z380" i="18"/>
  <c r="Z379" i="18"/>
  <c r="Z371" i="18"/>
  <c r="Z370" i="18"/>
  <c r="Z369" i="18"/>
  <c r="Z367" i="18"/>
  <c r="Z366" i="18"/>
  <c r="Z365" i="18"/>
  <c r="Z364" i="18"/>
  <c r="Z363" i="18"/>
  <c r="Z362" i="18"/>
  <c r="Z358" i="18"/>
  <c r="Z357" i="18"/>
  <c r="Z356" i="18"/>
  <c r="Z355" i="18"/>
  <c r="Z354" i="18"/>
  <c r="Z353" i="18"/>
  <c r="Z352" i="18"/>
  <c r="Z351" i="18"/>
  <c r="Z350" i="18"/>
  <c r="Z349" i="18"/>
  <c r="Z348" i="18"/>
  <c r="Z347" i="18"/>
  <c r="Z339" i="18"/>
  <c r="Z338" i="18"/>
  <c r="Z337" i="18"/>
  <c r="Z335" i="18"/>
  <c r="Z334" i="18"/>
  <c r="Z333" i="18"/>
  <c r="Z332" i="18"/>
  <c r="Z331" i="18"/>
  <c r="Z330" i="18"/>
  <c r="Z326" i="18"/>
  <c r="Z325" i="18"/>
  <c r="Z324" i="18"/>
  <c r="Z323" i="18"/>
  <c r="Z322" i="18"/>
  <c r="Z321" i="18"/>
  <c r="Z320" i="18"/>
  <c r="Z319" i="18"/>
  <c r="Z318" i="18"/>
  <c r="Z317" i="18"/>
  <c r="Z316" i="18"/>
  <c r="Z315" i="18"/>
  <c r="Z307" i="18"/>
  <c r="Z306" i="18"/>
  <c r="Z305" i="18"/>
  <c r="Z304" i="18"/>
  <c r="Z303" i="18"/>
  <c r="Z302" i="18"/>
  <c r="Z301" i="18"/>
  <c r="Z300" i="18"/>
  <c r="Z299" i="18"/>
  <c r="Z298" i="18"/>
  <c r="Z294" i="18"/>
  <c r="Z293" i="18"/>
  <c r="Z292" i="18"/>
  <c r="Z291" i="18"/>
  <c r="Z290" i="18"/>
  <c r="Z289" i="18"/>
  <c r="Z288" i="18"/>
  <c r="Z287" i="18"/>
  <c r="Z286" i="18"/>
  <c r="Z285" i="18"/>
  <c r="Z284" i="18"/>
  <c r="Z283" i="18"/>
  <c r="Z275" i="18"/>
  <c r="Z274" i="18"/>
  <c r="Z273" i="18"/>
  <c r="Z272" i="18"/>
  <c r="Z271" i="18"/>
  <c r="Z270" i="18"/>
  <c r="Z269" i="18"/>
  <c r="Z268" i="18"/>
  <c r="Z267" i="18"/>
  <c r="Z266" i="18"/>
  <c r="Z262" i="18"/>
  <c r="Z261" i="18"/>
  <c r="Z260" i="18"/>
  <c r="Z259" i="18"/>
  <c r="Z258" i="18"/>
  <c r="Z257" i="18"/>
  <c r="Z256" i="18"/>
  <c r="Z255" i="18"/>
  <c r="Z254" i="18"/>
  <c r="Z253" i="18"/>
  <c r="Z252" i="18"/>
  <c r="Z251" i="18"/>
  <c r="Z243" i="18"/>
  <c r="Z242" i="18"/>
  <c r="Z241" i="18"/>
  <c r="Z240" i="18"/>
  <c r="Z239" i="18"/>
  <c r="Z238" i="18"/>
  <c r="Z237" i="18"/>
  <c r="Z236" i="18"/>
  <c r="Z235" i="18"/>
  <c r="Z234" i="18"/>
  <c r="Z230" i="18"/>
  <c r="Z229" i="18"/>
  <c r="Z228" i="18"/>
  <c r="Z227" i="18"/>
  <c r="Z226" i="18"/>
  <c r="Z225" i="18"/>
  <c r="Z224" i="18"/>
  <c r="Z223" i="18"/>
  <c r="Z222" i="18"/>
  <c r="Z221" i="18"/>
  <c r="Z220" i="18"/>
  <c r="Z219" i="18"/>
  <c r="Z212" i="18"/>
  <c r="Z211" i="18"/>
  <c r="Z210" i="18"/>
  <c r="Z209" i="18"/>
  <c r="Z208" i="18"/>
  <c r="Z207" i="18"/>
  <c r="Z206" i="18"/>
  <c r="Z205" i="18"/>
  <c r="Z204" i="18"/>
  <c r="Z203" i="18"/>
  <c r="Z202" i="18"/>
  <c r="Z199" i="18"/>
  <c r="Z198" i="18"/>
  <c r="Z197" i="18"/>
  <c r="Z196" i="18"/>
  <c r="Z195" i="18"/>
  <c r="Z194" i="18"/>
  <c r="Z193" i="18"/>
  <c r="Z192" i="18"/>
  <c r="Z191" i="18"/>
  <c r="Z190" i="18"/>
  <c r="Z189" i="18"/>
  <c r="Z188" i="18"/>
  <c r="Z187" i="18"/>
  <c r="Z179" i="18"/>
  <c r="Z178" i="18"/>
  <c r="Z177" i="18"/>
  <c r="Z176" i="18"/>
  <c r="Z175" i="18"/>
  <c r="Z174" i="18"/>
  <c r="Z173" i="18"/>
  <c r="Z172" i="18"/>
  <c r="Z171" i="18"/>
  <c r="Z170" i="18"/>
  <c r="Z167" i="18"/>
  <c r="Z166" i="18"/>
  <c r="Z165" i="18"/>
  <c r="Z164" i="18"/>
  <c r="Z163" i="18"/>
  <c r="Z162" i="18"/>
  <c r="Z161" i="18"/>
  <c r="Z160" i="18"/>
  <c r="Z159" i="18"/>
  <c r="Z158" i="18"/>
  <c r="Z157" i="18"/>
  <c r="Z156" i="18"/>
  <c r="Z155" i="18"/>
  <c r="Z147" i="18"/>
  <c r="Z146" i="18"/>
  <c r="Z145" i="18"/>
  <c r="Z144" i="18"/>
  <c r="Z143" i="18"/>
  <c r="Z142" i="18"/>
  <c r="Z141" i="18"/>
  <c r="Z140" i="18"/>
  <c r="Z139" i="18"/>
  <c r="Z138" i="18"/>
  <c r="Z135" i="18"/>
  <c r="Z134" i="18"/>
  <c r="Z133" i="18"/>
  <c r="Z132" i="18"/>
  <c r="Z131" i="18"/>
  <c r="Z130" i="18"/>
  <c r="Z129" i="18"/>
  <c r="Z128" i="18"/>
  <c r="Z127" i="18"/>
  <c r="Z126" i="18"/>
  <c r="Z125" i="18"/>
  <c r="Z124" i="18"/>
  <c r="Z123" i="18"/>
  <c r="Z115" i="18"/>
  <c r="Z114" i="18"/>
  <c r="Z113" i="18"/>
  <c r="Z112" i="18"/>
  <c r="Z111" i="18"/>
  <c r="Z110" i="18"/>
  <c r="Z109" i="18"/>
  <c r="Z108" i="18"/>
  <c r="Z107" i="18"/>
  <c r="Z106" i="18"/>
  <c r="Z103" i="18"/>
  <c r="Z102" i="18"/>
  <c r="Z101" i="18"/>
  <c r="Z100" i="18"/>
  <c r="Z99" i="18"/>
  <c r="Z98" i="18"/>
  <c r="Z97" i="18"/>
  <c r="Z96" i="18"/>
  <c r="Z95" i="18"/>
  <c r="Z94" i="18"/>
  <c r="Z93" i="18"/>
  <c r="Z92" i="18"/>
  <c r="Z91" i="18"/>
  <c r="Z84" i="18"/>
  <c r="Z83" i="18"/>
  <c r="Z82" i="18"/>
  <c r="Z81" i="18"/>
  <c r="Z80" i="18"/>
  <c r="Z79" i="18"/>
  <c r="Z78" i="18"/>
  <c r="Z77" i="18"/>
  <c r="Z76" i="18"/>
  <c r="Z75" i="18"/>
  <c r="Z74" i="18"/>
  <c r="Z71" i="18"/>
  <c r="Z70" i="18"/>
  <c r="Z69" i="18"/>
  <c r="Z68" i="18"/>
  <c r="Z67" i="18"/>
  <c r="Z66" i="18"/>
  <c r="Z65" i="18"/>
  <c r="Z64" i="18"/>
  <c r="Z63" i="18"/>
  <c r="Z62" i="18"/>
  <c r="Z61" i="18"/>
  <c r="Z60" i="18"/>
  <c r="Z59" i="18"/>
  <c r="Z52" i="18"/>
  <c r="Z51" i="18"/>
  <c r="Z50" i="18"/>
  <c r="Z49" i="18"/>
  <c r="Z48" i="18"/>
  <c r="Z47" i="18"/>
  <c r="Z46" i="18"/>
  <c r="Z45" i="18"/>
  <c r="Z44" i="18"/>
  <c r="Z43" i="18"/>
  <c r="Z42" i="18"/>
  <c r="Z39" i="18"/>
  <c r="Z38" i="18"/>
  <c r="Z37" i="18"/>
  <c r="Z36" i="18"/>
  <c r="Z35" i="18"/>
  <c r="Z34" i="18"/>
  <c r="Z33" i="18"/>
  <c r="Z32" i="18"/>
  <c r="Z31" i="18"/>
  <c r="Z30" i="18"/>
  <c r="Z29" i="18"/>
  <c r="Z28" i="18"/>
  <c r="Z27" i="18"/>
  <c r="Z20" i="18"/>
  <c r="Z19" i="18"/>
  <c r="Z18" i="18"/>
  <c r="Z17" i="18"/>
  <c r="Z16" i="18"/>
  <c r="Z15" i="18"/>
  <c r="Z14" i="18"/>
  <c r="Z13" i="18"/>
  <c r="Z12" i="18"/>
  <c r="Z11" i="18"/>
  <c r="Z10" i="18"/>
  <c r="Z7" i="18"/>
  <c r="Z231" i="18"/>
  <c r="Z263" i="18"/>
  <c r="Z295" i="18"/>
  <c r="Z327" i="18"/>
  <c r="Z359" i="18"/>
  <c r="Z391" i="18"/>
  <c r="Z423" i="18"/>
  <c r="Z455" i="18"/>
  <c r="Z487" i="18"/>
  <c r="Z8" i="18"/>
  <c r="Z40" i="18"/>
  <c r="Z72" i="18"/>
  <c r="Z104" i="18"/>
  <c r="Z136" i="18"/>
  <c r="Z168" i="18"/>
  <c r="Z200" i="18"/>
  <c r="Z232" i="18"/>
  <c r="Z264" i="18"/>
  <c r="Z296" i="18"/>
  <c r="Z328" i="18"/>
  <c r="Z360" i="18"/>
  <c r="Z392" i="18"/>
  <c r="Z424" i="18"/>
  <c r="Z456" i="18"/>
  <c r="Z488" i="18"/>
  <c r="Z9" i="18"/>
  <c r="Z41" i="18"/>
  <c r="Z73" i="18"/>
  <c r="Z105" i="18"/>
  <c r="Z137" i="18"/>
  <c r="Z169" i="18"/>
  <c r="Z201" i="18"/>
  <c r="Z233" i="18"/>
  <c r="Z265" i="18"/>
  <c r="Z297" i="18"/>
  <c r="Z329" i="18"/>
  <c r="Z361" i="18"/>
  <c r="Z393" i="18"/>
  <c r="Z425" i="18"/>
  <c r="Z457" i="18"/>
  <c r="Z489" i="18"/>
  <c r="Z336" i="18"/>
  <c r="Z368" i="18"/>
  <c r="Z400" i="18"/>
  <c r="Z432" i="18"/>
  <c r="Z464" i="18"/>
  <c r="Z496" i="18"/>
  <c r="Z436" i="18"/>
  <c r="Z500" i="18"/>
  <c r="Z276" i="18"/>
  <c r="Z340" i="18"/>
  <c r="Z372" i="18"/>
  <c r="Z404" i="18"/>
  <c r="Z468" i="18"/>
  <c r="Z21" i="18"/>
  <c r="Z53" i="18"/>
  <c r="Z85" i="18"/>
  <c r="Z117" i="18"/>
  <c r="Z149" i="18"/>
  <c r="Z181" i="18"/>
  <c r="Z213" i="18"/>
  <c r="Z245" i="18"/>
  <c r="Z277" i="18"/>
  <c r="Z309" i="18"/>
  <c r="Z341" i="18"/>
  <c r="Z373" i="18"/>
  <c r="Z405" i="18"/>
  <c r="Z437" i="18"/>
  <c r="Z469" i="18"/>
  <c r="Z501" i="18"/>
  <c r="Z22" i="18"/>
  <c r="Z54" i="18"/>
  <c r="Z86" i="18"/>
  <c r="Z118" i="18"/>
  <c r="Z150" i="18"/>
  <c r="Z182" i="18"/>
  <c r="Z214" i="18"/>
  <c r="Z246" i="18"/>
  <c r="Z278" i="18"/>
  <c r="Z310" i="18"/>
  <c r="Z342" i="18"/>
  <c r="Z374" i="18"/>
  <c r="Z406" i="18"/>
  <c r="Z438" i="18"/>
  <c r="Z470" i="18"/>
  <c r="Z502" i="18"/>
  <c r="Z23" i="18"/>
  <c r="Z55" i="18"/>
  <c r="Z87" i="18"/>
  <c r="Z119" i="18"/>
  <c r="Z151" i="18"/>
  <c r="Z183" i="18"/>
  <c r="Z215" i="18"/>
  <c r="Z247" i="18"/>
  <c r="Z279" i="18"/>
  <c r="Z311" i="18"/>
  <c r="Z343" i="18"/>
  <c r="Z375" i="18"/>
  <c r="Z407" i="18"/>
  <c r="Z439" i="18"/>
  <c r="Z471" i="18"/>
  <c r="Z503" i="18"/>
  <c r="Z24" i="18"/>
  <c r="Z56" i="18"/>
  <c r="Z88" i="18"/>
  <c r="Z120" i="18"/>
  <c r="Z152" i="18"/>
  <c r="Z184" i="18"/>
  <c r="Z216" i="18"/>
  <c r="Z248" i="18"/>
  <c r="Z280" i="18"/>
  <c r="Z312" i="18"/>
  <c r="Z344" i="18"/>
  <c r="Z376" i="18"/>
  <c r="Z408" i="18"/>
  <c r="Z440" i="18"/>
  <c r="Z472" i="18"/>
  <c r="Z504" i="18"/>
  <c r="Z25" i="18"/>
  <c r="Z57" i="18"/>
  <c r="Z89" i="18"/>
  <c r="Z121" i="18"/>
  <c r="Z153" i="18"/>
  <c r="Z185" i="18"/>
  <c r="Z217" i="18"/>
  <c r="Z249" i="18"/>
  <c r="Z281" i="18"/>
  <c r="Z313" i="18"/>
  <c r="Z345" i="18"/>
  <c r="Z377" i="18"/>
  <c r="Z409" i="18"/>
  <c r="Z441" i="18"/>
  <c r="Z473" i="18"/>
  <c r="Z505" i="18"/>
  <c r="Z116" i="18"/>
  <c r="Z148" i="18"/>
  <c r="Z180" i="18"/>
  <c r="Z244" i="18"/>
  <c r="Z308" i="18"/>
  <c r="Z26" i="18"/>
  <c r="Z58" i="18"/>
  <c r="Z90" i="18"/>
  <c r="Z122" i="18"/>
  <c r="Z154" i="18"/>
  <c r="Z186" i="18"/>
  <c r="Z218" i="18"/>
  <c r="Z250" i="18"/>
  <c r="Z282" i="18"/>
  <c r="Z314" i="18"/>
  <c r="Z346" i="18"/>
  <c r="Z378" i="18"/>
  <c r="Z410" i="18"/>
  <c r="Z442" i="18"/>
  <c r="Z474" i="18"/>
  <c r="B6" i="31"/>
  <c r="P8" i="31" s="1"/>
  <c r="AM5" i="37"/>
  <c r="AK5" i="37"/>
  <c r="Y6" i="37"/>
  <c r="U6" i="37"/>
  <c r="Z19" i="35"/>
  <c r="Y19" i="35"/>
  <c r="X19" i="35"/>
  <c r="W19" i="35"/>
  <c r="V19" i="35"/>
  <c r="U19" i="35"/>
  <c r="T19" i="35"/>
  <c r="S19" i="35"/>
  <c r="R19" i="35"/>
  <c r="Q19" i="35"/>
  <c r="P19" i="35"/>
  <c r="O19" i="35"/>
  <c r="N19" i="35"/>
  <c r="M19" i="35"/>
  <c r="L19" i="35"/>
  <c r="K19" i="35"/>
  <c r="J19" i="35"/>
  <c r="I19" i="35"/>
  <c r="H19" i="35"/>
  <c r="G19" i="35"/>
  <c r="Z16" i="35"/>
  <c r="Y16" i="35"/>
  <c r="X16" i="35"/>
  <c r="W16" i="35"/>
  <c r="V16" i="35"/>
  <c r="U16" i="35"/>
  <c r="T16" i="35"/>
  <c r="S16" i="35"/>
  <c r="R16" i="35"/>
  <c r="Q16" i="35"/>
  <c r="P16" i="35"/>
  <c r="O16" i="35"/>
  <c r="N16" i="35"/>
  <c r="M16" i="35"/>
  <c r="L16" i="35"/>
  <c r="K16" i="35"/>
  <c r="J16" i="35"/>
  <c r="I16" i="35"/>
  <c r="H16" i="35"/>
  <c r="G16" i="35"/>
  <c r="Z13" i="35"/>
  <c r="Y13" i="35"/>
  <c r="X13" i="35"/>
  <c r="W13" i="35"/>
  <c r="V13" i="35"/>
  <c r="U13" i="35"/>
  <c r="T13" i="35"/>
  <c r="S13" i="35"/>
  <c r="R13" i="35"/>
  <c r="Q13" i="35"/>
  <c r="P13" i="35"/>
  <c r="O13" i="35"/>
  <c r="N13" i="35"/>
  <c r="M13" i="35"/>
  <c r="L13" i="35"/>
  <c r="K13" i="35"/>
  <c r="J13" i="35"/>
  <c r="I13" i="35"/>
  <c r="H13" i="35"/>
  <c r="G13" i="35"/>
  <c r="Z10" i="35"/>
  <c r="Y10" i="35"/>
  <c r="X10" i="35"/>
  <c r="W10" i="35"/>
  <c r="V10" i="35"/>
  <c r="U10" i="35"/>
  <c r="T10" i="35"/>
  <c r="S10" i="35"/>
  <c r="R10" i="35"/>
  <c r="Q10" i="35"/>
  <c r="P10" i="35"/>
  <c r="O10" i="35"/>
  <c r="N10" i="35"/>
  <c r="M10" i="35"/>
  <c r="L10" i="35"/>
  <c r="K10" i="35"/>
  <c r="J10" i="35"/>
  <c r="I10" i="35"/>
  <c r="H10" i="35"/>
  <c r="G10" i="35"/>
  <c r="Z7" i="35"/>
  <c r="Y7" i="35"/>
  <c r="X7" i="35"/>
  <c r="W7" i="35"/>
  <c r="V7" i="35"/>
  <c r="U7" i="35"/>
  <c r="T7" i="35"/>
  <c r="S7" i="35"/>
  <c r="R7" i="35"/>
  <c r="Q7" i="35"/>
  <c r="P7" i="35"/>
  <c r="O7" i="35"/>
  <c r="N7" i="35"/>
  <c r="M7" i="35"/>
  <c r="L7" i="35"/>
  <c r="K7" i="35"/>
  <c r="J7" i="35"/>
  <c r="I7" i="35"/>
  <c r="H7" i="35"/>
  <c r="G7" i="35"/>
  <c r="C21" i="36"/>
  <c r="D21" i="36"/>
  <c r="E21" i="36"/>
  <c r="D22" i="36"/>
  <c r="E22" i="36"/>
  <c r="D23" i="36"/>
  <c r="E23" i="36"/>
  <c r="CR5" i="2"/>
  <c r="CQ5" i="2"/>
  <c r="CP5" i="2"/>
  <c r="CO5" i="2"/>
  <c r="CN5" i="2"/>
  <c r="CM5" i="2"/>
  <c r="CL5" i="2"/>
  <c r="CK5" i="2"/>
  <c r="CJ5" i="2"/>
  <c r="CI5" i="2"/>
  <c r="CH5" i="2"/>
  <c r="CG5" i="2"/>
  <c r="CF5" i="2"/>
  <c r="CE5" i="2"/>
  <c r="CD5" i="2"/>
  <c r="CC5" i="2"/>
  <c r="CB5" i="2"/>
  <c r="CA5" i="2"/>
  <c r="BZ5" i="2"/>
  <c r="BY5" i="2"/>
  <c r="BX5" i="2"/>
  <c r="BW5" i="2"/>
  <c r="BV5" i="2"/>
  <c r="BU5" i="2"/>
  <c r="BT5" i="2"/>
  <c r="BS5" i="2"/>
  <c r="BR5" i="2"/>
  <c r="BQ5" i="2"/>
  <c r="BP5" i="2"/>
  <c r="BO5" i="2"/>
  <c r="BN5" i="2"/>
  <c r="BM5" i="2"/>
  <c r="BL5" i="2"/>
  <c r="BK5" i="2"/>
  <c r="BJ5" i="2"/>
  <c r="BI5" i="2"/>
  <c r="BH5" i="2"/>
  <c r="BG5" i="2"/>
  <c r="BF5" i="2"/>
  <c r="BE5" i="2"/>
  <c r="BD5" i="2"/>
  <c r="BC5" i="2"/>
  <c r="BB5" i="2"/>
  <c r="BA5" i="2"/>
  <c r="AZ5" i="2"/>
  <c r="AY5" i="2"/>
  <c r="AX5" i="2"/>
  <c r="AW5" i="2"/>
  <c r="AV5" i="2"/>
  <c r="AU5" i="2"/>
  <c r="AT5" i="2"/>
  <c r="AS5" i="2"/>
  <c r="AR5" i="2"/>
  <c r="AQ5" i="2"/>
  <c r="AP5" i="2"/>
  <c r="AO5" i="2"/>
  <c r="AN5" i="2"/>
  <c r="G7" i="12" s="1"/>
  <c r="AM5" i="2"/>
  <c r="D7" i="12" s="1"/>
  <c r="AL5" i="2"/>
  <c r="AK5" i="2"/>
  <c r="AJ5" i="2"/>
  <c r="AI5" i="2"/>
  <c r="AH5" i="2"/>
  <c r="AG5" i="2"/>
  <c r="AF5" i="2"/>
  <c r="AE5" i="2"/>
  <c r="AD5" i="2"/>
  <c r="AC5" i="2"/>
  <c r="AB5" i="2"/>
  <c r="AA5" i="2"/>
  <c r="Z5" i="2"/>
  <c r="Y5" i="2"/>
  <c r="C7" i="12" s="1"/>
  <c r="X5" i="2"/>
  <c r="W5" i="2"/>
  <c r="V5" i="2"/>
  <c r="U5" i="2"/>
  <c r="T5" i="2"/>
  <c r="S5" i="2"/>
  <c r="R5" i="2"/>
  <c r="Q5" i="2"/>
  <c r="P5" i="2"/>
  <c r="O5" i="2"/>
  <c r="N5" i="2"/>
  <c r="M5" i="2"/>
  <c r="L5" i="2"/>
  <c r="K5" i="2"/>
  <c r="J7" i="12" s="1"/>
  <c r="E7" i="12"/>
  <c r="I5" i="2"/>
  <c r="H5" i="2"/>
  <c r="G5" i="2"/>
  <c r="F5" i="2"/>
  <c r="E5" i="2"/>
  <c r="D5" i="2"/>
  <c r="B86" i="31"/>
  <c r="K88" i="31" s="1"/>
  <c r="B82" i="31"/>
  <c r="K84" i="31" s="1"/>
  <c r="B78" i="31"/>
  <c r="L78" i="31" s="1"/>
  <c r="B74" i="31"/>
  <c r="M76" i="31" s="1"/>
  <c r="B70" i="31"/>
  <c r="G72" i="31" s="1"/>
  <c r="B66" i="31"/>
  <c r="L68" i="31" s="1"/>
  <c r="B62" i="31"/>
  <c r="B58" i="31"/>
  <c r="L61" i="31" s="1"/>
  <c r="B54" i="31"/>
  <c r="B50" i="31"/>
  <c r="F21" i="36"/>
  <c r="G21" i="36"/>
  <c r="H21" i="36"/>
  <c r="I21" i="36"/>
  <c r="J21" i="36"/>
  <c r="K21" i="36"/>
  <c r="L21" i="36"/>
  <c r="M21" i="36"/>
  <c r="N21" i="36"/>
  <c r="O21" i="36"/>
  <c r="P21" i="36"/>
  <c r="Q21" i="36"/>
  <c r="R21" i="36"/>
  <c r="S21" i="36"/>
  <c r="T21" i="36"/>
  <c r="U21" i="36"/>
  <c r="V21" i="36"/>
  <c r="W21" i="36"/>
  <c r="C22" i="36"/>
  <c r="F22" i="36"/>
  <c r="G22" i="36"/>
  <c r="H22" i="36"/>
  <c r="I22" i="36"/>
  <c r="J22" i="36"/>
  <c r="K22" i="36"/>
  <c r="L22" i="36"/>
  <c r="M22" i="36"/>
  <c r="N22" i="36"/>
  <c r="O22" i="36"/>
  <c r="P22" i="36"/>
  <c r="Q22" i="36"/>
  <c r="R22" i="36"/>
  <c r="S22" i="36"/>
  <c r="T22" i="36"/>
  <c r="U22" i="36"/>
  <c r="V22" i="36"/>
  <c r="W22" i="36"/>
  <c r="C23" i="36"/>
  <c r="F23" i="36"/>
  <c r="G23" i="36"/>
  <c r="H23" i="36"/>
  <c r="I23" i="36"/>
  <c r="J23" i="36"/>
  <c r="K23" i="36"/>
  <c r="L23" i="36"/>
  <c r="M23" i="36"/>
  <c r="N23" i="36"/>
  <c r="O23" i="36"/>
  <c r="P23" i="36"/>
  <c r="Q23" i="36"/>
  <c r="R23" i="36"/>
  <c r="S23" i="36"/>
  <c r="T23" i="36"/>
  <c r="U23" i="36"/>
  <c r="V23" i="36"/>
  <c r="W23" i="36"/>
  <c r="C24" i="36"/>
  <c r="D24" i="36"/>
  <c r="E24" i="36"/>
  <c r="F24" i="36"/>
  <c r="G24" i="36"/>
  <c r="H24" i="36"/>
  <c r="I24" i="36"/>
  <c r="J24" i="36"/>
  <c r="K24" i="36"/>
  <c r="L24" i="36"/>
  <c r="M24" i="36"/>
  <c r="N24" i="36"/>
  <c r="O24" i="36"/>
  <c r="P24" i="36"/>
  <c r="Q24" i="36"/>
  <c r="R24" i="36"/>
  <c r="S24" i="36"/>
  <c r="T24" i="36"/>
  <c r="U24" i="36"/>
  <c r="V24" i="36"/>
  <c r="W24" i="36"/>
  <c r="C25" i="36"/>
  <c r="D25" i="36"/>
  <c r="E25" i="36"/>
  <c r="F25" i="36"/>
  <c r="G25" i="36"/>
  <c r="H25" i="36"/>
  <c r="I25" i="36"/>
  <c r="J25" i="36"/>
  <c r="K25" i="36"/>
  <c r="L25" i="36"/>
  <c r="M25" i="36"/>
  <c r="N25" i="36"/>
  <c r="O25" i="36"/>
  <c r="P25" i="36"/>
  <c r="Q25" i="36"/>
  <c r="R25" i="36"/>
  <c r="S25" i="36"/>
  <c r="T25" i="36"/>
  <c r="U25" i="36"/>
  <c r="V25" i="36"/>
  <c r="W25" i="36"/>
  <c r="C26" i="36"/>
  <c r="D26" i="36"/>
  <c r="E26" i="36"/>
  <c r="F26" i="36"/>
  <c r="G26" i="36"/>
  <c r="H26" i="36"/>
  <c r="I26" i="36"/>
  <c r="J26" i="36"/>
  <c r="K26" i="36"/>
  <c r="L26" i="36"/>
  <c r="M26" i="36"/>
  <c r="N26" i="36"/>
  <c r="O26" i="36"/>
  <c r="P26" i="36"/>
  <c r="Q26" i="36"/>
  <c r="R26" i="36"/>
  <c r="S26" i="36"/>
  <c r="T26" i="36"/>
  <c r="U26" i="36"/>
  <c r="V26" i="36"/>
  <c r="W26" i="36"/>
  <c r="C27" i="36"/>
  <c r="D27" i="36"/>
  <c r="E27" i="36"/>
  <c r="F27" i="36"/>
  <c r="G27" i="36"/>
  <c r="H27" i="36"/>
  <c r="I27" i="36"/>
  <c r="J27" i="36"/>
  <c r="K27" i="36"/>
  <c r="L27" i="36"/>
  <c r="M27" i="36"/>
  <c r="N27" i="36"/>
  <c r="O27" i="36"/>
  <c r="P27" i="36"/>
  <c r="Q27" i="36"/>
  <c r="R27" i="36"/>
  <c r="S27" i="36"/>
  <c r="T27" i="36"/>
  <c r="U27" i="36"/>
  <c r="V27" i="36"/>
  <c r="W27" i="36"/>
  <c r="C28" i="36"/>
  <c r="D28" i="36"/>
  <c r="E28" i="36"/>
  <c r="F28" i="36"/>
  <c r="G28" i="36"/>
  <c r="H28" i="36"/>
  <c r="I28" i="36"/>
  <c r="J28" i="36"/>
  <c r="K28" i="36"/>
  <c r="L28" i="36"/>
  <c r="M28" i="36"/>
  <c r="N28" i="36"/>
  <c r="O28" i="36"/>
  <c r="P28" i="36"/>
  <c r="Q28" i="36"/>
  <c r="R28" i="36"/>
  <c r="S28" i="36"/>
  <c r="T28" i="36"/>
  <c r="U28" i="36"/>
  <c r="V28" i="36"/>
  <c r="W28" i="36"/>
  <c r="C29" i="36"/>
  <c r="D29" i="36"/>
  <c r="E29" i="36"/>
  <c r="F29" i="36"/>
  <c r="G29" i="36"/>
  <c r="H29" i="36"/>
  <c r="I29" i="36"/>
  <c r="J29" i="36"/>
  <c r="K29" i="36"/>
  <c r="L29" i="36"/>
  <c r="M29" i="36"/>
  <c r="N29" i="36"/>
  <c r="O29" i="36"/>
  <c r="P29" i="36"/>
  <c r="Q29" i="36"/>
  <c r="R29" i="36"/>
  <c r="S29" i="36"/>
  <c r="T29" i="36"/>
  <c r="U29" i="36"/>
  <c r="V29" i="36"/>
  <c r="W29" i="36"/>
  <c r="C30" i="36"/>
  <c r="D30" i="36"/>
  <c r="E30" i="36"/>
  <c r="F30" i="36"/>
  <c r="G30" i="36"/>
  <c r="H30" i="36"/>
  <c r="I30" i="36"/>
  <c r="J30" i="36"/>
  <c r="K30" i="36"/>
  <c r="L30" i="36"/>
  <c r="M30" i="36"/>
  <c r="N30" i="36"/>
  <c r="O30" i="36"/>
  <c r="P30" i="36"/>
  <c r="Q30" i="36"/>
  <c r="R30" i="36"/>
  <c r="S30" i="36"/>
  <c r="T30" i="36"/>
  <c r="U30" i="36"/>
  <c r="V30" i="36"/>
  <c r="W30" i="36"/>
  <c r="C31" i="36"/>
  <c r="D31" i="36"/>
  <c r="E31" i="36"/>
  <c r="F31" i="36"/>
  <c r="G31" i="36"/>
  <c r="H31" i="36"/>
  <c r="I31" i="36"/>
  <c r="J31" i="36"/>
  <c r="K31" i="36"/>
  <c r="L31" i="36"/>
  <c r="M31" i="36"/>
  <c r="N31" i="36"/>
  <c r="O31" i="36"/>
  <c r="P31" i="36"/>
  <c r="Q31" i="36"/>
  <c r="R31" i="36"/>
  <c r="S31" i="36"/>
  <c r="T31" i="36"/>
  <c r="U31" i="36"/>
  <c r="V31" i="36"/>
  <c r="W31" i="36"/>
  <c r="C32" i="36"/>
  <c r="D32" i="36"/>
  <c r="E32" i="36"/>
  <c r="F32" i="36"/>
  <c r="G32" i="36"/>
  <c r="H32" i="36"/>
  <c r="I32" i="36"/>
  <c r="J32" i="36"/>
  <c r="K32" i="36"/>
  <c r="L32" i="36"/>
  <c r="M32" i="36"/>
  <c r="N32" i="36"/>
  <c r="O32" i="36"/>
  <c r="P32" i="36"/>
  <c r="Q32" i="36"/>
  <c r="R32" i="36"/>
  <c r="S32" i="36"/>
  <c r="T32" i="36"/>
  <c r="U32" i="36"/>
  <c r="V32" i="36"/>
  <c r="W32" i="36"/>
  <c r="C33" i="36"/>
  <c r="D33" i="36"/>
  <c r="E33" i="36"/>
  <c r="F33" i="36"/>
  <c r="G33" i="36"/>
  <c r="H33" i="36"/>
  <c r="I33" i="36"/>
  <c r="J33" i="36"/>
  <c r="K33" i="36"/>
  <c r="L33" i="36"/>
  <c r="M33" i="36"/>
  <c r="N33" i="36"/>
  <c r="O33" i="36"/>
  <c r="P33" i="36"/>
  <c r="Q33" i="36"/>
  <c r="R33" i="36"/>
  <c r="S33" i="36"/>
  <c r="T33" i="36"/>
  <c r="U33" i="36"/>
  <c r="V33" i="36"/>
  <c r="W33" i="36"/>
  <c r="C34" i="36"/>
  <c r="D34" i="36"/>
  <c r="E34" i="36"/>
  <c r="F34" i="36"/>
  <c r="G34" i="36"/>
  <c r="H34" i="36"/>
  <c r="I34" i="36"/>
  <c r="J34" i="36"/>
  <c r="K34" i="36"/>
  <c r="L34" i="36"/>
  <c r="M34" i="36"/>
  <c r="N34" i="36"/>
  <c r="O34" i="36"/>
  <c r="P34" i="36"/>
  <c r="Q34" i="36"/>
  <c r="R34" i="36"/>
  <c r="S34" i="36"/>
  <c r="T34" i="36"/>
  <c r="U34" i="36"/>
  <c r="V34" i="36"/>
  <c r="W34" i="36"/>
  <c r="C35" i="36"/>
  <c r="D35" i="36"/>
  <c r="E35" i="36"/>
  <c r="F35" i="36"/>
  <c r="G35" i="36"/>
  <c r="H35" i="36"/>
  <c r="I35" i="36"/>
  <c r="J35" i="36"/>
  <c r="K35" i="36"/>
  <c r="L35" i="36"/>
  <c r="M35" i="36"/>
  <c r="N35" i="36"/>
  <c r="O35" i="36"/>
  <c r="P35" i="36"/>
  <c r="Q35" i="36"/>
  <c r="R35" i="36"/>
  <c r="S35" i="36"/>
  <c r="T35" i="36"/>
  <c r="U35" i="36"/>
  <c r="V35" i="36"/>
  <c r="W35" i="36"/>
  <c r="C36" i="36"/>
  <c r="D36" i="36"/>
  <c r="E36" i="36"/>
  <c r="F36" i="36"/>
  <c r="G36" i="36"/>
  <c r="H36" i="36"/>
  <c r="I36" i="36"/>
  <c r="J36" i="36"/>
  <c r="K36" i="36"/>
  <c r="L36" i="36"/>
  <c r="M36" i="36"/>
  <c r="N36" i="36"/>
  <c r="O36" i="36"/>
  <c r="P36" i="36"/>
  <c r="Q36" i="36"/>
  <c r="R36" i="36"/>
  <c r="S36" i="36"/>
  <c r="T36" i="36"/>
  <c r="U36" i="36"/>
  <c r="V36" i="36"/>
  <c r="W36" i="36"/>
  <c r="C37" i="36"/>
  <c r="D37" i="36"/>
  <c r="E37" i="36"/>
  <c r="F37" i="36"/>
  <c r="G37" i="36"/>
  <c r="H37" i="36"/>
  <c r="I37" i="36"/>
  <c r="J37" i="36"/>
  <c r="K37" i="36"/>
  <c r="L37" i="36"/>
  <c r="M37" i="36"/>
  <c r="N37" i="36"/>
  <c r="O37" i="36"/>
  <c r="P37" i="36"/>
  <c r="Q37" i="36"/>
  <c r="R37" i="36"/>
  <c r="S37" i="36"/>
  <c r="T37" i="36"/>
  <c r="U37" i="36"/>
  <c r="V37" i="36"/>
  <c r="W37" i="36"/>
  <c r="C38" i="36"/>
  <c r="D38" i="36"/>
  <c r="E38" i="36"/>
  <c r="F38" i="36"/>
  <c r="G38" i="36"/>
  <c r="H38" i="36"/>
  <c r="I38" i="36"/>
  <c r="J38" i="36"/>
  <c r="K38" i="36"/>
  <c r="L38" i="36"/>
  <c r="M38" i="36"/>
  <c r="N38" i="36"/>
  <c r="O38" i="36"/>
  <c r="P38" i="36"/>
  <c r="Q38" i="36"/>
  <c r="R38" i="36"/>
  <c r="S38" i="36"/>
  <c r="T38" i="36"/>
  <c r="U38" i="36"/>
  <c r="V38" i="36"/>
  <c r="W38" i="36"/>
  <c r="C39" i="36"/>
  <c r="D39" i="36"/>
  <c r="E39" i="36"/>
  <c r="F39" i="36"/>
  <c r="G39" i="36"/>
  <c r="H39" i="36"/>
  <c r="I39" i="36"/>
  <c r="J39" i="36"/>
  <c r="K39" i="36"/>
  <c r="L39" i="36"/>
  <c r="M39" i="36"/>
  <c r="N39" i="36"/>
  <c r="O39" i="36"/>
  <c r="P39" i="36"/>
  <c r="Q39" i="36"/>
  <c r="R39" i="36"/>
  <c r="S39" i="36"/>
  <c r="T39" i="36"/>
  <c r="U39" i="36"/>
  <c r="V39" i="36"/>
  <c r="W39" i="36"/>
  <c r="C40" i="36"/>
  <c r="D40" i="36"/>
  <c r="E40" i="36"/>
  <c r="F40" i="36"/>
  <c r="G40" i="36"/>
  <c r="H40" i="36"/>
  <c r="I40" i="36"/>
  <c r="J40" i="36"/>
  <c r="K40" i="36"/>
  <c r="L40" i="36"/>
  <c r="M40" i="36"/>
  <c r="N40" i="36"/>
  <c r="O40" i="36"/>
  <c r="P40" i="36"/>
  <c r="Q40" i="36"/>
  <c r="R40" i="36"/>
  <c r="S40" i="36"/>
  <c r="T40" i="36"/>
  <c r="U40" i="36"/>
  <c r="V40" i="36"/>
  <c r="W40" i="36"/>
  <c r="C42" i="36"/>
  <c r="D42" i="36"/>
  <c r="E42" i="36"/>
  <c r="F42" i="36"/>
  <c r="G42" i="36"/>
  <c r="H42" i="36"/>
  <c r="I42" i="36"/>
  <c r="J42" i="36"/>
  <c r="K42" i="36"/>
  <c r="L42" i="36"/>
  <c r="M42" i="36"/>
  <c r="N42" i="36"/>
  <c r="O42" i="36"/>
  <c r="P42" i="36"/>
  <c r="Q42" i="36"/>
  <c r="R42" i="36"/>
  <c r="S42" i="36"/>
  <c r="T42" i="36"/>
  <c r="U42" i="36"/>
  <c r="V42" i="36"/>
  <c r="W42" i="36"/>
  <c r="C43" i="36"/>
  <c r="D43" i="36"/>
  <c r="E43" i="36"/>
  <c r="F43" i="36"/>
  <c r="G43" i="36"/>
  <c r="H43" i="36"/>
  <c r="I43" i="36"/>
  <c r="J43" i="36"/>
  <c r="K43" i="36"/>
  <c r="L43" i="36"/>
  <c r="M43" i="36"/>
  <c r="N43" i="36"/>
  <c r="O43" i="36"/>
  <c r="P43" i="36"/>
  <c r="Q43" i="36"/>
  <c r="R43" i="36"/>
  <c r="S43" i="36"/>
  <c r="T43" i="36"/>
  <c r="U43" i="36"/>
  <c r="V43" i="36"/>
  <c r="W43" i="36"/>
  <c r="C44" i="36"/>
  <c r="D44" i="36"/>
  <c r="E44" i="36"/>
  <c r="F44" i="36"/>
  <c r="G44" i="36"/>
  <c r="H44" i="36"/>
  <c r="I44" i="36"/>
  <c r="J44" i="36"/>
  <c r="K44" i="36"/>
  <c r="L44" i="36"/>
  <c r="M44" i="36"/>
  <c r="N44" i="36"/>
  <c r="O44" i="36"/>
  <c r="P44" i="36"/>
  <c r="Q44" i="36"/>
  <c r="R44" i="36"/>
  <c r="S44" i="36"/>
  <c r="T44" i="36"/>
  <c r="U44" i="36"/>
  <c r="V44" i="36"/>
  <c r="W44" i="36"/>
  <c r="C48" i="36"/>
  <c r="D48" i="36"/>
  <c r="E48" i="36"/>
  <c r="F48" i="36"/>
  <c r="G48" i="36"/>
  <c r="H48" i="36"/>
  <c r="I48" i="36"/>
  <c r="J48" i="36"/>
  <c r="K48" i="36"/>
  <c r="L48" i="36"/>
  <c r="M48" i="36"/>
  <c r="N48" i="36"/>
  <c r="O48" i="36"/>
  <c r="P48" i="36"/>
  <c r="Q48" i="36"/>
  <c r="R48" i="36"/>
  <c r="S48" i="36"/>
  <c r="T48" i="36"/>
  <c r="U48" i="36"/>
  <c r="V48" i="36"/>
  <c r="W48" i="36"/>
  <c r="C49" i="36"/>
  <c r="D49" i="36"/>
  <c r="E49" i="36"/>
  <c r="F49" i="36"/>
  <c r="G49" i="36"/>
  <c r="H49" i="36"/>
  <c r="I49" i="36"/>
  <c r="J49" i="36"/>
  <c r="K49" i="36"/>
  <c r="L49" i="36"/>
  <c r="M49" i="36"/>
  <c r="N49" i="36"/>
  <c r="O49" i="36"/>
  <c r="P49" i="36"/>
  <c r="Q49" i="36"/>
  <c r="R49" i="36"/>
  <c r="S49" i="36"/>
  <c r="T49" i="36"/>
  <c r="U49" i="36"/>
  <c r="V49" i="36"/>
  <c r="W49" i="36"/>
  <c r="C50" i="36"/>
  <c r="D50" i="36"/>
  <c r="E50" i="36"/>
  <c r="F50" i="36"/>
  <c r="G50" i="36"/>
  <c r="H50" i="36"/>
  <c r="I50" i="36"/>
  <c r="J50" i="36"/>
  <c r="K50" i="36"/>
  <c r="L50" i="36"/>
  <c r="M50" i="36"/>
  <c r="N50" i="36"/>
  <c r="O50" i="36"/>
  <c r="P50" i="36"/>
  <c r="Q50" i="36"/>
  <c r="R50" i="36"/>
  <c r="S50" i="36"/>
  <c r="T50" i="36"/>
  <c r="U50" i="36"/>
  <c r="V50" i="36"/>
  <c r="W50" i="36"/>
  <c r="C51" i="36"/>
  <c r="D51" i="36"/>
  <c r="E51" i="36"/>
  <c r="F51" i="36"/>
  <c r="G51" i="36"/>
  <c r="H51" i="36"/>
  <c r="I51" i="36"/>
  <c r="J51" i="36"/>
  <c r="K51" i="36"/>
  <c r="L51" i="36"/>
  <c r="M51" i="36"/>
  <c r="N51" i="36"/>
  <c r="O51" i="36"/>
  <c r="P51" i="36"/>
  <c r="Q51" i="36"/>
  <c r="R51" i="36"/>
  <c r="S51" i="36"/>
  <c r="T51" i="36"/>
  <c r="U51" i="36"/>
  <c r="V51" i="36"/>
  <c r="W51" i="36"/>
  <c r="C52" i="36"/>
  <c r="D52" i="36"/>
  <c r="E52" i="36"/>
  <c r="F52" i="36"/>
  <c r="G52" i="36"/>
  <c r="H52" i="36"/>
  <c r="I52" i="36"/>
  <c r="J52" i="36"/>
  <c r="K52" i="36"/>
  <c r="L52" i="36"/>
  <c r="M52" i="36"/>
  <c r="N52" i="36"/>
  <c r="O52" i="36"/>
  <c r="P52" i="36"/>
  <c r="Q52" i="36"/>
  <c r="R52" i="36"/>
  <c r="S52" i="36"/>
  <c r="T52" i="36"/>
  <c r="U52" i="36"/>
  <c r="V52" i="36"/>
  <c r="W52" i="36"/>
  <c r="C53" i="36"/>
  <c r="D53" i="36"/>
  <c r="E53" i="36"/>
  <c r="F53" i="36"/>
  <c r="G53" i="36"/>
  <c r="H53" i="36"/>
  <c r="I53" i="36"/>
  <c r="J53" i="36"/>
  <c r="K53" i="36"/>
  <c r="L53" i="36"/>
  <c r="M53" i="36"/>
  <c r="N53" i="36"/>
  <c r="O53" i="36"/>
  <c r="P53" i="36"/>
  <c r="Q53" i="36"/>
  <c r="R53" i="36"/>
  <c r="S53" i="36"/>
  <c r="T53" i="36"/>
  <c r="U53" i="36"/>
  <c r="V53" i="36"/>
  <c r="W53" i="36"/>
  <c r="C54" i="36"/>
  <c r="D54" i="36"/>
  <c r="E54" i="36"/>
  <c r="F54" i="36"/>
  <c r="G54" i="36"/>
  <c r="H54" i="36"/>
  <c r="I54" i="36"/>
  <c r="J54" i="36"/>
  <c r="K54" i="36"/>
  <c r="L54" i="36"/>
  <c r="M54" i="36"/>
  <c r="N54" i="36"/>
  <c r="O54" i="36"/>
  <c r="P54" i="36"/>
  <c r="Q54" i="36"/>
  <c r="R54" i="36"/>
  <c r="S54" i="36"/>
  <c r="T54" i="36"/>
  <c r="U54" i="36"/>
  <c r="V54" i="36"/>
  <c r="W54" i="36"/>
  <c r="C55" i="36"/>
  <c r="D55" i="36"/>
  <c r="E55" i="36"/>
  <c r="F55" i="36"/>
  <c r="G55" i="36"/>
  <c r="H55" i="36"/>
  <c r="I55" i="36"/>
  <c r="J55" i="36"/>
  <c r="K55" i="36"/>
  <c r="L55" i="36"/>
  <c r="M55" i="36"/>
  <c r="N55" i="36"/>
  <c r="O55" i="36"/>
  <c r="P55" i="36"/>
  <c r="Q55" i="36"/>
  <c r="R55" i="36"/>
  <c r="S55" i="36"/>
  <c r="T55" i="36"/>
  <c r="U55" i="36"/>
  <c r="V55" i="36"/>
  <c r="W55" i="36"/>
  <c r="C56" i="36"/>
  <c r="D56" i="36"/>
  <c r="E56" i="36"/>
  <c r="F56" i="36"/>
  <c r="G56" i="36"/>
  <c r="H56" i="36"/>
  <c r="I56" i="36"/>
  <c r="J56" i="36"/>
  <c r="K56" i="36"/>
  <c r="L56" i="36"/>
  <c r="M56" i="36"/>
  <c r="N56" i="36"/>
  <c r="O56" i="36"/>
  <c r="P56" i="36"/>
  <c r="Q56" i="36"/>
  <c r="R56" i="36"/>
  <c r="S56" i="36"/>
  <c r="T56" i="36"/>
  <c r="U56" i="36"/>
  <c r="V56" i="36"/>
  <c r="W56" i="36"/>
  <c r="C57" i="36"/>
  <c r="D57" i="36"/>
  <c r="E57" i="36"/>
  <c r="F57" i="36"/>
  <c r="G57" i="36"/>
  <c r="H57" i="36"/>
  <c r="I57" i="36"/>
  <c r="J57" i="36"/>
  <c r="K57" i="36"/>
  <c r="L57" i="36"/>
  <c r="M57" i="36"/>
  <c r="N57" i="36"/>
  <c r="O57" i="36"/>
  <c r="P57" i="36"/>
  <c r="Q57" i="36"/>
  <c r="R57" i="36"/>
  <c r="S57" i="36"/>
  <c r="T57" i="36"/>
  <c r="U57" i="36"/>
  <c r="V57" i="36"/>
  <c r="W57" i="36"/>
  <c r="C58" i="36"/>
  <c r="D58" i="36"/>
  <c r="E58" i="36"/>
  <c r="F58" i="36"/>
  <c r="G58" i="36"/>
  <c r="H58" i="36"/>
  <c r="I58" i="36"/>
  <c r="J58" i="36"/>
  <c r="K58" i="36"/>
  <c r="L58" i="36"/>
  <c r="M58" i="36"/>
  <c r="N58" i="36"/>
  <c r="O58" i="36"/>
  <c r="P58" i="36"/>
  <c r="Q58" i="36"/>
  <c r="R58" i="36"/>
  <c r="S58" i="36"/>
  <c r="T58" i="36"/>
  <c r="U58" i="36"/>
  <c r="V58" i="36"/>
  <c r="W58" i="36"/>
  <c r="C59" i="36"/>
  <c r="D59" i="36"/>
  <c r="E59" i="36"/>
  <c r="F59" i="36"/>
  <c r="G59" i="36"/>
  <c r="H59" i="36"/>
  <c r="I59" i="36"/>
  <c r="J59" i="36"/>
  <c r="K59" i="36"/>
  <c r="L59" i="36"/>
  <c r="M59" i="36"/>
  <c r="N59" i="36"/>
  <c r="O59" i="36"/>
  <c r="P59" i="36"/>
  <c r="Q59" i="36"/>
  <c r="R59" i="36"/>
  <c r="S59" i="36"/>
  <c r="T59" i="36"/>
  <c r="U59" i="36"/>
  <c r="V59" i="36"/>
  <c r="W59" i="36"/>
  <c r="C60" i="36"/>
  <c r="C61" i="36"/>
  <c r="D61" i="36"/>
  <c r="E61" i="36"/>
  <c r="F61" i="36"/>
  <c r="G61" i="36"/>
  <c r="H61" i="36"/>
  <c r="I61" i="36"/>
  <c r="J61" i="36"/>
  <c r="K61" i="36"/>
  <c r="L61" i="36"/>
  <c r="M61" i="36"/>
  <c r="N61" i="36"/>
  <c r="O61" i="36"/>
  <c r="P61" i="36"/>
  <c r="Q61" i="36"/>
  <c r="R61" i="36"/>
  <c r="S61" i="36"/>
  <c r="T61" i="36"/>
  <c r="U61" i="36"/>
  <c r="V61" i="36"/>
  <c r="W61" i="36"/>
  <c r="C62" i="36"/>
  <c r="D62" i="36"/>
  <c r="E62" i="36"/>
  <c r="F62" i="36"/>
  <c r="G62" i="36"/>
  <c r="H62" i="36"/>
  <c r="I62" i="36"/>
  <c r="J62" i="36"/>
  <c r="K62" i="36"/>
  <c r="L62" i="36"/>
  <c r="M62" i="36"/>
  <c r="N62" i="36"/>
  <c r="O62" i="36"/>
  <c r="P62" i="36"/>
  <c r="Q62" i="36"/>
  <c r="R62" i="36"/>
  <c r="S62" i="36"/>
  <c r="T62" i="36"/>
  <c r="U62" i="36"/>
  <c r="V62" i="36"/>
  <c r="W62" i="36"/>
  <c r="C63" i="36"/>
  <c r="D63" i="36"/>
  <c r="E63" i="36"/>
  <c r="F63" i="36"/>
  <c r="G63" i="36"/>
  <c r="H63" i="36"/>
  <c r="I63" i="36"/>
  <c r="J63" i="36"/>
  <c r="K63" i="36"/>
  <c r="L63" i="36"/>
  <c r="M63" i="36"/>
  <c r="N63" i="36"/>
  <c r="O63" i="36"/>
  <c r="P63" i="36"/>
  <c r="Q63" i="36"/>
  <c r="R63" i="36"/>
  <c r="S63" i="36"/>
  <c r="T63" i="36"/>
  <c r="U63" i="36"/>
  <c r="V63" i="36"/>
  <c r="W63" i="36"/>
  <c r="C64" i="36"/>
  <c r="D64" i="36"/>
  <c r="E64" i="36"/>
  <c r="F64" i="36"/>
  <c r="G64" i="36"/>
  <c r="H64" i="36"/>
  <c r="I64" i="36"/>
  <c r="J64" i="36"/>
  <c r="K64" i="36"/>
  <c r="L64" i="36"/>
  <c r="M64" i="36"/>
  <c r="N64" i="36"/>
  <c r="O64" i="36"/>
  <c r="P64" i="36"/>
  <c r="Q64" i="36"/>
  <c r="R64" i="36"/>
  <c r="S64" i="36"/>
  <c r="T64" i="36"/>
  <c r="U64" i="36"/>
  <c r="V64" i="36"/>
  <c r="W64" i="36"/>
  <c r="C65" i="36"/>
  <c r="D65" i="36"/>
  <c r="E65" i="36"/>
  <c r="F65" i="36"/>
  <c r="G65" i="36"/>
  <c r="H65" i="36"/>
  <c r="I65" i="36"/>
  <c r="J65" i="36"/>
  <c r="K65" i="36"/>
  <c r="L65" i="36"/>
  <c r="M65" i="36"/>
  <c r="N65" i="36"/>
  <c r="O65" i="36"/>
  <c r="P65" i="36"/>
  <c r="Q65" i="36"/>
  <c r="R65" i="36"/>
  <c r="S65" i="36"/>
  <c r="T65" i="36"/>
  <c r="U65" i="36"/>
  <c r="V65" i="36"/>
  <c r="W65" i="36"/>
  <c r="C66" i="36"/>
  <c r="D66" i="36"/>
  <c r="E66" i="36"/>
  <c r="F66" i="36"/>
  <c r="G66" i="36"/>
  <c r="H66" i="36"/>
  <c r="I66" i="36"/>
  <c r="J66" i="36"/>
  <c r="K66" i="36"/>
  <c r="L66" i="36"/>
  <c r="M66" i="36"/>
  <c r="N66" i="36"/>
  <c r="O66" i="36"/>
  <c r="P66" i="36"/>
  <c r="Q66" i="36"/>
  <c r="R66" i="36"/>
  <c r="S66" i="36"/>
  <c r="T66" i="36"/>
  <c r="U66" i="36"/>
  <c r="V66" i="36"/>
  <c r="W66" i="36"/>
  <c r="C67" i="36"/>
  <c r="D67" i="36"/>
  <c r="E67" i="36"/>
  <c r="F67" i="36"/>
  <c r="G67" i="36"/>
  <c r="H67" i="36"/>
  <c r="I67" i="36"/>
  <c r="J67" i="36"/>
  <c r="K67" i="36"/>
  <c r="L67" i="36"/>
  <c r="M67" i="36"/>
  <c r="N67" i="36"/>
  <c r="O67" i="36"/>
  <c r="P67" i="36"/>
  <c r="Q67" i="36"/>
  <c r="R67" i="36"/>
  <c r="S67" i="36"/>
  <c r="T67" i="36"/>
  <c r="U67" i="36"/>
  <c r="V67" i="36"/>
  <c r="W67" i="36"/>
  <c r="F3" i="35"/>
  <c r="F4" i="35"/>
  <c r="F5" i="35"/>
  <c r="F6" i="35"/>
  <c r="F8" i="35"/>
  <c r="F9" i="35"/>
  <c r="F11" i="35"/>
  <c r="F12" i="35"/>
  <c r="F14" i="35"/>
  <c r="F15" i="35"/>
  <c r="F17" i="35"/>
  <c r="F18" i="35"/>
  <c r="L59" i="31"/>
  <c r="K59" i="31"/>
  <c r="K58" i="31"/>
  <c r="K68" i="31"/>
  <c r="M67" i="31"/>
  <c r="L67" i="31"/>
  <c r="K67" i="31"/>
  <c r="L66" i="31"/>
  <c r="L69" i="31"/>
  <c r="M68" i="31"/>
  <c r="M69" i="31"/>
  <c r="K69" i="31"/>
  <c r="L73" i="31"/>
  <c r="L72" i="31"/>
  <c r="M70" i="31"/>
  <c r="M72" i="31"/>
  <c r="K72" i="31"/>
  <c r="L71" i="31"/>
  <c r="K71" i="31"/>
  <c r="L70" i="31"/>
  <c r="K70" i="31"/>
  <c r="K73" i="31"/>
  <c r="L77" i="31"/>
  <c r="N61" i="31"/>
  <c r="Q61" i="31" s="1"/>
  <c r="P60" i="31"/>
  <c r="G60" i="31"/>
  <c r="N59" i="31"/>
  <c r="Q59" i="31" s="1"/>
  <c r="H59" i="31"/>
  <c r="P59" i="31"/>
  <c r="H60" i="31"/>
  <c r="G59" i="31"/>
  <c r="N60" i="31"/>
  <c r="Q60" i="31" s="1"/>
  <c r="N58" i="31"/>
  <c r="Q58" i="31" s="1"/>
  <c r="H58" i="31"/>
  <c r="G58" i="31"/>
  <c r="N69" i="31"/>
  <c r="Q69" i="31" s="1"/>
  <c r="H67" i="31"/>
  <c r="N67" i="31"/>
  <c r="Q67" i="31" s="1"/>
  <c r="P66" i="31"/>
  <c r="G67" i="31"/>
  <c r="N66" i="31"/>
  <c r="Q66" i="31" s="1"/>
  <c r="G69" i="31"/>
  <c r="G66" i="31"/>
  <c r="H66" i="31"/>
  <c r="P69" i="31"/>
  <c r="H69" i="31"/>
  <c r="P67" i="31"/>
  <c r="H68" i="31"/>
  <c r="G68" i="31"/>
  <c r="P68" i="31"/>
  <c r="N68" i="31"/>
  <c r="Q68" i="31" s="1"/>
  <c r="N73" i="31"/>
  <c r="Q73" i="31" s="1"/>
  <c r="H71" i="31"/>
  <c r="P72" i="31"/>
  <c r="N72" i="31"/>
  <c r="Q72" i="31" s="1"/>
  <c r="N71" i="31"/>
  <c r="Q71" i="31" s="1"/>
  <c r="P70" i="31"/>
  <c r="H70" i="31"/>
  <c r="H72" i="31"/>
  <c r="G71" i="31"/>
  <c r="N70" i="31"/>
  <c r="Q70" i="31" s="1"/>
  <c r="G70" i="31"/>
  <c r="H73" i="31"/>
  <c r="G73" i="31"/>
  <c r="P74" i="31"/>
  <c r="I58" i="31"/>
  <c r="J58" i="31" s="1"/>
  <c r="I61" i="31"/>
  <c r="J61" i="31" s="1"/>
  <c r="I60" i="31"/>
  <c r="J60" i="31" s="1"/>
  <c r="I59" i="31"/>
  <c r="J59" i="31" s="1"/>
  <c r="I67" i="31"/>
  <c r="J67" i="31" s="1"/>
  <c r="I68" i="31"/>
  <c r="J68" i="31" s="1"/>
  <c r="I66" i="31"/>
  <c r="J66" i="31" s="1"/>
  <c r="I69" i="31"/>
  <c r="J69" i="31" s="1"/>
  <c r="I72" i="31"/>
  <c r="J72" i="31" s="1"/>
  <c r="I73" i="31"/>
  <c r="J73" i="31" s="1"/>
  <c r="I71" i="31"/>
  <c r="J71" i="31" s="1"/>
  <c r="I70" i="31"/>
  <c r="J70" i="31" s="1"/>
  <c r="F72" i="31"/>
  <c r="O72" i="31" s="1"/>
  <c r="F71" i="31"/>
  <c r="F69" i="31"/>
  <c r="F68" i="31"/>
  <c r="F67" i="31"/>
  <c r="F66" i="31"/>
  <c r="F61" i="31"/>
  <c r="F58" i="31"/>
  <c r="F60" i="31"/>
  <c r="F59" i="31"/>
  <c r="K7" i="12"/>
  <c r="F7" i="12"/>
  <c r="K17" i="4"/>
  <c r="E46" i="24"/>
  <c r="V26" i="18" a="1"/>
  <c r="W205" i="18" a="1"/>
  <c r="W458" i="18" a="1"/>
  <c r="R483" i="18" a="1"/>
  <c r="R259" i="18" a="1"/>
  <c r="X288" i="18" a="1"/>
  <c r="P208" i="18" a="1"/>
  <c r="Q348" i="18" a="1"/>
  <c r="AA153" i="18" a="1"/>
  <c r="R274" i="18" a="1"/>
  <c r="N401" i="18" a="1"/>
  <c r="N49" i="18" a="1"/>
  <c r="P280" i="18" a="1"/>
  <c r="T294" i="18" a="1"/>
  <c r="P103" i="18" a="1"/>
  <c r="V201" i="18" a="1"/>
  <c r="U322" i="18" a="1"/>
  <c r="O39" i="18" a="1"/>
  <c r="V74" i="18" a="1"/>
  <c r="W207" i="18" a="1"/>
  <c r="P69" i="18" a="1"/>
  <c r="U440" i="18" a="1"/>
  <c r="V176" i="18" a="1"/>
  <c r="T162" i="18" a="1"/>
  <c r="V210" i="18" a="1"/>
  <c r="O30" i="18" a="1"/>
  <c r="T460" i="18" a="1"/>
  <c r="S192" i="18" a="1"/>
  <c r="Q175" i="18" a="1"/>
  <c r="Q114" i="18" a="1"/>
  <c r="AA8" i="18" a="1"/>
  <c r="P140" i="18" a="1"/>
  <c r="R453" i="18" a="1"/>
  <c r="T444" i="18" a="1"/>
  <c r="R325" i="18" a="1"/>
  <c r="Q291" i="18" a="1"/>
  <c r="W297" i="18" a="1"/>
  <c r="N44" i="18" a="1"/>
  <c r="X145" i="18" a="1"/>
  <c r="R253" i="18" a="1"/>
  <c r="U448" i="18" a="1"/>
  <c r="N102" i="18" a="1"/>
  <c r="R61" i="18" a="1"/>
  <c r="U148" i="18" a="1"/>
  <c r="V193" i="18" a="1"/>
  <c r="V232" i="18" a="1"/>
  <c r="T283" i="18" a="1"/>
  <c r="V192" i="18" a="1"/>
  <c r="AA283" i="18" a="1"/>
  <c r="O178" i="18" a="1"/>
  <c r="V471" i="18" a="1"/>
  <c r="AA187" i="18" a="1"/>
  <c r="X417" i="18" a="1"/>
  <c r="S378" i="18" a="1"/>
  <c r="O183" i="18" a="1"/>
  <c r="T155" i="18" a="1"/>
  <c r="AA402" i="18" a="1"/>
  <c r="P366" i="18" a="1"/>
  <c r="T399" i="18" a="1"/>
  <c r="O253" i="18" a="1"/>
  <c r="O426" i="18" a="1"/>
  <c r="Q188" i="18" a="1"/>
  <c r="S78" i="18" a="1"/>
  <c r="N166" i="18" a="1"/>
  <c r="AA378" i="18" a="1"/>
  <c r="T411" i="18" a="1"/>
  <c r="N242" i="18" a="1"/>
  <c r="T68" i="18" a="1"/>
  <c r="AA181" i="18" a="1"/>
  <c r="N277" i="18" a="1"/>
  <c r="P381" i="18" a="1"/>
  <c r="AA224" i="18" a="1"/>
  <c r="X476" i="18" a="1"/>
  <c r="P45" i="18" a="1"/>
  <c r="O396" i="18" a="1"/>
  <c r="P426" i="18" a="1"/>
  <c r="V350" i="18" a="1"/>
  <c r="O15" i="18" a="1"/>
  <c r="R305" i="18" a="1"/>
  <c r="T124" i="18" a="1"/>
  <c r="V137" i="18" a="1"/>
  <c r="U433" i="18" a="1"/>
  <c r="Q332" i="18" a="1"/>
  <c r="T394" i="18" a="1"/>
  <c r="N391" i="18" a="1"/>
  <c r="N321" i="18" a="1"/>
  <c r="W8" i="18" a="1"/>
  <c r="U492" i="18" a="1"/>
  <c r="O488" i="18" a="1"/>
  <c r="T408" i="18" a="1"/>
  <c r="N472" i="18" a="1"/>
  <c r="N385" i="18" a="1"/>
  <c r="U39" i="18" a="1"/>
  <c r="U380" i="18" a="1"/>
  <c r="U416" i="18" a="1"/>
  <c r="T184" i="18" a="1"/>
  <c r="W323" i="18" a="1"/>
  <c r="Q231" i="18" a="1"/>
  <c r="U25" i="18" a="1"/>
  <c r="T361" i="18" a="1"/>
  <c r="W52" i="18" a="1"/>
  <c r="N339" i="18" a="1"/>
  <c r="W437" i="18" a="1"/>
  <c r="T174" i="18" a="1"/>
  <c r="R219" i="18" a="1"/>
  <c r="T260" i="18" a="1"/>
  <c r="W430" i="18" a="1"/>
  <c r="N343" i="18" a="1"/>
  <c r="P379" i="18" a="1"/>
  <c r="T210" i="18" a="1"/>
  <c r="O502" i="18" a="1"/>
  <c r="N191" i="18" a="1"/>
  <c r="T101" i="18" a="1"/>
  <c r="U9" i="18" a="1"/>
  <c r="AA125" i="18" a="1"/>
  <c r="T305" i="18" a="1"/>
  <c r="O476" i="18" a="1"/>
  <c r="R28" i="18" a="1"/>
  <c r="Q289" i="18" a="1"/>
  <c r="N293" i="18" a="1"/>
  <c r="O137" i="18" a="1"/>
  <c r="AA169" i="18" a="1"/>
  <c r="V40" i="18" a="1"/>
  <c r="O34" i="18" a="1"/>
  <c r="T81" i="18" a="1"/>
  <c r="V260" i="18" a="1"/>
  <c r="Q213" i="18" a="1"/>
  <c r="Q379" i="18" a="1"/>
  <c r="X99" i="18" a="1"/>
  <c r="U351" i="18" a="1"/>
  <c r="N12" i="18" a="1"/>
  <c r="W501" i="18" a="1"/>
  <c r="V99" i="18" a="1"/>
  <c r="X453" i="18" a="1"/>
  <c r="S120" i="18" a="1"/>
  <c r="R434" i="18" a="1"/>
  <c r="R151" i="18" a="1"/>
  <c r="N76" i="18" a="1"/>
  <c r="P178" i="18" a="1"/>
  <c r="T469" i="18" a="1"/>
  <c r="S255" i="18" a="1"/>
  <c r="O224" i="18" a="1"/>
  <c r="AA105" i="18" a="1"/>
  <c r="O167" i="18" a="1"/>
  <c r="Q39" i="18" a="1"/>
  <c r="R168" i="18" a="1"/>
  <c r="S492" i="18" a="1"/>
  <c r="O243" i="18" a="1"/>
  <c r="N17" i="18" a="1"/>
  <c r="U407" i="18" a="1"/>
  <c r="S228" i="18" a="1"/>
  <c r="N440" i="18" a="1"/>
  <c r="R348" i="18" a="1"/>
  <c r="O358" i="18" a="1"/>
  <c r="V183" i="18" a="1"/>
  <c r="X270" i="18" a="1"/>
  <c r="W24" i="18" a="1"/>
  <c r="U56" i="18" a="1"/>
  <c r="V485" i="18" a="1"/>
  <c r="R132" i="18" a="1"/>
  <c r="U479" i="18" a="1"/>
  <c r="O301" i="18" a="1"/>
  <c r="P225" i="18" a="1"/>
  <c r="T110" i="18" a="1"/>
  <c r="N152" i="18" a="1"/>
  <c r="P286" i="18" a="1"/>
  <c r="R166" i="18" a="1"/>
  <c r="P311" i="18" a="1"/>
  <c r="AA353" i="18" a="1"/>
  <c r="S376" i="18" a="1"/>
  <c r="Q182" i="18" a="1"/>
  <c r="N286" i="18" a="1"/>
  <c r="P47" i="18" a="1"/>
  <c r="S125" i="18" a="1"/>
  <c r="AA377" i="18" a="1"/>
  <c r="W442" i="18" a="1"/>
  <c r="O88" i="18" a="1"/>
  <c r="W133" i="18" a="1"/>
  <c r="S191" i="18" a="1"/>
  <c r="V306" i="18" a="1"/>
  <c r="AA437" i="18" a="1"/>
  <c r="Q491" i="18" a="1"/>
  <c r="T259" i="18" a="1"/>
  <c r="X52" i="18" a="1"/>
  <c r="W219" i="18" a="1"/>
  <c r="S180" i="18" a="1"/>
  <c r="V483" i="18" a="1"/>
  <c r="Q361" i="18" a="1"/>
  <c r="N362" i="18" a="1"/>
  <c r="U124" i="18" a="1"/>
  <c r="V100" i="18" a="1"/>
  <c r="Q228" i="18" a="1"/>
  <c r="W351" i="18" a="1"/>
  <c r="AA56" i="18" a="1"/>
  <c r="S302" i="18" a="1"/>
  <c r="AA502" i="18" a="1"/>
  <c r="O197" i="18" a="1"/>
  <c r="W498" i="18" a="1"/>
  <c r="T222" i="18" a="1"/>
  <c r="U327" i="18" a="1"/>
  <c r="O356" i="18" a="1"/>
  <c r="W30" i="18" a="1"/>
  <c r="Q313" i="18" a="1"/>
  <c r="R268" i="18" a="1"/>
  <c r="N475" i="18" a="1"/>
  <c r="Q351" i="18" a="1"/>
  <c r="W40" i="18" a="1"/>
  <c r="Q384" i="18" a="1"/>
  <c r="Q417" i="18" a="1"/>
  <c r="R458" i="18" a="1"/>
  <c r="T293" i="18" a="1"/>
  <c r="P7" i="18" a="1"/>
  <c r="V352" i="18" a="1"/>
  <c r="Q485" i="18" a="1"/>
  <c r="X274" i="18" a="1"/>
  <c r="U368" i="18" a="1"/>
  <c r="X231" i="18" a="1"/>
  <c r="X49" i="18" a="1"/>
  <c r="U451" i="18" a="1"/>
  <c r="N193" i="18" a="1"/>
  <c r="R208" i="18" a="1"/>
  <c r="O119" i="18" a="1"/>
  <c r="Q163" i="18" a="1"/>
  <c r="Q180" i="18" a="1"/>
  <c r="P443" i="18" a="1"/>
  <c r="W92" i="18" a="1"/>
  <c r="V434" i="18" a="1"/>
  <c r="R172" i="18" a="1"/>
  <c r="U335" i="18" a="1"/>
  <c r="X232" i="18" a="1"/>
  <c r="U470" i="18" a="1"/>
  <c r="X28" i="18" a="1"/>
  <c r="T186" i="18" a="1"/>
  <c r="P200" i="18" a="1"/>
  <c r="R408" i="18" a="1"/>
  <c r="U421" i="18" a="1"/>
  <c r="Q303" i="18" a="1"/>
  <c r="W417" i="18" a="1"/>
  <c r="U106" i="18" a="1"/>
  <c r="W167" i="18" a="1"/>
  <c r="T420" i="18" a="1"/>
  <c r="T74" i="18" a="1"/>
  <c r="AA207" i="18" a="1"/>
  <c r="V57" i="18" a="1"/>
  <c r="X169" i="18" a="1"/>
  <c r="T403" i="18" a="1"/>
  <c r="AA458" i="18" a="1"/>
  <c r="X152" i="18" a="1"/>
  <c r="W302" i="18" a="1"/>
  <c r="N55" i="18" a="1"/>
  <c r="V269" i="18" a="1"/>
  <c r="U59" i="18" a="1"/>
  <c r="U349" i="18" a="1"/>
  <c r="AA270" i="18" a="1"/>
  <c r="R333" i="18" a="1"/>
  <c r="O393" i="18" a="1"/>
  <c r="W415" i="18" a="1"/>
  <c r="X346" i="18" a="1"/>
  <c r="AA233" i="18" a="1"/>
  <c r="AA314" i="18" a="1"/>
  <c r="T331" i="18" a="1"/>
  <c r="N463" i="18" a="1"/>
  <c r="N377" i="18" a="1"/>
  <c r="AA441" i="18" a="1"/>
  <c r="P138" i="18" a="1"/>
  <c r="V421" i="18" a="1"/>
  <c r="AA333" i="18" a="1"/>
  <c r="T494" i="18" a="1"/>
  <c r="R192" i="18" a="1"/>
  <c r="W172" i="18" a="1"/>
  <c r="S374" i="18" a="1"/>
  <c r="T185" i="18" a="1"/>
  <c r="U67" i="18" a="1"/>
  <c r="R178" i="18" a="1"/>
  <c r="W108" i="18" a="1"/>
  <c r="N453" i="18" a="1"/>
  <c r="P465" i="18" a="1"/>
  <c r="S73" i="18" a="1"/>
  <c r="S470" i="18" a="1"/>
  <c r="N325" i="18" a="1"/>
  <c r="R405" i="18" a="1"/>
  <c r="Q174" i="18" a="1"/>
  <c r="AA267" i="18" a="1"/>
  <c r="O469" i="18" a="1"/>
  <c r="W405" i="18" a="1"/>
  <c r="X471" i="18" a="1"/>
  <c r="V256" i="18" a="1"/>
  <c r="U360" i="18" a="1"/>
  <c r="AA75" i="18" a="1"/>
  <c r="Q267" i="18" a="1"/>
  <c r="X360" i="18" a="1"/>
  <c r="R289" i="18" a="1"/>
  <c r="W468" i="18" a="1"/>
  <c r="V499" i="18" a="1"/>
  <c r="R225" i="18" a="1"/>
  <c r="P343" i="18" a="1"/>
  <c r="T424" i="18" a="1"/>
  <c r="W489" i="18" a="1"/>
  <c r="S352" i="18" a="1"/>
  <c r="T202" i="18" a="1"/>
  <c r="W103" i="18" a="1"/>
  <c r="S236" i="18" a="1"/>
  <c r="Q405" i="18" a="1"/>
  <c r="AA177" i="18" a="1"/>
  <c r="AA26" i="18" a="1"/>
  <c r="S396" i="18" a="1"/>
  <c r="AA319" i="18" a="1"/>
  <c r="N141" i="18" a="1"/>
  <c r="S37" i="18" a="1"/>
  <c r="T345" i="18" a="1"/>
  <c r="V486" i="18" a="1"/>
  <c r="N202" i="18" a="1"/>
  <c r="W81" i="18" a="1"/>
  <c r="V437" i="18" a="1"/>
  <c r="S257" i="18" a="1"/>
  <c r="X425" i="18" a="1"/>
  <c r="T152" i="18" a="1"/>
  <c r="X65" i="18" a="1"/>
  <c r="AA242" i="18" a="1"/>
  <c r="U294" i="18" a="1"/>
  <c r="S314" i="18" a="1"/>
  <c r="U340" i="18" a="1"/>
  <c r="N426" i="18" a="1"/>
  <c r="S321" i="18" a="1"/>
  <c r="V47" i="18" a="1"/>
  <c r="AA120" i="18" a="1"/>
  <c r="T450" i="18" a="1"/>
  <c r="R406" i="18" a="1"/>
  <c r="U298" i="18" a="1"/>
  <c r="T115" i="18" a="1"/>
  <c r="O23" i="18" a="1"/>
  <c r="R26" i="18" a="1"/>
  <c r="S150" i="18" a="1"/>
  <c r="V61" i="18" a="1"/>
  <c r="P117" i="18" a="1"/>
  <c r="X402" i="18" a="1"/>
  <c r="AA482" i="18" a="1"/>
  <c r="R62" i="18" a="1"/>
  <c r="O218" i="18" a="1"/>
  <c r="W260" i="18" a="1"/>
  <c r="AA311" i="18" a="1"/>
  <c r="S265" i="18" a="1"/>
  <c r="U325" i="18" a="1"/>
  <c r="P360" i="18" a="1"/>
  <c r="Q400" i="18" a="1"/>
  <c r="X170" i="18" a="1"/>
  <c r="AA29" i="18" a="1"/>
  <c r="Q482" i="18" a="1"/>
  <c r="R293" i="18" a="1"/>
  <c r="X27" i="18" a="1"/>
  <c r="W143" i="18" a="1"/>
  <c r="X77" i="18" a="1"/>
  <c r="X195" i="18" a="1"/>
  <c r="T316" i="18" a="1"/>
  <c r="W61" i="18" a="1"/>
  <c r="W114" i="18" a="1"/>
  <c r="O130" i="18" a="1"/>
  <c r="X81" i="18" a="1"/>
  <c r="N452" i="18" a="1"/>
  <c r="AA25" i="18" a="1"/>
  <c r="W220" i="18" a="1"/>
  <c r="Q123" i="18" a="1"/>
  <c r="N7" i="18" a="1"/>
  <c r="S416" i="18" a="1"/>
  <c r="Q190" i="18" a="1"/>
  <c r="X339" i="18" a="1"/>
  <c r="Q459" i="18" a="1"/>
  <c r="AA340" i="18" a="1"/>
  <c r="O215" i="18" a="1"/>
  <c r="S435" i="18" a="1"/>
  <c r="N162" i="18" a="1"/>
  <c r="X494" i="18" a="1"/>
  <c r="N159" i="18" a="1"/>
  <c r="R232" i="18" a="1"/>
  <c r="T165" i="18" a="1"/>
  <c r="AA47" i="18" a="1"/>
  <c r="U255" i="18" a="1"/>
  <c r="U348" i="18" a="1"/>
  <c r="W500" i="18" a="1"/>
  <c r="X429" i="18" a="1"/>
  <c r="Q478" i="18" a="1"/>
  <c r="O26" i="18" a="1"/>
  <c r="Q173" i="18" a="1"/>
  <c r="N396" i="18" a="1"/>
  <c r="X163" i="18" a="1"/>
  <c r="T121" i="18" a="1"/>
  <c r="W446" i="18" a="1"/>
  <c r="O285" i="18" a="1"/>
  <c r="X45" i="18" a="1"/>
  <c r="U162" i="18" a="1"/>
  <c r="W36" i="18" a="1"/>
  <c r="R24" i="18" a="1"/>
  <c r="N231" i="18" a="1"/>
  <c r="P400" i="18" a="1"/>
  <c r="S363" i="18" a="1"/>
  <c r="N494" i="18" a="1"/>
  <c r="S110" i="18" a="1"/>
  <c r="AA61" i="18" a="1"/>
  <c r="W137" i="18" a="1"/>
  <c r="Q448" i="18" a="1"/>
  <c r="N151" i="18" a="1"/>
  <c r="T61" i="18" a="1"/>
  <c r="AA107" i="18" a="1"/>
  <c r="X427" i="18" a="1"/>
  <c r="X59" i="18" a="1"/>
  <c r="AA323" i="18" a="1"/>
  <c r="P293" i="18" a="1"/>
  <c r="P375" i="18" a="1"/>
  <c r="N88" i="18" a="1"/>
  <c r="V295" i="18" a="1"/>
  <c r="P29" i="18" a="1"/>
  <c r="S74" i="18" a="1"/>
  <c r="AA273" i="18" a="1"/>
  <c r="U160" i="18" a="1"/>
  <c r="P239" i="18" a="1"/>
  <c r="O275" i="18" a="1"/>
  <c r="R276" i="18" a="1"/>
  <c r="AA78" i="18" a="1"/>
  <c r="N340" i="18" a="1"/>
  <c r="O42" i="18" a="1"/>
  <c r="U158" i="18" a="1"/>
  <c r="W153" i="18" a="1"/>
  <c r="Q97" i="18" a="1"/>
  <c r="P314" i="18" a="1"/>
  <c r="V35" i="18" a="1"/>
  <c r="W249" i="18" a="1"/>
  <c r="P83" i="18" a="1"/>
  <c r="V374" i="18" a="1"/>
  <c r="T171" i="18" a="1"/>
  <c r="P168" i="18" a="1"/>
  <c r="P125" i="18" a="1"/>
  <c r="T111" i="18" a="1"/>
  <c r="X153" i="18" a="1"/>
  <c r="W19" i="18" a="1"/>
  <c r="U323" i="18" a="1"/>
  <c r="X468" i="18" a="1"/>
  <c r="P470" i="18" a="1"/>
  <c r="R124" i="18" a="1"/>
  <c r="AA238" i="18" a="1"/>
  <c r="AA103" i="18" a="1"/>
  <c r="P107" i="18" a="1"/>
  <c r="V149" i="18" a="1"/>
  <c r="U123" i="18" a="1"/>
  <c r="T201" i="18" a="1"/>
  <c r="W150" i="18" a="1"/>
  <c r="W64" i="18" a="1"/>
  <c r="AA232" i="18" a="1"/>
  <c r="R392" i="18" a="1"/>
  <c r="V79" i="18" a="1"/>
  <c r="T82" i="18" a="1"/>
  <c r="X465" i="18" a="1"/>
  <c r="S31" i="18" a="1"/>
  <c r="R164" i="18" a="1"/>
  <c r="T396" i="18" a="1"/>
  <c r="V307" i="18" a="1"/>
  <c r="O480" i="18" a="1"/>
  <c r="U108" i="18" a="1"/>
  <c r="P294" i="18" a="1"/>
  <c r="Q43" i="18" a="1"/>
  <c r="R241" i="18" a="1"/>
  <c r="R115" i="18" a="1"/>
  <c r="Q486" i="18" a="1"/>
  <c r="Q224" i="18" a="1"/>
  <c r="T20" i="18" a="1"/>
  <c r="AA150" i="18" a="1"/>
  <c r="Q212" i="18" a="1"/>
  <c r="S384" i="18" a="1"/>
  <c r="R13" i="18" a="1"/>
  <c r="W318" i="18" a="1"/>
  <c r="S178" i="18" a="1"/>
  <c r="Q108" i="18" a="1"/>
  <c r="N414" i="18" a="1"/>
  <c r="V272" i="18" a="1"/>
  <c r="T320" i="18" a="1"/>
  <c r="T73" i="18" a="1"/>
  <c r="X373" i="18" a="1"/>
  <c r="S13" i="18" a="1"/>
  <c r="N300" i="18" a="1"/>
  <c r="T166" i="18" a="1"/>
  <c r="P403" i="18" a="1"/>
  <c r="Q130" i="18" a="1"/>
  <c r="P357" i="18" a="1"/>
  <c r="P341" i="18" a="1"/>
  <c r="S248" i="18" a="1"/>
  <c r="U278" i="18" a="1"/>
  <c r="W115" i="18" a="1"/>
  <c r="U276" i="18" a="1"/>
  <c r="O266" i="18" a="1"/>
  <c r="AA209" i="18" a="1"/>
  <c r="N69" i="18" a="1"/>
  <c r="AA299" i="18" a="1"/>
  <c r="S462" i="18" a="1"/>
  <c r="U472" i="18" a="1"/>
  <c r="N229" i="18" a="1"/>
  <c r="O273" i="18" a="1"/>
  <c r="Q370" i="18" a="1"/>
  <c r="Q293" i="18" a="1"/>
  <c r="N478" i="18" a="1"/>
  <c r="P97" i="18" a="1"/>
  <c r="N156" i="18" a="1"/>
  <c r="N290" i="18" a="1"/>
  <c r="N237" i="18" a="1"/>
  <c r="AA369" i="18" a="1"/>
  <c r="P462" i="18" a="1"/>
  <c r="D15" i="27"/>
  <c r="V430" i="18" a="1"/>
  <c r="Q191" i="18" a="1"/>
  <c r="AA28" i="18" a="1"/>
  <c r="O80" i="18" a="1"/>
  <c r="V110" i="18" a="1"/>
  <c r="N220" i="18" a="1"/>
  <c r="T182" i="18" a="1"/>
  <c r="T47" i="18" a="1"/>
  <c r="O84" i="18" a="1"/>
  <c r="W41" i="18" a="1"/>
  <c r="N490" i="18" a="1"/>
  <c r="AA459" i="18" a="1"/>
  <c r="O166" i="18" a="1"/>
  <c r="AA227" i="18" a="1"/>
  <c r="V296" i="18" a="1"/>
  <c r="O100" i="18" a="1"/>
  <c r="AA395" i="18" a="1"/>
  <c r="R362" i="18" a="1"/>
  <c r="T59" i="18" a="1"/>
  <c r="O91" i="18" a="1"/>
  <c r="T489" i="18" a="1"/>
  <c r="X282" i="18" a="1"/>
  <c r="W138" i="18" a="1"/>
  <c r="R277" i="18" a="1"/>
  <c r="Q185" i="18" a="1"/>
  <c r="W162" i="18" a="1"/>
  <c r="V195" i="18" a="1"/>
  <c r="S334" i="18" a="1"/>
  <c r="S322" i="18" a="1"/>
  <c r="AA49" i="18" a="1"/>
  <c r="S133" i="18" a="1"/>
  <c r="X18" i="18" a="1"/>
  <c r="AA294" i="18" a="1"/>
  <c r="AA160" i="18" a="1"/>
  <c r="N423" i="18" a="1"/>
  <c r="N43" i="18" a="1"/>
  <c r="X412" i="18" a="1"/>
  <c r="W135" i="18" a="1"/>
  <c r="X115" i="18" a="1"/>
  <c r="W51" i="18" a="1"/>
  <c r="P405" i="18" a="1"/>
  <c r="T303" i="18" a="1"/>
  <c r="U180" i="18" a="1"/>
  <c r="AA344" i="18" a="1"/>
  <c r="O380" i="18" a="1"/>
  <c r="O381" i="18" a="1"/>
  <c r="X490" i="18" a="1"/>
  <c r="S83" i="18" a="1"/>
  <c r="N201" i="18" a="1"/>
  <c r="R239" i="18" a="1"/>
  <c r="W59" i="18" a="1"/>
  <c r="P338" i="18" a="1"/>
  <c r="Q427" i="18" a="1"/>
  <c r="U238" i="18" a="1"/>
  <c r="W403" i="18" a="1"/>
  <c r="V476" i="18" a="1"/>
  <c r="O345" i="18" a="1"/>
  <c r="O387" i="18" a="1"/>
  <c r="X201" i="18" a="1"/>
  <c r="V88" i="18" a="1"/>
  <c r="U100" i="18" a="1"/>
  <c r="AA42" i="18" a="1"/>
  <c r="W148" i="18" a="1"/>
  <c r="S137" i="18" a="1"/>
  <c r="S437" i="18" a="1"/>
  <c r="T153" i="18" a="1"/>
  <c r="AA256" i="18" a="1"/>
  <c r="U384" i="18" a="1"/>
  <c r="W232" i="18" a="1"/>
  <c r="N443" i="18" a="1"/>
  <c r="N302" i="18" a="1"/>
  <c r="Q330" i="18" a="1"/>
  <c r="V284" i="18" a="1"/>
  <c r="AA252" i="18" a="1"/>
  <c r="X287" i="18" a="1"/>
  <c r="Q148" i="18" a="1"/>
  <c r="W112" i="18" a="1"/>
  <c r="AA260" i="18" a="1"/>
  <c r="U235" i="18" a="1"/>
  <c r="P87" i="18" a="1"/>
  <c r="N135" i="18" a="1"/>
  <c r="S388" i="18" a="1"/>
  <c r="N375" i="18" a="1"/>
  <c r="T167" i="18" a="1"/>
  <c r="V283" i="18" a="1"/>
  <c r="W75" i="18" a="1"/>
  <c r="T414" i="18" a="1"/>
  <c r="T312" i="18" a="1"/>
  <c r="N473" i="18" a="1"/>
  <c r="R336" i="18" a="1"/>
  <c r="AA425" i="18" a="1"/>
  <c r="O304" i="18" a="1"/>
  <c r="V345" i="18" a="1"/>
  <c r="S201" i="18" a="1"/>
  <c r="X110" i="18" a="1"/>
  <c r="O241" i="18" a="1"/>
  <c r="X344" i="18" a="1"/>
  <c r="N448" i="18" a="1"/>
  <c r="R88" i="18" a="1"/>
  <c r="W348" i="18" a="1"/>
  <c r="Q395" i="18" a="1"/>
  <c r="U226" i="18" a="1"/>
  <c r="U169" i="18" a="1"/>
  <c r="V120" i="18" a="1"/>
  <c r="R198" i="18" a="1"/>
  <c r="N170" i="18" a="1"/>
  <c r="P251" i="18" a="1"/>
  <c r="W101" i="18" a="1"/>
  <c r="T192" i="18" a="1"/>
  <c r="T378" i="18" a="1"/>
  <c r="V134" i="18" a="1"/>
  <c r="Q78" i="18" a="1"/>
  <c r="W286" i="18" a="1"/>
  <c r="Q24" i="18" a="1"/>
  <c r="R83" i="18" a="1"/>
  <c r="Q449" i="18" a="1"/>
  <c r="R235" i="18" a="1"/>
  <c r="U29" i="18" a="1"/>
  <c r="X324" i="18" a="1"/>
  <c r="T231" i="18" a="1"/>
  <c r="V429" i="18" a="1"/>
  <c r="Q473" i="18" a="1"/>
  <c r="U453" i="18" a="1"/>
  <c r="P322" i="18" a="1"/>
  <c r="S495" i="18" a="1"/>
  <c r="V128" i="18" a="1"/>
  <c r="W441" i="18" a="1"/>
  <c r="P82" i="18" a="1"/>
  <c r="T425" i="18" a="1"/>
  <c r="O95" i="18" a="1"/>
  <c r="N122" i="18" a="1"/>
  <c r="X322" i="18" a="1"/>
  <c r="W196" i="18" a="1"/>
  <c r="Q358" i="18" a="1"/>
  <c r="R266" i="18" a="1"/>
  <c r="P421" i="18" a="1"/>
  <c r="T423" i="18" a="1"/>
  <c r="S88" i="18" a="1"/>
  <c r="P463" i="18" a="1"/>
  <c r="Q324" i="18" a="1"/>
  <c r="AA438" i="18" a="1"/>
  <c r="V242" i="18" a="1"/>
  <c r="R380" i="18" a="1"/>
  <c r="W396" i="18" a="1"/>
  <c r="T200" i="18" a="1"/>
  <c r="W284" i="18" a="1"/>
  <c r="AA317" i="18" a="1"/>
  <c r="Q321" i="18" a="1"/>
  <c r="AA54" i="18" a="1"/>
  <c r="O499" i="18" a="1"/>
  <c r="N85" i="18" a="1"/>
  <c r="T321" i="18" a="1"/>
  <c r="X307" i="18" a="1"/>
  <c r="U480" i="18" a="1"/>
  <c r="P368" i="18" a="1"/>
  <c r="X183" i="18" a="1"/>
  <c r="N11" i="18" a="1"/>
  <c r="AA449" i="18" a="1"/>
  <c r="O326" i="18" a="1"/>
  <c r="V228" i="18" a="1"/>
  <c r="N238" i="18" a="1"/>
  <c r="X245" i="18" a="1"/>
  <c r="AA193" i="18" a="1"/>
  <c r="W45" i="18" a="1"/>
  <c r="S381" i="18" a="1"/>
  <c r="N26" i="18" a="1"/>
  <c r="V227" i="18" a="1"/>
  <c r="S22" i="18" a="1"/>
  <c r="T276" i="18" a="1"/>
  <c r="AA148" i="18" a="1"/>
  <c r="W95" i="18" a="1"/>
  <c r="U300" i="18" a="1"/>
  <c r="N320" i="18" a="1"/>
  <c r="S428" i="18" a="1"/>
  <c r="P88" i="18" a="1"/>
  <c r="N165" i="18" a="1"/>
  <c r="X267" i="18" a="1"/>
  <c r="P274" i="18" a="1"/>
  <c r="P237" i="18" a="1"/>
  <c r="O282" i="18" a="1"/>
  <c r="P15" i="18" a="1"/>
  <c r="R173" i="18" a="1"/>
  <c r="U389" i="18" a="1"/>
  <c r="X323" i="18" a="1"/>
  <c r="S82" i="18" a="1"/>
  <c r="Q129" i="18" a="1"/>
  <c r="U239" i="18" a="1"/>
  <c r="R162" i="18" a="1"/>
  <c r="O220" i="18" a="1"/>
  <c r="X504" i="18" a="1"/>
  <c r="T248" i="18" a="1"/>
  <c r="P181" i="18" a="1"/>
  <c r="X394" i="18" a="1"/>
  <c r="P229" i="18" a="1"/>
  <c r="T158" i="18" a="1"/>
  <c r="AA249" i="18" a="1"/>
  <c r="Q315" i="18" a="1"/>
  <c r="W496" i="18" a="1"/>
  <c r="T235" i="18" a="1"/>
  <c r="N319" i="18" a="1"/>
  <c r="O52" i="18" a="1"/>
  <c r="W98" i="18" a="1"/>
  <c r="U357" i="18" a="1"/>
  <c r="N427" i="18" a="1"/>
  <c r="N130" i="18" a="1"/>
  <c r="R207" i="18" a="1"/>
  <c r="S325" i="18" a="1"/>
  <c r="Q242" i="18" a="1"/>
  <c r="S170" i="18" a="1"/>
  <c r="N227" i="18" a="1"/>
  <c r="U262" i="18" a="1"/>
  <c r="Q495" i="18" a="1"/>
  <c r="R262" i="18" a="1"/>
  <c r="W272" i="18" a="1"/>
  <c r="U444" i="18" a="1"/>
  <c r="V339" i="18" a="1"/>
  <c r="S356" i="18" a="1"/>
  <c r="N48" i="18" a="1"/>
  <c r="U139" i="18" a="1"/>
  <c r="T173" i="18" a="1"/>
  <c r="Q176" i="18" a="1"/>
  <c r="X108" i="18" a="1"/>
  <c r="S275" i="18" a="1"/>
  <c r="O48" i="18" a="1"/>
  <c r="T453" i="18" a="1"/>
  <c r="O467" i="18" a="1"/>
  <c r="W447" i="18" a="1"/>
  <c r="Q472" i="18" a="1"/>
  <c r="X101" i="18" a="1"/>
  <c r="O314" i="18" a="1"/>
  <c r="N370" i="18" a="1"/>
  <c r="T497" i="18" a="1"/>
  <c r="O17" i="18" a="1"/>
  <c r="W28" i="18" a="1"/>
  <c r="U91" i="18" a="1"/>
  <c r="X61" i="18" a="1"/>
  <c r="Q221" i="18" a="1"/>
  <c r="V58" i="18" a="1"/>
  <c r="S291" i="18" a="1"/>
  <c r="W91" i="18" a="1"/>
  <c r="R98" i="18" a="1"/>
  <c r="X409" i="18" a="1"/>
  <c r="X259" i="18" a="1"/>
  <c r="T272" i="18" a="1"/>
  <c r="X263" i="18" a="1"/>
  <c r="V322" i="18" a="1"/>
  <c r="N21" i="18" a="1"/>
  <c r="T267" i="18" a="1"/>
  <c r="X281" i="18" a="1"/>
  <c r="W391" i="18" a="1"/>
  <c r="P378" i="18" a="1"/>
  <c r="W87" i="18" a="1"/>
  <c r="N205" i="18" a="1"/>
  <c r="O377" i="18" a="1"/>
  <c r="R181" i="18" a="1"/>
  <c r="O164" i="18" a="1"/>
  <c r="P383" i="18" a="1"/>
  <c r="AA226" i="18" a="1"/>
  <c r="T268" i="18" a="1"/>
  <c r="S98" i="18" a="1"/>
  <c r="V299" i="18" a="1"/>
  <c r="V194" i="18" a="1"/>
  <c r="P64" i="18" a="1"/>
  <c r="Q33" i="18" a="1"/>
  <c r="O156" i="18" a="1"/>
  <c r="U459" i="18" a="1"/>
  <c r="AA13" i="18" a="1"/>
  <c r="E6" i="12" a="1"/>
  <c r="Q25" i="18" a="1"/>
  <c r="X188" i="18" a="1"/>
  <c r="O281" i="18" a="1"/>
  <c r="P12" i="18" a="1"/>
  <c r="Q295" i="18" a="1"/>
  <c r="P55" i="18" a="1"/>
  <c r="Q138" i="18" a="1"/>
  <c r="V277" i="18" a="1"/>
  <c r="T10" i="18" a="1"/>
  <c r="X502" i="18" a="1"/>
  <c r="O373" i="18" a="1"/>
  <c r="W279" i="18" a="1"/>
  <c r="W74" i="18" a="1"/>
  <c r="Q376" i="18" a="1"/>
  <c r="P269" i="18" a="1"/>
  <c r="V484" i="18" a="1"/>
  <c r="W276" i="18" a="1"/>
  <c r="O298" i="18" a="1"/>
  <c r="U58" i="18" a="1"/>
  <c r="V117" i="18" a="1"/>
  <c r="AA354" i="18" a="1"/>
  <c r="W352" i="18" a="1"/>
  <c r="O311" i="18" a="1"/>
  <c r="P333" i="18" a="1"/>
  <c r="S408" i="18" a="1"/>
  <c r="T287" i="18" a="1"/>
  <c r="S77" i="18" a="1"/>
  <c r="V82" i="18" a="1"/>
  <c r="T11" i="18" a="1"/>
  <c r="U303" i="18" a="1"/>
  <c r="P417" i="18" a="1"/>
  <c r="R286" i="18" a="1"/>
  <c r="W395" i="18" a="1"/>
  <c r="S194" i="18" a="1"/>
  <c r="X47" i="18" a="1"/>
  <c r="P325" i="18" a="1"/>
  <c r="Q355" i="18" a="1"/>
  <c r="T27" i="18" a="1"/>
  <c r="S130" i="18" a="1"/>
  <c r="X418" i="18" a="1"/>
  <c r="S173" i="18" a="1"/>
  <c r="U54" i="18" a="1"/>
  <c r="S91" i="18" a="1"/>
  <c r="U299" i="18" a="1"/>
  <c r="W142" i="18" a="1"/>
  <c r="R369" i="18" a="1"/>
  <c r="P312" i="18" a="1"/>
  <c r="X306" i="18" a="1"/>
  <c r="AA211" i="18" a="1"/>
  <c r="Q12" i="18" a="1"/>
  <c r="AA375" i="18" a="1"/>
  <c r="P317" i="18" a="1"/>
  <c r="P28" i="18" a="1"/>
  <c r="P281" i="18" a="1"/>
  <c r="T364" i="18" a="1"/>
  <c r="X200" i="18" a="1"/>
  <c r="U273" i="18" a="1"/>
  <c r="S159" i="18" a="1"/>
  <c r="O221" i="18" a="1"/>
  <c r="X83" i="18" a="1"/>
  <c r="W305" i="18" a="1"/>
  <c r="AA303" i="18" a="1"/>
  <c r="S475" i="18" a="1"/>
  <c r="T84" i="18" a="1"/>
  <c r="R442" i="18" a="1"/>
  <c r="P461" i="18" a="1"/>
  <c r="T347" i="18" a="1"/>
  <c r="T330" i="18" a="1"/>
  <c r="AA199" i="18" a="1"/>
  <c r="R174" i="18" a="1"/>
  <c r="T97" i="18" a="1"/>
  <c r="X9" i="18" a="1"/>
  <c r="Q331" i="18" a="1"/>
  <c r="X280" i="18" a="1"/>
  <c r="T401" i="18" a="1"/>
  <c r="X72" i="18" a="1"/>
  <c r="Q371" i="18" a="1"/>
  <c r="R136" i="18" a="1"/>
  <c r="R19" i="18" a="1"/>
  <c r="V29" i="18" a="1"/>
  <c r="Q208" i="18" a="1"/>
  <c r="P78" i="18" a="1"/>
  <c r="S128" i="18" a="1"/>
  <c r="U437" i="18" a="1"/>
  <c r="X411" i="18" a="1"/>
  <c r="X388" i="18" a="1"/>
  <c r="R474" i="18" a="1"/>
  <c r="S298" i="18" a="1"/>
  <c r="U94" i="18" a="1"/>
  <c r="O258" i="18" a="1"/>
  <c r="S337" i="18" a="1"/>
  <c r="R31" i="18" a="1"/>
  <c r="N187" i="18" a="1"/>
  <c r="AA424" i="18" a="1"/>
  <c r="W120" i="18" a="1"/>
  <c r="N358" i="18" a="1"/>
  <c r="S365" i="18" a="1"/>
  <c r="W311" i="18" a="1"/>
  <c r="N330" i="18" a="1"/>
  <c r="N173" i="18" a="1"/>
  <c r="O93" i="18" a="1"/>
  <c r="V112" i="18" a="1"/>
  <c r="V36" i="18" a="1"/>
  <c r="AA20" i="18" a="1"/>
  <c r="O501" i="18" a="1"/>
  <c r="R55" i="18" a="1"/>
  <c r="Q279" i="18" a="1"/>
  <c r="AA212" i="18" a="1"/>
  <c r="U206" i="18" a="1"/>
  <c r="U13" i="18" a="1"/>
  <c r="X462" i="18" a="1"/>
  <c r="R101" i="18" a="1"/>
  <c r="P348" i="18" a="1"/>
  <c r="Q362" i="18" a="1"/>
  <c r="AA145" i="18" a="1"/>
  <c r="O321" i="18" a="1"/>
  <c r="X217" i="18" a="1"/>
  <c r="V373" i="18" a="1"/>
  <c r="N496" i="18" a="1"/>
  <c r="P504" i="18" a="1"/>
  <c r="W462" i="18" a="1"/>
  <c r="AA59" i="18" a="1"/>
  <c r="X32" i="18" a="1"/>
  <c r="X210" i="18" a="1"/>
  <c r="N149" i="18" a="1"/>
  <c r="V475" i="18" a="1"/>
  <c r="S315" i="18" a="1"/>
  <c r="S354" i="18" a="1"/>
  <c r="R111" i="18" a="1"/>
  <c r="T478" i="18" a="1"/>
  <c r="V214" i="18" a="1"/>
  <c r="P77" i="18" a="1"/>
  <c r="Q446" i="18" a="1"/>
  <c r="AA266" i="18" a="1"/>
  <c r="N100" i="18" a="1"/>
  <c r="R363" i="18" a="1"/>
  <c r="O399" i="18" a="1"/>
  <c r="X345" i="18" a="1"/>
  <c r="N357" i="18" a="1"/>
  <c r="X221" i="18" a="1"/>
  <c r="N331" i="18" a="1"/>
  <c r="R288" i="18" a="1"/>
  <c r="R256" i="18" a="1"/>
  <c r="W244" i="18" a="1"/>
  <c r="T7" i="18" a="1"/>
  <c r="V223" i="18" a="1"/>
  <c r="X208" i="18" a="1"/>
  <c r="T377" i="18" a="1"/>
  <c r="P278" i="18" a="1"/>
  <c r="Q414" i="18" a="1"/>
  <c r="AA406" i="18" a="1"/>
  <c r="P315" i="18" a="1"/>
  <c r="V22" i="18" a="1"/>
  <c r="R407" i="18" a="1"/>
  <c r="AA302" i="18" a="1"/>
  <c r="R476" i="18" a="1"/>
  <c r="X68" i="18" a="1"/>
  <c r="X175" i="18" a="1"/>
  <c r="AA122" i="18" a="1"/>
  <c r="O269" i="18" a="1"/>
  <c r="S68" i="18" a="1"/>
  <c r="V121" i="18" a="1"/>
  <c r="W221" i="18" a="1"/>
  <c r="R54" i="18" a="1"/>
  <c r="V328" i="18" a="1"/>
  <c r="X67" i="18" a="1"/>
  <c r="P230" i="18" a="1"/>
  <c r="N288" i="18" a="1"/>
  <c r="S326" i="18" a="1"/>
  <c r="T343" i="18" a="1"/>
  <c r="V418" i="18" a="1"/>
  <c r="V271" i="18" a="1"/>
  <c r="S355" i="18" a="1"/>
  <c r="U248" i="18" a="1"/>
  <c r="U422" i="18" a="1"/>
  <c r="X474" i="18" a="1"/>
  <c r="N425" i="18" a="1"/>
  <c r="T392" i="18" a="1"/>
  <c r="N143" i="18" a="1"/>
  <c r="U477" i="18" a="1"/>
  <c r="S141" i="18" a="1"/>
  <c r="AA80" i="18" a="1"/>
  <c r="T376" i="18" a="1"/>
  <c r="V145" i="18" a="1"/>
  <c r="S187" i="18" a="1"/>
  <c r="R320" i="18" a="1"/>
  <c r="N294" i="18" a="1"/>
  <c r="Q413" i="18" a="1"/>
  <c r="AA76" i="18" a="1"/>
  <c r="U272" i="18" a="1"/>
  <c r="P94" i="18" a="1"/>
  <c r="O279" i="18" a="1"/>
  <c r="R106" i="18" a="1"/>
  <c r="N45" i="18" a="1"/>
  <c r="R416" i="18" a="1"/>
  <c r="Q120" i="18" a="1"/>
  <c r="S348" i="18" a="1"/>
  <c r="R291" i="18" a="1"/>
  <c r="N139" i="18" a="1"/>
  <c r="V489" i="18" a="1"/>
  <c r="R245" i="18" a="1"/>
  <c r="R505" i="18" a="1"/>
  <c r="T46" i="18" a="1"/>
  <c r="X196" i="18" a="1"/>
  <c r="R92" i="18" a="1"/>
  <c r="X329" i="18" a="1"/>
  <c r="Q44" i="18" a="1"/>
  <c r="W239" i="18" a="1"/>
  <c r="AA231" i="18" a="1"/>
  <c r="R157" i="18" a="1"/>
  <c r="AA496" i="18" a="1"/>
  <c r="O478" i="18" a="1"/>
  <c r="N153" i="18" a="1"/>
  <c r="Q436" i="18" a="1"/>
  <c r="V111" i="18" a="1"/>
  <c r="Q234" i="18" a="1"/>
  <c r="R401" i="18" a="1"/>
  <c r="R497" i="18" a="1"/>
  <c r="O292" i="18" a="1"/>
  <c r="O297" i="18" a="1"/>
  <c r="Q349" i="18" a="1"/>
  <c r="U418" i="18" a="1"/>
  <c r="O149" i="18" a="1"/>
  <c r="AA213" i="18" a="1"/>
  <c r="R114" i="18" a="1"/>
  <c r="X336" i="18" a="1"/>
  <c r="S399" i="18" a="1"/>
  <c r="V478" i="18" a="1"/>
  <c r="O254" i="18" a="1"/>
  <c r="N458" i="18" a="1"/>
  <c r="T56" i="18" a="1"/>
  <c r="R211" i="18" a="1"/>
  <c r="W231" i="18" a="1"/>
  <c r="R383" i="18" a="1"/>
  <c r="O306" i="18" a="1"/>
  <c r="AA51" i="18" a="1"/>
  <c r="U50" i="18" a="1"/>
  <c r="O454" i="18" a="1"/>
  <c r="S471" i="18" a="1"/>
  <c r="R313" i="18" a="1"/>
  <c r="X399" i="18" a="1"/>
  <c r="Q319" i="18" a="1"/>
  <c r="R221" i="18" a="1"/>
  <c r="N436" i="18" a="1"/>
  <c r="R294" i="18" a="1"/>
  <c r="U442" i="18" a="1"/>
  <c r="P211" i="18" a="1"/>
  <c r="P250" i="18" a="1"/>
  <c r="R110" i="18" a="1"/>
  <c r="U8" i="18" a="1"/>
  <c r="R468" i="18" a="1"/>
  <c r="AA298" i="18" a="1"/>
  <c r="T87" i="18" a="1"/>
  <c r="W195" i="18" a="1"/>
  <c r="V248" i="18" a="1"/>
  <c r="P492" i="18" a="1"/>
  <c r="R20" i="18" a="1"/>
  <c r="W44" i="18" a="1"/>
  <c r="AA293" i="18" a="1"/>
  <c r="R185" i="18" a="1"/>
  <c r="S342" i="18" a="1"/>
  <c r="U417" i="18" a="1"/>
  <c r="R500" i="18" a="1"/>
  <c r="O240" i="18" a="1"/>
  <c r="AA16" i="18" a="1"/>
  <c r="V97" i="18" a="1"/>
  <c r="P255" i="18" a="1"/>
  <c r="V377" i="18" a="1"/>
  <c r="P165" i="18" a="1"/>
  <c r="AA67" i="18" a="1"/>
  <c r="V312" i="18" a="1"/>
  <c r="R248" i="18" a="1"/>
  <c r="U332" i="18" a="1"/>
  <c r="N468" i="18" a="1"/>
  <c r="R423" i="18" a="1"/>
  <c r="Q506" i="18" a="1"/>
  <c r="AA135" i="18" a="1"/>
  <c r="O408" i="18" a="1"/>
  <c r="AA277" i="18" a="1"/>
  <c r="O430" i="18" a="1"/>
  <c r="V84" i="18" a="1"/>
  <c r="O163" i="18" a="1"/>
  <c r="S107" i="18" a="1"/>
  <c r="P501" i="18" a="1"/>
  <c r="P382" i="18" a="1"/>
  <c r="U229" i="18" a="1"/>
  <c r="R357" i="18" a="1"/>
  <c r="P266" i="18" a="1"/>
  <c r="V469" i="18" a="1"/>
  <c r="R133" i="18" a="1"/>
  <c r="V13" i="18" a="1"/>
  <c r="O194" i="18" a="1"/>
  <c r="N390" i="18" a="1"/>
  <c r="S221" i="18" a="1"/>
  <c r="V351" i="18" a="1"/>
  <c r="O202" i="18" a="1"/>
  <c r="AA301" i="18" a="1"/>
  <c r="S347" i="18" a="1"/>
  <c r="S417" i="18" a="1"/>
  <c r="N161" i="18" a="1"/>
  <c r="P308" i="18" a="1"/>
  <c r="R502" i="18" a="1"/>
  <c r="W416" i="18" a="1"/>
  <c r="T501" i="18" a="1"/>
  <c r="N501" i="18" a="1"/>
  <c r="W261" i="18" a="1"/>
  <c r="N172" i="18" a="1"/>
  <c r="X252" i="18" a="1"/>
  <c r="G6" i="12"/>
  <c r="AA397" i="18" a="1"/>
  <c r="R21" i="18" a="1"/>
  <c r="W60" i="18" a="1"/>
  <c r="U126" i="18" a="1"/>
  <c r="S182" i="18" a="1"/>
  <c r="T263" i="18" a="1"/>
  <c r="N297" i="18" a="1"/>
  <c r="W256" i="18" a="1"/>
  <c r="V506" i="18" a="1"/>
  <c r="S430" i="18" a="1"/>
  <c r="X31" i="18" a="1"/>
  <c r="W113" i="18" a="1"/>
  <c r="AA141" i="18" a="1"/>
  <c r="Q318" i="18" a="1"/>
  <c r="R169" i="18" a="1"/>
  <c r="X14" i="18" a="1"/>
  <c r="T154" i="18" a="1"/>
  <c r="X489" i="18" a="1"/>
  <c r="O260" i="18" a="1"/>
  <c r="P455" i="18" a="1"/>
  <c r="AA339" i="18" a="1"/>
  <c r="U163" i="18" a="1"/>
  <c r="N269" i="18" a="1"/>
  <c r="N80" i="18" a="1"/>
  <c r="U96" i="18" a="1"/>
  <c r="N495" i="18" a="1"/>
  <c r="U283" i="18" a="1"/>
  <c r="P433" i="18" a="1"/>
  <c r="V447" i="18" a="1"/>
  <c r="V76" i="18" a="1"/>
  <c r="W482" i="18" a="1"/>
  <c r="O244" i="18" a="1"/>
  <c r="Q311" i="18" a="1"/>
  <c r="S63" i="18" a="1"/>
  <c r="T479" i="18" a="1"/>
  <c r="X244" i="18" a="1"/>
  <c r="W263" i="18" a="1"/>
  <c r="Q300" i="18" a="1"/>
  <c r="S431" i="18" a="1"/>
  <c r="O346" i="18" a="1"/>
  <c r="Q162" i="18" a="1"/>
  <c r="Q143" i="18" a="1"/>
  <c r="R205" i="18" a="1"/>
  <c r="P214" i="18" a="1"/>
  <c r="N140" i="18" a="1"/>
  <c r="O116" i="18" a="1"/>
  <c r="P142" i="18" a="1"/>
  <c r="O196" i="18" a="1"/>
  <c r="U364" i="18" a="1"/>
  <c r="R197" i="18" a="1"/>
  <c r="R152" i="18" a="1"/>
  <c r="O350" i="18" a="1"/>
  <c r="W192" i="18" a="1"/>
  <c r="Q73" i="18" a="1"/>
  <c r="R91" i="18" a="1"/>
  <c r="P212" i="18" a="1"/>
  <c r="T441" i="18" a="1"/>
  <c r="W169" i="18" a="1"/>
  <c r="R473" i="18" a="1"/>
  <c r="R324" i="18" a="1"/>
  <c r="U376" i="18" a="1"/>
  <c r="AA36" i="18" a="1"/>
  <c r="AA453" i="18" a="1"/>
  <c r="P459" i="18" a="1"/>
  <c r="O268" i="18" a="1"/>
  <c r="Q137" i="18" a="1"/>
  <c r="N279" i="18" a="1"/>
  <c r="O168" i="18" a="1"/>
  <c r="V397" i="18" a="1"/>
  <c r="N266" i="18" a="1"/>
  <c r="R251" i="18" a="1"/>
  <c r="AA475" i="18" a="1"/>
  <c r="Q388" i="18" a="1"/>
  <c r="O199" i="18" a="1"/>
  <c r="P282" i="18" a="1"/>
  <c r="U282" i="18" a="1"/>
  <c r="U467" i="18" a="1"/>
  <c r="O481" i="18" a="1"/>
  <c r="O38" i="18" a="1"/>
  <c r="P475" i="18" a="1"/>
  <c r="V462" i="18" a="1"/>
  <c r="U60" i="18" a="1"/>
  <c r="Q483" i="18" a="1"/>
  <c r="S102" i="18" a="1"/>
  <c r="T473" i="18" a="1"/>
  <c r="T67" i="18" a="1"/>
  <c r="Q320" i="18" a="1"/>
  <c r="V138" i="18" a="1"/>
  <c r="X317" i="18" a="1"/>
  <c r="V279" i="18" a="1"/>
  <c r="X237" i="18" a="1"/>
  <c r="T322" i="18" a="1"/>
  <c r="R66" i="18" a="1"/>
  <c r="S179" i="18" a="1"/>
  <c r="S287" i="18" a="1"/>
  <c r="V466" i="18" a="1"/>
  <c r="N121" i="18" a="1"/>
  <c r="N20" i="18" a="1"/>
  <c r="T367" i="18" a="1"/>
  <c r="W208" i="18" a="1"/>
  <c r="U81" i="18" a="1"/>
  <c r="W472" i="18" a="1"/>
  <c r="V251" i="18" a="1"/>
  <c r="AA106" i="18" a="1"/>
  <c r="T148" i="18" a="1"/>
  <c r="S308" i="18" a="1"/>
  <c r="P143" i="18" a="1"/>
  <c r="Q195" i="18" a="1"/>
  <c r="T383" i="18" a="1"/>
  <c r="Q178" i="18" a="1"/>
  <c r="U171" i="18" a="1"/>
  <c r="AA463" i="18" a="1"/>
  <c r="T492" i="18" a="1"/>
  <c r="W243" i="18" a="1"/>
  <c r="P218" i="18" a="1"/>
  <c r="N479" i="18" a="1"/>
  <c r="N252" i="18" a="1"/>
  <c r="N456" i="18" a="1"/>
  <c r="T333" i="18" a="1"/>
  <c r="R421" i="18" a="1"/>
  <c r="W479" i="18" a="1"/>
  <c r="R94" i="18" a="1"/>
  <c r="N9" i="18" a="1"/>
  <c r="W159" i="18" a="1"/>
  <c r="S303" i="18" a="1"/>
  <c r="X121" i="18" a="1"/>
  <c r="N333" i="18" a="1"/>
  <c r="S118" i="18" a="1"/>
  <c r="Q60" i="18" a="1"/>
  <c r="X262" i="18" a="1"/>
  <c r="X12" i="18" a="1"/>
  <c r="X168" i="18" a="1"/>
  <c r="O310" i="18" a="1"/>
  <c r="O398" i="18" a="1"/>
  <c r="R18" i="18" a="1"/>
  <c r="P442" i="18" a="1"/>
  <c r="Q93" i="18" a="1"/>
  <c r="S252" i="18" a="1"/>
  <c r="X218" i="18" a="1"/>
  <c r="X164" i="18" a="1"/>
  <c r="T138" i="18" a="1"/>
  <c r="W398" i="18" a="1"/>
  <c r="T461" i="18" a="1"/>
  <c r="U188" i="18" a="1"/>
  <c r="T98" i="18" a="1"/>
  <c r="T257" i="18" a="1"/>
  <c r="S420" i="18" a="1"/>
  <c r="V106" i="18" a="1"/>
  <c r="S447" i="18" a="1"/>
  <c r="T452" i="18" a="1"/>
  <c r="N250" i="18" a="1"/>
  <c r="Q342" i="18" a="1"/>
  <c r="P163" i="18" a="1"/>
  <c r="V230" i="18" a="1"/>
  <c r="S190" i="18" a="1"/>
  <c r="P92" i="18" a="1"/>
  <c r="R25" i="18" a="1"/>
  <c r="P141" i="18" a="1"/>
  <c r="T465" i="18" a="1"/>
  <c r="S156" i="18" a="1"/>
  <c r="U406" i="18" a="1"/>
  <c r="T77" i="18" a="1"/>
  <c r="N497" i="18" a="1"/>
  <c r="N185" i="18" a="1"/>
  <c r="X396" i="18" a="1"/>
  <c r="N263" i="18" a="1"/>
  <c r="P415" i="18" a="1"/>
  <c r="N66" i="18" a="1"/>
  <c r="N105" i="18" a="1"/>
  <c r="AA41" i="18" a="1"/>
  <c r="W491" i="18" a="1"/>
  <c r="S12" i="18" a="1"/>
  <c r="O432" i="18" a="1"/>
  <c r="R145" i="18" a="1"/>
  <c r="O145" i="18" a="1"/>
  <c r="P385" i="18" a="1"/>
  <c r="P413" i="18" a="1"/>
  <c r="U26" i="18" a="1"/>
  <c r="P388" i="18" a="1"/>
  <c r="W212" i="18" a="1"/>
  <c r="V341" i="18" a="1"/>
  <c r="R267" i="18" a="1"/>
  <c r="R73" i="18" a="1"/>
  <c r="T314" i="18" a="1"/>
  <c r="W106" i="18" a="1"/>
  <c r="Q283" i="18" a="1"/>
  <c r="R265" i="18" a="1"/>
  <c r="T236" i="18" a="1"/>
  <c r="W151" i="18" a="1"/>
  <c r="X430" i="18" a="1"/>
  <c r="W26" i="18" a="1"/>
  <c r="AA222" i="18" a="1"/>
  <c r="AA7" i="18" a="1"/>
  <c r="N25" i="18" a="1"/>
  <c r="P65" i="18" a="1"/>
  <c r="N224" i="18" a="1"/>
  <c r="X441" i="18" a="1"/>
  <c r="X23" i="18" a="1"/>
  <c r="W469" i="18" a="1"/>
  <c r="P498" i="18" a="1"/>
  <c r="V442" i="18" a="1"/>
  <c r="P473" i="18" a="1"/>
  <c r="S26" i="18" a="1"/>
  <c r="Q244" i="18" a="1"/>
  <c r="X363" i="18" a="1"/>
  <c r="Q103" i="18" a="1"/>
  <c r="P411" i="18" a="1"/>
  <c r="X162" i="18" a="1"/>
  <c r="V472" i="18" a="1"/>
  <c r="N389" i="18" a="1"/>
  <c r="P371" i="18" a="1"/>
  <c r="O19" i="18" a="1"/>
  <c r="V432" i="18" a="1"/>
  <c r="T160" i="18" a="1"/>
  <c r="V501" i="18" a="1"/>
  <c r="P428" i="18" a="1"/>
  <c r="AA163" i="18" a="1"/>
  <c r="V249" i="18" a="1"/>
  <c r="W161" i="18" a="1"/>
  <c r="V124" i="18" a="1"/>
  <c r="N411" i="18" a="1"/>
  <c r="T54" i="18" a="1"/>
  <c r="N405" i="18" a="1"/>
  <c r="T480" i="18" a="1"/>
  <c r="V233" i="18" a="1"/>
  <c r="W241" i="18" a="1"/>
  <c r="AA151" i="18" a="1"/>
  <c r="T64" i="18" a="1"/>
  <c r="T217" i="18" a="1"/>
  <c r="X416" i="18" a="1"/>
  <c r="Q215" i="18" a="1"/>
  <c r="V496" i="18" a="1"/>
  <c r="P262" i="18" a="1"/>
  <c r="R64" i="18" a="1"/>
  <c r="T127" i="18" a="1"/>
  <c r="AA210" i="18" a="1"/>
  <c r="U485" i="18" a="1"/>
  <c r="V239" i="18" a="1"/>
  <c r="AA139" i="18" a="1"/>
  <c r="V390" i="18" a="1"/>
  <c r="S301" i="18" a="1"/>
  <c r="R95" i="18" a="1"/>
  <c r="AA350" i="18" a="1"/>
  <c r="X260" i="18" a="1"/>
  <c r="X92" i="18" a="1"/>
  <c r="W419" i="18" a="1"/>
  <c r="AA147" i="18" a="1"/>
  <c r="V386" i="18" a="1"/>
  <c r="O169" i="18" a="1"/>
  <c r="N217" i="18" a="1"/>
  <c r="T470" i="18" a="1"/>
  <c r="Q364" i="18" a="1"/>
  <c r="R195" i="18" a="1"/>
  <c r="V155" i="18" a="1"/>
  <c r="T344" i="18" a="1"/>
  <c r="V403" i="18" a="1"/>
  <c r="AA360" i="18" a="1"/>
  <c r="O299" i="18" a="1"/>
  <c r="W42" i="18" a="1"/>
  <c r="N115" i="18" a="1"/>
  <c r="O109" i="18" a="1"/>
  <c r="W471" i="18" a="1"/>
  <c r="X42" i="18" a="1"/>
  <c r="W182" i="18" a="1"/>
  <c r="V229" i="18" a="1"/>
  <c r="N322" i="18" a="1"/>
  <c r="AA313" i="18" a="1"/>
  <c r="S67" i="18" a="1"/>
  <c r="R220" i="18" a="1"/>
  <c r="AA291" i="18" a="1"/>
  <c r="U302" i="18" a="1"/>
  <c r="S234" i="18" a="1"/>
  <c r="R194" i="18" a="1"/>
  <c r="X498" i="18" a="1"/>
  <c r="U87" i="18" a="1"/>
  <c r="S11" i="18" a="1"/>
  <c r="O102" i="18" a="1"/>
  <c r="W129" i="18" a="1"/>
  <c r="N323" i="18" a="1"/>
  <c r="R501" i="18" a="1"/>
  <c r="U429" i="18" a="1"/>
  <c r="R96" i="18" a="1"/>
  <c r="P472" i="18" a="1"/>
  <c r="S154" i="18" a="1"/>
  <c r="W490" i="18" a="1"/>
  <c r="R490" i="18" a="1"/>
  <c r="Q164" i="18" a="1"/>
  <c r="W342" i="18" a="1"/>
  <c r="N398" i="18" a="1"/>
  <c r="N56" i="18" a="1"/>
  <c r="T146" i="18" a="1"/>
  <c r="X111" i="18" a="1"/>
  <c r="S208" i="18" a="1"/>
  <c r="S245" i="18" a="1"/>
  <c r="U170" i="18" a="1"/>
  <c r="V180" i="18" a="1"/>
  <c r="U431" i="18" a="1"/>
  <c r="Q189" i="18" a="1"/>
  <c r="Q169" i="18" a="1"/>
  <c r="O421" i="18" a="1"/>
  <c r="U260" i="18" a="1"/>
  <c r="S266" i="18" a="1"/>
  <c r="W298" i="18" a="1"/>
  <c r="AA426" i="18" a="1"/>
  <c r="U41" i="18" a="1"/>
  <c r="U28" i="18" a="1"/>
  <c r="AA287" i="18" a="1"/>
  <c r="V267" i="18" a="1"/>
  <c r="V32" i="18" a="1"/>
  <c r="X228" i="18" a="1"/>
  <c r="AA429" i="18" a="1"/>
  <c r="AA24" i="18" a="1"/>
  <c r="O205" i="18" a="1"/>
  <c r="N445" i="18" a="1"/>
  <c r="O388" i="18" a="1"/>
  <c r="O33" i="18" a="1"/>
  <c r="V420" i="18" a="1"/>
  <c r="V144" i="18" a="1"/>
  <c r="O483" i="18" a="1"/>
  <c r="X113" i="18" a="1"/>
  <c r="R317" i="18" a="1"/>
  <c r="X354" i="18" a="1"/>
  <c r="O351" i="18" a="1"/>
  <c r="W82" i="18" a="1"/>
  <c r="Q150" i="18" a="1"/>
  <c r="S146" i="18" a="1"/>
  <c r="O363" i="18" a="1"/>
  <c r="X485" i="18" a="1"/>
  <c r="N341" i="18" a="1"/>
  <c r="AA376" i="18" a="1"/>
  <c r="V294" i="18" a="1"/>
  <c r="S329" i="18" a="1"/>
  <c r="AA173" i="18" a="1"/>
  <c r="Q72" i="18" a="1"/>
  <c r="AA214" i="18" a="1"/>
  <c r="S485" i="18" a="1"/>
  <c r="R304" i="18" a="1"/>
  <c r="P427" i="18" a="1"/>
  <c r="U104" i="18" a="1"/>
  <c r="P150" i="18" a="1"/>
  <c r="O371" i="18" a="1"/>
  <c r="P267" i="18" a="1"/>
  <c r="P203" i="18" a="1"/>
  <c r="R335" i="18" a="1"/>
  <c r="V113" i="18" a="1"/>
  <c r="S215" i="18" a="1"/>
  <c r="U247" i="18" a="1"/>
  <c r="R199" i="18" a="1"/>
  <c r="R403" i="18" a="1"/>
  <c r="W353" i="18" a="1"/>
  <c r="T253" i="18" a="1"/>
  <c r="U173" i="18" a="1"/>
  <c r="T443" i="18" a="1"/>
  <c r="T78" i="18" a="1"/>
  <c r="P59" i="18" a="1"/>
  <c r="N403" i="18" a="1"/>
  <c r="S59" i="18" a="1"/>
  <c r="S433" i="18" a="1"/>
  <c r="R347" i="18" a="1"/>
  <c r="S382" i="18" a="1"/>
  <c r="N368" i="18" a="1"/>
  <c r="U103" i="18" a="1"/>
  <c r="W218" i="18" a="1"/>
  <c r="V324" i="18" a="1"/>
  <c r="V78" i="18" a="1"/>
  <c r="R431" i="18" a="1"/>
  <c r="O20" i="18" a="1"/>
  <c r="T169" i="18" a="1"/>
  <c r="N134" i="18" a="1"/>
  <c r="W393" i="18" a="1"/>
  <c r="W224" i="18" a="1"/>
  <c r="V68" i="18" a="1"/>
  <c r="Q203" i="18" a="1"/>
  <c r="W460" i="18" a="1"/>
  <c r="X116" i="18" a="1"/>
  <c r="O225" i="18" a="1"/>
  <c r="V115" i="18" a="1"/>
  <c r="O332" i="18" a="1"/>
  <c r="N83" i="18" a="1"/>
  <c r="U293" i="18" a="1"/>
  <c r="W332" i="18" a="1"/>
  <c r="S280" i="18" a="1"/>
  <c r="P126" i="18" a="1"/>
  <c r="S134" i="18" a="1"/>
  <c r="N470" i="18" a="1"/>
  <c r="X276" i="18" a="1"/>
  <c r="N397" i="18" a="1"/>
  <c r="Q204" i="18" a="1"/>
  <c r="R10" i="18" a="1"/>
  <c r="AA143" i="18" a="1"/>
  <c r="X501" i="18" a="1"/>
  <c r="N104" i="18" a="1"/>
  <c r="O14" i="18" a="1"/>
  <c r="P74" i="18" a="1"/>
  <c r="N350" i="18" a="1"/>
  <c r="U198" i="18" a="1"/>
  <c r="N186" i="18" a="1"/>
  <c r="W399" i="18" a="1"/>
  <c r="U244" i="18" a="1"/>
  <c r="S391" i="18" a="1"/>
  <c r="T66" i="18" a="1"/>
  <c r="V190" i="18" a="1"/>
  <c r="P217" i="18" a="1"/>
  <c r="P68" i="18" a="1"/>
  <c r="X66" i="18" a="1"/>
  <c r="AA454" i="18" a="1"/>
  <c r="O101" i="18" a="1"/>
  <c r="W287" i="18" a="1"/>
  <c r="Q42" i="18" a="1"/>
  <c r="Q502" i="18" a="1"/>
  <c r="W184" i="18" a="1"/>
  <c r="X481" i="18" a="1"/>
  <c r="Q328" i="18" a="1"/>
  <c r="O113" i="18" a="1"/>
  <c r="S473" i="18" a="1"/>
  <c r="Q13" i="18" a="1"/>
  <c r="N298" i="18" a="1"/>
  <c r="U10" i="18" a="1"/>
  <c r="S46" i="18" a="1"/>
  <c r="Q23" i="18" a="1"/>
  <c r="R51" i="18" a="1"/>
  <c r="O405" i="18" a="1"/>
  <c r="O485" i="18" a="1"/>
  <c r="P457" i="18" a="1"/>
  <c r="N420" i="18" a="1"/>
  <c r="O413" i="18" a="1"/>
  <c r="Q166" i="18" a="1"/>
  <c r="N275" i="18" a="1"/>
  <c r="V250" i="18" a="1"/>
  <c r="T234" i="18" a="1"/>
  <c r="V450" i="18" a="1"/>
  <c r="P425" i="18" a="1"/>
  <c r="T33" i="18" a="1"/>
  <c r="Q197" i="18" a="1"/>
  <c r="O447" i="18" a="1"/>
  <c r="V54" i="18" a="1"/>
  <c r="N208" i="18" a="1"/>
  <c r="V440" i="18" a="1"/>
  <c r="P247" i="18" a="1"/>
  <c r="X173" i="18" a="1"/>
  <c r="X157" i="18" a="1"/>
  <c r="V494" i="18" a="1"/>
  <c r="P151" i="18" a="1"/>
  <c r="W174" i="18" a="1"/>
  <c r="O13" i="18" a="1"/>
  <c r="O180" i="18" a="1"/>
  <c r="P349" i="18" a="1"/>
  <c r="S292" i="18" a="1"/>
  <c r="O31" i="18" a="1"/>
  <c r="U388" i="18" a="1"/>
  <c r="V291" i="18" a="1"/>
  <c r="S229" i="18" a="1"/>
  <c r="S445" i="18" a="1"/>
  <c r="U455" i="18" a="1"/>
  <c r="O448" i="18" a="1"/>
  <c r="P454" i="18" a="1"/>
  <c r="W160" i="18" a="1"/>
  <c r="Q96" i="18" a="1"/>
  <c r="Q83" i="18" a="1"/>
  <c r="R238" i="18" a="1"/>
  <c r="S484" i="18" a="1"/>
  <c r="Q87" i="18" a="1"/>
  <c r="S249" i="18" a="1"/>
  <c r="P67" i="18" a="1"/>
  <c r="P246" i="18" a="1"/>
  <c r="P399" i="18" a="1"/>
  <c r="U232" i="18" a="1"/>
  <c r="O236" i="18" a="1"/>
  <c r="AA288" i="18" a="1"/>
  <c r="Q34" i="18" a="1"/>
  <c r="V424" i="18" a="1"/>
  <c r="W99" i="18" a="1"/>
  <c r="T302" i="18" a="1"/>
  <c r="P46" i="18" a="1"/>
  <c r="V411" i="18" a="1"/>
  <c r="P124" i="18" a="1"/>
  <c r="N52" i="18" a="1"/>
  <c r="AA65" i="18" a="1"/>
  <c r="W238" i="18" a="1"/>
  <c r="W7" i="18" a="1"/>
  <c r="Q153" i="18" a="1"/>
  <c r="S50" i="18" a="1"/>
  <c r="Q170" i="18" a="1"/>
  <c r="R283" i="18" a="1"/>
  <c r="AA117" i="18" a="1"/>
  <c r="U486" i="18" a="1"/>
  <c r="O170" i="18" a="1"/>
  <c r="S313" i="18" a="1"/>
  <c r="U122" i="18" a="1"/>
  <c r="V274" i="18" a="1"/>
  <c r="P353" i="18" a="1"/>
  <c r="R255" i="18" a="1"/>
  <c r="V123" i="18" a="1"/>
  <c r="R290" i="18" a="1"/>
  <c r="S177" i="18" a="1"/>
  <c r="AA483" i="18" a="1"/>
  <c r="U377" i="18" a="1"/>
  <c r="T342" i="18" a="1"/>
  <c r="N399" i="18" a="1"/>
  <c r="AA95" i="18" a="1"/>
  <c r="N73" i="18" a="1"/>
  <c r="Q69" i="18" a="1"/>
  <c r="S422" i="18" a="1"/>
  <c r="S124" i="18" a="1"/>
  <c r="X50" i="18" a="1"/>
  <c r="P187" i="18" a="1"/>
  <c r="O99" i="18" a="1"/>
  <c r="R175" i="18" a="1"/>
  <c r="X499" i="18" a="1"/>
  <c r="W233" i="18" a="1"/>
  <c r="N167" i="18" a="1"/>
  <c r="O53" i="18" a="1"/>
  <c r="AA476" i="18" a="1"/>
  <c r="V398" i="18" a="1"/>
  <c r="W435" i="18" a="1"/>
  <c r="V405" i="18" a="1"/>
  <c r="AA265" i="18" a="1"/>
  <c r="R261" i="18" a="1"/>
  <c r="T88" i="18" a="1"/>
  <c r="Q347" i="18" a="1"/>
  <c r="AA221" i="18" a="1"/>
  <c r="S293" i="18" a="1"/>
  <c r="X493" i="18" a="1"/>
  <c r="S42" i="18" a="1"/>
  <c r="S304" i="18" a="1"/>
  <c r="S463" i="18" a="1"/>
  <c r="R311" i="18" a="1"/>
  <c r="T242" i="18" a="1"/>
  <c r="V175" i="18" a="1"/>
  <c r="Q326" i="18" a="1"/>
  <c r="U460" i="18" a="1"/>
  <c r="W215" i="18" a="1"/>
  <c r="Q451" i="18" a="1"/>
  <c r="W350" i="18" a="1"/>
  <c r="O32" i="18" a="1"/>
  <c r="O247" i="18" a="1"/>
  <c r="T323" i="18" a="1"/>
  <c r="S39" i="18" a="1"/>
  <c r="U241" i="18" a="1"/>
  <c r="X445" i="18" a="1"/>
  <c r="V358" i="18" a="1"/>
  <c r="S262" i="18" a="1"/>
  <c r="W273" i="18" a="1"/>
  <c r="N480" i="18" a="1"/>
  <c r="U454" i="18" a="1"/>
  <c r="V208" i="18" a="1"/>
  <c r="U317" i="18" a="1"/>
  <c r="AA413" i="18" a="1"/>
  <c r="W315" i="18" a="1"/>
  <c r="O397" i="18" a="1"/>
  <c r="N32" i="18" a="1"/>
  <c r="S86" i="18" a="1"/>
  <c r="P441" i="18" a="1"/>
  <c r="AA282" i="18" a="1"/>
  <c r="S434" i="18" a="1"/>
  <c r="R113" i="18" a="1"/>
  <c r="V104" i="18" a="1"/>
  <c r="Q374" i="18" a="1"/>
  <c r="AA197" i="18" a="1"/>
  <c r="X87" i="18" a="1"/>
  <c r="AA382" i="18" a="1"/>
  <c r="S295" i="18" a="1"/>
  <c r="AA131" i="18" a="1"/>
  <c r="N498" i="18" a="1"/>
  <c r="U105" i="18" a="1"/>
  <c r="O60" i="18" a="1"/>
  <c r="W193" i="18" a="1"/>
  <c r="N235" i="18" a="1"/>
  <c r="U191" i="18" a="1"/>
  <c r="O67" i="18" a="1"/>
  <c r="V66" i="18" a="1"/>
  <c r="V342" i="18" a="1"/>
  <c r="X15" i="18" a="1"/>
  <c r="S387" i="18" a="1"/>
  <c r="R203" i="18" a="1"/>
  <c r="R410" i="18" a="1"/>
  <c r="O77" i="18" a="1"/>
  <c r="W27" i="18" a="1"/>
  <c r="AA10" i="18" a="1"/>
  <c r="O265" i="18" a="1"/>
  <c r="O61" i="18" a="1"/>
  <c r="P358" i="18" a="1"/>
  <c r="S162" i="18" a="1"/>
  <c r="S398" i="18" a="1"/>
  <c r="X320" i="18" a="1"/>
  <c r="P213" i="18" a="1"/>
  <c r="U222" i="18" a="1"/>
  <c r="Q100" i="18" a="1"/>
  <c r="Q193" i="18" a="1"/>
  <c r="Q230" i="18" a="1"/>
  <c r="AA505" i="18" a="1"/>
  <c r="Q286" i="18" a="1"/>
  <c r="R93" i="18" a="1"/>
  <c r="V17" i="18" a="1"/>
  <c r="V152" i="18" a="1"/>
  <c r="AA203" i="18" a="1"/>
  <c r="Q152" i="18" a="1"/>
  <c r="U443" i="18" a="1"/>
  <c r="P474" i="18" a="1"/>
  <c r="T413" i="18" a="1"/>
  <c r="Q29" i="18" a="1"/>
  <c r="X505" i="18" a="1"/>
  <c r="R484" i="18" a="1"/>
  <c r="T359" i="18" a="1"/>
  <c r="T335" i="18" a="1"/>
  <c r="P410" i="18" a="1"/>
  <c r="N212" i="18" a="1"/>
  <c r="S109" i="18" a="1"/>
  <c r="AA194" i="18" a="1"/>
  <c r="W58" i="18" a="1"/>
  <c r="U394" i="18" a="1"/>
  <c r="AA96" i="18" a="1"/>
  <c r="S219" i="18" a="1"/>
  <c r="S55" i="18" a="1"/>
  <c r="P40" i="18" a="1"/>
  <c r="O8" i="18" a="1"/>
  <c r="V77" i="18" a="1"/>
  <c r="P438" i="18" a="1"/>
  <c r="U12" i="18" a="1"/>
  <c r="W280" i="18" a="1"/>
  <c r="P275" i="18" a="1"/>
  <c r="AA189" i="18" a="1"/>
  <c r="N92" i="18" a="1"/>
  <c r="O374" i="18" a="1"/>
  <c r="R125" i="18" a="1"/>
  <c r="O181" i="18" a="1"/>
  <c r="S166" i="18" a="1"/>
  <c r="S216" i="18" a="1"/>
  <c r="AA499" i="18" a="1"/>
  <c r="Q259" i="18" a="1"/>
  <c r="R330" i="18" a="1"/>
  <c r="N169" i="18" a="1"/>
  <c r="X248" i="18" a="1"/>
  <c r="W132" i="18" a="1"/>
  <c r="X177" i="18" a="1"/>
  <c r="P169" i="18" a="1"/>
  <c r="U246" i="18" a="1"/>
  <c r="R356" i="18" a="1"/>
  <c r="O486" i="18" a="1"/>
  <c r="W180" i="18" a="1"/>
  <c r="P16" i="18" a="1"/>
  <c r="T65" i="18" a="1"/>
  <c r="X278" i="18" a="1"/>
  <c r="AA417" i="18" a="1"/>
  <c r="N111" i="18" a="1"/>
  <c r="R300" i="18" a="1"/>
  <c r="O136" i="18" a="1"/>
  <c r="O152" i="18" a="1"/>
  <c r="O256" i="18" a="1"/>
  <c r="W166" i="18" a="1"/>
  <c r="W49" i="18" a="1"/>
  <c r="S424" i="18" a="1"/>
  <c r="W314" i="18" a="1"/>
  <c r="X440" i="18" a="1"/>
  <c r="U463" i="18" a="1"/>
  <c r="S366" i="18" a="1"/>
  <c r="O464" i="18" a="1"/>
  <c r="Q165" i="18" a="1"/>
  <c r="S198" i="18" a="1"/>
  <c r="AA452" i="18" a="1"/>
  <c r="V114" i="18" a="1"/>
  <c r="W492" i="18" a="1"/>
  <c r="P408" i="18" a="1"/>
  <c r="AA170" i="18" a="1"/>
  <c r="R399" i="18" a="1"/>
  <c r="T209" i="18" a="1"/>
  <c r="U400" i="18" a="1"/>
  <c r="S345" i="18" a="1"/>
  <c r="T388" i="18" a="1"/>
  <c r="S415" i="18" a="1"/>
  <c r="Q53" i="18" a="1"/>
  <c r="W358" i="18" a="1"/>
  <c r="O49" i="18" a="1"/>
  <c r="X239" i="18" a="1"/>
  <c r="X472" i="18" a="1"/>
  <c r="V393" i="18" a="1"/>
  <c r="R11" i="18" a="1"/>
  <c r="S164" i="18" a="1"/>
  <c r="S119" i="18" a="1"/>
  <c r="U37" i="18" a="1"/>
  <c r="P373" i="18" a="1"/>
  <c r="O313" i="18" a="1"/>
  <c r="V91" i="18" a="1"/>
  <c r="W211" i="18" a="1"/>
  <c r="N30" i="18" a="1"/>
  <c r="V55" i="18" a="1"/>
  <c r="U199" i="18" a="1"/>
  <c r="AA419" i="18" a="1"/>
  <c r="X408" i="18" a="1"/>
  <c r="W378" i="18" a="1"/>
  <c r="S393" i="18" a="1"/>
  <c r="T157" i="18" a="1"/>
  <c r="W440" i="18" a="1"/>
  <c r="V241" i="18" a="1"/>
  <c r="P450" i="18" a="1"/>
  <c r="R395" i="18" a="1"/>
  <c r="P305" i="18" a="1"/>
  <c r="U20" i="18" a="1"/>
  <c r="O192" i="18" a="1"/>
  <c r="P264" i="18" a="1"/>
  <c r="S126" i="18" a="1"/>
  <c r="N70" i="18" a="1"/>
  <c r="N133" i="18" a="1"/>
  <c r="T28" i="18" a="1"/>
  <c r="U215" i="18" a="1"/>
  <c r="Q290" i="18" a="1"/>
  <c r="P244" i="18" a="1"/>
  <c r="Q458" i="18" a="1"/>
  <c r="T456" i="18" a="1"/>
  <c r="AA348" i="18" a="1"/>
  <c r="U36" i="18" a="1"/>
  <c r="T437" i="18" a="1"/>
  <c r="S498" i="18" a="1"/>
  <c r="O74" i="18" a="1"/>
  <c r="T19" i="18" a="1"/>
  <c r="V453" i="18" a="1"/>
  <c r="Q28" i="18" a="1"/>
  <c r="S451" i="18" a="1"/>
  <c r="O439" i="18" a="1"/>
  <c r="O496" i="18" a="1"/>
  <c r="V234" i="18" a="1"/>
  <c r="Q391" i="18" a="1"/>
  <c r="O129" i="18" a="1"/>
  <c r="Q329" i="18" a="1"/>
  <c r="W388" i="18" a="1"/>
  <c r="R258" i="18" a="1"/>
  <c r="T426" i="18" a="1"/>
  <c r="W270" i="18" a="1"/>
  <c r="Q20" i="18" a="1"/>
  <c r="X390" i="18" a="1"/>
  <c r="N259" i="18" a="1"/>
  <c r="Q385" i="18" a="1"/>
  <c r="V255" i="18" a="1"/>
  <c r="P287" i="18" a="1"/>
  <c r="R167" i="18" a="1"/>
  <c r="U119" i="18" a="1"/>
  <c r="X144" i="18" a="1"/>
  <c r="R409" i="18" a="1"/>
  <c r="X29" i="18" a="1"/>
  <c r="S40" i="18" a="1"/>
  <c r="V156" i="18" a="1"/>
  <c r="Q79" i="18" a="1"/>
  <c r="X477" i="18" a="1"/>
  <c r="S467" i="18" a="1"/>
  <c r="W147" i="18" a="1"/>
  <c r="AA445" i="18" a="1"/>
  <c r="N369" i="18" a="1"/>
  <c r="R340" i="18" a="1"/>
  <c r="AA398" i="18" a="1"/>
  <c r="R250" i="18" a="1"/>
  <c r="AA388" i="18" a="1"/>
  <c r="X107" i="18" a="1"/>
  <c r="T141" i="18" a="1"/>
  <c r="AA324" i="18" a="1"/>
  <c r="P499" i="18" a="1"/>
  <c r="T474" i="18" a="1"/>
  <c r="U449" i="18" a="1"/>
  <c r="S14" i="18" a="1"/>
  <c r="N38" i="18" a="1"/>
  <c r="X22" i="18" a="1"/>
  <c r="S169" i="18" a="1"/>
  <c r="V338" i="18" a="1"/>
  <c r="X426" i="18" a="1"/>
  <c r="S66" i="18" a="1"/>
  <c r="Q273" i="18" a="1"/>
  <c r="AA39" i="18" a="1"/>
  <c r="AA124" i="18" a="1"/>
  <c r="W485" i="18" a="1"/>
  <c r="T206" i="18" a="1"/>
  <c r="N61" i="18" a="1"/>
  <c r="AA31" i="18" a="1"/>
  <c r="S225" i="18" a="1"/>
  <c r="R475" i="18" a="1"/>
  <c r="T458" i="18" a="1"/>
  <c r="T16" i="18" a="1"/>
  <c r="U202" i="18" a="1"/>
  <c r="N51" i="18" a="1"/>
  <c r="X130" i="18" a="1"/>
  <c r="V301" i="18" a="1"/>
  <c r="N313" i="18" a="1"/>
  <c r="V73" i="18" a="1"/>
  <c r="R37" i="18" a="1"/>
  <c r="W421" i="18" a="1"/>
  <c r="V503" i="18" a="1"/>
  <c r="Q128" i="18" a="1"/>
  <c r="O423" i="18" a="1"/>
  <c r="X506" i="18" a="1"/>
  <c r="R417" i="18" a="1"/>
  <c r="W418" i="18" a="1"/>
  <c r="S145" i="18" a="1"/>
  <c r="T500" i="18" a="1"/>
  <c r="W321" i="18" a="1"/>
  <c r="P389" i="18" a="1"/>
  <c r="AA216" i="18" a="1"/>
  <c r="R116" i="18" a="1"/>
  <c r="P232" i="18" a="1"/>
  <c r="R398" i="18" a="1"/>
  <c r="V101" i="18" a="1"/>
  <c r="V457" i="18" a="1"/>
  <c r="W226" i="18" a="1"/>
  <c r="P356" i="18" a="1"/>
  <c r="Q308" i="18" a="1"/>
  <c r="W372" i="18" a="1"/>
  <c r="X330" i="18" a="1"/>
  <c r="AA111" i="18" a="1"/>
  <c r="U505" i="18" a="1"/>
  <c r="O142" i="18" a="1"/>
  <c r="T471" i="18" a="1"/>
  <c r="V254" i="18" a="1"/>
  <c r="V504" i="18" a="1"/>
  <c r="X7" i="18" a="1"/>
  <c r="W83" i="18" a="1"/>
  <c r="T36" i="18" a="1"/>
  <c r="S494" i="18" a="1"/>
  <c r="R487" i="18" a="1"/>
  <c r="U120" i="18" a="1"/>
  <c r="R46" i="18" a="1"/>
  <c r="W25" i="18" a="1"/>
  <c r="O28" i="18" a="1"/>
  <c r="T135" i="18" a="1"/>
  <c r="R161" i="18" a="1"/>
  <c r="O406" i="18" a="1"/>
  <c r="R44" i="18" a="1"/>
  <c r="X222" i="18" a="1"/>
  <c r="N454" i="18" a="1"/>
  <c r="Q211" i="18" a="1"/>
  <c r="W425" i="18" a="1"/>
  <c r="R295" i="18" a="1"/>
  <c r="Q258" i="18" a="1"/>
  <c r="O55" i="18" a="1"/>
  <c r="P495" i="18" a="1"/>
  <c r="S479" i="18" a="1"/>
  <c r="X181" i="18" a="1"/>
  <c r="P300" i="18" a="1"/>
  <c r="W359" i="18" a="1"/>
  <c r="P252" i="18" a="1"/>
  <c r="O457" i="18" a="1"/>
  <c r="S412" i="18" a="1"/>
  <c r="V275" i="18" a="1"/>
  <c r="N8" i="18" a="1"/>
  <c r="T454" i="18" a="1"/>
  <c r="X205" i="18" a="1"/>
  <c r="W406" i="18" a="1"/>
  <c r="O162" i="18" a="1"/>
  <c r="AA236" i="18" a="1"/>
  <c r="Q86" i="18" a="1"/>
  <c r="AA40" i="18" a="1"/>
  <c r="T279" i="18" a="1"/>
  <c r="AA497" i="18" a="1"/>
  <c r="X215" i="18" a="1"/>
  <c r="X143" i="18" a="1"/>
  <c r="R496" i="18" a="1"/>
  <c r="W269" i="18" a="1"/>
  <c r="W300" i="18" a="1"/>
  <c r="P354" i="18" a="1"/>
  <c r="Q196" i="18" a="1"/>
  <c r="N239" i="18" a="1"/>
  <c r="X359" i="18" a="1"/>
  <c r="R86" i="18" a="1"/>
  <c r="P245" i="18" a="1"/>
  <c r="Q498" i="18" a="1"/>
  <c r="O390" i="18" a="1"/>
  <c r="W168" i="18" a="1"/>
  <c r="U414" i="18" a="1"/>
  <c r="R494" i="18" a="1"/>
  <c r="T427" i="18" a="1"/>
  <c r="V336" i="18" a="1"/>
  <c r="P162" i="18" a="1"/>
  <c r="AA87" i="18" a="1"/>
  <c r="U482" i="18" a="1"/>
  <c r="AA176" i="18" a="1"/>
  <c r="W422" i="18" a="1"/>
  <c r="S33" i="18" a="1"/>
  <c r="R315" i="18" a="1"/>
  <c r="Q117" i="18" a="1"/>
  <c r="W444" i="18" a="1"/>
  <c r="N138" i="18" a="1"/>
  <c r="Q454" i="18" a="1"/>
  <c r="V31" i="18" a="1"/>
  <c r="O148" i="18" a="1"/>
  <c r="W389" i="18" a="1"/>
  <c r="S324" i="18" a="1"/>
  <c r="T485" i="18" a="1"/>
  <c r="X112" i="18" a="1"/>
  <c r="S142" i="18" a="1"/>
  <c r="X138" i="18" a="1"/>
  <c r="AA491" i="18" a="1"/>
  <c r="T486" i="18" a="1"/>
  <c r="V148" i="18" a="1"/>
  <c r="O201" i="18" a="1"/>
  <c r="V188" i="18" a="1"/>
  <c r="T373" i="18" a="1"/>
  <c r="O237" i="18" a="1"/>
  <c r="P50" i="18" a="1"/>
  <c r="T71" i="18" a="1"/>
  <c r="X176" i="18" a="1"/>
  <c r="N351" i="18" a="1"/>
  <c r="U68" i="18" a="1"/>
  <c r="Q61" i="18" a="1"/>
  <c r="R196" i="18" a="1"/>
  <c r="R189" i="18" a="1"/>
  <c r="S469" i="18" a="1"/>
  <c r="S157" i="18" a="1"/>
  <c r="X454" i="18" a="1"/>
  <c r="V410" i="18" a="1"/>
  <c r="X189" i="18" a="1"/>
  <c r="X56" i="18" a="1"/>
  <c r="V343" i="18" a="1"/>
  <c r="U245" i="18" a="1"/>
  <c r="AA12" i="18" a="1"/>
  <c r="AA495" i="18" a="1"/>
  <c r="U153" i="18" a="1"/>
  <c r="O110" i="18" a="1"/>
  <c r="W290" i="18" a="1"/>
  <c r="N469" i="18" a="1"/>
  <c r="R375" i="18" a="1"/>
  <c r="U330" i="18" a="1"/>
  <c r="O213" i="18" a="1"/>
  <c r="P412" i="18" a="1"/>
  <c r="W199" i="18" a="1"/>
  <c r="AA356" i="18" a="1"/>
  <c r="X253" i="18" a="1"/>
  <c r="Q124" i="18" a="1"/>
  <c r="T301" i="18" a="1"/>
  <c r="U359" i="18" a="1"/>
  <c r="N467" i="18" a="1"/>
  <c r="AA245" i="18" a="1"/>
  <c r="O195" i="18" a="1"/>
  <c r="P449" i="18" a="1"/>
  <c r="V415" i="18" a="1"/>
  <c r="S123" i="18" a="1"/>
  <c r="V48" i="18" a="1"/>
  <c r="N113" i="18" a="1"/>
  <c r="U257" i="18" a="1"/>
  <c r="Q245" i="18" a="1"/>
  <c r="P350" i="18" a="1"/>
  <c r="S183" i="18" a="1"/>
  <c r="X255" i="18" a="1"/>
  <c r="W294" i="18" a="1"/>
  <c r="N502" i="18" a="1"/>
  <c r="AA436" i="18" a="1"/>
  <c r="S317" i="18" a="1"/>
  <c r="O382" i="18" a="1"/>
  <c r="P272" i="18" a="1"/>
  <c r="S332" i="18" a="1"/>
  <c r="S211" i="18" a="1"/>
  <c r="N35" i="18" a="1"/>
  <c r="V218" i="18" a="1"/>
  <c r="O418" i="18" a="1"/>
  <c r="S210" i="18" a="1"/>
  <c r="Q402" i="18" a="1"/>
  <c r="R123" i="18" a="1"/>
  <c r="R415" i="18" a="1"/>
  <c r="X38" i="18" a="1"/>
  <c r="O409" i="18" a="1"/>
  <c r="P197" i="18" a="1"/>
  <c r="O104" i="18" a="1"/>
  <c r="R425" i="18" a="1"/>
  <c r="X159" i="18" a="1"/>
  <c r="T273" i="18" a="1"/>
  <c r="T129" i="18" a="1"/>
  <c r="P156" i="18" a="1"/>
  <c r="N352" i="18" a="1"/>
  <c r="T445" i="18" a="1"/>
  <c r="S351" i="18" a="1"/>
  <c r="T105" i="18" a="1"/>
  <c r="P420" i="18" a="1"/>
  <c r="AA74" i="18" a="1"/>
  <c r="V372" i="18" a="1"/>
  <c r="X473" i="18" a="1"/>
  <c r="T177" i="18" a="1"/>
  <c r="R158" i="18" a="1"/>
  <c r="T230" i="18" a="1"/>
  <c r="W324" i="18" a="1"/>
  <c r="N41" i="18" a="1"/>
  <c r="T114" i="18" a="1"/>
  <c r="AA379" i="18" a="1"/>
  <c r="V246" i="18" a="1"/>
  <c r="U74" i="18" a="1"/>
  <c r="AA79" i="18" a="1"/>
  <c r="AA174" i="18" a="1"/>
  <c r="U319" i="18" a="1"/>
  <c r="P164" i="18" a="1"/>
  <c r="V402" i="18" a="1"/>
  <c r="S184" i="18" a="1"/>
  <c r="S206" i="18" a="1"/>
  <c r="O171" i="18" a="1"/>
  <c r="AA33" i="18" a="1"/>
  <c r="T339" i="18" a="1"/>
  <c r="Q160" i="18" a="1"/>
  <c r="W32" i="18" a="1"/>
  <c r="T360" i="18" a="1"/>
  <c r="N348" i="18" a="1"/>
  <c r="W14" i="18" a="1"/>
  <c r="W237" i="18" a="1"/>
  <c r="S268" i="18" a="1"/>
  <c r="Q54" i="18" a="1"/>
  <c r="S129" i="18" a="1"/>
  <c r="N435" i="18" a="1"/>
  <c r="R48" i="18" a="1"/>
  <c r="U328" i="18" a="1"/>
  <c r="O85" i="18" a="1"/>
  <c r="O161" i="18" a="1"/>
  <c r="V348" i="18" a="1"/>
  <c r="S488" i="18" a="1"/>
  <c r="S89" i="18" a="1"/>
  <c r="O343" i="18" a="1"/>
  <c r="P209" i="18" a="1"/>
  <c r="N262" i="18" a="1"/>
  <c r="T363" i="18" a="1"/>
  <c r="U109" i="18" a="1"/>
  <c r="AA126" i="18" a="1"/>
  <c r="AA371" i="18" a="1"/>
  <c r="O123" i="18" a="1"/>
  <c r="T249" i="18" a="1"/>
  <c r="S171" i="18" a="1"/>
  <c r="R58" i="18" a="1"/>
  <c r="V105" i="18" a="1"/>
  <c r="P227" i="18" a="1"/>
  <c r="R213" i="18" a="1"/>
  <c r="X78" i="18" a="1"/>
  <c r="R71" i="18" a="1"/>
  <c r="T216" i="18" a="1"/>
  <c r="X225" i="18" a="1"/>
  <c r="S493" i="18" a="1"/>
  <c r="T90" i="18" a="1"/>
  <c r="N117" i="18" a="1"/>
  <c r="P39" i="18" a="1"/>
  <c r="AA450" i="18" a="1"/>
  <c r="S19" i="18" a="1"/>
  <c r="P467" i="18" a="1"/>
  <c r="R429" i="18" a="1"/>
  <c r="W369" i="18" a="1"/>
  <c r="V490" i="18" a="1"/>
  <c r="U342" i="18" a="1"/>
  <c r="U141" i="18" a="1"/>
  <c r="N98" i="18" a="1"/>
  <c r="AA292" i="18" a="1"/>
  <c r="W367" i="18" a="1"/>
  <c r="S482" i="18" a="1"/>
  <c r="Q58" i="18" a="1"/>
  <c r="T451" i="18" a="1"/>
  <c r="S9" i="18" a="1"/>
  <c r="R126" i="18" a="1"/>
  <c r="R420" i="18" a="1"/>
  <c r="V164" i="18" a="1"/>
  <c r="R131" i="18" a="1"/>
  <c r="V262" i="18" a="1"/>
  <c r="X413" i="18" a="1"/>
  <c r="W285" i="18" a="1"/>
  <c r="O217" i="18" a="1"/>
  <c r="AA338" i="18" a="1"/>
  <c r="AA274" i="18" a="1"/>
  <c r="X60" i="18" a="1"/>
  <c r="Q323" i="18" a="1"/>
  <c r="R411" i="18" a="1"/>
  <c r="S457" i="18" a="1"/>
  <c r="P196" i="18" a="1"/>
  <c r="P113" i="18" a="1"/>
  <c r="N79" i="18" a="1"/>
  <c r="X48" i="18" a="1"/>
  <c r="AA366" i="18" a="1"/>
  <c r="R165" i="18" a="1"/>
  <c r="O445" i="18" a="1"/>
  <c r="T354" i="18" a="1"/>
  <c r="S131" i="18" a="1"/>
  <c r="U200" i="18" a="1"/>
  <c r="Q217" i="18" a="1"/>
  <c r="Q262" i="18" a="1"/>
  <c r="V23" i="18" a="1"/>
  <c r="N361" i="18" a="1"/>
  <c r="N180" i="18" a="1"/>
  <c r="P447" i="18" a="1"/>
  <c r="S104" i="18" a="1"/>
  <c r="N65" i="18" a="1"/>
  <c r="N91" i="18" a="1"/>
  <c r="N471" i="18" a="1"/>
  <c r="T57" i="18" a="1"/>
  <c r="N292" i="18" a="1"/>
  <c r="T189" i="18" a="1"/>
  <c r="AA62" i="18" a="1"/>
  <c r="X132" i="18" a="1"/>
  <c r="R122" i="18" a="1"/>
  <c r="W291" i="18" a="1"/>
  <c r="N96" i="18" a="1"/>
  <c r="X386" i="18" a="1"/>
  <c r="O57" i="18" a="1"/>
  <c r="R413" i="18" a="1"/>
  <c r="Q27" i="18" a="1"/>
  <c r="U382" i="18" a="1"/>
  <c r="Q461" i="18" a="1"/>
  <c r="X397" i="18" a="1"/>
  <c r="Q443" i="18" a="1"/>
  <c r="U291" i="18" a="1"/>
  <c r="U252" i="18" a="1"/>
  <c r="P110" i="18" a="1"/>
  <c r="T43" i="18" a="1"/>
  <c r="U73" i="18" a="1"/>
  <c r="W145" i="18" a="1"/>
  <c r="N84" i="18" a="1"/>
  <c r="U75" i="18" a="1"/>
  <c r="O490" i="18" a="1"/>
  <c r="Q181" i="18" a="1"/>
  <c r="T334" i="18" a="1"/>
  <c r="V206" i="18" a="1"/>
  <c r="Q200" i="18" a="1"/>
  <c r="W157" i="18" a="1"/>
  <c r="U166" i="18" a="1"/>
  <c r="R42" i="18" a="1"/>
  <c r="P434" i="18" a="1"/>
  <c r="U374" i="18" a="1"/>
  <c r="AA504" i="18" a="1"/>
  <c r="O400" i="18" a="1"/>
  <c r="U331" i="18" a="1"/>
  <c r="T15" i="18" a="1"/>
  <c r="AA296" i="18" a="1"/>
  <c r="Q223" i="18" a="1"/>
  <c r="R450" i="18" a="1"/>
  <c r="U44" i="18" a="1"/>
  <c r="O235" i="18" a="1"/>
  <c r="AA309" i="18" a="1"/>
  <c r="U45" i="18" a="1"/>
  <c r="O383" i="18" a="1"/>
  <c r="V147" i="18" a="1"/>
  <c r="R355" i="18" a="1"/>
  <c r="V12" i="18" a="1"/>
  <c r="R38" i="18" a="1"/>
  <c r="U365" i="18" a="1"/>
  <c r="V316" i="18" a="1"/>
  <c r="X463" i="18" a="1"/>
  <c r="N136" i="18" a="1"/>
  <c r="V197" i="18" a="1"/>
  <c r="P440" i="18" a="1"/>
  <c r="T348" i="18" a="1"/>
  <c r="U157" i="18" a="1"/>
  <c r="W309" i="18" a="1"/>
  <c r="V37" i="18" a="1"/>
  <c r="AA447" i="18" a="1"/>
  <c r="U456" i="18" a="1"/>
  <c r="X407" i="18" a="1"/>
  <c r="R170" i="18" a="1"/>
  <c r="AA152" i="18" a="1"/>
  <c r="W281" i="18" a="1"/>
  <c r="S41" i="18" a="1"/>
  <c r="X419" i="18" a="1"/>
  <c r="U280" i="18" a="1"/>
  <c r="W124" i="18" a="1"/>
  <c r="X300" i="18" a="1"/>
  <c r="R400" i="18" a="1"/>
  <c r="Q145" i="18" a="1"/>
  <c r="V287" i="18" a="1"/>
  <c r="T188" i="18" a="1"/>
  <c r="W341" i="18" a="1"/>
  <c r="T250" i="18" a="1"/>
  <c r="AA11" i="18" a="1"/>
  <c r="W357" i="18" a="1"/>
  <c r="U430" i="18" a="1"/>
  <c r="Q216" i="18" a="1"/>
  <c r="S253" i="18" a="1"/>
  <c r="P30" i="18" a="1"/>
  <c r="AA149" i="18" a="1"/>
  <c r="Q7" i="18" a="1"/>
  <c r="X156" i="18" a="1"/>
  <c r="S111" i="18" a="1"/>
  <c r="V473" i="18" a="1"/>
  <c r="R176" i="18" a="1"/>
  <c r="P205" i="18" a="1"/>
  <c r="O125" i="18" a="1"/>
  <c r="N97" i="18" a="1"/>
  <c r="O107" i="18" a="1"/>
  <c r="X256" i="18" a="1"/>
  <c r="P355" i="18" a="1"/>
  <c r="X233" i="18" a="1"/>
  <c r="T338" i="18" a="1"/>
  <c r="V481" i="18" a="1"/>
  <c r="AA184" i="18" a="1"/>
  <c r="U70" i="18" a="1"/>
  <c r="U493" i="18" a="1"/>
  <c r="T41" i="18" a="1"/>
  <c r="N63" i="18" a="1"/>
  <c r="AA254" i="18" a="1"/>
  <c r="T252" i="18" a="1"/>
  <c r="S448" i="18" a="1"/>
  <c r="R374" i="18" a="1"/>
  <c r="Q65" i="18" a="1"/>
  <c r="V131" i="18" a="1"/>
  <c r="AA90" i="18" a="1"/>
  <c r="R80" i="18" a="1"/>
  <c r="T366" i="18" a="1"/>
  <c r="W384" i="18" a="1"/>
  <c r="Q499" i="18" a="1"/>
  <c r="Q142" i="18" a="1"/>
  <c r="O143" i="18" a="1"/>
  <c r="T108" i="18" a="1"/>
  <c r="O444" i="18" a="1"/>
  <c r="V362" i="18" a="1"/>
  <c r="N223" i="18" a="1"/>
  <c r="R424" i="18" a="1"/>
  <c r="Q116" i="18" a="1"/>
  <c r="S165" i="18" a="1"/>
  <c r="T356" i="18" a="1"/>
  <c r="Q437" i="18" a="1"/>
  <c r="X94" i="18" a="1"/>
  <c r="T309" i="18" a="1"/>
  <c r="V11" i="18" a="1"/>
  <c r="AA370" i="18" a="1"/>
  <c r="T430" i="18" a="1"/>
  <c r="AA250" i="18" a="1"/>
  <c r="S361" i="18" a="1"/>
  <c r="X478" i="18" a="1"/>
  <c r="N192" i="18" a="1"/>
  <c r="T69" i="18" a="1"/>
  <c r="Q240" i="18" a="1"/>
  <c r="X57" i="18" a="1"/>
  <c r="S224" i="18" a="1"/>
  <c r="V140" i="18" a="1"/>
  <c r="Q500" i="18" a="1"/>
  <c r="O385" i="18" a="1"/>
  <c r="P259" i="18" a="1"/>
  <c r="X312" i="18" a="1"/>
  <c r="V236" i="18" a="1"/>
  <c r="U77" i="18" a="1"/>
  <c r="N179" i="18" a="1"/>
  <c r="AA359" i="18" a="1"/>
  <c r="T387" i="18" a="1"/>
  <c r="U254" i="18" a="1"/>
  <c r="P458" i="18" a="1"/>
  <c r="R33" i="18" a="1"/>
  <c r="N210" i="18" a="1"/>
  <c r="T221" i="18" a="1"/>
  <c r="W379" i="18" a="1"/>
  <c r="T284" i="18" a="1"/>
  <c r="W434" i="18" a="1"/>
  <c r="V34" i="18" a="1"/>
  <c r="W374" i="18" a="1"/>
  <c r="X33" i="18" a="1"/>
  <c r="V438" i="18" a="1"/>
  <c r="V150" i="18" a="1"/>
  <c r="O290" i="18" a="1"/>
  <c r="N419" i="18" a="1"/>
  <c r="X193" i="18" a="1"/>
  <c r="S207" i="18" a="1"/>
  <c r="S116" i="18" a="1"/>
  <c r="T506" i="18" a="1"/>
  <c r="U121" i="18" a="1"/>
  <c r="R427" i="18" a="1"/>
  <c r="W255" i="18" a="1"/>
  <c r="X296" i="18" a="1"/>
  <c r="T94" i="18" a="1"/>
  <c r="P201" i="18" a="1"/>
  <c r="O11" i="18" a="1"/>
  <c r="S57" i="18" a="1"/>
  <c r="O120" i="18" a="1"/>
  <c r="T365" i="18" a="1"/>
  <c r="W94" i="18" a="1"/>
  <c r="AA198" i="18" a="1"/>
  <c r="T223" i="18" a="1"/>
  <c r="O471" i="18" a="1"/>
  <c r="U288" i="18" a="1"/>
  <c r="Q70" i="18" a="1"/>
  <c r="R479" i="18" a="1"/>
  <c r="R30" i="18" a="1"/>
  <c r="W46" i="18" a="1"/>
  <c r="Q327" i="18" a="1"/>
  <c r="W125" i="18" a="1"/>
  <c r="AA201" i="18" a="1"/>
  <c r="O316" i="18" a="1"/>
  <c r="O176" i="18" a="1"/>
  <c r="R436" i="18" a="1"/>
  <c r="X91" i="18" a="1"/>
  <c r="O115" i="18" a="1"/>
  <c r="S282" i="18" a="1"/>
  <c r="O474" i="18" a="1"/>
  <c r="X335" i="18" a="1"/>
  <c r="O54" i="18" a="1"/>
  <c r="X466" i="18" a="1"/>
  <c r="AA112" i="18" a="1"/>
  <c r="N236" i="18" a="1"/>
  <c r="T137" i="18" a="1"/>
  <c r="T164" i="18" a="1"/>
  <c r="Q101" i="18" a="1"/>
  <c r="W464" i="18" a="1"/>
  <c r="D16" i="27"/>
  <c r="D12" i="27"/>
  <c r="R36" i="18" a="1"/>
  <c r="S113" i="18" a="1"/>
  <c r="AA343" i="18" a="1"/>
  <c r="V329" i="18" a="1"/>
  <c r="S244" i="18" a="1"/>
  <c r="O271" i="18" a="1"/>
  <c r="U379" i="18" a="1"/>
  <c r="V347" i="18" a="1"/>
  <c r="AA318" i="18" a="1"/>
  <c r="X85" i="18" a="1"/>
  <c r="T244" i="18" a="1"/>
  <c r="AA15" i="18" a="1"/>
  <c r="P406" i="18" a="1"/>
  <c r="T407" i="18" a="1"/>
  <c r="N374" i="18" a="1"/>
  <c r="R23" i="18" a="1"/>
  <c r="R368" i="18" a="1"/>
  <c r="P24" i="18" a="1"/>
  <c r="X475" i="18" a="1"/>
  <c r="R309" i="18" a="1"/>
  <c r="U137" i="18" a="1"/>
  <c r="T398" i="18" a="1"/>
  <c r="T93" i="18" a="1"/>
  <c r="U372" i="18" a="1"/>
  <c r="S279" i="18" a="1"/>
  <c r="R146" i="18" a="1"/>
  <c r="T375" i="18" a="1"/>
  <c r="W194" i="18" a="1"/>
  <c r="O289" i="18" a="1"/>
  <c r="V451" i="18" a="1"/>
  <c r="X377" i="18" a="1"/>
  <c r="X304" i="18" a="1"/>
  <c r="W88" i="18" a="1"/>
  <c r="S410" i="18" a="1"/>
  <c r="R260" i="18" a="1"/>
  <c r="S472" i="18" a="1"/>
  <c r="O118" i="18" a="1"/>
  <c r="U214" i="18" a="1"/>
  <c r="AA161" i="18" a="1"/>
  <c r="T147" i="18" a="1"/>
  <c r="P404" i="18" a="1"/>
  <c r="U446" i="18" a="1"/>
  <c r="U387" i="18" a="1"/>
  <c r="X150" i="18" a="1"/>
  <c r="U393" i="18" a="1"/>
  <c r="O50" i="18" a="1"/>
  <c r="V270" i="18" a="1"/>
  <c r="O370" i="18" a="1"/>
  <c r="V459" i="18" a="1"/>
  <c r="O443" i="18" a="1"/>
  <c r="N291" i="18" a="1"/>
  <c r="U499" i="18" a="1"/>
  <c r="Q309" i="18" a="1"/>
  <c r="V15" i="18" a="1"/>
  <c r="R263" i="18" a="1"/>
  <c r="AA500" i="18" a="1"/>
  <c r="V122" i="18" a="1"/>
  <c r="AA480" i="18" a="1"/>
  <c r="V184" i="18" a="1"/>
  <c r="R477" i="18" a="1"/>
  <c r="X400" i="18" a="1"/>
  <c r="T44" i="18" a="1"/>
  <c r="O230" i="18" a="1"/>
  <c r="N261" i="18" a="1"/>
  <c r="AA271" i="18" a="1"/>
  <c r="Q219" i="18" a="1"/>
  <c r="X37" i="18" a="1"/>
  <c r="U210" i="18" a="1"/>
  <c r="N500" i="18" a="1"/>
  <c r="O362" i="18" a="1"/>
  <c r="O473" i="18" a="1"/>
  <c r="T300" i="18" a="1"/>
  <c r="Q334" i="18" a="1"/>
  <c r="P116" i="18" a="1"/>
  <c r="W43" i="18" a="1"/>
  <c r="Q412" i="18" a="1"/>
  <c r="N253" i="18" a="1"/>
  <c r="O315" i="18" a="1"/>
  <c r="R121" i="18" a="1"/>
  <c r="V173" i="18" a="1"/>
  <c r="P190" i="18" a="1"/>
  <c r="AA146" i="18" a="1"/>
  <c r="Q81" i="18" a="1"/>
  <c r="V53" i="18" a="1"/>
  <c r="P188" i="18" a="1"/>
  <c r="N24" i="18" a="1"/>
  <c r="Q94" i="18" a="1"/>
  <c r="V63" i="18" a="1"/>
  <c r="X211" i="18" a="1"/>
  <c r="T203" i="18" a="1"/>
  <c r="U468" i="18" a="1"/>
  <c r="T233" i="18" a="1"/>
  <c r="AA220" i="18" a="1"/>
  <c r="AA182" i="18" a="1"/>
  <c r="P183" i="18" a="1"/>
  <c r="AA440" i="18" a="1"/>
  <c r="AA159" i="18" a="1"/>
  <c r="V125" i="18" a="1"/>
  <c r="R308" i="18" a="1"/>
  <c r="U475" i="18" a="1"/>
  <c r="X137" i="18" a="1"/>
  <c r="T251" i="18" a="1"/>
  <c r="U297" i="18" a="1"/>
  <c r="W228" i="18" a="1"/>
  <c r="W79" i="18" a="1"/>
  <c r="V394" i="18" a="1"/>
  <c r="R77" i="18" a="1"/>
  <c r="T274" i="18" a="1"/>
  <c r="U466" i="18" a="1"/>
  <c r="T245" i="18" a="1"/>
  <c r="T8" i="18" a="1"/>
  <c r="R89" i="18" a="1"/>
  <c r="X258" i="18" a="1"/>
  <c r="U391" i="18" a="1"/>
  <c r="T38" i="18" a="1"/>
  <c r="P414" i="18" a="1"/>
  <c r="V202" i="18" a="1"/>
  <c r="S477" i="18" a="1"/>
  <c r="AA118" i="18" a="1"/>
  <c r="AA251" i="18" a="1"/>
  <c r="W450" i="18" a="1"/>
  <c r="T226" i="18" a="1"/>
  <c r="Q468" i="18" a="1"/>
  <c r="Q369" i="18" a="1"/>
  <c r="S160" i="18" a="1"/>
  <c r="W431" i="18" a="1"/>
  <c r="V98" i="18" a="1"/>
  <c r="O112" i="18" a="1"/>
  <c r="P62" i="18" a="1"/>
  <c r="S105" i="18" a="1"/>
  <c r="N174" i="18" a="1"/>
  <c r="T484" i="18" a="1"/>
  <c r="U111" i="18" a="1"/>
  <c r="T178" i="18" a="1"/>
  <c r="N481" i="18" a="1"/>
  <c r="T416" i="18" a="1"/>
  <c r="O338" i="18" a="1"/>
  <c r="N248" i="18" a="1"/>
  <c r="U187" i="18" a="1"/>
  <c r="V107" i="18" a="1"/>
  <c r="AA403" i="18" a="1"/>
  <c r="S106" i="18" a="1"/>
  <c r="N432" i="18" a="1"/>
  <c r="S220" i="18" a="1"/>
  <c r="S204" i="18" a="1"/>
  <c r="S323" i="18" a="1"/>
  <c r="V24" i="18" a="1"/>
  <c r="N68" i="18" a="1"/>
  <c r="N461" i="18" a="1"/>
  <c r="W488" i="18" a="1"/>
  <c r="R134" i="18" a="1"/>
  <c r="V357" i="18" a="1"/>
  <c r="T104" i="18" a="1"/>
  <c r="V212" i="18" a="1"/>
  <c r="V391" i="18" a="1"/>
  <c r="S239" i="18" a="1"/>
  <c r="W131" i="18" a="1"/>
  <c r="V89" i="18" a="1"/>
  <c r="AA467" i="18" a="1"/>
  <c r="N299" i="18" a="1"/>
  <c r="X310" i="18" a="1"/>
  <c r="U410" i="18" a="1"/>
  <c r="AA362" i="18" a="1"/>
  <c r="S385" i="18" a="1"/>
  <c r="W90" i="18" a="1"/>
  <c r="Q338" i="18" a="1"/>
  <c r="T476" i="18" a="1"/>
  <c r="O410" i="18" a="1"/>
  <c r="O103" i="18" a="1"/>
  <c r="O133" i="18" a="1"/>
  <c r="N160" i="18" a="1"/>
  <c r="P193" i="18" a="1"/>
  <c r="N164" i="18" a="1"/>
  <c r="T459" i="18" a="1"/>
  <c r="S286" i="18" a="1"/>
  <c r="P154" i="18" a="1"/>
  <c r="X11" i="18" a="1"/>
  <c r="U311" i="18" a="1"/>
  <c r="AA183" i="18" a="1"/>
  <c r="T40" i="18" a="1"/>
  <c r="S51" i="18" a="1"/>
  <c r="N137" i="18" a="1"/>
  <c r="U49" i="18" a="1"/>
  <c r="AA443" i="18" a="1"/>
  <c r="V118" i="18" a="1"/>
  <c r="Q139" i="18" a="1"/>
  <c r="X492" i="18" a="1"/>
  <c r="R470" i="18" a="1"/>
  <c r="W438" i="18" a="1"/>
  <c r="N34" i="18" a="1"/>
  <c r="AA347" i="18" a="1"/>
  <c r="W21" i="18" a="1"/>
  <c r="AA286" i="18" a="1"/>
  <c r="R60" i="18" a="1"/>
  <c r="Q99" i="18" a="1"/>
  <c r="Q201" i="18" a="1"/>
  <c r="V102" i="18" a="1"/>
  <c r="AA188" i="18" a="1"/>
  <c r="V204" i="18" a="1"/>
  <c r="T269" i="18" a="1"/>
  <c r="P374" i="18" a="1"/>
  <c r="AA60" i="18" a="1"/>
  <c r="S409" i="18" a="1"/>
  <c r="S69" i="18" a="1"/>
  <c r="T175" i="18" a="1"/>
  <c r="S127" i="18" a="1"/>
  <c r="O403" i="18" a="1"/>
  <c r="AA215" i="18" a="1"/>
  <c r="N312" i="18" a="1"/>
  <c r="T75" i="18" a="1"/>
  <c r="O65" i="18" a="1"/>
  <c r="X125" i="18" a="1"/>
  <c r="U503" i="18" a="1"/>
  <c r="U250" i="18" a="1"/>
  <c r="Q401" i="18" a="1"/>
  <c r="V327" i="18" a="1"/>
  <c r="R461" i="18" a="1"/>
  <c r="N310" i="18" a="1"/>
  <c r="W31" i="18" a="1"/>
  <c r="W334" i="18" a="1"/>
  <c r="T215" i="18" a="1"/>
  <c r="Q456" i="18" a="1"/>
  <c r="O222" i="18" a="1"/>
  <c r="P464" i="18" a="1"/>
  <c r="N444" i="18" a="1"/>
  <c r="V181" i="18" a="1"/>
  <c r="W402" i="18" a="1"/>
  <c r="AA306" i="18" a="1"/>
  <c r="W80" i="18" a="1"/>
  <c r="N283" i="18" a="1"/>
  <c r="W251" i="18" a="1"/>
  <c r="R457" i="18" a="1"/>
  <c r="V431" i="18" a="1"/>
  <c r="V172" i="18" a="1"/>
  <c r="O35" i="18" a="1"/>
  <c r="N124" i="18" a="1"/>
  <c r="O239" i="18" a="1"/>
  <c r="X93" i="18" a="1"/>
  <c r="N16" i="18" a="1"/>
  <c r="X214" i="18" a="1"/>
  <c r="T214" i="18" a="1"/>
  <c r="P182" i="18" a="1"/>
  <c r="W360" i="18" a="1"/>
  <c r="V119" i="18" a="1"/>
  <c r="S60" i="18" a="1"/>
  <c r="P170" i="18" a="1"/>
  <c r="S439" i="18" a="1"/>
  <c r="U403" i="18" a="1"/>
  <c r="O288" i="18" a="1"/>
  <c r="V278" i="18" a="1"/>
  <c r="R386" i="18" a="1"/>
  <c r="N485" i="18" a="1"/>
  <c r="R352" i="18" a="1"/>
  <c r="T218" i="18" a="1"/>
  <c r="V289" i="18" a="1"/>
  <c r="P204" i="18" a="1"/>
  <c r="T340" i="18" a="1"/>
  <c r="AA493" i="18" a="1"/>
  <c r="V9" i="18" a="1"/>
  <c r="S343" i="18" a="1"/>
  <c r="X220" i="18" a="1"/>
  <c r="N90" i="18" a="1"/>
  <c r="R364" i="18" a="1"/>
  <c r="AA431" i="18" a="1"/>
  <c r="O249" i="18" a="1"/>
  <c r="O41" i="18" a="1"/>
  <c r="N40" i="18" a="1"/>
  <c r="O29" i="18" a="1"/>
  <c r="P48" i="18" a="1"/>
  <c r="X371" i="18" a="1"/>
  <c r="W155" i="18" a="1"/>
  <c r="AA373" i="18" a="1"/>
  <c r="W467" i="18" a="1"/>
  <c r="P100" i="18" a="1"/>
  <c r="AA217" i="18" a="1"/>
  <c r="AA422" i="18" a="1"/>
  <c r="U484" i="18" a="1"/>
  <c r="O340" i="18" a="1"/>
  <c r="N408" i="18" a="1"/>
  <c r="N295" i="18" a="1"/>
  <c r="V136" i="18" a="1"/>
  <c r="X497" i="18" a="1"/>
  <c r="V445" i="18" a="1"/>
  <c r="U355" i="18" a="1"/>
  <c r="W428" i="18" a="1"/>
  <c r="T447" i="18" a="1"/>
  <c r="AA244" i="18" a="1"/>
  <c r="AA380" i="18" a="1"/>
  <c r="W354" i="18" a="1"/>
  <c r="N214" i="18" a="1"/>
  <c r="V293" i="18" a="1"/>
  <c r="W127" i="18" a="1"/>
  <c r="R183" i="18" a="1"/>
  <c r="Q445" i="18" a="1"/>
  <c r="U315" i="18" a="1"/>
  <c r="P432" i="18" a="1"/>
  <c r="AA235" i="18" a="1"/>
  <c r="X420" i="18" a="1"/>
  <c r="X496" i="18" a="1"/>
  <c r="AA86" i="18" a="1"/>
  <c r="V297" i="18" a="1"/>
  <c r="U192" i="18" a="1"/>
  <c r="O25" i="18" a="1"/>
  <c r="O451" i="18" a="1"/>
  <c r="AA262" i="18" a="1"/>
  <c r="AA178" i="18" a="1"/>
  <c r="Q183" i="18" a="1"/>
  <c r="O494" i="18" a="1"/>
  <c r="Q236" i="18" a="1"/>
  <c r="AA116" i="18" a="1"/>
  <c r="V419" i="18" a="1"/>
  <c r="S223" i="18" a="1"/>
  <c r="V146" i="18" a="1"/>
  <c r="P303" i="18" a="1"/>
  <c r="V142" i="18" a="1"/>
  <c r="AA276" i="18" a="1"/>
  <c r="S84" i="18" a="1"/>
  <c r="V139" i="18" a="1"/>
  <c r="T126" i="18" a="1"/>
  <c r="N241" i="18" a="1"/>
  <c r="V90" i="18" a="1"/>
  <c r="AA284" i="18" a="1"/>
  <c r="U129" i="18" a="1"/>
  <c r="W144" i="18" a="1"/>
  <c r="O375" i="18" a="1"/>
  <c r="X443" i="18" a="1"/>
  <c r="V381" i="18" a="1"/>
  <c r="V455" i="18" a="1"/>
  <c r="T275" i="18" a="1"/>
  <c r="V27" i="18" a="1"/>
  <c r="Q157" i="18" a="1"/>
  <c r="P430" i="18" a="1"/>
  <c r="AA84" i="18" a="1"/>
  <c r="W209" i="18" a="1"/>
  <c r="P21" i="18" a="1"/>
  <c r="W11" i="18" a="1"/>
  <c r="V470" i="18" a="1"/>
  <c r="P377" i="18" a="1"/>
  <c r="U152" i="18" a="1"/>
  <c r="P423" i="18" a="1"/>
  <c r="O174" i="18" a="1"/>
  <c r="O59" i="18" a="1"/>
  <c r="S97" i="18" a="1"/>
  <c r="U101" i="18" a="1"/>
  <c r="T220" i="18" a="1"/>
  <c r="T404" i="18" a="1"/>
  <c r="N274" i="18" a="1"/>
  <c r="O503" i="18" a="1"/>
  <c r="X469" i="18" a="1"/>
  <c r="V385" i="18" a="1"/>
  <c r="N243" i="18" a="1"/>
  <c r="W252" i="18" a="1"/>
  <c r="X172" i="18" a="1"/>
  <c r="R492" i="18" a="1"/>
  <c r="X123" i="18" a="1"/>
  <c r="Q381" i="18" a="1"/>
  <c r="P319" i="18" a="1"/>
  <c r="X448" i="18" a="1"/>
  <c r="V45" i="18" a="1"/>
  <c r="R270" i="18" a="1"/>
  <c r="V28" i="18" a="1"/>
  <c r="R57" i="18" a="1"/>
  <c r="O367" i="18" a="1"/>
  <c r="O245" i="18" a="1"/>
  <c r="N119" i="18" a="1"/>
  <c r="V141" i="18" a="1"/>
  <c r="V388" i="18" a="1"/>
  <c r="AA191" i="18" a="1"/>
  <c r="X459" i="18" a="1"/>
  <c r="R379" i="18" a="1"/>
  <c r="N273" i="18" a="1"/>
  <c r="T369" i="18" a="1"/>
  <c r="N188" i="18" a="1"/>
  <c r="U149" i="18" a="1"/>
  <c r="T351" i="18" a="1"/>
  <c r="V116" i="18" a="1"/>
  <c r="Q21" i="18" a="1"/>
  <c r="R85" i="18" a="1"/>
  <c r="O83" i="18" a="1"/>
  <c r="AA448" i="18" a="1"/>
  <c r="U419" i="18" a="1"/>
  <c r="X75" i="18" a="1"/>
  <c r="O187" i="18" a="1"/>
  <c r="O62" i="18" a="1"/>
  <c r="Q127" i="18" a="1"/>
  <c r="T487" i="18" a="1"/>
  <c r="Q336" i="18" a="1"/>
  <c r="V257" i="18" a="1"/>
  <c r="T436" i="18" a="1"/>
  <c r="T265" i="18" a="1"/>
  <c r="T475" i="18" a="1"/>
  <c r="S359" i="18" a="1"/>
  <c r="T159" i="18" a="1"/>
  <c r="O82" i="18" a="1"/>
  <c r="O287" i="18" a="1"/>
  <c r="T405" i="18" a="1"/>
  <c r="W473" i="18" a="1"/>
  <c r="O420" i="18" a="1"/>
  <c r="X350" i="18" a="1"/>
  <c r="AA195" i="18" a="1"/>
  <c r="V371" i="18" a="1"/>
  <c r="V465" i="18" a="1"/>
  <c r="X55" i="18" a="1"/>
  <c r="V72" i="18" a="1"/>
  <c r="R109" i="18" a="1"/>
  <c r="O246" i="18" a="1"/>
  <c r="O16" i="18" a="1"/>
  <c r="AA410" i="18" a="1"/>
  <c r="X207" i="18" a="1"/>
  <c r="X327" i="18" a="1"/>
  <c r="T102" i="18" a="1"/>
  <c r="O261" i="18" a="1"/>
  <c r="R482" i="18" a="1"/>
  <c r="P257" i="18" a="1"/>
  <c r="S28" i="18" a="1"/>
  <c r="W230" i="18" a="1"/>
  <c r="X124" i="18" a="1"/>
  <c r="P122" i="18" a="1"/>
  <c r="U489" i="18" a="1"/>
  <c r="T23" i="18" a="1"/>
  <c r="N75" i="18" a="1"/>
  <c r="R234" i="18" a="1"/>
  <c r="N109" i="18" a="1"/>
  <c r="R34" i="18" a="1"/>
  <c r="U296" i="18" a="1"/>
  <c r="R438" i="18" a="1"/>
  <c r="U243" i="18" a="1"/>
  <c r="U435" i="18" a="1"/>
  <c r="S427" i="18" a="1"/>
  <c r="N67" i="18" a="1"/>
  <c r="AA192" i="18" a="1"/>
  <c r="P242" i="18" a="1"/>
  <c r="T379" i="18" a="1"/>
  <c r="T325" i="18" a="1"/>
  <c r="U209" i="18" a="1"/>
  <c r="P502" i="18" a="1"/>
  <c r="S491" i="18" a="1"/>
  <c r="V467" i="18" a="1"/>
  <c r="O500" i="18" a="1"/>
  <c r="P270" i="18" a="1"/>
  <c r="S72" i="18" a="1"/>
  <c r="V379" i="18" a="1"/>
  <c r="Q383" i="18" a="1"/>
  <c r="R327" i="18" a="1"/>
  <c r="R218" i="18" a="1"/>
  <c r="P372" i="18" a="1"/>
  <c r="R177" i="18" a="1"/>
  <c r="AA85" i="18" a="1"/>
  <c r="W308" i="18" a="1"/>
  <c r="U447" i="18" a="1"/>
  <c r="S32" i="18" a="1"/>
  <c r="V216" i="18" a="1"/>
  <c r="O468" i="18" a="1"/>
  <c r="V330" i="18" a="1"/>
  <c r="U131" i="18" a="1"/>
  <c r="S456" i="18" a="1"/>
  <c r="Q125" i="18" a="1"/>
  <c r="N255" i="18" a="1"/>
  <c r="R418" i="18" a="1"/>
  <c r="S285" i="18" a="1"/>
  <c r="N304" i="18" a="1"/>
  <c r="U268" i="18" a="1"/>
  <c r="W459" i="18" a="1"/>
  <c r="P101" i="18" a="1"/>
  <c r="P35" i="18" a="1"/>
  <c r="Q479" i="18" a="1"/>
  <c r="U22" i="18" a="1"/>
  <c r="U14" i="18" a="1"/>
  <c r="W89" i="18" a="1"/>
  <c r="T144" i="18" a="1"/>
  <c r="X86" i="18" a="1"/>
  <c r="Q345" i="18" a="1"/>
  <c r="AA399" i="18" a="1"/>
  <c r="AA374" i="18" a="1"/>
  <c r="R249" i="18" a="1"/>
  <c r="T417" i="18" a="1"/>
  <c r="N54" i="18" a="1"/>
  <c r="Q505" i="18" a="1"/>
  <c r="T472" i="18" a="1"/>
  <c r="AA503" i="18" a="1"/>
  <c r="S312" i="18" a="1"/>
  <c r="R49" i="18" a="1"/>
  <c r="R382" i="18" a="1"/>
  <c r="X348" i="18" a="1"/>
  <c r="O40" i="18" a="1"/>
  <c r="N415" i="18" a="1"/>
  <c r="Q439" i="18" a="1"/>
  <c r="AA263" i="18" a="1"/>
  <c r="U473" i="18" a="1"/>
  <c r="Q131" i="18" a="1"/>
  <c r="T21" i="18" a="1"/>
  <c r="P79" i="18" a="1"/>
  <c r="AA127" i="18" a="1"/>
  <c r="O482" i="18" a="1"/>
  <c r="O227" i="18" a="1"/>
  <c r="O294" i="18" a="1"/>
  <c r="W65" i="18" a="1"/>
  <c r="W445" i="18" a="1"/>
  <c r="S43" i="18" a="1"/>
  <c r="R464" i="18" a="1"/>
  <c r="V162" i="18" a="1"/>
  <c r="O75" i="18" a="1"/>
  <c r="V238" i="18" a="1"/>
  <c r="R107" i="18" a="1"/>
  <c r="U227" i="18" a="1"/>
  <c r="O144" i="18" a="1"/>
  <c r="S92" i="18" a="1"/>
  <c r="AA272" i="18" a="1"/>
  <c r="P134" i="18" a="1"/>
  <c r="N142" i="18" a="1"/>
  <c r="X271" i="18" a="1"/>
  <c r="T477" i="18" a="1"/>
  <c r="S505" i="18" a="1"/>
  <c r="U373" i="18" a="1"/>
  <c r="P133" i="18" a="1"/>
  <c r="W23" i="18" a="1"/>
  <c r="AA320" i="18" a="1"/>
  <c r="AA279" i="18" a="1"/>
  <c r="N308" i="18" a="1"/>
  <c r="N278" i="18" a="1"/>
  <c r="U145" i="18" a="1"/>
  <c r="N247" i="18" a="1"/>
  <c r="X141" i="18" a="1"/>
  <c r="P135" i="18" a="1"/>
  <c r="U409" i="18" a="1"/>
  <c r="Q406" i="18" a="1"/>
  <c r="W179" i="18" a="1"/>
  <c r="Q209" i="18" a="1"/>
  <c r="U176" i="18" a="1"/>
  <c r="S115" i="18" a="1"/>
  <c r="P248" i="18" a="1"/>
  <c r="T136" i="18" a="1"/>
  <c r="V409" i="18" a="1"/>
  <c r="X369" i="18" a="1"/>
  <c r="W117" i="18" a="1"/>
  <c r="N301" i="18" a="1"/>
  <c r="D6" i="12" a="1"/>
  <c r="S240" i="18" a="1"/>
  <c r="AA44" i="18" a="1"/>
  <c r="O259" i="18" a="1"/>
  <c r="N116" i="18" a="1"/>
  <c r="P361" i="18" a="1"/>
  <c r="O291" i="18" a="1"/>
  <c r="R244" i="18" a="1"/>
  <c r="R404" i="18" a="1"/>
  <c r="AA487" i="18" a="1"/>
  <c r="O495" i="18" a="1"/>
  <c r="AA335" i="18" a="1"/>
  <c r="Q237" i="18" a="1"/>
  <c r="T25" i="18" a="1"/>
  <c r="U30" i="18" a="1"/>
  <c r="Q199" i="18" a="1"/>
  <c r="P313" i="18" a="1"/>
  <c r="W401" i="18" a="1"/>
  <c r="Q354" i="18" a="1"/>
  <c r="U156" i="18" a="1"/>
  <c r="Q420" i="18" a="1"/>
  <c r="S136" i="18" a="1"/>
  <c r="W84" i="18" a="1"/>
  <c r="R160" i="18" a="1"/>
  <c r="S328" i="18" a="1"/>
  <c r="Q75" i="18" a="1"/>
  <c r="V268" i="18" a="1"/>
  <c r="O105" i="18" a="1"/>
  <c r="S20" i="18" a="1"/>
  <c r="S181" i="18" a="1"/>
  <c r="P365" i="18" a="1"/>
  <c r="N127" i="18" a="1"/>
  <c r="P364" i="18" a="1"/>
  <c r="O267" i="18" a="1"/>
  <c r="R81" i="18" a="1"/>
  <c r="O36" i="18" a="1"/>
  <c r="X353" i="18" a="1"/>
  <c r="Q90" i="18" a="1"/>
  <c r="S38" i="18" a="1"/>
  <c r="Q57" i="18" a="1"/>
  <c r="AA329" i="18" a="1"/>
  <c r="N404" i="18" a="1"/>
  <c r="Q184" i="18" a="1"/>
  <c r="X293" i="18" a="1"/>
  <c r="Q31" i="18" a="1"/>
  <c r="N434" i="18" a="1"/>
  <c r="T79" i="18" a="1"/>
  <c r="Q280" i="18" a="1"/>
  <c r="AA468" i="18" a="1"/>
  <c r="U309" i="18" a="1"/>
  <c r="T194" i="18" a="1"/>
  <c r="AA257" i="18" a="1"/>
  <c r="AA408" i="18" a="1"/>
  <c r="N486" i="18" a="1"/>
  <c r="X480" i="18" a="1"/>
  <c r="S148" i="18" a="1"/>
  <c r="T240" i="18" a="1"/>
  <c r="T481" i="18" a="1"/>
  <c r="Q462" i="18" a="1"/>
  <c r="O329" i="18" a="1"/>
  <c r="AA364" i="18" a="1"/>
  <c r="R118" i="18" a="1"/>
  <c r="S446" i="18" a="1"/>
  <c r="R486" i="18" a="1"/>
  <c r="S214" i="18" a="1"/>
  <c r="O422" i="18" a="1"/>
  <c r="S259" i="18" a="1"/>
  <c r="P172" i="18" a="1"/>
  <c r="T490" i="18" a="1"/>
  <c r="U78" i="18" a="1"/>
  <c r="Q463" i="18" a="1"/>
  <c r="S319" i="18" a="1"/>
  <c r="V325" i="18" a="1"/>
  <c r="R159" i="18" a="1"/>
  <c r="P115" i="18" a="1"/>
  <c r="S284" i="18" a="1"/>
  <c r="O303" i="18" a="1"/>
  <c r="O319" i="18" a="1"/>
  <c r="X249" i="18" a="1"/>
  <c r="S7" i="18" a="1"/>
  <c r="V200" i="18" a="1"/>
  <c r="S503" i="18" a="1"/>
  <c r="Q82" i="18" a="1"/>
  <c r="N484" i="18" a="1"/>
  <c r="P422" i="18" a="1"/>
  <c r="AA246" i="18" a="1"/>
  <c r="Q214" i="18" a="1"/>
  <c r="R499" i="18" a="1"/>
  <c r="X224" i="18" a="1"/>
  <c r="P132" i="18" a="1"/>
  <c r="U218" i="18" a="1"/>
  <c r="P18" i="18" a="1"/>
  <c r="N29" i="18" a="1"/>
  <c r="R271" i="18" a="1"/>
  <c r="AA68" i="18" a="1"/>
  <c r="P392" i="18" a="1"/>
  <c r="AA130" i="18" a="1"/>
  <c r="R285" i="18" a="1"/>
  <c r="N216" i="18" a="1"/>
  <c r="Q411" i="18" a="1"/>
  <c r="U458" i="18" a="1"/>
  <c r="U295" i="18" a="1"/>
  <c r="AA473" i="18" a="1"/>
  <c r="T149" i="18" a="1"/>
  <c r="O344" i="18" a="1"/>
  <c r="X235" i="18" a="1"/>
  <c r="U95" i="18" a="1"/>
  <c r="T172" i="18" a="1"/>
  <c r="V395" i="18" a="1"/>
  <c r="Q440" i="18" a="1"/>
  <c r="W333" i="18" a="1"/>
  <c r="AA307" i="18" a="1"/>
  <c r="S486" i="18" a="1"/>
  <c r="X297" i="18" a="1"/>
  <c r="W356" i="18" a="1"/>
  <c r="P363" i="18" a="1"/>
  <c r="U189" i="18" a="1"/>
  <c r="W39" i="18" a="1"/>
  <c r="Q207" i="18" a="1"/>
  <c r="T255" i="18" a="1"/>
  <c r="AA97" i="18" a="1"/>
  <c r="N226" i="18" a="1"/>
  <c r="S357" i="18" a="1"/>
  <c r="S346" i="18" a="1"/>
  <c r="P167" i="18" a="1"/>
  <c r="P137" i="18" a="1"/>
  <c r="N233" i="18" a="1"/>
  <c r="V497" i="18" a="1"/>
  <c r="O484" i="18" a="1"/>
  <c r="O453" i="18" a="1"/>
  <c r="P330" i="18" a="1"/>
  <c r="T119" i="18" a="1"/>
  <c r="N209" i="18" a="1"/>
  <c r="N276" i="18" a="1"/>
  <c r="Q71" i="18" a="1"/>
  <c r="S370" i="18" a="1"/>
  <c r="W191" i="18" a="1"/>
  <c r="T504" i="18" a="1"/>
  <c r="X148" i="18" a="1"/>
  <c r="O251" i="18" a="1"/>
  <c r="P61" i="18" a="1"/>
  <c r="Q393" i="18" a="1"/>
  <c r="Q32" i="18" a="1"/>
  <c r="V80" i="18" a="1"/>
  <c r="P273" i="18" a="1"/>
  <c r="AA119" i="18" a="1"/>
  <c r="P152" i="18" a="1"/>
  <c r="N437" i="18" a="1"/>
  <c r="V191" i="18" a="1"/>
  <c r="X439" i="18" a="1"/>
  <c r="AA71" i="18" a="1"/>
  <c r="O210" i="18" a="1"/>
  <c r="O135" i="18" a="1"/>
  <c r="N60" i="18" a="1"/>
  <c r="X39" i="18" a="1"/>
  <c r="V159" i="18" a="1"/>
  <c r="S460" i="18" a="1"/>
  <c r="V103" i="18" a="1"/>
  <c r="R381" i="18" a="1"/>
  <c r="U284" i="18" a="1"/>
  <c r="W271" i="18" a="1"/>
  <c r="T493" i="18" a="1"/>
  <c r="X479" i="18" a="1"/>
  <c r="V443" i="18" a="1"/>
  <c r="Q488" i="18" a="1"/>
  <c r="U353" i="18" a="1"/>
  <c r="Q475" i="18" a="1"/>
  <c r="P481" i="18" a="1"/>
  <c r="X301" i="18" a="1"/>
  <c r="U314" i="18" a="1"/>
  <c r="U204" i="18" a="1"/>
  <c r="V493" i="18" a="1"/>
  <c r="P409" i="18" a="1"/>
  <c r="P42" i="18" a="1"/>
  <c r="S377" i="18" a="1"/>
  <c r="T51" i="18" a="1"/>
  <c r="O376" i="18" a="1"/>
  <c r="S58" i="18" a="1"/>
  <c r="S375" i="18" a="1"/>
  <c r="AA444" i="18" a="1"/>
  <c r="W70" i="18" a="1"/>
  <c r="AA241" i="18" a="1"/>
  <c r="AA132" i="18" a="1"/>
  <c r="AA142" i="18" a="1"/>
  <c r="U334" i="18" a="1"/>
  <c r="N228" i="18" a="1"/>
  <c r="N128" i="18" a="1"/>
  <c r="U179" i="18" a="1"/>
  <c r="U347" i="18" a="1"/>
  <c r="R462" i="18" a="1"/>
  <c r="P301" i="18" a="1"/>
  <c r="N184" i="18" a="1"/>
  <c r="N15" i="18" a="1"/>
  <c r="S444" i="18" a="1"/>
  <c r="AA237" i="18" a="1"/>
  <c r="X127" i="18" a="1"/>
  <c r="U266" i="18" a="1"/>
  <c r="U76" i="18" a="1"/>
  <c r="N378" i="18" a="1"/>
  <c r="X80" i="18" a="1"/>
  <c r="W443" i="18" a="1"/>
  <c r="S138" i="18" a="1"/>
  <c r="N462" i="18" a="1"/>
  <c r="Q260" i="18" a="1"/>
  <c r="N466" i="18" a="1"/>
  <c r="X133" i="18" a="1"/>
  <c r="X451" i="18" a="1"/>
  <c r="O293" i="18" a="1"/>
  <c r="AA411" i="18" a="1"/>
  <c r="R59" i="18" a="1"/>
  <c r="S256" i="18" a="1"/>
  <c r="S80" i="18" a="1"/>
  <c r="X460" i="18" a="1"/>
  <c r="AA48" i="18" a="1"/>
  <c r="P186" i="18" a="1"/>
  <c r="X20" i="18" a="1"/>
  <c r="R485" i="18" a="1"/>
  <c r="U21" i="18" a="1"/>
  <c r="J6" i="12" a="1"/>
  <c r="U381" i="18" a="1"/>
  <c r="Q270" i="18" a="1"/>
  <c r="T122" i="18" a="1"/>
  <c r="U98" i="18" a="1"/>
  <c r="U427" i="18" a="1"/>
  <c r="P23" i="18" a="1"/>
  <c r="P394" i="18" a="1"/>
  <c r="U333" i="18" a="1"/>
  <c r="S61" i="18" a="1"/>
  <c r="W322" i="18" a="1"/>
  <c r="P436" i="18" a="1"/>
  <c r="V276" i="18" a="1"/>
  <c r="N271" i="18" a="1"/>
  <c r="X40" i="18" a="1"/>
  <c r="P478" i="18" a="1"/>
  <c r="P109" i="18" a="1"/>
  <c r="S222" i="18" a="1"/>
  <c r="AA63" i="18" a="1"/>
  <c r="R254" i="18" a="1"/>
  <c r="W210" i="18" a="1"/>
  <c r="AA346" i="18" a="1"/>
  <c r="V323" i="18" a="1"/>
  <c r="Q80" i="18" a="1"/>
  <c r="AA9" i="18" a="1"/>
  <c r="W140" i="18" a="1"/>
  <c r="P279" i="18" a="1"/>
  <c r="X275" i="18" a="1"/>
  <c r="R337" i="18" a="1"/>
  <c r="AA427" i="18" a="1"/>
  <c r="W505" i="18" a="1"/>
  <c r="N449" i="18" a="1"/>
  <c r="AA342" i="18" a="1"/>
  <c r="Q333" i="18" a="1"/>
  <c r="AA489" i="18" a="1"/>
  <c r="N430" i="18" a="1"/>
  <c r="U42" i="18" a="1"/>
  <c r="R467" i="18" a="1"/>
  <c r="P289" i="18" a="1"/>
  <c r="R412" i="18" a="1"/>
  <c r="W216" i="18" a="1"/>
  <c r="W344" i="18" a="1"/>
  <c r="S143" i="18" a="1"/>
  <c r="Q335" i="18" a="1"/>
  <c r="R481" i="18" a="1"/>
  <c r="V258" i="18" a="1"/>
  <c r="O497" i="18" a="1"/>
  <c r="P236" i="18" a="1"/>
  <c r="W247" i="18" a="1"/>
  <c r="O470" i="18" a="1"/>
  <c r="R22" i="18" a="1"/>
  <c r="Q241" i="18" a="1"/>
  <c r="T195" i="18" a="1"/>
  <c r="V25" i="18" a="1"/>
  <c r="P391" i="18" a="1"/>
  <c r="S310" i="18" a="1"/>
  <c r="S281" i="18" a="1"/>
  <c r="W250" i="18" a="1"/>
  <c r="V311" i="18" a="1"/>
  <c r="AA418" i="18" a="1"/>
  <c r="Q16" i="18" a="1"/>
  <c r="Q431" i="18" a="1"/>
  <c r="AA259" i="18" a="1"/>
  <c r="V153" i="18" a="1"/>
  <c r="AA218" i="18" a="1"/>
  <c r="AA158" i="18" a="1"/>
  <c r="S189" i="18" a="1"/>
  <c r="X458" i="18" a="1"/>
  <c r="W296" i="18" a="1"/>
  <c r="X131" i="18" a="1"/>
  <c r="P157" i="18" a="1"/>
  <c r="W102" i="18" a="1"/>
  <c r="S25" i="18" a="1"/>
  <c r="X357" i="18" a="1"/>
  <c r="X495" i="18" a="1"/>
  <c r="U99" i="18" a="1"/>
  <c r="R454" i="18" a="1"/>
  <c r="S96" i="18" a="1"/>
  <c r="R432" i="18" a="1"/>
  <c r="Q52" i="18" a="1"/>
  <c r="R17" i="18" a="1"/>
  <c r="X128" i="18" a="1"/>
  <c r="AA72" i="18" a="1"/>
  <c r="T229" i="18" a="1"/>
  <c r="R278" i="18" a="1"/>
  <c r="R29" i="18" a="1"/>
  <c r="O231" i="18" a="1"/>
  <c r="N57" i="18" a="1"/>
  <c r="N365" i="18" a="1"/>
  <c r="U401" i="18" a="1"/>
  <c r="Q159" i="18" a="1"/>
  <c r="S367" i="18" a="1"/>
  <c r="U230" i="18" a="1"/>
  <c r="Q434" i="18" a="1"/>
  <c r="AA81" i="18" a="1"/>
  <c r="O45" i="18" a="1"/>
  <c r="P147" i="18" a="1"/>
  <c r="W499" i="18" a="1"/>
  <c r="R40" i="18" a="1"/>
  <c r="Q296" i="18" a="1"/>
  <c r="X186" i="18" a="1"/>
  <c r="X122" i="18" a="1"/>
  <c r="AA464" i="18" a="1"/>
  <c r="R345" i="18" a="1"/>
  <c r="U478" i="18" a="1"/>
  <c r="W343" i="18" a="1"/>
  <c r="N334" i="18" a="1"/>
  <c r="T455" i="18" a="1"/>
  <c r="R370" i="18" a="1"/>
  <c r="Q404" i="18" a="1"/>
  <c r="P396" i="18" a="1"/>
  <c r="S452" i="18" a="1"/>
  <c r="R279" i="18" a="1"/>
  <c r="W265" i="18" a="1"/>
  <c r="R282" i="18" a="1"/>
  <c r="W146" i="18" a="1"/>
  <c r="P324" i="18" a="1"/>
  <c r="V44" i="18" a="1"/>
  <c r="S197" i="18" a="1"/>
  <c r="N244" i="18" a="1"/>
  <c r="O232" i="18" a="1"/>
  <c r="W484" i="18" a="1"/>
  <c r="S230" i="18" a="1"/>
  <c r="N251" i="18" a="1"/>
  <c r="V414" i="18" a="1"/>
  <c r="X105" i="18" a="1"/>
  <c r="Q239" i="18" a="1"/>
  <c r="Q325" i="18" a="1"/>
  <c r="P460" i="18" a="1"/>
  <c r="W213" i="18" a="1"/>
  <c r="AA481" i="18" a="1"/>
  <c r="P119" i="18" a="1"/>
  <c r="V477" i="18" a="1"/>
  <c r="X292" i="18" a="1"/>
  <c r="R264" i="18" a="1"/>
  <c r="O63" i="18" a="1"/>
  <c r="U498" i="18" a="1"/>
  <c r="P153" i="18" a="1"/>
  <c r="O184" i="18" a="1"/>
  <c r="AA315" i="18" a="1"/>
  <c r="V108" i="18" a="1"/>
  <c r="W493" i="18" a="1"/>
  <c r="N18" i="18" a="1"/>
  <c r="AA357" i="18" a="1"/>
  <c r="Q298" i="18" a="1"/>
  <c r="X379" i="18" a="1"/>
  <c r="S122" i="18" a="1"/>
  <c r="W122" i="18" a="1"/>
  <c r="R435" i="18" a="1"/>
  <c r="O43" i="18" a="1"/>
  <c r="N506" i="18" a="1"/>
  <c r="U32" i="18" a="1"/>
  <c r="W109" i="18" a="1"/>
  <c r="Q288" i="18" a="1"/>
  <c r="O238" i="18" a="1"/>
  <c r="V495" i="18" a="1"/>
  <c r="P487" i="18" a="1"/>
  <c r="R456" i="18" a="1"/>
  <c r="X381" i="18" a="1"/>
  <c r="T397" i="18" a="1"/>
  <c r="T288" i="18" a="1"/>
  <c r="S53" i="18" a="1"/>
  <c r="S209" i="18" a="1"/>
  <c r="S100" i="18" a="1"/>
  <c r="X135" i="18" a="1"/>
  <c r="W316" i="18" a="1"/>
  <c r="V380" i="18" a="1"/>
  <c r="Q35" i="18" a="1"/>
  <c r="N225" i="18" a="1"/>
  <c r="T297" i="18" a="1"/>
  <c r="U182" i="18" a="1"/>
  <c r="N204" i="18" a="1"/>
  <c r="X229" i="18" a="1"/>
  <c r="T243" i="18" a="1"/>
  <c r="P448" i="18" a="1"/>
  <c r="N72" i="18" a="1"/>
  <c r="U289" i="18" a="1"/>
  <c r="U287" i="18" a="1"/>
  <c r="O277" i="18" a="1"/>
  <c r="T307" i="18" a="1"/>
  <c r="W225" i="18" a="1"/>
  <c r="T156" i="18" a="1"/>
  <c r="S200" i="18" a="1"/>
  <c r="W480" i="18" a="1"/>
  <c r="V468" i="18" a="1"/>
  <c r="AA405" i="18" a="1"/>
  <c r="X395" i="18" a="1"/>
  <c r="AA229" i="18" a="1"/>
  <c r="N46" i="18" a="1"/>
  <c r="V376" i="18" a="1"/>
  <c r="AA278" i="18" a="1"/>
  <c r="R334" i="18" a="1"/>
  <c r="P256" i="18" a="1"/>
  <c r="O349" i="18" a="1"/>
  <c r="P493" i="18" a="1"/>
  <c r="R223" i="18" a="1"/>
  <c r="U428" i="18" a="1"/>
  <c r="X337" i="18" a="1"/>
  <c r="U183" i="18" a="1"/>
  <c r="AA396" i="18" a="1"/>
  <c r="AA108" i="18" a="1"/>
  <c r="AA420" i="18" a="1"/>
  <c r="Q357" i="18" a="1"/>
  <c r="R307" i="18" a="1"/>
  <c r="P202" i="18" a="1"/>
  <c r="U369" i="18" a="1"/>
  <c r="AA280" i="18" a="1"/>
  <c r="O228" i="18" a="1"/>
  <c r="W320" i="18" a="1"/>
  <c r="V179" i="18" a="1"/>
  <c r="N240" i="18" a="1"/>
  <c r="Q247" i="18" a="1"/>
  <c r="O226" i="18" a="1"/>
  <c r="T318" i="18" a="1"/>
  <c r="V408" i="18" a="1"/>
  <c r="V219" i="18" a="1"/>
  <c r="W152" i="18" a="1"/>
  <c r="U411" i="18" a="1"/>
  <c r="P56" i="18" a="1"/>
  <c r="P402" i="18" a="1"/>
  <c r="P145" i="18" a="1"/>
  <c r="Q387" i="18" a="1"/>
  <c r="R237" i="18" a="1"/>
  <c r="P121" i="18" a="1"/>
  <c r="X21" i="18" a="1"/>
  <c r="N222" i="18" a="1"/>
  <c r="R344" i="18" a="1"/>
  <c r="S278" i="18" a="1"/>
  <c r="P66" i="18" a="1"/>
  <c r="Q8" i="18" a="1"/>
  <c r="T246" i="18" a="1"/>
  <c r="R385" i="18" a="1"/>
  <c r="P32" i="18" a="1"/>
  <c r="S231" i="18" a="1"/>
  <c r="X247" i="18" a="1"/>
  <c r="T224" i="18" a="1"/>
  <c r="W100" i="18" a="1"/>
  <c r="R138" i="18" a="1"/>
  <c r="S258" i="18" a="1"/>
  <c r="V264" i="18" a="1"/>
  <c r="U263" i="18" a="1"/>
  <c r="AA115" i="18" a="1"/>
  <c r="U321" i="18" a="1"/>
  <c r="T482" i="18" a="1"/>
  <c r="R127" i="18" a="1"/>
  <c r="X63" i="18" a="1"/>
  <c r="P283" i="18" a="1"/>
  <c r="X219" i="18" a="1"/>
  <c r="W475" i="18" a="1"/>
  <c r="S429" i="18" a="1"/>
  <c r="O334" i="18" a="1"/>
  <c r="V222" i="18" a="1"/>
  <c r="S483" i="18" a="1"/>
  <c r="Q316" i="18" a="1"/>
  <c r="N232" i="18" a="1"/>
  <c r="O44" i="18" a="1"/>
  <c r="T277" i="18" a="1"/>
  <c r="Q442" i="18" a="1"/>
  <c r="V303" i="18" a="1"/>
  <c r="Q365" i="18" a="1"/>
  <c r="U396" i="18" a="1"/>
  <c r="O229" i="18" a="1"/>
  <c r="P176" i="18" a="1"/>
  <c r="U386" i="18" a="1"/>
  <c r="R329" i="18" a="1"/>
  <c r="N364" i="18" a="1"/>
  <c r="N53" i="18" a="1"/>
  <c r="O86" i="18" a="1"/>
  <c r="U66" i="18" a="1"/>
  <c r="V452" i="18" a="1"/>
  <c r="Q399" i="18" a="1"/>
  <c r="V265" i="18" a="1"/>
  <c r="O73" i="18" a="1"/>
  <c r="AA134" i="18" a="1"/>
  <c r="N50" i="18" a="1"/>
  <c r="Q429" i="18" a="1"/>
  <c r="P118" i="18" a="1"/>
  <c r="S274" i="18" a="1"/>
  <c r="P307" i="18" a="1"/>
  <c r="Q350" i="18" a="1"/>
  <c r="U18" i="18" a="1"/>
  <c r="T402" i="18" a="1"/>
  <c r="T429" i="18" a="1"/>
  <c r="O460" i="18" a="1"/>
  <c r="U138" i="18" a="1"/>
  <c r="V14" i="18" a="1"/>
  <c r="T336" i="18" a="1"/>
  <c r="R63" i="18" a="1"/>
  <c r="W292" i="18" a="1"/>
  <c r="O312" i="18" a="1"/>
  <c r="R359" i="18" a="1"/>
  <c r="N329" i="18" a="1"/>
  <c r="N150" i="18" a="1"/>
  <c r="P111" i="18" a="1"/>
  <c r="Q372" i="18" a="1"/>
  <c r="R201" i="18" a="1"/>
  <c r="W313" i="18" a="1"/>
  <c r="Q47" i="18" a="1"/>
  <c r="AA304" i="18" a="1"/>
  <c r="V427" i="18" a="1"/>
  <c r="X212" i="18" a="1"/>
  <c r="AA471" i="18" a="1"/>
  <c r="R310" i="18" a="1"/>
  <c r="S501" i="18" a="1"/>
  <c r="V449" i="18" a="1"/>
  <c r="W93" i="18" a="1"/>
  <c r="W293" i="18" a="1"/>
  <c r="AA77" i="18" a="1"/>
  <c r="N181" i="18" a="1"/>
  <c r="Q419" i="18" a="1"/>
  <c r="S400" i="18" a="1"/>
  <c r="T39" i="18" a="1"/>
  <c r="W368" i="18" a="1"/>
  <c r="W183" i="18" a="1"/>
  <c r="W57" i="18" a="1"/>
  <c r="U51" i="18" a="1"/>
  <c r="N305" i="18" a="1"/>
  <c r="U240" i="18" a="1"/>
  <c r="X444" i="18" a="1"/>
  <c r="S442" i="18" a="1"/>
  <c r="N78" i="18" a="1"/>
  <c r="U271" i="18" a="1"/>
  <c r="O79" i="18" a="1"/>
  <c r="R75" i="18" a="1"/>
  <c r="X393" i="18" a="1"/>
  <c r="Q118" i="18" a="1"/>
  <c r="X410" i="18" a="1"/>
  <c r="U159" i="18" a="1"/>
  <c r="Q460" i="18" a="1"/>
  <c r="Q292" i="18" a="1"/>
  <c r="AA368" i="18" a="1"/>
  <c r="U366" i="18" a="1"/>
  <c r="R117" i="18" a="1"/>
  <c r="AA361" i="18" a="1"/>
  <c r="X457" i="18" a="1"/>
  <c r="T100" i="18" a="1"/>
  <c r="O435" i="18" a="1"/>
  <c r="V290" i="18" a="1"/>
  <c r="W411" i="18" a="1"/>
  <c r="Q444" i="18" a="1"/>
  <c r="W67" i="18" a="1"/>
  <c r="N366" i="18" a="1"/>
  <c r="Q210" i="18" a="1"/>
  <c r="X333" i="18" a="1"/>
  <c r="AA486" i="18" a="1"/>
  <c r="T34" i="18" a="1"/>
  <c r="P22" i="18" a="1"/>
  <c r="R414" i="18" a="1"/>
  <c r="U211" i="18" a="1"/>
  <c r="T99" i="18" a="1"/>
  <c r="S149" i="18" a="1"/>
  <c r="P146" i="18" a="1"/>
  <c r="S213" i="18" a="1"/>
  <c r="W268" i="18" a="1"/>
  <c r="R322" i="18" a="1"/>
  <c r="X154" i="18" a="1"/>
  <c r="P10" i="18" a="1"/>
  <c r="N256" i="18" a="1"/>
  <c r="AA88" i="18" a="1"/>
  <c r="S423" i="18" a="1"/>
  <c r="E16" i="35" a="1"/>
  <c r="R144" i="18" a="1"/>
  <c r="T337" i="18" a="1"/>
  <c r="S71" i="18" a="1"/>
  <c r="P444" i="18" a="1"/>
  <c r="N196" i="18" a="1"/>
  <c r="N315" i="18" a="1"/>
  <c r="P174" i="18" a="1"/>
  <c r="U251" i="18" a="1"/>
  <c r="T118" i="18" a="1"/>
  <c r="V92" i="18" a="1"/>
  <c r="O479" i="18" a="1"/>
  <c r="O270" i="18" a="1"/>
  <c r="AA46" i="18" a="1"/>
  <c r="S490" i="18" a="1"/>
  <c r="W121" i="18" a="1"/>
  <c r="O354" i="18" a="1"/>
  <c r="U15" i="18" a="1"/>
  <c r="AA275" i="18" a="1"/>
  <c r="V65" i="18" a="1"/>
  <c r="Q266" i="18" a="1"/>
  <c r="U343" i="18" a="1"/>
  <c r="V215" i="18" a="1"/>
  <c r="P112" i="18" a="1"/>
  <c r="O431" i="18" a="1"/>
  <c r="K6" i="12" a="1"/>
  <c r="V435" i="18" a="1"/>
  <c r="N200" i="18" a="1"/>
  <c r="V389" i="18" a="1"/>
  <c r="O185" i="18" a="1"/>
  <c r="T179" i="18" a="1"/>
  <c r="U55" i="18" a="1"/>
  <c r="P38" i="18" a="1"/>
  <c r="R439" i="18" a="1"/>
  <c r="O347" i="18" a="1"/>
  <c r="R341" i="18" a="1"/>
  <c r="O419" i="18" a="1"/>
  <c r="AA488" i="18" a="1"/>
  <c r="R306" i="18" a="1"/>
  <c r="V95" i="18" a="1"/>
  <c r="T143" i="18" a="1"/>
  <c r="X41" i="18" a="1"/>
  <c r="R39" i="18" a="1"/>
  <c r="O46" i="18" a="1"/>
  <c r="W427" i="18" a="1"/>
  <c r="X129" i="18" a="1"/>
  <c r="S407" i="18" a="1"/>
  <c r="O436" i="18" a="1"/>
  <c r="V368" i="18" a="1"/>
  <c r="S45" i="18" a="1"/>
  <c r="V196" i="18" a="1"/>
  <c r="N245" i="18" a="1"/>
  <c r="Q398" i="18" a="1"/>
  <c r="U398" i="18" a="1"/>
  <c r="N282" i="18" a="1"/>
  <c r="P419" i="18" a="1"/>
  <c r="R314" i="18" a="1"/>
  <c r="R489" i="18" a="1"/>
  <c r="AA325" i="18" a="1"/>
  <c r="W386" i="18" a="1"/>
  <c r="O89" i="18" a="1"/>
  <c r="T449" i="18" a="1"/>
  <c r="Q294" i="18" a="1"/>
  <c r="Q493" i="18" a="1"/>
  <c r="X484" i="18" a="1"/>
  <c r="T13" i="18" a="1"/>
  <c r="S330" i="18" a="1"/>
  <c r="U304" i="18" a="1"/>
  <c r="T151" i="18" a="1"/>
  <c r="AA165" i="18" a="1"/>
  <c r="T130" i="18" a="1"/>
  <c r="AA140" i="18" a="1"/>
  <c r="AA180" i="18" a="1"/>
  <c r="P290" i="18" a="1"/>
  <c r="Q477" i="18" a="1"/>
  <c r="U125" i="18" a="1"/>
  <c r="N353" i="18" a="1"/>
  <c r="W86" i="18" a="1"/>
  <c r="Q257" i="18" a="1"/>
  <c r="W364" i="18" a="1"/>
  <c r="O389" i="18" a="1"/>
  <c r="V160" i="18" a="1"/>
  <c r="S316" i="18" a="1"/>
  <c r="V213" i="18" a="1"/>
  <c r="U306" i="18" a="1"/>
  <c r="O108" i="18" a="1"/>
  <c r="S414" i="18" a="1"/>
  <c r="V375" i="18" a="1"/>
  <c r="N416" i="18" a="1"/>
  <c r="Q497" i="18" a="1"/>
  <c r="O341" i="18" a="1"/>
  <c r="F6" i="12"/>
  <c r="V334" i="18" a="1"/>
  <c r="U57" i="18" a="1"/>
  <c r="AA99" i="18" a="1"/>
  <c r="V151" i="18" a="1"/>
  <c r="O416" i="18" a="1"/>
  <c r="N406" i="18" a="1"/>
  <c r="P177" i="18" a="1"/>
  <c r="U438" i="18" a="1"/>
  <c r="U264" i="18" a="1"/>
  <c r="R233" i="18" a="1"/>
  <c r="T389" i="18" a="1"/>
  <c r="V422" i="18" a="1"/>
  <c r="V314" i="18" a="1"/>
  <c r="S135" i="18" a="1"/>
  <c r="W451" i="18" a="1"/>
  <c r="W376" i="18" a="1"/>
  <c r="U93" i="18" a="1"/>
  <c r="U234" i="18" a="1"/>
  <c r="S464" i="18" a="1"/>
  <c r="R104" i="18" a="1"/>
  <c r="Q48" i="18" a="1"/>
  <c r="O172" i="18" a="1"/>
  <c r="W48" i="18" a="1"/>
  <c r="Q356" i="18" a="1"/>
  <c r="T140" i="18" a="1"/>
  <c r="P159" i="18" a="1"/>
  <c r="R210" i="18" a="1"/>
  <c r="N87" i="18" a="1"/>
  <c r="U452" i="18" a="1"/>
  <c r="U399" i="18" a="1"/>
  <c r="S305" i="18" a="1"/>
  <c r="S29" i="18" a="1"/>
  <c r="V367" i="18" a="1"/>
  <c r="Q102" i="18" a="1"/>
  <c r="R443" i="18" a="1"/>
  <c r="X284" i="18" a="1"/>
  <c r="AA175" i="18" a="1"/>
  <c r="N332" i="18" a="1"/>
  <c r="Q77" i="18" a="1"/>
  <c r="R373" i="18" a="1"/>
  <c r="O372" i="18" a="1"/>
  <c r="T232" i="18" a="1"/>
  <c r="N492" i="18" a="1"/>
  <c r="N355" i="18" a="1"/>
  <c r="Q471" i="18" a="1"/>
  <c r="V413" i="18" a="1"/>
  <c r="R102" i="18" a="1"/>
  <c r="W410" i="18" a="1"/>
  <c r="R388" i="18" a="1"/>
  <c r="X149" i="18" a="1"/>
  <c r="V370" i="18" a="1"/>
  <c r="R326" i="18" a="1"/>
  <c r="P31" i="18" a="1"/>
  <c r="AA43" i="18" a="1"/>
  <c r="P71" i="18" a="1"/>
  <c r="T372" i="18" a="1"/>
  <c r="X261" i="18" a="1"/>
  <c r="R440" i="18" a="1"/>
  <c r="V253" i="18" a="1"/>
  <c r="X187" i="18" a="1"/>
  <c r="Q186" i="18" a="1"/>
  <c r="S373" i="18" a="1"/>
  <c r="O68" i="18" a="1"/>
  <c r="N413" i="18" a="1"/>
  <c r="N120" i="18" a="1"/>
  <c r="Q501" i="18" a="1"/>
  <c r="X289" i="18" a="1"/>
  <c r="P276" i="18" a="1"/>
  <c r="Q235" i="18" a="1"/>
  <c r="N71" i="18" a="1"/>
  <c r="W38" i="18" a="1"/>
  <c r="V42" i="18" a="1"/>
  <c r="T35" i="18" a="1"/>
  <c r="P299" i="18" a="1"/>
  <c r="W465" i="18" a="1"/>
  <c r="AA455" i="18" a="1"/>
  <c r="N215" i="18" a="1"/>
  <c r="P216" i="18" a="1"/>
  <c r="Q232" i="18" a="1"/>
  <c r="R147" i="18" a="1"/>
  <c r="W176" i="18" a="1"/>
  <c r="U362" i="18" a="1"/>
  <c r="T55" i="18" a="1"/>
  <c r="P484" i="18" a="1"/>
  <c r="V50" i="18" a="1"/>
  <c r="O278" i="18" a="1"/>
  <c r="S155" i="18" a="1"/>
  <c r="X241" i="18" a="1"/>
  <c r="W453" i="18" a="1"/>
  <c r="N400" i="18" a="1"/>
  <c r="N447" i="18" a="1"/>
  <c r="T50" i="18" a="1"/>
  <c r="U274" i="18" a="1"/>
  <c r="V165" i="18" a="1"/>
  <c r="S95" i="18" a="1"/>
  <c r="U165" i="18" a="1"/>
  <c r="S360" i="18" a="1"/>
  <c r="V404" i="18" a="1"/>
  <c r="V313" i="18" a="1"/>
  <c r="W487" i="18" a="1"/>
  <c r="Q172" i="18" a="1"/>
  <c r="X435" i="18" a="1"/>
  <c r="S441" i="18" a="1"/>
  <c r="Q278" i="18" a="1"/>
  <c r="V130" i="18" a="1"/>
  <c r="R16" i="18" a="1"/>
  <c r="U154" i="18" a="1"/>
  <c r="S454" i="18" a="1"/>
  <c r="AA166" i="18" a="1"/>
  <c r="X290" i="18" a="1"/>
  <c r="T9" i="18" a="1"/>
  <c r="P106" i="18" a="1"/>
  <c r="V127" i="18" a="1"/>
  <c r="N265" i="18" a="1"/>
  <c r="P195" i="18" a="1"/>
  <c r="U128" i="18" a="1"/>
  <c r="R297" i="18" a="1"/>
  <c r="P51" i="18" a="1"/>
  <c r="N407" i="18" a="1"/>
  <c r="R378" i="18" a="1"/>
  <c r="U219" i="18" a="1"/>
  <c r="S8" i="18" a="1"/>
  <c r="T197" i="18" a="1"/>
  <c r="P148" i="18" a="1"/>
  <c r="N230" i="18" a="1"/>
  <c r="W470" i="18" a="1"/>
  <c r="AA477" i="18" a="1"/>
  <c r="P292" i="18" a="1"/>
  <c r="W463" i="18" a="1"/>
  <c r="T499" i="18" a="1"/>
  <c r="S404" i="18" a="1"/>
  <c r="R488" i="18" a="1"/>
  <c r="P429" i="18" a="1"/>
  <c r="X401" i="18" a="1"/>
  <c r="W66" i="18" a="1"/>
  <c r="X313" i="18" a="1"/>
  <c r="U127" i="18" a="1"/>
  <c r="P191" i="18" a="1"/>
  <c r="AA264" i="18" a="1"/>
  <c r="V308" i="18" a="1"/>
  <c r="P304" i="18" a="1"/>
  <c r="R354" i="18" a="1"/>
  <c r="X70" i="18" a="1"/>
  <c r="N39" i="18" a="1"/>
  <c r="V70" i="18" a="1"/>
  <c r="P285" i="18" a="1"/>
  <c r="N157" i="18" a="1"/>
  <c r="AA27" i="18" a="1"/>
  <c r="Q416" i="18" a="1"/>
  <c r="V168" i="18" a="1"/>
  <c r="P102" i="18" a="1"/>
  <c r="P96" i="18" a="1"/>
  <c r="AA337" i="18" a="1"/>
  <c r="X117" i="18" a="1"/>
  <c r="U65" i="18" a="1"/>
  <c r="X404" i="18" a="1"/>
  <c r="AA269" i="18" a="1"/>
  <c r="P500" i="18" a="1"/>
  <c r="S270" i="18" a="1"/>
  <c r="X158" i="18" a="1"/>
  <c r="W345" i="18" a="1"/>
  <c r="U11" i="18" a="1"/>
  <c r="W366" i="18" a="1"/>
  <c r="U136" i="18" a="1"/>
  <c r="T278" i="18" a="1"/>
  <c r="R469" i="18" a="1"/>
  <c r="S174" i="18" a="1"/>
  <c r="W339" i="18" a="1"/>
  <c r="AA186" i="18" a="1"/>
  <c r="R459" i="18" a="1"/>
  <c r="AA421" i="18" a="1"/>
  <c r="Q252" i="18" a="1"/>
  <c r="R149" i="18" a="1"/>
  <c r="P288" i="18" a="1"/>
  <c r="W20" i="18" a="1"/>
  <c r="N203" i="18" a="1"/>
  <c r="U465" i="18" a="1"/>
  <c r="U175" i="18" a="1"/>
  <c r="T393" i="18" a="1"/>
  <c r="N460" i="18" a="1"/>
  <c r="AA50" i="18" a="1"/>
  <c r="T289" i="18" a="1"/>
  <c r="P260" i="18" a="1"/>
  <c r="N433" i="18" a="1"/>
  <c r="Q504" i="18" a="1"/>
  <c r="T296" i="18" a="1"/>
  <c r="R50" i="18" a="1"/>
  <c r="T495" i="18" a="1"/>
  <c r="AA430" i="18" a="1"/>
  <c r="R119" i="18" a="1"/>
  <c r="S48" i="18" a="1"/>
  <c r="P416" i="18" a="1"/>
  <c r="N198" i="18" a="1"/>
  <c r="R372" i="18" a="1"/>
  <c r="N386" i="18" a="1"/>
  <c r="T30" i="18" a="1"/>
  <c r="V488" i="18" a="1"/>
  <c r="Q375" i="18" a="1"/>
  <c r="X151" i="18" a="1"/>
  <c r="V500" i="18" a="1"/>
  <c r="W110" i="18" a="1"/>
  <c r="Q344" i="18" a="1"/>
  <c r="W310" i="18" a="1"/>
  <c r="V187" i="18" a="1"/>
  <c r="S112" i="18" a="1"/>
  <c r="N132" i="18" a="1"/>
  <c r="U286" i="18" a="1"/>
  <c r="Q104" i="18" a="1"/>
  <c r="X277" i="18" a="1"/>
  <c r="T32" i="18" a="1"/>
  <c r="N309" i="18" a="1"/>
  <c r="X51" i="18" a="1"/>
  <c r="S36" i="18" a="1"/>
  <c r="T181" i="18" a="1"/>
  <c r="O339" i="18" a="1"/>
  <c r="W390" i="18" a="1"/>
  <c r="T133" i="18" a="1"/>
  <c r="R230" i="18" a="1"/>
  <c r="O242" i="18" a="1"/>
  <c r="T498" i="18" a="1"/>
  <c r="X34" i="18" a="1"/>
  <c r="P199" i="18" a="1"/>
  <c r="N459" i="18" a="1"/>
  <c r="W158" i="18" a="1"/>
  <c r="X332" i="18" a="1"/>
  <c r="V454" i="18" a="1"/>
  <c r="U436" i="18" a="1"/>
  <c r="AA206" i="18" a="1"/>
  <c r="S481" i="18" a="1"/>
  <c r="R342" i="18" a="1"/>
  <c r="R143" i="18" a="1"/>
  <c r="O318" i="18" a="1"/>
  <c r="W56" i="18" a="1"/>
  <c r="U217" i="18" a="1"/>
  <c r="W295" i="18" a="1"/>
  <c r="T419" i="18" a="1"/>
  <c r="S226" i="18" a="1"/>
  <c r="U61" i="18" a="1"/>
  <c r="V383" i="18" a="1"/>
  <c r="W72" i="18" a="1"/>
  <c r="N285" i="18" a="1"/>
  <c r="U496" i="18" a="1"/>
  <c r="Q95" i="18" a="1"/>
  <c r="P302" i="18" a="1"/>
  <c r="X384" i="18" a="1"/>
  <c r="S246" i="18" a="1"/>
  <c r="U79" i="18" a="1"/>
  <c r="X491" i="18" a="1"/>
  <c r="N234" i="18" a="1"/>
  <c r="Q41" i="18" a="1"/>
  <c r="U196" i="18" a="1"/>
  <c r="W222" i="18" a="1"/>
  <c r="O155" i="18" a="1"/>
  <c r="X487" i="18" a="1"/>
  <c r="W433" i="18" a="1"/>
  <c r="N58" i="18" a="1"/>
  <c r="Q146" i="18" a="1"/>
  <c r="U164" i="18" a="1"/>
  <c r="W503" i="18" a="1"/>
  <c r="P26" i="18" a="1"/>
  <c r="S459" i="18" a="1"/>
  <c r="AA154" i="18" a="1"/>
  <c r="N74" i="18" a="1"/>
  <c r="S290" i="18" a="1"/>
  <c r="U483" i="18" a="1"/>
  <c r="O72" i="18" a="1"/>
  <c r="S79" i="18" a="1"/>
  <c r="AA470" i="18" a="1"/>
  <c r="S147" i="18" a="1"/>
  <c r="W506" i="18" a="1"/>
  <c r="T308" i="18" a="1"/>
  <c r="N356" i="18" a="1"/>
  <c r="O124" i="18" a="1"/>
  <c r="W69" i="18" a="1"/>
  <c r="O92" i="18" a="1"/>
  <c r="R360" i="18" a="1"/>
  <c r="U220" i="18" a="1"/>
  <c r="X298" i="18" a="1"/>
  <c r="W202" i="18" a="1"/>
  <c r="Q264" i="18" a="1"/>
  <c r="N19" i="18" a="1"/>
  <c r="R449" i="18" a="1"/>
  <c r="U265" i="18" a="1"/>
  <c r="U231" i="18" a="1"/>
  <c r="W188" i="18" a="1"/>
  <c r="U277" i="18" a="1"/>
  <c r="R301" i="18" a="1"/>
  <c r="X382" i="18" a="1"/>
  <c r="AA55" i="18" a="1"/>
  <c r="T295" i="18" a="1"/>
  <c r="Q410" i="18" a="1"/>
  <c r="X434" i="18" a="1"/>
  <c r="V186" i="18" a="1"/>
  <c r="O458" i="18" a="1"/>
  <c r="P466" i="18" a="1"/>
  <c r="S350" i="18" a="1"/>
  <c r="AA144" i="18" a="1"/>
  <c r="U500" i="18" a="1"/>
  <c r="Q276" i="18" a="1"/>
  <c r="V326" i="18" a="1"/>
  <c r="U358" i="18" a="1"/>
  <c r="O160" i="18" a="1"/>
  <c r="U197" i="18" a="1"/>
  <c r="V231" i="18" a="1"/>
  <c r="O461" i="18" a="1"/>
  <c r="S151" i="18" a="1"/>
  <c r="V81" i="18" a="1"/>
  <c r="P85" i="18" a="1"/>
  <c r="T225" i="18" a="1"/>
  <c r="U82" i="18" a="1"/>
  <c r="Q254" i="18" a="1"/>
  <c r="X194" i="18" a="1"/>
  <c r="P439" i="18" a="1"/>
  <c r="P468" i="18" a="1"/>
  <c r="Q19" i="18" a="1"/>
  <c r="R69" i="18" a="1"/>
  <c r="Q464" i="18" a="1"/>
  <c r="S390" i="18" a="1"/>
  <c r="AA171" i="18" a="1"/>
  <c r="W234" i="18" a="1"/>
  <c r="V60" i="18" a="1"/>
  <c r="X10" i="18" a="1"/>
  <c r="U350" i="18" a="1"/>
  <c r="W301" i="18" a="1"/>
  <c r="W409" i="18" a="1"/>
  <c r="N86" i="18" a="1"/>
  <c r="AA137" i="18" a="1"/>
  <c r="R105" i="18" a="1"/>
  <c r="Q205" i="18" a="1"/>
  <c r="W266" i="18" a="1"/>
  <c r="W312" i="18" a="1"/>
  <c r="Q484" i="18" a="1"/>
  <c r="R491" i="18" a="1"/>
  <c r="V43" i="18" a="1"/>
  <c r="P320" i="18" a="1"/>
  <c r="V363" i="18" a="1"/>
  <c r="AA321" i="18" a="1"/>
  <c r="X216" i="18" a="1"/>
  <c r="Q389" i="18" a="1"/>
  <c r="T332" i="18" a="1"/>
  <c r="S205" i="18" a="1"/>
  <c r="R32" i="18" a="1"/>
  <c r="T196" i="18" a="1"/>
  <c r="T324" i="18" a="1"/>
  <c r="X71" i="18" a="1"/>
  <c r="V52" i="18" a="1"/>
  <c r="S185" i="18" a="1"/>
  <c r="V461" i="18" a="1"/>
  <c r="T187" i="18" a="1"/>
  <c r="W325" i="18" a="1"/>
  <c r="S203" i="18" a="1"/>
  <c r="W277" i="18" a="1"/>
  <c r="N349" i="18" a="1"/>
  <c r="W420" i="18" a="1"/>
  <c r="N59" i="18" a="1"/>
  <c r="X185" i="18" a="1"/>
  <c r="V273" i="18" a="1"/>
  <c r="P90" i="18" a="1"/>
  <c r="X73" i="18" a="1"/>
  <c r="V444" i="18" a="1"/>
  <c r="U83" i="18" a="1"/>
  <c r="U195" i="18" a="1"/>
  <c r="U354" i="18" a="1"/>
  <c r="Q154" i="18" a="1"/>
  <c r="O317" i="18" a="1"/>
  <c r="S474" i="18" a="1"/>
  <c r="AA352" i="18" a="1"/>
  <c r="AA393" i="18" a="1"/>
  <c r="U464" i="18" a="1"/>
  <c r="Q368" i="18" a="1"/>
  <c r="O122" i="18" a="1"/>
  <c r="R316" i="18" a="1"/>
  <c r="X35" i="18" a="1"/>
  <c r="Q115" i="18" a="1"/>
  <c r="AA196" i="18" a="1"/>
  <c r="Q133" i="18" a="1"/>
  <c r="X199" i="18" a="1"/>
  <c r="Q89" i="18" a="1"/>
  <c r="P494" i="18" a="1"/>
  <c r="P185" i="18" a="1"/>
  <c r="X374" i="18" a="1"/>
  <c r="X421" i="18" a="1"/>
  <c r="V366" i="18" a="1"/>
  <c r="AA23" i="18" a="1"/>
  <c r="X398" i="18" a="1"/>
  <c r="Q284" i="18" a="1"/>
  <c r="N31" i="18" a="1"/>
  <c r="N27" i="18" a="1"/>
  <c r="P249" i="18" a="1"/>
  <c r="P485" i="18" a="1"/>
  <c r="P60" i="18" a="1"/>
  <c r="AA460" i="18" a="1"/>
  <c r="R365" i="18" a="1"/>
  <c r="U397" i="18" a="1"/>
  <c r="AA390" i="18" a="1"/>
  <c r="N158" i="18" a="1"/>
  <c r="Q453" i="18" a="1"/>
  <c r="W477" i="18" a="1"/>
  <c r="X74" i="18" a="1"/>
  <c r="T271" i="18" a="1"/>
  <c r="Q171" i="18" a="1"/>
  <c r="R103" i="18" a="1"/>
  <c r="P506" i="18" a="1"/>
  <c r="O141" i="18" a="1"/>
  <c r="V349" i="18" a="1"/>
  <c r="N383" i="18" a="1"/>
  <c r="U375" i="18" a="1"/>
  <c r="W278" i="18" a="1"/>
  <c r="P233" i="18" a="1"/>
  <c r="Q268" i="18" a="1"/>
  <c r="S75" i="18" a="1"/>
  <c r="U16" i="18" a="1"/>
  <c r="U324" i="18" a="1"/>
  <c r="X265" i="18" a="1"/>
  <c r="P480" i="18" a="1"/>
  <c r="R367" i="18" a="1"/>
  <c r="S202" i="18" a="1"/>
  <c r="Q306" i="18" a="1"/>
  <c r="U487" i="18" a="1"/>
  <c r="Q435" i="18" a="1"/>
  <c r="P369" i="18" a="1"/>
  <c r="AA498" i="18" a="1"/>
  <c r="X155" i="18" a="1"/>
  <c r="N103" i="18" a="1"/>
  <c r="T95" i="18" a="1"/>
  <c r="O309" i="18" a="1"/>
  <c r="R328" i="18" a="1"/>
  <c r="U476" i="18" a="1"/>
  <c r="R299" i="18" a="1"/>
  <c r="W85" i="18" a="1"/>
  <c r="AA128" i="18" a="1"/>
  <c r="W217" i="18" a="1"/>
  <c r="N194" i="18" a="1"/>
  <c r="AA113" i="18" a="1"/>
  <c r="V33" i="18" a="1"/>
  <c r="X308" i="18" a="1"/>
  <c r="W73" i="18" a="1"/>
  <c r="P179" i="18" a="1"/>
  <c r="Q317" i="18" a="1"/>
  <c r="V463" i="18" a="1"/>
  <c r="X438" i="18" a="1"/>
  <c r="P104" i="18" a="1"/>
  <c r="R252" i="18" a="1"/>
  <c r="W306" i="18" a="1"/>
  <c r="P27" i="18" a="1"/>
  <c r="T341" i="18" a="1"/>
  <c r="U408" i="18" a="1"/>
  <c r="W105" i="18" a="1"/>
  <c r="Q503" i="18" a="1"/>
  <c r="AA285" i="18" a="1"/>
  <c r="S340" i="18" a="1"/>
  <c r="X295" i="18" a="1"/>
  <c r="Q229" i="18" a="1"/>
  <c r="V69" i="18" a="1"/>
  <c r="Q340" i="18" a="1"/>
  <c r="Q249" i="18" a="1"/>
  <c r="X415" i="18" a="1"/>
  <c r="AA404" i="18" a="1"/>
  <c r="AA58" i="18" a="1"/>
  <c r="S395" i="18" a="1"/>
  <c r="X318" i="18" a="1"/>
  <c r="R273" i="18" a="1"/>
  <c r="S476" i="18" a="1"/>
  <c r="N487" i="18" a="1"/>
  <c r="W456" i="18" a="1"/>
  <c r="X269" i="18" a="1"/>
  <c r="W149" i="18" a="1"/>
  <c r="E13" i="35" a="1"/>
  <c r="N384" i="18" a="1"/>
  <c r="S296" i="18" a="1"/>
  <c r="T72" i="18" a="1"/>
  <c r="X456" i="18" a="1"/>
  <c r="S24" i="18" a="1"/>
  <c r="V7" i="18" a="1"/>
  <c r="R377" i="18" a="1"/>
  <c r="O333" i="18" a="1"/>
  <c r="O384" i="18" a="1"/>
  <c r="T128" i="18" a="1"/>
  <c r="O165" i="18" a="1"/>
  <c r="S247" i="18" a="1"/>
  <c r="V448" i="18" a="1"/>
  <c r="X203" i="18" a="1"/>
  <c r="Q55" i="18" a="1"/>
  <c r="W267" i="18" a="1"/>
  <c r="W363" i="18" a="1"/>
  <c r="V369" i="18" a="1"/>
  <c r="X96" i="18" a="1"/>
  <c r="S436" i="18" a="1"/>
  <c r="U107" i="18" a="1"/>
  <c r="Q51" i="18" a="1"/>
  <c r="P184" i="18" a="1"/>
  <c r="T85" i="18" a="1"/>
  <c r="N371" i="18" a="1"/>
  <c r="X234" i="18" a="1"/>
  <c r="N183" i="18" a="1"/>
  <c r="Q465" i="18" a="1"/>
  <c r="AA327" i="18" a="1"/>
  <c r="Q194" i="18" a="1"/>
  <c r="Q121" i="18" a="1"/>
  <c r="O255" i="18" a="1"/>
  <c r="W12" i="18" a="1"/>
  <c r="O9" i="18" a="1"/>
  <c r="U356" i="18" a="1"/>
  <c r="P228" i="18" a="1"/>
  <c r="U90" i="18" a="1"/>
  <c r="P86" i="18" a="1"/>
  <c r="O412" i="18" a="1"/>
  <c r="R141" i="18" a="1"/>
  <c r="S432" i="18" a="1"/>
  <c r="R72" i="18" a="1"/>
  <c r="T161" i="18" a="1"/>
  <c r="X302" i="18" a="1"/>
  <c r="Q30" i="18" a="1"/>
  <c r="V170" i="18" a="1"/>
  <c r="U40" i="18" a="1"/>
  <c r="Q366" i="18" a="1"/>
  <c r="X118" i="18" a="1"/>
  <c r="Q64" i="18" a="1"/>
  <c r="U383" i="18" a="1"/>
  <c r="R358" i="18" a="1"/>
  <c r="AA138" i="18" a="1"/>
  <c r="AA204" i="18" a="1"/>
  <c r="X268" i="18" a="1"/>
  <c r="R292" i="18" a="1"/>
  <c r="O386" i="18" a="1"/>
  <c r="U469" i="18" a="1"/>
  <c r="AA93" i="18" a="1"/>
  <c r="O429" i="18" a="1"/>
  <c r="T421" i="18" a="1"/>
  <c r="U178" i="18" a="1"/>
  <c r="T467" i="18" a="1"/>
  <c r="U439" i="18" a="1"/>
  <c r="AA412" i="18" a="1"/>
  <c r="Q37" i="18" a="1"/>
  <c r="N373" i="18" a="1"/>
  <c r="S132" i="18" a="1"/>
  <c r="U151" i="18" a="1"/>
  <c r="N270" i="18" a="1"/>
  <c r="T256" i="18" a="1"/>
  <c r="U495" i="18" a="1"/>
  <c r="W383" i="18" a="1"/>
  <c r="W304" i="18" a="1"/>
  <c r="Q312" i="18" a="1"/>
  <c r="W497" i="18" a="1"/>
  <c r="U117" i="18" a="1"/>
  <c r="N346" i="18" a="1"/>
  <c r="P505" i="18" a="1"/>
  <c r="U186" i="18" a="1"/>
  <c r="S30" i="18" a="1"/>
  <c r="O369" i="18" a="1"/>
  <c r="T123" i="18" a="1"/>
  <c r="V21" i="18" a="1"/>
  <c r="Q438" i="18" a="1"/>
  <c r="S241" i="18" a="1"/>
  <c r="AA305" i="18" a="1"/>
  <c r="N280" i="18" a="1"/>
  <c r="P437" i="18" a="1"/>
  <c r="S405" i="18" a="1"/>
  <c r="S139" i="18" a="1"/>
  <c r="T315" i="18" a="1"/>
  <c r="P52" i="18" a="1"/>
  <c r="O56" i="18" a="1"/>
  <c r="Q218" i="18" a="1"/>
  <c r="T292" i="18" a="1"/>
  <c r="T433" i="18" a="1"/>
  <c r="V226" i="18" a="1"/>
  <c r="P129" i="18" a="1"/>
  <c r="V491" i="18" a="1"/>
  <c r="Q251" i="18" a="1"/>
  <c r="O212" i="18" a="1"/>
  <c r="S21" i="18" a="1"/>
  <c r="S331" i="18" a="1"/>
  <c r="R128" i="18" a="1"/>
  <c r="S261" i="18" a="1"/>
  <c r="V354" i="18" a="1"/>
  <c r="U426" i="18" a="1"/>
  <c r="R390" i="18" a="1"/>
  <c r="X264" i="18" a="1"/>
  <c r="N428" i="18" a="1"/>
  <c r="O331" i="18" a="1"/>
  <c r="V39" i="18" a="1"/>
  <c r="W365" i="18" a="1"/>
  <c r="O359" i="18" a="1"/>
  <c r="N380" i="18" a="1"/>
  <c r="W423" i="18" a="1"/>
  <c r="O190" i="18" a="1"/>
  <c r="N37" i="18" a="1"/>
  <c r="U63" i="18" a="1"/>
  <c r="P8" i="18" a="1"/>
  <c r="N372" i="18" a="1"/>
  <c r="U237" i="18" a="1"/>
  <c r="N14" i="18" a="1"/>
  <c r="AA136" i="18" a="1"/>
  <c r="N367" i="18" a="1"/>
  <c r="T355" i="18" a="1"/>
  <c r="X13" i="18" a="1"/>
  <c r="W262" i="18" a="1"/>
  <c r="T191" i="18" a="1"/>
  <c r="T270" i="18" a="1"/>
  <c r="R186" i="18" a="1"/>
  <c r="V224" i="18" a="1"/>
  <c r="Q255" i="18" a="1"/>
  <c r="Q56" i="18" a="1"/>
  <c r="R287" i="18" a="1"/>
  <c r="X367" i="18" a="1"/>
  <c r="O78" i="18" a="1"/>
  <c r="R371" i="18" a="1"/>
  <c r="V167" i="18" a="1"/>
  <c r="AA155" i="18" a="1"/>
  <c r="W382" i="18" a="1"/>
  <c r="O276" i="18" a="1"/>
  <c r="T26" i="18" a="1"/>
  <c r="N206" i="18" a="1"/>
  <c r="U150" i="18" a="1"/>
  <c r="X321" i="18" a="1"/>
  <c r="S188" i="18" a="1"/>
  <c r="X254" i="18" a="1"/>
  <c r="V189" i="18" a="1"/>
  <c r="Q253" i="18" a="1"/>
  <c r="W171" i="18" a="1"/>
  <c r="Q470" i="18" a="1"/>
  <c r="T125" i="18" a="1"/>
  <c r="N189" i="18" a="1"/>
  <c r="T207" i="18" a="1"/>
  <c r="S218" i="18" a="1"/>
  <c r="R275" i="18" a="1"/>
  <c r="P263" i="18" a="1"/>
  <c r="Q409" i="18" a="1"/>
  <c r="O138" i="18" a="1"/>
  <c r="V205" i="18" a="1"/>
  <c r="U147" i="18" a="1"/>
  <c r="V143" i="18" a="1"/>
  <c r="R227" i="18" a="1"/>
  <c r="R68" i="18" a="1"/>
  <c r="AA310" i="18" a="1"/>
  <c r="O364" i="18" a="1"/>
  <c r="T434" i="18" a="1"/>
  <c r="S364" i="18" a="1"/>
  <c r="U491" i="18" a="1"/>
  <c r="O252" i="18" a="1"/>
  <c r="T503" i="18" a="1"/>
  <c r="U420" i="18" a="1"/>
  <c r="V282" i="18" a="1"/>
  <c r="V8" i="18" a="1"/>
  <c r="Q452" i="18" a="1"/>
  <c r="AA501" i="18" a="1"/>
  <c r="S87" i="18" a="1"/>
  <c r="P297" i="18" a="1"/>
  <c r="N126" i="18" a="1"/>
  <c r="T368" i="18" a="1"/>
  <c r="V479" i="18" a="1"/>
  <c r="W77" i="18" a="1"/>
  <c r="V280" i="18" a="1"/>
  <c r="P345" i="18" a="1"/>
  <c r="T317" i="18" a="1"/>
  <c r="U281" i="18" a="1"/>
  <c r="N95" i="18" a="1"/>
  <c r="V333" i="18" a="1"/>
  <c r="O437" i="18" a="1"/>
  <c r="U497" i="18" a="1"/>
  <c r="P72" i="18" a="1"/>
  <c r="P44" i="18" a="1"/>
  <c r="T362" i="18" a="1"/>
  <c r="T170" i="18" a="1"/>
  <c r="R441" i="18" a="1"/>
  <c r="T381" i="18" a="1"/>
  <c r="R396" i="18" a="1"/>
  <c r="T353" i="18" a="1"/>
  <c r="Q63" i="18" a="1"/>
  <c r="T435" i="18" a="1"/>
  <c r="O223" i="18" a="1"/>
  <c r="V332" i="18" a="1"/>
  <c r="O250" i="18" a="1"/>
  <c r="U371" i="18" a="1"/>
  <c r="X319" i="18" a="1"/>
  <c r="X303" i="18" a="1"/>
  <c r="O219" i="18" a="1"/>
  <c r="O203" i="18" a="1"/>
  <c r="P207" i="18" a="1"/>
  <c r="P445" i="18" a="1"/>
  <c r="R112" i="18" a="1"/>
  <c r="AA100" i="18" a="1"/>
  <c r="S35" i="18" a="1"/>
  <c r="P490" i="18" a="1"/>
  <c r="O214" i="18" a="1"/>
  <c r="T52" i="18" a="1"/>
  <c r="U113" i="18" a="1"/>
  <c r="P503" i="18" a="1"/>
  <c r="N488" i="18" a="1"/>
  <c r="X366" i="18" a="1"/>
  <c r="P120" i="18" a="1"/>
  <c r="V315" i="18" a="1"/>
  <c r="W394" i="18" a="1"/>
  <c r="X338" i="18" a="1"/>
  <c r="Q382" i="18" a="1"/>
  <c r="N154" i="18" a="1"/>
  <c r="W424" i="18" a="1"/>
  <c r="X334" i="18" a="1"/>
  <c r="Q220" i="18" a="1"/>
  <c r="R224" i="18" a="1"/>
  <c r="S289" i="18" a="1"/>
  <c r="R302" i="18" a="1"/>
  <c r="U130" i="18" a="1"/>
  <c r="V286" i="18" a="1"/>
  <c r="R155" i="18" a="1"/>
  <c r="N108" i="18" a="1"/>
  <c r="AA330" i="18" a="1"/>
  <c r="W412" i="18" a="1"/>
  <c r="S263" i="18" a="1"/>
  <c r="N281" i="18" a="1"/>
  <c r="P9" i="18" a="1"/>
  <c r="N155" i="18" a="1"/>
  <c r="Q275" i="18" a="1"/>
  <c r="U425" i="18" a="1"/>
  <c r="P424" i="18" a="1"/>
  <c r="W452" i="18" a="1"/>
  <c r="P491" i="18" a="1"/>
  <c r="O177" i="18" a="1"/>
  <c r="S152" i="18" a="1"/>
  <c r="V446" i="18" a="1"/>
  <c r="R422" i="18" a="1"/>
  <c r="T371" i="18" a="1"/>
  <c r="P180" i="18" a="1"/>
  <c r="N457" i="18" a="1"/>
  <c r="R493" i="18" a="1"/>
  <c r="P296" i="18" a="1"/>
  <c r="U412" i="18" a="1"/>
  <c r="O87" i="18" a="1"/>
  <c r="Q49" i="18" a="1"/>
  <c r="W486" i="18" a="1"/>
  <c r="U445" i="18" a="1"/>
  <c r="T163" i="18" a="1"/>
  <c r="O379" i="18" a="1"/>
  <c r="Q447" i="18" a="1"/>
  <c r="R452" i="18" a="1"/>
  <c r="U270" i="18" a="1"/>
  <c r="P75" i="18" a="1"/>
  <c r="Q360" i="18" a="1"/>
  <c r="P407" i="18" a="1"/>
  <c r="U52" i="18" a="1"/>
  <c r="O322" i="18" a="1"/>
  <c r="O491" i="18" a="1"/>
  <c r="X432" i="18" a="1"/>
  <c r="R350" i="18" a="1"/>
  <c r="X134" i="18" a="1"/>
  <c r="AA389" i="18" a="1"/>
  <c r="R257" i="18" a="1"/>
  <c r="V423" i="18" a="1"/>
  <c r="X97" i="18" a="1"/>
  <c r="Q476" i="18" a="1"/>
  <c r="Q202" i="18" a="1"/>
  <c r="S309" i="18" a="1"/>
  <c r="V464" i="18" a="1"/>
  <c r="X246" i="18" a="1"/>
  <c r="T380" i="18" a="1"/>
  <c r="R384" i="18" a="1"/>
  <c r="AA17" i="18" a="1"/>
  <c r="T358" i="18" a="1"/>
  <c r="U213" i="18" a="1"/>
  <c r="S103" i="18" a="1"/>
  <c r="O424" i="18" a="1"/>
  <c r="R47" i="18" a="1"/>
  <c r="U177" i="18" a="1"/>
  <c r="R269" i="18" a="1"/>
  <c r="AA365" i="18" a="1"/>
  <c r="P340" i="18" a="1"/>
  <c r="V399" i="18" a="1"/>
  <c r="AA123" i="18" a="1"/>
  <c r="S158" i="18" a="1"/>
  <c r="R503" i="18" a="1"/>
  <c r="O121" i="18" a="1"/>
  <c r="W432" i="18" a="1"/>
  <c r="O305" i="18" a="1"/>
  <c r="O76" i="18" a="1"/>
  <c r="AA394" i="18" a="1"/>
  <c r="O70" i="18" a="1"/>
  <c r="V217" i="18" a="1"/>
  <c r="S195" i="18" a="1"/>
  <c r="S341" i="18" a="1"/>
  <c r="O342" i="18" a="1"/>
  <c r="N342" i="18" a="1"/>
  <c r="U301" i="18" a="1"/>
  <c r="V59" i="18" a="1"/>
  <c r="P401" i="18" a="1"/>
  <c r="P161" i="18" a="1"/>
  <c r="AA415" i="18" a="1"/>
  <c r="W317" i="18" a="1"/>
  <c r="W355" i="18" a="1"/>
  <c r="W156" i="18" a="1"/>
  <c r="R216" i="18" a="1"/>
  <c r="W346" i="18" a="1"/>
  <c r="O450" i="18" a="1"/>
  <c r="W289" i="18" a="1"/>
  <c r="P482" i="18" a="1"/>
  <c r="S264" i="18" a="1"/>
  <c r="T329" i="18" a="1"/>
  <c r="O327" i="18" a="1"/>
  <c r="S496" i="18" a="1"/>
  <c r="V67" i="18" a="1"/>
  <c r="X184" i="18" a="1"/>
  <c r="V132" i="18" a="1"/>
  <c r="S318" i="18" a="1"/>
  <c r="T261" i="18" a="1"/>
  <c r="O337" i="18" a="1"/>
  <c r="W54" i="18" a="1"/>
  <c r="W116" i="18" a="1"/>
  <c r="O487" i="18" a="1"/>
  <c r="W76" i="18" a="1"/>
  <c r="P243" i="18" a="1"/>
  <c r="R338" i="18" a="1"/>
  <c r="Q346" i="18" a="1"/>
  <c r="W201" i="18" a="1"/>
  <c r="S453" i="18" a="1"/>
  <c r="Q480" i="18" a="1"/>
  <c r="N211" i="18" a="1"/>
  <c r="R56" i="18" a="1"/>
  <c r="O368" i="18" a="1"/>
  <c r="S468" i="18" a="1"/>
  <c r="V51" i="18" a="1"/>
  <c r="N28" i="18" a="1"/>
  <c r="U256" i="18" a="1"/>
  <c r="Q134" i="18" a="1"/>
  <c r="AA101" i="18" a="1"/>
  <c r="N335" i="18" a="1"/>
  <c r="T422" i="18" a="1"/>
  <c r="R182" i="18" a="1"/>
  <c r="U161" i="18" a="1"/>
  <c r="S320" i="18" a="1"/>
  <c r="N267" i="18" a="1"/>
  <c r="W164" i="18" a="1"/>
  <c r="S372" i="18" a="1"/>
  <c r="Q265" i="18" a="1"/>
  <c r="N359" i="18" a="1"/>
  <c r="W362" i="18" a="1"/>
  <c r="V305" i="18" a="1"/>
  <c r="Q226" i="18" a="1"/>
  <c r="O179" i="18" a="1"/>
  <c r="X76" i="18" a="1"/>
  <c r="Q119" i="18" a="1"/>
  <c r="P130" i="18" a="1"/>
  <c r="Q305" i="18" a="1"/>
  <c r="V344" i="18" a="1"/>
  <c r="S411" i="18" a="1"/>
  <c r="AA205" i="18" a="1"/>
  <c r="U168" i="18" a="1"/>
  <c r="Q187" i="18" a="1"/>
  <c r="W248" i="18" a="1"/>
  <c r="N503" i="18" a="1"/>
  <c r="O117" i="18" a="1"/>
  <c r="W53" i="18" a="1"/>
  <c r="T290" i="18" a="1"/>
  <c r="U502" i="18" a="1"/>
  <c r="O427" i="18" a="1"/>
  <c r="Q481" i="18" a="1"/>
  <c r="T112" i="18" a="1"/>
  <c r="Q455" i="18" a="1"/>
  <c r="U292" i="18" a="1"/>
  <c r="S300" i="18" a="1"/>
  <c r="S397" i="18" a="1"/>
  <c r="T446" i="18" a="1"/>
  <c r="R179" i="18" a="1"/>
  <c r="X291" i="18" a="1"/>
  <c r="AA434" i="18" a="1"/>
  <c r="W68" i="18" a="1"/>
  <c r="Q450" i="18" a="1"/>
  <c r="AA230" i="18" a="1"/>
  <c r="E19" i="35" a="1"/>
  <c r="Q26" i="18" a="1"/>
  <c r="S52" i="18" a="1"/>
  <c r="P476" i="18" a="1"/>
  <c r="X450" i="18" a="1"/>
  <c r="Q285" i="18" a="1"/>
  <c r="T370" i="18" a="1"/>
  <c r="AA297" i="18" a="1"/>
  <c r="P397" i="18" a="1"/>
  <c r="U64" i="18" a="1"/>
  <c r="AA35" i="18" a="1"/>
  <c r="U267" i="18" a="1"/>
  <c r="V416" i="18" a="1"/>
  <c r="W481" i="18" a="1"/>
  <c r="V41" i="18" a="1"/>
  <c r="V56" i="18" a="1"/>
  <c r="X206" i="18" a="1"/>
  <c r="X442" i="18" a="1"/>
  <c r="S54" i="18" a="1"/>
  <c r="X406" i="18" a="1"/>
  <c r="S369" i="18" a="1"/>
  <c r="AA326" i="18" a="1"/>
  <c r="W97" i="18" a="1"/>
  <c r="U84" i="18" a="1"/>
  <c r="O489" i="18" a="1"/>
  <c r="N177" i="18" a="1"/>
  <c r="U385" i="18" a="1"/>
  <c r="AA156" i="18" a="1"/>
  <c r="O434" i="18" a="1"/>
  <c r="AA208" i="18" a="1"/>
  <c r="U216" i="18" a="1"/>
  <c r="O472" i="18" a="1"/>
  <c r="U144" i="18" a="1"/>
  <c r="X503" i="18" a="1"/>
  <c r="O392" i="18" a="1"/>
  <c r="T22" i="18" a="1"/>
  <c r="R137" i="18" a="1"/>
  <c r="U261" i="18" a="1"/>
  <c r="R397" i="18" a="1"/>
  <c r="T428" i="18" a="1"/>
  <c r="O493" i="18" a="1"/>
  <c r="R332" i="18" a="1"/>
  <c r="AA223" i="18" a="1"/>
  <c r="E7" i="35" a="1"/>
  <c r="O462" i="18" a="1"/>
  <c r="Q425" i="18" a="1"/>
  <c r="T306" i="18" a="1"/>
  <c r="R108" i="18" a="1"/>
  <c r="S371" i="18" a="1"/>
  <c r="Q441" i="18" a="1"/>
  <c r="X178" i="18" a="1"/>
  <c r="S403" i="18" a="1"/>
  <c r="U97" i="18" a="1"/>
  <c r="S227" i="18" a="1"/>
  <c r="U392" i="18" a="1"/>
  <c r="T45" i="18" a="1"/>
  <c r="Q432" i="18" a="1"/>
  <c r="X82" i="18" a="1"/>
  <c r="Q140" i="18" a="1"/>
  <c r="W400" i="18" a="1"/>
  <c r="P25" i="18" a="1"/>
  <c r="P171" i="18" a="1"/>
  <c r="AA57" i="18" a="1"/>
  <c r="H7" i="12" a="1"/>
  <c r="U112" i="18" a="1"/>
  <c r="P149" i="18" a="1"/>
  <c r="O182" i="18" a="1"/>
  <c r="X109" i="18" a="1"/>
  <c r="P81" i="18" a="1"/>
  <c r="W62" i="18" a="1"/>
  <c r="T262" i="18" a="1"/>
  <c r="O262" i="18" a="1"/>
  <c r="N465" i="18" a="1"/>
  <c r="AA172" i="18" a="1"/>
  <c r="N422" i="18" a="1"/>
  <c r="S443" i="18" a="1"/>
  <c r="Q147" i="18" a="1"/>
  <c r="O394" i="18" a="1"/>
  <c r="U48" i="18" a="1"/>
  <c r="U146" i="18" a="1"/>
  <c r="O146" i="18" a="1"/>
  <c r="Q109" i="18" a="1"/>
  <c r="U27" i="18" a="1"/>
  <c r="O466" i="18" a="1"/>
  <c r="N324" i="18" a="1"/>
  <c r="X279" i="18" a="1"/>
  <c r="U279" i="18" a="1"/>
  <c r="P231" i="18" a="1"/>
  <c r="U258" i="18" a="1"/>
  <c r="R228" i="18" a="1"/>
  <c r="X488" i="18" a="1"/>
  <c r="U395" i="18" a="1"/>
  <c r="X414" i="18" a="1"/>
  <c r="S497" i="18" a="1"/>
  <c r="P323" i="18" a="1"/>
  <c r="N338" i="18" a="1"/>
  <c r="U172" i="18" a="1"/>
  <c r="X100" i="18" a="1"/>
  <c r="N337" i="18" a="1"/>
  <c r="R284" i="18" a="1"/>
  <c r="V259" i="18" a="1"/>
  <c r="V221" i="18" a="1"/>
  <c r="T113" i="18" a="1"/>
  <c r="O302" i="18" a="1"/>
  <c r="O126" i="18" a="1"/>
  <c r="U194" i="18" a="1"/>
  <c r="N195" i="18" a="1"/>
  <c r="U134" i="18" a="1"/>
  <c r="U494" i="18" a="1"/>
  <c r="T442" i="18" a="1"/>
  <c r="W408" i="18" a="1"/>
  <c r="W22" i="18" a="1"/>
  <c r="P175" i="18" a="1"/>
  <c r="V300" i="18" a="1"/>
  <c r="X166" i="18" a="1"/>
  <c r="N296" i="18" a="1"/>
  <c r="AA355" i="18" a="1"/>
  <c r="Q307" i="18" a="1"/>
  <c r="X102" i="18" a="1"/>
  <c r="R498" i="18" a="1"/>
  <c r="AA384" i="18" a="1"/>
  <c r="AA332" i="18" a="1"/>
  <c r="X342" i="18" a="1"/>
  <c r="T12" i="18" a="1"/>
  <c r="O263" i="18" a="1"/>
  <c r="N264" i="18" a="1"/>
  <c r="T83" i="18" a="1"/>
  <c r="Q433" i="18" a="1"/>
  <c r="V382" i="18" a="1"/>
  <c r="S299" i="18" a="1"/>
  <c r="N307" i="18" a="1"/>
  <c r="AA316" i="18" a="1"/>
  <c r="Q418" i="18" a="1"/>
  <c r="O284" i="18" a="1"/>
  <c r="Q225" i="18" a="1"/>
  <c r="AA484" i="18" a="1"/>
  <c r="AA494" i="18" a="1"/>
  <c r="W461" i="18" a="1"/>
  <c r="AA416" i="18" a="1"/>
  <c r="U320" i="18" a="1"/>
  <c r="W197" i="18" a="1"/>
  <c r="X368" i="18" a="1"/>
  <c r="S93" i="18" a="1"/>
  <c r="V460" i="18" a="1"/>
  <c r="P359" i="18" a="1"/>
  <c r="AA387" i="18" a="1"/>
  <c r="W204" i="18" a="1"/>
  <c r="Q144" i="18" a="1"/>
  <c r="P431" i="18" a="1"/>
  <c r="W448" i="18" a="1"/>
  <c r="P127" i="18" a="1"/>
  <c r="Q167" i="18" a="1"/>
  <c r="O69" i="18" a="1"/>
  <c r="U228" i="18" a="1"/>
  <c r="U275" i="18" a="1"/>
  <c r="X340" i="18" a="1"/>
  <c r="V346" i="18" a="1"/>
  <c r="N257" i="18" a="1"/>
  <c r="O504" i="18" a="1"/>
  <c r="S238" i="18" a="1"/>
  <c r="Q151" i="18" a="1"/>
  <c r="U203" i="18" a="1"/>
  <c r="Q68" i="18" a="1"/>
  <c r="AA234" i="18" a="1"/>
  <c r="R366" i="18" a="1"/>
  <c r="S237" i="18" a="1"/>
  <c r="S500" i="18" a="1"/>
  <c r="S461" i="18" a="1"/>
  <c r="X428" i="18" a="1"/>
  <c r="S487" i="18" a="1"/>
  <c r="N114" i="18" a="1"/>
  <c r="S438" i="18" a="1"/>
  <c r="T212" i="18" a="1"/>
  <c r="U225" i="18" a="1"/>
  <c r="Q9" i="18" a="1"/>
  <c r="X378" i="18" a="1"/>
  <c r="U316" i="18" a="1"/>
  <c r="N410" i="18" a="1"/>
  <c r="U434" i="18" a="1"/>
  <c r="N260" i="18" a="1"/>
  <c r="O257" i="18" a="1"/>
  <c r="P486" i="18" a="1"/>
  <c r="R495" i="18" a="1"/>
  <c r="AA442" i="18" a="1"/>
  <c r="X88" i="18" a="1"/>
  <c r="T350" i="18" a="1"/>
  <c r="O498" i="18" a="1"/>
  <c r="Q161" i="18" a="1"/>
  <c r="Q272" i="18" a="1"/>
  <c r="V133" i="18" a="1"/>
  <c r="Q282" i="18" a="1"/>
  <c r="S101" i="18" a="1"/>
  <c r="R12" i="18" a="1"/>
  <c r="AA391" i="18" a="1"/>
  <c r="N287" i="18" a="1"/>
  <c r="O22" i="18" a="1"/>
  <c r="U17" i="18" a="1"/>
  <c r="U35" i="18" a="1"/>
  <c r="W319" i="18" a="1"/>
  <c r="Q457" i="18" a="1"/>
  <c r="W139" i="18" a="1"/>
  <c r="N89" i="18" a="1"/>
  <c r="AA446" i="18" a="1"/>
  <c r="W494" i="18" a="1"/>
  <c r="T80" i="18" a="1"/>
  <c r="N314" i="18" a="1"/>
  <c r="N144" i="18" a="1"/>
  <c r="S418" i="18" a="1"/>
  <c r="V502" i="18" a="1"/>
  <c r="S440" i="18" a="1"/>
  <c r="AA89" i="18" a="1"/>
  <c r="P57" i="18" a="1"/>
  <c r="Q149" i="18" a="1"/>
  <c r="N376" i="18" a="1"/>
  <c r="AA247" i="18" a="1"/>
  <c r="O64" i="18" a="1"/>
  <c r="R27" i="18" a="1"/>
  <c r="U506" i="18" a="1"/>
  <c r="AA451" i="18" a="1"/>
  <c r="T505" i="18" a="1"/>
  <c r="R463" i="18" a="1"/>
  <c r="V298" i="18" a="1"/>
  <c r="X227" i="18" a="1"/>
  <c r="P235" i="18" a="1"/>
  <c r="R97" i="18" a="1"/>
  <c r="P452" i="18" a="1"/>
  <c r="Q394" i="18" a="1"/>
  <c r="N268" i="18" a="1"/>
  <c r="T462" i="18" a="1"/>
  <c r="T109" i="18" a="1"/>
  <c r="R74" i="18" a="1"/>
  <c r="V169" i="18" a="1"/>
  <c r="X17" i="18" a="1"/>
  <c r="X30" i="18" a="1"/>
  <c r="N171" i="18" a="1"/>
  <c r="V85" i="18" a="1"/>
  <c r="X190" i="18" a="1"/>
  <c r="P128" i="18" a="1"/>
  <c r="X433" i="18" a="1"/>
  <c r="U33" i="18" a="1"/>
  <c r="Q322" i="18" a="1"/>
  <c r="Q489" i="18" a="1"/>
  <c r="N249" i="18" a="1"/>
  <c r="W275" i="18" a="1"/>
  <c r="T168" i="18" a="1"/>
  <c r="S465" i="18" a="1"/>
  <c r="V93" i="18" a="1"/>
  <c r="N499" i="18" a="1"/>
  <c r="V247" i="18" a="1"/>
  <c r="AA185" i="18" a="1"/>
  <c r="AA400" i="18" a="1"/>
  <c r="X446" i="18" a="1"/>
  <c r="N178" i="18" a="1"/>
  <c r="N347" i="18" a="1"/>
  <c r="T49" i="18" a="1"/>
  <c r="O204" i="18" a="1"/>
  <c r="N106" i="18" a="1"/>
  <c r="P483" i="18" a="1"/>
  <c r="X470" i="18" a="1"/>
  <c r="Q310" i="18" a="1"/>
  <c r="T299" i="18" a="1"/>
  <c r="T319" i="18" a="1"/>
  <c r="AA225" i="18" a="1"/>
  <c r="Q88" i="18" a="1"/>
  <c r="Q106" i="18" a="1"/>
  <c r="T107" i="18" a="1"/>
  <c r="S168" i="18" a="1"/>
  <c r="S172" i="18" a="1"/>
  <c r="AA386" i="18" a="1"/>
  <c r="N101" i="18" a="1"/>
  <c r="R99" i="18" a="1"/>
  <c r="V340" i="18" a="1"/>
  <c r="X452" i="18" a="1"/>
  <c r="O216" i="18" a="1"/>
  <c r="V365" i="18" a="1"/>
  <c r="AA114" i="18" a="1"/>
  <c r="X69" i="18" a="1"/>
  <c r="T266" i="18" a="1"/>
  <c r="T409" i="18" a="1"/>
  <c r="W235" i="18" a="1"/>
  <c r="Q378" i="18" a="1"/>
  <c r="V353" i="18" a="1"/>
  <c r="V302" i="18" a="1"/>
  <c r="W236" i="18" a="1"/>
  <c r="T190" i="18" a="1"/>
  <c r="S49" i="18" a="1"/>
  <c r="P496" i="18" a="1"/>
  <c r="X24" i="18" a="1"/>
  <c r="X467" i="18" a="1"/>
  <c r="T134" i="18" a="1"/>
  <c r="X250" i="18" a="1"/>
  <c r="W96" i="18" a="1"/>
  <c r="S392" i="18" a="1"/>
  <c r="AA457" i="18" a="1"/>
  <c r="W34" i="18" a="1"/>
  <c r="V16" i="18" a="1"/>
  <c r="X343" i="18" a="1"/>
  <c r="S368" i="18" a="1"/>
  <c r="AA401" i="18" a="1"/>
  <c r="R460" i="18" a="1"/>
  <c r="O328" i="18" a="1"/>
  <c r="S175" i="18" a="1"/>
  <c r="S489" i="18" a="1"/>
  <c r="X53" i="18" a="1"/>
  <c r="Q105" i="18" a="1"/>
  <c r="T258" i="18" a="1"/>
  <c r="Q40" i="18" a="1"/>
  <c r="T86" i="18" a="1"/>
  <c r="O71" i="18" a="1"/>
  <c r="S344" i="18" a="1"/>
  <c r="X482" i="18" a="1"/>
  <c r="N145" i="18" a="1"/>
  <c r="V331" i="18" a="1"/>
  <c r="W50" i="18" a="1"/>
  <c r="O283" i="18" a="1"/>
  <c r="W375" i="18" a="1"/>
  <c r="S504" i="18" a="1"/>
  <c r="U344" i="18" a="1"/>
  <c r="U174" i="18" a="1"/>
  <c r="X142" i="18" a="1"/>
  <c r="X19" i="18" a="1"/>
  <c r="N424" i="18" a="1"/>
  <c r="R428" i="18" a="1"/>
  <c r="O7" i="18" a="1"/>
  <c r="U23" i="18" a="1"/>
  <c r="X165" i="18" a="1"/>
  <c r="R53" i="18" a="1"/>
  <c r="AA253" i="18" a="1"/>
  <c r="R139" i="18" a="1"/>
  <c r="T14" i="18" a="1"/>
  <c r="R65" i="18" a="1"/>
  <c r="AA349" i="18" a="1"/>
  <c r="R318" i="18" a="1"/>
  <c r="V281" i="18" a="1"/>
  <c r="Q269" i="18" a="1"/>
  <c r="W154" i="18" a="1"/>
  <c r="X365" i="18" a="1"/>
  <c r="O106" i="18" a="1"/>
  <c r="N218" i="18" a="1"/>
  <c r="S17" i="18" a="1"/>
  <c r="S18" i="18" a="1"/>
  <c r="X437" i="18" a="1"/>
  <c r="N381" i="18" a="1"/>
  <c r="X240" i="18" a="1"/>
  <c r="V356" i="18" a="1"/>
  <c r="AA372" i="18" a="1"/>
  <c r="Q297" i="18" a="1"/>
  <c r="Q277" i="18" a="1"/>
  <c r="Q281" i="18" a="1"/>
  <c r="S402" i="18" a="1"/>
  <c r="V288" i="18" a="1"/>
  <c r="AA157" i="18" a="1"/>
  <c r="O58" i="18" a="1"/>
  <c r="AA469" i="18" a="1"/>
  <c r="V18" i="18" a="1"/>
  <c r="S294" i="18" a="1"/>
  <c r="W181" i="18" a="1"/>
  <c r="N36" i="18" a="1"/>
  <c r="R35" i="18" a="1"/>
  <c r="X192" i="18" a="1"/>
  <c r="V426" i="18" a="1"/>
  <c r="R243" i="18" a="1"/>
  <c r="Q274" i="18" a="1"/>
  <c r="X272" i="18" a="1"/>
  <c r="X242" i="18" a="1"/>
  <c r="T63" i="18" a="1"/>
  <c r="P316" i="18" a="1"/>
  <c r="AA219" i="18" a="1"/>
  <c r="X316" i="18" a="1"/>
  <c r="S16" i="18" a="1"/>
  <c r="V487" i="18" a="1"/>
  <c r="N175" i="18" a="1"/>
  <c r="W414" i="18" a="1"/>
  <c r="X372" i="18" a="1"/>
  <c r="U46" i="18" a="1"/>
  <c r="O207" i="18" a="1"/>
  <c r="V498" i="18" a="1"/>
  <c r="P144" i="18" a="1"/>
  <c r="R319" i="18" a="1"/>
  <c r="S288" i="18" a="1"/>
  <c r="AA336" i="18" a="1"/>
  <c r="U307" i="18" a="1"/>
  <c r="Q250" i="18" a="1"/>
  <c r="T139" i="18" a="1"/>
  <c r="AA385" i="18" a="1"/>
  <c r="U47" i="18" a="1"/>
  <c r="X46" i="18" a="1"/>
  <c r="V310" i="18" a="1"/>
  <c r="P332" i="18" a="1"/>
  <c r="W206" i="18" a="1"/>
  <c r="N388" i="18" a="1"/>
  <c r="X449" i="18" a="1"/>
  <c r="W175" i="18" a="1"/>
  <c r="S480" i="18" a="1"/>
  <c r="R14" i="18" a="1"/>
  <c r="N438" i="18" a="1"/>
  <c r="P198" i="18" a="1"/>
  <c r="AA341" i="18" a="1"/>
  <c r="R433" i="18" a="1"/>
  <c r="N363" i="18" a="1"/>
  <c r="R135" i="18" a="1"/>
  <c r="AA490" i="18" a="1"/>
  <c r="X161" i="18" a="1"/>
  <c r="P70" i="18" a="1"/>
  <c r="U461" i="18" a="1"/>
  <c r="O37" i="18" a="1"/>
  <c r="V10" i="18" a="1"/>
  <c r="P380" i="18" a="1"/>
  <c r="O157" i="18" a="1"/>
  <c r="V456" i="18" a="1"/>
  <c r="V154" i="18" a="1"/>
  <c r="O114" i="18" a="1"/>
  <c r="P321" i="18" a="1"/>
  <c r="R303" i="18" a="1"/>
  <c r="N81" i="18" a="1"/>
  <c r="S458" i="18" a="1"/>
  <c r="T264" i="18" a="1"/>
  <c r="N64" i="18" a="1"/>
  <c r="X136" i="18" a="1"/>
  <c r="O272" i="18" a="1"/>
  <c r="N94" i="18" a="1"/>
  <c r="N213" i="18" a="1"/>
  <c r="X331" i="18" a="1"/>
  <c r="X204" i="18" a="1"/>
  <c r="U38" i="18" a="1"/>
  <c r="T410" i="18" a="1"/>
  <c r="X89" i="18" a="1"/>
  <c r="AA45" i="18" a="1"/>
  <c r="X299" i="18" a="1"/>
  <c r="Q111" i="18" a="1"/>
  <c r="N284" i="18" a="1"/>
  <c r="S379" i="18" a="1"/>
  <c r="U155" i="18" a="1"/>
  <c r="O248" i="18" a="1"/>
  <c r="X328" i="18" a="1"/>
  <c r="V407" i="18" a="1"/>
  <c r="AA322" i="18" a="1"/>
  <c r="V355" i="18" a="1"/>
  <c r="N197" i="18" a="1"/>
  <c r="O308" i="18" a="1"/>
  <c r="S62" i="18" a="1"/>
  <c r="O395" i="18" a="1"/>
  <c r="P189" i="18" a="1"/>
  <c r="X243" i="18" a="1"/>
  <c r="T352" i="18" a="1"/>
  <c r="P54" i="18" a="1"/>
  <c r="W283" i="18" a="1"/>
  <c r="S380" i="18" a="1"/>
  <c r="W33" i="18" a="1"/>
  <c r="P298" i="18" a="1"/>
  <c r="P123" i="18" a="1"/>
  <c r="R465" i="18" a="1"/>
  <c r="V292" i="18" a="1"/>
  <c r="T281" i="18" a="1"/>
  <c r="O127" i="18" a="1"/>
  <c r="X286" i="18" a="1"/>
  <c r="W253" i="18" a="1"/>
  <c r="N417" i="18" a="1"/>
  <c r="U43" i="18" a="1"/>
  <c r="S64" i="18" a="1"/>
  <c r="T457" i="18" a="1"/>
  <c r="W55" i="18" a="1"/>
  <c r="W429" i="18" a="1"/>
  <c r="AA428" i="18" a="1"/>
  <c r="X230" i="18" a="1"/>
  <c r="P95" i="18" a="1"/>
  <c r="P327" i="18" a="1"/>
  <c r="W274" i="18" a="1"/>
  <c r="R78" i="18" a="1"/>
  <c r="O151" i="18" a="1"/>
  <c r="O51" i="18" a="1"/>
  <c r="S99" i="18" a="1"/>
  <c r="P105" i="18" a="1"/>
  <c r="W163" i="18" a="1"/>
  <c r="X126" i="18" a="1"/>
  <c r="W387" i="18" a="1"/>
  <c r="AA465" i="18" a="1"/>
  <c r="T106" i="18" a="1"/>
  <c r="U361" i="18" a="1"/>
  <c r="P295" i="18" a="1"/>
  <c r="P346" i="18" a="1"/>
  <c r="W404" i="18" a="1"/>
  <c r="T219" i="18" a="1"/>
  <c r="P367" i="18" a="1"/>
  <c r="P335" i="18" a="1"/>
  <c r="P173" i="18" a="1"/>
  <c r="O21" i="18" a="1"/>
  <c r="R45" i="18" a="1"/>
  <c r="T58" i="18" a="1"/>
  <c r="AA73" i="18" a="1"/>
  <c r="AA381" i="18" a="1"/>
  <c r="AA22" i="18" a="1"/>
  <c r="O440" i="18" a="1"/>
  <c r="T145" i="18" a="1"/>
  <c r="N148" i="18" a="1"/>
  <c r="X403" i="18" a="1"/>
  <c r="Q45" i="18" a="1"/>
  <c r="U474" i="18" a="1"/>
  <c r="V182" i="18" a="1"/>
  <c r="V20" i="18" a="1"/>
  <c r="V433" i="18" a="1"/>
  <c r="S269" i="18" a="1"/>
  <c r="T142" i="18" a="1"/>
  <c r="R187" i="18" a="1"/>
  <c r="AA407" i="18" a="1"/>
  <c r="AA328" i="18" a="1"/>
  <c r="O459" i="18" a="1"/>
  <c r="AA94" i="18" a="1"/>
  <c r="AA351" i="18" a="1"/>
  <c r="Q352" i="18" a="1"/>
  <c r="P435" i="18" a="1"/>
  <c r="V480" i="18" a="1"/>
  <c r="T346" i="18" a="1"/>
  <c r="N393" i="18" a="1"/>
  <c r="X104" i="18" a="1"/>
  <c r="T103" i="18" a="1"/>
  <c r="R281" i="18" a="1"/>
  <c r="W13" i="18" a="1"/>
  <c r="O274" i="18" a="1"/>
  <c r="W336" i="18" a="1"/>
  <c r="S466" i="18" a="1"/>
  <c r="U89" i="18" a="1"/>
  <c r="X16" i="18" a="1"/>
  <c r="Q302" i="18" a="1"/>
  <c r="Q192" i="18" a="1"/>
  <c r="V417" i="18" a="1"/>
  <c r="O159" i="18" a="1"/>
  <c r="T180" i="18" a="1"/>
  <c r="P362" i="18" a="1"/>
  <c r="O12" i="18" a="1"/>
  <c r="V263" i="18" a="1"/>
  <c r="P166" i="18" a="1"/>
  <c r="N316" i="18" a="1"/>
  <c r="O131" i="18" a="1"/>
  <c r="U193" i="18" a="1"/>
  <c r="X238" i="18" a="1"/>
  <c r="U181" i="18" a="1"/>
  <c r="AA102" i="18" a="1"/>
  <c r="N199" i="18" a="1"/>
  <c r="P418" i="18" a="1"/>
  <c r="Q84" i="18" a="1"/>
  <c r="U71" i="18" a="1"/>
  <c r="AA439" i="18" a="1"/>
  <c r="X351" i="18" a="1"/>
  <c r="R15" i="18" a="1"/>
  <c r="W335" i="18" a="1"/>
  <c r="Q91" i="18" a="1"/>
  <c r="P221" i="18" a="1"/>
  <c r="P136" i="18" a="1"/>
  <c r="X341" i="18" a="1"/>
  <c r="AA64" i="18" a="1"/>
  <c r="U370" i="18" a="1"/>
  <c r="R339" i="18" a="1"/>
  <c r="R188" i="18" a="1"/>
  <c r="W474" i="18" a="1"/>
  <c r="Q487" i="18" a="1"/>
  <c r="T48" i="18" a="1"/>
  <c r="V126" i="18" a="1"/>
  <c r="X309" i="18" a="1"/>
  <c r="S76" i="18" a="1"/>
  <c r="U404" i="18" a="1"/>
  <c r="AA164" i="18" a="1"/>
  <c r="W141" i="18" a="1"/>
  <c r="AA261" i="18" a="1"/>
  <c r="Q158" i="18" a="1"/>
  <c r="AA91" i="18" a="1"/>
  <c r="Q397" i="18" a="1"/>
  <c r="U471" i="18" a="1"/>
  <c r="AA83" i="18" a="1"/>
  <c r="Q141" i="18" a="1"/>
  <c r="U310" i="18" a="1"/>
  <c r="AA18" i="18" a="1"/>
  <c r="N123" i="18" a="1"/>
  <c r="P271" i="18" a="1"/>
  <c r="R142" i="18" a="1"/>
  <c r="W9" i="18" a="1"/>
  <c r="Q246" i="18" a="1"/>
  <c r="U308" i="18" a="1"/>
  <c r="R430" i="18" a="1"/>
  <c r="W165" i="18" a="1"/>
  <c r="R206" i="18" a="1"/>
  <c r="P210" i="18" a="1"/>
  <c r="R148" i="18" a="1"/>
  <c r="S335" i="18" a="1"/>
  <c r="S65" i="18" a="1"/>
  <c r="O428" i="18" a="1"/>
  <c r="O24" i="18" a="1"/>
  <c r="V439" i="18" a="1"/>
  <c r="P347" i="18" a="1"/>
  <c r="Q222" i="18" a="1"/>
  <c r="W282" i="18" a="1"/>
  <c r="X362" i="18" a="1"/>
  <c r="Q18" i="18" a="1"/>
  <c r="AA358" i="18" a="1"/>
  <c r="S273" i="18" a="1"/>
  <c r="R353" i="18" a="1"/>
  <c r="P253" i="18" a="1"/>
  <c r="P471" i="18" a="1"/>
  <c r="T390" i="18" a="1"/>
  <c r="U259" i="18" a="1"/>
  <c r="Q430" i="18" a="1"/>
  <c r="S34" i="18" a="1"/>
  <c r="V83" i="18" a="1"/>
  <c r="R321" i="18" a="1"/>
  <c r="O96" i="18" a="1"/>
  <c r="O330" i="18" a="1"/>
  <c r="O198" i="18" a="1"/>
  <c r="V157" i="18" a="1"/>
  <c r="AA52" i="18" a="1"/>
  <c r="S250" i="18" a="1"/>
  <c r="O442" i="18" a="1"/>
  <c r="R506" i="18" a="1"/>
  <c r="O438" i="18" a="1"/>
  <c r="AA200" i="18" a="1"/>
  <c r="R426" i="18" a="1"/>
  <c r="U7" i="18" a="1"/>
  <c r="W476" i="18" a="1"/>
  <c r="U208" i="18" a="1"/>
  <c r="U221" i="18" a="1"/>
  <c r="T237" i="18" a="1"/>
  <c r="AA472" i="18" a="1"/>
  <c r="V425" i="18" a="1"/>
  <c r="S10" i="18" a="1"/>
  <c r="W254" i="18" a="1"/>
  <c r="N394" i="18" a="1"/>
  <c r="R346" i="18" a="1"/>
  <c r="P329" i="18" a="1"/>
  <c r="N318" i="18" a="1"/>
  <c r="T384" i="18" a="1"/>
  <c r="V225" i="18" a="1"/>
  <c r="R349" i="18" a="1"/>
  <c r="O234" i="18" a="1"/>
  <c r="T488" i="18" a="1"/>
  <c r="O441" i="18" a="1"/>
  <c r="AA479" i="18" a="1"/>
  <c r="R7" i="18" a="1"/>
  <c r="W187" i="18" a="1"/>
  <c r="N272" i="18" a="1"/>
  <c r="W307" i="18" a="1"/>
  <c r="U85" i="18" a="1"/>
  <c r="V178" i="18" a="1"/>
  <c r="U31" i="18" a="1"/>
  <c r="N176" i="18" a="1"/>
  <c r="P36" i="18" a="1"/>
  <c r="T228" i="18" a="1"/>
  <c r="O139" i="18" a="1"/>
  <c r="AA243" i="18" a="1"/>
  <c r="V86" i="18" a="1"/>
  <c r="Q494" i="18" a="1"/>
  <c r="R471" i="18" a="1"/>
  <c r="N344" i="18" a="1"/>
  <c r="Q155" i="18" a="1"/>
  <c r="Q36" i="18" a="1"/>
  <c r="U402" i="18" a="1"/>
  <c r="T53" i="18" a="1"/>
  <c r="Q377" i="18" a="1"/>
  <c r="O411" i="18" a="1"/>
  <c r="Q380" i="18" a="1"/>
  <c r="W259" i="18" a="1"/>
  <c r="W78" i="18" a="1"/>
  <c r="S114" i="18" a="1"/>
  <c r="T448" i="18" a="1"/>
  <c r="X314" i="18" a="1"/>
  <c r="W229" i="18" a="1"/>
  <c r="Q66" i="18" a="1"/>
  <c r="S243" i="18" a="1"/>
  <c r="U367" i="18" a="1"/>
  <c r="X257" i="18" a="1"/>
  <c r="R240" i="18" a="1"/>
  <c r="AA66" i="18" a="1"/>
  <c r="S349" i="18" a="1"/>
  <c r="R331" i="18" a="1"/>
  <c r="Q122" i="18" a="1"/>
  <c r="O90" i="18" a="1"/>
  <c r="O300" i="18" a="1"/>
  <c r="N99" i="18" a="1"/>
  <c r="Q386" i="18" a="1"/>
  <c r="T204" i="18" a="1"/>
  <c r="N491" i="18" a="1"/>
  <c r="U114" i="18" a="1"/>
  <c r="W214" i="18" a="1"/>
  <c r="S254" i="18" a="1"/>
  <c r="Q469" i="18" a="1"/>
  <c r="R393" i="18" a="1"/>
  <c r="W439" i="18" a="1"/>
  <c r="V266" i="18" a="1"/>
  <c r="W299" i="18" a="1"/>
  <c r="U116" i="18" a="1"/>
  <c r="P306" i="18" a="1"/>
  <c r="X375" i="18" a="1"/>
  <c r="T37" i="18" a="1"/>
  <c r="T418" i="18" a="1"/>
  <c r="X213" i="18" a="1"/>
  <c r="S186" i="18" a="1"/>
  <c r="P328" i="18" a="1"/>
  <c r="P13" i="18" a="1"/>
  <c r="V359" i="18" a="1"/>
  <c r="N382" i="18" a="1"/>
  <c r="P160" i="18" a="1"/>
  <c r="Q426" i="18" a="1"/>
  <c r="V161" i="18" a="1"/>
  <c r="R226" i="18" a="1"/>
  <c r="U504" i="18" a="1"/>
  <c r="W454" i="18" a="1"/>
  <c r="AA423" i="18" a="1"/>
  <c r="AA167" i="18" a="1"/>
  <c r="S70" i="18" a="1"/>
  <c r="N464" i="18" a="1"/>
  <c r="U352" i="18" a="1"/>
  <c r="V401" i="18" a="1"/>
  <c r="S333" i="18" a="1"/>
  <c r="V474" i="18" a="1"/>
  <c r="AA367" i="18" a="1"/>
  <c r="R154" i="18" a="1"/>
  <c r="AA53" i="18" a="1"/>
  <c r="U242" i="18" a="1"/>
  <c r="V319" i="18" a="1"/>
  <c r="S235" i="18" a="1"/>
  <c r="P84" i="18" a="1"/>
  <c r="P291" i="18" a="1"/>
  <c r="N317" i="18" a="1"/>
  <c r="S307" i="18" a="1"/>
  <c r="U184" i="18" a="1"/>
  <c r="R272" i="18" a="1"/>
  <c r="P76" i="18" a="1"/>
  <c r="U346" i="18" a="1"/>
  <c r="AA308" i="18" a="1"/>
  <c r="X182" i="18" a="1"/>
  <c r="X198" i="18" a="1"/>
  <c r="N107" i="18" a="1"/>
  <c r="N246" i="18" a="1"/>
  <c r="Q428" i="18" a="1"/>
  <c r="Q46" i="18" a="1"/>
  <c r="Q474" i="18" a="1"/>
  <c r="V361" i="18" a="1"/>
  <c r="W178" i="18" a="1"/>
  <c r="V109" i="18" a="1"/>
  <c r="Q177" i="18" a="1"/>
  <c r="X26" i="18" a="1"/>
  <c r="P155" i="18" a="1"/>
  <c r="X431" i="18" a="1"/>
  <c r="W173" i="18" a="1"/>
  <c r="W330" i="18" a="1"/>
  <c r="U212" i="18" a="1"/>
  <c r="N82" i="18" a="1"/>
  <c r="S358" i="18" a="1"/>
  <c r="P351" i="18" a="1"/>
  <c r="W185" i="18" a="1"/>
  <c r="U143" i="18" a="1"/>
  <c r="U337" i="18" a="1"/>
  <c r="X180" i="18" a="1"/>
  <c r="V211" i="18" a="1"/>
  <c r="W361" i="18" a="1"/>
  <c r="N207" i="18" a="1"/>
  <c r="P222" i="18" a="1"/>
  <c r="W483" i="18" a="1"/>
  <c r="N504" i="18" a="1"/>
  <c r="Q156" i="18" a="1"/>
  <c r="R231" i="18" a="1"/>
  <c r="P63" i="18" a="1"/>
  <c r="N93" i="18" a="1"/>
  <c r="W257" i="18" a="1"/>
  <c r="X8" i="18" a="1"/>
  <c r="T247" i="18" a="1"/>
  <c r="W478" i="18" a="1"/>
  <c r="O402" i="18" a="1"/>
  <c r="Q179" i="18" a="1"/>
  <c r="O455" i="18" a="1"/>
  <c r="N489" i="18" a="1"/>
  <c r="V96" i="18" a="1"/>
  <c r="T382" i="18" a="1"/>
  <c r="P93" i="18" a="1"/>
  <c r="V203" i="18" a="1"/>
  <c r="T239" i="18" a="1"/>
  <c r="Q135" i="18" a="1"/>
  <c r="P241" i="18" a="1"/>
  <c r="W381" i="18" a="1"/>
  <c r="N118" i="18" a="1"/>
  <c r="S153" i="18" a="1"/>
  <c r="O193" i="18" a="1"/>
  <c r="R312" i="18" a="1"/>
  <c r="S406" i="18" a="1"/>
  <c r="O307" i="18" a="1"/>
  <c r="W397" i="18" a="1"/>
  <c r="X174" i="18" a="1"/>
  <c r="N47" i="18" a="1"/>
  <c r="R90" i="18" a="1"/>
  <c r="R247" i="18" a="1"/>
  <c r="P226" i="18" a="1"/>
  <c r="R130" i="18" a="1"/>
  <c r="X383" i="18" a="1"/>
  <c r="Q206" i="18" a="1"/>
  <c r="W119" i="18" a="1"/>
  <c r="T117" i="18" a="1"/>
  <c r="W340" i="18" a="1"/>
  <c r="Q59" i="18" a="1"/>
  <c r="V64" i="18" a="1"/>
  <c r="S196" i="18" a="1"/>
  <c r="V378" i="18" a="1"/>
  <c r="W29" i="18" a="1"/>
  <c r="U339" i="18" a="1"/>
  <c r="U110" i="18" a="1"/>
  <c r="W170" i="18" a="1"/>
  <c r="N482" i="18" a="1"/>
  <c r="S85" i="18" a="1"/>
  <c r="O188" i="18" a="1"/>
  <c r="AA104" i="18" a="1"/>
  <c r="T60" i="18" a="1"/>
  <c r="O264" i="18" a="1"/>
  <c r="T310" i="18" a="1"/>
  <c r="X392" i="18" a="1"/>
  <c r="S425" i="18" a="1"/>
  <c r="S455" i="18" a="1"/>
  <c r="R70" i="18" a="1"/>
  <c r="W186" i="18" a="1"/>
  <c r="Q408" i="18" a="1"/>
  <c r="P73" i="18" a="1"/>
  <c r="S212" i="18" a="1"/>
  <c r="X139" i="18" a="1"/>
  <c r="O477" i="18" a="1"/>
  <c r="S271" i="18" a="1"/>
  <c r="X380" i="18" a="1"/>
  <c r="R478" i="18" a="1"/>
  <c r="U501" i="18" a="1"/>
  <c r="S413" i="18" a="1"/>
  <c r="X146" i="18" a="1"/>
  <c r="P99" i="18" a="1"/>
  <c r="R140" i="18" a="1"/>
  <c r="X370" i="18" a="1"/>
  <c r="S389" i="18" a="1"/>
  <c r="X500" i="18" a="1"/>
  <c r="T432" i="18" a="1"/>
  <c r="S421" i="18" a="1"/>
  <c r="W227" i="18" a="1"/>
  <c r="AA109" i="18" a="1"/>
  <c r="S506" i="18" a="1"/>
  <c r="T76" i="18" a="1"/>
  <c r="W288" i="18" a="1"/>
  <c r="S81" i="18" a="1"/>
  <c r="O391" i="18" a="1"/>
  <c r="T464" i="18" a="1"/>
  <c r="Q339" i="18" a="1"/>
  <c r="Q76" i="18" a="1"/>
  <c r="W385" i="18" a="1"/>
  <c r="R163" i="18" a="1"/>
  <c r="AA92" i="18" a="1"/>
  <c r="O175" i="18" a="1"/>
  <c r="T468" i="18" a="1"/>
  <c r="R43" i="18" a="1"/>
  <c r="T199" i="18" a="1"/>
  <c r="R76" i="18" a="1"/>
  <c r="X349" i="18" a="1"/>
  <c r="T502" i="18" a="1"/>
  <c r="U424" i="18" a="1"/>
  <c r="U378" i="18" a="1"/>
  <c r="T395" i="18" a="1"/>
  <c r="W126" i="18" a="1"/>
  <c r="N442" i="18" a="1"/>
  <c r="R391" i="18" a="1"/>
  <c r="X352" i="18" a="1"/>
  <c r="T116" i="18" a="1"/>
  <c r="W264" i="18" a="1"/>
  <c r="T17" i="18" a="1"/>
  <c r="O295" i="18" a="1"/>
  <c r="W111" i="18" a="1"/>
  <c r="X405" i="18" a="1"/>
  <c r="Q496" i="18" a="1"/>
  <c r="T483" i="18" a="1"/>
  <c r="W303" i="18" a="1"/>
  <c r="X385" i="18" a="1"/>
  <c r="O320" i="18" a="1"/>
  <c r="S426" i="18" a="1"/>
  <c r="W466" i="18" a="1"/>
  <c r="R246" i="18" a="1"/>
  <c r="P240" i="18" a="1"/>
  <c r="AA239" i="18" a="1"/>
  <c r="U92" i="18" a="1"/>
  <c r="U80" i="18" a="1"/>
  <c r="P326" i="18" a="1"/>
  <c r="T227" i="18" a="1"/>
  <c r="V163" i="18" a="1"/>
  <c r="Q126" i="18" a="1"/>
  <c r="T327" i="18" a="1"/>
  <c r="T466" i="18" a="1"/>
  <c r="U441" i="18" a="1"/>
  <c r="N418" i="18" a="1"/>
  <c r="R215" i="18" a="1"/>
  <c r="X311" i="18" a="1"/>
  <c r="T282" i="18" a="1"/>
  <c r="S23" i="18" a="1"/>
  <c r="O324" i="18" a="1"/>
  <c r="AA30" i="18" a="1"/>
  <c r="W104" i="18" a="1"/>
  <c r="Q337" i="18" a="1"/>
  <c r="W35" i="18" a="1"/>
  <c r="AA70" i="18" a="1"/>
  <c r="O132" i="18" a="1"/>
  <c r="T391" i="18" a="1"/>
  <c r="P453" i="18" a="1"/>
  <c r="X455" i="18" a="1"/>
  <c r="O296" i="18" a="1"/>
  <c r="P352" i="18" a="1"/>
  <c r="AA268" i="18" a="1"/>
  <c r="W377" i="18" a="1"/>
  <c r="V285" i="18" a="1"/>
  <c r="T431" i="18" a="1"/>
  <c r="P80" i="18" a="1"/>
  <c r="N112" i="18" a="1"/>
  <c r="O27" i="18" a="1"/>
  <c r="R41" i="18" a="1"/>
  <c r="V458" i="18" a="1"/>
  <c r="X114" i="18" a="1"/>
  <c r="R236" i="18" a="1"/>
  <c r="U432" i="18" a="1"/>
  <c r="P344" i="18" a="1"/>
  <c r="T438" i="18" a="1"/>
  <c r="V171" i="18" a="1"/>
  <c r="V304" i="18" a="1"/>
  <c r="O404" i="18" a="1"/>
  <c r="W504" i="18" a="1"/>
  <c r="R361" i="18" a="1"/>
  <c r="O414" i="18" a="1"/>
  <c r="O415" i="18" a="1"/>
  <c r="P488" i="18" a="1"/>
  <c r="P215" i="18" a="1"/>
  <c r="V309" i="18" a="1"/>
  <c r="T357" i="18" a="1"/>
  <c r="P19" i="18" a="1"/>
  <c r="T385" i="18" a="1"/>
  <c r="W189" i="18" a="1"/>
  <c r="P20" i="18" a="1"/>
  <c r="P17" i="18" a="1"/>
  <c r="AA37" i="18" a="1"/>
  <c r="S449" i="18" a="1"/>
  <c r="X423" i="18" a="1"/>
  <c r="V384" i="18" a="1"/>
  <c r="W331" i="18" a="1"/>
  <c r="R389" i="18" a="1"/>
  <c r="S242" i="18" a="1"/>
  <c r="N258" i="18" a="1"/>
  <c r="W392" i="18" a="1"/>
  <c r="U207" i="18" a="1"/>
  <c r="S277" i="18" a="1"/>
  <c r="U142" i="18" a="1"/>
  <c r="T400" i="18" a="1"/>
  <c r="U490" i="18" a="1"/>
  <c r="Q341" i="18" a="1"/>
  <c r="V396" i="18" a="1"/>
  <c r="Q98" i="18" a="1"/>
  <c r="S336" i="18" a="1"/>
  <c r="O200" i="18" a="1"/>
  <c r="O158" i="18" a="1"/>
  <c r="N10" i="18" a="1"/>
  <c r="W449" i="18" a="1"/>
  <c r="U305" i="18" a="1"/>
  <c r="T211" i="18" a="1"/>
  <c r="Q367" i="18" a="1"/>
  <c r="Q392" i="18" a="1"/>
  <c r="U223" i="18" a="1"/>
  <c r="V94" i="18" a="1"/>
  <c r="W371" i="18" a="1"/>
  <c r="X266" i="18" a="1"/>
  <c r="W240" i="18" a="1"/>
  <c r="N77" i="18" a="1"/>
  <c r="Q67" i="18" a="1"/>
  <c r="AA121" i="18" a="1"/>
  <c r="O407" i="18" a="1"/>
  <c r="Q304" i="18" a="1"/>
  <c r="T349" i="18" a="1"/>
  <c r="W177" i="18" a="1"/>
  <c r="U312" i="18" a="1"/>
  <c r="R153" i="18" a="1"/>
  <c r="W502" i="18" a="1"/>
  <c r="V129" i="18" a="1"/>
  <c r="X58" i="18" a="1"/>
  <c r="O360" i="18" a="1"/>
  <c r="S297" i="18" a="1"/>
  <c r="T91" i="18" a="1"/>
  <c r="R171" i="18" a="1"/>
  <c r="T326" i="18" a="1"/>
  <c r="R280" i="18" a="1"/>
  <c r="T29" i="18" a="1"/>
  <c r="O456" i="18" a="1"/>
  <c r="AA110" i="18" a="1"/>
  <c r="P108" i="18" a="1"/>
  <c r="S419" i="18" a="1"/>
  <c r="S386" i="18" a="1"/>
  <c r="X325" i="18" a="1"/>
  <c r="W17" i="18" a="1"/>
  <c r="P390" i="18" a="1"/>
  <c r="T92" i="18" a="1"/>
  <c r="Q301" i="18" a="1"/>
  <c r="Q168" i="18" a="1"/>
  <c r="Q14" i="18" a="1"/>
  <c r="S163" i="18" a="1"/>
  <c r="N477" i="18" a="1"/>
  <c r="V317" i="18" a="1"/>
  <c r="P158" i="18" a="1"/>
  <c r="V482" i="18" a="1"/>
  <c r="U118" i="18" a="1"/>
  <c r="T198" i="18" a="1"/>
  <c r="P489" i="18" a="1"/>
  <c r="R298" i="18" a="1"/>
  <c r="V436" i="18" a="1"/>
  <c r="O465" i="18" a="1"/>
  <c r="T254" i="18" a="1"/>
  <c r="AA162" i="18" a="1"/>
  <c r="W190" i="18" a="1"/>
  <c r="T131" i="18" a="1"/>
  <c r="U488" i="18" a="1"/>
  <c r="X361" i="18" a="1"/>
  <c r="O153" i="18" a="1"/>
  <c r="U224" i="18" a="1"/>
  <c r="AA462" i="18" a="1"/>
  <c r="P34" i="18" a="1"/>
  <c r="X64" i="18" a="1"/>
  <c r="T415" i="18" a="1"/>
  <c r="X387" i="18" a="1"/>
  <c r="R504" i="18" a="1"/>
  <c r="R455" i="18" a="1"/>
  <c r="V207" i="18" a="1"/>
  <c r="T313" i="18" a="1"/>
  <c r="P33" i="18" a="1"/>
  <c r="W200" i="18" a="1"/>
  <c r="O128" i="18" a="1"/>
  <c r="T439" i="18" a="1"/>
  <c r="X391" i="18" a="1"/>
  <c r="V412" i="18" a="1"/>
  <c r="S44" i="18" a="1"/>
  <c r="W337" i="18" a="1"/>
  <c r="P265" i="18" a="1"/>
  <c r="W47" i="18" a="1"/>
  <c r="R448" i="18" a="1"/>
  <c r="T183" i="18" a="1"/>
  <c r="V75" i="18" a="1"/>
  <c r="S47" i="18" a="1"/>
  <c r="O366" i="18" a="1"/>
  <c r="R209" i="18" a="1"/>
  <c r="S193" i="18" a="1"/>
  <c r="Q390" i="18" a="1"/>
  <c r="N42" i="18" a="1"/>
  <c r="O134" i="18" a="1"/>
  <c r="O352" i="18" a="1"/>
  <c r="S339" i="18" a="1"/>
  <c r="S276" i="18" a="1"/>
  <c r="X436" i="18" a="1"/>
  <c r="X179" i="18" a="1"/>
  <c r="T328" i="18" a="1"/>
  <c r="U24" i="18" a="1"/>
  <c r="AA82" i="18" a="1"/>
  <c r="U62" i="18" a="1"/>
  <c r="P334" i="18" a="1"/>
  <c r="R217" i="18" a="1"/>
  <c r="S338" i="18" a="1"/>
  <c r="Q363" i="18" a="1"/>
  <c r="S450" i="18" a="1"/>
  <c r="AA435" i="18" a="1"/>
  <c r="AA179" i="18" a="1"/>
  <c r="Q107" i="18" a="1"/>
  <c r="Q227" i="18" a="1"/>
  <c r="U318" i="18" a="1"/>
  <c r="C6" i="12" a="1"/>
  <c r="Q373" i="18" a="1"/>
  <c r="X305" i="18" a="1"/>
  <c r="Q22" i="18" a="1"/>
  <c r="Q233" i="18" a="1"/>
  <c r="Q74" i="18" a="1"/>
  <c r="AA258" i="18" a="1"/>
  <c r="N421" i="18" a="1"/>
  <c r="S167" i="18" a="1"/>
  <c r="N326" i="18" a="1"/>
  <c r="P310" i="18" a="1"/>
  <c r="U450" i="18" a="1"/>
  <c r="U405" i="18" a="1"/>
  <c r="P398" i="18" a="1"/>
  <c r="R451" i="18" a="1"/>
  <c r="R191" i="18" a="1"/>
  <c r="Q353" i="18" a="1"/>
  <c r="Q10" i="18" a="1"/>
  <c r="X236" i="18" a="1"/>
  <c r="R480" i="18" a="1"/>
  <c r="V505" i="18" a="1"/>
  <c r="V71" i="18" a="1"/>
  <c r="Q423" i="18" a="1"/>
  <c r="V240" i="18" a="1"/>
  <c r="O173" i="18" a="1"/>
  <c r="N450" i="18" a="1"/>
  <c r="N33" i="18" a="1"/>
  <c r="W18" i="18" a="1"/>
  <c r="W426" i="18" a="1"/>
  <c r="R296" i="18" a="1"/>
  <c r="P477" i="18" a="1"/>
  <c r="W198" i="18" a="1"/>
  <c r="V364" i="18" a="1"/>
  <c r="U290" i="18" a="1"/>
  <c r="R79" i="18" a="1"/>
  <c r="U338" i="18" a="1"/>
  <c r="R184" i="18" a="1"/>
  <c r="P469" i="18" a="1"/>
  <c r="V318" i="18" a="1"/>
  <c r="AA383" i="18" a="1"/>
  <c r="Q248" i="18" a="1"/>
  <c r="P336" i="18" a="1"/>
  <c r="V441" i="18" a="1"/>
  <c r="V252" i="18" a="1"/>
  <c r="O280" i="18" a="1"/>
  <c r="P479" i="18" a="1"/>
  <c r="Q198" i="18" a="1"/>
  <c r="V428" i="18" a="1"/>
  <c r="X84" i="18" a="1"/>
  <c r="S394" i="18" a="1"/>
  <c r="W245" i="18" a="1"/>
  <c r="P192" i="18" a="1"/>
  <c r="X98" i="18" a="1"/>
  <c r="X209" i="18" a="1"/>
  <c r="T238" i="18" a="1"/>
  <c r="O365" i="18" a="1"/>
  <c r="AA14" i="18" a="1"/>
  <c r="Q50" i="18" a="1"/>
  <c r="T463" i="18" a="1"/>
  <c r="S108" i="18" a="1"/>
  <c r="Q243" i="18" a="1"/>
  <c r="Q132" i="18" a="1"/>
  <c r="U415" i="18" a="1"/>
  <c r="T496" i="18" a="1"/>
  <c r="R156" i="18" a="1"/>
  <c r="O206" i="18" a="1"/>
  <c r="T89" i="18" a="1"/>
  <c r="X315" i="18" a="1"/>
  <c r="AA414" i="18" a="1"/>
  <c r="V320" i="18" a="1"/>
  <c r="U413" i="18" a="1"/>
  <c r="X273" i="18" a="1"/>
  <c r="O492" i="18" a="1"/>
  <c r="AA363" i="18" a="1"/>
  <c r="X326" i="18" a="1"/>
  <c r="Q62" i="18" a="1"/>
  <c r="X355" i="18" a="1"/>
  <c r="R100" i="18" a="1"/>
  <c r="O446" i="18" a="1"/>
  <c r="V261" i="18" a="1"/>
  <c r="T291" i="18" a="1"/>
  <c r="R472" i="18" a="1"/>
  <c r="AA21" i="18" a="1"/>
  <c r="T241" i="18" a="1"/>
  <c r="P261" i="18" a="1"/>
  <c r="V87" i="18" a="1"/>
  <c r="N505" i="18" a="1"/>
  <c r="T440" i="18" a="1"/>
  <c r="Q424" i="18" a="1"/>
  <c r="S267" i="18" a="1"/>
  <c r="X54" i="18" a="1"/>
  <c r="AA290" i="18" a="1"/>
  <c r="S27" i="18" a="1"/>
  <c r="AA331" i="18" a="1"/>
  <c r="Q17" i="18" a="1"/>
  <c r="O361" i="18" a="1"/>
  <c r="S217" i="18" a="1"/>
  <c r="U132" i="18" a="1"/>
  <c r="P386" i="18" a="1"/>
  <c r="AA32" i="18" a="1"/>
  <c r="N474" i="18" a="1"/>
  <c r="W349" i="18" a="1"/>
  <c r="N395" i="18" a="1"/>
  <c r="X120" i="18" a="1"/>
  <c r="V19" i="18" a="1"/>
  <c r="O186" i="18" a="1"/>
  <c r="P309" i="18" a="1"/>
  <c r="R193" i="18" a="1"/>
  <c r="S144" i="18" a="1"/>
  <c r="O401" i="18" a="1"/>
  <c r="U363" i="18" a="1"/>
  <c r="W436" i="18" a="1"/>
  <c r="W128" i="18" a="1"/>
  <c r="T208" i="18" a="1"/>
  <c r="T62" i="18" a="1"/>
  <c r="X147" i="18" a="1"/>
  <c r="N163" i="18" a="1"/>
  <c r="U269" i="18" a="1"/>
  <c r="N455" i="18" a="1"/>
  <c r="O452" i="18" a="1"/>
  <c r="T150" i="18" a="1"/>
  <c r="N379" i="18" a="1"/>
  <c r="N439" i="18" a="1"/>
  <c r="X285" i="18" a="1"/>
  <c r="W329" i="18" a="1"/>
  <c r="P337" i="18" a="1"/>
  <c r="X483" i="18" a="1"/>
  <c r="R84" i="18" a="1"/>
  <c r="N168" i="18" a="1"/>
  <c r="N125" i="18" a="1"/>
  <c r="Q299" i="18" a="1"/>
  <c r="Q110" i="18" a="1"/>
  <c r="N483" i="18" a="1"/>
  <c r="S311" i="18" a="1"/>
  <c r="N306" i="18" a="1"/>
  <c r="P456" i="18" a="1"/>
  <c r="V243" i="18" a="1"/>
  <c r="O140" i="18" a="1"/>
  <c r="W327" i="18" a="1"/>
  <c r="N221" i="18" a="1"/>
  <c r="O353" i="18" a="1"/>
  <c r="X103" i="18" a="1"/>
  <c r="P194" i="18" a="1"/>
  <c r="Q92" i="18" a="1"/>
  <c r="P49" i="18" a="1"/>
  <c r="X202" i="18" a="1"/>
  <c r="X140" i="18" a="1"/>
  <c r="N131" i="18" a="1"/>
  <c r="P220" i="18" a="1"/>
  <c r="T311" i="18" a="1"/>
  <c r="N182" i="18" a="1"/>
  <c r="R82" i="18" a="1"/>
  <c r="V245" i="18" a="1"/>
  <c r="T285" i="18" a="1"/>
  <c r="X119" i="18" a="1"/>
  <c r="N219" i="18" a="1"/>
  <c r="Q113" i="18" a="1"/>
  <c r="S283" i="18" a="1"/>
  <c r="O150" i="18" a="1"/>
  <c r="R120" i="18" a="1"/>
  <c r="X358" i="18" a="1"/>
  <c r="O208" i="18" a="1"/>
  <c r="P91" i="18" a="1"/>
  <c r="U336" i="18" a="1"/>
  <c r="R466" i="18" a="1"/>
  <c r="V62" i="18" a="1"/>
  <c r="Q343" i="18" a="1"/>
  <c r="O10" i="18" a="1"/>
  <c r="X424" i="18" a="1"/>
  <c r="X461" i="18" a="1"/>
  <c r="U72" i="18" a="1"/>
  <c r="O111" i="18" a="1"/>
  <c r="U140" i="18" a="1"/>
  <c r="U133" i="18" a="1"/>
  <c r="U185" i="18" a="1"/>
  <c r="X422" i="18" a="1"/>
  <c r="U345" i="18" a="1"/>
  <c r="S502" i="18" a="1"/>
  <c r="U253" i="18" a="1"/>
  <c r="R323" i="18" a="1"/>
  <c r="P384" i="18" a="1"/>
  <c r="R444" i="18" a="1"/>
  <c r="R446" i="18" a="1"/>
  <c r="T193" i="18" a="1"/>
  <c r="V244" i="18" a="1"/>
  <c r="V220" i="18" a="1"/>
  <c r="V38" i="18" a="1"/>
  <c r="W246" i="18" a="1"/>
  <c r="N476" i="18" a="1"/>
  <c r="U313" i="18" a="1"/>
  <c r="O425" i="18" a="1"/>
  <c r="R242" i="18" a="1"/>
  <c r="O433" i="18" a="1"/>
  <c r="AA69" i="18" a="1"/>
  <c r="N62" i="18" a="1"/>
  <c r="O449" i="18" a="1"/>
  <c r="U341" i="18" a="1"/>
  <c r="AA433" i="18" a="1"/>
  <c r="P497" i="18" a="1"/>
  <c r="S176" i="18" a="1"/>
  <c r="O154" i="18" a="1"/>
  <c r="T298" i="18" a="1"/>
  <c r="W328" i="18" a="1"/>
  <c r="W37" i="18" a="1"/>
  <c r="AA478" i="18" a="1"/>
  <c r="R180" i="18" a="1"/>
  <c r="O417" i="18" a="1"/>
  <c r="U115" i="18" a="1"/>
  <c r="U69" i="18" a="1"/>
  <c r="V198" i="18" a="1"/>
  <c r="AA466" i="18" a="1"/>
  <c r="R419" i="18" a="1"/>
  <c r="R212" i="18" a="1"/>
  <c r="W457" i="18" a="1"/>
  <c r="P331" i="18" a="1"/>
  <c r="N190" i="18" a="1"/>
  <c r="Q271" i="18" a="1"/>
  <c r="P234" i="18" a="1"/>
  <c r="V237" i="18" a="1"/>
  <c r="W107" i="18" a="1"/>
  <c r="X364" i="18" a="1"/>
  <c r="R437" i="18" a="1"/>
  <c r="Q287" i="18" a="1"/>
  <c r="S272" i="18" a="1"/>
  <c r="T205" i="18" a="1"/>
  <c r="AA129" i="18" a="1"/>
  <c r="AA133" i="18" a="1"/>
  <c r="AA295" i="18" a="1"/>
  <c r="Q490" i="18" a="1"/>
  <c r="W373" i="18" a="1"/>
  <c r="S233" i="18" a="1"/>
  <c r="V158" i="18" a="1"/>
  <c r="T42" i="18" a="1"/>
  <c r="O211" i="18" a="1"/>
  <c r="X197" i="18" a="1"/>
  <c r="O378" i="18" a="1"/>
  <c r="P43" i="18" a="1"/>
  <c r="AA190" i="18" a="1"/>
  <c r="S401" i="18" a="1"/>
  <c r="N336" i="18" a="1"/>
  <c r="AA474" i="18" a="1"/>
  <c r="P131" i="18" a="1"/>
  <c r="X171" i="18" a="1"/>
  <c r="Q466" i="18" a="1"/>
  <c r="T213" i="18" a="1"/>
  <c r="W203" i="18" a="1"/>
  <c r="P268" i="18" a="1"/>
  <c r="E10" i="35" a="1"/>
  <c r="O209" i="18" a="1"/>
  <c r="T491" i="18" a="1"/>
  <c r="T280" i="18" a="1"/>
  <c r="AA289" i="18" a="1"/>
  <c r="V30" i="18" a="1"/>
  <c r="X106" i="18" a="1"/>
  <c r="S232" i="18" a="1"/>
  <c r="P53" i="18" a="1"/>
  <c r="N387" i="18" a="1"/>
  <c r="AA456" i="18" a="1"/>
  <c r="V400" i="18" a="1"/>
  <c r="P277" i="18" a="1"/>
  <c r="U249" i="18" a="1"/>
  <c r="R202" i="18" a="1"/>
  <c r="O233" i="18" a="1"/>
  <c r="V492" i="18" a="1"/>
  <c r="W347" i="18" a="1"/>
  <c r="W338" i="18" a="1"/>
  <c r="S15" i="18" a="1"/>
  <c r="Q407" i="18" a="1"/>
  <c r="W413" i="18" a="1"/>
  <c r="T304" i="18" a="1"/>
  <c r="P342" i="18" a="1"/>
  <c r="V360" i="18" a="1"/>
  <c r="S161" i="18" a="1"/>
  <c r="U423" i="18" a="1"/>
  <c r="P41" i="18" a="1"/>
  <c r="W326" i="18" a="1"/>
  <c r="W223" i="18" a="1"/>
  <c r="N303" i="18" a="1"/>
  <c r="S251" i="18" a="1"/>
  <c r="X191" i="18" a="1"/>
  <c r="Q15" i="18" a="1"/>
  <c r="X251" i="18" a="1"/>
  <c r="Q314" i="18" a="1"/>
  <c r="S306" i="18" a="1"/>
  <c r="S140" i="18" a="1"/>
  <c r="P339" i="18" a="1"/>
  <c r="R190" i="18" a="1"/>
  <c r="U53" i="18" a="1"/>
  <c r="T412" i="18" a="1"/>
  <c r="T406" i="18" a="1"/>
  <c r="N327" i="18" a="1"/>
  <c r="V406" i="18" a="1"/>
  <c r="W10" i="18" a="1"/>
  <c r="O323" i="18" a="1"/>
  <c r="N13" i="18" a="1"/>
  <c r="S362" i="18" a="1"/>
  <c r="Q396" i="18" a="1"/>
  <c r="P224" i="18" a="1"/>
  <c r="O81" i="18" a="1"/>
  <c r="U86" i="18" a="1"/>
  <c r="P114" i="18" a="1"/>
  <c r="S478" i="18" a="1"/>
  <c r="V49" i="18" a="1"/>
  <c r="Q492" i="18" a="1"/>
  <c r="P446" i="18" a="1"/>
  <c r="U135" i="18" a="1"/>
  <c r="P376" i="18" a="1"/>
  <c r="Q261" i="18" a="1"/>
  <c r="N289" i="18" a="1"/>
  <c r="AA240" i="18" a="1"/>
  <c r="V337" i="18" a="1"/>
  <c r="AA485" i="18" a="1"/>
  <c r="O189" i="18" a="1"/>
  <c r="W71" i="18" a="1"/>
  <c r="S117" i="18" a="1"/>
  <c r="X25" i="18" a="1"/>
  <c r="R376" i="18" a="1"/>
  <c r="N110" i="18" a="1"/>
  <c r="Q263" i="18" a="1"/>
  <c r="T176" i="18" a="1"/>
  <c r="T31" i="18" a="1"/>
  <c r="X447" i="18" a="1"/>
  <c r="R222" i="18" a="1"/>
  <c r="T286" i="18" a="1"/>
  <c r="O18" i="18" a="1"/>
  <c r="P393" i="18" a="1"/>
  <c r="O325" i="18" a="1"/>
  <c r="N328" i="18" a="1"/>
  <c r="N146" i="18" a="1"/>
  <c r="Q136" i="18" a="1"/>
  <c r="AA334" i="18" a="1"/>
  <c r="R229" i="18" a="1"/>
  <c r="W63" i="18" a="1"/>
  <c r="N360" i="18" a="1"/>
  <c r="X464" i="18" a="1"/>
  <c r="R52" i="18" a="1"/>
  <c r="P139" i="18" a="1"/>
  <c r="N441" i="18" a="1"/>
  <c r="N493" i="18" a="1"/>
  <c r="O98" i="18" a="1"/>
  <c r="N147" i="18" a="1"/>
  <c r="AA168" i="18" a="1"/>
  <c r="W16" i="18" a="1"/>
  <c r="P223" i="18" a="1"/>
  <c r="R351" i="18" a="1"/>
  <c r="U34" i="18" a="1"/>
  <c r="P14" i="18" a="1"/>
  <c r="T96" i="18" a="1"/>
  <c r="T374" i="18" a="1"/>
  <c r="P370" i="18" a="1"/>
  <c r="N311" i="18" a="1"/>
  <c r="T18" i="18" a="1"/>
  <c r="X95" i="18" a="1"/>
  <c r="R67" i="18" a="1"/>
  <c r="S327" i="18" a="1"/>
  <c r="R447" i="18" a="1"/>
  <c r="T132" i="18" a="1"/>
  <c r="W380" i="18" a="1"/>
  <c r="R214" i="18" a="1"/>
  <c r="Q112" i="18" a="1"/>
  <c r="S499" i="18" a="1"/>
  <c r="N345" i="18" a="1"/>
  <c r="U19" i="18" a="1"/>
  <c r="W118" i="18" a="1"/>
  <c r="Q403" i="18" a="1"/>
  <c r="AA281" i="18" a="1"/>
  <c r="R8" i="18" a="1"/>
  <c r="U190" i="18" a="1"/>
  <c r="W407" i="18" a="1"/>
  <c r="P258" i="18" a="1"/>
  <c r="U236" i="18" a="1"/>
  <c r="V46" i="18" a="1"/>
  <c r="X486" i="18" a="1"/>
  <c r="R402" i="18" a="1"/>
  <c r="X294" i="18" a="1"/>
  <c r="P318" i="18" a="1"/>
  <c r="AA98" i="18" a="1"/>
  <c r="T24" i="18" a="1"/>
  <c r="O336" i="18" a="1"/>
  <c r="O475" i="18" a="1"/>
  <c r="N446" i="18" a="1"/>
  <c r="W136" i="18" a="1"/>
  <c r="O357" i="18" a="1"/>
  <c r="N22" i="18" a="1"/>
  <c r="P98" i="18" a="1"/>
  <c r="AA202" i="18" a="1"/>
  <c r="X36" i="18" a="1"/>
  <c r="N451" i="18" a="1"/>
  <c r="V209" i="18" a="1"/>
  <c r="AA506" i="18" a="1"/>
  <c r="X347" i="18" a="1"/>
  <c r="X43" i="18" a="1"/>
  <c r="N412" i="18" a="1"/>
  <c r="O191" i="18" a="1"/>
  <c r="S383" i="18" a="1"/>
  <c r="U481" i="18" a="1"/>
  <c r="V135" i="18" a="1"/>
  <c r="O506" i="18" a="1"/>
  <c r="P451" i="18" a="1"/>
  <c r="T120" i="18" a="1"/>
  <c r="X62" i="18" a="1"/>
  <c r="Q256" i="18" a="1"/>
  <c r="O463" i="18" a="1"/>
  <c r="X167" i="18" a="1"/>
  <c r="S260" i="18" a="1"/>
  <c r="P219" i="18" a="1"/>
  <c r="Q11" i="18" a="1"/>
  <c r="V174" i="18" a="1"/>
  <c r="D13" i="27"/>
  <c r="O47" i="18" a="1"/>
  <c r="O355" i="18" a="1"/>
  <c r="Q467" i="18" a="1"/>
  <c r="W242" i="18" a="1"/>
  <c r="Q359" i="18" a="1"/>
  <c r="U201" i="18" a="1"/>
  <c r="N354" i="18" a="1"/>
  <c r="S199" i="18" a="1"/>
  <c r="R129" i="18" a="1"/>
  <c r="R200" i="18" a="1"/>
  <c r="O66" i="18" a="1"/>
  <c r="W15" i="18" a="1"/>
  <c r="Q422" i="18" a="1"/>
  <c r="AA392" i="18" a="1"/>
  <c r="AA300" i="18" a="1"/>
  <c r="U102" i="18" a="1"/>
  <c r="Q38" i="18" a="1"/>
  <c r="U88" i="18" a="1"/>
  <c r="AA248" i="18" a="1"/>
  <c r="U457" i="18" a="1"/>
  <c r="N402" i="18" a="1"/>
  <c r="AA312" i="18" a="1"/>
  <c r="U462" i="18" a="1"/>
  <c r="X44" i="18" a="1"/>
  <c r="AA345" i="18" a="1"/>
  <c r="R387" i="18" a="1"/>
  <c r="U233" i="18" a="1"/>
  <c r="Q238" i="18" a="1"/>
  <c r="R150" i="18" a="1"/>
  <c r="X356" i="18" a="1"/>
  <c r="S94" i="18" a="1"/>
  <c r="O348" i="18" a="1"/>
  <c r="AA34" i="18" a="1"/>
  <c r="W130" i="18" a="1"/>
  <c r="S121" i="18" a="1"/>
  <c r="AA228" i="18" a="1"/>
  <c r="W123" i="18" a="1"/>
  <c r="AA255" i="18" a="1"/>
  <c r="N129" i="18" a="1"/>
  <c r="V321" i="18" a="1"/>
  <c r="P89" i="18" a="1"/>
  <c r="O97" i="18" a="1"/>
  <c r="AA432" i="18" a="1"/>
  <c r="Q85" i="18" a="1"/>
  <c r="S90" i="18" a="1"/>
  <c r="X376" i="18" a="1"/>
  <c r="T386" i="18" a="1"/>
  <c r="W134" i="18" a="1"/>
  <c r="AA38" i="18" a="1"/>
  <c r="P58" i="18" a="1"/>
  <c r="X223" i="18" a="1"/>
  <c r="P206" i="18" a="1"/>
  <c r="O147" i="18" a="1"/>
  <c r="P238" i="18" a="1"/>
  <c r="V235" i="18" a="1"/>
  <c r="X389" i="18" a="1"/>
  <c r="Q421" i="18" a="1"/>
  <c r="R394" i="18" a="1"/>
  <c r="P395" i="18" a="1"/>
  <c r="R445" i="18" a="1"/>
  <c r="X283" i="18" a="1"/>
  <c r="P37" i="18" a="1"/>
  <c r="V166" i="18" a="1"/>
  <c r="P284" i="18" a="1"/>
  <c r="U326" i="18" a="1"/>
  <c r="U285" i="18" a="1"/>
  <c r="V185" i="18" a="1"/>
  <c r="U205" i="18" a="1"/>
  <c r="N254" i="18" a="1"/>
  <c r="R87" i="18" a="1"/>
  <c r="O286" i="18" a="1"/>
  <c r="R9" i="18" a="1"/>
  <c r="N392" i="18" a="1"/>
  <c r="S353" i="18" a="1"/>
  <c r="O94" i="18" a="1"/>
  <c r="U329" i="18" a="1"/>
  <c r="U390" i="18" a="1"/>
  <c r="P11" i="18" a="1"/>
  <c r="W495" i="18" a="1"/>
  <c r="W370" i="18" a="1"/>
  <c r="V387" i="18" a="1"/>
  <c r="N23" i="18" a="1"/>
  <c r="X160" i="18" a="1"/>
  <c r="AA461" i="18" a="1"/>
  <c r="U167" i="18" a="1"/>
  <c r="O505" i="18" a="1"/>
  <c r="N409" i="18" a="1"/>
  <c r="W258" i="18" a="1"/>
  <c r="S56" i="18" a="1"/>
  <c r="P254" i="18" a="1"/>
  <c r="V392" i="18" a="1"/>
  <c r="AA19" i="18" a="1"/>
  <c r="AA409" i="18" a="1"/>
  <c r="V335" i="18" a="1"/>
  <c r="AA492" i="18" a="1"/>
  <c r="V199" i="18" a="1"/>
  <c r="N431" i="18" a="1"/>
  <c r="R204" i="18" a="1"/>
  <c r="T70" i="18" a="1"/>
  <c r="X79" i="18" a="1"/>
  <c r="Q415" i="18" a="1"/>
  <c r="N429" i="18" a="1"/>
  <c r="R343" i="18" a="1"/>
  <c r="X90" i="18" a="1"/>
  <c r="V177" i="18" a="1"/>
  <c r="P387" i="18" a="1"/>
  <c r="W455" i="18" a="1"/>
  <c r="O335" i="18" a="1"/>
  <c r="X226" i="18" a="1"/>
  <c r="N74" i="31" l="1"/>
  <c r="Q74" i="31" s="1"/>
  <c r="L76" i="31"/>
  <c r="H75" i="31"/>
  <c r="N84" i="31"/>
  <c r="Q84" i="31" s="1"/>
  <c r="F87" i="31"/>
  <c r="G85" i="31"/>
  <c r="H88" i="31"/>
  <c r="K66" i="31"/>
  <c r="O66" i="31" s="1"/>
  <c r="H76" i="31"/>
  <c r="G87" i="31"/>
  <c r="M66" i="31"/>
  <c r="G77" i="31"/>
  <c r="F74" i="31"/>
  <c r="F89" i="31"/>
  <c r="O89" i="31" s="1"/>
  <c r="I74" i="31"/>
  <c r="J74" i="31" s="1"/>
  <c r="P88" i="31"/>
  <c r="F76" i="31"/>
  <c r="F77" i="31"/>
  <c r="I75" i="31"/>
  <c r="J75" i="31" s="1"/>
  <c r="I88" i="31"/>
  <c r="J88" i="31" s="1"/>
  <c r="H81" i="31"/>
  <c r="L88" i="31"/>
  <c r="N75" i="31"/>
  <c r="Q75" i="31" s="1"/>
  <c r="M77" i="31"/>
  <c r="I77" i="31"/>
  <c r="J77" i="31" s="1"/>
  <c r="I89" i="31"/>
  <c r="J89" i="31" s="1"/>
  <c r="K74" i="31"/>
  <c r="M88" i="31"/>
  <c r="H77" i="31"/>
  <c r="G74" i="31"/>
  <c r="K76" i="31"/>
  <c r="K80" i="31"/>
  <c r="H79" i="31"/>
  <c r="P81" i="31"/>
  <c r="L81" i="31"/>
  <c r="H85" i="31"/>
  <c r="L89" i="31"/>
  <c r="M79" i="31"/>
  <c r="I84" i="31"/>
  <c r="J84" i="31" s="1"/>
  <c r="G82" i="31"/>
  <c r="G86" i="31"/>
  <c r="N78" i="31"/>
  <c r="O71" i="31"/>
  <c r="M86" i="31"/>
  <c r="L80" i="31"/>
  <c r="F81" i="31"/>
  <c r="I76" i="31"/>
  <c r="J76" i="31" s="1"/>
  <c r="I82" i="31"/>
  <c r="J82" i="31" s="1"/>
  <c r="G75" i="31"/>
  <c r="N82" i="31"/>
  <c r="Q82" i="31" s="1"/>
  <c r="N86" i="31"/>
  <c r="Q86" i="31" s="1"/>
  <c r="P58" i="31"/>
  <c r="P78" i="31"/>
  <c r="N81" i="31"/>
  <c r="K87" i="31"/>
  <c r="K81" i="31"/>
  <c r="H82" i="31"/>
  <c r="P86" i="31"/>
  <c r="M89" i="31"/>
  <c r="K78" i="31"/>
  <c r="F79" i="31"/>
  <c r="I85" i="31"/>
  <c r="J85" i="31" s="1"/>
  <c r="H84" i="31"/>
  <c r="M82" i="31"/>
  <c r="M78" i="31"/>
  <c r="G78" i="31"/>
  <c r="N79" i="31"/>
  <c r="F80" i="31"/>
  <c r="P87" i="31"/>
  <c r="L85" i="31"/>
  <c r="I81" i="31"/>
  <c r="J81" i="31" s="1"/>
  <c r="N76" i="31"/>
  <c r="Q76" i="31" s="1"/>
  <c r="G84" i="31"/>
  <c r="H89" i="31"/>
  <c r="G61" i="31"/>
  <c r="H80" i="31"/>
  <c r="K75" i="31"/>
  <c r="L86" i="31"/>
  <c r="M85" i="31"/>
  <c r="M58" i="31"/>
  <c r="G79" i="31"/>
  <c r="G83" i="31"/>
  <c r="P79" i="31"/>
  <c r="K85" i="31"/>
  <c r="O85" i="31" s="1"/>
  <c r="K79" i="31"/>
  <c r="F82" i="31"/>
  <c r="F85" i="31"/>
  <c r="I80" i="31"/>
  <c r="J80" i="31" s="1"/>
  <c r="P75" i="31"/>
  <c r="H83" i="31"/>
  <c r="P89" i="31"/>
  <c r="H61" i="31"/>
  <c r="N80" i="31"/>
  <c r="L75" i="31"/>
  <c r="L87" i="31"/>
  <c r="M84" i="31"/>
  <c r="M61" i="31"/>
  <c r="M6" i="31"/>
  <c r="M80" i="31"/>
  <c r="P84" i="31"/>
  <c r="O76" i="31"/>
  <c r="G89" i="31"/>
  <c r="F78" i="31"/>
  <c r="I83" i="31"/>
  <c r="J83" i="31" s="1"/>
  <c r="N87" i="31"/>
  <c r="Q87" i="31" s="1"/>
  <c r="I78" i="31"/>
  <c r="J78" i="31" s="1"/>
  <c r="I79" i="31"/>
  <c r="J79" i="31" s="1"/>
  <c r="N83" i="31"/>
  <c r="Q83" i="31" s="1"/>
  <c r="N88" i="31"/>
  <c r="Q88" i="31" s="1"/>
  <c r="G80" i="31"/>
  <c r="L74" i="31"/>
  <c r="K86" i="31"/>
  <c r="F83" i="31"/>
  <c r="O58" i="31"/>
  <c r="O59" i="31"/>
  <c r="O68" i="31"/>
  <c r="F88" i="31"/>
  <c r="I86" i="31"/>
  <c r="J86" i="31" s="1"/>
  <c r="G76" i="31"/>
  <c r="N85" i="31"/>
  <c r="Q85" i="31" s="1"/>
  <c r="H86" i="31"/>
  <c r="H87" i="31"/>
  <c r="P61" i="31"/>
  <c r="P80" i="31"/>
  <c r="M87" i="31"/>
  <c r="L79" i="31"/>
  <c r="L58" i="31"/>
  <c r="L7" i="31"/>
  <c r="H78" i="31"/>
  <c r="K89" i="31"/>
  <c r="F86" i="31"/>
  <c r="I87" i="31"/>
  <c r="J87" i="31" s="1"/>
  <c r="G88" i="31"/>
  <c r="N89" i="31"/>
  <c r="Q89" i="31" s="1"/>
  <c r="G81" i="31"/>
  <c r="M81" i="31"/>
  <c r="L60" i="31"/>
  <c r="N7" i="31"/>
  <c r="Q7" i="31" s="1"/>
  <c r="M60" i="31"/>
  <c r="N6" i="31"/>
  <c r="Q6" i="31" s="1"/>
  <c r="L82" i="31"/>
  <c r="M59" i="31"/>
  <c r="K9" i="31"/>
  <c r="O69" i="31"/>
  <c r="K82" i="31"/>
  <c r="K61" i="31"/>
  <c r="O61" i="31" s="1"/>
  <c r="L6" i="31"/>
  <c r="L9" i="31"/>
  <c r="M8" i="31"/>
  <c r="O67" i="31"/>
  <c r="L8" i="31"/>
  <c r="X226" i="18"/>
  <c r="O335" i="18"/>
  <c r="W455" i="18"/>
  <c r="P387" i="18"/>
  <c r="V177" i="18"/>
  <c r="X90" i="18"/>
  <c r="R343" i="18"/>
  <c r="N429" i="18"/>
  <c r="Q415" i="18"/>
  <c r="X79" i="18"/>
  <c r="Y79" i="18" s="1"/>
  <c r="T70" i="18"/>
  <c r="R204" i="18"/>
  <c r="N431" i="18"/>
  <c r="V199" i="18"/>
  <c r="AA492" i="18"/>
  <c r="V335" i="18"/>
  <c r="AA409" i="18"/>
  <c r="AA19" i="18"/>
  <c r="V392" i="18"/>
  <c r="P254" i="18"/>
  <c r="S56" i="18"/>
  <c r="W258" i="18"/>
  <c r="N409" i="18"/>
  <c r="O505" i="18"/>
  <c r="U167" i="18"/>
  <c r="AA461" i="18"/>
  <c r="X160" i="18"/>
  <c r="N23" i="18"/>
  <c r="V387" i="18"/>
  <c r="W370" i="18"/>
  <c r="W495" i="18"/>
  <c r="P11" i="18"/>
  <c r="U390" i="18"/>
  <c r="U329" i="18"/>
  <c r="O94" i="18"/>
  <c r="S353" i="18"/>
  <c r="N392" i="18"/>
  <c r="R9" i="18"/>
  <c r="O286" i="18"/>
  <c r="R87" i="18"/>
  <c r="N254" i="18"/>
  <c r="U205" i="18"/>
  <c r="V185" i="18"/>
  <c r="U285" i="18"/>
  <c r="U326" i="18"/>
  <c r="P284" i="18"/>
  <c r="V166" i="18"/>
  <c r="P37" i="18"/>
  <c r="X283" i="18"/>
  <c r="R445" i="18"/>
  <c r="P395" i="18"/>
  <c r="R394" i="18"/>
  <c r="Q421" i="18"/>
  <c r="X389" i="18"/>
  <c r="V235" i="18"/>
  <c r="P238" i="18"/>
  <c r="O147" i="18"/>
  <c r="P206" i="18"/>
  <c r="X223" i="18"/>
  <c r="Y223" i="18" s="1"/>
  <c r="P58" i="18"/>
  <c r="AA38" i="18"/>
  <c r="W134" i="18"/>
  <c r="T386" i="18"/>
  <c r="X376" i="18"/>
  <c r="S90" i="18"/>
  <c r="Q85" i="18"/>
  <c r="AA432" i="18"/>
  <c r="O97" i="18"/>
  <c r="P89" i="18"/>
  <c r="V321" i="18"/>
  <c r="N129" i="18"/>
  <c r="AA255" i="18"/>
  <c r="W123" i="18"/>
  <c r="AA228" i="18"/>
  <c r="S121" i="18"/>
  <c r="W130" i="18"/>
  <c r="AA34" i="18"/>
  <c r="O348" i="18"/>
  <c r="S94" i="18"/>
  <c r="X356" i="18"/>
  <c r="R150" i="18"/>
  <c r="Q238" i="18"/>
  <c r="U233" i="18"/>
  <c r="R387" i="18"/>
  <c r="AA345" i="18"/>
  <c r="X44" i="18"/>
  <c r="U462" i="18"/>
  <c r="AA312" i="18"/>
  <c r="N402" i="18"/>
  <c r="U457" i="18"/>
  <c r="AA248" i="18"/>
  <c r="U88" i="18"/>
  <c r="Q38" i="18"/>
  <c r="U102" i="18"/>
  <c r="AA300" i="18"/>
  <c r="AA392" i="18"/>
  <c r="Q422" i="18"/>
  <c r="W15" i="18"/>
  <c r="O66" i="18"/>
  <c r="R200" i="18"/>
  <c r="R129" i="18"/>
  <c r="S199" i="18"/>
  <c r="N354" i="18"/>
  <c r="U201" i="18"/>
  <c r="Q359" i="18"/>
  <c r="W242" i="18"/>
  <c r="Q467" i="18"/>
  <c r="O355" i="18"/>
  <c r="O47" i="18"/>
  <c r="E13" i="27"/>
  <c r="F13" i="27" s="1"/>
  <c r="V174" i="18"/>
  <c r="Q11" i="18"/>
  <c r="P219" i="18"/>
  <c r="S260" i="18"/>
  <c r="X167" i="18"/>
  <c r="O463" i="18"/>
  <c r="Q256" i="18"/>
  <c r="X62" i="18"/>
  <c r="T120" i="18"/>
  <c r="P451" i="18"/>
  <c r="O506" i="18"/>
  <c r="V135" i="18"/>
  <c r="U481" i="18"/>
  <c r="S383" i="18"/>
  <c r="O191" i="18"/>
  <c r="N412" i="18"/>
  <c r="X43" i="18"/>
  <c r="Y43" i="18" s="1"/>
  <c r="X347" i="18"/>
  <c r="AA506" i="18"/>
  <c r="V209" i="18"/>
  <c r="N451" i="18"/>
  <c r="X36" i="18"/>
  <c r="AA202" i="18"/>
  <c r="P98" i="18"/>
  <c r="N22" i="18"/>
  <c r="O357" i="18"/>
  <c r="W136" i="18"/>
  <c r="N446" i="18"/>
  <c r="O475" i="18"/>
  <c r="O336" i="18"/>
  <c r="T24" i="18"/>
  <c r="AA98" i="18"/>
  <c r="P318" i="18"/>
  <c r="X294" i="18"/>
  <c r="R402" i="18"/>
  <c r="X486" i="18"/>
  <c r="V46" i="18"/>
  <c r="U236" i="18"/>
  <c r="P258" i="18"/>
  <c r="W407" i="18"/>
  <c r="U190" i="18"/>
  <c r="R8" i="18"/>
  <c r="AA281" i="18"/>
  <c r="Q403" i="18"/>
  <c r="W118" i="18"/>
  <c r="U19" i="18"/>
  <c r="N345" i="18"/>
  <c r="S499" i="18"/>
  <c r="Q112" i="18"/>
  <c r="R214" i="18"/>
  <c r="W380" i="18"/>
  <c r="T132" i="18"/>
  <c r="R447" i="18"/>
  <c r="S327" i="18"/>
  <c r="R67" i="18"/>
  <c r="X95" i="18"/>
  <c r="T18" i="18"/>
  <c r="N311" i="18"/>
  <c r="P370" i="18"/>
  <c r="T374" i="18"/>
  <c r="T96" i="18"/>
  <c r="P14" i="18"/>
  <c r="U34" i="18"/>
  <c r="R351" i="18"/>
  <c r="P223" i="18"/>
  <c r="W16" i="18"/>
  <c r="AA168" i="18"/>
  <c r="N147" i="18"/>
  <c r="O98" i="18"/>
  <c r="N493" i="18"/>
  <c r="N441" i="18"/>
  <c r="P139" i="18"/>
  <c r="R52" i="18"/>
  <c r="X464" i="18"/>
  <c r="N360" i="18"/>
  <c r="W63" i="18"/>
  <c r="R229" i="18"/>
  <c r="AA334" i="18"/>
  <c r="Q136" i="18"/>
  <c r="N146" i="18"/>
  <c r="N328" i="18"/>
  <c r="O325" i="18"/>
  <c r="P393" i="18"/>
  <c r="O18" i="18"/>
  <c r="T286" i="18"/>
  <c r="R222" i="18"/>
  <c r="X447" i="18"/>
  <c r="T31" i="18"/>
  <c r="T176" i="18"/>
  <c r="Q263" i="18"/>
  <c r="N110" i="18"/>
  <c r="R376" i="18"/>
  <c r="X25" i="18"/>
  <c r="S117" i="18"/>
  <c r="W71" i="18"/>
  <c r="O189" i="18"/>
  <c r="AA485" i="18"/>
  <c r="V337" i="18"/>
  <c r="AA240" i="18"/>
  <c r="N289" i="18"/>
  <c r="Q261" i="18"/>
  <c r="P376" i="18"/>
  <c r="U135" i="18"/>
  <c r="P446" i="18"/>
  <c r="Q492" i="18"/>
  <c r="V49" i="18"/>
  <c r="S478" i="18"/>
  <c r="P114" i="18"/>
  <c r="U86" i="18"/>
  <c r="O81" i="18"/>
  <c r="P224" i="18"/>
  <c r="Q396" i="18"/>
  <c r="S362" i="18"/>
  <c r="N13" i="18"/>
  <c r="O323" i="18"/>
  <c r="W10" i="18"/>
  <c r="V406" i="18"/>
  <c r="N327" i="18"/>
  <c r="T406" i="18"/>
  <c r="T412" i="18"/>
  <c r="U53" i="18"/>
  <c r="R190" i="18"/>
  <c r="P339" i="18"/>
  <c r="S140" i="18"/>
  <c r="S306" i="18"/>
  <c r="Q314" i="18"/>
  <c r="X251" i="18"/>
  <c r="Y251" i="18" s="1"/>
  <c r="Q15" i="18"/>
  <c r="X191" i="18"/>
  <c r="Y191" i="18" s="1"/>
  <c r="S251" i="18"/>
  <c r="N303" i="18"/>
  <c r="W223" i="18"/>
  <c r="W326" i="18"/>
  <c r="P41" i="18"/>
  <c r="U423" i="18"/>
  <c r="S161" i="18"/>
  <c r="V360" i="18"/>
  <c r="P342" i="18"/>
  <c r="T304" i="18"/>
  <c r="W413" i="18"/>
  <c r="Q407" i="18"/>
  <c r="S15" i="18"/>
  <c r="W338" i="18"/>
  <c r="W347" i="18"/>
  <c r="Y347" i="18" s="1"/>
  <c r="V492" i="18"/>
  <c r="O233" i="18"/>
  <c r="R202" i="18"/>
  <c r="U249" i="18"/>
  <c r="P277" i="18"/>
  <c r="V400" i="18"/>
  <c r="AA456" i="18"/>
  <c r="N387" i="18"/>
  <c r="P53" i="18"/>
  <c r="S232" i="18"/>
  <c r="X106" i="18"/>
  <c r="Y106" i="18" s="1"/>
  <c r="V30" i="18"/>
  <c r="AA289" i="18"/>
  <c r="T280" i="18"/>
  <c r="T491" i="18"/>
  <c r="O209" i="18"/>
  <c r="E10" i="35"/>
  <c r="P268" i="18"/>
  <c r="W203" i="18"/>
  <c r="T213" i="18"/>
  <c r="Q466" i="18"/>
  <c r="X171" i="18"/>
  <c r="Y171" i="18" s="1"/>
  <c r="P131" i="18"/>
  <c r="AA474" i="18"/>
  <c r="N336" i="18"/>
  <c r="S401" i="18"/>
  <c r="AA190" i="18"/>
  <c r="P43" i="18"/>
  <c r="O378" i="18"/>
  <c r="X197" i="18"/>
  <c r="O211" i="18"/>
  <c r="T42" i="18"/>
  <c r="V158" i="18"/>
  <c r="S233" i="18"/>
  <c r="W373" i="18"/>
  <c r="Q490" i="18"/>
  <c r="AA295" i="18"/>
  <c r="AA133" i="18"/>
  <c r="AA129" i="18"/>
  <c r="T205" i="18"/>
  <c r="S272" i="18"/>
  <c r="Q287" i="18"/>
  <c r="R437" i="18"/>
  <c r="X364" i="18"/>
  <c r="W107" i="18"/>
  <c r="V237" i="18"/>
  <c r="P234" i="18"/>
  <c r="Q271" i="18"/>
  <c r="N190" i="18"/>
  <c r="P331" i="18"/>
  <c r="W457" i="18"/>
  <c r="R212" i="18"/>
  <c r="R419" i="18"/>
  <c r="AA466" i="18"/>
  <c r="V198" i="18"/>
  <c r="U69" i="18"/>
  <c r="U115" i="18"/>
  <c r="O417" i="18"/>
  <c r="R180" i="18"/>
  <c r="AA478" i="18"/>
  <c r="W37" i="18"/>
  <c r="W328" i="18"/>
  <c r="T298" i="18"/>
  <c r="O154" i="18"/>
  <c r="S176" i="18"/>
  <c r="P497" i="18"/>
  <c r="AA433" i="18"/>
  <c r="U341" i="18"/>
  <c r="O449" i="18"/>
  <c r="N62" i="18"/>
  <c r="AA69" i="18"/>
  <c r="O433" i="18"/>
  <c r="R242" i="18"/>
  <c r="O425" i="18"/>
  <c r="U313" i="18"/>
  <c r="N476" i="18"/>
  <c r="W246" i="18"/>
  <c r="V38" i="18"/>
  <c r="V220" i="18"/>
  <c r="V244" i="18"/>
  <c r="T193" i="18"/>
  <c r="R446" i="18"/>
  <c r="R444" i="18"/>
  <c r="P384" i="18"/>
  <c r="R323" i="18"/>
  <c r="U253" i="18"/>
  <c r="S502" i="18"/>
  <c r="U345" i="18"/>
  <c r="X422" i="18"/>
  <c r="U185" i="18"/>
  <c r="U133" i="18"/>
  <c r="U140" i="18"/>
  <c r="O111" i="18"/>
  <c r="U72" i="18"/>
  <c r="X461" i="18"/>
  <c r="X424" i="18"/>
  <c r="O10" i="18"/>
  <c r="Q343" i="18"/>
  <c r="V62" i="18"/>
  <c r="R466" i="18"/>
  <c r="U336" i="18"/>
  <c r="P91" i="18"/>
  <c r="O208" i="18"/>
  <c r="X358" i="18"/>
  <c r="R120" i="18"/>
  <c r="O150" i="18"/>
  <c r="S283" i="18"/>
  <c r="Q113" i="18"/>
  <c r="N219" i="18"/>
  <c r="X119" i="18"/>
  <c r="T285" i="18"/>
  <c r="V245" i="18"/>
  <c r="R82" i="18"/>
  <c r="N182" i="18"/>
  <c r="T311" i="18"/>
  <c r="P220" i="18"/>
  <c r="N131" i="18"/>
  <c r="X140" i="18"/>
  <c r="X202" i="18"/>
  <c r="P49" i="18"/>
  <c r="Q92" i="18"/>
  <c r="P194" i="18"/>
  <c r="X103" i="18"/>
  <c r="O353" i="18"/>
  <c r="N221" i="18"/>
  <c r="W327" i="18"/>
  <c r="Y327" i="18" s="1"/>
  <c r="O140" i="18"/>
  <c r="V243" i="18"/>
  <c r="P456" i="18"/>
  <c r="N306" i="18"/>
  <c r="S311" i="18"/>
  <c r="N483" i="18"/>
  <c r="Q110" i="18"/>
  <c r="Q299" i="18"/>
  <c r="N125" i="18"/>
  <c r="N168" i="18"/>
  <c r="R84" i="18"/>
  <c r="X483" i="18"/>
  <c r="P337" i="18"/>
  <c r="W329" i="18"/>
  <c r="Y329" i="18" s="1"/>
  <c r="X285" i="18"/>
  <c r="N439" i="18"/>
  <c r="N379" i="18"/>
  <c r="T150" i="18"/>
  <c r="O452" i="18"/>
  <c r="N455" i="18"/>
  <c r="U269" i="18"/>
  <c r="N163" i="18"/>
  <c r="X147" i="18"/>
  <c r="T62" i="18"/>
  <c r="T208" i="18"/>
  <c r="W128" i="18"/>
  <c r="W436" i="18"/>
  <c r="U363" i="18"/>
  <c r="O401" i="18"/>
  <c r="S144" i="18"/>
  <c r="R193" i="18"/>
  <c r="P309" i="18"/>
  <c r="O186" i="18"/>
  <c r="V19" i="18"/>
  <c r="X120" i="18"/>
  <c r="N395" i="18"/>
  <c r="W349" i="18"/>
  <c r="N474" i="18"/>
  <c r="AA32" i="18"/>
  <c r="P386" i="18"/>
  <c r="U132" i="18"/>
  <c r="S217" i="18"/>
  <c r="O361" i="18"/>
  <c r="Q17" i="18"/>
  <c r="AA331" i="18"/>
  <c r="S27" i="18"/>
  <c r="AA290" i="18"/>
  <c r="X54" i="18"/>
  <c r="S267" i="18"/>
  <c r="Q424" i="18"/>
  <c r="T440" i="18"/>
  <c r="N505" i="18"/>
  <c r="V87" i="18"/>
  <c r="P261" i="18"/>
  <c r="T241" i="18"/>
  <c r="AA21" i="18"/>
  <c r="R472" i="18"/>
  <c r="T291" i="18"/>
  <c r="V261" i="18"/>
  <c r="O446" i="18"/>
  <c r="R100" i="18"/>
  <c r="X355" i="18"/>
  <c r="Y355" i="18" s="1"/>
  <c r="Q62" i="18"/>
  <c r="X326" i="18"/>
  <c r="AA363" i="18"/>
  <c r="O492" i="18"/>
  <c r="X273" i="18"/>
  <c r="U413" i="18"/>
  <c r="V320" i="18"/>
  <c r="AA414" i="18"/>
  <c r="X315" i="18"/>
  <c r="T89" i="18"/>
  <c r="O206" i="18"/>
  <c r="R156" i="18"/>
  <c r="T496" i="18"/>
  <c r="U415" i="18"/>
  <c r="Q132" i="18"/>
  <c r="Q243" i="18"/>
  <c r="S108" i="18"/>
  <c r="T463" i="18"/>
  <c r="Q50" i="18"/>
  <c r="AA14" i="18"/>
  <c r="O365" i="18"/>
  <c r="T238" i="18"/>
  <c r="X209" i="18"/>
  <c r="X98" i="18"/>
  <c r="P192" i="18"/>
  <c r="W245" i="18"/>
  <c r="S394" i="18"/>
  <c r="X84" i="18"/>
  <c r="V428" i="18"/>
  <c r="Q198" i="18"/>
  <c r="P479" i="18"/>
  <c r="O280" i="18"/>
  <c r="V252" i="18"/>
  <c r="V441" i="18"/>
  <c r="P336" i="18"/>
  <c r="Q248" i="18"/>
  <c r="AA383" i="18"/>
  <c r="V318" i="18"/>
  <c r="P469" i="18"/>
  <c r="R184" i="18"/>
  <c r="U338" i="18"/>
  <c r="R79" i="18"/>
  <c r="U290" i="18"/>
  <c r="V364" i="18"/>
  <c r="W198" i="18"/>
  <c r="P477" i="18"/>
  <c r="R296" i="18"/>
  <c r="W426" i="18"/>
  <c r="W18" i="18"/>
  <c r="N33" i="18"/>
  <c r="N450" i="18"/>
  <c r="O173" i="18"/>
  <c r="V240" i="18"/>
  <c r="Q423" i="18"/>
  <c r="V71" i="18"/>
  <c r="V505" i="18"/>
  <c r="R480" i="18"/>
  <c r="X236" i="18"/>
  <c r="Y236" i="18" s="1"/>
  <c r="Q10" i="18"/>
  <c r="Q353" i="18"/>
  <c r="R191" i="18"/>
  <c r="R451" i="18"/>
  <c r="P398" i="18"/>
  <c r="U405" i="18"/>
  <c r="U450" i="18"/>
  <c r="P310" i="18"/>
  <c r="N326" i="18"/>
  <c r="S167" i="18"/>
  <c r="N421" i="18"/>
  <c r="AA258" i="18"/>
  <c r="Q74" i="18"/>
  <c r="Q233" i="18"/>
  <c r="Q22" i="18"/>
  <c r="X305" i="18"/>
  <c r="Q373" i="18"/>
  <c r="C6" i="12"/>
  <c r="C9" i="12" s="1"/>
  <c r="U318" i="18"/>
  <c r="Q227" i="18"/>
  <c r="Q107" i="18"/>
  <c r="AA179" i="18"/>
  <c r="AA435" i="18"/>
  <c r="S450" i="18"/>
  <c r="Q363" i="18"/>
  <c r="S338" i="18"/>
  <c r="R217" i="18"/>
  <c r="P334" i="18"/>
  <c r="U62" i="18"/>
  <c r="AA82" i="18"/>
  <c r="U24" i="18"/>
  <c r="T328" i="18"/>
  <c r="X179" i="18"/>
  <c r="X436" i="18"/>
  <c r="S276" i="18"/>
  <c r="S339" i="18"/>
  <c r="O352" i="18"/>
  <c r="O134" i="18"/>
  <c r="N42" i="18"/>
  <c r="Q390" i="18"/>
  <c r="S193" i="18"/>
  <c r="R209" i="18"/>
  <c r="O366" i="18"/>
  <c r="S47" i="18"/>
  <c r="V75" i="18"/>
  <c r="T183" i="18"/>
  <c r="R448" i="18"/>
  <c r="W47" i="18"/>
  <c r="Y47" i="18" s="1"/>
  <c r="P265" i="18"/>
  <c r="W337" i="18"/>
  <c r="S44" i="18"/>
  <c r="V412" i="18"/>
  <c r="X391" i="18"/>
  <c r="T439" i="18"/>
  <c r="O128" i="18"/>
  <c r="W200" i="18"/>
  <c r="P33" i="18"/>
  <c r="T313" i="18"/>
  <c r="V207" i="18"/>
  <c r="R455" i="18"/>
  <c r="R504" i="18"/>
  <c r="X387" i="18"/>
  <c r="Y387" i="18" s="1"/>
  <c r="T415" i="18"/>
  <c r="X64" i="18"/>
  <c r="P34" i="18"/>
  <c r="AA462" i="18"/>
  <c r="U224" i="18"/>
  <c r="O153" i="18"/>
  <c r="X361" i="18"/>
  <c r="U488" i="18"/>
  <c r="T131" i="18"/>
  <c r="W190" i="18"/>
  <c r="Y190" i="18" s="1"/>
  <c r="AA162" i="18"/>
  <c r="T254" i="18"/>
  <c r="O465" i="18"/>
  <c r="V436" i="18"/>
  <c r="R298" i="18"/>
  <c r="P489" i="18"/>
  <c r="T198" i="18"/>
  <c r="U118" i="18"/>
  <c r="V482" i="18"/>
  <c r="P158" i="18"/>
  <c r="V317" i="18"/>
  <c r="N477" i="18"/>
  <c r="S163" i="18"/>
  <c r="Q14" i="18"/>
  <c r="Q168" i="18"/>
  <c r="Q301" i="18"/>
  <c r="T92" i="18"/>
  <c r="P390" i="18"/>
  <c r="W17" i="18"/>
  <c r="X325" i="18"/>
  <c r="S386" i="18"/>
  <c r="S419" i="18"/>
  <c r="P108" i="18"/>
  <c r="AA110" i="18"/>
  <c r="O456" i="18"/>
  <c r="T29" i="18"/>
  <c r="R280" i="18"/>
  <c r="T326" i="18"/>
  <c r="R171" i="18"/>
  <c r="T91" i="18"/>
  <c r="S297" i="18"/>
  <c r="O360" i="18"/>
  <c r="X58" i="18"/>
  <c r="V129" i="18"/>
  <c r="W502" i="18"/>
  <c r="R153" i="18"/>
  <c r="U312" i="18"/>
  <c r="W177" i="18"/>
  <c r="T349" i="18"/>
  <c r="Q304" i="18"/>
  <c r="O407" i="18"/>
  <c r="AA121" i="18"/>
  <c r="Q67" i="18"/>
  <c r="N77" i="18"/>
  <c r="W240" i="18"/>
  <c r="X266" i="18"/>
  <c r="W371" i="18"/>
  <c r="V94" i="18"/>
  <c r="U223" i="18"/>
  <c r="Q392" i="18"/>
  <c r="Q367" i="18"/>
  <c r="T211" i="18"/>
  <c r="U305" i="18"/>
  <c r="W449" i="18"/>
  <c r="N10" i="18"/>
  <c r="O158" i="18"/>
  <c r="O200" i="18"/>
  <c r="S336" i="18"/>
  <c r="Q98" i="18"/>
  <c r="V396" i="18"/>
  <c r="Q341" i="18"/>
  <c r="U490" i="18"/>
  <c r="T400" i="18"/>
  <c r="U142" i="18"/>
  <c r="S277" i="18"/>
  <c r="U207" i="18"/>
  <c r="W392" i="18"/>
  <c r="N258" i="18"/>
  <c r="S242" i="18"/>
  <c r="R389" i="18"/>
  <c r="W331" i="18"/>
  <c r="V384" i="18"/>
  <c r="X423" i="18"/>
  <c r="S449" i="18"/>
  <c r="AA37" i="18"/>
  <c r="P17" i="18"/>
  <c r="P20" i="18"/>
  <c r="W189" i="18"/>
  <c r="T385" i="18"/>
  <c r="P19" i="18"/>
  <c r="T357" i="18"/>
  <c r="V309" i="18"/>
  <c r="P215" i="18"/>
  <c r="P488" i="18"/>
  <c r="O415" i="18"/>
  <c r="O414" i="18"/>
  <c r="R361" i="18"/>
  <c r="W504" i="18"/>
  <c r="O404" i="18"/>
  <c r="V304" i="18"/>
  <c r="V171" i="18"/>
  <c r="T438" i="18"/>
  <c r="P344" i="18"/>
  <c r="U432" i="18"/>
  <c r="R236" i="18"/>
  <c r="X114" i="18"/>
  <c r="Y114" i="18" s="1"/>
  <c r="V458" i="18"/>
  <c r="R41" i="18"/>
  <c r="O27" i="18"/>
  <c r="N112" i="18"/>
  <c r="P80" i="18"/>
  <c r="T431" i="18"/>
  <c r="V285" i="18"/>
  <c r="W377" i="18"/>
  <c r="AA268" i="18"/>
  <c r="P352" i="18"/>
  <c r="O296" i="18"/>
  <c r="X455" i="18"/>
  <c r="P453" i="18"/>
  <c r="T391" i="18"/>
  <c r="O132" i="18"/>
  <c r="AA70" i="18"/>
  <c r="W35" i="18"/>
  <c r="Q337" i="18"/>
  <c r="W104" i="18"/>
  <c r="AA30" i="18"/>
  <c r="O324" i="18"/>
  <c r="S23" i="18"/>
  <c r="T282" i="18"/>
  <c r="X311" i="18"/>
  <c r="R215" i="18"/>
  <c r="N418" i="18"/>
  <c r="U441" i="18"/>
  <c r="T466" i="18"/>
  <c r="T327" i="18"/>
  <c r="Q126" i="18"/>
  <c r="V163" i="18"/>
  <c r="T227" i="18"/>
  <c r="P326" i="18"/>
  <c r="U80" i="18"/>
  <c r="U92" i="18"/>
  <c r="AA239" i="18"/>
  <c r="P240" i="18"/>
  <c r="R246" i="18"/>
  <c r="W466" i="18"/>
  <c r="S426" i="18"/>
  <c r="O320" i="18"/>
  <c r="X385" i="18"/>
  <c r="W303" i="18"/>
  <c r="Y303" i="18" s="1"/>
  <c r="T483" i="18"/>
  <c r="Q496" i="18"/>
  <c r="X405" i="18"/>
  <c r="W111" i="18"/>
  <c r="O295" i="18"/>
  <c r="T17" i="18"/>
  <c r="W264" i="18"/>
  <c r="T116" i="18"/>
  <c r="X352" i="18"/>
  <c r="R391" i="18"/>
  <c r="N442" i="18"/>
  <c r="W126" i="18"/>
  <c r="T395" i="18"/>
  <c r="U378" i="18"/>
  <c r="U424" i="18"/>
  <c r="T502" i="18"/>
  <c r="X349" i="18"/>
  <c r="R76" i="18"/>
  <c r="T199" i="18"/>
  <c r="R43" i="18"/>
  <c r="T468" i="18"/>
  <c r="O175" i="18"/>
  <c r="AA92" i="18"/>
  <c r="R163" i="18"/>
  <c r="W385" i="18"/>
  <c r="Q76" i="18"/>
  <c r="Q339" i="18"/>
  <c r="T464" i="18"/>
  <c r="O391" i="18"/>
  <c r="S81" i="18"/>
  <c r="W288" i="18"/>
  <c r="T76" i="18"/>
  <c r="S506" i="18"/>
  <c r="AA109" i="18"/>
  <c r="W227" i="18"/>
  <c r="S421" i="18"/>
  <c r="T432" i="18"/>
  <c r="X500" i="18"/>
  <c r="S389" i="18"/>
  <c r="X370" i="18"/>
  <c r="R140" i="18"/>
  <c r="P99" i="18"/>
  <c r="X146" i="18"/>
  <c r="S413" i="18"/>
  <c r="U501" i="18"/>
  <c r="R478" i="18"/>
  <c r="X380" i="18"/>
  <c r="Y380" i="18" s="1"/>
  <c r="S271" i="18"/>
  <c r="O477" i="18"/>
  <c r="X139" i="18"/>
  <c r="S212" i="18"/>
  <c r="P73" i="18"/>
  <c r="Q408" i="18"/>
  <c r="W186" i="18"/>
  <c r="R70" i="18"/>
  <c r="S455" i="18"/>
  <c r="S425" i="18"/>
  <c r="X392" i="18"/>
  <c r="T310" i="18"/>
  <c r="O264" i="18"/>
  <c r="T60" i="18"/>
  <c r="AA104" i="18"/>
  <c r="O188" i="18"/>
  <c r="S85" i="18"/>
  <c r="N482" i="18"/>
  <c r="W170" i="18"/>
  <c r="U110" i="18"/>
  <c r="U339" i="18"/>
  <c r="W29" i="18"/>
  <c r="V378" i="18"/>
  <c r="S196" i="18"/>
  <c r="V64" i="18"/>
  <c r="Q59" i="18"/>
  <c r="W340" i="18"/>
  <c r="T117" i="18"/>
  <c r="W119" i="18"/>
  <c r="Q206" i="18"/>
  <c r="X383" i="18"/>
  <c r="R130" i="18"/>
  <c r="P226" i="18"/>
  <c r="R247" i="18"/>
  <c r="R90" i="18"/>
  <c r="N47" i="18"/>
  <c r="X174" i="18"/>
  <c r="W397" i="18"/>
  <c r="O307" i="18"/>
  <c r="S406" i="18"/>
  <c r="R312" i="18"/>
  <c r="O193" i="18"/>
  <c r="S153" i="18"/>
  <c r="N118" i="18"/>
  <c r="W381" i="18"/>
  <c r="P241" i="18"/>
  <c r="Q135" i="18"/>
  <c r="T239" i="18"/>
  <c r="V203" i="18"/>
  <c r="P93" i="18"/>
  <c r="T382" i="18"/>
  <c r="V96" i="18"/>
  <c r="N489" i="18"/>
  <c r="O455" i="18"/>
  <c r="Q179" i="18"/>
  <c r="O402" i="18"/>
  <c r="W478" i="18"/>
  <c r="T247" i="18"/>
  <c r="X8" i="18"/>
  <c r="W257" i="18"/>
  <c r="N93" i="18"/>
  <c r="P63" i="18"/>
  <c r="R231" i="18"/>
  <c r="Q156" i="18"/>
  <c r="N504" i="18"/>
  <c r="W483" i="18"/>
  <c r="P222" i="18"/>
  <c r="N207" i="18"/>
  <c r="W361" i="18"/>
  <c r="Y361" i="18" s="1"/>
  <c r="V211" i="18"/>
  <c r="X180" i="18"/>
  <c r="U337" i="18"/>
  <c r="U143" i="18"/>
  <c r="W185" i="18"/>
  <c r="P351" i="18"/>
  <c r="S358" i="18"/>
  <c r="N82" i="18"/>
  <c r="U212" i="18"/>
  <c r="W330" i="18"/>
  <c r="W173" i="18"/>
  <c r="X431" i="18"/>
  <c r="P155" i="18"/>
  <c r="X26" i="18"/>
  <c r="Q177" i="18"/>
  <c r="V109" i="18"/>
  <c r="W178" i="18"/>
  <c r="V361" i="18"/>
  <c r="Q474" i="18"/>
  <c r="Q46" i="18"/>
  <c r="Q428" i="18"/>
  <c r="N246" i="18"/>
  <c r="N107" i="18"/>
  <c r="X198" i="18"/>
  <c r="X182" i="18"/>
  <c r="AA308" i="18"/>
  <c r="U346" i="18"/>
  <c r="P76" i="18"/>
  <c r="R272" i="18"/>
  <c r="U184" i="18"/>
  <c r="S307" i="18"/>
  <c r="N317" i="18"/>
  <c r="P291" i="18"/>
  <c r="P84" i="18"/>
  <c r="S235" i="18"/>
  <c r="V319" i="18"/>
  <c r="U242" i="18"/>
  <c r="AA53" i="18"/>
  <c r="R154" i="18"/>
  <c r="AA367" i="18"/>
  <c r="V474" i="18"/>
  <c r="S333" i="18"/>
  <c r="V401" i="18"/>
  <c r="U352" i="18"/>
  <c r="N464" i="18"/>
  <c r="S70" i="18"/>
  <c r="AA167" i="18"/>
  <c r="AA423" i="18"/>
  <c r="W454" i="18"/>
  <c r="U504" i="18"/>
  <c r="R226" i="18"/>
  <c r="V161" i="18"/>
  <c r="Q426" i="18"/>
  <c r="P160" i="18"/>
  <c r="N382" i="18"/>
  <c r="V359" i="18"/>
  <c r="P13" i="18"/>
  <c r="P328" i="18"/>
  <c r="S186" i="18"/>
  <c r="X213" i="18"/>
  <c r="T418" i="18"/>
  <c r="T37" i="18"/>
  <c r="X375" i="18"/>
  <c r="P306" i="18"/>
  <c r="U116" i="18"/>
  <c r="W299" i="18"/>
  <c r="V266" i="18"/>
  <c r="W439" i="18"/>
  <c r="R393" i="18"/>
  <c r="Q469" i="18"/>
  <c r="S254" i="18"/>
  <c r="W214" i="18"/>
  <c r="U114" i="18"/>
  <c r="N491" i="18"/>
  <c r="T204" i="18"/>
  <c r="Q386" i="18"/>
  <c r="N99" i="18"/>
  <c r="O300" i="18"/>
  <c r="O90" i="18"/>
  <c r="Q122" i="18"/>
  <c r="R331" i="18"/>
  <c r="S349" i="18"/>
  <c r="AA66" i="18"/>
  <c r="R240" i="18"/>
  <c r="X257" i="18"/>
  <c r="Y257" i="18" s="1"/>
  <c r="U367" i="18"/>
  <c r="S243" i="18"/>
  <c r="Q66" i="18"/>
  <c r="W229" i="18"/>
  <c r="X314" i="18"/>
  <c r="T448" i="18"/>
  <c r="S114" i="18"/>
  <c r="W78" i="18"/>
  <c r="W259" i="18"/>
  <c r="Y259" i="18" s="1"/>
  <c r="Q380" i="18"/>
  <c r="O411" i="18"/>
  <c r="Q377" i="18"/>
  <c r="T53" i="18"/>
  <c r="U402" i="18"/>
  <c r="Q36" i="18"/>
  <c r="Q155" i="18"/>
  <c r="N344" i="18"/>
  <c r="R471" i="18"/>
  <c r="Q494" i="18"/>
  <c r="V86" i="18"/>
  <c r="AA243" i="18"/>
  <c r="O139" i="18"/>
  <c r="T228" i="18"/>
  <c r="P36" i="18"/>
  <c r="N176" i="18"/>
  <c r="U31" i="18"/>
  <c r="V178" i="18"/>
  <c r="U85" i="18"/>
  <c r="W307" i="18"/>
  <c r="N272" i="18"/>
  <c r="W187" i="18"/>
  <c r="R7" i="18"/>
  <c r="AA479" i="18"/>
  <c r="O441" i="18"/>
  <c r="T488" i="18"/>
  <c r="O234" i="18"/>
  <c r="R349" i="18"/>
  <c r="V225" i="18"/>
  <c r="T384" i="18"/>
  <c r="N318" i="18"/>
  <c r="P329" i="18"/>
  <c r="R346" i="18"/>
  <c r="N394" i="18"/>
  <c r="W254" i="18"/>
  <c r="S10" i="18"/>
  <c r="V425" i="18"/>
  <c r="AA472" i="18"/>
  <c r="T237" i="18"/>
  <c r="U221" i="18"/>
  <c r="U208" i="18"/>
  <c r="W476" i="18"/>
  <c r="U7" i="18"/>
  <c r="R426" i="18"/>
  <c r="AA200" i="18"/>
  <c r="O438" i="18"/>
  <c r="R506" i="18"/>
  <c r="O442" i="18"/>
  <c r="S250" i="18"/>
  <c r="AA52" i="18"/>
  <c r="V157" i="18"/>
  <c r="O198" i="18"/>
  <c r="O330" i="18"/>
  <c r="O96" i="18"/>
  <c r="R321" i="18"/>
  <c r="V83" i="18"/>
  <c r="S34" i="18"/>
  <c r="Q430" i="18"/>
  <c r="U259" i="18"/>
  <c r="T390" i="18"/>
  <c r="P471" i="18"/>
  <c r="P253" i="18"/>
  <c r="R353" i="18"/>
  <c r="S273" i="18"/>
  <c r="AA358" i="18"/>
  <c r="Q18" i="18"/>
  <c r="X362" i="18"/>
  <c r="W282" i="18"/>
  <c r="Q222" i="18"/>
  <c r="P347" i="18"/>
  <c r="V439" i="18"/>
  <c r="O24" i="18"/>
  <c r="O428" i="18"/>
  <c r="S65" i="18"/>
  <c r="S335" i="18"/>
  <c r="R148" i="18"/>
  <c r="P210" i="18"/>
  <c r="R206" i="18"/>
  <c r="W165" i="18"/>
  <c r="R430" i="18"/>
  <c r="U308" i="18"/>
  <c r="Q246" i="18"/>
  <c r="W9" i="18"/>
  <c r="R142" i="18"/>
  <c r="P271" i="18"/>
  <c r="N123" i="18"/>
  <c r="AA18" i="18"/>
  <c r="U310" i="18"/>
  <c r="Q141" i="18"/>
  <c r="AA83" i="18"/>
  <c r="U471" i="18"/>
  <c r="Q397" i="18"/>
  <c r="AA91" i="18"/>
  <c r="Q158" i="18"/>
  <c r="AA261" i="18"/>
  <c r="W141" i="18"/>
  <c r="AA164" i="18"/>
  <c r="U404" i="18"/>
  <c r="S76" i="18"/>
  <c r="X309" i="18"/>
  <c r="V126" i="18"/>
  <c r="T48" i="18"/>
  <c r="Q487" i="18"/>
  <c r="W474" i="18"/>
  <c r="R188" i="18"/>
  <c r="R339" i="18"/>
  <c r="U370" i="18"/>
  <c r="AA64" i="18"/>
  <c r="X341" i="18"/>
  <c r="P136" i="18"/>
  <c r="P221" i="18"/>
  <c r="Q91" i="18"/>
  <c r="W335" i="18"/>
  <c r="Y335" i="18" s="1"/>
  <c r="R15" i="18"/>
  <c r="X351" i="18"/>
  <c r="AA439" i="18"/>
  <c r="U71" i="18"/>
  <c r="Q84" i="18"/>
  <c r="P418" i="18"/>
  <c r="N199" i="18"/>
  <c r="AA102" i="18"/>
  <c r="U181" i="18"/>
  <c r="X238" i="18"/>
  <c r="U193" i="18"/>
  <c r="O131" i="18"/>
  <c r="N316" i="18"/>
  <c r="P166" i="18"/>
  <c r="V263" i="18"/>
  <c r="O12" i="18"/>
  <c r="P362" i="18"/>
  <c r="T180" i="18"/>
  <c r="O159" i="18"/>
  <c r="V417" i="18"/>
  <c r="Q192" i="18"/>
  <c r="Q302" i="18"/>
  <c r="X16" i="18"/>
  <c r="U89" i="18"/>
  <c r="S466" i="18"/>
  <c r="W336" i="18"/>
  <c r="O274" i="18"/>
  <c r="W13" i="18"/>
  <c r="R281" i="18"/>
  <c r="T103" i="18"/>
  <c r="X104" i="18"/>
  <c r="N393" i="18"/>
  <c r="T346" i="18"/>
  <c r="V480" i="18"/>
  <c r="P435" i="18"/>
  <c r="Q352" i="18"/>
  <c r="AA351" i="18"/>
  <c r="AA94" i="18"/>
  <c r="O459" i="18"/>
  <c r="AA328" i="18"/>
  <c r="AA407" i="18"/>
  <c r="R187" i="18"/>
  <c r="T142" i="18"/>
  <c r="S269" i="18"/>
  <c r="V433" i="18"/>
  <c r="V20" i="18"/>
  <c r="V182" i="18"/>
  <c r="U474" i="18"/>
  <c r="Q45" i="18"/>
  <c r="X403" i="18"/>
  <c r="N148" i="18"/>
  <c r="T145" i="18"/>
  <c r="O440" i="18"/>
  <c r="AA22" i="18"/>
  <c r="AA381" i="18"/>
  <c r="AA73" i="18"/>
  <c r="T58" i="18"/>
  <c r="R45" i="18"/>
  <c r="O21" i="18"/>
  <c r="P173" i="18"/>
  <c r="P335" i="18"/>
  <c r="P367" i="18"/>
  <c r="T219" i="18"/>
  <c r="W404" i="18"/>
  <c r="P346" i="18"/>
  <c r="P295" i="18"/>
  <c r="U361" i="18"/>
  <c r="T106" i="18"/>
  <c r="AA465" i="18"/>
  <c r="W387" i="18"/>
  <c r="X126" i="18"/>
  <c r="Y126" i="18" s="1"/>
  <c r="W163" i="18"/>
  <c r="P105" i="18"/>
  <c r="S99" i="18"/>
  <c r="O51" i="18"/>
  <c r="O151" i="18"/>
  <c r="R78" i="18"/>
  <c r="W274" i="18"/>
  <c r="P327" i="18"/>
  <c r="P95" i="18"/>
  <c r="X230" i="18"/>
  <c r="AA428" i="18"/>
  <c r="W429" i="18"/>
  <c r="W55" i="18"/>
  <c r="T457" i="18"/>
  <c r="S64" i="18"/>
  <c r="U43" i="18"/>
  <c r="N417" i="18"/>
  <c r="W253" i="18"/>
  <c r="X286" i="18"/>
  <c r="O127" i="18"/>
  <c r="T281" i="18"/>
  <c r="V292" i="18"/>
  <c r="R465" i="18"/>
  <c r="P123" i="18"/>
  <c r="P298" i="18"/>
  <c r="W33" i="18"/>
  <c r="Y33" i="18" s="1"/>
  <c r="S380" i="18"/>
  <c r="W283" i="18"/>
  <c r="Y283" i="18" s="1"/>
  <c r="P54" i="18"/>
  <c r="T352" i="18"/>
  <c r="X243" i="18"/>
  <c r="Y243" i="18" s="1"/>
  <c r="P189" i="18"/>
  <c r="O395" i="18"/>
  <c r="S62" i="18"/>
  <c r="O308" i="18"/>
  <c r="N197" i="18"/>
  <c r="V355" i="18"/>
  <c r="AA322" i="18"/>
  <c r="V407" i="18"/>
  <c r="X328" i="18"/>
  <c r="Y328" i="18" s="1"/>
  <c r="O248" i="18"/>
  <c r="U155" i="18"/>
  <c r="S379" i="18"/>
  <c r="N284" i="18"/>
  <c r="Q111" i="18"/>
  <c r="X299" i="18"/>
  <c r="AA45" i="18"/>
  <c r="X89" i="18"/>
  <c r="T410" i="18"/>
  <c r="U38" i="18"/>
  <c r="X204" i="18"/>
  <c r="X331" i="18"/>
  <c r="N213" i="18"/>
  <c r="N94" i="18"/>
  <c r="O272" i="18"/>
  <c r="X136" i="18"/>
  <c r="N64" i="18"/>
  <c r="T264" i="18"/>
  <c r="S458" i="18"/>
  <c r="N81" i="18"/>
  <c r="R303" i="18"/>
  <c r="P321" i="18"/>
  <c r="O114" i="18"/>
  <c r="V154" i="18"/>
  <c r="V456" i="18"/>
  <c r="O157" i="18"/>
  <c r="P380" i="18"/>
  <c r="V10" i="18"/>
  <c r="O37" i="18"/>
  <c r="U461" i="18"/>
  <c r="P70" i="18"/>
  <c r="X161" i="18"/>
  <c r="AA490" i="18"/>
  <c r="R135" i="18"/>
  <c r="N363" i="18"/>
  <c r="R433" i="18"/>
  <c r="AA341" i="18"/>
  <c r="P198" i="18"/>
  <c r="N438" i="18"/>
  <c r="R14" i="18"/>
  <c r="S480" i="18"/>
  <c r="W175" i="18"/>
  <c r="Y175" i="18" s="1"/>
  <c r="X449" i="18"/>
  <c r="N388" i="18"/>
  <c r="W206" i="18"/>
  <c r="Y206" i="18" s="1"/>
  <c r="P332" i="18"/>
  <c r="V310" i="18"/>
  <c r="X46" i="18"/>
  <c r="U47" i="18"/>
  <c r="AA385" i="18"/>
  <c r="T139" i="18"/>
  <c r="Q250" i="18"/>
  <c r="U307" i="18"/>
  <c r="AA336" i="18"/>
  <c r="S288" i="18"/>
  <c r="R319" i="18"/>
  <c r="P144" i="18"/>
  <c r="V498" i="18"/>
  <c r="O207" i="18"/>
  <c r="U46" i="18"/>
  <c r="X372" i="18"/>
  <c r="W414" i="18"/>
  <c r="N175" i="18"/>
  <c r="V487" i="18"/>
  <c r="S16" i="18"/>
  <c r="X316" i="18"/>
  <c r="AA219" i="18"/>
  <c r="P316" i="18"/>
  <c r="T63" i="18"/>
  <c r="X242" i="18"/>
  <c r="Y242" i="18" s="1"/>
  <c r="X272" i="18"/>
  <c r="Q274" i="18"/>
  <c r="R243" i="18"/>
  <c r="V426" i="18"/>
  <c r="X192" i="18"/>
  <c r="R35" i="18"/>
  <c r="N36" i="18"/>
  <c r="W181" i="18"/>
  <c r="S294" i="18"/>
  <c r="V18" i="18"/>
  <c r="AA469" i="18"/>
  <c r="O58" i="18"/>
  <c r="AA157" i="18"/>
  <c r="V288" i="18"/>
  <c r="S402" i="18"/>
  <c r="Q281" i="18"/>
  <c r="Q277" i="18"/>
  <c r="Q297" i="18"/>
  <c r="AA372" i="18"/>
  <c r="V356" i="18"/>
  <c r="X240" i="18"/>
  <c r="N381" i="18"/>
  <c r="X437" i="18"/>
  <c r="S18" i="18"/>
  <c r="S17" i="18"/>
  <c r="N218" i="18"/>
  <c r="O106" i="18"/>
  <c r="X365" i="18"/>
  <c r="W154" i="18"/>
  <c r="Q269" i="18"/>
  <c r="V281" i="18"/>
  <c r="R318" i="18"/>
  <c r="AA349" i="18"/>
  <c r="R65" i="18"/>
  <c r="T14" i="18"/>
  <c r="R139" i="18"/>
  <c r="AA253" i="18"/>
  <c r="R53" i="18"/>
  <c r="X165" i="18"/>
  <c r="U23" i="18"/>
  <c r="O7" i="18"/>
  <c r="R428" i="18"/>
  <c r="N424" i="18"/>
  <c r="X19" i="18"/>
  <c r="X142" i="18"/>
  <c r="U174" i="18"/>
  <c r="U344" i="18"/>
  <c r="S504" i="18"/>
  <c r="W375" i="18"/>
  <c r="O283" i="18"/>
  <c r="W50" i="18"/>
  <c r="V331" i="18"/>
  <c r="N145" i="18"/>
  <c r="X482" i="18"/>
  <c r="S344" i="18"/>
  <c r="O71" i="18"/>
  <c r="T86" i="18"/>
  <c r="Q40" i="18"/>
  <c r="T258" i="18"/>
  <c r="Q105" i="18"/>
  <c r="X53" i="18"/>
  <c r="S489" i="18"/>
  <c r="S175" i="18"/>
  <c r="O328" i="18"/>
  <c r="R460" i="18"/>
  <c r="AA401" i="18"/>
  <c r="S368" i="18"/>
  <c r="X343" i="18"/>
  <c r="V16" i="18"/>
  <c r="W34" i="18"/>
  <c r="AA457" i="18"/>
  <c r="S392" i="18"/>
  <c r="W96" i="18"/>
  <c r="Y96" i="18" s="1"/>
  <c r="X250" i="18"/>
  <c r="T134" i="18"/>
  <c r="X467" i="18"/>
  <c r="X24" i="18"/>
  <c r="P496" i="18"/>
  <c r="S49" i="18"/>
  <c r="T190" i="18"/>
  <c r="W236" i="18"/>
  <c r="V302" i="18"/>
  <c r="V353" i="18"/>
  <c r="Q378" i="18"/>
  <c r="W235" i="18"/>
  <c r="Y235" i="18" s="1"/>
  <c r="T409" i="18"/>
  <c r="T266" i="18"/>
  <c r="X69" i="18"/>
  <c r="AA114" i="18"/>
  <c r="V365" i="18"/>
  <c r="O216" i="18"/>
  <c r="X452" i="18"/>
  <c r="V340" i="18"/>
  <c r="R99" i="18"/>
  <c r="N101" i="18"/>
  <c r="AA386" i="18"/>
  <c r="S172" i="18"/>
  <c r="S168" i="18"/>
  <c r="T107" i="18"/>
  <c r="Q106" i="18"/>
  <c r="Q88" i="18"/>
  <c r="AA225" i="18"/>
  <c r="T319" i="18"/>
  <c r="T299" i="18"/>
  <c r="Q310" i="18"/>
  <c r="X470" i="18"/>
  <c r="P483" i="18"/>
  <c r="N106" i="18"/>
  <c r="O204" i="18"/>
  <c r="T49" i="18"/>
  <c r="N347" i="18"/>
  <c r="N178" i="18"/>
  <c r="X446" i="18"/>
  <c r="AA400" i="18"/>
  <c r="AA185" i="18"/>
  <c r="V247" i="18"/>
  <c r="N499" i="18"/>
  <c r="V93" i="18"/>
  <c r="S465" i="18"/>
  <c r="T168" i="18"/>
  <c r="W275" i="18"/>
  <c r="N249" i="18"/>
  <c r="Q489" i="18"/>
  <c r="Q322" i="18"/>
  <c r="U33" i="18"/>
  <c r="X433" i="18"/>
  <c r="Y433" i="18" s="1"/>
  <c r="P128" i="18"/>
  <c r="X190" i="18"/>
  <c r="V85" i="18"/>
  <c r="N171" i="18"/>
  <c r="X30" i="18"/>
  <c r="Y30" i="18" s="1"/>
  <c r="X17" i="18"/>
  <c r="V169" i="18"/>
  <c r="R74" i="18"/>
  <c r="T109" i="18"/>
  <c r="T462" i="18"/>
  <c r="N268" i="18"/>
  <c r="Q394" i="18"/>
  <c r="P452" i="18"/>
  <c r="R97" i="18"/>
  <c r="P235" i="18"/>
  <c r="X227" i="18"/>
  <c r="V298" i="18"/>
  <c r="R463" i="18"/>
  <c r="T505" i="18"/>
  <c r="AA451" i="18"/>
  <c r="U506" i="18"/>
  <c r="R27" i="18"/>
  <c r="O64" i="18"/>
  <c r="AA247" i="18"/>
  <c r="N376" i="18"/>
  <c r="Q149" i="18"/>
  <c r="P57" i="18"/>
  <c r="AA89" i="18"/>
  <c r="S440" i="18"/>
  <c r="V502" i="18"/>
  <c r="S418" i="18"/>
  <c r="N144" i="18"/>
  <c r="N314" i="18"/>
  <c r="T80" i="18"/>
  <c r="W494" i="18"/>
  <c r="AA446" i="18"/>
  <c r="N89" i="18"/>
  <c r="W139" i="18"/>
  <c r="Q457" i="18"/>
  <c r="W319" i="18"/>
  <c r="U35" i="18"/>
  <c r="U17" i="18"/>
  <c r="O22" i="18"/>
  <c r="N287" i="18"/>
  <c r="AA391" i="18"/>
  <c r="R12" i="18"/>
  <c r="S101" i="18"/>
  <c r="Q282" i="18"/>
  <c r="V133" i="18"/>
  <c r="Q272" i="18"/>
  <c r="Q161" i="18"/>
  <c r="O498" i="18"/>
  <c r="T350" i="18"/>
  <c r="X88" i="18"/>
  <c r="AA442" i="18"/>
  <c r="R495" i="18"/>
  <c r="P486" i="18"/>
  <c r="O257" i="18"/>
  <c r="N260" i="18"/>
  <c r="U434" i="18"/>
  <c r="N410" i="18"/>
  <c r="U316" i="18"/>
  <c r="X378" i="18"/>
  <c r="Q9" i="18"/>
  <c r="U225" i="18"/>
  <c r="T212" i="18"/>
  <c r="S438" i="18"/>
  <c r="N114" i="18"/>
  <c r="S487" i="18"/>
  <c r="X428" i="18"/>
  <c r="Y428" i="18" s="1"/>
  <c r="S461" i="18"/>
  <c r="S500" i="18"/>
  <c r="S237" i="18"/>
  <c r="R366" i="18"/>
  <c r="AA234" i="18"/>
  <c r="Q68" i="18"/>
  <c r="U203" i="18"/>
  <c r="Q151" i="18"/>
  <c r="S238" i="18"/>
  <c r="O504" i="18"/>
  <c r="N257" i="18"/>
  <c r="V346" i="18"/>
  <c r="X340" i="18"/>
  <c r="U275" i="18"/>
  <c r="U228" i="18"/>
  <c r="O69" i="18"/>
  <c r="Q167" i="18"/>
  <c r="P127" i="18"/>
  <c r="W448" i="18"/>
  <c r="P431" i="18"/>
  <c r="Q144" i="18"/>
  <c r="W204" i="18"/>
  <c r="AA387" i="18"/>
  <c r="P359" i="18"/>
  <c r="V460" i="18"/>
  <c r="S93" i="18"/>
  <c r="X368" i="18"/>
  <c r="W197" i="18"/>
  <c r="U320" i="18"/>
  <c r="AA416" i="18"/>
  <c r="W461" i="18"/>
  <c r="Y461" i="18" s="1"/>
  <c r="AA494" i="18"/>
  <c r="AA484" i="18"/>
  <c r="Q225" i="18"/>
  <c r="O284" i="18"/>
  <c r="Q418" i="18"/>
  <c r="AA316" i="18"/>
  <c r="N307" i="18"/>
  <c r="S299" i="18"/>
  <c r="V382" i="18"/>
  <c r="Q433" i="18"/>
  <c r="T83" i="18"/>
  <c r="N264" i="18"/>
  <c r="O263" i="18"/>
  <c r="T12" i="18"/>
  <c r="X342" i="18"/>
  <c r="AA332" i="18"/>
  <c r="AA384" i="18"/>
  <c r="R498" i="18"/>
  <c r="X102" i="18"/>
  <c r="Q307" i="18"/>
  <c r="AA355" i="18"/>
  <c r="N296" i="18"/>
  <c r="X166" i="18"/>
  <c r="V300" i="18"/>
  <c r="P175" i="18"/>
  <c r="W22" i="18"/>
  <c r="W408" i="18"/>
  <c r="Y408" i="18" s="1"/>
  <c r="T442" i="18"/>
  <c r="U494" i="18"/>
  <c r="U134" i="18"/>
  <c r="N195" i="18"/>
  <c r="U194" i="18"/>
  <c r="O126" i="18"/>
  <c r="O302" i="18"/>
  <c r="T113" i="18"/>
  <c r="V221" i="18"/>
  <c r="V259" i="18"/>
  <c r="R284" i="18"/>
  <c r="N337" i="18"/>
  <c r="X100" i="18"/>
  <c r="U172" i="18"/>
  <c r="N338" i="18"/>
  <c r="P323" i="18"/>
  <c r="S497" i="18"/>
  <c r="X414" i="18"/>
  <c r="U395" i="18"/>
  <c r="X488" i="18"/>
  <c r="R228" i="18"/>
  <c r="U258" i="18"/>
  <c r="P231" i="18"/>
  <c r="U279" i="18"/>
  <c r="X279" i="18"/>
  <c r="N324" i="18"/>
  <c r="O466" i="18"/>
  <c r="U27" i="18"/>
  <c r="Q109" i="18"/>
  <c r="O146" i="18"/>
  <c r="U146" i="18"/>
  <c r="U48" i="18"/>
  <c r="O394" i="18"/>
  <c r="Q147" i="18"/>
  <c r="S443" i="18"/>
  <c r="N422" i="18"/>
  <c r="AA172" i="18"/>
  <c r="N465" i="18"/>
  <c r="O262" i="18"/>
  <c r="T262" i="18"/>
  <c r="W62" i="18"/>
  <c r="Y62" i="18" s="1"/>
  <c r="P81" i="18"/>
  <c r="X109" i="18"/>
  <c r="O182" i="18"/>
  <c r="P149" i="18"/>
  <c r="U112" i="18"/>
  <c r="H7" i="12"/>
  <c r="AA57" i="18"/>
  <c r="P171" i="18"/>
  <c r="P25" i="18"/>
  <c r="W400" i="18"/>
  <c r="Q140" i="18"/>
  <c r="X82" i="18"/>
  <c r="Q432" i="18"/>
  <c r="T45" i="18"/>
  <c r="U392" i="18"/>
  <c r="S227" i="18"/>
  <c r="U97" i="18"/>
  <c r="S403" i="18"/>
  <c r="X178" i="18"/>
  <c r="Q441" i="18"/>
  <c r="S371" i="18"/>
  <c r="R108" i="18"/>
  <c r="T306" i="18"/>
  <c r="Q425" i="18"/>
  <c r="O462" i="18"/>
  <c r="E7" i="35"/>
  <c r="AA223" i="18"/>
  <c r="R332" i="18"/>
  <c r="O493" i="18"/>
  <c r="T428" i="18"/>
  <c r="R397" i="18"/>
  <c r="U261" i="18"/>
  <c r="R137" i="18"/>
  <c r="T22" i="18"/>
  <c r="O392" i="18"/>
  <c r="X503" i="18"/>
  <c r="U144" i="18"/>
  <c r="O472" i="18"/>
  <c r="U216" i="18"/>
  <c r="AA208" i="18"/>
  <c r="O434" i="18"/>
  <c r="AA156" i="18"/>
  <c r="U385" i="18"/>
  <c r="N177" i="18"/>
  <c r="O489" i="18"/>
  <c r="U84" i="18"/>
  <c r="W97" i="18"/>
  <c r="AA326" i="18"/>
  <c r="S369" i="18"/>
  <c r="X406" i="18"/>
  <c r="S54" i="18"/>
  <c r="X442" i="18"/>
  <c r="X206" i="18"/>
  <c r="V56" i="18"/>
  <c r="V41" i="18"/>
  <c r="W481" i="18"/>
  <c r="V416" i="18"/>
  <c r="U267" i="18"/>
  <c r="AA35" i="18"/>
  <c r="U64" i="18"/>
  <c r="P397" i="18"/>
  <c r="AA297" i="18"/>
  <c r="T370" i="18"/>
  <c r="Q285" i="18"/>
  <c r="X450" i="18"/>
  <c r="P476" i="18"/>
  <c r="S52" i="18"/>
  <c r="Q26" i="18"/>
  <c r="E19" i="35"/>
  <c r="AA230" i="18"/>
  <c r="Q450" i="18"/>
  <c r="W68" i="18"/>
  <c r="AA434" i="18"/>
  <c r="X291" i="18"/>
  <c r="R179" i="18"/>
  <c r="T446" i="18"/>
  <c r="S397" i="18"/>
  <c r="S300" i="18"/>
  <c r="U292" i="18"/>
  <c r="Q455" i="18"/>
  <c r="T112" i="18"/>
  <c r="Q481" i="18"/>
  <c r="O427" i="18"/>
  <c r="U502" i="18"/>
  <c r="T290" i="18"/>
  <c r="W53" i="18"/>
  <c r="O117" i="18"/>
  <c r="N503" i="18"/>
  <c r="W248" i="18"/>
  <c r="Q187" i="18"/>
  <c r="U168" i="18"/>
  <c r="AA205" i="18"/>
  <c r="S411" i="18"/>
  <c r="V344" i="18"/>
  <c r="Q305" i="18"/>
  <c r="P130" i="18"/>
  <c r="Q119" i="18"/>
  <c r="X76" i="18"/>
  <c r="O179" i="18"/>
  <c r="Q226" i="18"/>
  <c r="V305" i="18"/>
  <c r="W362" i="18"/>
  <c r="Y362" i="18" s="1"/>
  <c r="N359" i="18"/>
  <c r="Q265" i="18"/>
  <c r="S372" i="18"/>
  <c r="W164" i="18"/>
  <c r="N267" i="18"/>
  <c r="S320" i="18"/>
  <c r="U161" i="18"/>
  <c r="R182" i="18"/>
  <c r="T422" i="18"/>
  <c r="N335" i="18"/>
  <c r="AA101" i="18"/>
  <c r="Q134" i="18"/>
  <c r="U256" i="18"/>
  <c r="N28" i="18"/>
  <c r="V51" i="18"/>
  <c r="S468" i="18"/>
  <c r="O368" i="18"/>
  <c r="R56" i="18"/>
  <c r="N211" i="18"/>
  <c r="Q480" i="18"/>
  <c r="S453" i="18"/>
  <c r="W201" i="18"/>
  <c r="Q346" i="18"/>
  <c r="R338" i="18"/>
  <c r="P243" i="18"/>
  <c r="W76" i="18"/>
  <c r="Y76" i="18" s="1"/>
  <c r="O487" i="18"/>
  <c r="W116" i="18"/>
  <c r="Y116" i="18" s="1"/>
  <c r="W54" i="18"/>
  <c r="O337" i="18"/>
  <c r="T261" i="18"/>
  <c r="S318" i="18"/>
  <c r="V132" i="18"/>
  <c r="X184" i="18"/>
  <c r="V67" i="18"/>
  <c r="S496" i="18"/>
  <c r="O327" i="18"/>
  <c r="T329" i="18"/>
  <c r="S264" i="18"/>
  <c r="P482" i="18"/>
  <c r="W289" i="18"/>
  <c r="O450" i="18"/>
  <c r="W346" i="18"/>
  <c r="R216" i="18"/>
  <c r="W156" i="18"/>
  <c r="W355" i="18"/>
  <c r="W317" i="18"/>
  <c r="AA415" i="18"/>
  <c r="P161" i="18"/>
  <c r="P401" i="18"/>
  <c r="V59" i="18"/>
  <c r="U301" i="18"/>
  <c r="N342" i="18"/>
  <c r="O342" i="18"/>
  <c r="S341" i="18"/>
  <c r="S195" i="18"/>
  <c r="V217" i="18"/>
  <c r="O70" i="18"/>
  <c r="AA394" i="18"/>
  <c r="O76" i="18"/>
  <c r="O305" i="18"/>
  <c r="W432" i="18"/>
  <c r="O121" i="18"/>
  <c r="R503" i="18"/>
  <c r="S158" i="18"/>
  <c r="AA123" i="18"/>
  <c r="V399" i="18"/>
  <c r="P340" i="18"/>
  <c r="AA365" i="18"/>
  <c r="R269" i="18"/>
  <c r="U177" i="18"/>
  <c r="R47" i="18"/>
  <c r="O424" i="18"/>
  <c r="S103" i="18"/>
  <c r="U213" i="18"/>
  <c r="T358" i="18"/>
  <c r="AA17" i="18"/>
  <c r="R384" i="18"/>
  <c r="T380" i="18"/>
  <c r="X246" i="18"/>
  <c r="V464" i="18"/>
  <c r="S309" i="18"/>
  <c r="Q202" i="18"/>
  <c r="Q476" i="18"/>
  <c r="X97" i="18"/>
  <c r="V423" i="18"/>
  <c r="R257" i="18"/>
  <c r="AA389" i="18"/>
  <c r="X134" i="18"/>
  <c r="Y134" i="18" s="1"/>
  <c r="R350" i="18"/>
  <c r="X432" i="18"/>
  <c r="O491" i="18"/>
  <c r="O322" i="18"/>
  <c r="U52" i="18"/>
  <c r="P407" i="18"/>
  <c r="Q360" i="18"/>
  <c r="P75" i="18"/>
  <c r="U270" i="18"/>
  <c r="R452" i="18"/>
  <c r="Q447" i="18"/>
  <c r="O379" i="18"/>
  <c r="T163" i="18"/>
  <c r="U445" i="18"/>
  <c r="W486" i="18"/>
  <c r="Y486" i="18" s="1"/>
  <c r="Q49" i="18"/>
  <c r="O87" i="18"/>
  <c r="U412" i="18"/>
  <c r="P296" i="18"/>
  <c r="R493" i="18"/>
  <c r="N457" i="18"/>
  <c r="P180" i="18"/>
  <c r="T371" i="18"/>
  <c r="R422" i="18"/>
  <c r="V446" i="18"/>
  <c r="S152" i="18"/>
  <c r="O177" i="18"/>
  <c r="P491" i="18"/>
  <c r="W452" i="18"/>
  <c r="Y452" i="18" s="1"/>
  <c r="P424" i="18"/>
  <c r="U425" i="18"/>
  <c r="Q275" i="18"/>
  <c r="N155" i="18"/>
  <c r="P9" i="18"/>
  <c r="N281" i="18"/>
  <c r="S263" i="18"/>
  <c r="W412" i="18"/>
  <c r="AA330" i="18"/>
  <c r="N108" i="18"/>
  <c r="R155" i="18"/>
  <c r="V286" i="18"/>
  <c r="U130" i="18"/>
  <c r="R302" i="18"/>
  <c r="S289" i="18"/>
  <c r="R224" i="18"/>
  <c r="Q220" i="18"/>
  <c r="X334" i="18"/>
  <c r="W424" i="18"/>
  <c r="N154" i="18"/>
  <c r="Q382" i="18"/>
  <c r="X338" i="18"/>
  <c r="W394" i="18"/>
  <c r="V315" i="18"/>
  <c r="P120" i="18"/>
  <c r="X366" i="18"/>
  <c r="N488" i="18"/>
  <c r="P503" i="18"/>
  <c r="U113" i="18"/>
  <c r="T52" i="18"/>
  <c r="O214" i="18"/>
  <c r="P490" i="18"/>
  <c r="S35" i="18"/>
  <c r="AA100" i="18"/>
  <c r="R112" i="18"/>
  <c r="P445" i="18"/>
  <c r="P207" i="18"/>
  <c r="O203" i="18"/>
  <c r="O219" i="18"/>
  <c r="X303" i="18"/>
  <c r="X319" i="18"/>
  <c r="U371" i="18"/>
  <c r="O250" i="18"/>
  <c r="V332" i="18"/>
  <c r="O223" i="18"/>
  <c r="T435" i="18"/>
  <c r="Q63" i="18"/>
  <c r="T353" i="18"/>
  <c r="R396" i="18"/>
  <c r="T381" i="18"/>
  <c r="R441" i="18"/>
  <c r="T170" i="18"/>
  <c r="T362" i="18"/>
  <c r="P44" i="18"/>
  <c r="P72" i="18"/>
  <c r="U497" i="18"/>
  <c r="O437" i="18"/>
  <c r="V333" i="18"/>
  <c r="N95" i="18"/>
  <c r="U281" i="18"/>
  <c r="T317" i="18"/>
  <c r="P345" i="18"/>
  <c r="V280" i="18"/>
  <c r="W77" i="18"/>
  <c r="Y77" i="18" s="1"/>
  <c r="V479" i="18"/>
  <c r="T368" i="18"/>
  <c r="N126" i="18"/>
  <c r="P297" i="18"/>
  <c r="S87" i="18"/>
  <c r="AA501" i="18"/>
  <c r="Q452" i="18"/>
  <c r="V8" i="18"/>
  <c r="V282" i="18"/>
  <c r="U420" i="18"/>
  <c r="T503" i="18"/>
  <c r="O252" i="18"/>
  <c r="U491" i="18"/>
  <c r="S364" i="18"/>
  <c r="T434" i="18"/>
  <c r="O364" i="18"/>
  <c r="AA310" i="18"/>
  <c r="R68" i="18"/>
  <c r="R227" i="18"/>
  <c r="V143" i="18"/>
  <c r="U147" i="18"/>
  <c r="V205" i="18"/>
  <c r="O138" i="18"/>
  <c r="Q409" i="18"/>
  <c r="P263" i="18"/>
  <c r="R275" i="18"/>
  <c r="S218" i="18"/>
  <c r="T207" i="18"/>
  <c r="N189" i="18"/>
  <c r="T125" i="18"/>
  <c r="Q470" i="18"/>
  <c r="W171" i="18"/>
  <c r="Q253" i="18"/>
  <c r="V189" i="18"/>
  <c r="X254" i="18"/>
  <c r="S188" i="18"/>
  <c r="X321" i="18"/>
  <c r="U150" i="18"/>
  <c r="N206" i="18"/>
  <c r="T26" i="18"/>
  <c r="O276" i="18"/>
  <c r="W382" i="18"/>
  <c r="Y382" i="18" s="1"/>
  <c r="AA155" i="18"/>
  <c r="V167" i="18"/>
  <c r="R371" i="18"/>
  <c r="O78" i="18"/>
  <c r="X367" i="18"/>
  <c r="R287" i="18"/>
  <c r="Q56" i="18"/>
  <c r="Q255" i="18"/>
  <c r="V224" i="18"/>
  <c r="R186" i="18"/>
  <c r="T270" i="18"/>
  <c r="T191" i="18"/>
  <c r="W262" i="18"/>
  <c r="X13" i="18"/>
  <c r="T355" i="18"/>
  <c r="N367" i="18"/>
  <c r="AA136" i="18"/>
  <c r="N14" i="18"/>
  <c r="U237" i="18"/>
  <c r="N372" i="18"/>
  <c r="P8" i="18"/>
  <c r="U63" i="18"/>
  <c r="N37" i="18"/>
  <c r="O190" i="18"/>
  <c r="W423" i="18"/>
  <c r="N380" i="18"/>
  <c r="O359" i="18"/>
  <c r="W365" i="18"/>
  <c r="Y365" i="18" s="1"/>
  <c r="V39" i="18"/>
  <c r="O331" i="18"/>
  <c r="N428" i="18"/>
  <c r="X264" i="18"/>
  <c r="R390" i="18"/>
  <c r="U426" i="18"/>
  <c r="V354" i="18"/>
  <c r="S261" i="18"/>
  <c r="R128" i="18"/>
  <c r="S331" i="18"/>
  <c r="S21" i="18"/>
  <c r="O212" i="18"/>
  <c r="Q251" i="18"/>
  <c r="V491" i="18"/>
  <c r="P129" i="18"/>
  <c r="V226" i="18"/>
  <c r="T433" i="18"/>
  <c r="T292" i="18"/>
  <c r="Q218" i="18"/>
  <c r="O56" i="18"/>
  <c r="P52" i="18"/>
  <c r="T315" i="18"/>
  <c r="S139" i="18"/>
  <c r="S405" i="18"/>
  <c r="P437" i="18"/>
  <c r="N280" i="18"/>
  <c r="AA305" i="18"/>
  <c r="S241" i="18"/>
  <c r="Q438" i="18"/>
  <c r="V21" i="18"/>
  <c r="T123" i="18"/>
  <c r="O369" i="18"/>
  <c r="S30" i="18"/>
  <c r="U186" i="18"/>
  <c r="P505" i="18"/>
  <c r="N346" i="18"/>
  <c r="U117" i="18"/>
  <c r="W497" i="18"/>
  <c r="Q312" i="18"/>
  <c r="W304" i="18"/>
  <c r="W383" i="18"/>
  <c r="Y383" i="18" s="1"/>
  <c r="U495" i="18"/>
  <c r="T256" i="18"/>
  <c r="N270" i="18"/>
  <c r="U151" i="18"/>
  <c r="S132" i="18"/>
  <c r="N373" i="18"/>
  <c r="Q37" i="18"/>
  <c r="AA412" i="18"/>
  <c r="U439" i="18"/>
  <c r="T467" i="18"/>
  <c r="U178" i="18"/>
  <c r="T421" i="18"/>
  <c r="O429" i="18"/>
  <c r="AA93" i="18"/>
  <c r="U469" i="18"/>
  <c r="O386" i="18"/>
  <c r="R292" i="18"/>
  <c r="X268" i="18"/>
  <c r="AA204" i="18"/>
  <c r="AA138" i="18"/>
  <c r="R358" i="18"/>
  <c r="U383" i="18"/>
  <c r="Q64" i="18"/>
  <c r="X118" i="18"/>
  <c r="Q366" i="18"/>
  <c r="U40" i="18"/>
  <c r="V170" i="18"/>
  <c r="Q30" i="18"/>
  <c r="X302" i="18"/>
  <c r="T161" i="18"/>
  <c r="R72" i="18"/>
  <c r="S432" i="18"/>
  <c r="R141" i="18"/>
  <c r="O412" i="18"/>
  <c r="P86" i="18"/>
  <c r="U90" i="18"/>
  <c r="P228" i="18"/>
  <c r="U356" i="18"/>
  <c r="O9" i="18"/>
  <c r="W12" i="18"/>
  <c r="O255" i="18"/>
  <c r="Q121" i="18"/>
  <c r="Q194" i="18"/>
  <c r="AA327" i="18"/>
  <c r="Q465" i="18"/>
  <c r="N183" i="18"/>
  <c r="X234" i="18"/>
  <c r="N371" i="18"/>
  <c r="T85" i="18"/>
  <c r="P184" i="18"/>
  <c r="Q51" i="18"/>
  <c r="U107" i="18"/>
  <c r="S436" i="18"/>
  <c r="X96" i="18"/>
  <c r="V369" i="18"/>
  <c r="W363" i="18"/>
  <c r="W267" i="18"/>
  <c r="Q55" i="18"/>
  <c r="X203" i="18"/>
  <c r="V448" i="18"/>
  <c r="S247" i="18"/>
  <c r="O165" i="18"/>
  <c r="T128" i="18"/>
  <c r="O384" i="18"/>
  <c r="O333" i="18"/>
  <c r="R377" i="18"/>
  <c r="V7" i="18"/>
  <c r="S24" i="18"/>
  <c r="X456" i="18"/>
  <c r="Y456" i="18" s="1"/>
  <c r="T72" i="18"/>
  <c r="S296" i="18"/>
  <c r="N384" i="18"/>
  <c r="E13" i="35"/>
  <c r="W149" i="18"/>
  <c r="X269" i="18"/>
  <c r="W456" i="18"/>
  <c r="N487" i="18"/>
  <c r="S476" i="18"/>
  <c r="R273" i="18"/>
  <c r="X318" i="18"/>
  <c r="Y318" i="18" s="1"/>
  <c r="S395" i="18"/>
  <c r="AA58" i="18"/>
  <c r="AA404" i="18"/>
  <c r="X415" i="18"/>
  <c r="Q249" i="18"/>
  <c r="Q340" i="18"/>
  <c r="V69" i="18"/>
  <c r="Q229" i="18"/>
  <c r="X295" i="18"/>
  <c r="S340" i="18"/>
  <c r="AA285" i="18"/>
  <c r="Q503" i="18"/>
  <c r="W105" i="18"/>
  <c r="U408" i="18"/>
  <c r="T341" i="18"/>
  <c r="P27" i="18"/>
  <c r="W306" i="18"/>
  <c r="R252" i="18"/>
  <c r="P104" i="18"/>
  <c r="X438" i="18"/>
  <c r="V463" i="18"/>
  <c r="Q317" i="18"/>
  <c r="P179" i="18"/>
  <c r="W73" i="18"/>
  <c r="X308" i="18"/>
  <c r="V33" i="18"/>
  <c r="AA113" i="18"/>
  <c r="N194" i="18"/>
  <c r="W217" i="18"/>
  <c r="AA128" i="18"/>
  <c r="W85" i="18"/>
  <c r="R299" i="18"/>
  <c r="U476" i="18"/>
  <c r="R328" i="18"/>
  <c r="O309" i="18"/>
  <c r="T95" i="18"/>
  <c r="N103" i="18"/>
  <c r="X155" i="18"/>
  <c r="Y155" i="18" s="1"/>
  <c r="AA498" i="18"/>
  <c r="P369" i="18"/>
  <c r="Q435" i="18"/>
  <c r="U487" i="18"/>
  <c r="Q306" i="18"/>
  <c r="S202" i="18"/>
  <c r="R367" i="18"/>
  <c r="P480" i="18"/>
  <c r="X265" i="18"/>
  <c r="U324" i="18"/>
  <c r="U16" i="18"/>
  <c r="S75" i="18"/>
  <c r="Q268" i="18"/>
  <c r="P233" i="18"/>
  <c r="W278" i="18"/>
  <c r="U375" i="18"/>
  <c r="N383" i="18"/>
  <c r="V349" i="18"/>
  <c r="O141" i="18"/>
  <c r="P506" i="18"/>
  <c r="R103" i="18"/>
  <c r="Q171" i="18"/>
  <c r="T271" i="18"/>
  <c r="X74" i="18"/>
  <c r="W477" i="18"/>
  <c r="Q453" i="18"/>
  <c r="N158" i="18"/>
  <c r="AA390" i="18"/>
  <c r="U397" i="18"/>
  <c r="R365" i="18"/>
  <c r="AA460" i="18"/>
  <c r="P60" i="18"/>
  <c r="P485" i="18"/>
  <c r="P249" i="18"/>
  <c r="N27" i="18"/>
  <c r="N31" i="18"/>
  <c r="Q284" i="18"/>
  <c r="X398" i="18"/>
  <c r="AA23" i="18"/>
  <c r="V366" i="18"/>
  <c r="X421" i="18"/>
  <c r="X374" i="18"/>
  <c r="P185" i="18"/>
  <c r="P494" i="18"/>
  <c r="Q89" i="18"/>
  <c r="X199" i="18"/>
  <c r="Q133" i="18"/>
  <c r="AA196" i="18"/>
  <c r="Q115" i="18"/>
  <c r="X35" i="18"/>
  <c r="R316" i="18"/>
  <c r="O122" i="18"/>
  <c r="Q368" i="18"/>
  <c r="U464" i="18"/>
  <c r="AA393" i="18"/>
  <c r="AA352" i="18"/>
  <c r="S474" i="18"/>
  <c r="O317" i="18"/>
  <c r="Q154" i="18"/>
  <c r="U354" i="18"/>
  <c r="U195" i="18"/>
  <c r="U83" i="18"/>
  <c r="V444" i="18"/>
  <c r="X73" i="18"/>
  <c r="Y73" i="18" s="1"/>
  <c r="P90" i="18"/>
  <c r="V273" i="18"/>
  <c r="X185" i="18"/>
  <c r="Y185" i="18" s="1"/>
  <c r="N59" i="18"/>
  <c r="W420" i="18"/>
  <c r="N349" i="18"/>
  <c r="W277" i="18"/>
  <c r="S203" i="18"/>
  <c r="W325" i="18"/>
  <c r="T187" i="18"/>
  <c r="V461" i="18"/>
  <c r="S185" i="18"/>
  <c r="V52" i="18"/>
  <c r="X71" i="18"/>
  <c r="T324" i="18"/>
  <c r="T196" i="18"/>
  <c r="R32" i="18"/>
  <c r="S205" i="18"/>
  <c r="T332" i="18"/>
  <c r="Q389" i="18"/>
  <c r="X216" i="18"/>
  <c r="AA321" i="18"/>
  <c r="V363" i="18"/>
  <c r="P320" i="18"/>
  <c r="V43" i="18"/>
  <c r="R491" i="18"/>
  <c r="Q484" i="18"/>
  <c r="W312" i="18"/>
  <c r="Y312" i="18" s="1"/>
  <c r="W266" i="18"/>
  <c r="Q205" i="18"/>
  <c r="R105" i="18"/>
  <c r="AA137" i="18"/>
  <c r="N86" i="18"/>
  <c r="W409" i="18"/>
  <c r="Y409" i="18" s="1"/>
  <c r="W301" i="18"/>
  <c r="U350" i="18"/>
  <c r="X10" i="18"/>
  <c r="V60" i="18"/>
  <c r="W234" i="18"/>
  <c r="Y234" i="18" s="1"/>
  <c r="AA171" i="18"/>
  <c r="S390" i="18"/>
  <c r="Q464" i="18"/>
  <c r="R69" i="18"/>
  <c r="Q19" i="18"/>
  <c r="P468" i="18"/>
  <c r="P439" i="18"/>
  <c r="X194" i="18"/>
  <c r="Q254" i="18"/>
  <c r="U82" i="18"/>
  <c r="T225" i="18"/>
  <c r="P85" i="18"/>
  <c r="V81" i="18"/>
  <c r="S151" i="18"/>
  <c r="O461" i="18"/>
  <c r="V231" i="18"/>
  <c r="U197" i="18"/>
  <c r="O160" i="18"/>
  <c r="U358" i="18"/>
  <c r="V326" i="18"/>
  <c r="Q276" i="18"/>
  <c r="U500" i="18"/>
  <c r="AA144" i="18"/>
  <c r="S350" i="18"/>
  <c r="P466" i="18"/>
  <c r="O458" i="18"/>
  <c r="V186" i="18"/>
  <c r="X434" i="18"/>
  <c r="Y434" i="18" s="1"/>
  <c r="Q410" i="18"/>
  <c r="T295" i="18"/>
  <c r="AA55" i="18"/>
  <c r="X382" i="18"/>
  <c r="R301" i="18"/>
  <c r="U277" i="18"/>
  <c r="W188" i="18"/>
  <c r="U231" i="18"/>
  <c r="U265" i="18"/>
  <c r="R449" i="18"/>
  <c r="N19" i="18"/>
  <c r="Q264" i="18"/>
  <c r="W202" i="18"/>
  <c r="Y202" i="18" s="1"/>
  <c r="X298" i="18"/>
  <c r="U220" i="18"/>
  <c r="R360" i="18"/>
  <c r="O92" i="18"/>
  <c r="W69" i="18"/>
  <c r="Y69" i="18" s="1"/>
  <c r="O124" i="18"/>
  <c r="N356" i="18"/>
  <c r="T308" i="18"/>
  <c r="W506" i="18"/>
  <c r="S147" i="18"/>
  <c r="AA470" i="18"/>
  <c r="S79" i="18"/>
  <c r="O72" i="18"/>
  <c r="U483" i="18"/>
  <c r="S290" i="18"/>
  <c r="N74" i="18"/>
  <c r="AA154" i="18"/>
  <c r="S459" i="18"/>
  <c r="P26" i="18"/>
  <c r="W503" i="18"/>
  <c r="U164" i="18"/>
  <c r="Q146" i="18"/>
  <c r="N58" i="18"/>
  <c r="W433" i="18"/>
  <c r="X487" i="18"/>
  <c r="O155" i="18"/>
  <c r="W222" i="18"/>
  <c r="U196" i="18"/>
  <c r="Q41" i="18"/>
  <c r="N234" i="18"/>
  <c r="X491" i="18"/>
  <c r="Y491" i="18" s="1"/>
  <c r="U79" i="18"/>
  <c r="S246" i="18"/>
  <c r="X384" i="18"/>
  <c r="P302" i="18"/>
  <c r="Q95" i="18"/>
  <c r="U496" i="18"/>
  <c r="N285" i="18"/>
  <c r="W72" i="18"/>
  <c r="V383" i="18"/>
  <c r="U61" i="18"/>
  <c r="S226" i="18"/>
  <c r="T419" i="18"/>
  <c r="W295" i="18"/>
  <c r="Y295" i="18" s="1"/>
  <c r="U217" i="18"/>
  <c r="W56" i="18"/>
  <c r="Y56" i="18" s="1"/>
  <c r="O318" i="18"/>
  <c r="R143" i="18"/>
  <c r="R342" i="18"/>
  <c r="S481" i="18"/>
  <c r="AA206" i="18"/>
  <c r="U436" i="18"/>
  <c r="V454" i="18"/>
  <c r="X332" i="18"/>
  <c r="Y332" i="18" s="1"/>
  <c r="W158" i="18"/>
  <c r="N459" i="18"/>
  <c r="P199" i="18"/>
  <c r="X34" i="18"/>
  <c r="T498" i="18"/>
  <c r="O242" i="18"/>
  <c r="R230" i="18"/>
  <c r="T133" i="18"/>
  <c r="W390" i="18"/>
  <c r="O339" i="18"/>
  <c r="T181" i="18"/>
  <c r="S36" i="18"/>
  <c r="X51" i="18"/>
  <c r="N309" i="18"/>
  <c r="T32" i="18"/>
  <c r="X277" i="18"/>
  <c r="Y277" i="18" s="1"/>
  <c r="Q104" i="18"/>
  <c r="U286" i="18"/>
  <c r="N132" i="18"/>
  <c r="S112" i="18"/>
  <c r="V187" i="18"/>
  <c r="W310" i="18"/>
  <c r="Q344" i="18"/>
  <c r="W110" i="18"/>
  <c r="V500" i="18"/>
  <c r="X151" i="18"/>
  <c r="Q375" i="18"/>
  <c r="V488" i="18"/>
  <c r="T30" i="18"/>
  <c r="N386" i="18"/>
  <c r="R372" i="18"/>
  <c r="N198" i="18"/>
  <c r="P416" i="18"/>
  <c r="S48" i="18"/>
  <c r="R119" i="18"/>
  <c r="AA430" i="18"/>
  <c r="T495" i="18"/>
  <c r="R50" i="18"/>
  <c r="T296" i="18"/>
  <c r="Q504" i="18"/>
  <c r="N433" i="18"/>
  <c r="P260" i="18"/>
  <c r="T289" i="18"/>
  <c r="AA50" i="18"/>
  <c r="N460" i="18"/>
  <c r="T393" i="18"/>
  <c r="U175" i="18"/>
  <c r="U465" i="18"/>
  <c r="N203" i="18"/>
  <c r="W20" i="18"/>
  <c r="P288" i="18"/>
  <c r="R149" i="18"/>
  <c r="Q252" i="18"/>
  <c r="AA421" i="18"/>
  <c r="R459" i="18"/>
  <c r="AA186" i="18"/>
  <c r="W339" i="18"/>
  <c r="S174" i="18"/>
  <c r="R469" i="18"/>
  <c r="T278" i="18"/>
  <c r="U136" i="18"/>
  <c r="W366" i="18"/>
  <c r="Y366" i="18" s="1"/>
  <c r="U11" i="18"/>
  <c r="W345" i="18"/>
  <c r="X158" i="18"/>
  <c r="S270" i="18"/>
  <c r="P500" i="18"/>
  <c r="AA269" i="18"/>
  <c r="X404" i="18"/>
  <c r="U65" i="18"/>
  <c r="X117" i="18"/>
  <c r="AA337" i="18"/>
  <c r="P96" i="18"/>
  <c r="P102" i="18"/>
  <c r="V168" i="18"/>
  <c r="Q416" i="18"/>
  <c r="AA27" i="18"/>
  <c r="N157" i="18"/>
  <c r="P285" i="18"/>
  <c r="V70" i="18"/>
  <c r="N39" i="18"/>
  <c r="X70" i="18"/>
  <c r="R354" i="18"/>
  <c r="P304" i="18"/>
  <c r="V308" i="18"/>
  <c r="AA264" i="18"/>
  <c r="P191" i="18"/>
  <c r="U127" i="18"/>
  <c r="X313" i="18"/>
  <c r="W66" i="18"/>
  <c r="X401" i="18"/>
  <c r="Y401" i="18" s="1"/>
  <c r="P429" i="18"/>
  <c r="R488" i="18"/>
  <c r="S404" i="18"/>
  <c r="T499" i="18"/>
  <c r="W463" i="18"/>
  <c r="P292" i="18"/>
  <c r="AA477" i="18"/>
  <c r="W470" i="18"/>
  <c r="Y470" i="18" s="1"/>
  <c r="N230" i="18"/>
  <c r="P148" i="18"/>
  <c r="T197" i="18"/>
  <c r="S8" i="18"/>
  <c r="U219" i="18"/>
  <c r="R378" i="18"/>
  <c r="N407" i="18"/>
  <c r="P51" i="18"/>
  <c r="R297" i="18"/>
  <c r="U128" i="18"/>
  <c r="P195" i="18"/>
  <c r="N265" i="18"/>
  <c r="V127" i="18"/>
  <c r="P106" i="18"/>
  <c r="T9" i="18"/>
  <c r="X290" i="18"/>
  <c r="AA166" i="18"/>
  <c r="S454" i="18"/>
  <c r="U154" i="18"/>
  <c r="R16" i="18"/>
  <c r="V130" i="18"/>
  <c r="Q278" i="18"/>
  <c r="S441" i="18"/>
  <c r="X435" i="18"/>
  <c r="Q172" i="18"/>
  <c r="W487" i="18"/>
  <c r="V313" i="18"/>
  <c r="V404" i="18"/>
  <c r="S360" i="18"/>
  <c r="U165" i="18"/>
  <c r="S95" i="18"/>
  <c r="V165" i="18"/>
  <c r="U274" i="18"/>
  <c r="T50" i="18"/>
  <c r="N447" i="18"/>
  <c r="N400" i="18"/>
  <c r="W453" i="18"/>
  <c r="X241" i="18"/>
  <c r="S155" i="18"/>
  <c r="O278" i="18"/>
  <c r="V50" i="18"/>
  <c r="P484" i="18"/>
  <c r="T55" i="18"/>
  <c r="U362" i="18"/>
  <c r="W176" i="18"/>
  <c r="R147" i="18"/>
  <c r="Q232" i="18"/>
  <c r="P216" i="18"/>
  <c r="N215" i="18"/>
  <c r="AA455" i="18"/>
  <c r="W465" i="18"/>
  <c r="P299" i="18"/>
  <c r="T35" i="18"/>
  <c r="V42" i="18"/>
  <c r="W38" i="18"/>
  <c r="N71" i="18"/>
  <c r="Q235" i="18"/>
  <c r="P276" i="18"/>
  <c r="X289" i="18"/>
  <c r="Q501" i="18"/>
  <c r="N120" i="18"/>
  <c r="N413" i="18"/>
  <c r="O68" i="18"/>
  <c r="S373" i="18"/>
  <c r="Q186" i="18"/>
  <c r="X187" i="18"/>
  <c r="V253" i="18"/>
  <c r="R440" i="18"/>
  <c r="X261" i="18"/>
  <c r="T372" i="18"/>
  <c r="P71" i="18"/>
  <c r="AA43" i="18"/>
  <c r="P31" i="18"/>
  <c r="R326" i="18"/>
  <c r="V370" i="18"/>
  <c r="X149" i="18"/>
  <c r="R388" i="18"/>
  <c r="W410" i="18"/>
  <c r="R102" i="18"/>
  <c r="V413" i="18"/>
  <c r="Q471" i="18"/>
  <c r="N355" i="18"/>
  <c r="N492" i="18"/>
  <c r="T232" i="18"/>
  <c r="O372" i="18"/>
  <c r="R373" i="18"/>
  <c r="Q77" i="18"/>
  <c r="N332" i="18"/>
  <c r="AA175" i="18"/>
  <c r="X284" i="18"/>
  <c r="Y284" i="18" s="1"/>
  <c r="R443" i="18"/>
  <c r="Q102" i="18"/>
  <c r="V367" i="18"/>
  <c r="S29" i="18"/>
  <c r="S305" i="18"/>
  <c r="U399" i="18"/>
  <c r="U452" i="18"/>
  <c r="N87" i="18"/>
  <c r="R210" i="18"/>
  <c r="P159" i="18"/>
  <c r="T140" i="18"/>
  <c r="Q356" i="18"/>
  <c r="W48" i="18"/>
  <c r="O172" i="18"/>
  <c r="Q48" i="18"/>
  <c r="R104" i="18"/>
  <c r="S464" i="18"/>
  <c r="U234" i="18"/>
  <c r="U93" i="18"/>
  <c r="W376" i="18"/>
  <c r="Y376" i="18" s="1"/>
  <c r="W451" i="18"/>
  <c r="S135" i="18"/>
  <c r="V314" i="18"/>
  <c r="V422" i="18"/>
  <c r="T389" i="18"/>
  <c r="R233" i="18"/>
  <c r="U264" i="18"/>
  <c r="U438" i="18"/>
  <c r="P177" i="18"/>
  <c r="N406" i="18"/>
  <c r="O416" i="18"/>
  <c r="V151" i="18"/>
  <c r="AA99" i="18"/>
  <c r="U57" i="18"/>
  <c r="V334" i="18"/>
  <c r="F9" i="12"/>
  <c r="F8" i="12"/>
  <c r="O341" i="18"/>
  <c r="Q497" i="18"/>
  <c r="N416" i="18"/>
  <c r="V375" i="18"/>
  <c r="S414" i="18"/>
  <c r="O108" i="18"/>
  <c r="U306" i="18"/>
  <c r="V213" i="18"/>
  <c r="S316" i="18"/>
  <c r="V160" i="18"/>
  <c r="O389" i="18"/>
  <c r="W364" i="18"/>
  <c r="Q257" i="18"/>
  <c r="W86" i="18"/>
  <c r="N353" i="18"/>
  <c r="U125" i="18"/>
  <c r="Q477" i="18"/>
  <c r="P290" i="18"/>
  <c r="AA180" i="18"/>
  <c r="AA140" i="18"/>
  <c r="T130" i="18"/>
  <c r="AA165" i="18"/>
  <c r="T151" i="18"/>
  <c r="U304" i="18"/>
  <c r="S330" i="18"/>
  <c r="T13" i="18"/>
  <c r="X484" i="18"/>
  <c r="Q493" i="18"/>
  <c r="Q294" i="18"/>
  <c r="T449" i="18"/>
  <c r="O89" i="18"/>
  <c r="W386" i="18"/>
  <c r="Y386" i="18" s="1"/>
  <c r="AA325" i="18"/>
  <c r="R489" i="18"/>
  <c r="R314" i="18"/>
  <c r="P419" i="18"/>
  <c r="N282" i="18"/>
  <c r="U398" i="18"/>
  <c r="Q398" i="18"/>
  <c r="N245" i="18"/>
  <c r="V196" i="18"/>
  <c r="S45" i="18"/>
  <c r="V368" i="18"/>
  <c r="O436" i="18"/>
  <c r="S407" i="18"/>
  <c r="X129" i="18"/>
  <c r="W427" i="18"/>
  <c r="O46" i="18"/>
  <c r="R39" i="18"/>
  <c r="X41" i="18"/>
  <c r="T143" i="18"/>
  <c r="V95" i="18"/>
  <c r="R306" i="18"/>
  <c r="AA488" i="18"/>
  <c r="O419" i="18"/>
  <c r="R341" i="18"/>
  <c r="O347" i="18"/>
  <c r="R439" i="18"/>
  <c r="P38" i="18"/>
  <c r="U55" i="18"/>
  <c r="T179" i="18"/>
  <c r="O185" i="18"/>
  <c r="V389" i="18"/>
  <c r="N200" i="18"/>
  <c r="V435" i="18"/>
  <c r="K6" i="12"/>
  <c r="K9" i="12" s="1"/>
  <c r="O431" i="18"/>
  <c r="P112" i="18"/>
  <c r="V215" i="18"/>
  <c r="U343" i="18"/>
  <c r="Q266" i="18"/>
  <c r="V65" i="18"/>
  <c r="AA275" i="18"/>
  <c r="U15" i="18"/>
  <c r="O354" i="18"/>
  <c r="W121" i="18"/>
  <c r="S490" i="18"/>
  <c r="AA46" i="18"/>
  <c r="O270" i="18"/>
  <c r="O479" i="18"/>
  <c r="V92" i="18"/>
  <c r="T118" i="18"/>
  <c r="U251" i="18"/>
  <c r="P174" i="18"/>
  <c r="N315" i="18"/>
  <c r="N196" i="18"/>
  <c r="P444" i="18"/>
  <c r="S71" i="18"/>
  <c r="T337" i="18"/>
  <c r="R144" i="18"/>
  <c r="E16" i="35"/>
  <c r="S423" i="18"/>
  <c r="AA88" i="18"/>
  <c r="N256" i="18"/>
  <c r="P10" i="18"/>
  <c r="X154" i="18"/>
  <c r="R322" i="18"/>
  <c r="W268" i="18"/>
  <c r="Y268" i="18" s="1"/>
  <c r="S213" i="18"/>
  <c r="P146" i="18"/>
  <c r="S149" i="18"/>
  <c r="T99" i="18"/>
  <c r="U211" i="18"/>
  <c r="R414" i="18"/>
  <c r="P22" i="18"/>
  <c r="T34" i="18"/>
  <c r="AA486" i="18"/>
  <c r="X333" i="18"/>
  <c r="Q210" i="18"/>
  <c r="N366" i="18"/>
  <c r="W67" i="18"/>
  <c r="Q444" i="18"/>
  <c r="W411" i="18"/>
  <c r="V290" i="18"/>
  <c r="O435" i="18"/>
  <c r="T100" i="18"/>
  <c r="X457" i="18"/>
  <c r="AA361" i="18"/>
  <c r="R117" i="18"/>
  <c r="U366" i="18"/>
  <c r="AA368" i="18"/>
  <c r="Q292" i="18"/>
  <c r="Q460" i="18"/>
  <c r="U159" i="18"/>
  <c r="X410" i="18"/>
  <c r="Q118" i="18"/>
  <c r="X393" i="18"/>
  <c r="R75" i="18"/>
  <c r="O79" i="18"/>
  <c r="U271" i="18"/>
  <c r="N78" i="18"/>
  <c r="S442" i="18"/>
  <c r="X444" i="18"/>
  <c r="U240" i="18"/>
  <c r="N305" i="18"/>
  <c r="U51" i="18"/>
  <c r="W57" i="18"/>
  <c r="W183" i="18"/>
  <c r="W368" i="18"/>
  <c r="Y368" i="18" s="1"/>
  <c r="T39" i="18"/>
  <c r="S400" i="18"/>
  <c r="Q419" i="18"/>
  <c r="N181" i="18"/>
  <c r="AA77" i="18"/>
  <c r="W293" i="18"/>
  <c r="W93" i="18"/>
  <c r="V449" i="18"/>
  <c r="S501" i="18"/>
  <c r="R310" i="18"/>
  <c r="AA471" i="18"/>
  <c r="X212" i="18"/>
  <c r="V427" i="18"/>
  <c r="AA304" i="18"/>
  <c r="Q47" i="18"/>
  <c r="W313" i="18"/>
  <c r="R201" i="18"/>
  <c r="Q372" i="18"/>
  <c r="P111" i="18"/>
  <c r="N150" i="18"/>
  <c r="N329" i="18"/>
  <c r="R359" i="18"/>
  <c r="O312" i="18"/>
  <c r="W292" i="18"/>
  <c r="R63" i="18"/>
  <c r="T336" i="18"/>
  <c r="V14" i="18"/>
  <c r="U138" i="18"/>
  <c r="O460" i="18"/>
  <c r="T429" i="18"/>
  <c r="T402" i="18"/>
  <c r="U18" i="18"/>
  <c r="Q350" i="18"/>
  <c r="P307" i="18"/>
  <c r="S274" i="18"/>
  <c r="P118" i="18"/>
  <c r="Q429" i="18"/>
  <c r="N50" i="18"/>
  <c r="AA134" i="18"/>
  <c r="O73" i="18"/>
  <c r="V265" i="18"/>
  <c r="Q399" i="18"/>
  <c r="V452" i="18"/>
  <c r="U66" i="18"/>
  <c r="O86" i="18"/>
  <c r="N53" i="18"/>
  <c r="N364" i="18"/>
  <c r="R329" i="18"/>
  <c r="U386" i="18"/>
  <c r="P176" i="18"/>
  <c r="O229" i="18"/>
  <c r="U396" i="18"/>
  <c r="Q365" i="18"/>
  <c r="V303" i="18"/>
  <c r="Q442" i="18"/>
  <c r="T277" i="18"/>
  <c r="O44" i="18"/>
  <c r="N232" i="18"/>
  <c r="Q316" i="18"/>
  <c r="S483" i="18"/>
  <c r="V222" i="18"/>
  <c r="O334" i="18"/>
  <c r="S429" i="18"/>
  <c r="W475" i="18"/>
  <c r="X219" i="18"/>
  <c r="P283" i="18"/>
  <c r="X63" i="18"/>
  <c r="R127" i="18"/>
  <c r="T482" i="18"/>
  <c r="U321" i="18"/>
  <c r="AA115" i="18"/>
  <c r="U263" i="18"/>
  <c r="V264" i="18"/>
  <c r="S258" i="18"/>
  <c r="R138" i="18"/>
  <c r="W100" i="18"/>
  <c r="Y100" i="18" s="1"/>
  <c r="T224" i="18"/>
  <c r="X247" i="18"/>
  <c r="S231" i="18"/>
  <c r="P32" i="18"/>
  <c r="R385" i="18"/>
  <c r="T246" i="18"/>
  <c r="Q8" i="18"/>
  <c r="P66" i="18"/>
  <c r="S278" i="18"/>
  <c r="R344" i="18"/>
  <c r="N222" i="18"/>
  <c r="X21" i="18"/>
  <c r="P121" i="18"/>
  <c r="R237" i="18"/>
  <c r="Q387" i="18"/>
  <c r="P145" i="18"/>
  <c r="P402" i="18"/>
  <c r="P56" i="18"/>
  <c r="U411" i="18"/>
  <c r="W152" i="18"/>
  <c r="V219" i="18"/>
  <c r="V408" i="18"/>
  <c r="T318" i="18"/>
  <c r="O226" i="18"/>
  <c r="Q247" i="18"/>
  <c r="N240" i="18"/>
  <c r="V179" i="18"/>
  <c r="W320" i="18"/>
  <c r="Y320" i="18" s="1"/>
  <c r="O228" i="18"/>
  <c r="AA280" i="18"/>
  <c r="U369" i="18"/>
  <c r="P202" i="18"/>
  <c r="R307" i="18"/>
  <c r="Q357" i="18"/>
  <c r="AA420" i="18"/>
  <c r="AA108" i="18"/>
  <c r="AA396" i="18"/>
  <c r="U183" i="18"/>
  <c r="X337" i="18"/>
  <c r="Y337" i="18" s="1"/>
  <c r="U428" i="18"/>
  <c r="R223" i="18"/>
  <c r="P493" i="18"/>
  <c r="O349" i="18"/>
  <c r="P256" i="18"/>
  <c r="R334" i="18"/>
  <c r="AA278" i="18"/>
  <c r="V376" i="18"/>
  <c r="N46" i="18"/>
  <c r="AA229" i="18"/>
  <c r="X395" i="18"/>
  <c r="AA405" i="18"/>
  <c r="V468" i="18"/>
  <c r="W480" i="18"/>
  <c r="S200" i="18"/>
  <c r="T156" i="18"/>
  <c r="W225" i="18"/>
  <c r="T307" i="18"/>
  <c r="O277" i="18"/>
  <c r="U287" i="18"/>
  <c r="U289" i="18"/>
  <c r="N72" i="18"/>
  <c r="P448" i="18"/>
  <c r="T243" i="18"/>
  <c r="X229" i="18"/>
  <c r="Y229" i="18" s="1"/>
  <c r="N204" i="18"/>
  <c r="U182" i="18"/>
  <c r="T297" i="18"/>
  <c r="N225" i="18"/>
  <c r="Q35" i="18"/>
  <c r="V380" i="18"/>
  <c r="W316" i="18"/>
  <c r="X135" i="18"/>
  <c r="S100" i="18"/>
  <c r="S209" i="18"/>
  <c r="S53" i="18"/>
  <c r="T288" i="18"/>
  <c r="T397" i="18"/>
  <c r="X381" i="18"/>
  <c r="Y381" i="18" s="1"/>
  <c r="R456" i="18"/>
  <c r="P487" i="18"/>
  <c r="V495" i="18"/>
  <c r="O238" i="18"/>
  <c r="Q288" i="18"/>
  <c r="W109" i="18"/>
  <c r="U32" i="18"/>
  <c r="N506" i="18"/>
  <c r="O43" i="18"/>
  <c r="R435" i="18"/>
  <c r="W122" i="18"/>
  <c r="S122" i="18"/>
  <c r="X379" i="18"/>
  <c r="Q298" i="18"/>
  <c r="AA357" i="18"/>
  <c r="N18" i="18"/>
  <c r="W493" i="18"/>
  <c r="V108" i="18"/>
  <c r="AA315" i="18"/>
  <c r="O184" i="18"/>
  <c r="P153" i="18"/>
  <c r="U498" i="18"/>
  <c r="O63" i="18"/>
  <c r="R264" i="18"/>
  <c r="X292" i="18"/>
  <c r="V477" i="18"/>
  <c r="P119" i="18"/>
  <c r="AA481" i="18"/>
  <c r="W213" i="18"/>
  <c r="Y213" i="18" s="1"/>
  <c r="P460" i="18"/>
  <c r="Q325" i="18"/>
  <c r="Q239" i="18"/>
  <c r="X105" i="18"/>
  <c r="V414" i="18"/>
  <c r="N251" i="18"/>
  <c r="S230" i="18"/>
  <c r="W484" i="18"/>
  <c r="O232" i="18"/>
  <c r="N244" i="18"/>
  <c r="S197" i="18"/>
  <c r="V44" i="18"/>
  <c r="P324" i="18"/>
  <c r="W146" i="18"/>
  <c r="R282" i="18"/>
  <c r="W265" i="18"/>
  <c r="R279" i="18"/>
  <c r="S452" i="18"/>
  <c r="P396" i="18"/>
  <c r="Q404" i="18"/>
  <c r="R370" i="18"/>
  <c r="T455" i="18"/>
  <c r="N334" i="18"/>
  <c r="W343" i="18"/>
  <c r="U478" i="18"/>
  <c r="R345" i="18"/>
  <c r="AA464" i="18"/>
  <c r="X122" i="18"/>
  <c r="Y122" i="18" s="1"/>
  <c r="X186" i="18"/>
  <c r="Q296" i="18"/>
  <c r="R40" i="18"/>
  <c r="W499" i="18"/>
  <c r="Y499" i="18" s="1"/>
  <c r="P147" i="18"/>
  <c r="O45" i="18"/>
  <c r="AA81" i="18"/>
  <c r="Q434" i="18"/>
  <c r="U230" i="18"/>
  <c r="S367" i="18"/>
  <c r="Q159" i="18"/>
  <c r="U401" i="18"/>
  <c r="N365" i="18"/>
  <c r="N57" i="18"/>
  <c r="O231" i="18"/>
  <c r="R29" i="18"/>
  <c r="R278" i="18"/>
  <c r="T229" i="18"/>
  <c r="AA72" i="18"/>
  <c r="X128" i="18"/>
  <c r="R17" i="18"/>
  <c r="Q52" i="18"/>
  <c r="R432" i="18"/>
  <c r="S96" i="18"/>
  <c r="R454" i="18"/>
  <c r="U99" i="18"/>
  <c r="X495" i="18"/>
  <c r="X357" i="18"/>
  <c r="S25" i="18"/>
  <c r="W102" i="18"/>
  <c r="P157" i="18"/>
  <c r="X131" i="18"/>
  <c r="W296" i="18"/>
  <c r="Y296" i="18" s="1"/>
  <c r="X458" i="18"/>
  <c r="S189" i="18"/>
  <c r="AA158" i="18"/>
  <c r="AA218" i="18"/>
  <c r="V153" i="18"/>
  <c r="AA259" i="18"/>
  <c r="Q431" i="18"/>
  <c r="Q16" i="18"/>
  <c r="AA418" i="18"/>
  <c r="V311" i="18"/>
  <c r="W250" i="18"/>
  <c r="S281" i="18"/>
  <c r="S310" i="18"/>
  <c r="P391" i="18"/>
  <c r="V25" i="18"/>
  <c r="T195" i="18"/>
  <c r="Q241" i="18"/>
  <c r="R22" i="18"/>
  <c r="O470" i="18"/>
  <c r="W247" i="18"/>
  <c r="P236" i="18"/>
  <c r="O497" i="18"/>
  <c r="V258" i="18"/>
  <c r="R481" i="18"/>
  <c r="Q335" i="18"/>
  <c r="S143" i="18"/>
  <c r="W344" i="18"/>
  <c r="W216" i="18"/>
  <c r="Y216" i="18" s="1"/>
  <c r="R412" i="18"/>
  <c r="P289" i="18"/>
  <c r="R467" i="18"/>
  <c r="U42" i="18"/>
  <c r="N430" i="18"/>
  <c r="AA489" i="18"/>
  <c r="Q333" i="18"/>
  <c r="AA342" i="18"/>
  <c r="N449" i="18"/>
  <c r="W505" i="18"/>
  <c r="AA427" i="18"/>
  <c r="R337" i="18"/>
  <c r="X275" i="18"/>
  <c r="Y275" i="18" s="1"/>
  <c r="P279" i="18"/>
  <c r="W140" i="18"/>
  <c r="Y140" i="18" s="1"/>
  <c r="AA9" i="18"/>
  <c r="Q80" i="18"/>
  <c r="V323" i="18"/>
  <c r="AA346" i="18"/>
  <c r="W210" i="18"/>
  <c r="R254" i="18"/>
  <c r="AA63" i="18"/>
  <c r="S222" i="18"/>
  <c r="P109" i="18"/>
  <c r="P478" i="18"/>
  <c r="X40" i="18"/>
  <c r="N271" i="18"/>
  <c r="V276" i="18"/>
  <c r="P436" i="18"/>
  <c r="W322" i="18"/>
  <c r="S61" i="18"/>
  <c r="U333" i="18"/>
  <c r="P394" i="18"/>
  <c r="P23" i="18"/>
  <c r="U427" i="18"/>
  <c r="U98" i="18"/>
  <c r="T122" i="18"/>
  <c r="Q270" i="18"/>
  <c r="U381" i="18"/>
  <c r="J6" i="12"/>
  <c r="J9" i="12" s="1"/>
  <c r="U21" i="18"/>
  <c r="R485" i="18"/>
  <c r="X20" i="18"/>
  <c r="P186" i="18"/>
  <c r="AA48" i="18"/>
  <c r="X460" i="18"/>
  <c r="S80" i="18"/>
  <c r="S256" i="18"/>
  <c r="R59" i="18"/>
  <c r="AA411" i="18"/>
  <c r="O293" i="18"/>
  <c r="X451" i="18"/>
  <c r="X133" i="18"/>
  <c r="N466" i="18"/>
  <c r="Q260" i="18"/>
  <c r="N462" i="18"/>
  <c r="S138" i="18"/>
  <c r="W443" i="18"/>
  <c r="X80" i="18"/>
  <c r="N378" i="18"/>
  <c r="U76" i="18"/>
  <c r="U266" i="18"/>
  <c r="X127" i="18"/>
  <c r="AA237" i="18"/>
  <c r="S444" i="18"/>
  <c r="N15" i="18"/>
  <c r="N184" i="18"/>
  <c r="P301" i="18"/>
  <c r="R462" i="18"/>
  <c r="U347" i="18"/>
  <c r="U179" i="18"/>
  <c r="N128" i="18"/>
  <c r="N228" i="18"/>
  <c r="U334" i="18"/>
  <c r="AA142" i="18"/>
  <c r="AA132" i="18"/>
  <c r="AA241" i="18"/>
  <c r="W70" i="18"/>
  <c r="AA444" i="18"/>
  <c r="S375" i="18"/>
  <c r="S58" i="18"/>
  <c r="O376" i="18"/>
  <c r="T51" i="18"/>
  <c r="S377" i="18"/>
  <c r="P42" i="18"/>
  <c r="P409" i="18"/>
  <c r="V493" i="18"/>
  <c r="U204" i="18"/>
  <c r="U314" i="18"/>
  <c r="X301" i="18"/>
  <c r="Y301" i="18" s="1"/>
  <c r="P481" i="18"/>
  <c r="Q475" i="18"/>
  <c r="U353" i="18"/>
  <c r="Q488" i="18"/>
  <c r="V443" i="18"/>
  <c r="X479" i="18"/>
  <c r="T493" i="18"/>
  <c r="W271" i="18"/>
  <c r="Y271" i="18" s="1"/>
  <c r="U284" i="18"/>
  <c r="R381" i="18"/>
  <c r="V103" i="18"/>
  <c r="S460" i="18"/>
  <c r="V159" i="18"/>
  <c r="X39" i="18"/>
  <c r="N60" i="18"/>
  <c r="O135" i="18"/>
  <c r="O210" i="18"/>
  <c r="AA71" i="18"/>
  <c r="X439" i="18"/>
  <c r="V191" i="18"/>
  <c r="N437" i="18"/>
  <c r="P152" i="18"/>
  <c r="AA119" i="18"/>
  <c r="P273" i="18"/>
  <c r="V80" i="18"/>
  <c r="Q32" i="18"/>
  <c r="Q393" i="18"/>
  <c r="P61" i="18"/>
  <c r="O251" i="18"/>
  <c r="X148" i="18"/>
  <c r="T504" i="18"/>
  <c r="W191" i="18"/>
  <c r="S370" i="18"/>
  <c r="Q71" i="18"/>
  <c r="N276" i="18"/>
  <c r="N209" i="18"/>
  <c r="T119" i="18"/>
  <c r="P330" i="18"/>
  <c r="O453" i="18"/>
  <c r="O484" i="18"/>
  <c r="V497" i="18"/>
  <c r="N233" i="18"/>
  <c r="P137" i="18"/>
  <c r="P167" i="18"/>
  <c r="S346" i="18"/>
  <c r="S357" i="18"/>
  <c r="N226" i="18"/>
  <c r="AA97" i="18"/>
  <c r="T255" i="18"/>
  <c r="Q207" i="18"/>
  <c r="W39" i="18"/>
  <c r="Y39" i="18" s="1"/>
  <c r="U189" i="18"/>
  <c r="P363" i="18"/>
  <c r="W356" i="18"/>
  <c r="X297" i="18"/>
  <c r="S486" i="18"/>
  <c r="AA307" i="18"/>
  <c r="W333" i="18"/>
  <c r="Q440" i="18"/>
  <c r="V395" i="18"/>
  <c r="T172" i="18"/>
  <c r="U95" i="18"/>
  <c r="X235" i="18"/>
  <c r="O344" i="18"/>
  <c r="T149" i="18"/>
  <c r="AA473" i="18"/>
  <c r="U295" i="18"/>
  <c r="U458" i="18"/>
  <c r="Q411" i="18"/>
  <c r="N216" i="18"/>
  <c r="R285" i="18"/>
  <c r="AA130" i="18"/>
  <c r="P392" i="18"/>
  <c r="AA68" i="18"/>
  <c r="R271" i="18"/>
  <c r="N29" i="18"/>
  <c r="P18" i="18"/>
  <c r="U218" i="18"/>
  <c r="P132" i="18"/>
  <c r="X224" i="18"/>
  <c r="R499" i="18"/>
  <c r="Q214" i="18"/>
  <c r="AA246" i="18"/>
  <c r="P422" i="18"/>
  <c r="N484" i="18"/>
  <c r="Q82" i="18"/>
  <c r="S503" i="18"/>
  <c r="V200" i="18"/>
  <c r="S7" i="18"/>
  <c r="X249" i="18"/>
  <c r="O319" i="18"/>
  <c r="O303" i="18"/>
  <c r="S284" i="18"/>
  <c r="P115" i="18"/>
  <c r="R159" i="18"/>
  <c r="V325" i="18"/>
  <c r="S319" i="18"/>
  <c r="Q463" i="18"/>
  <c r="U78" i="18"/>
  <c r="T490" i="18"/>
  <c r="P172" i="18"/>
  <c r="S259" i="18"/>
  <c r="O422" i="18"/>
  <c r="S214" i="18"/>
  <c r="R486" i="18"/>
  <c r="S446" i="18"/>
  <c r="R118" i="18"/>
  <c r="AA364" i="18"/>
  <c r="O329" i="18"/>
  <c r="Q462" i="18"/>
  <c r="T481" i="18"/>
  <c r="T240" i="18"/>
  <c r="S148" i="18"/>
  <c r="X480" i="18"/>
  <c r="N486" i="18"/>
  <c r="AA408" i="18"/>
  <c r="AA257" i="18"/>
  <c r="T194" i="18"/>
  <c r="U309" i="18"/>
  <c r="AA468" i="18"/>
  <c r="Q280" i="18"/>
  <c r="T79" i="18"/>
  <c r="N434" i="18"/>
  <c r="Q31" i="18"/>
  <c r="X293" i="18"/>
  <c r="Q184" i="18"/>
  <c r="N404" i="18"/>
  <c r="AA329" i="18"/>
  <c r="Q57" i="18"/>
  <c r="S38" i="18"/>
  <c r="Q90" i="18"/>
  <c r="X353" i="18"/>
  <c r="O36" i="18"/>
  <c r="R81" i="18"/>
  <c r="O267" i="18"/>
  <c r="P364" i="18"/>
  <c r="N127" i="18"/>
  <c r="P365" i="18"/>
  <c r="S181" i="18"/>
  <c r="S20" i="18"/>
  <c r="O105" i="18"/>
  <c r="V268" i="18"/>
  <c r="Q75" i="18"/>
  <c r="S328" i="18"/>
  <c r="R160" i="18"/>
  <c r="W84" i="18"/>
  <c r="S136" i="18"/>
  <c r="Q420" i="18"/>
  <c r="U156" i="18"/>
  <c r="Q354" i="18"/>
  <c r="W401" i="18"/>
  <c r="P313" i="18"/>
  <c r="Q199" i="18"/>
  <c r="U30" i="18"/>
  <c r="T25" i="18"/>
  <c r="Q237" i="18"/>
  <c r="AA335" i="18"/>
  <c r="O495" i="18"/>
  <c r="AA487" i="18"/>
  <c r="R404" i="18"/>
  <c r="R244" i="18"/>
  <c r="O291" i="18"/>
  <c r="P361" i="18"/>
  <c r="N116" i="18"/>
  <c r="O259" i="18"/>
  <c r="AA44" i="18"/>
  <c r="S240" i="18"/>
  <c r="D6" i="12"/>
  <c r="D8" i="12" s="1"/>
  <c r="N301" i="18"/>
  <c r="W117" i="18"/>
  <c r="Y117" i="18" s="1"/>
  <c r="X369" i="18"/>
  <c r="V409" i="18"/>
  <c r="T136" i="18"/>
  <c r="P248" i="18"/>
  <c r="S115" i="18"/>
  <c r="U176" i="18"/>
  <c r="Q209" i="18"/>
  <c r="W179" i="18"/>
  <c r="Q406" i="18"/>
  <c r="U409" i="18"/>
  <c r="P135" i="18"/>
  <c r="X141" i="18"/>
  <c r="N247" i="18"/>
  <c r="U145" i="18"/>
  <c r="N278" i="18"/>
  <c r="N308" i="18"/>
  <c r="AA279" i="18"/>
  <c r="AA320" i="18"/>
  <c r="W23" i="18"/>
  <c r="P133" i="18"/>
  <c r="U373" i="18"/>
  <c r="S505" i="18"/>
  <c r="T477" i="18"/>
  <c r="X271" i="18"/>
  <c r="N142" i="18"/>
  <c r="P134" i="18"/>
  <c r="AA272" i="18"/>
  <c r="S92" i="18"/>
  <c r="O144" i="18"/>
  <c r="U227" i="18"/>
  <c r="R107" i="18"/>
  <c r="V238" i="18"/>
  <c r="O75" i="18"/>
  <c r="V162" i="18"/>
  <c r="R464" i="18"/>
  <c r="S43" i="18"/>
  <c r="W445" i="18"/>
  <c r="W65" i="18"/>
  <c r="O294" i="18"/>
  <c r="O227" i="18"/>
  <c r="O482" i="18"/>
  <c r="AA127" i="18"/>
  <c r="P79" i="18"/>
  <c r="T21" i="18"/>
  <c r="Q131" i="18"/>
  <c r="U473" i="18"/>
  <c r="AA263" i="18"/>
  <c r="Q439" i="18"/>
  <c r="N415" i="18"/>
  <c r="O40" i="18"/>
  <c r="X348" i="18"/>
  <c r="R382" i="18"/>
  <c r="R49" i="18"/>
  <c r="S312" i="18"/>
  <c r="AA503" i="18"/>
  <c r="T472" i="18"/>
  <c r="Q505" i="18"/>
  <c r="N54" i="18"/>
  <c r="T417" i="18"/>
  <c r="R249" i="18"/>
  <c r="AA374" i="18"/>
  <c r="AA399" i="18"/>
  <c r="Q345" i="18"/>
  <c r="X86" i="18"/>
  <c r="T144" i="18"/>
  <c r="W89" i="18"/>
  <c r="U14" i="18"/>
  <c r="U22" i="18"/>
  <c r="Q479" i="18"/>
  <c r="P35" i="18"/>
  <c r="P101" i="18"/>
  <c r="W459" i="18"/>
  <c r="Y459" i="18" s="1"/>
  <c r="U268" i="18"/>
  <c r="N304" i="18"/>
  <c r="S285" i="18"/>
  <c r="R418" i="18"/>
  <c r="N255" i="18"/>
  <c r="Q125" i="18"/>
  <c r="S456" i="18"/>
  <c r="U131" i="18"/>
  <c r="V330" i="18"/>
  <c r="O468" i="18"/>
  <c r="V216" i="18"/>
  <c r="S32" i="18"/>
  <c r="U447" i="18"/>
  <c r="W308" i="18"/>
  <c r="AA85" i="18"/>
  <c r="R177" i="18"/>
  <c r="P372" i="18"/>
  <c r="R218" i="18"/>
  <c r="R327" i="18"/>
  <c r="Q383" i="18"/>
  <c r="V379" i="18"/>
  <c r="S72" i="18"/>
  <c r="P270" i="18"/>
  <c r="O500" i="18"/>
  <c r="V467" i="18"/>
  <c r="S491" i="18"/>
  <c r="P502" i="18"/>
  <c r="U209" i="18"/>
  <c r="T325" i="18"/>
  <c r="T379" i="18"/>
  <c r="P242" i="18"/>
  <c r="AA192" i="18"/>
  <c r="N67" i="18"/>
  <c r="S427" i="18"/>
  <c r="U435" i="18"/>
  <c r="U243" i="18"/>
  <c r="R438" i="18"/>
  <c r="U296" i="18"/>
  <c r="R34" i="18"/>
  <c r="N109" i="18"/>
  <c r="R234" i="18"/>
  <c r="N75" i="18"/>
  <c r="T23" i="18"/>
  <c r="U489" i="18"/>
  <c r="P122" i="18"/>
  <c r="X124" i="18"/>
  <c r="W230" i="18"/>
  <c r="S28" i="18"/>
  <c r="P257" i="18"/>
  <c r="R482" i="18"/>
  <c r="O261" i="18"/>
  <c r="T102" i="18"/>
  <c r="X327" i="18"/>
  <c r="X207" i="18"/>
  <c r="AA410" i="18"/>
  <c r="O16" i="18"/>
  <c r="O246" i="18"/>
  <c r="R109" i="18"/>
  <c r="V72" i="18"/>
  <c r="X55" i="18"/>
  <c r="Y55" i="18" s="1"/>
  <c r="V465" i="18"/>
  <c r="V371" i="18"/>
  <c r="AA195" i="18"/>
  <c r="X350" i="18"/>
  <c r="O420" i="18"/>
  <c r="W473" i="18"/>
  <c r="T405" i="18"/>
  <c r="O287" i="18"/>
  <c r="O82" i="18"/>
  <c r="T159" i="18"/>
  <c r="S359" i="18"/>
  <c r="T475" i="18"/>
  <c r="T265" i="18"/>
  <c r="T436" i="18"/>
  <c r="V257" i="18"/>
  <c r="Q336" i="18"/>
  <c r="T487" i="18"/>
  <c r="Q127" i="18"/>
  <c r="O62" i="18"/>
  <c r="O187" i="18"/>
  <c r="X75" i="18"/>
  <c r="U419" i="18"/>
  <c r="AA448" i="18"/>
  <c r="O83" i="18"/>
  <c r="R85" i="18"/>
  <c r="Q21" i="18"/>
  <c r="V116" i="18"/>
  <c r="T351" i="18"/>
  <c r="U149" i="18"/>
  <c r="N188" i="18"/>
  <c r="T369" i="18"/>
  <c r="N273" i="18"/>
  <c r="R379" i="18"/>
  <c r="X459" i="18"/>
  <c r="AA191" i="18"/>
  <c r="V388" i="18"/>
  <c r="V141" i="18"/>
  <c r="N119" i="18"/>
  <c r="O245" i="18"/>
  <c r="O367" i="18"/>
  <c r="R57" i="18"/>
  <c r="V28" i="18"/>
  <c r="R270" i="18"/>
  <c r="V45" i="18"/>
  <c r="X448" i="18"/>
  <c r="P319" i="18"/>
  <c r="Q381" i="18"/>
  <c r="X123" i="18"/>
  <c r="R492" i="18"/>
  <c r="X172" i="18"/>
  <c r="W252" i="18"/>
  <c r="N243" i="18"/>
  <c r="V385" i="18"/>
  <c r="X469" i="18"/>
  <c r="O503" i="18"/>
  <c r="N274" i="18"/>
  <c r="T404" i="18"/>
  <c r="T220" i="18"/>
  <c r="U101" i="18"/>
  <c r="S97" i="18"/>
  <c r="O59" i="18"/>
  <c r="O174" i="18"/>
  <c r="P423" i="18"/>
  <c r="U152" i="18"/>
  <c r="P377" i="18"/>
  <c r="V470" i="18"/>
  <c r="W11" i="18"/>
  <c r="P21" i="18"/>
  <c r="W209" i="18"/>
  <c r="AA84" i="18"/>
  <c r="P430" i="18"/>
  <c r="Q157" i="18"/>
  <c r="V27" i="18"/>
  <c r="T275" i="18"/>
  <c r="V455" i="18"/>
  <c r="V381" i="18"/>
  <c r="X443" i="18"/>
  <c r="O375" i="18"/>
  <c r="W144" i="18"/>
  <c r="U129" i="18"/>
  <c r="AA284" i="18"/>
  <c r="V90" i="18"/>
  <c r="N241" i="18"/>
  <c r="T126" i="18"/>
  <c r="V139" i="18"/>
  <c r="S84" i="18"/>
  <c r="AA276" i="18"/>
  <c r="V142" i="18"/>
  <c r="P303" i="18"/>
  <c r="V146" i="18"/>
  <c r="S223" i="18"/>
  <c r="V419" i="18"/>
  <c r="AA116" i="18"/>
  <c r="Q236" i="18"/>
  <c r="O494" i="18"/>
  <c r="Q183" i="18"/>
  <c r="AA178" i="18"/>
  <c r="AA262" i="18"/>
  <c r="O451" i="18"/>
  <c r="O25" i="18"/>
  <c r="U192" i="18"/>
  <c r="V297" i="18"/>
  <c r="AA86" i="18"/>
  <c r="X496" i="18"/>
  <c r="X420" i="18"/>
  <c r="AA235" i="18"/>
  <c r="P432" i="18"/>
  <c r="U315" i="18"/>
  <c r="Q445" i="18"/>
  <c r="R183" i="18"/>
  <c r="W127" i="18"/>
  <c r="Y127" i="18" s="1"/>
  <c r="V293" i="18"/>
  <c r="N214" i="18"/>
  <c r="W354" i="18"/>
  <c r="AA380" i="18"/>
  <c r="AA244" i="18"/>
  <c r="T447" i="18"/>
  <c r="W428" i="18"/>
  <c r="U355" i="18"/>
  <c r="V445" i="18"/>
  <c r="X497" i="18"/>
  <c r="V136" i="18"/>
  <c r="N295" i="18"/>
  <c r="N408" i="18"/>
  <c r="O340" i="18"/>
  <c r="U484" i="18"/>
  <c r="AA422" i="18"/>
  <c r="AA217" i="18"/>
  <c r="P100" i="18"/>
  <c r="W467" i="18"/>
  <c r="AA373" i="18"/>
  <c r="W155" i="18"/>
  <c r="X371" i="18"/>
  <c r="P48" i="18"/>
  <c r="O29" i="18"/>
  <c r="N40" i="18"/>
  <c r="O41" i="18"/>
  <c r="O249" i="18"/>
  <c r="AA431" i="18"/>
  <c r="R364" i="18"/>
  <c r="N90" i="18"/>
  <c r="X220" i="18"/>
  <c r="S343" i="18"/>
  <c r="V9" i="18"/>
  <c r="AA493" i="18"/>
  <c r="T340" i="18"/>
  <c r="P204" i="18"/>
  <c r="V289" i="18"/>
  <c r="T218" i="18"/>
  <c r="R352" i="18"/>
  <c r="N485" i="18"/>
  <c r="R386" i="18"/>
  <c r="V278" i="18"/>
  <c r="O288" i="18"/>
  <c r="U403" i="18"/>
  <c r="S439" i="18"/>
  <c r="P170" i="18"/>
  <c r="S60" i="18"/>
  <c r="V119" i="18"/>
  <c r="W360" i="18"/>
  <c r="P182" i="18"/>
  <c r="T214" i="18"/>
  <c r="X214" i="18"/>
  <c r="N16" i="18"/>
  <c r="X93" i="18"/>
  <c r="O239" i="18"/>
  <c r="N124" i="18"/>
  <c r="O35" i="18"/>
  <c r="V172" i="18"/>
  <c r="V431" i="18"/>
  <c r="R457" i="18"/>
  <c r="W251" i="18"/>
  <c r="N283" i="18"/>
  <c r="W80" i="18"/>
  <c r="AA306" i="18"/>
  <c r="W402" i="18"/>
  <c r="V181" i="18"/>
  <c r="N444" i="18"/>
  <c r="P464" i="18"/>
  <c r="O222" i="18"/>
  <c r="Q456" i="18"/>
  <c r="T215" i="18"/>
  <c r="W334" i="18"/>
  <c r="W31" i="18"/>
  <c r="N310" i="18"/>
  <c r="R461" i="18"/>
  <c r="V327" i="18"/>
  <c r="Q401" i="18"/>
  <c r="U250" i="18"/>
  <c r="U503" i="18"/>
  <c r="X125" i="18"/>
  <c r="O65" i="18"/>
  <c r="T75" i="18"/>
  <c r="N312" i="18"/>
  <c r="AA215" i="18"/>
  <c r="O403" i="18"/>
  <c r="S127" i="18"/>
  <c r="T175" i="18"/>
  <c r="S69" i="18"/>
  <c r="S409" i="18"/>
  <c r="AA60" i="18"/>
  <c r="P374" i="18"/>
  <c r="T269" i="18"/>
  <c r="V204" i="18"/>
  <c r="AA188" i="18"/>
  <c r="V102" i="18"/>
  <c r="Q201" i="18"/>
  <c r="Q99" i="18"/>
  <c r="R60" i="18"/>
  <c r="AA286" i="18"/>
  <c r="W21" i="18"/>
  <c r="AA347" i="18"/>
  <c r="N34" i="18"/>
  <c r="W438" i="18"/>
  <c r="R470" i="18"/>
  <c r="X492" i="18"/>
  <c r="Q139" i="18"/>
  <c r="V118" i="18"/>
  <c r="AA443" i="18"/>
  <c r="U49" i="18"/>
  <c r="N137" i="18"/>
  <c r="S51" i="18"/>
  <c r="T40" i="18"/>
  <c r="AA183" i="18"/>
  <c r="U311" i="18"/>
  <c r="X11" i="18"/>
  <c r="P154" i="18"/>
  <c r="S286" i="18"/>
  <c r="T459" i="18"/>
  <c r="N164" i="18"/>
  <c r="P193" i="18"/>
  <c r="N160" i="18"/>
  <c r="O133" i="18"/>
  <c r="O103" i="18"/>
  <c r="O410" i="18"/>
  <c r="T476" i="18"/>
  <c r="Q338" i="18"/>
  <c r="W90" i="18"/>
  <c r="Y90" i="18" s="1"/>
  <c r="S385" i="18"/>
  <c r="AA362" i="18"/>
  <c r="U410" i="18"/>
  <c r="X310" i="18"/>
  <c r="N299" i="18"/>
  <c r="AA467" i="18"/>
  <c r="V89" i="18"/>
  <c r="W131" i="18"/>
  <c r="S239" i="18"/>
  <c r="V391" i="18"/>
  <c r="V212" i="18"/>
  <c r="T104" i="18"/>
  <c r="V357" i="18"/>
  <c r="R134" i="18"/>
  <c r="W488" i="18"/>
  <c r="Y488" i="18" s="1"/>
  <c r="N461" i="18"/>
  <c r="N68" i="18"/>
  <c r="V24" i="18"/>
  <c r="S323" i="18"/>
  <c r="S204" i="18"/>
  <c r="S220" i="18"/>
  <c r="N432" i="18"/>
  <c r="S106" i="18"/>
  <c r="AA403" i="18"/>
  <c r="V107" i="18"/>
  <c r="U187" i="18"/>
  <c r="N248" i="18"/>
  <c r="O338" i="18"/>
  <c r="T416" i="18"/>
  <c r="N481" i="18"/>
  <c r="T178" i="18"/>
  <c r="U111" i="18"/>
  <c r="T484" i="18"/>
  <c r="N174" i="18"/>
  <c r="S105" i="18"/>
  <c r="P62" i="18"/>
  <c r="O112" i="18"/>
  <c r="V98" i="18"/>
  <c r="W431" i="18"/>
  <c r="Y431" i="18" s="1"/>
  <c r="S160" i="18"/>
  <c r="Q369" i="18"/>
  <c r="Q468" i="18"/>
  <c r="T226" i="18"/>
  <c r="W450" i="18"/>
  <c r="AA251" i="18"/>
  <c r="AA118" i="18"/>
  <c r="S477" i="18"/>
  <c r="V202" i="18"/>
  <c r="P414" i="18"/>
  <c r="T38" i="18"/>
  <c r="U391" i="18"/>
  <c r="X258" i="18"/>
  <c r="R89" i="18"/>
  <c r="T8" i="18"/>
  <c r="T245" i="18"/>
  <c r="U466" i="18"/>
  <c r="T274" i="18"/>
  <c r="R77" i="18"/>
  <c r="V394" i="18"/>
  <c r="W79" i="18"/>
  <c r="W228" i="18"/>
  <c r="Y228" i="18" s="1"/>
  <c r="U297" i="18"/>
  <c r="T251" i="18"/>
  <c r="X137" i="18"/>
  <c r="U475" i="18"/>
  <c r="R308" i="18"/>
  <c r="V125" i="18"/>
  <c r="AA159" i="18"/>
  <c r="AA440" i="18"/>
  <c r="P183" i="18"/>
  <c r="AA182" i="18"/>
  <c r="AA220" i="18"/>
  <c r="T233" i="18"/>
  <c r="U468" i="18"/>
  <c r="T203" i="18"/>
  <c r="X211" i="18"/>
  <c r="V63" i="18"/>
  <c r="Q94" i="18"/>
  <c r="N24" i="18"/>
  <c r="P188" i="18"/>
  <c r="V53" i="18"/>
  <c r="Q81" i="18"/>
  <c r="AA146" i="18"/>
  <c r="P190" i="18"/>
  <c r="V173" i="18"/>
  <c r="R121" i="18"/>
  <c r="O315" i="18"/>
  <c r="N253" i="18"/>
  <c r="Q412" i="18"/>
  <c r="W43" i="18"/>
  <c r="P116" i="18"/>
  <c r="Q334" i="18"/>
  <c r="T300" i="18"/>
  <c r="O473" i="18"/>
  <c r="O362" i="18"/>
  <c r="N500" i="18"/>
  <c r="U210" i="18"/>
  <c r="X37" i="18"/>
  <c r="Y37" i="18" s="1"/>
  <c r="Q219" i="18"/>
  <c r="AA271" i="18"/>
  <c r="N261" i="18"/>
  <c r="O230" i="18"/>
  <c r="T44" i="18"/>
  <c r="X400" i="18"/>
  <c r="R477" i="18"/>
  <c r="V184" i="18"/>
  <c r="AA480" i="18"/>
  <c r="V122" i="18"/>
  <c r="AA500" i="18"/>
  <c r="R263" i="18"/>
  <c r="V15" i="18"/>
  <c r="Q309" i="18"/>
  <c r="U499" i="18"/>
  <c r="N291" i="18"/>
  <c r="O443" i="18"/>
  <c r="V459" i="18"/>
  <c r="O370" i="18"/>
  <c r="V270" i="18"/>
  <c r="O50" i="18"/>
  <c r="U393" i="18"/>
  <c r="X150" i="18"/>
  <c r="U387" i="18"/>
  <c r="U446" i="18"/>
  <c r="P404" i="18"/>
  <c r="T147" i="18"/>
  <c r="AA161" i="18"/>
  <c r="U214" i="18"/>
  <c r="O118" i="18"/>
  <c r="S472" i="18"/>
  <c r="R260" i="18"/>
  <c r="S410" i="18"/>
  <c r="W88" i="18"/>
  <c r="X304" i="18"/>
  <c r="X377" i="18"/>
  <c r="V451" i="18"/>
  <c r="O289" i="18"/>
  <c r="W194" i="18"/>
  <c r="Y194" i="18" s="1"/>
  <c r="T375" i="18"/>
  <c r="R146" i="18"/>
  <c r="S279" i="18"/>
  <c r="U372" i="18"/>
  <c r="T93" i="18"/>
  <c r="T398" i="18"/>
  <c r="U137" i="18"/>
  <c r="R309" i="18"/>
  <c r="X475" i="18"/>
  <c r="P24" i="18"/>
  <c r="R368" i="18"/>
  <c r="R23" i="18"/>
  <c r="N374" i="18"/>
  <c r="T407" i="18"/>
  <c r="P406" i="18"/>
  <c r="AA15" i="18"/>
  <c r="T244" i="18"/>
  <c r="X85" i="18"/>
  <c r="AA318" i="18"/>
  <c r="V347" i="18"/>
  <c r="U379" i="18"/>
  <c r="O271" i="18"/>
  <c r="S244" i="18"/>
  <c r="V329" i="18"/>
  <c r="AA343" i="18"/>
  <c r="S113" i="18"/>
  <c r="R36" i="18"/>
  <c r="E12" i="27"/>
  <c r="F12" i="27" s="1"/>
  <c r="E16" i="27"/>
  <c r="F16" i="27" s="1"/>
  <c r="W464" i="18"/>
  <c r="Q101" i="18"/>
  <c r="T164" i="18"/>
  <c r="T137" i="18"/>
  <c r="N236" i="18"/>
  <c r="AA112" i="18"/>
  <c r="X466" i="18"/>
  <c r="Y466" i="18" s="1"/>
  <c r="O54" i="18"/>
  <c r="X335" i="18"/>
  <c r="O474" i="18"/>
  <c r="S282" i="18"/>
  <c r="O115" i="18"/>
  <c r="X91" i="18"/>
  <c r="R436" i="18"/>
  <c r="O176" i="18"/>
  <c r="O316" i="18"/>
  <c r="AA201" i="18"/>
  <c r="W125" i="18"/>
  <c r="Q327" i="18"/>
  <c r="W46" i="18"/>
  <c r="R30" i="18"/>
  <c r="R479" i="18"/>
  <c r="Q70" i="18"/>
  <c r="U288" i="18"/>
  <c r="O471" i="18"/>
  <c r="T223" i="18"/>
  <c r="AA198" i="18"/>
  <c r="W94" i="18"/>
  <c r="T365" i="18"/>
  <c r="O120" i="18"/>
  <c r="S57" i="18"/>
  <c r="O11" i="18"/>
  <c r="P201" i="18"/>
  <c r="T94" i="18"/>
  <c r="X296" i="18"/>
  <c r="W255" i="18"/>
  <c r="R427" i="18"/>
  <c r="U121" i="18"/>
  <c r="T506" i="18"/>
  <c r="S116" i="18"/>
  <c r="S207" i="18"/>
  <c r="X193" i="18"/>
  <c r="N419" i="18"/>
  <c r="O290" i="18"/>
  <c r="V150" i="18"/>
  <c r="V438" i="18"/>
  <c r="X33" i="18"/>
  <c r="W374" i="18"/>
  <c r="V34" i="18"/>
  <c r="W434" i="18"/>
  <c r="T284" i="18"/>
  <c r="W379" i="18"/>
  <c r="T221" i="18"/>
  <c r="N210" i="18"/>
  <c r="R33" i="18"/>
  <c r="P458" i="18"/>
  <c r="U254" i="18"/>
  <c r="T387" i="18"/>
  <c r="AA359" i="18"/>
  <c r="N179" i="18"/>
  <c r="U77" i="18"/>
  <c r="V236" i="18"/>
  <c r="X312" i="18"/>
  <c r="P259" i="18"/>
  <c r="O385" i="18"/>
  <c r="Q500" i="18"/>
  <c r="V140" i="18"/>
  <c r="S224" i="18"/>
  <c r="X57" i="18"/>
  <c r="Q240" i="18"/>
  <c r="T69" i="18"/>
  <c r="N192" i="18"/>
  <c r="X478" i="18"/>
  <c r="S361" i="18"/>
  <c r="AA250" i="18"/>
  <c r="T430" i="18"/>
  <c r="AA370" i="18"/>
  <c r="V11" i="18"/>
  <c r="T309" i="18"/>
  <c r="X94" i="18"/>
  <c r="Q437" i="18"/>
  <c r="T356" i="18"/>
  <c r="S165" i="18"/>
  <c r="Q116" i="18"/>
  <c r="R424" i="18"/>
  <c r="N223" i="18"/>
  <c r="V362" i="18"/>
  <c r="O444" i="18"/>
  <c r="T108" i="18"/>
  <c r="O143" i="18"/>
  <c r="Q142" i="18"/>
  <c r="Q499" i="18"/>
  <c r="W384" i="18"/>
  <c r="T366" i="18"/>
  <c r="R80" i="18"/>
  <c r="AA90" i="18"/>
  <c r="V131" i="18"/>
  <c r="Q65" i="18"/>
  <c r="R374" i="18"/>
  <c r="S448" i="18"/>
  <c r="T252" i="18"/>
  <c r="AA254" i="18"/>
  <c r="N63" i="18"/>
  <c r="T41" i="18"/>
  <c r="U493" i="18"/>
  <c r="U70" i="18"/>
  <c r="AA184" i="18"/>
  <c r="V481" i="18"/>
  <c r="T338" i="18"/>
  <c r="X233" i="18"/>
  <c r="P355" i="18"/>
  <c r="X256" i="18"/>
  <c r="O107" i="18"/>
  <c r="N97" i="18"/>
  <c r="O125" i="18"/>
  <c r="P205" i="18"/>
  <c r="R176" i="18"/>
  <c r="V473" i="18"/>
  <c r="S111" i="18"/>
  <c r="X156" i="18"/>
  <c r="Q7" i="18"/>
  <c r="AA149" i="18"/>
  <c r="P30" i="18"/>
  <c r="S253" i="18"/>
  <c r="Q216" i="18"/>
  <c r="U430" i="18"/>
  <c r="W357" i="18"/>
  <c r="AA11" i="18"/>
  <c r="T250" i="18"/>
  <c r="W341" i="18"/>
  <c r="Y341" i="18" s="1"/>
  <c r="T188" i="18"/>
  <c r="V287" i="18"/>
  <c r="Q145" i="18"/>
  <c r="R400" i="18"/>
  <c r="X300" i="18"/>
  <c r="W124" i="18"/>
  <c r="U280" i="18"/>
  <c r="X419" i="18"/>
  <c r="S41" i="18"/>
  <c r="W281" i="18"/>
  <c r="AA152" i="18"/>
  <c r="R170" i="18"/>
  <c r="X407" i="18"/>
  <c r="U456" i="18"/>
  <c r="AA447" i="18"/>
  <c r="V37" i="18"/>
  <c r="W309" i="18"/>
  <c r="U157" i="18"/>
  <c r="T348" i="18"/>
  <c r="P440" i="18"/>
  <c r="V197" i="18"/>
  <c r="N136" i="18"/>
  <c r="X463" i="18"/>
  <c r="V316" i="18"/>
  <c r="U365" i="18"/>
  <c r="R38" i="18"/>
  <c r="V12" i="18"/>
  <c r="R355" i="18"/>
  <c r="V147" i="18"/>
  <c r="O383" i="18"/>
  <c r="U45" i="18"/>
  <c r="AA309" i="18"/>
  <c r="O235" i="18"/>
  <c r="U44" i="18"/>
  <c r="R450" i="18"/>
  <c r="Q223" i="18"/>
  <c r="AA296" i="18"/>
  <c r="T15" i="18"/>
  <c r="U331" i="18"/>
  <c r="O400" i="18"/>
  <c r="AA504" i="18"/>
  <c r="U374" i="18"/>
  <c r="P434" i="18"/>
  <c r="R42" i="18"/>
  <c r="U166" i="18"/>
  <c r="W157" i="18"/>
  <c r="Q200" i="18"/>
  <c r="V206" i="18"/>
  <c r="T334" i="18"/>
  <c r="Q181" i="18"/>
  <c r="O490" i="18"/>
  <c r="U75" i="18"/>
  <c r="N84" i="18"/>
  <c r="W145" i="18"/>
  <c r="U73" i="18"/>
  <c r="T43" i="18"/>
  <c r="P110" i="18"/>
  <c r="U252" i="18"/>
  <c r="U291" i="18"/>
  <c r="Q443" i="18"/>
  <c r="X397" i="18"/>
  <c r="Q461" i="18"/>
  <c r="U382" i="18"/>
  <c r="Q27" i="18"/>
  <c r="R413" i="18"/>
  <c r="O57" i="18"/>
  <c r="X386" i="18"/>
  <c r="N96" i="18"/>
  <c r="W291" i="18"/>
  <c r="R122" i="18"/>
  <c r="X132" i="18"/>
  <c r="AA62" i="18"/>
  <c r="T189" i="18"/>
  <c r="N292" i="18"/>
  <c r="T57" i="18"/>
  <c r="N471" i="18"/>
  <c r="N91" i="18"/>
  <c r="N65" i="18"/>
  <c r="S104" i="18"/>
  <c r="P447" i="18"/>
  <c r="N180" i="18"/>
  <c r="N361" i="18"/>
  <c r="V23" i="18"/>
  <c r="Q262" i="18"/>
  <c r="Q217" i="18"/>
  <c r="U200" i="18"/>
  <c r="S131" i="18"/>
  <c r="T354" i="18"/>
  <c r="O445" i="18"/>
  <c r="R165" i="18"/>
  <c r="AA366" i="18"/>
  <c r="X48" i="18"/>
  <c r="N79" i="18"/>
  <c r="P113" i="18"/>
  <c r="P196" i="18"/>
  <c r="S457" i="18"/>
  <c r="R411" i="18"/>
  <c r="Q323" i="18"/>
  <c r="X60" i="18"/>
  <c r="AA274" i="18"/>
  <c r="AA338" i="18"/>
  <c r="O217" i="18"/>
  <c r="W285" i="18"/>
  <c r="X413" i="18"/>
  <c r="V262" i="18"/>
  <c r="R131" i="18"/>
  <c r="V164" i="18"/>
  <c r="R420" i="18"/>
  <c r="R126" i="18"/>
  <c r="S9" i="18"/>
  <c r="T451" i="18"/>
  <c r="Q58" i="18"/>
  <c r="S482" i="18"/>
  <c r="W367" i="18"/>
  <c r="AA292" i="18"/>
  <c r="N98" i="18"/>
  <c r="U141" i="18"/>
  <c r="U342" i="18"/>
  <c r="V490" i="18"/>
  <c r="W369" i="18"/>
  <c r="R429" i="18"/>
  <c r="P467" i="18"/>
  <c r="S19" i="18"/>
  <c r="AA450" i="18"/>
  <c r="P39" i="18"/>
  <c r="N117" i="18"/>
  <c r="T90" i="18"/>
  <c r="S493" i="18"/>
  <c r="X225" i="18"/>
  <c r="T216" i="18"/>
  <c r="R71" i="18"/>
  <c r="X78" i="18"/>
  <c r="R213" i="18"/>
  <c r="P227" i="18"/>
  <c r="V105" i="18"/>
  <c r="R58" i="18"/>
  <c r="S171" i="18"/>
  <c r="T249" i="18"/>
  <c r="O123" i="18"/>
  <c r="AA371" i="18"/>
  <c r="AA126" i="18"/>
  <c r="U109" i="18"/>
  <c r="T363" i="18"/>
  <c r="N262" i="18"/>
  <c r="P209" i="18"/>
  <c r="O343" i="18"/>
  <c r="S89" i="18"/>
  <c r="S488" i="18"/>
  <c r="V348" i="18"/>
  <c r="O161" i="18"/>
  <c r="O85" i="18"/>
  <c r="U328" i="18"/>
  <c r="R48" i="18"/>
  <c r="N435" i="18"/>
  <c r="S129" i="18"/>
  <c r="Q54" i="18"/>
  <c r="S268" i="18"/>
  <c r="W237" i="18"/>
  <c r="W14" i="18"/>
  <c r="N348" i="18"/>
  <c r="T360" i="18"/>
  <c r="W32" i="18"/>
  <c r="Q160" i="18"/>
  <c r="T339" i="18"/>
  <c r="AA33" i="18"/>
  <c r="O171" i="18"/>
  <c r="S206" i="18"/>
  <c r="S184" i="18"/>
  <c r="V402" i="18"/>
  <c r="P164" i="18"/>
  <c r="U319" i="18"/>
  <c r="AA174" i="18"/>
  <c r="AA79" i="18"/>
  <c r="U74" i="18"/>
  <c r="V246" i="18"/>
  <c r="AA379" i="18"/>
  <c r="T114" i="18"/>
  <c r="N41" i="18"/>
  <c r="W324" i="18"/>
  <c r="Y324" i="18" s="1"/>
  <c r="T230" i="18"/>
  <c r="R158" i="18"/>
  <c r="T177" i="18"/>
  <c r="X473" i="18"/>
  <c r="V372" i="18"/>
  <c r="AA74" i="18"/>
  <c r="P420" i="18"/>
  <c r="T105" i="18"/>
  <c r="S351" i="18"/>
  <c r="T445" i="18"/>
  <c r="N352" i="18"/>
  <c r="P156" i="18"/>
  <c r="T129" i="18"/>
  <c r="T273" i="18"/>
  <c r="X159" i="18"/>
  <c r="R425" i="18"/>
  <c r="O104" i="18"/>
  <c r="P197" i="18"/>
  <c r="O409" i="18"/>
  <c r="X38" i="18"/>
  <c r="R415" i="18"/>
  <c r="R123" i="18"/>
  <c r="Q402" i="18"/>
  <c r="S210" i="18"/>
  <c r="O418" i="18"/>
  <c r="V218" i="18"/>
  <c r="N35" i="18"/>
  <c r="S211" i="18"/>
  <c r="S332" i="18"/>
  <c r="P272" i="18"/>
  <c r="O382" i="18"/>
  <c r="S317" i="18"/>
  <c r="AA436" i="18"/>
  <c r="N502" i="18"/>
  <c r="W294" i="18"/>
  <c r="X255" i="18"/>
  <c r="S183" i="18"/>
  <c r="P350" i="18"/>
  <c r="Q245" i="18"/>
  <c r="U257" i="18"/>
  <c r="N113" i="18"/>
  <c r="V48" i="18"/>
  <c r="S123" i="18"/>
  <c r="V415" i="18"/>
  <c r="P449" i="18"/>
  <c r="O195" i="18"/>
  <c r="AA245" i="18"/>
  <c r="N467" i="18"/>
  <c r="U359" i="18"/>
  <c r="T301" i="18"/>
  <c r="Q124" i="18"/>
  <c r="X253" i="18"/>
  <c r="AA356" i="18"/>
  <c r="W199" i="18"/>
  <c r="P412" i="18"/>
  <c r="O213" i="18"/>
  <c r="U330" i="18"/>
  <c r="R375" i="18"/>
  <c r="N469" i="18"/>
  <c r="W290" i="18"/>
  <c r="O110" i="18"/>
  <c r="U153" i="18"/>
  <c r="AA495" i="18"/>
  <c r="AA12" i="18"/>
  <c r="U245" i="18"/>
  <c r="V343" i="18"/>
  <c r="X56" i="18"/>
  <c r="X189" i="18"/>
  <c r="Y189" i="18" s="1"/>
  <c r="V410" i="18"/>
  <c r="X454" i="18"/>
  <c r="Y454" i="18" s="1"/>
  <c r="S157" i="18"/>
  <c r="S469" i="18"/>
  <c r="R189" i="18"/>
  <c r="R196" i="18"/>
  <c r="Q61" i="18"/>
  <c r="U68" i="18"/>
  <c r="N351" i="18"/>
  <c r="X176" i="18"/>
  <c r="T71" i="18"/>
  <c r="P50" i="18"/>
  <c r="O237" i="18"/>
  <c r="T373" i="18"/>
  <c r="V188" i="18"/>
  <c r="O201" i="18"/>
  <c r="V148" i="18"/>
  <c r="T486" i="18"/>
  <c r="AA491" i="18"/>
  <c r="X138" i="18"/>
  <c r="S142" i="18"/>
  <c r="X112" i="18"/>
  <c r="Y112" i="18" s="1"/>
  <c r="T485" i="18"/>
  <c r="S324" i="18"/>
  <c r="W389" i="18"/>
  <c r="O148" i="18"/>
  <c r="V31" i="18"/>
  <c r="Q454" i="18"/>
  <c r="N138" i="18"/>
  <c r="W444" i="18"/>
  <c r="Q117" i="18"/>
  <c r="R315" i="18"/>
  <c r="S33" i="18"/>
  <c r="W422" i="18"/>
  <c r="AA176" i="18"/>
  <c r="U482" i="18"/>
  <c r="AA87" i="18"/>
  <c r="P162" i="18"/>
  <c r="V336" i="18"/>
  <c r="T427" i="18"/>
  <c r="R494" i="18"/>
  <c r="U414" i="18"/>
  <c r="W168" i="18"/>
  <c r="O390" i="18"/>
  <c r="Q498" i="18"/>
  <c r="P245" i="18"/>
  <c r="R86" i="18"/>
  <c r="X359" i="18"/>
  <c r="N239" i="18"/>
  <c r="Q196" i="18"/>
  <c r="P354" i="18"/>
  <c r="W300" i="18"/>
  <c r="Y300" i="18" s="1"/>
  <c r="W269" i="18"/>
  <c r="Y269" i="18" s="1"/>
  <c r="R496" i="18"/>
  <c r="X143" i="18"/>
  <c r="X215" i="18"/>
  <c r="AA497" i="18"/>
  <c r="T279" i="18"/>
  <c r="AA40" i="18"/>
  <c r="Q86" i="18"/>
  <c r="AA236" i="18"/>
  <c r="O162" i="18"/>
  <c r="W406" i="18"/>
  <c r="Y406" i="18" s="1"/>
  <c r="X205" i="18"/>
  <c r="T454" i="18"/>
  <c r="N8" i="18"/>
  <c r="V275" i="18"/>
  <c r="S412" i="18"/>
  <c r="O457" i="18"/>
  <c r="P252" i="18"/>
  <c r="W359" i="18"/>
  <c r="P300" i="18"/>
  <c r="X181" i="18"/>
  <c r="Y181" i="18" s="1"/>
  <c r="S479" i="18"/>
  <c r="P495" i="18"/>
  <c r="O55" i="18"/>
  <c r="Q258" i="18"/>
  <c r="R295" i="18"/>
  <c r="W425" i="18"/>
  <c r="Q211" i="18"/>
  <c r="N454" i="18"/>
  <c r="X222" i="18"/>
  <c r="R44" i="18"/>
  <c r="O406" i="18"/>
  <c r="R161" i="18"/>
  <c r="T135" i="18"/>
  <c r="O28" i="18"/>
  <c r="W25" i="18"/>
  <c r="R46" i="18"/>
  <c r="U120" i="18"/>
  <c r="R487" i="18"/>
  <c r="S494" i="18"/>
  <c r="T36" i="18"/>
  <c r="W83" i="18"/>
  <c r="X7" i="18"/>
  <c r="V504" i="18"/>
  <c r="V254" i="18"/>
  <c r="T471" i="18"/>
  <c r="O142" i="18"/>
  <c r="U505" i="18"/>
  <c r="AA111" i="18"/>
  <c r="X330" i="18"/>
  <c r="W372" i="18"/>
  <c r="Q308" i="18"/>
  <c r="P356" i="18"/>
  <c r="W226" i="18"/>
  <c r="V457" i="18"/>
  <c r="V101" i="18"/>
  <c r="R398" i="18"/>
  <c r="P232" i="18"/>
  <c r="R116" i="18"/>
  <c r="AA216" i="18"/>
  <c r="P389" i="18"/>
  <c r="W321" i="18"/>
  <c r="T500" i="18"/>
  <c r="S145" i="18"/>
  <c r="W418" i="18"/>
  <c r="R417" i="18"/>
  <c r="X506" i="18"/>
  <c r="O423" i="18"/>
  <c r="Q128" i="18"/>
  <c r="V503" i="18"/>
  <c r="W421" i="18"/>
  <c r="Y421" i="18" s="1"/>
  <c r="R37" i="18"/>
  <c r="V73" i="18"/>
  <c r="N313" i="18"/>
  <c r="V301" i="18"/>
  <c r="X130" i="18"/>
  <c r="Y130" i="18" s="1"/>
  <c r="N51" i="18"/>
  <c r="U202" i="18"/>
  <c r="T16" i="18"/>
  <c r="T458" i="18"/>
  <c r="R475" i="18"/>
  <c r="S225" i="18"/>
  <c r="AA31" i="18"/>
  <c r="N61" i="18"/>
  <c r="T206" i="18"/>
  <c r="W485" i="18"/>
  <c r="AA124" i="18"/>
  <c r="AA39" i="18"/>
  <c r="Q273" i="18"/>
  <c r="S66" i="18"/>
  <c r="X426" i="18"/>
  <c r="Y426" i="18" s="1"/>
  <c r="V338" i="18"/>
  <c r="S169" i="18"/>
  <c r="X22" i="18"/>
  <c r="N38" i="18"/>
  <c r="S14" i="18"/>
  <c r="U449" i="18"/>
  <c r="T474" i="18"/>
  <c r="P499" i="18"/>
  <c r="AA324" i="18"/>
  <c r="T141" i="18"/>
  <c r="X107" i="18"/>
  <c r="Y107" i="18" s="1"/>
  <c r="AA388" i="18"/>
  <c r="R250" i="18"/>
  <c r="AA398" i="18"/>
  <c r="R340" i="18"/>
  <c r="N369" i="18"/>
  <c r="AA445" i="18"/>
  <c r="W147" i="18"/>
  <c r="S467" i="18"/>
  <c r="X477" i="18"/>
  <c r="Q79" i="18"/>
  <c r="V156" i="18"/>
  <c r="S40" i="18"/>
  <c r="X29" i="18"/>
  <c r="R409" i="18"/>
  <c r="X144" i="18"/>
  <c r="U119" i="18"/>
  <c r="R167" i="18"/>
  <c r="P287" i="18"/>
  <c r="V255" i="18"/>
  <c r="Q385" i="18"/>
  <c r="N259" i="18"/>
  <c r="X390" i="18"/>
  <c r="Q20" i="18"/>
  <c r="W270" i="18"/>
  <c r="T426" i="18"/>
  <c r="R258" i="18"/>
  <c r="W388" i="18"/>
  <c r="Q329" i="18"/>
  <c r="O129" i="18"/>
  <c r="Q391" i="18"/>
  <c r="V234" i="18"/>
  <c r="O496" i="18"/>
  <c r="O439" i="18"/>
  <c r="S451" i="18"/>
  <c r="Q28" i="18"/>
  <c r="V453" i="18"/>
  <c r="T19" i="18"/>
  <c r="O74" i="18"/>
  <c r="S498" i="18"/>
  <c r="T437" i="18"/>
  <c r="U36" i="18"/>
  <c r="AA348" i="18"/>
  <c r="T456" i="18"/>
  <c r="Q458" i="18"/>
  <c r="P244" i="18"/>
  <c r="Q290" i="18"/>
  <c r="U215" i="18"/>
  <c r="T28" i="18"/>
  <c r="N133" i="18"/>
  <c r="N70" i="18"/>
  <c r="S126" i="18"/>
  <c r="P264" i="18"/>
  <c r="O192" i="18"/>
  <c r="U20" i="18"/>
  <c r="P305" i="18"/>
  <c r="R395" i="18"/>
  <c r="P450" i="18"/>
  <c r="V241" i="18"/>
  <c r="W440" i="18"/>
  <c r="Y440" i="18" s="1"/>
  <c r="T157" i="18"/>
  <c r="S393" i="18"/>
  <c r="W378" i="18"/>
  <c r="X408" i="18"/>
  <c r="AA419" i="18"/>
  <c r="U199" i="18"/>
  <c r="V55" i="18"/>
  <c r="N30" i="18"/>
  <c r="W211" i="18"/>
  <c r="Y211" i="18" s="1"/>
  <c r="V91" i="18"/>
  <c r="O313" i="18"/>
  <c r="P373" i="18"/>
  <c r="U37" i="18"/>
  <c r="S119" i="18"/>
  <c r="S164" i="18"/>
  <c r="R11" i="18"/>
  <c r="V393" i="18"/>
  <c r="X472" i="18"/>
  <c r="X239" i="18"/>
  <c r="O49" i="18"/>
  <c r="W358" i="18"/>
  <c r="Y358" i="18" s="1"/>
  <c r="Q53" i="18"/>
  <c r="S415" i="18"/>
  <c r="T388" i="18"/>
  <c r="S345" i="18"/>
  <c r="U400" i="18"/>
  <c r="T209" i="18"/>
  <c r="R399" i="18"/>
  <c r="AA170" i="18"/>
  <c r="P408" i="18"/>
  <c r="W492" i="18"/>
  <c r="V114" i="18"/>
  <c r="AA452" i="18"/>
  <c r="S198" i="18"/>
  <c r="Q165" i="18"/>
  <c r="O464" i="18"/>
  <c r="S366" i="18"/>
  <c r="U463" i="18"/>
  <c r="X440" i="18"/>
  <c r="W314" i="18"/>
  <c r="S424" i="18"/>
  <c r="W49" i="18"/>
  <c r="Y49" i="18" s="1"/>
  <c r="W166" i="18"/>
  <c r="O256" i="18"/>
  <c r="O152" i="18"/>
  <c r="O136" i="18"/>
  <c r="R300" i="18"/>
  <c r="N111" i="18"/>
  <c r="AA417" i="18"/>
  <c r="X278" i="18"/>
  <c r="T65" i="18"/>
  <c r="P16" i="18"/>
  <c r="W180" i="18"/>
  <c r="O486" i="18"/>
  <c r="R356" i="18"/>
  <c r="U246" i="18"/>
  <c r="P169" i="18"/>
  <c r="X177" i="18"/>
  <c r="W132" i="18"/>
  <c r="Y132" i="18" s="1"/>
  <c r="X248" i="18"/>
  <c r="N169" i="18"/>
  <c r="R330" i="18"/>
  <c r="Q259" i="18"/>
  <c r="AA499" i="18"/>
  <c r="S216" i="18"/>
  <c r="S166" i="18"/>
  <c r="O181" i="18"/>
  <c r="R125" i="18"/>
  <c r="O374" i="18"/>
  <c r="N92" i="18"/>
  <c r="AA189" i="18"/>
  <c r="P275" i="18"/>
  <c r="W280" i="18"/>
  <c r="U12" i="18"/>
  <c r="P438" i="18"/>
  <c r="V77" i="18"/>
  <c r="O8" i="18"/>
  <c r="P40" i="18"/>
  <c r="S55" i="18"/>
  <c r="S219" i="18"/>
  <c r="AA96" i="18"/>
  <c r="U394" i="18"/>
  <c r="W58" i="18"/>
  <c r="Y58" i="18" s="1"/>
  <c r="AA194" i="18"/>
  <c r="S109" i="18"/>
  <c r="N212" i="18"/>
  <c r="P410" i="18"/>
  <c r="T335" i="18"/>
  <c r="T359" i="18"/>
  <c r="R484" i="18"/>
  <c r="X505" i="18"/>
  <c r="Q29" i="18"/>
  <c r="T413" i="18"/>
  <c r="P474" i="18"/>
  <c r="U443" i="18"/>
  <c r="Q152" i="18"/>
  <c r="AA203" i="18"/>
  <c r="V152" i="18"/>
  <c r="V17" i="18"/>
  <c r="R93" i="18"/>
  <c r="Q286" i="18"/>
  <c r="AA505" i="18"/>
  <c r="Q230" i="18"/>
  <c r="Q193" i="18"/>
  <c r="Q100" i="18"/>
  <c r="U222" i="18"/>
  <c r="P213" i="18"/>
  <c r="X320" i="18"/>
  <c r="S398" i="18"/>
  <c r="S162" i="18"/>
  <c r="P358" i="18"/>
  <c r="O61" i="18"/>
  <c r="O265" i="18"/>
  <c r="AA10" i="18"/>
  <c r="W27" i="18"/>
  <c r="O77" i="18"/>
  <c r="R410" i="18"/>
  <c r="R203" i="18"/>
  <c r="S387" i="18"/>
  <c r="X15" i="18"/>
  <c r="V342" i="18"/>
  <c r="V66" i="18"/>
  <c r="O67" i="18"/>
  <c r="U191" i="18"/>
  <c r="N235" i="18"/>
  <c r="W193" i="18"/>
  <c r="O60" i="18"/>
  <c r="U105" i="18"/>
  <c r="N498" i="18"/>
  <c r="AA131" i="18"/>
  <c r="S295" i="18"/>
  <c r="AA382" i="18"/>
  <c r="X87" i="18"/>
  <c r="AA197" i="18"/>
  <c r="Q374" i="18"/>
  <c r="V104" i="18"/>
  <c r="R113" i="18"/>
  <c r="S434" i="18"/>
  <c r="AA282" i="18"/>
  <c r="P441" i="18"/>
  <c r="S86" i="18"/>
  <c r="N32" i="18"/>
  <c r="O397" i="18"/>
  <c r="W315" i="18"/>
  <c r="AA413" i="18"/>
  <c r="U317" i="18"/>
  <c r="V208" i="18"/>
  <c r="U454" i="18"/>
  <c r="N480" i="18"/>
  <c r="W273" i="18"/>
  <c r="Y273" i="18" s="1"/>
  <c r="S262" i="18"/>
  <c r="V358" i="18"/>
  <c r="X445" i="18"/>
  <c r="Y445" i="18" s="1"/>
  <c r="U241" i="18"/>
  <c r="S39" i="18"/>
  <c r="T323" i="18"/>
  <c r="O247" i="18"/>
  <c r="O32" i="18"/>
  <c r="W350" i="18"/>
  <c r="Y350" i="18" s="1"/>
  <c r="Q451" i="18"/>
  <c r="W215" i="18"/>
  <c r="U460" i="18"/>
  <c r="Q326" i="18"/>
  <c r="V175" i="18"/>
  <c r="T242" i="18"/>
  <c r="R311" i="18"/>
  <c r="S463" i="18"/>
  <c r="S304" i="18"/>
  <c r="S42" i="18"/>
  <c r="X493" i="18"/>
  <c r="S293" i="18"/>
  <c r="AA221" i="18"/>
  <c r="Q347" i="18"/>
  <c r="T88" i="18"/>
  <c r="R261" i="18"/>
  <c r="AA265" i="18"/>
  <c r="V405" i="18"/>
  <c r="W435" i="18"/>
  <c r="V398" i="18"/>
  <c r="AA476" i="18"/>
  <c r="O53" i="18"/>
  <c r="N167" i="18"/>
  <c r="W233" i="18"/>
  <c r="X499" i="18"/>
  <c r="R175" i="18"/>
  <c r="O99" i="18"/>
  <c r="P187" i="18"/>
  <c r="X50" i="18"/>
  <c r="S124" i="18"/>
  <c r="S422" i="18"/>
  <c r="Q69" i="18"/>
  <c r="N73" i="18"/>
  <c r="AA95" i="18"/>
  <c r="N399" i="18"/>
  <c r="T342" i="18"/>
  <c r="U377" i="18"/>
  <c r="AA483" i="18"/>
  <c r="S177" i="18"/>
  <c r="R290" i="18"/>
  <c r="V123" i="18"/>
  <c r="R255" i="18"/>
  <c r="P353" i="18"/>
  <c r="V274" i="18"/>
  <c r="U122" i="18"/>
  <c r="S313" i="18"/>
  <c r="O170" i="18"/>
  <c r="U486" i="18"/>
  <c r="AA117" i="18"/>
  <c r="R283" i="18"/>
  <c r="Q170" i="18"/>
  <c r="S50" i="18"/>
  <c r="Q153" i="18"/>
  <c r="W7" i="18"/>
  <c r="W238" i="18"/>
  <c r="AA65" i="18"/>
  <c r="N52" i="18"/>
  <c r="P124" i="18"/>
  <c r="V411" i="18"/>
  <c r="P46" i="18"/>
  <c r="T302" i="18"/>
  <c r="W99" i="18"/>
  <c r="V424" i="18"/>
  <c r="Q34" i="18"/>
  <c r="AA288" i="18"/>
  <c r="O236" i="18"/>
  <c r="U232" i="18"/>
  <c r="P399" i="18"/>
  <c r="P246" i="18"/>
  <c r="P67" i="18"/>
  <c r="S249" i="18"/>
  <c r="Q87" i="18"/>
  <c r="S484" i="18"/>
  <c r="R238" i="18"/>
  <c r="Q83" i="18"/>
  <c r="Q96" i="18"/>
  <c r="W160" i="18"/>
  <c r="P454" i="18"/>
  <c r="O448" i="18"/>
  <c r="U455" i="18"/>
  <c r="S445" i="18"/>
  <c r="S229" i="18"/>
  <c r="V291" i="18"/>
  <c r="U388" i="18"/>
  <c r="O31" i="18"/>
  <c r="S292" i="18"/>
  <c r="P349" i="18"/>
  <c r="O180" i="18"/>
  <c r="O13" i="18"/>
  <c r="W174" i="18"/>
  <c r="P151" i="18"/>
  <c r="V494" i="18"/>
  <c r="X157" i="18"/>
  <c r="X173" i="18"/>
  <c r="P247" i="18"/>
  <c r="V440" i="18"/>
  <c r="N208" i="18"/>
  <c r="V54" i="18"/>
  <c r="O447" i="18"/>
  <c r="Q197" i="18"/>
  <c r="T33" i="18"/>
  <c r="P425" i="18"/>
  <c r="V450" i="18"/>
  <c r="T234" i="18"/>
  <c r="V250" i="18"/>
  <c r="N275" i="18"/>
  <c r="Q166" i="18"/>
  <c r="O413" i="18"/>
  <c r="N420" i="18"/>
  <c r="P457" i="18"/>
  <c r="O485" i="18"/>
  <c r="O405" i="18"/>
  <c r="R51" i="18"/>
  <c r="Q23" i="18"/>
  <c r="S46" i="18"/>
  <c r="U10" i="18"/>
  <c r="N298" i="18"/>
  <c r="Q13" i="18"/>
  <c r="S473" i="18"/>
  <c r="O113" i="18"/>
  <c r="Q328" i="18"/>
  <c r="X481" i="18"/>
  <c r="W184" i="18"/>
  <c r="Y184" i="18" s="1"/>
  <c r="Q502" i="18"/>
  <c r="Q42" i="18"/>
  <c r="W287" i="18"/>
  <c r="O101" i="18"/>
  <c r="AA454" i="18"/>
  <c r="X66" i="18"/>
  <c r="P68" i="18"/>
  <c r="P217" i="18"/>
  <c r="V190" i="18"/>
  <c r="T66" i="18"/>
  <c r="S391" i="18"/>
  <c r="U244" i="18"/>
  <c r="W399" i="18"/>
  <c r="N186" i="18"/>
  <c r="U198" i="18"/>
  <c r="N350" i="18"/>
  <c r="P74" i="18"/>
  <c r="O14" i="18"/>
  <c r="N104" i="18"/>
  <c r="X501" i="18"/>
  <c r="AA143" i="18"/>
  <c r="R10" i="18"/>
  <c r="Q204" i="18"/>
  <c r="N397" i="18"/>
  <c r="X276" i="18"/>
  <c r="Y276" i="18" s="1"/>
  <c r="N470" i="18"/>
  <c r="S134" i="18"/>
  <c r="P126" i="18"/>
  <c r="S280" i="18"/>
  <c r="W332" i="18"/>
  <c r="U293" i="18"/>
  <c r="N83" i="18"/>
  <c r="O332" i="18"/>
  <c r="V115" i="18"/>
  <c r="O225" i="18"/>
  <c r="X116" i="18"/>
  <c r="W460" i="18"/>
  <c r="Y460" i="18" s="1"/>
  <c r="Q203" i="18"/>
  <c r="V68" i="18"/>
  <c r="W224" i="18"/>
  <c r="Y224" i="18" s="1"/>
  <c r="W393" i="18"/>
  <c r="N134" i="18"/>
  <c r="T169" i="18"/>
  <c r="O20" i="18"/>
  <c r="R431" i="18"/>
  <c r="V78" i="18"/>
  <c r="V324" i="18"/>
  <c r="W218" i="18"/>
  <c r="U103" i="18"/>
  <c r="N368" i="18"/>
  <c r="S382" i="18"/>
  <c r="R347" i="18"/>
  <c r="S433" i="18"/>
  <c r="S59" i="18"/>
  <c r="N403" i="18"/>
  <c r="P59" i="18"/>
  <c r="T78" i="18"/>
  <c r="T443" i="18"/>
  <c r="U173" i="18"/>
  <c r="T253" i="18"/>
  <c r="W353" i="18"/>
  <c r="R403" i="18"/>
  <c r="R199" i="18"/>
  <c r="U247" i="18"/>
  <c r="S215" i="18"/>
  <c r="V113" i="18"/>
  <c r="R335" i="18"/>
  <c r="P203" i="18"/>
  <c r="P267" i="18"/>
  <c r="O371" i="18"/>
  <c r="P150" i="18"/>
  <c r="U104" i="18"/>
  <c r="P427" i="18"/>
  <c r="R304" i="18"/>
  <c r="S485" i="18"/>
  <c r="AA214" i="18"/>
  <c r="Q72" i="18"/>
  <c r="AA173" i="18"/>
  <c r="S329" i="18"/>
  <c r="V294" i="18"/>
  <c r="AA376" i="18"/>
  <c r="N341" i="18"/>
  <c r="X485" i="18"/>
  <c r="O363" i="18"/>
  <c r="S146" i="18"/>
  <c r="Q150" i="18"/>
  <c r="W82" i="18"/>
  <c r="O351" i="18"/>
  <c r="X354" i="18"/>
  <c r="R317" i="18"/>
  <c r="X113" i="18"/>
  <c r="O483" i="18"/>
  <c r="V144" i="18"/>
  <c r="V420" i="18"/>
  <c r="O33" i="18"/>
  <c r="O388" i="18"/>
  <c r="N445" i="18"/>
  <c r="O205" i="18"/>
  <c r="AA24" i="18"/>
  <c r="AA429" i="18"/>
  <c r="X228" i="18"/>
  <c r="V32" i="18"/>
  <c r="V267" i="18"/>
  <c r="AA287" i="18"/>
  <c r="U28" i="18"/>
  <c r="U41" i="18"/>
  <c r="AA426" i="18"/>
  <c r="W298" i="18"/>
  <c r="Y298" i="18" s="1"/>
  <c r="S266" i="18"/>
  <c r="U260" i="18"/>
  <c r="O421" i="18"/>
  <c r="Q169" i="18"/>
  <c r="Q189" i="18"/>
  <c r="U431" i="18"/>
  <c r="V180" i="18"/>
  <c r="U170" i="18"/>
  <c r="S245" i="18"/>
  <c r="S208" i="18"/>
  <c r="X111" i="18"/>
  <c r="T146" i="18"/>
  <c r="N56" i="18"/>
  <c r="N398" i="18"/>
  <c r="W342" i="18"/>
  <c r="Y342" i="18" s="1"/>
  <c r="Q164" i="18"/>
  <c r="R490" i="18"/>
  <c r="W490" i="18"/>
  <c r="S154" i="18"/>
  <c r="P472" i="18"/>
  <c r="R96" i="18"/>
  <c r="U429" i="18"/>
  <c r="R501" i="18"/>
  <c r="N323" i="18"/>
  <c r="W129" i="18"/>
  <c r="O102" i="18"/>
  <c r="S11" i="18"/>
  <c r="U87" i="18"/>
  <c r="X498" i="18"/>
  <c r="R194" i="18"/>
  <c r="S234" i="18"/>
  <c r="U302" i="18"/>
  <c r="AA291" i="18"/>
  <c r="R220" i="18"/>
  <c r="S67" i="18"/>
  <c r="AA313" i="18"/>
  <c r="N322" i="18"/>
  <c r="V229" i="18"/>
  <c r="W182" i="18"/>
  <c r="X42" i="18"/>
  <c r="W471" i="18"/>
  <c r="O109" i="18"/>
  <c r="N115" i="18"/>
  <c r="W42" i="18"/>
  <c r="Y42" i="18" s="1"/>
  <c r="O299" i="18"/>
  <c r="AA360" i="18"/>
  <c r="V403" i="18"/>
  <c r="T344" i="18"/>
  <c r="V155" i="18"/>
  <c r="R195" i="18"/>
  <c r="Q364" i="18"/>
  <c r="T470" i="18"/>
  <c r="N217" i="18"/>
  <c r="O169" i="18"/>
  <c r="V386" i="18"/>
  <c r="AA147" i="18"/>
  <c r="W419" i="18"/>
  <c r="Y419" i="18" s="1"/>
  <c r="X92" i="18"/>
  <c r="X260" i="18"/>
  <c r="AA350" i="18"/>
  <c r="R95" i="18"/>
  <c r="S301" i="18"/>
  <c r="V390" i="18"/>
  <c r="AA139" i="18"/>
  <c r="V239" i="18"/>
  <c r="U485" i="18"/>
  <c r="AA210" i="18"/>
  <c r="T127" i="18"/>
  <c r="R64" i="18"/>
  <c r="P262" i="18"/>
  <c r="V496" i="18"/>
  <c r="Q215" i="18"/>
  <c r="X416" i="18"/>
  <c r="T217" i="18"/>
  <c r="T64" i="18"/>
  <c r="AA151" i="18"/>
  <c r="W241" i="18"/>
  <c r="Y241" i="18" s="1"/>
  <c r="V233" i="18"/>
  <c r="T480" i="18"/>
  <c r="N405" i="18"/>
  <c r="T54" i="18"/>
  <c r="N411" i="18"/>
  <c r="V124" i="18"/>
  <c r="W161" i="18"/>
  <c r="V249" i="18"/>
  <c r="AA163" i="18"/>
  <c r="P428" i="18"/>
  <c r="V501" i="18"/>
  <c r="T160" i="18"/>
  <c r="V432" i="18"/>
  <c r="O19" i="18"/>
  <c r="P371" i="18"/>
  <c r="N389" i="18"/>
  <c r="V472" i="18"/>
  <c r="X162" i="18"/>
  <c r="P411" i="18"/>
  <c r="Q103" i="18"/>
  <c r="X363" i="18"/>
  <c r="Q244" i="18"/>
  <c r="S26" i="18"/>
  <c r="P473" i="18"/>
  <c r="V442" i="18"/>
  <c r="P498" i="18"/>
  <c r="W469" i="18"/>
  <c r="X23" i="18"/>
  <c r="X441" i="18"/>
  <c r="N224" i="18"/>
  <c r="P65" i="18"/>
  <c r="N25" i="18"/>
  <c r="AA7" i="18"/>
  <c r="AA222" i="18"/>
  <c r="W26" i="18"/>
  <c r="X430" i="18"/>
  <c r="W151" i="18"/>
  <c r="T236" i="18"/>
  <c r="R265" i="18"/>
  <c r="Q283" i="18"/>
  <c r="W106" i="18"/>
  <c r="T314" i="18"/>
  <c r="R73" i="18"/>
  <c r="R267" i="18"/>
  <c r="V341" i="18"/>
  <c r="W212" i="18"/>
  <c r="Y212" i="18" s="1"/>
  <c r="P388" i="18"/>
  <c r="U26" i="18"/>
  <c r="P413" i="18"/>
  <c r="P385" i="18"/>
  <c r="O145" i="18"/>
  <c r="R145" i="18"/>
  <c r="O432" i="18"/>
  <c r="S12" i="18"/>
  <c r="W491" i="18"/>
  <c r="AA41" i="18"/>
  <c r="N105" i="18"/>
  <c r="N66" i="18"/>
  <c r="P415" i="18"/>
  <c r="N263" i="18"/>
  <c r="X396" i="18"/>
  <c r="N185" i="18"/>
  <c r="N497" i="18"/>
  <c r="T77" i="18"/>
  <c r="U406" i="18"/>
  <c r="S156" i="18"/>
  <c r="T465" i="18"/>
  <c r="P141" i="18"/>
  <c r="R25" i="18"/>
  <c r="P92" i="18"/>
  <c r="S190" i="18"/>
  <c r="V230" i="18"/>
  <c r="P163" i="18"/>
  <c r="Q342" i="18"/>
  <c r="N250" i="18"/>
  <c r="T452" i="18"/>
  <c r="S447" i="18"/>
  <c r="V106" i="18"/>
  <c r="S420" i="18"/>
  <c r="T257" i="18"/>
  <c r="T98" i="18"/>
  <c r="U188" i="18"/>
  <c r="T461" i="18"/>
  <c r="W398" i="18"/>
  <c r="T138" i="18"/>
  <c r="X164" i="18"/>
  <c r="Y164" i="18" s="1"/>
  <c r="X218" i="18"/>
  <c r="S252" i="18"/>
  <c r="Q93" i="18"/>
  <c r="P442" i="18"/>
  <c r="R18" i="18"/>
  <c r="O398" i="18"/>
  <c r="O310" i="18"/>
  <c r="X168" i="18"/>
  <c r="X12" i="18"/>
  <c r="X262" i="18"/>
  <c r="Q60" i="18"/>
  <c r="S118" i="18"/>
  <c r="N333" i="18"/>
  <c r="X121" i="18"/>
  <c r="S303" i="18"/>
  <c r="W159" i="18"/>
  <c r="N9" i="18"/>
  <c r="R94" i="18"/>
  <c r="W479" i="18"/>
  <c r="Y479" i="18" s="1"/>
  <c r="R421" i="18"/>
  <c r="T333" i="18"/>
  <c r="N456" i="18"/>
  <c r="N252" i="18"/>
  <c r="N479" i="18"/>
  <c r="P218" i="18"/>
  <c r="W243" i="18"/>
  <c r="T492" i="18"/>
  <c r="AA463" i="18"/>
  <c r="U171" i="18"/>
  <c r="Q178" i="18"/>
  <c r="T383" i="18"/>
  <c r="Q195" i="18"/>
  <c r="P143" i="18"/>
  <c r="S308" i="18"/>
  <c r="T148" i="18"/>
  <c r="AA106" i="18"/>
  <c r="V251" i="18"/>
  <c r="W472" i="18"/>
  <c r="U81" i="18"/>
  <c r="W208" i="18"/>
  <c r="T367" i="18"/>
  <c r="N20" i="18"/>
  <c r="N121" i="18"/>
  <c r="V466" i="18"/>
  <c r="S287" i="18"/>
  <c r="S179" i="18"/>
  <c r="R66" i="18"/>
  <c r="T322" i="18"/>
  <c r="X237" i="18"/>
  <c r="V279" i="18"/>
  <c r="X317" i="18"/>
  <c r="V138" i="18"/>
  <c r="Q320" i="18"/>
  <c r="T67" i="18"/>
  <c r="T473" i="18"/>
  <c r="S102" i="18"/>
  <c r="Q483" i="18"/>
  <c r="U60" i="18"/>
  <c r="V462" i="18"/>
  <c r="P475" i="18"/>
  <c r="O38" i="18"/>
  <c r="O481" i="18"/>
  <c r="U467" i="18"/>
  <c r="U282" i="18"/>
  <c r="P282" i="18"/>
  <c r="O199" i="18"/>
  <c r="Q388" i="18"/>
  <c r="AA475" i="18"/>
  <c r="R251" i="18"/>
  <c r="N266" i="18"/>
  <c r="V397" i="18"/>
  <c r="O168" i="18"/>
  <c r="N279" i="18"/>
  <c r="Q137" i="18"/>
  <c r="O268" i="18"/>
  <c r="P459" i="18"/>
  <c r="AA453" i="18"/>
  <c r="AA36" i="18"/>
  <c r="U376" i="18"/>
  <c r="R324" i="18"/>
  <c r="R473" i="18"/>
  <c r="W169" i="18"/>
  <c r="T441" i="18"/>
  <c r="P212" i="18"/>
  <c r="R91" i="18"/>
  <c r="Q73" i="18"/>
  <c r="W192" i="18"/>
  <c r="O350" i="18"/>
  <c r="R152" i="18"/>
  <c r="R197" i="18"/>
  <c r="U364" i="18"/>
  <c r="O196" i="18"/>
  <c r="P142" i="18"/>
  <c r="O116" i="18"/>
  <c r="N140" i="18"/>
  <c r="P214" i="18"/>
  <c r="R205" i="18"/>
  <c r="Q143" i="18"/>
  <c r="Q162" i="18"/>
  <c r="O346" i="18"/>
  <c r="S431" i="18"/>
  <c r="Q300" i="18"/>
  <c r="W263" i="18"/>
  <c r="Y263" i="18" s="1"/>
  <c r="X244" i="18"/>
  <c r="T479" i="18"/>
  <c r="S63" i="18"/>
  <c r="Q311" i="18"/>
  <c r="O244" i="18"/>
  <c r="W482" i="18"/>
  <c r="V76" i="18"/>
  <c r="V447" i="18"/>
  <c r="P433" i="18"/>
  <c r="U283" i="18"/>
  <c r="N495" i="18"/>
  <c r="U96" i="18"/>
  <c r="N80" i="18"/>
  <c r="N269" i="18"/>
  <c r="U163" i="18"/>
  <c r="AA339" i="18"/>
  <c r="P455" i="18"/>
  <c r="O260" i="18"/>
  <c r="X489" i="18"/>
  <c r="T154" i="18"/>
  <c r="X14" i="18"/>
  <c r="R169" i="18"/>
  <c r="Q318" i="18"/>
  <c r="AA141" i="18"/>
  <c r="W113" i="18"/>
  <c r="Y113" i="18" s="1"/>
  <c r="X31" i="18"/>
  <c r="S430" i="18"/>
  <c r="V506" i="18"/>
  <c r="W256" i="18"/>
  <c r="N297" i="18"/>
  <c r="T263" i="18"/>
  <c r="S182" i="18"/>
  <c r="U126" i="18"/>
  <c r="W60" i="18"/>
  <c r="R21" i="18"/>
  <c r="AA397" i="18"/>
  <c r="G8" i="12"/>
  <c r="G9" i="12"/>
  <c r="X252" i="18"/>
  <c r="N172" i="18"/>
  <c r="W261" i="18"/>
  <c r="N501" i="18"/>
  <c r="T501" i="18"/>
  <c r="W416" i="18"/>
  <c r="Y416" i="18" s="1"/>
  <c r="R502" i="18"/>
  <c r="P308" i="18"/>
  <c r="N161" i="18"/>
  <c r="S417" i="18"/>
  <c r="S347" i="18"/>
  <c r="AA301" i="18"/>
  <c r="O202" i="18"/>
  <c r="V351" i="18"/>
  <c r="S221" i="18"/>
  <c r="N390" i="18"/>
  <c r="O194" i="18"/>
  <c r="V13" i="18"/>
  <c r="R133" i="18"/>
  <c r="V469" i="18"/>
  <c r="P266" i="18"/>
  <c r="R357" i="18"/>
  <c r="U229" i="18"/>
  <c r="P382" i="18"/>
  <c r="P501" i="18"/>
  <c r="S107" i="18"/>
  <c r="O163" i="18"/>
  <c r="V84" i="18"/>
  <c r="O430" i="18"/>
  <c r="AA277" i="18"/>
  <c r="O408" i="18"/>
  <c r="AA135" i="18"/>
  <c r="Q506" i="18"/>
  <c r="R423" i="18"/>
  <c r="N468" i="18"/>
  <c r="U332" i="18"/>
  <c r="R248" i="18"/>
  <c r="V312" i="18"/>
  <c r="AA67" i="18"/>
  <c r="P165" i="18"/>
  <c r="V377" i="18"/>
  <c r="P255" i="18"/>
  <c r="V97" i="18"/>
  <c r="AA16" i="18"/>
  <c r="O240" i="18"/>
  <c r="R500" i="18"/>
  <c r="U417" i="18"/>
  <c r="S342" i="18"/>
  <c r="R185" i="18"/>
  <c r="AA293" i="18"/>
  <c r="W44" i="18"/>
  <c r="R20" i="18"/>
  <c r="P492" i="18"/>
  <c r="V248" i="18"/>
  <c r="W195" i="18"/>
  <c r="T87" i="18"/>
  <c r="AA298" i="18"/>
  <c r="R468" i="18"/>
  <c r="U8" i="18"/>
  <c r="R110" i="18"/>
  <c r="P250" i="18"/>
  <c r="P211" i="18"/>
  <c r="U442" i="18"/>
  <c r="R294" i="18"/>
  <c r="N436" i="18"/>
  <c r="R221" i="18"/>
  <c r="Q319" i="18"/>
  <c r="X399" i="18"/>
  <c r="R313" i="18"/>
  <c r="S471" i="18"/>
  <c r="O454" i="18"/>
  <c r="U50" i="18"/>
  <c r="AA51" i="18"/>
  <c r="O306" i="18"/>
  <c r="R383" i="18"/>
  <c r="W231" i="18"/>
  <c r="Y231" i="18" s="1"/>
  <c r="R211" i="18"/>
  <c r="T56" i="18"/>
  <c r="N458" i="18"/>
  <c r="O254" i="18"/>
  <c r="V478" i="18"/>
  <c r="S399" i="18"/>
  <c r="X336" i="18"/>
  <c r="R114" i="18"/>
  <c r="AA213" i="18"/>
  <c r="O149" i="18"/>
  <c r="U418" i="18"/>
  <c r="Q349" i="18"/>
  <c r="O297" i="18"/>
  <c r="O292" i="18"/>
  <c r="R497" i="18"/>
  <c r="R401" i="18"/>
  <c r="Q234" i="18"/>
  <c r="V111" i="18"/>
  <c r="Q436" i="18"/>
  <c r="N153" i="18"/>
  <c r="O478" i="18"/>
  <c r="AA496" i="18"/>
  <c r="R157" i="18"/>
  <c r="AA231" i="18"/>
  <c r="W239" i="18"/>
  <c r="Y239" i="18" s="1"/>
  <c r="Q44" i="18"/>
  <c r="X329" i="18"/>
  <c r="R92" i="18"/>
  <c r="X196" i="18"/>
  <c r="T46" i="18"/>
  <c r="R505" i="18"/>
  <c r="R245" i="18"/>
  <c r="V489" i="18"/>
  <c r="N139" i="18"/>
  <c r="R291" i="18"/>
  <c r="S348" i="18"/>
  <c r="Q120" i="18"/>
  <c r="R416" i="18"/>
  <c r="N45" i="18"/>
  <c r="R106" i="18"/>
  <c r="O279" i="18"/>
  <c r="P94" i="18"/>
  <c r="U272" i="18"/>
  <c r="AA76" i="18"/>
  <c r="Q413" i="18"/>
  <c r="N294" i="18"/>
  <c r="R320" i="18"/>
  <c r="S187" i="18"/>
  <c r="V145" i="18"/>
  <c r="T376" i="18"/>
  <c r="AA80" i="18"/>
  <c r="S141" i="18"/>
  <c r="U477" i="18"/>
  <c r="N143" i="18"/>
  <c r="T392" i="18"/>
  <c r="N425" i="18"/>
  <c r="X474" i="18"/>
  <c r="Y474" i="18" s="1"/>
  <c r="U422" i="18"/>
  <c r="U248" i="18"/>
  <c r="S355" i="18"/>
  <c r="V271" i="18"/>
  <c r="V418" i="18"/>
  <c r="T343" i="18"/>
  <c r="S326" i="18"/>
  <c r="N288" i="18"/>
  <c r="P230" i="18"/>
  <c r="X67" i="18"/>
  <c r="V328" i="18"/>
  <c r="R54" i="18"/>
  <c r="W221" i="18"/>
  <c r="V121" i="18"/>
  <c r="S68" i="18"/>
  <c r="O269" i="18"/>
  <c r="AA122" i="18"/>
  <c r="X175" i="18"/>
  <c r="X68" i="18"/>
  <c r="R476" i="18"/>
  <c r="AA302" i="18"/>
  <c r="R407" i="18"/>
  <c r="V22" i="18"/>
  <c r="P315" i="18"/>
  <c r="AA406" i="18"/>
  <c r="Q414" i="18"/>
  <c r="P278" i="18"/>
  <c r="T377" i="18"/>
  <c r="X208" i="18"/>
  <c r="V223" i="18"/>
  <c r="T7" i="18"/>
  <c r="W244" i="18"/>
  <c r="R256" i="18"/>
  <c r="R288" i="18"/>
  <c r="N331" i="18"/>
  <c r="X221" i="18"/>
  <c r="N357" i="18"/>
  <c r="X345" i="18"/>
  <c r="O399" i="18"/>
  <c r="R363" i="18"/>
  <c r="N100" i="18"/>
  <c r="AA266" i="18"/>
  <c r="Q446" i="18"/>
  <c r="P77" i="18"/>
  <c r="V214" i="18"/>
  <c r="T478" i="18"/>
  <c r="R111" i="18"/>
  <c r="S354" i="18"/>
  <c r="S315" i="18"/>
  <c r="V475" i="18"/>
  <c r="N149" i="18"/>
  <c r="X210" i="18"/>
  <c r="X32" i="18"/>
  <c r="Y32" i="18" s="1"/>
  <c r="AA59" i="18"/>
  <c r="W462" i="18"/>
  <c r="Y462" i="18" s="1"/>
  <c r="P504" i="18"/>
  <c r="N496" i="18"/>
  <c r="V373" i="18"/>
  <c r="X217" i="18"/>
  <c r="O321" i="18"/>
  <c r="AA145" i="18"/>
  <c r="Q362" i="18"/>
  <c r="P348" i="18"/>
  <c r="R101" i="18"/>
  <c r="X462" i="18"/>
  <c r="U13" i="18"/>
  <c r="U206" i="18"/>
  <c r="AA212" i="18"/>
  <c r="Q279" i="18"/>
  <c r="R55" i="18"/>
  <c r="O501" i="18"/>
  <c r="AA20" i="18"/>
  <c r="V36" i="18"/>
  <c r="V112" i="18"/>
  <c r="O93" i="18"/>
  <c r="N173" i="18"/>
  <c r="N330" i="18"/>
  <c r="W311" i="18"/>
  <c r="Y311" i="18" s="1"/>
  <c r="S365" i="18"/>
  <c r="N358" i="18"/>
  <c r="W120" i="18"/>
  <c r="AA424" i="18"/>
  <c r="N187" i="18"/>
  <c r="R31" i="18"/>
  <c r="S337" i="18"/>
  <c r="O258" i="18"/>
  <c r="U94" i="18"/>
  <c r="S298" i="18"/>
  <c r="R474" i="18"/>
  <c r="X388" i="18"/>
  <c r="X411" i="18"/>
  <c r="U437" i="18"/>
  <c r="S128" i="18"/>
  <c r="P78" i="18"/>
  <c r="Q208" i="18"/>
  <c r="V29" i="18"/>
  <c r="R19" i="18"/>
  <c r="R136" i="18"/>
  <c r="Q371" i="18"/>
  <c r="X72" i="18"/>
  <c r="T401" i="18"/>
  <c r="X280" i="18"/>
  <c r="Q331" i="18"/>
  <c r="X9" i="18"/>
  <c r="T97" i="18"/>
  <c r="R174" i="18"/>
  <c r="AA199" i="18"/>
  <c r="T330" i="18"/>
  <c r="T347" i="18"/>
  <c r="P461" i="18"/>
  <c r="R442" i="18"/>
  <c r="T84" i="18"/>
  <c r="S475" i="18"/>
  <c r="AA303" i="18"/>
  <c r="W305" i="18"/>
  <c r="X83" i="18"/>
  <c r="O221" i="18"/>
  <c r="S159" i="18"/>
  <c r="U273" i="18"/>
  <c r="X200" i="18"/>
  <c r="T364" i="18"/>
  <c r="P281" i="18"/>
  <c r="P28" i="18"/>
  <c r="P317" i="18"/>
  <c r="AA375" i="18"/>
  <c r="Q12" i="18"/>
  <c r="AA211" i="18"/>
  <c r="X306" i="18"/>
  <c r="P312" i="18"/>
  <c r="R369" i="18"/>
  <c r="W142" i="18"/>
  <c r="U299" i="18"/>
  <c r="S91" i="18"/>
  <c r="U54" i="18"/>
  <c r="S173" i="18"/>
  <c r="X418" i="18"/>
  <c r="S130" i="18"/>
  <c r="T27" i="18"/>
  <c r="Q355" i="18"/>
  <c r="P325" i="18"/>
  <c r="X47" i="18"/>
  <c r="S194" i="18"/>
  <c r="W395" i="18"/>
  <c r="R286" i="18"/>
  <c r="P417" i="18"/>
  <c r="U303" i="18"/>
  <c r="T11" i="18"/>
  <c r="V82" i="18"/>
  <c r="S77" i="18"/>
  <c r="T287" i="18"/>
  <c r="S408" i="18"/>
  <c r="P333" i="18"/>
  <c r="O311" i="18"/>
  <c r="W352" i="18"/>
  <c r="Y352" i="18" s="1"/>
  <c r="AA354" i="18"/>
  <c r="V117" i="18"/>
  <c r="U58" i="18"/>
  <c r="O298" i="18"/>
  <c r="W276" i="18"/>
  <c r="V484" i="18"/>
  <c r="P269" i="18"/>
  <c r="Q376" i="18"/>
  <c r="W74" i="18"/>
  <c r="W279" i="18"/>
  <c r="O373" i="18"/>
  <c r="X502" i="18"/>
  <c r="T10" i="18"/>
  <c r="V277" i="18"/>
  <c r="Q138" i="18"/>
  <c r="P55" i="18"/>
  <c r="Q295" i="18"/>
  <c r="P12" i="18"/>
  <c r="O281" i="18"/>
  <c r="X188" i="18"/>
  <c r="Q25" i="18"/>
  <c r="E6" i="12"/>
  <c r="AA13" i="18"/>
  <c r="U459" i="18"/>
  <c r="O156" i="18"/>
  <c r="Q33" i="18"/>
  <c r="P64" i="18"/>
  <c r="V194" i="18"/>
  <c r="V299" i="18"/>
  <c r="S98" i="18"/>
  <c r="T268" i="18"/>
  <c r="AA226" i="18"/>
  <c r="P383" i="18"/>
  <c r="O164" i="18"/>
  <c r="R181" i="18"/>
  <c r="O377" i="18"/>
  <c r="N205" i="18"/>
  <c r="W87" i="18"/>
  <c r="P378" i="18"/>
  <c r="W391" i="18"/>
  <c r="Y391" i="18" s="1"/>
  <c r="X281" i="18"/>
  <c r="T267" i="18"/>
  <c r="N21" i="18"/>
  <c r="V322" i="18"/>
  <c r="X263" i="18"/>
  <c r="T272" i="18"/>
  <c r="X259" i="18"/>
  <c r="X409" i="18"/>
  <c r="R98" i="18"/>
  <c r="W91" i="18"/>
  <c r="S291" i="18"/>
  <c r="V58" i="18"/>
  <c r="Q221" i="18"/>
  <c r="X61" i="18"/>
  <c r="U91" i="18"/>
  <c r="W28" i="18"/>
  <c r="O17" i="18"/>
  <c r="T497" i="18"/>
  <c r="N370" i="18"/>
  <c r="O314" i="18"/>
  <c r="X101" i="18"/>
  <c r="Q472" i="18"/>
  <c r="W447" i="18"/>
  <c r="O467" i="18"/>
  <c r="T453" i="18"/>
  <c r="O48" i="18"/>
  <c r="S275" i="18"/>
  <c r="X108" i="18"/>
  <c r="Y108" i="18" s="1"/>
  <c r="Q176" i="18"/>
  <c r="T173" i="18"/>
  <c r="U139" i="18"/>
  <c r="N48" i="18"/>
  <c r="S356" i="18"/>
  <c r="V339" i="18"/>
  <c r="U444" i="18"/>
  <c r="W272" i="18"/>
  <c r="R262" i="18"/>
  <c r="Q495" i="18"/>
  <c r="U262" i="18"/>
  <c r="N227" i="18"/>
  <c r="S170" i="18"/>
  <c r="Q242" i="18"/>
  <c r="S325" i="18"/>
  <c r="R207" i="18"/>
  <c r="N130" i="18"/>
  <c r="N427" i="18"/>
  <c r="U357" i="18"/>
  <c r="W98" i="18"/>
  <c r="O52" i="18"/>
  <c r="N319" i="18"/>
  <c r="T235" i="18"/>
  <c r="W496" i="18"/>
  <c r="Y496" i="18" s="1"/>
  <c r="Q315" i="18"/>
  <c r="AA249" i="18"/>
  <c r="T158" i="18"/>
  <c r="P229" i="18"/>
  <c r="X394" i="18"/>
  <c r="P181" i="18"/>
  <c r="T248" i="18"/>
  <c r="X504" i="18"/>
  <c r="O220" i="18"/>
  <c r="R162" i="18"/>
  <c r="U239" i="18"/>
  <c r="Q129" i="18"/>
  <c r="S82" i="18"/>
  <c r="X323" i="18"/>
  <c r="U389" i="18"/>
  <c r="R173" i="18"/>
  <c r="P15" i="18"/>
  <c r="O282" i="18"/>
  <c r="P237" i="18"/>
  <c r="P274" i="18"/>
  <c r="X267" i="18"/>
  <c r="N165" i="18"/>
  <c r="P88" i="18"/>
  <c r="S428" i="18"/>
  <c r="N320" i="18"/>
  <c r="U300" i="18"/>
  <c r="W95" i="18"/>
  <c r="AA148" i="18"/>
  <c r="T276" i="18"/>
  <c r="S22" i="18"/>
  <c r="V227" i="18"/>
  <c r="N26" i="18"/>
  <c r="S381" i="18"/>
  <c r="W45" i="18"/>
  <c r="AA193" i="18"/>
  <c r="X245" i="18"/>
  <c r="Y245" i="18" s="1"/>
  <c r="N238" i="18"/>
  <c r="V228" i="18"/>
  <c r="O326" i="18"/>
  <c r="AA449" i="18"/>
  <c r="N11" i="18"/>
  <c r="X183" i="18"/>
  <c r="P368" i="18"/>
  <c r="U480" i="18"/>
  <c r="X307" i="18"/>
  <c r="T321" i="18"/>
  <c r="N85" i="18"/>
  <c r="O499" i="18"/>
  <c r="AA54" i="18"/>
  <c r="Q321" i="18"/>
  <c r="AA317" i="18"/>
  <c r="W284" i="18"/>
  <c r="T200" i="18"/>
  <c r="W396" i="18"/>
  <c r="R380" i="18"/>
  <c r="V242" i="18"/>
  <c r="AA438" i="18"/>
  <c r="Q324" i="18"/>
  <c r="P463" i="18"/>
  <c r="S88" i="18"/>
  <c r="T423" i="18"/>
  <c r="P421" i="18"/>
  <c r="R266" i="18"/>
  <c r="Q358" i="18"/>
  <c r="W196" i="18"/>
  <c r="X322" i="18"/>
  <c r="N122" i="18"/>
  <c r="O95" i="18"/>
  <c r="T425" i="18"/>
  <c r="P82" i="18"/>
  <c r="W441" i="18"/>
  <c r="V128" i="18"/>
  <c r="S495" i="18"/>
  <c r="P322" i="18"/>
  <c r="U453" i="18"/>
  <c r="Q473" i="18"/>
  <c r="V429" i="18"/>
  <c r="T231" i="18"/>
  <c r="X324" i="18"/>
  <c r="U29" i="18"/>
  <c r="R235" i="18"/>
  <c r="Q449" i="18"/>
  <c r="R83" i="18"/>
  <c r="Q24" i="18"/>
  <c r="W286" i="18"/>
  <c r="Q78" i="18"/>
  <c r="V134" i="18"/>
  <c r="T378" i="18"/>
  <c r="T192" i="18"/>
  <c r="W101" i="18"/>
  <c r="P251" i="18"/>
  <c r="N170" i="18"/>
  <c r="R198" i="18"/>
  <c r="V120" i="18"/>
  <c r="U169" i="18"/>
  <c r="U226" i="18"/>
  <c r="Q395" i="18"/>
  <c r="W348" i="18"/>
  <c r="Y348" i="18" s="1"/>
  <c r="R88" i="18"/>
  <c r="N448" i="18"/>
  <c r="X344" i="18"/>
  <c r="O241" i="18"/>
  <c r="X110" i="18"/>
  <c r="Y110" i="18" s="1"/>
  <c r="S201" i="18"/>
  <c r="V345" i="18"/>
  <c r="O304" i="18"/>
  <c r="AA425" i="18"/>
  <c r="R336" i="18"/>
  <c r="N473" i="18"/>
  <c r="T312" i="18"/>
  <c r="T414" i="18"/>
  <c r="W75" i="18"/>
  <c r="Y75" i="18" s="1"/>
  <c r="V283" i="18"/>
  <c r="T167" i="18"/>
  <c r="N375" i="18"/>
  <c r="S388" i="18"/>
  <c r="N135" i="18"/>
  <c r="P87" i="18"/>
  <c r="U235" i="18"/>
  <c r="AA260" i="18"/>
  <c r="W112" i="18"/>
  <c r="Q148" i="18"/>
  <c r="X287" i="18"/>
  <c r="AA252" i="18"/>
  <c r="V284" i="18"/>
  <c r="Q330" i="18"/>
  <c r="N302" i="18"/>
  <c r="N443" i="18"/>
  <c r="W232" i="18"/>
  <c r="U384" i="18"/>
  <c r="AA256" i="18"/>
  <c r="T153" i="18"/>
  <c r="S437" i="18"/>
  <c r="S137" i="18"/>
  <c r="W148" i="18"/>
  <c r="AA42" i="18"/>
  <c r="U100" i="18"/>
  <c r="V88" i="18"/>
  <c r="X201" i="18"/>
  <c r="O387" i="18"/>
  <c r="O345" i="18"/>
  <c r="V476" i="18"/>
  <c r="W403" i="18"/>
  <c r="Y403" i="18" s="1"/>
  <c r="U238" i="18"/>
  <c r="Q427" i="18"/>
  <c r="P338" i="18"/>
  <c r="W59" i="18"/>
  <c r="R239" i="18"/>
  <c r="N201" i="18"/>
  <c r="S83" i="18"/>
  <c r="X490" i="18"/>
  <c r="O381" i="18"/>
  <c r="O380" i="18"/>
  <c r="AA344" i="18"/>
  <c r="U180" i="18"/>
  <c r="T303" i="18"/>
  <c r="P405" i="18"/>
  <c r="W51" i="18"/>
  <c r="Y51" i="18" s="1"/>
  <c r="X115" i="18"/>
  <c r="W135" i="18"/>
  <c r="Y135" i="18" s="1"/>
  <c r="X412" i="18"/>
  <c r="N43" i="18"/>
  <c r="N423" i="18"/>
  <c r="AA160" i="18"/>
  <c r="AA294" i="18"/>
  <c r="X18" i="18"/>
  <c r="S133" i="18"/>
  <c r="AA49" i="18"/>
  <c r="S322" i="18"/>
  <c r="S334" i="18"/>
  <c r="V195" i="18"/>
  <c r="W162" i="18"/>
  <c r="Y162" i="18" s="1"/>
  <c r="Q185" i="18"/>
  <c r="R277" i="18"/>
  <c r="W138" i="18"/>
  <c r="X282" i="18"/>
  <c r="T489" i="18"/>
  <c r="O91" i="18"/>
  <c r="T59" i="18"/>
  <c r="R362" i="18"/>
  <c r="AA395" i="18"/>
  <c r="O100" i="18"/>
  <c r="V296" i="18"/>
  <c r="AA227" i="18"/>
  <c r="O166" i="18"/>
  <c r="AA459" i="18"/>
  <c r="N490" i="18"/>
  <c r="W41" i="18"/>
  <c r="O84" i="18"/>
  <c r="T47" i="18"/>
  <c r="T182" i="18"/>
  <c r="N220" i="18"/>
  <c r="V110" i="18"/>
  <c r="O80" i="18"/>
  <c r="AA28" i="18"/>
  <c r="Q191" i="18"/>
  <c r="V430" i="18"/>
  <c r="E15" i="27"/>
  <c r="F15" i="27" s="1"/>
  <c r="P462" i="18"/>
  <c r="AA369" i="18"/>
  <c r="N237" i="18"/>
  <c r="N290" i="18"/>
  <c r="N156" i="18"/>
  <c r="P97" i="18"/>
  <c r="N478" i="18"/>
  <c r="Q293" i="18"/>
  <c r="Q370" i="18"/>
  <c r="O273" i="18"/>
  <c r="N229" i="18"/>
  <c r="U472" i="18"/>
  <c r="S462" i="18"/>
  <c r="AA299" i="18"/>
  <c r="N69" i="18"/>
  <c r="AA209" i="18"/>
  <c r="O266" i="18"/>
  <c r="U276" i="18"/>
  <c r="W115" i="18"/>
  <c r="U278" i="18"/>
  <c r="S248" i="18"/>
  <c r="P341" i="18"/>
  <c r="P357" i="18"/>
  <c r="Q130" i="18"/>
  <c r="P403" i="18"/>
  <c r="T166" i="18"/>
  <c r="N300" i="18"/>
  <c r="S13" i="18"/>
  <c r="X373" i="18"/>
  <c r="T73" i="18"/>
  <c r="T320" i="18"/>
  <c r="V272" i="18"/>
  <c r="N414" i="18"/>
  <c r="Q108" i="18"/>
  <c r="S178" i="18"/>
  <c r="W318" i="18"/>
  <c r="R13" i="18"/>
  <c r="S384" i="18"/>
  <c r="Q212" i="18"/>
  <c r="AA150" i="18"/>
  <c r="T20" i="18"/>
  <c r="Q224" i="18"/>
  <c r="Q486" i="18"/>
  <c r="R115" i="18"/>
  <c r="R241" i="18"/>
  <c r="Q43" i="18"/>
  <c r="P294" i="18"/>
  <c r="U108" i="18"/>
  <c r="O480" i="18"/>
  <c r="V307" i="18"/>
  <c r="T396" i="18"/>
  <c r="R164" i="18"/>
  <c r="S31" i="18"/>
  <c r="X465" i="18"/>
  <c r="Y465" i="18" s="1"/>
  <c r="T82" i="18"/>
  <c r="V79" i="18"/>
  <c r="R392" i="18"/>
  <c r="AA232" i="18"/>
  <c r="W64" i="18"/>
  <c r="Y64" i="18" s="1"/>
  <c r="W150" i="18"/>
  <c r="T201" i="18"/>
  <c r="U123" i="18"/>
  <c r="V149" i="18"/>
  <c r="P107" i="18"/>
  <c r="AA103" i="18"/>
  <c r="AA238" i="18"/>
  <c r="R124" i="18"/>
  <c r="P470" i="18"/>
  <c r="X468" i="18"/>
  <c r="U323" i="18"/>
  <c r="W19" i="18"/>
  <c r="X153" i="18"/>
  <c r="Y153" i="18" s="1"/>
  <c r="T111" i="18"/>
  <c r="P125" i="18"/>
  <c r="P168" i="18"/>
  <c r="T171" i="18"/>
  <c r="V374" i="18"/>
  <c r="P83" i="18"/>
  <c r="W249" i="18"/>
  <c r="V35" i="18"/>
  <c r="P314" i="18"/>
  <c r="Q97" i="18"/>
  <c r="W153" i="18"/>
  <c r="U158" i="18"/>
  <c r="O42" i="18"/>
  <c r="N340" i="18"/>
  <c r="AA78" i="18"/>
  <c r="R276" i="18"/>
  <c r="O275" i="18"/>
  <c r="P239" i="18"/>
  <c r="U160" i="18"/>
  <c r="AA273" i="18"/>
  <c r="S74" i="18"/>
  <c r="P29" i="18"/>
  <c r="V295" i="18"/>
  <c r="N88" i="18"/>
  <c r="P375" i="18"/>
  <c r="P293" i="18"/>
  <c r="AA323" i="18"/>
  <c r="X59" i="18"/>
  <c r="X427" i="18"/>
  <c r="AA107" i="18"/>
  <c r="T61" i="18"/>
  <c r="N151" i="18"/>
  <c r="Q448" i="18"/>
  <c r="W137" i="18"/>
  <c r="AA61" i="18"/>
  <c r="S110" i="18"/>
  <c r="N494" i="18"/>
  <c r="S363" i="18"/>
  <c r="P400" i="18"/>
  <c r="N231" i="18"/>
  <c r="R24" i="18"/>
  <c r="W36" i="18"/>
  <c r="Y36" i="18" s="1"/>
  <c r="U162" i="18"/>
  <c r="X45" i="18"/>
  <c r="O285" i="18"/>
  <c r="W446" i="18"/>
  <c r="T121" i="18"/>
  <c r="X163" i="18"/>
  <c r="N396" i="18"/>
  <c r="Q173" i="18"/>
  <c r="O26" i="18"/>
  <c r="Q478" i="18"/>
  <c r="X429" i="18"/>
  <c r="W500" i="18"/>
  <c r="Y500" i="18" s="1"/>
  <c r="U348" i="18"/>
  <c r="U255" i="18"/>
  <c r="AA47" i="18"/>
  <c r="T165" i="18"/>
  <c r="R232" i="18"/>
  <c r="N159" i="18"/>
  <c r="X494" i="18"/>
  <c r="N162" i="18"/>
  <c r="S435" i="18"/>
  <c r="O215" i="18"/>
  <c r="AA340" i="18"/>
  <c r="Q459" i="18"/>
  <c r="X339" i="18"/>
  <c r="Q190" i="18"/>
  <c r="S416" i="18"/>
  <c r="N7" i="18"/>
  <c r="Q123" i="18"/>
  <c r="W220" i="18"/>
  <c r="Y220" i="18" s="1"/>
  <c r="AA25" i="18"/>
  <c r="N452" i="18"/>
  <c r="X81" i="18"/>
  <c r="O130" i="18"/>
  <c r="W114" i="18"/>
  <c r="W61" i="18"/>
  <c r="T316" i="18"/>
  <c r="X195" i="18"/>
  <c r="X77" i="18"/>
  <c r="W143" i="18"/>
  <c r="X27" i="18"/>
  <c r="R293" i="18"/>
  <c r="Q482" i="18"/>
  <c r="AA29" i="18"/>
  <c r="X170" i="18"/>
  <c r="Q400" i="18"/>
  <c r="P360" i="18"/>
  <c r="U325" i="18"/>
  <c r="S265" i="18"/>
  <c r="AA311" i="18"/>
  <c r="W260" i="18"/>
  <c r="O218" i="18"/>
  <c r="R62" i="18"/>
  <c r="AA482" i="18"/>
  <c r="X402" i="18"/>
  <c r="P117" i="18"/>
  <c r="V61" i="18"/>
  <c r="S150" i="18"/>
  <c r="R26" i="18"/>
  <c r="O23" i="18"/>
  <c r="T115" i="18"/>
  <c r="U298" i="18"/>
  <c r="R406" i="18"/>
  <c r="T450" i="18"/>
  <c r="AA120" i="18"/>
  <c r="V47" i="18"/>
  <c r="S321" i="18"/>
  <c r="N426" i="18"/>
  <c r="U340" i="18"/>
  <c r="S314" i="18"/>
  <c r="U294" i="18"/>
  <c r="AA242" i="18"/>
  <c r="X65" i="18"/>
  <c r="Y65" i="18" s="1"/>
  <c r="T152" i="18"/>
  <c r="X425" i="18"/>
  <c r="S257" i="18"/>
  <c r="V437" i="18"/>
  <c r="W81" i="18"/>
  <c r="N202" i="18"/>
  <c r="V486" i="18"/>
  <c r="T345" i="18"/>
  <c r="S37" i="18"/>
  <c r="N141" i="18"/>
  <c r="AA319" i="18"/>
  <c r="S396" i="18"/>
  <c r="AA26" i="18"/>
  <c r="AA177" i="18"/>
  <c r="Q405" i="18"/>
  <c r="S236" i="18"/>
  <c r="W103" i="18"/>
  <c r="T202" i="18"/>
  <c r="S352" i="18"/>
  <c r="W489" i="18"/>
  <c r="T424" i="18"/>
  <c r="P343" i="18"/>
  <c r="R225" i="18"/>
  <c r="V499" i="18"/>
  <c r="W468" i="18"/>
  <c r="Y468" i="18" s="1"/>
  <c r="R289" i="18"/>
  <c r="X360" i="18"/>
  <c r="Q267" i="18"/>
  <c r="AA75" i="18"/>
  <c r="U360" i="18"/>
  <c r="V256" i="18"/>
  <c r="X471" i="18"/>
  <c r="W405" i="18"/>
  <c r="O469" i="18"/>
  <c r="AA267" i="18"/>
  <c r="Q174" i="18"/>
  <c r="R405" i="18"/>
  <c r="N325" i="18"/>
  <c r="S470" i="18"/>
  <c r="S73" i="18"/>
  <c r="P465" i="18"/>
  <c r="N453" i="18"/>
  <c r="W108" i="18"/>
  <c r="R178" i="18"/>
  <c r="U67" i="18"/>
  <c r="T185" i="18"/>
  <c r="S374" i="18"/>
  <c r="W172" i="18"/>
  <c r="Y172" i="18" s="1"/>
  <c r="R192" i="18"/>
  <c r="T494" i="18"/>
  <c r="AA333" i="18"/>
  <c r="V421" i="18"/>
  <c r="P138" i="18"/>
  <c r="AA441" i="18"/>
  <c r="N377" i="18"/>
  <c r="N463" i="18"/>
  <c r="T331" i="18"/>
  <c r="AA314" i="18"/>
  <c r="AA233" i="18"/>
  <c r="X346" i="18"/>
  <c r="W415" i="18"/>
  <c r="O393" i="18"/>
  <c r="R333" i="18"/>
  <c r="AA270" i="18"/>
  <c r="U349" i="18"/>
  <c r="U59" i="18"/>
  <c r="V269" i="18"/>
  <c r="N55" i="18"/>
  <c r="W302" i="18"/>
  <c r="X152" i="18"/>
  <c r="AA458" i="18"/>
  <c r="T403" i="18"/>
  <c r="X169" i="18"/>
  <c r="V57" i="18"/>
  <c r="AA207" i="18"/>
  <c r="T74" i="18"/>
  <c r="T420" i="18"/>
  <c r="W167" i="18"/>
  <c r="U106" i="18"/>
  <c r="W417" i="18"/>
  <c r="Q303" i="18"/>
  <c r="U421" i="18"/>
  <c r="R408" i="18"/>
  <c r="P200" i="18"/>
  <c r="T186" i="18"/>
  <c r="X28" i="18"/>
  <c r="U470" i="18"/>
  <c r="X232" i="18"/>
  <c r="U335" i="18"/>
  <c r="R172" i="18"/>
  <c r="V434" i="18"/>
  <c r="W92" i="18"/>
  <c r="P443" i="18"/>
  <c r="Q180" i="18"/>
  <c r="Q163" i="18"/>
  <c r="O119" i="18"/>
  <c r="R208" i="18"/>
  <c r="N193" i="18"/>
  <c r="U451" i="18"/>
  <c r="X49" i="18"/>
  <c r="X231" i="18"/>
  <c r="U368" i="18"/>
  <c r="X274" i="18"/>
  <c r="Y274" i="18" s="1"/>
  <c r="Q485" i="18"/>
  <c r="V352" i="18"/>
  <c r="P7" i="18"/>
  <c r="T293" i="18"/>
  <c r="R458" i="18"/>
  <c r="Q417" i="18"/>
  <c r="Q384" i="18"/>
  <c r="W40" i="18"/>
  <c r="Q351" i="18"/>
  <c r="N475" i="18"/>
  <c r="R268" i="18"/>
  <c r="Q313" i="18"/>
  <c r="W30" i="18"/>
  <c r="O356" i="18"/>
  <c r="U327" i="18"/>
  <c r="T222" i="18"/>
  <c r="W498" i="18"/>
  <c r="O197" i="18"/>
  <c r="AA502" i="18"/>
  <c r="S302" i="18"/>
  <c r="AA56" i="18"/>
  <c r="W351" i="18"/>
  <c r="Q228" i="18"/>
  <c r="V100" i="18"/>
  <c r="U124" i="18"/>
  <c r="N362" i="18"/>
  <c r="Q361" i="18"/>
  <c r="V483" i="18"/>
  <c r="S180" i="18"/>
  <c r="W219" i="18"/>
  <c r="Y219" i="18" s="1"/>
  <c r="X52" i="18"/>
  <c r="T259" i="18"/>
  <c r="Q491" i="18"/>
  <c r="AA437" i="18"/>
  <c r="V306" i="18"/>
  <c r="S191" i="18"/>
  <c r="W133" i="18"/>
  <c r="O88" i="18"/>
  <c r="W442" i="18"/>
  <c r="AA377" i="18"/>
  <c r="S125" i="18"/>
  <c r="P47" i="18"/>
  <c r="N286" i="18"/>
  <c r="Q182" i="18"/>
  <c r="S376" i="18"/>
  <c r="AA353" i="18"/>
  <c r="P311" i="18"/>
  <c r="R166" i="18"/>
  <c r="P286" i="18"/>
  <c r="N152" i="18"/>
  <c r="T110" i="18"/>
  <c r="P225" i="18"/>
  <c r="O301" i="18"/>
  <c r="U479" i="18"/>
  <c r="R132" i="18"/>
  <c r="V485" i="18"/>
  <c r="U56" i="18"/>
  <c r="W24" i="18"/>
  <c r="X270" i="18"/>
  <c r="V183" i="18"/>
  <c r="O358" i="18"/>
  <c r="R348" i="18"/>
  <c r="N440" i="18"/>
  <c r="S228" i="18"/>
  <c r="U407" i="18"/>
  <c r="N17" i="18"/>
  <c r="O243" i="18"/>
  <c r="S492" i="18"/>
  <c r="R168" i="18"/>
  <c r="Q39" i="18"/>
  <c r="O167" i="18"/>
  <c r="AA105" i="18"/>
  <c r="O224" i="18"/>
  <c r="S255" i="18"/>
  <c r="T469" i="18"/>
  <c r="P178" i="18"/>
  <c r="N76" i="18"/>
  <c r="R151" i="18"/>
  <c r="R434" i="18"/>
  <c r="S120" i="18"/>
  <c r="X453" i="18"/>
  <c r="V99" i="18"/>
  <c r="W501" i="18"/>
  <c r="N12" i="18"/>
  <c r="U351" i="18"/>
  <c r="X99" i="18"/>
  <c r="Q379" i="18"/>
  <c r="Q213" i="18"/>
  <c r="V260" i="18"/>
  <c r="T81" i="18"/>
  <c r="O34" i="18"/>
  <c r="V40" i="18"/>
  <c r="AA169" i="18"/>
  <c r="O137" i="18"/>
  <c r="N293" i="18"/>
  <c r="Q289" i="18"/>
  <c r="R28" i="18"/>
  <c r="O476" i="18"/>
  <c r="T305" i="18"/>
  <c r="AA125" i="18"/>
  <c r="U9" i="18"/>
  <c r="T101" i="18"/>
  <c r="N191" i="18"/>
  <c r="O502" i="18"/>
  <c r="T210" i="18"/>
  <c r="P379" i="18"/>
  <c r="N343" i="18"/>
  <c r="W430" i="18"/>
  <c r="T260" i="18"/>
  <c r="R219" i="18"/>
  <c r="T174" i="18"/>
  <c r="W437" i="18"/>
  <c r="Y437" i="18" s="1"/>
  <c r="N339" i="18"/>
  <c r="W52" i="18"/>
  <c r="T361" i="18"/>
  <c r="U25" i="18"/>
  <c r="Q231" i="18"/>
  <c r="W323" i="18"/>
  <c r="T184" i="18"/>
  <c r="U416" i="18"/>
  <c r="U380" i="18"/>
  <c r="U39" i="18"/>
  <c r="N385" i="18"/>
  <c r="N472" i="18"/>
  <c r="T408" i="18"/>
  <c r="O488" i="18"/>
  <c r="U492" i="18"/>
  <c r="W8" i="18"/>
  <c r="Y8" i="18" s="1"/>
  <c r="N321" i="18"/>
  <c r="N391" i="18"/>
  <c r="T394" i="18"/>
  <c r="Q332" i="18"/>
  <c r="U433" i="18"/>
  <c r="V137" i="18"/>
  <c r="T124" i="18"/>
  <c r="R305" i="18"/>
  <c r="O15" i="18"/>
  <c r="V350" i="18"/>
  <c r="P426" i="18"/>
  <c r="O396" i="18"/>
  <c r="P45" i="18"/>
  <c r="X476" i="18"/>
  <c r="AA224" i="18"/>
  <c r="P381" i="18"/>
  <c r="N277" i="18"/>
  <c r="AA181" i="18"/>
  <c r="T68" i="18"/>
  <c r="N242" i="18"/>
  <c r="T411" i="18"/>
  <c r="AA378" i="18"/>
  <c r="N166" i="18"/>
  <c r="S78" i="18"/>
  <c r="Q188" i="18"/>
  <c r="O426" i="18"/>
  <c r="O253" i="18"/>
  <c r="T399" i="18"/>
  <c r="P366" i="18"/>
  <c r="AA402" i="18"/>
  <c r="T155" i="18"/>
  <c r="O183" i="18"/>
  <c r="S378" i="18"/>
  <c r="X417" i="18"/>
  <c r="AA187" i="18"/>
  <c r="V471" i="18"/>
  <c r="O178" i="18"/>
  <c r="AA283" i="18"/>
  <c r="V192" i="18"/>
  <c r="T283" i="18"/>
  <c r="V232" i="18"/>
  <c r="V193" i="18"/>
  <c r="U148" i="18"/>
  <c r="R61" i="18"/>
  <c r="N102" i="18"/>
  <c r="U448" i="18"/>
  <c r="R253" i="18"/>
  <c r="X145" i="18"/>
  <c r="N44" i="18"/>
  <c r="W297" i="18"/>
  <c r="Q291" i="18"/>
  <c r="R325" i="18"/>
  <c r="T444" i="18"/>
  <c r="R453" i="18"/>
  <c r="P140" i="18"/>
  <c r="AA8" i="18"/>
  <c r="Q114" i="18"/>
  <c r="Q175" i="18"/>
  <c r="S192" i="18"/>
  <c r="T460" i="18"/>
  <c r="O30" i="18"/>
  <c r="V210" i="18"/>
  <c r="T162" i="18"/>
  <c r="V176" i="18"/>
  <c r="U440" i="18"/>
  <c r="P69" i="18"/>
  <c r="W207" i="18"/>
  <c r="V74" i="18"/>
  <c r="O39" i="18"/>
  <c r="U322" i="18"/>
  <c r="V201" i="18"/>
  <c r="P103" i="18"/>
  <c r="T294" i="18"/>
  <c r="P280" i="18"/>
  <c r="N49" i="18"/>
  <c r="N401" i="18"/>
  <c r="R274" i="18"/>
  <c r="AA153" i="18"/>
  <c r="Q348" i="18"/>
  <c r="P208" i="18"/>
  <c r="X288" i="18"/>
  <c r="R259" i="18"/>
  <c r="R483" i="18"/>
  <c r="W458" i="18"/>
  <c r="W205" i="18"/>
  <c r="V26" i="18"/>
  <c r="M53" i="31"/>
  <c r="P50" i="31"/>
  <c r="I53" i="31"/>
  <c r="J53" i="31" s="1"/>
  <c r="L52" i="31"/>
  <c r="H50" i="31"/>
  <c r="I51" i="31"/>
  <c r="J51" i="31" s="1"/>
  <c r="K52" i="31"/>
  <c r="G53" i="31"/>
  <c r="N50" i="31"/>
  <c r="P53" i="31"/>
  <c r="G50" i="31"/>
  <c r="L53" i="31"/>
  <c r="H53" i="31"/>
  <c r="M52" i="31"/>
  <c r="H52" i="31"/>
  <c r="I52" i="31"/>
  <c r="J52" i="31" s="1"/>
  <c r="L50" i="31"/>
  <c r="G52" i="31"/>
  <c r="I50" i="31"/>
  <c r="J50" i="31" s="1"/>
  <c r="F50" i="31"/>
  <c r="K50" i="31"/>
  <c r="P51" i="31"/>
  <c r="F51" i="31"/>
  <c r="K53" i="31"/>
  <c r="G51" i="31"/>
  <c r="F52" i="31"/>
  <c r="N52" i="31"/>
  <c r="P52" i="31"/>
  <c r="N51" i="31"/>
  <c r="H51" i="31"/>
  <c r="K51" i="31"/>
  <c r="M51" i="31"/>
  <c r="M50" i="31"/>
  <c r="L51" i="31"/>
  <c r="F53" i="31"/>
  <c r="N53" i="31"/>
  <c r="F7" i="35"/>
  <c r="F13" i="35"/>
  <c r="F19" i="35"/>
  <c r="N55" i="31"/>
  <c r="M57" i="31"/>
  <c r="G57" i="31"/>
  <c r="L57" i="31"/>
  <c r="G56" i="31"/>
  <c r="P57" i="31"/>
  <c r="I56" i="31"/>
  <c r="J56" i="31" s="1"/>
  <c r="F56" i="31"/>
  <c r="M56" i="31"/>
  <c r="L54" i="31"/>
  <c r="P55" i="31"/>
  <c r="F55" i="31"/>
  <c r="H56" i="31"/>
  <c r="K55" i="31"/>
  <c r="P54" i="31"/>
  <c r="K54" i="31"/>
  <c r="N54" i="31"/>
  <c r="K57" i="31"/>
  <c r="G54" i="31"/>
  <c r="I57" i="31"/>
  <c r="J57" i="31" s="1"/>
  <c r="I54" i="31"/>
  <c r="J54" i="31" s="1"/>
  <c r="N57" i="31"/>
  <c r="I55" i="31"/>
  <c r="J55" i="31" s="1"/>
  <c r="H54" i="31"/>
  <c r="H55" i="31"/>
  <c r="L56" i="31"/>
  <c r="K56" i="31"/>
  <c r="M55" i="31"/>
  <c r="N56" i="31"/>
  <c r="P56" i="31"/>
  <c r="F54" i="31"/>
  <c r="F57" i="31"/>
  <c r="M54" i="31"/>
  <c r="L55" i="31"/>
  <c r="G55" i="31"/>
  <c r="H57" i="31"/>
  <c r="K63" i="31"/>
  <c r="G62" i="31"/>
  <c r="I64" i="31"/>
  <c r="J64" i="31" s="1"/>
  <c r="L62" i="31"/>
  <c r="G65" i="31"/>
  <c r="H65" i="31"/>
  <c r="K65" i="31"/>
  <c r="N64" i="31"/>
  <c r="L65" i="31"/>
  <c r="P65" i="31"/>
  <c r="I65" i="31"/>
  <c r="J65" i="31" s="1"/>
  <c r="M65" i="31"/>
  <c r="H64" i="31"/>
  <c r="I62" i="31"/>
  <c r="J62" i="31" s="1"/>
  <c r="M64" i="31"/>
  <c r="G64" i="31"/>
  <c r="K64" i="31"/>
  <c r="P62" i="31"/>
  <c r="L63" i="31"/>
  <c r="H62" i="31"/>
  <c r="M62" i="31"/>
  <c r="N63" i="31"/>
  <c r="F65" i="31"/>
  <c r="H63" i="31"/>
  <c r="F63" i="31"/>
  <c r="P63" i="31"/>
  <c r="P64" i="31"/>
  <c r="G63" i="31"/>
  <c r="N62" i="31"/>
  <c r="F62" i="31"/>
  <c r="F64" i="31"/>
  <c r="M63" i="31"/>
  <c r="N65" i="31"/>
  <c r="I63" i="31"/>
  <c r="J63" i="31" s="1"/>
  <c r="L64" i="31"/>
  <c r="K62" i="31"/>
  <c r="F16" i="35"/>
  <c r="F10" i="35"/>
  <c r="K77" i="31"/>
  <c r="N77" i="31"/>
  <c r="H74" i="31"/>
  <c r="F75" i="31"/>
  <c r="O75" i="31" s="1"/>
  <c r="M75" i="31"/>
  <c r="P77" i="31"/>
  <c r="M74" i="31"/>
  <c r="P76" i="31"/>
  <c r="L84" i="31"/>
  <c r="P83" i="31"/>
  <c r="M83" i="31"/>
  <c r="P82" i="31"/>
  <c r="L83" i="31"/>
  <c r="P85" i="31"/>
  <c r="F84" i="31"/>
  <c r="O84" i="31" s="1"/>
  <c r="K83" i="31"/>
  <c r="O83" i="31" s="1"/>
  <c r="M7" i="31"/>
  <c r="F70" i="31"/>
  <c r="O70" i="31" s="1"/>
  <c r="P73" i="31"/>
  <c r="M71" i="31"/>
  <c r="K60" i="31"/>
  <c r="O60" i="31" s="1"/>
  <c r="N8" i="31"/>
  <c r="Q8" i="31" s="1"/>
  <c r="K6" i="31"/>
  <c r="N9" i="31"/>
  <c r="Q9" i="31" s="1"/>
  <c r="K8" i="31"/>
  <c r="F73" i="31"/>
  <c r="O73" i="31" s="1"/>
  <c r="P71" i="31"/>
  <c r="M73" i="31"/>
  <c r="P6" i="31"/>
  <c r="K7" i="31"/>
  <c r="P9" i="31"/>
  <c r="M9" i="31"/>
  <c r="P7" i="31"/>
  <c r="Y484" i="18"/>
  <c r="Y404" i="18"/>
  <c r="Y487" i="18"/>
  <c r="Y506" i="18"/>
  <c r="Y444" i="18"/>
  <c r="Y503" i="18"/>
  <c r="Y27" i="18"/>
  <c r="Y50" i="18"/>
  <c r="Y375" i="18"/>
  <c r="Y204" i="18"/>
  <c r="Y367" i="18"/>
  <c r="Y453" i="18"/>
  <c r="Y208" i="18"/>
  <c r="Y104" i="18"/>
  <c r="Y210" i="18"/>
  <c r="Y424" i="18"/>
  <c r="Y187" i="18"/>
  <c r="Y455" i="18"/>
  <c r="Y319" i="18"/>
  <c r="Y435" i="18"/>
  <c r="Y489" i="18"/>
  <c r="Y97" i="18"/>
  <c r="Y174" i="18"/>
  <c r="Y80" i="18"/>
  <c r="Y326" i="18"/>
  <c r="Y63" i="18"/>
  <c r="Y83" i="18"/>
  <c r="Y165" i="18"/>
  <c r="Y101" i="18"/>
  <c r="Y346" i="18"/>
  <c r="Y247" i="18"/>
  <c r="Y266" i="18"/>
  <c r="Y238" i="18"/>
  <c r="Y156" i="18"/>
  <c r="Y89" i="18"/>
  <c r="Y272" i="18"/>
  <c r="Y217" i="18"/>
  <c r="Y344" i="18"/>
  <c r="Y139" i="18"/>
  <c r="D9" i="12"/>
  <c r="B46" i="31"/>
  <c r="M49" i="31" s="1"/>
  <c r="B42" i="31"/>
  <c r="B38" i="31"/>
  <c r="H41" i="31" s="1"/>
  <c r="B34" i="31"/>
  <c r="L34" i="31" s="1"/>
  <c r="B30" i="31"/>
  <c r="P33" i="31" s="1"/>
  <c r="B26" i="31"/>
  <c r="P29" i="31" s="1"/>
  <c r="B22" i="31"/>
  <c r="B18" i="31"/>
  <c r="L21" i="31" s="1"/>
  <c r="B14" i="31"/>
  <c r="M16" i="31" s="1"/>
  <c r="B10" i="31"/>
  <c r="L10" i="31" s="1"/>
  <c r="K12" i="31"/>
  <c r="L11" i="31"/>
  <c r="L36" i="31"/>
  <c r="H28" i="31"/>
  <c r="H43" i="31"/>
  <c r="G42" i="31"/>
  <c r="P34" i="31"/>
  <c r="P49" i="31"/>
  <c r="I8" i="31"/>
  <c r="J8" i="31" s="1"/>
  <c r="I7" i="31"/>
  <c r="J7" i="31" s="1"/>
  <c r="I9" i="31"/>
  <c r="J9" i="31" s="1"/>
  <c r="I6" i="31"/>
  <c r="J6" i="31" s="1"/>
  <c r="H8" i="31"/>
  <c r="H9" i="31"/>
  <c r="H6" i="31"/>
  <c r="H7" i="31"/>
  <c r="G12" i="31"/>
  <c r="G11" i="31"/>
  <c r="G10" i="31"/>
  <c r="G8" i="31"/>
  <c r="G9" i="31"/>
  <c r="G6" i="31"/>
  <c r="G7" i="31"/>
  <c r="F9" i="31"/>
  <c r="F34" i="31"/>
  <c r="F33" i="31"/>
  <c r="F29" i="31"/>
  <c r="F7" i="31"/>
  <c r="F8" i="31"/>
  <c r="F6" i="31"/>
  <c r="AG6" i="18"/>
  <c r="AD6" i="18"/>
  <c r="U6" i="18"/>
  <c r="T6" i="18"/>
  <c r="R6" i="18"/>
  <c r="Q6" i="18"/>
  <c r="O6" i="18"/>
  <c r="N6" i="18"/>
  <c r="X6" i="18"/>
  <c r="W6" i="18"/>
  <c r="AF5" i="18"/>
  <c r="AC5" i="18"/>
  <c r="E69" i="30"/>
  <c r="D69" i="30"/>
  <c r="C69" i="30"/>
  <c r="E68" i="30"/>
  <c r="D68" i="30"/>
  <c r="C68" i="30"/>
  <c r="E67" i="30"/>
  <c r="D67" i="30"/>
  <c r="C67" i="30"/>
  <c r="E66" i="30"/>
  <c r="D66" i="30"/>
  <c r="C66" i="30"/>
  <c r="E64" i="30"/>
  <c r="D64" i="30"/>
  <c r="C64" i="30"/>
  <c r="E63" i="30"/>
  <c r="D63" i="30"/>
  <c r="C63" i="30"/>
  <c r="E62" i="30"/>
  <c r="D62" i="30"/>
  <c r="C62" i="30"/>
  <c r="E61" i="30"/>
  <c r="D61" i="30"/>
  <c r="C61" i="30"/>
  <c r="E60" i="30"/>
  <c r="D60" i="30"/>
  <c r="C60" i="30"/>
  <c r="E59" i="30"/>
  <c r="D59" i="30"/>
  <c r="C59" i="30"/>
  <c r="E58" i="30"/>
  <c r="D58" i="30"/>
  <c r="C58" i="30"/>
  <c r="E57" i="30"/>
  <c r="D57" i="30"/>
  <c r="C57" i="30"/>
  <c r="E55" i="30"/>
  <c r="D55" i="30"/>
  <c r="C55" i="30"/>
  <c r="E54" i="30"/>
  <c r="D54" i="30"/>
  <c r="C54" i="30"/>
  <c r="E53" i="30"/>
  <c r="D53" i="30"/>
  <c r="C53" i="30"/>
  <c r="E52" i="30"/>
  <c r="D52" i="30"/>
  <c r="C52" i="30"/>
  <c r="B89" i="24"/>
  <c r="F86" i="24"/>
  <c r="G86" i="24" s="1"/>
  <c r="H86" i="24" s="1"/>
  <c r="I86" i="24" s="1"/>
  <c r="J86" i="24" s="1"/>
  <c r="K86" i="24" s="1"/>
  <c r="L86" i="24" s="1"/>
  <c r="M86" i="24" s="1"/>
  <c r="N86" i="24" s="1"/>
  <c r="F84" i="24"/>
  <c r="D84" i="24"/>
  <c r="F83" i="24"/>
  <c r="D83" i="24"/>
  <c r="B82" i="24"/>
  <c r="F81" i="24"/>
  <c r="F79" i="24"/>
  <c r="D78" i="24"/>
  <c r="E73" i="24"/>
  <c r="F71" i="24"/>
  <c r="G71" i="24" s="1"/>
  <c r="H71" i="24" s="1"/>
  <c r="E66" i="24"/>
  <c r="E65" i="24"/>
  <c r="E59" i="24" s="1"/>
  <c r="F57" i="24"/>
  <c r="G57" i="24" s="1"/>
  <c r="H57" i="24" s="1"/>
  <c r="I57" i="24" s="1"/>
  <c r="J57" i="24" s="1"/>
  <c r="K57" i="24" s="1"/>
  <c r="L57" i="24" s="1"/>
  <c r="M57" i="24" s="1"/>
  <c r="N57" i="24" s="1"/>
  <c r="E48" i="24"/>
  <c r="F48" i="24" s="1"/>
  <c r="E47" i="24"/>
  <c r="F47" i="24" s="1"/>
  <c r="G47" i="24" s="1"/>
  <c r="H47" i="24" s="1"/>
  <c r="E45" i="24"/>
  <c r="F45" i="24" s="1"/>
  <c r="G45" i="24" s="1"/>
  <c r="H45" i="24" s="1"/>
  <c r="I45" i="24" s="1"/>
  <c r="J45" i="24" s="1"/>
  <c r="K45" i="24" s="1"/>
  <c r="E44" i="24"/>
  <c r="F44" i="24" s="1"/>
  <c r="G44" i="24" s="1"/>
  <c r="H44" i="24" s="1"/>
  <c r="I44" i="24" s="1"/>
  <c r="J44" i="24" s="1"/>
  <c r="K44" i="24" s="1"/>
  <c r="E43" i="24"/>
  <c r="F43" i="24" s="1"/>
  <c r="G43" i="24" s="1"/>
  <c r="H43" i="24" s="1"/>
  <c r="I43" i="24" s="1"/>
  <c r="J43" i="24" s="1"/>
  <c r="K43" i="24" s="1"/>
  <c r="E42" i="24"/>
  <c r="F42" i="24" s="1"/>
  <c r="G42" i="24" s="1"/>
  <c r="H42" i="24" s="1"/>
  <c r="I42" i="24" s="1"/>
  <c r="J42" i="24" s="1"/>
  <c r="K42" i="24" s="1"/>
  <c r="E41" i="24"/>
  <c r="F41" i="24" s="1"/>
  <c r="G41" i="24" s="1"/>
  <c r="H41" i="24" s="1"/>
  <c r="I41" i="24" s="1"/>
  <c r="J41" i="24" s="1"/>
  <c r="K41" i="24" s="1"/>
  <c r="E40" i="24"/>
  <c r="F40" i="24" s="1"/>
  <c r="G40" i="24" s="1"/>
  <c r="H40" i="24" s="1"/>
  <c r="I40" i="24" s="1"/>
  <c r="J40" i="24" s="1"/>
  <c r="K40" i="24" s="1"/>
  <c r="E39" i="24"/>
  <c r="F39" i="24" s="1"/>
  <c r="G39" i="24" s="1"/>
  <c r="H39" i="24" s="1"/>
  <c r="E34" i="24"/>
  <c r="F34" i="24" s="1"/>
  <c r="G34" i="24" s="1"/>
  <c r="H34" i="24" s="1"/>
  <c r="I34" i="24" s="1"/>
  <c r="J34" i="24" s="1"/>
  <c r="K34" i="24" s="1"/>
  <c r="E33" i="24"/>
  <c r="I71" i="24"/>
  <c r="D29" i="24"/>
  <c r="D28" i="24"/>
  <c r="F24" i="24"/>
  <c r="F26" i="24" s="1"/>
  <c r="H20" i="24"/>
  <c r="D18" i="24"/>
  <c r="D17" i="24"/>
  <c r="D16" i="24"/>
  <c r="E13" i="24"/>
  <c r="N3" i="24"/>
  <c r="M3" i="24"/>
  <c r="F73" i="24"/>
  <c r="F65" i="24"/>
  <c r="F59" i="24" s="1"/>
  <c r="F66" i="24"/>
  <c r="F46" i="24"/>
  <c r="G46" i="24" s="1"/>
  <c r="F50" i="24"/>
  <c r="F49" i="24"/>
  <c r="J71" i="24"/>
  <c r="G24" i="24"/>
  <c r="G65" i="24" s="1"/>
  <c r="G59" i="24" s="1"/>
  <c r="F25" i="24"/>
  <c r="F36" i="24"/>
  <c r="F35" i="24"/>
  <c r="K71" i="24"/>
  <c r="H24" i="24"/>
  <c r="G26" i="24"/>
  <c r="G25" i="24"/>
  <c r="G36" i="24"/>
  <c r="G35" i="24"/>
  <c r="H25" i="24"/>
  <c r="I24" i="24"/>
  <c r="H26" i="24"/>
  <c r="I73" i="24"/>
  <c r="G49" i="24"/>
  <c r="H49" i="24" s="1"/>
  <c r="H66" i="24"/>
  <c r="L71" i="24"/>
  <c r="H65" i="24"/>
  <c r="H59" i="24" s="1"/>
  <c r="H73" i="24"/>
  <c r="G50" i="24"/>
  <c r="H50" i="24" s="1"/>
  <c r="H35" i="24"/>
  <c r="H36" i="24"/>
  <c r="I25" i="24"/>
  <c r="I26" i="24"/>
  <c r="J24" i="24"/>
  <c r="J65" i="24" s="1"/>
  <c r="J59" i="24" s="1"/>
  <c r="M71" i="24"/>
  <c r="L93" i="24"/>
  <c r="L92" i="24" s="1"/>
  <c r="I65" i="24"/>
  <c r="I59" i="24" s="1"/>
  <c r="I66" i="24"/>
  <c r="J73" i="24"/>
  <c r="I49" i="24"/>
  <c r="I36" i="24"/>
  <c r="I50" i="24"/>
  <c r="M93" i="24"/>
  <c r="M92" i="24" s="1"/>
  <c r="N71" i="24"/>
  <c r="K24" i="24"/>
  <c r="J25" i="24"/>
  <c r="J36" i="24" s="1"/>
  <c r="J26" i="24"/>
  <c r="J50" i="24" s="1"/>
  <c r="I35" i="24"/>
  <c r="J66" i="24"/>
  <c r="J49" i="24"/>
  <c r="J35" i="24"/>
  <c r="N93" i="24"/>
  <c r="N92" i="24" s="1"/>
  <c r="K25" i="24"/>
  <c r="K36" i="24" s="1"/>
  <c r="L24" i="24"/>
  <c r="L66" i="24" s="1"/>
  <c r="K26" i="24"/>
  <c r="K50" i="24" s="1"/>
  <c r="K35" i="24"/>
  <c r="L73" i="24"/>
  <c r="L65" i="24"/>
  <c r="L59" i="24" s="1"/>
  <c r="K49" i="24"/>
  <c r="L41" i="24"/>
  <c r="L47" i="24"/>
  <c r="L33" i="24"/>
  <c r="L40" i="24"/>
  <c r="L50" i="24"/>
  <c r="L44" i="24"/>
  <c r="L36" i="24"/>
  <c r="L49" i="24"/>
  <c r="L35" i="24"/>
  <c r="L46" i="24"/>
  <c r="L64" i="24"/>
  <c r="L43" i="24"/>
  <c r="L39" i="24"/>
  <c r="L45" i="24"/>
  <c r="L42" i="24"/>
  <c r="L48" i="24"/>
  <c r="L34" i="24"/>
  <c r="L25" i="24"/>
  <c r="M24" i="24"/>
  <c r="L26" i="24"/>
  <c r="M41" i="24"/>
  <c r="M44" i="24"/>
  <c r="M33" i="24"/>
  <c r="M64" i="24"/>
  <c r="M47" i="24"/>
  <c r="M40" i="24"/>
  <c r="M50" i="24"/>
  <c r="M36" i="24"/>
  <c r="M43" i="24"/>
  <c r="M49" i="24"/>
  <c r="M35" i="24"/>
  <c r="M39" i="24"/>
  <c r="M46" i="24"/>
  <c r="M45" i="24"/>
  <c r="M42" i="24"/>
  <c r="M34" i="24"/>
  <c r="M48" i="24"/>
  <c r="M26" i="24"/>
  <c r="N24" i="24"/>
  <c r="N73" i="24" s="1"/>
  <c r="M25" i="24"/>
  <c r="M73" i="24"/>
  <c r="M66" i="24"/>
  <c r="L51" i="24"/>
  <c r="M65" i="24"/>
  <c r="M59" i="24" s="1"/>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M51" i="24"/>
  <c r="N41" i="24"/>
  <c r="N47" i="24"/>
  <c r="N40" i="24"/>
  <c r="N43" i="24"/>
  <c r="N64" i="24"/>
  <c r="N44" i="24"/>
  <c r="N33" i="24"/>
  <c r="N50" i="24"/>
  <c r="N36" i="24"/>
  <c r="N39" i="24"/>
  <c r="N45" i="24"/>
  <c r="N46" i="24"/>
  <c r="N42" i="24"/>
  <c r="N49" i="24"/>
  <c r="N34" i="24"/>
  <c r="N35" i="24"/>
  <c r="N48" i="24"/>
  <c r="N26" i="24"/>
  <c r="N25" i="24"/>
  <c r="N66" i="24"/>
  <c r="N65" i="24"/>
  <c r="N59" i="24" s="1"/>
  <c r="K21" i="4"/>
  <c r="K20" i="4"/>
  <c r="K19" i="4"/>
  <c r="K18" i="4"/>
  <c r="K16" i="4"/>
  <c r="K15" i="4"/>
  <c r="K14" i="4"/>
  <c r="K13" i="4"/>
  <c r="K12" i="4"/>
  <c r="K11" i="4"/>
  <c r="K10" i="4"/>
  <c r="N51" i="24"/>
  <c r="F5" i="15"/>
  <c r="H5" i="15"/>
  <c r="D5" i="15"/>
  <c r="E5" i="15"/>
  <c r="D31" i="24"/>
  <c r="K5" i="15"/>
  <c r="G5" i="15"/>
  <c r="I5" i="15"/>
  <c r="J5" i="15"/>
  <c r="D52" i="27"/>
  <c r="AG288" i="18" a="1"/>
  <c r="AH374" i="18" a="1"/>
  <c r="AF232" i="18" a="1"/>
  <c r="AE255" i="18" a="1"/>
  <c r="AD296" i="18" a="1"/>
  <c r="AC416" i="18" a="1"/>
  <c r="I303" i="25" a="1"/>
  <c r="AD431" i="18" a="1"/>
  <c r="J173" i="25" a="1"/>
  <c r="AC491" i="18" a="1"/>
  <c r="AH130" i="18" a="1"/>
  <c r="AC428" i="18" a="1"/>
  <c r="AG442" i="18" a="1"/>
  <c r="AH253" i="18" a="1"/>
  <c r="I94" i="25" a="1"/>
  <c r="J203" i="25" a="1"/>
  <c r="J210" i="25" a="1"/>
  <c r="I186" i="25" a="1"/>
  <c r="AF405" i="18" a="1"/>
  <c r="I138" i="25" a="1"/>
  <c r="AE90" i="18" a="1"/>
  <c r="AG337" i="18" a="1"/>
  <c r="AD451" i="18" a="1"/>
  <c r="AE393" i="18" a="1"/>
  <c r="AE218" i="18" a="1"/>
  <c r="J137" i="25" a="1"/>
  <c r="D101" i="27"/>
  <c r="J132" i="25" a="1"/>
  <c r="AF272" i="18" a="1"/>
  <c r="AE413" i="18" a="1"/>
  <c r="AD465" i="18" a="1"/>
  <c r="AF298" i="18" a="1"/>
  <c r="J212" i="25" a="1"/>
  <c r="AD485" i="18" a="1"/>
  <c r="AG145" i="18" a="1"/>
  <c r="I57" i="25" a="1"/>
  <c r="AD214" i="18" a="1"/>
  <c r="AG167" i="18" a="1"/>
  <c r="AC154" i="18" a="1"/>
  <c r="AG286" i="18" a="1"/>
  <c r="AH162" i="18" a="1"/>
  <c r="AC479" i="18" a="1"/>
  <c r="AD411" i="18" a="1"/>
  <c r="J251" i="25" a="1"/>
  <c r="AH155" i="18" a="1"/>
  <c r="AH295" i="18" a="1"/>
  <c r="J84" i="25" a="1"/>
  <c r="AC380" i="18" a="1"/>
  <c r="AC408" i="18" a="1"/>
  <c r="AE499" i="18" a="1"/>
  <c r="AG157" i="18" a="1"/>
  <c r="J314" i="25" a="1"/>
  <c r="J134" i="25" a="1"/>
  <c r="AG377" i="18" a="1"/>
  <c r="AG48" i="18" a="1"/>
  <c r="I208" i="25" a="1"/>
  <c r="AG309" i="18" a="1"/>
  <c r="AD94" i="18" a="1"/>
  <c r="J223" i="25" a="1"/>
  <c r="AF323" i="18" a="1"/>
  <c r="AG160" i="18" a="1"/>
  <c r="AC109" i="18" a="1"/>
  <c r="I271" i="25" a="1"/>
  <c r="AE194" i="18" a="1"/>
  <c r="AF280" i="18" a="1"/>
  <c r="AH236" i="18" a="1"/>
  <c r="AF492" i="18" a="1"/>
  <c r="AD238" i="18" a="1"/>
  <c r="AF99" i="18" a="1"/>
  <c r="I274" i="25" a="1"/>
  <c r="AH107" i="18" a="1"/>
  <c r="AC260" i="18" a="1"/>
  <c r="J350" i="25" a="1"/>
  <c r="AG372" i="18" a="1"/>
  <c r="AF217" i="18" a="1"/>
  <c r="AE261" i="18" a="1"/>
  <c r="AC162" i="18" a="1"/>
  <c r="I153" i="25" a="1"/>
  <c r="AE342" i="18" a="1"/>
  <c r="I18" i="25" a="1"/>
  <c r="AE79" i="18" a="1"/>
  <c r="AC29" i="18" a="1"/>
  <c r="AE118" i="18" a="1"/>
  <c r="AD40" i="18" a="1"/>
  <c r="AG326" i="18" a="1"/>
  <c r="AD31" i="18" a="1"/>
  <c r="AD59" i="18" a="1"/>
  <c r="AH163" i="18" a="1"/>
  <c r="AC239" i="18" a="1"/>
  <c r="AH173" i="18" a="1"/>
  <c r="AE183" i="18" a="1"/>
  <c r="I341" i="25" a="1"/>
  <c r="AH502" i="18" a="1"/>
  <c r="AF142" i="18" a="1"/>
  <c r="AF293" i="18" a="1"/>
  <c r="AE214" i="18" a="1"/>
  <c r="AC198" i="18" a="1"/>
  <c r="AD63" i="18" a="1"/>
  <c r="AG104" i="18" a="1"/>
  <c r="AE505" i="18" a="1"/>
  <c r="AE62" i="18" a="1"/>
  <c r="I379" i="25" a="1"/>
  <c r="AH370" i="18" a="1"/>
  <c r="AC242" i="18" a="1"/>
  <c r="AE236" i="18" a="1"/>
  <c r="J179" i="25" a="1"/>
  <c r="AF152" i="18" a="1"/>
  <c r="AC340" i="18" a="1"/>
  <c r="AG44" i="18" a="1"/>
  <c r="AC263" i="18" a="1"/>
  <c r="I369" i="25" a="1"/>
  <c r="AE360" i="18" a="1"/>
  <c r="I99" i="25" a="1"/>
  <c r="AF31" i="18" a="1"/>
  <c r="J32" i="25" a="1"/>
  <c r="AF299" i="18" a="1"/>
  <c r="I152" i="25" a="1"/>
  <c r="AH57" i="18" a="1"/>
  <c r="AE408" i="18" a="1"/>
  <c r="J188" i="25" a="1"/>
  <c r="AD482" i="18" a="1"/>
  <c r="AE129" i="18" a="1"/>
  <c r="AD165" i="18" a="1"/>
  <c r="AC364" i="18" a="1"/>
  <c r="AF131" i="18" a="1"/>
  <c r="AD407" i="18" a="1"/>
  <c r="AE283" i="18" a="1"/>
  <c r="AH7" i="18" a="1"/>
  <c r="AH207" i="18" a="1"/>
  <c r="AH177" i="18" a="1"/>
  <c r="AD102" i="18" a="1"/>
  <c r="I212" i="25" a="1"/>
  <c r="AE80" i="18" a="1"/>
  <c r="AF130" i="18" a="1"/>
  <c r="AC466" i="18" a="1"/>
  <c r="AH307" i="18" a="1"/>
  <c r="AG431" i="18" a="1"/>
  <c r="AC168" i="18" a="1"/>
  <c r="AG298" i="18" a="1"/>
  <c r="AF146" i="18" a="1"/>
  <c r="I19" i="25" a="1"/>
  <c r="AC338" i="18" a="1"/>
  <c r="AD70" i="18" a="1"/>
  <c r="J299" i="25" a="1"/>
  <c r="AD315" i="18" a="1"/>
  <c r="AD137" i="18" a="1"/>
  <c r="AC359" i="18" a="1"/>
  <c r="I156" i="25" a="1"/>
  <c r="AE492" i="18" a="1"/>
  <c r="AE458" i="18" a="1"/>
  <c r="AD484" i="18" a="1"/>
  <c r="AD187" i="18" a="1"/>
  <c r="I282" i="25" a="1"/>
  <c r="AC384" i="18" a="1"/>
  <c r="AC319" i="18" a="1"/>
  <c r="AE227" i="18" a="1"/>
  <c r="AG486" i="18" a="1"/>
  <c r="E9" i="24" a="1"/>
  <c r="AG339" i="18" a="1"/>
  <c r="AG115" i="18" a="1"/>
  <c r="AD351" i="18" a="1"/>
  <c r="D95" i="27"/>
  <c r="AC351" i="18" a="1"/>
  <c r="AD167" i="18" a="1"/>
  <c r="AH458" i="18" a="1"/>
  <c r="AE300" i="18" a="1"/>
  <c r="AF160" i="18" a="1"/>
  <c r="AH496" i="18" a="1"/>
  <c r="J95" i="25" a="1"/>
  <c r="I225" i="25" a="1"/>
  <c r="AF397" i="18" a="1"/>
  <c r="AE229" i="18" a="1"/>
  <c r="AH420" i="18" a="1"/>
  <c r="AG276" i="18" a="1"/>
  <c r="AG262" i="18" a="1"/>
  <c r="AC339" i="18" a="1"/>
  <c r="AH487" i="18" a="1"/>
  <c r="AH271" i="18" a="1"/>
  <c r="AD30" i="18" a="1"/>
  <c r="D75" i="27"/>
  <c r="AF380" i="18" a="1"/>
  <c r="AE455" i="18" a="1"/>
  <c r="I278" i="25" a="1"/>
  <c r="AG356" i="18" a="1"/>
  <c r="AE390" i="18" a="1"/>
  <c r="AD434" i="18" a="1"/>
  <c r="AG135" i="18" a="1"/>
  <c r="AH81" i="18" a="1"/>
  <c r="AF361" i="18" a="1"/>
  <c r="AH150" i="18" a="1"/>
  <c r="AE401" i="18" a="1"/>
  <c r="AF344" i="18" a="1"/>
  <c r="AF23" i="18" a="1"/>
  <c r="AC307" i="18" a="1"/>
  <c r="D20" i="27"/>
  <c r="I251" i="25" a="1"/>
  <c r="J31" i="25" a="1"/>
  <c r="AD383" i="18" a="1"/>
  <c r="AE243" i="18" a="1"/>
  <c r="I245" i="25" a="1"/>
  <c r="AG494" i="18" a="1"/>
  <c r="AH229" i="18" a="1"/>
  <c r="AH106" i="18" a="1"/>
  <c r="J402" i="25" a="1"/>
  <c r="AE344" i="18" a="1"/>
  <c r="J372" i="25" a="1"/>
  <c r="AE266" i="18" a="1"/>
  <c r="AH453" i="18" a="1"/>
  <c r="AF474" i="18" a="1"/>
  <c r="AC10" i="18" a="1"/>
  <c r="AF347" i="18" a="1"/>
  <c r="AC18" i="18" a="1"/>
  <c r="AC158" i="18" a="1"/>
  <c r="AE206" i="18" a="1"/>
  <c r="AC268" i="18" a="1"/>
  <c r="AF314" i="18" a="1"/>
  <c r="AH380" i="18" a="1"/>
  <c r="AG42" i="18" a="1"/>
  <c r="J172" i="25" a="1"/>
  <c r="AG116" i="18" a="1"/>
  <c r="AE497" i="18" a="1"/>
  <c r="AF14" i="18" a="1"/>
  <c r="I327" i="25" a="1"/>
  <c r="AH315" i="18" a="1"/>
  <c r="AC112" i="18" a="1"/>
  <c r="AH178" i="18" a="1"/>
  <c r="I286" i="25" a="1"/>
  <c r="AC481" i="18" a="1"/>
  <c r="AG153" i="18" a="1"/>
  <c r="I249" i="25" a="1"/>
  <c r="AG76" i="18" a="1"/>
  <c r="AC459" i="18" a="1"/>
  <c r="AE274" i="18" a="1"/>
  <c r="J296" i="25" a="1"/>
  <c r="AG221" i="18" a="1"/>
  <c r="AE404" i="18" a="1"/>
  <c r="AG238" i="18" a="1"/>
  <c r="AH259" i="18" a="1"/>
  <c r="AF30" i="18" a="1"/>
  <c r="AF108" i="18" a="1"/>
  <c r="J23" i="25" a="1"/>
  <c r="I199" i="25" a="1"/>
  <c r="AC473" i="18" a="1"/>
  <c r="AD42" i="18" a="1"/>
  <c r="I190" i="25" a="1"/>
  <c r="AC175" i="18" a="1"/>
  <c r="AD231" i="18" a="1"/>
  <c r="I96" i="25" a="1"/>
  <c r="I145" i="25" a="1"/>
  <c r="AC47" i="18" a="1"/>
  <c r="I235" i="25" a="1"/>
  <c r="AD50" i="18" a="1"/>
  <c r="AG205" i="18" a="1"/>
  <c r="AF267" i="18" a="1"/>
  <c r="AC121" i="18" a="1"/>
  <c r="AE201" i="18" a="1"/>
  <c r="AG39" i="18" a="1"/>
  <c r="J293" i="25" a="1"/>
  <c r="AG222" i="18" a="1"/>
  <c r="AG316" i="18" a="1"/>
  <c r="AD398" i="18" a="1"/>
  <c r="AF503" i="18" a="1"/>
  <c r="AG212" i="18" a="1"/>
  <c r="AF372" i="18" a="1"/>
  <c r="AG114" i="18" a="1"/>
  <c r="AG179" i="18" a="1"/>
  <c r="J162" i="25" a="1"/>
  <c r="AC134" i="18" a="1"/>
  <c r="AF60" i="18" a="1"/>
  <c r="AH45" i="18" a="1"/>
  <c r="AD281" i="18" a="1"/>
  <c r="D41" i="27"/>
  <c r="D57" i="27"/>
  <c r="AH291" i="18" a="1"/>
  <c r="AF327" i="18" a="1"/>
  <c r="AF18" i="18" a="1"/>
  <c r="I72" i="25" a="1"/>
  <c r="AF333" i="18" a="1"/>
  <c r="I224" i="25" a="1"/>
  <c r="AG137" i="18" a="1"/>
  <c r="AE41" i="18" a="1"/>
  <c r="AC17" i="18" a="1"/>
  <c r="AC146" i="18" a="1"/>
  <c r="AC349" i="18" a="1"/>
  <c r="AH347" i="18" a="1"/>
  <c r="AE180" i="18" a="1"/>
  <c r="AG368" i="18" a="1"/>
  <c r="AH43" i="18" a="1"/>
  <c r="AG478" i="18" a="1"/>
  <c r="AH506" i="18" a="1"/>
  <c r="J74" i="25" a="1"/>
  <c r="AF248" i="18" a="1"/>
  <c r="AE258" i="18" a="1"/>
  <c r="AD159" i="18" a="1"/>
  <c r="AF343" i="18" a="1"/>
  <c r="AC148" i="18" a="1"/>
  <c r="D109" i="27"/>
  <c r="AH303" i="18" a="1"/>
  <c r="AH64" i="18" a="1"/>
  <c r="J116" i="25" a="1"/>
  <c r="AH180" i="18" a="1"/>
  <c r="I202" i="25" a="1"/>
  <c r="J277" i="25" a="1"/>
  <c r="I319" i="25" a="1"/>
  <c r="AD444" i="18" a="1"/>
  <c r="AD294" i="18" a="1"/>
  <c r="AE314" i="18" a="1"/>
  <c r="I374" i="25" a="1"/>
  <c r="AD195" i="18" a="1"/>
  <c r="AF215" i="18" a="1"/>
  <c r="AE301" i="18" a="1"/>
  <c r="AC458" i="18" a="1"/>
  <c r="AC505" i="18" a="1"/>
  <c r="AC381" i="18" a="1"/>
  <c r="AG217" i="18" a="1"/>
  <c r="AD382" i="18" a="1"/>
  <c r="I46" i="25" a="1"/>
  <c r="AE419" i="18" a="1"/>
  <c r="AE328" i="18" a="1"/>
  <c r="I32" i="25" a="1"/>
  <c r="AE424" i="18" a="1"/>
  <c r="AD410" i="18" a="1"/>
  <c r="AH464" i="18" a="1"/>
  <c r="AH134" i="18" a="1"/>
  <c r="I87" i="25" a="1"/>
  <c r="AE317" i="18" a="1"/>
  <c r="AF264" i="18" a="1"/>
  <c r="AG336" i="18" a="1"/>
  <c r="J112" i="25" a="1"/>
  <c r="AF373" i="18" a="1"/>
  <c r="J311" i="25" a="1"/>
  <c r="AD21" i="18" a="1"/>
  <c r="AH187" i="18" a="1"/>
  <c r="I147" i="25" a="1"/>
  <c r="AD92" i="18" a="1"/>
  <c r="AG97" i="18" a="1"/>
  <c r="AC292" i="18" a="1"/>
  <c r="I260" i="25" a="1"/>
  <c r="AE461" i="18" a="1"/>
  <c r="AD416" i="18" a="1"/>
  <c r="AD170" i="18" a="1"/>
  <c r="D72" i="27"/>
  <c r="AH263" i="18" a="1"/>
  <c r="AD354" i="18" a="1"/>
  <c r="J284" i="25" a="1"/>
  <c r="AD43" i="18" a="1"/>
  <c r="AD481" i="18" a="1"/>
  <c r="AG283" i="18" a="1"/>
  <c r="AF11" i="18" a="1"/>
  <c r="AC215" i="18" a="1"/>
  <c r="AH400" i="18" a="1"/>
  <c r="AH108" i="18" a="1"/>
  <c r="AH255" i="18" a="1"/>
  <c r="AH413" i="18" a="1"/>
  <c r="D29" i="27"/>
  <c r="AF341" i="18" a="1"/>
  <c r="AE178" i="18" a="1"/>
  <c r="AH183" i="18" a="1"/>
  <c r="AE331" i="18" a="1"/>
  <c r="AF237" i="18" a="1"/>
  <c r="AH104" i="18" a="1"/>
  <c r="AG268" i="18" a="1"/>
  <c r="AG224" i="18" a="1"/>
  <c r="AE252" i="18" a="1"/>
  <c r="J358" i="25" a="1"/>
  <c r="AE485" i="18" a="1"/>
  <c r="AC294" i="18" a="1"/>
  <c r="J370" i="25" a="1"/>
  <c r="AF41" i="18" a="1"/>
  <c r="AG106" i="18" a="1"/>
  <c r="AD200" i="18" a="1"/>
  <c r="I106" i="25" a="1"/>
  <c r="AC214" i="18" a="1"/>
  <c r="AE107" i="18" a="1"/>
  <c r="AD388" i="18" a="1"/>
  <c r="AD150" i="18" a="1"/>
  <c r="AD272" i="18" a="1"/>
  <c r="AE117" i="18" a="1"/>
  <c r="AH284" i="18" a="1"/>
  <c r="AH389" i="18" a="1"/>
  <c r="AG467" i="18" a="1"/>
  <c r="AF352" i="18" a="1"/>
  <c r="AH209" i="18" a="1"/>
  <c r="D93" i="27"/>
  <c r="AG198" i="18" a="1"/>
  <c r="AC30" i="18" a="1"/>
  <c r="D39" i="27"/>
  <c r="AF188" i="18" a="1"/>
  <c r="AD145" i="18" a="1"/>
  <c r="AD426" i="18" a="1"/>
  <c r="AD380" i="18" a="1"/>
  <c r="I191" i="25" a="1"/>
  <c r="AH327" i="18" a="1"/>
  <c r="AH239" i="18" a="1"/>
  <c r="AF220" i="18" a="1"/>
  <c r="I323" i="25" a="1"/>
  <c r="AE233" i="18" a="1"/>
  <c r="AE143" i="18" a="1"/>
  <c r="AG244" i="18" a="1"/>
  <c r="AH19" i="18" a="1"/>
  <c r="AD455" i="18" a="1"/>
  <c r="AH478" i="18" a="1"/>
  <c r="I124" i="25" a="1"/>
  <c r="AH354" i="18" a="1"/>
  <c r="AD392" i="18" a="1"/>
  <c r="AC129" i="18" a="1"/>
  <c r="AC12" i="18" a="1"/>
  <c r="AD178" i="18" a="1"/>
  <c r="AF381" i="18" a="1"/>
  <c r="I169" i="25" a="1"/>
  <c r="AH268" i="18" a="1"/>
  <c r="AE480" i="18" a="1"/>
  <c r="AD197" i="18" a="1"/>
  <c r="AE47" i="18" a="1"/>
  <c r="J125" i="25" a="1"/>
  <c r="AE119" i="18" a="1"/>
  <c r="AD103" i="18" a="1"/>
  <c r="AG382" i="18" a="1"/>
  <c r="AH429" i="18" a="1"/>
  <c r="AE244" i="18" a="1"/>
  <c r="AF42" i="18" a="1"/>
  <c r="I122" i="25" a="1"/>
  <c r="AF236" i="18" a="1"/>
  <c r="AF123" i="18" a="1"/>
  <c r="AG84" i="18" a="1"/>
  <c r="AG354" i="18" a="1"/>
  <c r="AF190" i="18" a="1"/>
  <c r="J154" i="25" a="1"/>
  <c r="AC75" i="18" a="1"/>
  <c r="AC361" i="18" a="1"/>
  <c r="AD259" i="18" a="1"/>
  <c r="AG438" i="18" a="1"/>
  <c r="I355" i="25" a="1"/>
  <c r="AH49" i="18" a="1"/>
  <c r="AC441" i="18" a="1"/>
  <c r="AH243" i="18" a="1"/>
  <c r="AH331" i="18" a="1"/>
  <c r="AC483" i="18" a="1"/>
  <c r="AG85" i="18" a="1"/>
  <c r="I265" i="25" a="1"/>
  <c r="J26" i="25" a="1"/>
  <c r="AF155" i="18" a="1"/>
  <c r="AF73" i="18" a="1"/>
  <c r="AC337" i="18" a="1"/>
  <c r="AD394" i="18" a="1"/>
  <c r="AF495" i="18" a="1"/>
  <c r="AG487" i="18" a="1"/>
  <c r="AE350" i="18" a="1"/>
  <c r="AC45" i="18" a="1"/>
  <c r="J319" i="25" a="1"/>
  <c r="AG410" i="18" a="1"/>
  <c r="AG27" i="18" a="1"/>
  <c r="AE170" i="18" a="1"/>
  <c r="D25" i="27"/>
  <c r="AD220" i="18" a="1"/>
  <c r="AF45" i="18" a="1"/>
  <c r="AG46" i="18" a="1"/>
  <c r="AC496" i="18" a="1"/>
  <c r="AG38" i="18" a="1"/>
  <c r="AF213" i="18" a="1"/>
  <c r="J237" i="25" a="1"/>
  <c r="J252" i="25" a="1"/>
  <c r="AE124" i="18" a="1"/>
  <c r="AE427" i="18" a="1"/>
  <c r="AG56" i="18" a="1"/>
  <c r="AH58" i="18" a="1"/>
  <c r="AH381" i="18" a="1"/>
  <c r="AH67" i="18" a="1"/>
  <c r="AC96" i="18" a="1"/>
  <c r="AE202" i="18" a="1"/>
  <c r="AE123" i="18" a="1"/>
  <c r="AE343" i="18" a="1"/>
  <c r="J317" i="25" a="1"/>
  <c r="J303" i="25" a="1"/>
  <c r="AF44" i="18" a="1"/>
  <c r="I292" i="25" a="1"/>
  <c r="AG150" i="18" a="1"/>
  <c r="AC423" i="18" a="1"/>
  <c r="I60" i="25" a="1"/>
  <c r="AF16" i="18" a="1"/>
  <c r="I158" i="25" a="1"/>
  <c r="D55" i="27"/>
  <c r="AF161" i="18" a="1"/>
  <c r="AE121" i="18" a="1"/>
  <c r="AC371" i="18" a="1"/>
  <c r="I206" i="25" a="1"/>
  <c r="AD99" i="18" a="1"/>
  <c r="AE149" i="18" a="1"/>
  <c r="AC493" i="18" a="1"/>
  <c r="AH52" i="18" a="1"/>
  <c r="AD12" i="18" a="1"/>
  <c r="I109" i="25" a="1"/>
  <c r="AH121" i="18" a="1"/>
  <c r="I211" i="25" a="1"/>
  <c r="J393" i="25" a="1"/>
  <c r="AD204" i="18" a="1"/>
  <c r="AH68" i="18" a="1"/>
  <c r="I215" i="25" a="1"/>
  <c r="AE167" i="18" a="1"/>
  <c r="AF277" i="18" a="1"/>
  <c r="I231" i="25" a="1"/>
  <c r="I15" i="25" a="1"/>
  <c r="AH222" i="18" a="1"/>
  <c r="AF241" i="18" a="1"/>
  <c r="D19" i="27"/>
  <c r="AE411" i="18" a="1"/>
  <c r="AE356" i="18" a="1"/>
  <c r="AC74" i="18" a="1"/>
  <c r="J108" i="25" a="1"/>
  <c r="AH37" i="18" a="1"/>
  <c r="I320" i="25" a="1"/>
  <c r="J361" i="25" a="1"/>
  <c r="AC177" i="18" a="1"/>
  <c r="AG213" i="18" a="1"/>
  <c r="J128" i="25" a="1"/>
  <c r="AC274" i="18" a="1"/>
  <c r="J91" i="25" a="1"/>
  <c r="AD415" i="18" a="1"/>
  <c r="AE333" i="18" a="1"/>
  <c r="AF309" i="18" a="1"/>
  <c r="AG406" i="18" a="1"/>
  <c r="AH501" i="18" a="1"/>
  <c r="AF111" i="18" a="1"/>
  <c r="AE292" i="18" a="1"/>
  <c r="AG158" i="18" a="1"/>
  <c r="AC296" i="18" a="1"/>
  <c r="AG306" i="18" a="1"/>
  <c r="J14" i="25" a="1"/>
  <c r="AF385" i="18" a="1"/>
  <c r="AG248" i="18" a="1"/>
  <c r="J233" i="25" a="1"/>
  <c r="AD207" i="18" a="1"/>
  <c r="I137" i="25" a="1"/>
  <c r="AG285" i="18" a="1"/>
  <c r="D61" i="27"/>
  <c r="AD333" i="18" a="1"/>
  <c r="J202" i="25" a="1"/>
  <c r="AG168" i="18" a="1"/>
  <c r="AE257" i="18" a="1"/>
  <c r="AC328" i="18" a="1"/>
  <c r="AE349" i="18" a="1"/>
  <c r="I35" i="25" a="1"/>
  <c r="J354" i="25" a="1"/>
  <c r="AC425" i="18" a="1"/>
  <c r="AE248" i="18" a="1"/>
  <c r="AF505" i="18" a="1"/>
  <c r="AD252" i="18" a="1"/>
  <c r="AG107" i="18" a="1"/>
  <c r="AC355" i="18" a="1"/>
  <c r="AF285" i="18" a="1"/>
  <c r="AE238" i="18" a="1"/>
  <c r="AH83" i="18" a="1"/>
  <c r="AC233" i="18" a="1"/>
  <c r="AC444" i="18" a="1"/>
  <c r="J96" i="25" a="1"/>
  <c r="AC345" i="18" a="1"/>
  <c r="AD345" i="18" a="1"/>
  <c r="AC378" i="18" a="1"/>
  <c r="AD162" i="18" a="1"/>
  <c r="AG47" i="18" a="1"/>
  <c r="AF32" i="18" a="1"/>
  <c r="I141" i="25" a="1"/>
  <c r="AH426" i="18" a="1"/>
  <c r="AD266" i="18" a="1"/>
  <c r="AD264" i="18" a="1"/>
  <c r="AG206" i="18" a="1"/>
  <c r="AH415" i="18" a="1"/>
  <c r="J42" i="25" a="1"/>
  <c r="J222" i="25" a="1"/>
  <c r="AG357" i="18" a="1"/>
  <c r="AE472" i="18" a="1"/>
  <c r="AD456" i="18" a="1"/>
  <c r="AH367" i="18" a="1"/>
  <c r="I307" i="25" a="1"/>
  <c r="AD317" i="18" a="1"/>
  <c r="AC39" i="18" a="1"/>
  <c r="AF235" i="18" a="1"/>
  <c r="J181" i="25" a="1"/>
  <c r="I385" i="25" a="1"/>
  <c r="AC164" i="18" a="1"/>
  <c r="AG31" i="18" a="1"/>
  <c r="AD433" i="18" a="1"/>
  <c r="AE347" i="18" a="1"/>
  <c r="AC335" i="18" a="1"/>
  <c r="AH74" i="18" a="1"/>
  <c r="AD55" i="18" a="1"/>
  <c r="AF53" i="18" a="1"/>
  <c r="J228" i="25" a="1"/>
  <c r="AD450" i="18" a="1"/>
  <c r="AH91" i="18" a="1"/>
  <c r="J334" i="25" a="1"/>
  <c r="AC52" i="18" a="1"/>
  <c r="I28" i="25" a="1"/>
  <c r="AH96" i="18" a="1"/>
  <c r="AH346" i="18" a="1"/>
  <c r="AE184" i="18" a="1"/>
  <c r="AG74" i="18" a="1"/>
  <c r="AD193" i="18" a="1"/>
  <c r="AG141" i="18" a="1"/>
  <c r="AC124" i="18" a="1"/>
  <c r="J320" i="25" a="1"/>
  <c r="AD489" i="18" a="1"/>
  <c r="J401" i="25" a="1"/>
  <c r="AD256" i="18" a="1"/>
  <c r="AD338" i="18" a="1"/>
  <c r="AD472" i="18" a="1"/>
  <c r="J226" i="25" a="1"/>
  <c r="AC331" i="18" a="1"/>
  <c r="AC492" i="18" a="1"/>
  <c r="AH353" i="18" a="1"/>
  <c r="AD427" i="18" a="1"/>
  <c r="AF52" i="18" a="1"/>
  <c r="AH168" i="18" a="1"/>
  <c r="AC225" i="18" a="1"/>
  <c r="AC273" i="18" a="1"/>
  <c r="D84" i="27"/>
  <c r="AE351" i="18" a="1"/>
  <c r="J238" i="25" a="1"/>
  <c r="D43" i="27"/>
  <c r="AG207" i="18" a="1"/>
  <c r="I213" i="25" a="1"/>
  <c r="AE297" i="18" a="1"/>
  <c r="J187" i="25" a="1"/>
  <c r="AH140" i="18" a="1"/>
  <c r="J66" i="25" a="1"/>
  <c r="AC187" i="18" a="1"/>
  <c r="AG430" i="18" a="1"/>
  <c r="AF207" i="18" a="1"/>
  <c r="I54" i="25" a="1"/>
  <c r="AF87" i="18" a="1"/>
  <c r="AH340" i="18" a="1"/>
  <c r="AC427" i="18" a="1"/>
  <c r="AG401" i="18" a="1"/>
  <c r="AF229" i="18" a="1"/>
  <c r="I358" i="25" a="1"/>
  <c r="AG187" i="18" a="1"/>
  <c r="AE114" i="18" a="1"/>
  <c r="AF291" i="18" a="1"/>
  <c r="J20" i="25" a="1"/>
  <c r="AC227" i="18" a="1"/>
  <c r="AF303" i="18" a="1"/>
  <c r="AH136" i="18" a="1"/>
  <c r="AG371" i="18" a="1"/>
  <c r="AC400" i="18" a="1"/>
  <c r="I170" i="25" a="1"/>
  <c r="J285" i="25" a="1"/>
  <c r="AE33" i="18" a="1"/>
  <c r="AD480" i="18" a="1"/>
  <c r="AF322" i="18" a="1"/>
  <c r="AH338" i="18" a="1"/>
  <c r="I230" i="25" a="1"/>
  <c r="J377" i="25" a="1"/>
  <c r="AG269" i="18" a="1"/>
  <c r="AD343" i="18" a="1"/>
  <c r="AE262" i="18" a="1"/>
  <c r="AD348" i="18" a="1"/>
  <c r="J158" i="25" a="1"/>
  <c r="AD52" i="18" a="1"/>
  <c r="AC409" i="18" a="1"/>
  <c r="AF310" i="18" a="1"/>
  <c r="AG418" i="18" a="1"/>
  <c r="AG330" i="18" a="1"/>
  <c r="AH14" i="18" a="1"/>
  <c r="AE430" i="18" a="1"/>
  <c r="J244" i="25" a="1"/>
  <c r="J316" i="25" a="1"/>
  <c r="AD46" i="18" a="1"/>
  <c r="AF408" i="18" a="1"/>
  <c r="AC489" i="18" a="1"/>
  <c r="J364" i="25" a="1"/>
  <c r="AE434" i="18" a="1"/>
  <c r="AF419" i="18" a="1"/>
  <c r="AF345" i="18" a="1"/>
  <c r="AE370" i="18" a="1"/>
  <c r="AE439" i="18" a="1"/>
  <c r="AG419" i="18" a="1"/>
  <c r="J4" i="25" a="1"/>
  <c r="AH240" i="18" a="1"/>
  <c r="AF79" i="18" a="1"/>
  <c r="AC179" i="18" a="1"/>
  <c r="J386" i="25" a="1"/>
  <c r="AF117" i="18" a="1"/>
  <c r="AD49" i="18" a="1"/>
  <c r="AC486" i="18" a="1"/>
  <c r="I142" i="25" a="1"/>
  <c r="AG53" i="18" a="1"/>
  <c r="AD457" i="18" a="1"/>
  <c r="AF96" i="18" a="1"/>
  <c r="J141" i="25" a="1"/>
  <c r="J133" i="25" a="1"/>
  <c r="AG223" i="18" a="1"/>
  <c r="AC89" i="18" a="1"/>
  <c r="AH193" i="18" a="1"/>
  <c r="J239" i="25" a="1"/>
  <c r="AF379" i="18" a="1"/>
  <c r="AE416" i="18" a="1"/>
  <c r="AD422" i="18" a="1"/>
  <c r="AF15" i="18" a="1"/>
  <c r="AG254" i="18" a="1"/>
  <c r="AC71" i="18" a="1"/>
  <c r="AC36" i="18" a="1"/>
  <c r="AE446" i="18" a="1"/>
  <c r="AD228" i="18" a="1"/>
  <c r="AD32" i="18" a="1"/>
  <c r="D17" i="27"/>
  <c r="I160" i="25" a="1"/>
  <c r="J75" i="25" a="1"/>
  <c r="AF426" i="18" a="1"/>
  <c r="AF411" i="18" a="1"/>
  <c r="AH75" i="18" a="1"/>
  <c r="AG219" i="18" a="1"/>
  <c r="AC395" i="18" a="1"/>
  <c r="AE447" i="18" a="1"/>
  <c r="AF433" i="18" a="1"/>
  <c r="I42" i="25" a="1"/>
  <c r="AH102" i="18" a="1"/>
  <c r="AD71" i="18" a="1"/>
  <c r="AD440" i="18" a="1"/>
  <c r="AF197" i="18" a="1"/>
  <c r="AG280" i="18" a="1"/>
  <c r="AH362" i="18" a="1"/>
  <c r="AG347" i="18" a="1"/>
  <c r="AG324" i="18" a="1"/>
  <c r="AE264" i="18" a="1"/>
  <c r="AH233" i="18" a="1"/>
  <c r="AG380" i="18" a="1"/>
  <c r="AE53" i="18" a="1"/>
  <c r="AG175" i="18" a="1"/>
  <c r="J304" i="25" a="1"/>
  <c r="AH269" i="18" a="1"/>
  <c r="AD75" i="18" a="1"/>
  <c r="AG16" i="18" a="1"/>
  <c r="AD437" i="18" a="1"/>
  <c r="AG474" i="18" a="1"/>
  <c r="AE459" i="18" a="1"/>
  <c r="AE336" i="18" a="1"/>
  <c r="D79" i="27"/>
  <c r="AF500" i="18" a="1"/>
  <c r="AH262" i="18" a="1"/>
  <c r="AC376" i="18" a="1"/>
  <c r="J157" i="25" a="1"/>
  <c r="AC370" i="18" a="1"/>
  <c r="J126" i="25" a="1"/>
  <c r="J198" i="25" a="1"/>
  <c r="AH279" i="18" a="1"/>
  <c r="D64" i="27"/>
  <c r="AG124" i="18" a="1"/>
  <c r="AF224" i="18" a="1"/>
  <c r="AH460" i="18" a="1"/>
  <c r="AF499" i="18" a="1"/>
  <c r="AE451" i="18" a="1"/>
  <c r="AF46" i="18" a="1"/>
  <c r="AF445" i="18" a="1"/>
  <c r="AC385" i="18" a="1"/>
  <c r="AE239" i="18" a="1"/>
  <c r="J359" i="25" a="1"/>
  <c r="AE89" i="18" a="1"/>
  <c r="AE110" i="18" a="1"/>
  <c r="J344" i="25" a="1"/>
  <c r="AG341" i="18" a="1"/>
  <c r="AF491" i="18" a="1"/>
  <c r="I8" i="25" a="1"/>
  <c r="AF416" i="18" a="1"/>
  <c r="I347" i="25" a="1"/>
  <c r="AD225" i="18" a="1"/>
  <c r="AG148" i="18" a="1"/>
  <c r="AD226" i="18" a="1"/>
  <c r="AH226" i="18" a="1"/>
  <c r="D83" i="27"/>
  <c r="AH357" i="18" a="1"/>
  <c r="AE335" i="18" a="1"/>
  <c r="AE122" i="18" a="1"/>
  <c r="AC383" i="18" a="1"/>
  <c r="J242" i="25" a="1"/>
  <c r="AD369" i="18" a="1"/>
  <c r="AC202" i="18" a="1"/>
  <c r="AD297" i="18" a="1"/>
  <c r="AC321" i="18" a="1"/>
  <c r="AH99" i="18" a="1"/>
  <c r="J6" i="25" a="1"/>
  <c r="AH470" i="18" a="1"/>
  <c r="J178" i="25" a="1"/>
  <c r="AF290" i="18" a="1"/>
  <c r="AC32" i="18" a="1"/>
  <c r="AD432" i="18" a="1"/>
  <c r="AF261" i="18" a="1"/>
  <c r="AG259" i="18" a="1"/>
  <c r="I241" i="25" a="1"/>
  <c r="J59" i="25" a="1"/>
  <c r="AC404" i="18" a="1"/>
  <c r="AE290" i="18" a="1"/>
  <c r="AF62" i="18" a="1"/>
  <c r="J270" i="25" a="1"/>
  <c r="AC201" i="18" a="1"/>
  <c r="AE222" i="18" a="1"/>
  <c r="AF334" i="18" a="1"/>
  <c r="I377" i="25" a="1"/>
  <c r="AF472" i="18" a="1"/>
  <c r="AD470" i="18" a="1"/>
  <c r="AF103" i="18" a="1"/>
  <c r="AF468" i="18" a="1"/>
  <c r="AH116" i="18" a="1"/>
  <c r="AF107" i="18" a="1"/>
  <c r="AC303" i="18" a="1"/>
  <c r="AG466" i="18" a="1"/>
  <c r="AF473" i="18" a="1"/>
  <c r="AC19" i="18" a="1"/>
  <c r="AH114" i="18" a="1"/>
  <c r="AG422" i="18" a="1"/>
  <c r="J193" i="25" a="1"/>
  <c r="I237" i="25" a="1"/>
  <c r="AF312" i="18" a="1"/>
  <c r="AF263" i="18" a="1"/>
  <c r="J160" i="25" a="1"/>
  <c r="AH92" i="18" a="1"/>
  <c r="AE389" i="18" a="1"/>
  <c r="AE247" i="18" a="1"/>
  <c r="AE109" i="18" a="1"/>
  <c r="AG231" i="18" a="1"/>
  <c r="AF177" i="18" a="1"/>
  <c r="AH373" i="18" a="1"/>
  <c r="AG164" i="18" a="1"/>
  <c r="AD95" i="18" a="1"/>
  <c r="AF353" i="18" a="1"/>
  <c r="AG241" i="18" a="1"/>
  <c r="AC420" i="18" a="1"/>
  <c r="J230" i="25" a="1"/>
  <c r="I217" i="25" a="1"/>
  <c r="I73" i="25" a="1"/>
  <c r="AH235" i="18" a="1"/>
  <c r="AH40" i="18" a="1"/>
  <c r="AG506" i="18" a="1"/>
  <c r="AG229" i="18" a="1"/>
  <c r="AE379" i="18" a="1"/>
  <c r="AC118" i="18" a="1"/>
  <c r="AH282" i="18" a="1"/>
  <c r="AG209" i="18" a="1"/>
  <c r="AG433" i="18" a="1"/>
  <c r="AD441" i="18" a="1"/>
  <c r="I321" i="25" a="1"/>
  <c r="D51" i="27"/>
  <c r="J69" i="25" a="1"/>
  <c r="AC253" i="18" a="1"/>
  <c r="AH21" i="18" a="1"/>
  <c r="AC155" i="18" a="1"/>
  <c r="AD79" i="18" a="1"/>
  <c r="I214" i="25" a="1"/>
  <c r="AF249" i="18" a="1"/>
  <c r="AD98" i="18" a="1"/>
  <c r="AF245" i="18" a="1"/>
  <c r="AD439" i="18" a="1"/>
  <c r="AD104" i="18" a="1"/>
  <c r="AE101" i="18" a="1"/>
  <c r="AF316" i="18" a="1"/>
  <c r="I43" i="25" a="1"/>
  <c r="D63" i="27"/>
  <c r="AH434" i="18" a="1"/>
  <c r="AC119" i="18" a="1"/>
  <c r="AG201" i="18" a="1"/>
  <c r="AH138" i="18" a="1"/>
  <c r="AF9" i="18" a="1"/>
  <c r="AF186" i="18" a="1"/>
  <c r="I197" i="25" a="1"/>
  <c r="J373" i="25" a="1"/>
  <c r="AD386" i="18" a="1"/>
  <c r="J229" i="25" a="1"/>
  <c r="AD219" i="18" a="1"/>
  <c r="AE150" i="18" a="1"/>
  <c r="I144" i="25" a="1"/>
  <c r="AH386" i="18" a="1"/>
  <c r="AH289" i="18" a="1"/>
  <c r="AG311" i="18" a="1"/>
  <c r="AC186" i="18" a="1"/>
  <c r="AC251" i="18" a="1"/>
  <c r="AD78" i="18" a="1"/>
  <c r="I401" i="25" a="1"/>
  <c r="J62" i="25" a="1"/>
  <c r="AE280" i="18" a="1"/>
  <c r="AH363" i="18" a="1"/>
  <c r="AD293" i="18" a="1"/>
  <c r="AF326" i="18" a="1"/>
  <c r="J262" i="25" a="1"/>
  <c r="AE403" i="18" a="1"/>
  <c r="I139" i="25" a="1"/>
  <c r="AE256" i="18" a="1"/>
  <c r="AH313" i="18" a="1"/>
  <c r="AH159" i="18" a="1"/>
  <c r="AH227" i="18" a="1"/>
  <c r="AF393" i="18" a="1"/>
  <c r="I290" i="25" a="1"/>
  <c r="AE84" i="18" a="1"/>
  <c r="I349" i="25" a="1"/>
  <c r="AD68" i="18" a="1"/>
  <c r="AG313" i="18" a="1"/>
  <c r="AD498" i="18" a="1"/>
  <c r="AH318" i="18" a="1"/>
  <c r="AG349" i="18" a="1"/>
  <c r="AF91" i="18" a="1"/>
  <c r="AG391" i="18" a="1"/>
  <c r="AH402" i="18" a="1"/>
  <c r="AD213" i="18" a="1"/>
  <c r="AE357" i="18" a="1"/>
  <c r="AF80" i="18" a="1"/>
  <c r="AD460" i="18" a="1"/>
  <c r="AD177" i="18" a="1"/>
  <c r="AE496" i="18" a="1"/>
  <c r="J346" i="25" a="1"/>
  <c r="AG360" i="18" a="1"/>
  <c r="AE16" i="18" a="1"/>
  <c r="AC391" i="18" a="1"/>
  <c r="AH151" i="18" a="1"/>
  <c r="AH38" i="18" a="1"/>
  <c r="AH485" i="18" a="1"/>
  <c r="AE9" i="18" a="1"/>
  <c r="AF350" i="18" a="1"/>
  <c r="AD77" i="18" a="1"/>
  <c r="AE192" i="18" a="1"/>
  <c r="AF93" i="18" a="1"/>
  <c r="AF432" i="18" a="1"/>
  <c r="D67" i="27"/>
  <c r="AD409" i="18" a="1"/>
  <c r="AF354" i="18" a="1"/>
  <c r="AF106" i="18" a="1"/>
  <c r="AC429" i="18" a="1"/>
  <c r="AF132" i="18" a="1"/>
  <c r="D92" i="27"/>
  <c r="AE188" i="18" a="1"/>
  <c r="AD85" i="18" a="1"/>
  <c r="AG52" i="18" a="1"/>
  <c r="AH325" i="18" a="1"/>
  <c r="AH306" i="18" a="1"/>
  <c r="AF255" i="18" a="1"/>
  <c r="AF300" i="18" a="1"/>
  <c r="AC139" i="18" a="1"/>
  <c r="AH65" i="18" a="1"/>
  <c r="I30" i="25" a="1"/>
  <c r="AE78" i="18" a="1"/>
  <c r="AF54" i="18" a="1"/>
  <c r="AG374" i="18" a="1"/>
  <c r="AD271" i="18" a="1"/>
  <c r="AC245" i="18" a="1"/>
  <c r="I226" i="25" a="1"/>
  <c r="AD384" i="18" a="1"/>
  <c r="AH403" i="18" a="1"/>
  <c r="AF268" i="18" a="1"/>
  <c r="D80" i="27"/>
  <c r="AF240" i="18" a="1"/>
  <c r="AF13" i="18" a="1"/>
  <c r="AD117" i="18" a="1"/>
  <c r="AE495" i="18" a="1"/>
  <c r="I38" i="25" a="1"/>
  <c r="AH277" i="18" a="1"/>
  <c r="AE64" i="18" a="1"/>
  <c r="AC333" i="18" a="1"/>
  <c r="I322" i="25" a="1"/>
  <c r="D37" i="27"/>
  <c r="AE406" i="18" a="1"/>
  <c r="AD91" i="18" a="1"/>
  <c r="AC373" i="18" a="1"/>
  <c r="AG180" i="18" a="1"/>
  <c r="AD149" i="18" a="1"/>
  <c r="J67" i="25" a="1"/>
  <c r="AD467" i="18" a="1"/>
  <c r="AC180" i="18" a="1"/>
  <c r="AG447" i="18" a="1"/>
  <c r="I228" i="25" a="1"/>
  <c r="I83" i="25" a="1"/>
  <c r="AC127" i="18" a="1"/>
  <c r="AH436" i="18" a="1"/>
  <c r="AD113" i="18" a="1"/>
  <c r="AF453" i="18" a="1"/>
  <c r="AH272" i="18" a="1"/>
  <c r="AH164" i="18" a="1"/>
  <c r="AD448" i="18" a="1"/>
  <c r="J310" i="25" a="1"/>
  <c r="J152" i="25" a="1"/>
  <c r="AG170" i="18" a="1"/>
  <c r="AE87" i="18" a="1"/>
  <c r="AD277" i="18" a="1"/>
  <c r="AF370" i="18" a="1"/>
  <c r="AH267" i="18" a="1"/>
  <c r="AH200" i="18" a="1"/>
  <c r="AE63" i="18" a="1"/>
  <c r="I7" i="25" a="1"/>
  <c r="I247" i="25" a="1"/>
  <c r="J149" i="25" a="1"/>
  <c r="J17" i="25" a="1"/>
  <c r="AH141" i="18" a="1"/>
  <c r="J165" i="25" a="1"/>
  <c r="I64" i="25" a="1"/>
  <c r="AF306" i="18" a="1"/>
  <c r="AD17" i="18" a="1"/>
  <c r="AC457" i="18" a="1"/>
  <c r="I203" i="25" a="1"/>
  <c r="AG228" i="18" a="1"/>
  <c r="AC436" i="18" a="1"/>
  <c r="AG297" i="18" a="1"/>
  <c r="AD58" i="18" a="1"/>
  <c r="AG329" i="18" a="1"/>
  <c r="AD72" i="18" a="1"/>
  <c r="AH368" i="18" a="1"/>
  <c r="AF20" i="18" a="1"/>
  <c r="J199" i="25" a="1"/>
  <c r="AG417" i="18" a="1"/>
  <c r="AC332" i="18" a="1"/>
  <c r="AF424" i="18" a="1"/>
  <c r="I6" i="25" a="1"/>
  <c r="AD263" i="18" a="1"/>
  <c r="J153" i="25" a="1"/>
  <c r="I25" i="25" a="1"/>
  <c r="AC33" i="18" a="1"/>
  <c r="AG361" i="18" a="1"/>
  <c r="AD446" i="18" a="1"/>
  <c r="D10" i="27"/>
  <c r="AF192" i="18" a="1"/>
  <c r="AF493" i="18" a="1"/>
  <c r="J24" i="25" a="1"/>
  <c r="J209" i="25" a="1"/>
  <c r="I402" i="25" a="1"/>
  <c r="AD466" i="18" a="1"/>
  <c r="AD319" i="18" a="1"/>
  <c r="AG468" i="18" a="1"/>
  <c r="AE407" i="18" a="1"/>
  <c r="J214" i="25" a="1"/>
  <c r="AD208" i="18" a="1"/>
  <c r="AF375" i="18" a="1"/>
  <c r="AE240" i="18" a="1"/>
  <c r="AG423" i="18" a="1"/>
  <c r="I129" i="25" a="1"/>
  <c r="AF214" i="18" a="1"/>
  <c r="AF25" i="18" a="1"/>
  <c r="AE422" i="18" a="1"/>
  <c r="AC182" i="18" a="1"/>
  <c r="AE363" i="18" a="1"/>
  <c r="AF201" i="18" a="1"/>
  <c r="AH98" i="18" a="1"/>
  <c r="I126" i="25" a="1"/>
  <c r="I399" i="25" a="1"/>
  <c r="AG233" i="18" a="1"/>
  <c r="AF83" i="18" a="1"/>
  <c r="AG484" i="18" a="1"/>
  <c r="AD168" i="18" a="1"/>
  <c r="AC150" i="18" a="1"/>
  <c r="AD429" i="18" a="1"/>
  <c r="AD201" i="18" a="1"/>
  <c r="AG365" i="18" a="1"/>
  <c r="AH69" i="18" a="1"/>
  <c r="AE488" i="18" a="1"/>
  <c r="AE433" i="18" a="1"/>
  <c r="J221" i="25" a="1"/>
  <c r="AH395" i="18" a="1"/>
  <c r="AH454" i="18" a="1"/>
  <c r="AF467" i="18" a="1"/>
  <c r="AG200" i="18" a="1"/>
  <c r="J99" i="25" a="1"/>
  <c r="AE190" i="18" a="1"/>
  <c r="AF329" i="18" a="1"/>
  <c r="AG177" i="18" a="1"/>
  <c r="AG134" i="18" a="1"/>
  <c r="AG450" i="18" a="1"/>
  <c r="AG497" i="18" a="1"/>
  <c r="AH22" i="18" a="1"/>
  <c r="AE337" i="18" a="1"/>
  <c r="AD423" i="18" a="1"/>
  <c r="J121" i="25" a="1"/>
  <c r="AF94" i="18" a="1"/>
  <c r="J9" i="25" a="1"/>
  <c r="AC197" i="18" a="1"/>
  <c r="AH393" i="18" a="1"/>
  <c r="AC249" i="18" a="1"/>
  <c r="AE142" i="18" a="1"/>
  <c r="AD495" i="18" a="1"/>
  <c r="AF181" i="18" a="1"/>
  <c r="AD323" i="18" a="1"/>
  <c r="AD8" i="18" a="1"/>
  <c r="AH171" i="18" a="1"/>
  <c r="AG322" i="18" a="1"/>
  <c r="AC166" i="18" a="1"/>
  <c r="J255" i="25" a="1"/>
  <c r="J183" i="25" a="1"/>
  <c r="AE13" i="18" a="1"/>
  <c r="AH482" i="18" a="1"/>
  <c r="AD270" i="18" a="1"/>
  <c r="AG335" i="18" a="1"/>
  <c r="AH409" i="18" a="1"/>
  <c r="AH213" i="18" a="1"/>
  <c r="AD191" i="18" a="1"/>
  <c r="AE321" i="18" a="1"/>
  <c r="AH158" i="18" a="1"/>
  <c r="J295" i="25" a="1"/>
  <c r="J58" i="25" a="1"/>
  <c r="J50" i="25" a="1"/>
  <c r="AC324" i="18" a="1"/>
  <c r="AF489" i="18" a="1"/>
  <c r="I287" i="25" a="1"/>
  <c r="AD218" i="18" a="1"/>
  <c r="AC353" i="18" a="1"/>
  <c r="I301" i="25" a="1"/>
  <c r="AF462" i="18" a="1"/>
  <c r="AE487" i="18" a="1"/>
  <c r="AD227" i="18" a="1"/>
  <c r="AG458" i="18" a="1"/>
  <c r="AF10" i="18" a="1"/>
  <c r="J247" i="25" a="1"/>
  <c r="AH261" i="18" a="1"/>
  <c r="AF301" i="18" a="1"/>
  <c r="AE12" i="18" a="1"/>
  <c r="AC262" i="18" a="1"/>
  <c r="AH497" i="18" a="1"/>
  <c r="J167" i="25" a="1"/>
  <c r="AC475" i="18" a="1"/>
  <c r="AF288" i="18" a="1"/>
  <c r="AD279" i="18" a="1"/>
  <c r="AC77" i="18" a="1"/>
  <c r="AC390" i="18" a="1"/>
  <c r="AC490" i="18" a="1"/>
  <c r="J280" i="25" a="1"/>
  <c r="AG125" i="18" a="1"/>
  <c r="AE173" i="18" a="1"/>
  <c r="AC103" i="18" a="1"/>
  <c r="AH195" i="18" a="1"/>
  <c r="AH265" i="18" a="1"/>
  <c r="AG100" i="18" a="1"/>
  <c r="AC191" i="18" a="1"/>
  <c r="AD14" i="18" a="1"/>
  <c r="AC178" i="18" a="1"/>
  <c r="AG327" i="18" a="1"/>
  <c r="AE134" i="18" a="1"/>
  <c r="AF216" i="18" a="1"/>
  <c r="AE361" i="18" a="1"/>
  <c r="AE475" i="18" a="1"/>
  <c r="J374" i="25" a="1"/>
  <c r="AD60" i="18" a="1"/>
  <c r="I17" i="25" a="1"/>
  <c r="AD118" i="18" a="1"/>
  <c r="AD314" i="18" a="1"/>
  <c r="AD390" i="18" a="1"/>
  <c r="AC181" i="18" a="1"/>
  <c r="AE486" i="18" a="1"/>
  <c r="I288" i="25" a="1"/>
  <c r="AE504" i="18" a="1"/>
  <c r="AH169" i="18" a="1"/>
  <c r="J380" i="25" a="1"/>
  <c r="AH489" i="18" a="1"/>
  <c r="AC107" i="18" a="1"/>
  <c r="J147" i="25" a="1"/>
  <c r="AD158" i="18" a="1"/>
  <c r="AH281" i="18" a="1"/>
  <c r="AD161" i="18" a="1"/>
  <c r="AE253" i="18" a="1"/>
  <c r="AG281" i="18" a="1"/>
  <c r="AD483" i="18" a="1"/>
  <c r="AE506" i="18" a="1"/>
  <c r="AH204" i="18" a="1"/>
  <c r="AH232" i="18" a="1"/>
  <c r="I174" i="25" a="1"/>
  <c r="J51" i="25" a="1"/>
  <c r="AF136" i="18" a="1"/>
  <c r="AE441" i="18" a="1"/>
  <c r="AF459" i="18" a="1"/>
  <c r="J169" i="25" a="1"/>
  <c r="I149" i="25" a="1"/>
  <c r="I187" i="25" a="1"/>
  <c r="AG400" i="18" a="1"/>
  <c r="AC91" i="18" a="1"/>
  <c r="AC35" i="18" a="1"/>
  <c r="J164" i="25" a="1"/>
  <c r="J321" i="25" a="1"/>
  <c r="AC192" i="18" a="1"/>
  <c r="AG302" i="18" a="1"/>
  <c r="I176" i="25" a="1"/>
  <c r="AG236" i="18" a="1"/>
  <c r="AD436" i="18" a="1"/>
  <c r="J366" i="25" a="1"/>
  <c r="AE144" i="18" a="1"/>
  <c r="AG192" i="18" a="1"/>
  <c r="AD189" i="18" a="1"/>
  <c r="AF198" i="18" a="1"/>
  <c r="AC43" i="18" a="1"/>
  <c r="AC412" i="18" a="1"/>
  <c r="AD365" i="18" a="1"/>
  <c r="AF116" i="18" a="1"/>
  <c r="AE94" i="18" a="1"/>
  <c r="I76" i="25" a="1"/>
  <c r="AF101" i="18" a="1"/>
  <c r="I254" i="25" a="1"/>
  <c r="AD322" i="18" a="1"/>
  <c r="AC449" i="18" a="1"/>
  <c r="AF37" i="18" a="1"/>
  <c r="AE340" i="18" a="1"/>
  <c r="J291" i="25" a="1"/>
  <c r="AF490" i="18" a="1"/>
  <c r="AH398" i="18" a="1"/>
  <c r="AD24" i="18" a="1"/>
  <c r="I333" i="25" a="1"/>
  <c r="AC176" i="18" a="1"/>
  <c r="J102" i="25" a="1"/>
  <c r="J168" i="25" a="1"/>
  <c r="AF465" i="18" a="1"/>
  <c r="AH154" i="18" a="1"/>
  <c r="I68" i="25" a="1"/>
  <c r="AC63" i="18" a="1"/>
  <c r="AF59" i="18" a="1"/>
  <c r="I306" i="25" a="1"/>
  <c r="AF75" i="18" a="1"/>
  <c r="AC205" i="18" a="1"/>
  <c r="AC275" i="18" a="1"/>
  <c r="AG108" i="18" a="1"/>
  <c r="AH465" i="18" a="1"/>
  <c r="AE397" i="18" a="1"/>
  <c r="J80" i="25" a="1"/>
  <c r="AC271" i="18" a="1"/>
  <c r="AE276" i="18" a="1"/>
  <c r="J378" i="25" a="1"/>
  <c r="AH211" i="18" a="1"/>
  <c r="AF413" i="18" a="1"/>
  <c r="I302" i="25" a="1"/>
  <c r="AG455" i="18" a="1"/>
  <c r="AF434" i="18" a="1"/>
  <c r="AC70" i="18" a="1"/>
  <c r="AG277" i="18" a="1"/>
  <c r="AD316" i="18" a="1"/>
  <c r="I61" i="25" a="1"/>
  <c r="AC200" i="18" a="1"/>
  <c r="AF173" i="18" a="1"/>
  <c r="AC86" i="18" a="1"/>
  <c r="AH216" i="18" a="1"/>
  <c r="AC269" i="18" a="1"/>
  <c r="AE56" i="18" a="1"/>
  <c r="AE399" i="18" a="1"/>
  <c r="AG351" i="18" a="1"/>
  <c r="I56" i="25" a="1"/>
  <c r="I115" i="25" a="1"/>
  <c r="AD435" i="18" a="1"/>
  <c r="J122" i="25" a="1"/>
  <c r="J196" i="25" a="1"/>
  <c r="AH419" i="18" a="1"/>
  <c r="AG172" i="18" a="1"/>
  <c r="AC301" i="18" a="1"/>
  <c r="AE37" i="18" a="1"/>
  <c r="AF57" i="18" a="1"/>
  <c r="AH431" i="18" a="1"/>
  <c r="AF355" i="18" a="1"/>
  <c r="AH305" i="18" a="1"/>
  <c r="AE502" i="18" a="1"/>
  <c r="J43" i="25" a="1"/>
  <c r="AC344" i="18" a="1"/>
  <c r="AG253" i="18" a="1"/>
  <c r="AH128" i="18" a="1"/>
  <c r="AH111" i="18" a="1"/>
  <c r="J163" i="25" a="1"/>
  <c r="AE465" i="18" a="1"/>
  <c r="AH28" i="18" a="1"/>
  <c r="AD217" i="18" a="1"/>
  <c r="I297" i="25" a="1"/>
  <c r="I12" i="25" a="1"/>
  <c r="AH390" i="18" a="1"/>
  <c r="D23" i="27"/>
  <c r="I97" i="25" a="1"/>
  <c r="I133" i="25" a="1"/>
  <c r="AG208" i="18" a="1"/>
  <c r="AG465" i="18" a="1"/>
  <c r="AG199" i="18" a="1"/>
  <c r="AE148" i="18" a="1"/>
  <c r="AC480" i="18" a="1"/>
  <c r="AH505" i="18" a="1"/>
  <c r="AD421" i="18" a="1"/>
  <c r="AE269" i="18" a="1"/>
  <c r="AH149" i="18" a="1"/>
  <c r="AG26" i="18" a="1"/>
  <c r="AF275" i="18" a="1"/>
  <c r="AH276" i="18" a="1"/>
  <c r="I285" i="25" a="1"/>
  <c r="AG186" i="18" a="1"/>
  <c r="AG73" i="18" a="1"/>
  <c r="AD302" i="18" a="1"/>
  <c r="AH20" i="18" a="1"/>
  <c r="AE181" i="18" a="1"/>
  <c r="I383" i="25" a="1"/>
  <c r="AD28" i="18" a="1"/>
  <c r="AE116" i="18" a="1"/>
  <c r="AG445" i="18" a="1"/>
  <c r="AC447" i="18" a="1"/>
  <c r="AF481" i="18" a="1"/>
  <c r="AH132" i="18" a="1"/>
  <c r="AH452" i="18" a="1"/>
  <c r="AG163" i="18" a="1"/>
  <c r="AF84" i="18" a="1"/>
  <c r="AE224" i="18" a="1"/>
  <c r="AD66" i="18" a="1"/>
  <c r="AG427" i="18" a="1"/>
  <c r="AG121" i="18" a="1"/>
  <c r="AF407" i="18" a="1"/>
  <c r="AG63" i="18" a="1"/>
  <c r="AD454" i="18" a="1"/>
  <c r="AE8" i="18" a="1"/>
  <c r="AC285" i="18" a="1"/>
  <c r="AG300" i="18" a="1"/>
  <c r="AE345" i="18" a="1"/>
  <c r="AG14" i="18" a="1"/>
  <c r="J98" i="25" a="1"/>
  <c r="J399" i="25" a="1"/>
  <c r="AD400" i="18" a="1"/>
  <c r="AG94" i="18" a="1"/>
  <c r="AD397" i="18" a="1"/>
  <c r="AG58" i="18" a="1"/>
  <c r="AF294" i="18" a="1"/>
  <c r="AC308" i="18" a="1"/>
  <c r="AH480" i="18" a="1"/>
  <c r="AD424" i="18" a="1"/>
  <c r="AH283" i="18" a="1"/>
  <c r="AC246" i="18" a="1"/>
  <c r="AF278" i="18" a="1"/>
  <c r="AC210" i="18" a="1"/>
  <c r="J208" i="25" a="1"/>
  <c r="AH88" i="18" a="1"/>
  <c r="AD76" i="18" a="1"/>
  <c r="AC347" i="18" a="1"/>
  <c r="AD18" i="18" a="1"/>
  <c r="AF178" i="18" a="1"/>
  <c r="AD129" i="18" a="1"/>
  <c r="AH197" i="18" a="1"/>
  <c r="AF151" i="18" a="1"/>
  <c r="AE228" i="18" a="1"/>
  <c r="J315" i="25" a="1"/>
  <c r="AD250" i="18" a="1"/>
  <c r="AC504" i="18" a="1"/>
  <c r="AH280" i="18" a="1"/>
  <c r="AF195" i="18" a="1"/>
  <c r="AD273" i="18" a="1"/>
  <c r="AC426" i="18" a="1"/>
  <c r="AD160" i="18" a="1"/>
  <c r="AF383" i="18" a="1"/>
  <c r="AG188" i="18" a="1"/>
  <c r="AH15" i="18" a="1"/>
  <c r="J33" i="25" a="1"/>
  <c r="AG375" i="18" a="1"/>
  <c r="AG96" i="18" a="1"/>
  <c r="AE165" i="18" a="1"/>
  <c r="AE364" i="18" a="1"/>
  <c r="AH266" i="18" a="1"/>
  <c r="AD245" i="18" a="1"/>
  <c r="AG109" i="18" a="1"/>
  <c r="AF193" i="18" a="1"/>
  <c r="AD261" i="18" a="1"/>
  <c r="J333" i="25" a="1"/>
  <c r="I253" i="25" a="1"/>
  <c r="AD39" i="18" a="1"/>
  <c r="I90" i="25" a="1"/>
  <c r="I116" i="25" a="1"/>
  <c r="AE483" i="18" a="1"/>
  <c r="AH242" i="18" a="1"/>
  <c r="AG49" i="18" a="1"/>
  <c r="AD474" i="18" a="1"/>
  <c r="I108" i="25" a="1"/>
  <c r="AG491" i="18" a="1"/>
  <c r="AC40" i="18" a="1"/>
  <c r="AH55" i="18" a="1"/>
  <c r="AG128" i="18" a="1"/>
  <c r="AE374" i="18" a="1"/>
  <c r="J180" i="25" a="1"/>
  <c r="AC434" i="18" a="1"/>
  <c r="AF351" i="18" a="1"/>
  <c r="I232" i="25" a="1"/>
  <c r="AE234" i="18" a="1"/>
  <c r="AF36" i="18" a="1"/>
  <c r="AE60" i="18" a="1"/>
  <c r="AC279" i="18" a="1"/>
  <c r="I48" i="25" a="1"/>
  <c r="AC432" i="18" a="1"/>
  <c r="AG409" i="18" a="1"/>
  <c r="AG61" i="18" a="1"/>
  <c r="J136" i="25" a="1"/>
  <c r="AH147" i="18" a="1"/>
  <c r="AC159" i="18" a="1"/>
  <c r="AD327" i="18" a="1"/>
  <c r="AG397" i="18" a="1"/>
  <c r="J360" i="25" a="1"/>
  <c r="I121" i="25" a="1"/>
  <c r="J10" i="25" a="1"/>
  <c r="AF28" i="18" a="1"/>
  <c r="AF233" i="18" a="1"/>
  <c r="I335" i="25" a="1"/>
  <c r="J343" i="25" a="1"/>
  <c r="AC222" i="18" a="1"/>
  <c r="AC445" i="18" a="1"/>
  <c r="J191" i="25" a="1"/>
  <c r="AG501" i="18" a="1"/>
  <c r="AH86" i="18" a="1"/>
  <c r="AC506" i="18" a="1"/>
  <c r="AF448" i="18" a="1"/>
  <c r="AE265" i="18" a="1"/>
  <c r="J389" i="25" a="1"/>
  <c r="AE48" i="18" a="1"/>
  <c r="AC283" i="18" a="1"/>
  <c r="AE72" i="18" a="1"/>
  <c r="I382" i="25" a="1"/>
  <c r="AH79" i="18" a="1"/>
  <c r="I262" i="25" a="1"/>
  <c r="AD280" i="18" a="1"/>
  <c r="AG195" i="18" a="1"/>
  <c r="AH32" i="18" a="1"/>
  <c r="I354" i="25" a="1"/>
  <c r="AG415" i="18" a="1"/>
  <c r="AE131" i="18" a="1"/>
  <c r="AH244" i="18" a="1"/>
  <c r="AC195" i="18" a="1"/>
  <c r="AH201" i="18" a="1"/>
  <c r="AD56" i="18" a="1"/>
  <c r="AG183" i="18" a="1"/>
  <c r="AG133" i="18" a="1"/>
  <c r="I201" i="25" a="1"/>
  <c r="AH24" i="18" a="1"/>
  <c r="I114" i="25" a="1"/>
  <c r="AF121" i="18" a="1"/>
  <c r="AG403" i="18" a="1"/>
  <c r="AE259" i="18" a="1"/>
  <c r="AH371" i="18" a="1"/>
  <c r="J111" i="25" a="1"/>
  <c r="AH212" i="18" a="1"/>
  <c r="AE412" i="18" a="1"/>
  <c r="AH90" i="18" a="1"/>
  <c r="AC421" i="18" a="1"/>
  <c r="AG182" i="18" a="1"/>
  <c r="AC348" i="18" a="1"/>
  <c r="AE197" i="18" a="1"/>
  <c r="I229" i="25" a="1"/>
  <c r="J207" i="25" a="1"/>
  <c r="AF221" i="18" a="1"/>
  <c r="AC93" i="18" a="1"/>
  <c r="J256" i="25" a="1"/>
  <c r="D27" i="27"/>
  <c r="I363" i="25" a="1"/>
  <c r="I314" i="25" a="1"/>
  <c r="AC461" i="18" a="1"/>
  <c r="AF251" i="18" a="1"/>
  <c r="AD473" i="18" a="1"/>
  <c r="J224" i="25" a="1"/>
  <c r="AD332" i="18" a="1"/>
  <c r="J265" i="25" a="1"/>
  <c r="AD449" i="18" a="1"/>
  <c r="AH184" i="18" a="1"/>
  <c r="AH192" i="18" a="1"/>
  <c r="I394" i="25" a="1"/>
  <c r="AF269" i="18" a="1"/>
  <c r="I227" i="25" a="1"/>
  <c r="AE39" i="18" a="1"/>
  <c r="AG7" i="18" a="1"/>
  <c r="AG82" i="18" a="1"/>
  <c r="AH71" i="18" a="1"/>
  <c r="J85" i="25" a="1"/>
  <c r="AC115" i="18" a="1"/>
  <c r="AH120" i="18" a="1"/>
  <c r="AD53" i="18" a="1"/>
  <c r="D53" i="27"/>
  <c r="AD107" i="18" a="1"/>
  <c r="I47" i="25" a="1"/>
  <c r="AG317" i="18" a="1"/>
  <c r="I9" i="25" a="1"/>
  <c r="AE286" i="18" a="1"/>
  <c r="AE386" i="18" a="1"/>
  <c r="AH78" i="18" a="1"/>
  <c r="AH329" i="18" a="1"/>
  <c r="AE448" i="18" a="1"/>
  <c r="AF22" i="18" a="1"/>
  <c r="AC216" i="18" a="1"/>
  <c r="AE310" i="18" a="1"/>
  <c r="AD492" i="18" a="1"/>
  <c r="I317" i="25" a="1"/>
  <c r="AE267" i="18" a="1"/>
  <c r="AF265" i="18" a="1"/>
  <c r="AD120" i="18" a="1"/>
  <c r="AE57" i="18" a="1"/>
  <c r="AD105" i="18" a="1"/>
  <c r="J48" i="25" a="1"/>
  <c r="AD209" i="18" a="1"/>
  <c r="AF227" i="18" a="1"/>
  <c r="I189" i="25" a="1"/>
  <c r="AH388" i="18" a="1"/>
  <c r="AG70" i="18" a="1"/>
  <c r="AE27" i="18" a="1"/>
  <c r="AG171" i="18" a="1"/>
  <c r="AC341" i="18" a="1"/>
  <c r="I339" i="25" a="1"/>
  <c r="AG138" i="18" a="1"/>
  <c r="AG340" i="18" a="1"/>
  <c r="AD309" i="18" a="1"/>
  <c r="AG381" i="18" a="1"/>
  <c r="AF48" i="18" a="1"/>
  <c r="AH161" i="18" a="1"/>
  <c r="AF56" i="18" a="1"/>
  <c r="AH377" i="18" a="1"/>
  <c r="AG43" i="18" a="1"/>
  <c r="AC454" i="18" a="1"/>
  <c r="AC438" i="18" a="1"/>
  <c r="AC389" i="18" a="1"/>
  <c r="AF398" i="18" a="1"/>
  <c r="AF417" i="18" a="1"/>
  <c r="J301" i="25" a="1"/>
  <c r="AH146" i="18" a="1"/>
  <c r="AE86" i="18" a="1"/>
  <c r="J12" i="25" a="1"/>
  <c r="J200" i="25" a="1"/>
  <c r="AE409" i="18" a="1"/>
  <c r="AF203" i="18" a="1"/>
  <c r="AD93" i="18" a="1"/>
  <c r="AF324" i="18" a="1"/>
  <c r="AG405" i="18" a="1"/>
  <c r="J396" i="25" a="1"/>
  <c r="AF415" i="18" a="1"/>
  <c r="I69" i="25" a="1"/>
  <c r="AE246" i="18" a="1"/>
  <c r="AD97" i="18" a="1"/>
  <c r="AH278" i="18" a="1"/>
  <c r="AE323" i="18" a="1"/>
  <c r="AG352" i="18" a="1"/>
  <c r="AC104" i="18" a="1"/>
  <c r="I276" i="25" a="1"/>
  <c r="AG68" i="18" a="1"/>
  <c r="AG265" i="18" a="1"/>
  <c r="AH494" i="18" a="1"/>
  <c r="AF112" i="18" a="1"/>
  <c r="AE481" i="18" a="1"/>
  <c r="AG490" i="18" a="1"/>
  <c r="J110" i="25" a="1"/>
  <c r="AF427" i="18" a="1"/>
  <c r="D76" i="27"/>
  <c r="AC98" i="18" a="1"/>
  <c r="AF273" i="18" a="1"/>
  <c r="AG45" i="18" a="1"/>
  <c r="D104" i="27"/>
  <c r="AF156" i="18" a="1"/>
  <c r="AH396" i="18" a="1"/>
  <c r="I14" i="25" a="1"/>
  <c r="AD248" i="18" a="1"/>
  <c r="AH412" i="18" a="1"/>
  <c r="AD124" i="18" a="1"/>
  <c r="AC211" i="18" a="1"/>
  <c r="AG421" i="18" a="1"/>
  <c r="AH208" i="18" a="1"/>
  <c r="AE254" i="18" a="1"/>
  <c r="I384" i="25" a="1"/>
  <c r="AH30" i="18" a="1"/>
  <c r="AD367" i="18" a="1"/>
  <c r="AC183" i="18" a="1"/>
  <c r="I93" i="25" a="1"/>
  <c r="AF29" i="18" a="1"/>
  <c r="AD469" i="18" a="1"/>
  <c r="AG28" i="18" a="1"/>
  <c r="AE318" i="18" a="1"/>
  <c r="AH218" i="18" a="1"/>
  <c r="AE14" i="18" a="1"/>
  <c r="AE293" i="18" a="1"/>
  <c r="AH379" i="18" a="1"/>
  <c r="AF498" i="18" a="1"/>
  <c r="AG270" i="18" a="1"/>
  <c r="AF403" i="18" a="1"/>
  <c r="AD127" i="18" a="1"/>
  <c r="AE405" i="18" a="1"/>
  <c r="AF109" i="18" a="1"/>
  <c r="AF27" i="18" a="1"/>
  <c r="AC160" i="18" a="1"/>
  <c r="AG477" i="18" a="1"/>
  <c r="I396" i="25" a="1"/>
  <c r="J398" i="25" a="1"/>
  <c r="AF166" i="18" a="1"/>
  <c r="AG451" i="18" a="1"/>
  <c r="J340" i="25" a="1"/>
  <c r="AE471" i="18" a="1"/>
  <c r="J271" i="25" a="1"/>
  <c r="I304" i="25" a="1"/>
  <c r="AF82" i="18" a="1"/>
  <c r="AG258" i="18" a="1"/>
  <c r="AG304" i="18" a="1"/>
  <c r="AC228" i="18" a="1"/>
  <c r="AG472" i="18" a="1"/>
  <c r="J213" i="25" a="1"/>
  <c r="J7" i="25" a="1"/>
  <c r="AE428" i="18" a="1"/>
  <c r="AG132" i="18" a="1"/>
  <c r="AD404" i="18" a="1"/>
  <c r="AF484" i="18" a="1"/>
  <c r="AH152" i="18" a="1"/>
  <c r="AE164" i="18" a="1"/>
  <c r="AC230" i="18" a="1"/>
  <c r="AD192" i="18" a="1"/>
  <c r="AG379" i="18" a="1"/>
  <c r="AF74" i="18" a="1"/>
  <c r="AF90" i="18" a="1"/>
  <c r="AG350" i="18" a="1"/>
  <c r="AH95" i="18" a="1"/>
  <c r="AD246" i="18" a="1"/>
  <c r="I33" i="25" a="1"/>
  <c r="I266" i="25" a="1"/>
  <c r="AE296" i="18" a="1"/>
  <c r="AF331" i="18" a="1"/>
  <c r="AF418" i="18" a="1"/>
  <c r="AF228" i="18" a="1"/>
  <c r="I398" i="25" a="1"/>
  <c r="J331" i="25" a="1"/>
  <c r="AG481" i="18" a="1"/>
  <c r="AD235" i="18" a="1"/>
  <c r="AG37" i="18" a="1"/>
  <c r="AD186" i="18" a="1"/>
  <c r="AE210" i="18" a="1"/>
  <c r="I325" i="25" a="1"/>
  <c r="I192" i="25" a="1"/>
  <c r="AF330" i="18" a="1"/>
  <c r="I77" i="25" a="1"/>
  <c r="AD267" i="18" a="1"/>
  <c r="AE278" i="18" a="1"/>
  <c r="AG197" i="18" a="1"/>
  <c r="AF244" i="18" a="1"/>
  <c r="AC188" i="18" a="1"/>
  <c r="AD88" i="18" a="1"/>
  <c r="I163" i="25" a="1"/>
  <c r="AG173" i="18" a="1"/>
  <c r="AC113" i="18" a="1"/>
  <c r="AF246" i="18" a="1"/>
  <c r="AC68" i="18" a="1"/>
  <c r="AH234" i="18" a="1"/>
  <c r="AC133" i="18" a="1"/>
  <c r="AE102" i="18" a="1"/>
  <c r="J219" i="25" a="1"/>
  <c r="AD20" i="18" a="1"/>
  <c r="AG428" i="18" a="1"/>
  <c r="AH486" i="18" a="1"/>
  <c r="I81" i="25" a="1"/>
  <c r="AD320" i="18" a="1"/>
  <c r="AC270" i="18" a="1"/>
  <c r="J73" i="25" a="1"/>
  <c r="AD360" i="18" a="1"/>
  <c r="AF349" i="18" a="1"/>
  <c r="AE203" i="18" a="1"/>
  <c r="AC470" i="18" a="1"/>
  <c r="AC90" i="18" a="1"/>
  <c r="AE200" i="18" a="1"/>
  <c r="AD210" i="18" a="1"/>
  <c r="J273" i="25" a="1"/>
  <c r="AE339" i="18" a="1"/>
  <c r="AG50" i="18" a="1"/>
  <c r="J297" i="25" a="1"/>
  <c r="AG289" i="18" a="1"/>
  <c r="AF386" i="18" a="1"/>
  <c r="AF460" i="18" a="1"/>
  <c r="AF141" i="18" a="1"/>
  <c r="AC123" i="18" a="1"/>
  <c r="AC350" i="18" a="1"/>
  <c r="AF147" i="18" a="1"/>
  <c r="J103" i="25" a="1"/>
  <c r="AH241" i="18" a="1"/>
  <c r="AE372" i="18" a="1"/>
  <c r="AG495" i="18" a="1"/>
  <c r="AG79" i="18" a="1"/>
  <c r="J53" i="25" a="1"/>
  <c r="AH491" i="18" a="1"/>
  <c r="I135" i="25" a="1"/>
  <c r="AE271" i="18" a="1"/>
  <c r="AF223" i="18" a="1"/>
  <c r="AE189" i="18" a="1"/>
  <c r="AF110" i="18" a="1"/>
  <c r="J367" i="25" a="1"/>
  <c r="I299" i="25" a="1"/>
  <c r="AH224" i="18" a="1"/>
  <c r="AC499" i="18" a="1"/>
  <c r="D107" i="27"/>
  <c r="J140" i="25" a="1"/>
  <c r="J117" i="25" a="1"/>
  <c r="I62" i="25" a="1"/>
  <c r="AG393" i="18" a="1"/>
  <c r="I148" i="25" a="1"/>
  <c r="AH217" i="18" a="1"/>
  <c r="AG328" i="18" a="1"/>
  <c r="AH399" i="18" a="1"/>
  <c r="AG202" i="18" a="1"/>
  <c r="AC153" i="18" a="1"/>
  <c r="I74" i="25" a="1"/>
  <c r="AC100" i="18" a="1"/>
  <c r="D112" i="27"/>
  <c r="AG9" i="18" a="1"/>
  <c r="AE152" i="18" a="1"/>
  <c r="J192" i="25" a="1"/>
  <c r="AE479" i="18" a="1"/>
  <c r="AD414" i="18" a="1"/>
  <c r="AD106" i="18" a="1"/>
  <c r="AD249" i="18" a="1"/>
  <c r="AH94" i="18" a="1"/>
  <c r="AH450" i="18" a="1"/>
  <c r="AG434" i="18" a="1"/>
  <c r="AD393" i="18" a="1"/>
  <c r="AH100" i="18" a="1"/>
  <c r="AC375" i="18" a="1"/>
  <c r="AF250" i="18" a="1"/>
  <c r="AE306" i="18" a="1"/>
  <c r="AH481" i="18" a="1"/>
  <c r="I279" i="25" a="1"/>
  <c r="J349" i="25" a="1"/>
  <c r="AD64" i="18" a="1"/>
  <c r="AF209" i="18" a="1"/>
  <c r="AH157" i="18" a="1"/>
  <c r="I113" i="25" a="1"/>
  <c r="AC243" i="18" a="1"/>
  <c r="AG364" i="18" a="1"/>
  <c r="AF89" i="18" a="1"/>
  <c r="AC237" i="18" a="1"/>
  <c r="AH314" i="18" a="1"/>
  <c r="J328" i="25" a="1"/>
  <c r="AD41" i="18" a="1"/>
  <c r="AE410" i="18" a="1"/>
  <c r="AC126" i="18" a="1"/>
  <c r="I136" i="25" a="1"/>
  <c r="AC22" i="18" a="1"/>
  <c r="J387" i="25" a="1"/>
  <c r="AE456" i="18" a="1"/>
  <c r="AC465" i="18" a="1"/>
  <c r="AC414" i="18" a="1"/>
  <c r="AD381" i="18" a="1"/>
  <c r="AC152" i="18" a="1"/>
  <c r="AE289" i="18" a="1"/>
  <c r="AE226" i="18" a="1"/>
  <c r="I360" i="25" a="1"/>
  <c r="J104" i="25" a="1"/>
  <c r="AE352" i="18" a="1"/>
  <c r="I242" i="25" a="1"/>
  <c r="AF374" i="18" a="1"/>
  <c r="AE182" i="18" a="1"/>
  <c r="AC462" i="18" a="1"/>
  <c r="AF346" i="18" a="1"/>
  <c r="I154" i="25" a="1"/>
  <c r="AD490" i="18" a="1"/>
  <c r="AE235" i="18" a="1"/>
  <c r="AF478" i="18" a="1"/>
  <c r="AG282" i="18" a="1"/>
  <c r="I381" i="25" a="1"/>
  <c r="AH50" i="18" a="1"/>
  <c r="AD471" i="18" a="1"/>
  <c r="AD362" i="18" a="1"/>
  <c r="AG485" i="18" a="1"/>
  <c r="AF70" i="18" a="1"/>
  <c r="AG378" i="18" a="1"/>
  <c r="AF409" i="18" a="1"/>
  <c r="AC295" i="18" a="1"/>
  <c r="AG464" i="18" a="1"/>
  <c r="AC446" i="18" a="1"/>
  <c r="AH18" i="18" a="1"/>
  <c r="AD287" i="18" a="1"/>
  <c r="AC278" i="18" a="1"/>
  <c r="J40" i="25" a="1"/>
  <c r="AF485" i="18" a="1"/>
  <c r="AC69" i="18" a="1"/>
  <c r="AG54" i="18" a="1"/>
  <c r="AH105" i="18" a="1"/>
  <c r="AG81" i="18" a="1"/>
  <c r="AF476" i="18" a="1"/>
  <c r="AH72" i="18" a="1"/>
  <c r="AD11" i="18" a="1"/>
  <c r="AG308" i="18" a="1"/>
  <c r="J45" i="25" a="1"/>
  <c r="AD142" i="18" a="1"/>
  <c r="AF238" i="18" a="1"/>
  <c r="AD74" i="18" a="1"/>
  <c r="AG452" i="18" a="1"/>
  <c r="AD371" i="18" a="1"/>
  <c r="AG211" i="18" a="1"/>
  <c r="AE191" i="18" a="1"/>
  <c r="AC456" i="18" a="1"/>
  <c r="AG234" i="18" a="1"/>
  <c r="AH123" i="18" a="1"/>
  <c r="AF457" i="18" a="1"/>
  <c r="AG333" i="18" a="1"/>
  <c r="J131" i="25" a="1"/>
  <c r="AG493" i="18" a="1"/>
  <c r="AD488" i="18" a="1"/>
  <c r="AC111" i="18" a="1"/>
  <c r="AF127" i="18" a="1"/>
  <c r="AC226" i="18" a="1"/>
  <c r="D48" i="27"/>
  <c r="AH188" i="18" a="1"/>
  <c r="AC66" i="18" a="1"/>
  <c r="D11" i="27"/>
  <c r="J337" i="25" a="1"/>
  <c r="AH172" i="18" a="1"/>
  <c r="AH292" i="18" a="1"/>
  <c r="AC502" i="18" a="1"/>
  <c r="AE494" i="18" a="1"/>
  <c r="AH483" i="18" a="1"/>
  <c r="AE205" i="18" a="1"/>
  <c r="AF486" i="18" a="1"/>
  <c r="AC67" i="18" a="1"/>
  <c r="AH89" i="18" a="1"/>
  <c r="AH97" i="18" a="1"/>
  <c r="AH214" i="18" a="1"/>
  <c r="AC495" i="18" a="1"/>
  <c r="I53" i="25" a="1"/>
  <c r="I78" i="25" a="1"/>
  <c r="AH438" i="18" a="1"/>
  <c r="AC452" i="18" a="1"/>
  <c r="AC357" i="18" a="1"/>
  <c r="AE161" i="18" a="1"/>
  <c r="AD86" i="18" a="1"/>
  <c r="AE453" i="18" a="1"/>
  <c r="J118" i="25" a="1"/>
  <c r="AG453" i="18" a="1"/>
  <c r="AH63" i="18" a="1"/>
  <c r="AH129" i="18" a="1"/>
  <c r="I331" i="25" a="1"/>
  <c r="AE10" i="18" a="1"/>
  <c r="AG19" i="18" a="1"/>
  <c r="AH290" i="18" a="1"/>
  <c r="AC305" i="18" a="1"/>
  <c r="J300" i="25" a="1"/>
  <c r="AG388" i="18" a="1"/>
  <c r="AD237" i="18" a="1"/>
  <c r="AE208" i="18" a="1"/>
  <c r="AG149" i="18" a="1"/>
  <c r="AG24" i="18" a="1"/>
  <c r="AE58" i="18" a="1"/>
  <c r="AH175" i="18" a="1"/>
  <c r="AE489" i="18" a="1"/>
  <c r="AC79" i="18" a="1"/>
  <c r="AD144" i="18" a="1"/>
  <c r="AF336" i="18" a="1"/>
  <c r="D28" i="27"/>
  <c r="AD321" i="18" a="1"/>
  <c r="AG129" i="18" a="1"/>
  <c r="AD336" i="18" a="1"/>
  <c r="AF24" i="18" a="1"/>
  <c r="AD312" i="18" a="1"/>
  <c r="AF137" i="18" a="1"/>
  <c r="AE268" i="18" a="1"/>
  <c r="AE418" i="18" a="1"/>
  <c r="AG120" i="18" a="1"/>
  <c r="AE476" i="18" a="1"/>
  <c r="AE466" i="18" a="1"/>
  <c r="AE327" i="18" a="1"/>
  <c r="AE59" i="18" a="1"/>
  <c r="AD251" i="18" a="1"/>
  <c r="AF308" i="18" a="1"/>
  <c r="AH384" i="18" a="1"/>
  <c r="D9" i="27"/>
  <c r="AC85" i="18" a="1"/>
  <c r="AE358" i="18" a="1"/>
  <c r="AF502" i="18" a="1"/>
  <c r="AC26" i="18" a="1"/>
  <c r="D65" i="27"/>
  <c r="AC38" i="18" a="1"/>
  <c r="I29" i="25" a="1"/>
  <c r="I44" i="25" a="1"/>
  <c r="AC498" i="18" a="1"/>
  <c r="AG483" i="18" a="1"/>
  <c r="AH26" i="18" a="1"/>
  <c r="AF279" i="18" a="1"/>
  <c r="AE382" i="18" a="1"/>
  <c r="AF180" i="18" a="1"/>
  <c r="AD355" i="18" a="1"/>
  <c r="I120" i="25" a="1"/>
  <c r="AF276" i="18" a="1"/>
  <c r="AF506" i="18" a="1"/>
  <c r="I134" i="25" a="1"/>
  <c r="AC203" i="18" a="1"/>
  <c r="AF129" i="18" a="1"/>
  <c r="AG40" i="18" a="1"/>
  <c r="AE127" i="18" a="1"/>
  <c r="I267" i="25" a="1"/>
  <c r="J400" i="25" a="1"/>
  <c r="AD38" i="18" a="1"/>
  <c r="AF88" i="18" a="1"/>
  <c r="AG272" i="18" a="1"/>
  <c r="J253" i="25" a="1"/>
  <c r="AF204" i="18" a="1"/>
  <c r="AC280" i="18" a="1"/>
  <c r="J274" i="25" a="1"/>
  <c r="AH503" i="18" a="1"/>
  <c r="AH341" i="18" a="1"/>
  <c r="I119" i="25" a="1"/>
  <c r="AG499" i="18" a="1"/>
  <c r="AD236" i="18" a="1"/>
  <c r="AE491" i="18" a="1"/>
  <c r="AF444" i="18" a="1"/>
  <c r="AC261" i="18" a="1"/>
  <c r="AC83" i="18" a="1"/>
  <c r="AC272" i="18" a="1"/>
  <c r="AE30" i="18" a="1"/>
  <c r="AD274" i="18" a="1"/>
  <c r="I239" i="25" a="1"/>
  <c r="AH254" i="18" a="1"/>
  <c r="AH428" i="18" a="1"/>
  <c r="AH495" i="18" a="1"/>
  <c r="AF164" i="18" a="1"/>
  <c r="AF98" i="18" a="1"/>
  <c r="AG165" i="18" a="1"/>
  <c r="AC193" i="18" a="1"/>
  <c r="AF480" i="18" a="1"/>
  <c r="AC234" i="18" a="1"/>
  <c r="AE309" i="18" a="1"/>
  <c r="AE436" i="18" a="1"/>
  <c r="AF439" i="18" a="1"/>
  <c r="I344" i="25" a="1"/>
  <c r="I143" i="25" a="1"/>
  <c r="AC394" i="18" a="1"/>
  <c r="I293" i="25" a="1"/>
  <c r="J250" i="25" a="1"/>
  <c r="AH492" i="18" a="1"/>
  <c r="J142" i="25" a="1"/>
  <c r="AC207" i="18" a="1"/>
  <c r="AC141" i="18" a="1"/>
  <c r="AD100" i="18" a="1"/>
  <c r="AD23" i="18" a="1"/>
  <c r="AH25" i="18" a="1"/>
  <c r="AF311" i="18" a="1"/>
  <c r="J268" i="25" a="1"/>
  <c r="AD141" i="18" a="1"/>
  <c r="AD179" i="18" a="1"/>
  <c r="AF313" i="18" a="1"/>
  <c r="AF126" i="18" a="1"/>
  <c r="I104" i="25" a="1"/>
  <c r="AE213" i="18" a="1"/>
  <c r="AH221" i="18" a="1"/>
  <c r="AG242" i="18" a="1"/>
  <c r="AG439" i="18" a="1"/>
  <c r="AH181" i="18" a="1"/>
  <c r="AC482" i="18" a="1"/>
  <c r="AE147" i="18" a="1"/>
  <c r="AE329" i="18" a="1"/>
  <c r="I315" i="25" a="1"/>
  <c r="AD138" i="18" a="1"/>
  <c r="AF128" i="18" a="1"/>
  <c r="I264" i="25" a="1"/>
  <c r="AF222" i="18" a="1"/>
  <c r="J156" i="25" a="1"/>
  <c r="AG290" i="18" a="1"/>
  <c r="I390" i="25" a="1"/>
  <c r="AE54" i="18" a="1"/>
  <c r="AC379" i="18" a="1"/>
  <c r="J106" i="25" a="1"/>
  <c r="AC471" i="18" a="1"/>
  <c r="AD221" i="18" a="1"/>
  <c r="AH320" i="18" a="1"/>
  <c r="AG174" i="18" a="1"/>
  <c r="AC304" i="18" a="1"/>
  <c r="AF436" i="18" a="1"/>
  <c r="AE473" i="18" a="1"/>
  <c r="AG126" i="18" a="1"/>
  <c r="AF335" i="18" a="1"/>
  <c r="AH297" i="18" a="1"/>
  <c r="AC326" i="18" a="1"/>
  <c r="AE338" i="18" a="1"/>
  <c r="AF270" i="18" a="1"/>
  <c r="AF211" i="18" a="1"/>
  <c r="AH251" i="18" a="1"/>
  <c r="AD13" i="18" a="1"/>
  <c r="AD461" i="18" a="1"/>
  <c r="AF377" i="18" a="1"/>
  <c r="AD428" i="18" a="1"/>
  <c r="I380" i="25" a="1"/>
  <c r="AG318" i="18" a="1"/>
  <c r="AF302" i="18" a="1"/>
  <c r="AF81" i="18" a="1"/>
  <c r="AG139" i="18" a="1"/>
  <c r="AG312" i="18" a="1"/>
  <c r="I359" i="25" a="1"/>
  <c r="J71" i="25" a="1"/>
  <c r="AH319" i="18" a="1"/>
  <c r="AH463" i="18" a="1"/>
  <c r="I130" i="25" a="1"/>
  <c r="AG295" i="18" a="1"/>
  <c r="AF497" i="18" a="1"/>
  <c r="AD128" i="18" a="1"/>
  <c r="AE442" i="18" a="1"/>
  <c r="AG459" i="18" a="1"/>
  <c r="AC453" i="18" a="1"/>
  <c r="AG57" i="18" a="1"/>
  <c r="AF71" i="18" a="1"/>
  <c r="AF456" i="18" a="1"/>
  <c r="AH308" i="18" a="1"/>
  <c r="AE438" i="18" a="1"/>
  <c r="AH330" i="18" a="1"/>
  <c r="AG345" i="18" a="1"/>
  <c r="AF64" i="18" a="1"/>
  <c r="AF258" i="18" a="1"/>
  <c r="I352" i="25" a="1"/>
  <c r="J115" i="25" a="1"/>
  <c r="J44" i="25" a="1"/>
  <c r="I102" i="25" a="1"/>
  <c r="AE477" i="18" a="1"/>
  <c r="AH41" i="18" a="1"/>
  <c r="AD331" i="18" a="1"/>
  <c r="I370" i="25" a="1"/>
  <c r="J211" i="25" a="1"/>
  <c r="AF442" i="18" a="1"/>
  <c r="AG366" i="18" a="1"/>
  <c r="AC95" i="18" a="1"/>
  <c r="AD284" i="18" a="1"/>
  <c r="AH462" i="18" a="1"/>
  <c r="AC255" i="18" a="1"/>
  <c r="AD148" i="18" a="1"/>
  <c r="AG386" i="18" a="1"/>
  <c r="AC9" i="18" a="1"/>
  <c r="AC15" i="18" a="1"/>
  <c r="AE44" i="18" a="1"/>
  <c r="AC238" i="18" a="1"/>
  <c r="I393" i="25" a="1"/>
  <c r="AC235" i="18" a="1"/>
  <c r="D103" i="27"/>
  <c r="AD134" i="18" a="1"/>
  <c r="AF466" i="18" a="1"/>
  <c r="AC401" i="18" a="1"/>
  <c r="AC310" i="18" a="1"/>
  <c r="AE128" i="18" a="1"/>
  <c r="AF450" i="18" a="1"/>
  <c r="AC497" i="18" a="1"/>
  <c r="AH376" i="18" a="1"/>
  <c r="AE187" i="18" a="1"/>
  <c r="AE38" i="18" a="1"/>
  <c r="AH176" i="18" a="1"/>
  <c r="AD479" i="18" a="1"/>
  <c r="AD289" i="18" a="1"/>
  <c r="AE18" i="18" a="1"/>
  <c r="I209" i="25" a="1"/>
  <c r="I22" i="25" a="1"/>
  <c r="AD243" i="18" a="1"/>
  <c r="AE195" i="18" a="1"/>
  <c r="AH246" i="18" a="1"/>
  <c r="AE359" i="18" a="1"/>
  <c r="I356" i="25" a="1"/>
  <c r="AH472" i="18" a="1"/>
  <c r="AF21" i="18" a="1"/>
  <c r="AG321" i="18" a="1"/>
  <c r="AE108" i="18" a="1"/>
  <c r="I162" i="25" a="1"/>
  <c r="AD339" i="18" a="1"/>
  <c r="AF199" i="18" a="1"/>
  <c r="I70" i="25" a="1"/>
  <c r="AF494" i="18" a="1"/>
  <c r="AH47" i="18" a="1"/>
  <c r="AD342" i="18" a="1"/>
  <c r="AD199" i="18" a="1"/>
  <c r="J185" i="25" a="1"/>
  <c r="AD430" i="18" a="1"/>
  <c r="J107" i="25" a="1"/>
  <c r="AH321" i="18" a="1"/>
  <c r="AE51" i="18" a="1"/>
  <c r="AC116" i="18" a="1"/>
  <c r="AC173" i="18" a="1"/>
  <c r="AG66" i="18" a="1"/>
  <c r="AC80" i="18" a="1"/>
  <c r="AC287" i="18" a="1"/>
  <c r="AE26" i="18" a="1"/>
  <c r="AH411" i="18" a="1"/>
  <c r="AG29" i="18" a="1"/>
  <c r="J383" i="25" a="1"/>
  <c r="AF35" i="18" a="1"/>
  <c r="AE159" i="18" a="1"/>
  <c r="AE172" i="18" a="1"/>
  <c r="J176" i="25" a="1"/>
  <c r="AH352" i="18" a="1"/>
  <c r="AF115" i="18" a="1"/>
  <c r="AE454" i="18" a="1"/>
  <c r="J327" i="25" a="1"/>
  <c r="AH414" i="18" a="1"/>
  <c r="J403" i="25" a="1"/>
  <c r="AH135" i="18" a="1"/>
  <c r="AC37" i="18" a="1"/>
  <c r="AG22" i="18" a="1"/>
  <c r="AE115" i="18" a="1"/>
  <c r="I161" i="25" a="1"/>
  <c r="AF455" i="18" a="1"/>
  <c r="AG440" i="18" a="1"/>
  <c r="AG413" i="18" a="1"/>
  <c r="AF338" i="18" a="1"/>
  <c r="AE249" i="18" a="1"/>
  <c r="J279" i="25" a="1"/>
  <c r="AD504" i="18" a="1"/>
  <c r="AD96" i="18" a="1"/>
  <c r="AF134" i="18" a="1"/>
  <c r="J342" i="25" a="1"/>
  <c r="AD413" i="18" a="1"/>
  <c r="AG504" i="18" a="1"/>
  <c r="AF315" i="18" a="1"/>
  <c r="AF247" i="18" a="1"/>
  <c r="AD230" i="18" a="1"/>
  <c r="AF47" i="18" a="1"/>
  <c r="D71" i="27"/>
  <c r="AD497" i="18" a="1"/>
  <c r="AH33" i="18" a="1"/>
  <c r="J195" i="25" a="1"/>
  <c r="J309" i="25" a="1"/>
  <c r="AD174" i="18" a="1"/>
  <c r="AF234" i="18" a="1"/>
  <c r="I51" i="25" a="1"/>
  <c r="AC419" i="18" a="1"/>
  <c r="AC290" i="18" a="1"/>
  <c r="AD135" i="18" a="1"/>
  <c r="I250" i="25" a="1"/>
  <c r="AC469" i="18" a="1"/>
  <c r="I117" i="25" a="1"/>
  <c r="AC257" i="18" a="1"/>
  <c r="J379" i="25" a="1"/>
  <c r="AE111" i="18" a="1"/>
  <c r="J25" i="25" a="1"/>
  <c r="AD7" i="18" a="1"/>
  <c r="AE55" i="18" a="1"/>
  <c r="AG325" i="18" a="1"/>
  <c r="I324" i="25" a="1"/>
  <c r="AH252" i="18" a="1"/>
  <c r="J390" i="25" a="1"/>
  <c r="AC213" i="18" a="1"/>
  <c r="I368" i="25" a="1"/>
  <c r="I272" i="25" a="1"/>
  <c r="AH310" i="18" a="1"/>
  <c r="AG181" i="18" a="1"/>
  <c r="AD22" i="18" a="1"/>
  <c r="AD211" i="18" a="1"/>
  <c r="AG111" i="18" a="1"/>
  <c r="J21" i="25" a="1"/>
  <c r="AH391" i="18" a="1"/>
  <c r="I216" i="25" a="1"/>
  <c r="AD247" i="18" a="1"/>
  <c r="AE295" i="18" a="1"/>
  <c r="I397" i="25" a="1"/>
  <c r="AF286" i="18" a="1"/>
  <c r="AH405" i="18" a="1"/>
  <c r="D40" i="27"/>
  <c r="AD334" i="18" a="1"/>
  <c r="AG274" i="18" a="1"/>
  <c r="I71" i="25" a="1"/>
  <c r="AE153" i="18" a="1"/>
  <c r="AF262" i="18" a="1"/>
  <c r="AF356" i="18" a="1"/>
  <c r="AG301" i="18" a="1"/>
  <c r="AE394" i="18" a="1"/>
  <c r="J231" i="25" a="1"/>
  <c r="AD229" i="18" a="1"/>
  <c r="AC87" i="18" a="1"/>
  <c r="AD114" i="18" a="1"/>
  <c r="AE17" i="18" a="1"/>
  <c r="AD241" i="18" a="1"/>
  <c r="AF49" i="18" a="1"/>
  <c r="AD499" i="18" a="1"/>
  <c r="J294" i="25" a="1"/>
  <c r="AG473" i="18" a="1"/>
  <c r="AE365" i="18" a="1"/>
  <c r="AC229" i="18" a="1"/>
  <c r="I89" i="25" a="1"/>
  <c r="AF149" i="18" a="1"/>
  <c r="AG435" i="18" a="1"/>
  <c r="J54" i="25" a="1"/>
  <c r="D87" i="27"/>
  <c r="AC220" i="18" a="1"/>
  <c r="AG426" i="18" a="1"/>
  <c r="AG319" i="18" a="1"/>
  <c r="AC44" i="18" a="1"/>
  <c r="AH59" i="18" a="1"/>
  <c r="D24" i="27"/>
  <c r="AE421" i="18" a="1"/>
  <c r="AC157" i="18" a="1"/>
  <c r="I10" i="25" a="1"/>
  <c r="AH449" i="18" a="1"/>
  <c r="I371" i="25" a="1"/>
  <c r="AH9" i="18" a="1"/>
  <c r="AH76" i="18" a="1"/>
  <c r="AD119" i="18" a="1"/>
  <c r="AD475" i="18" a="1"/>
  <c r="AF471" i="18" a="1"/>
  <c r="AE176" i="18" a="1"/>
  <c r="AF337" i="18" a="1"/>
  <c r="AC84" i="18" a="1"/>
  <c r="AE85" i="18" a="1"/>
  <c r="AE168" i="18" a="1"/>
  <c r="AH301" i="18" a="1"/>
  <c r="AE163" i="18" a="1"/>
  <c r="AD130" i="18" a="1"/>
  <c r="I334" i="25" a="1"/>
  <c r="J365" i="25" a="1"/>
  <c r="AH29" i="18" a="1"/>
  <c r="J261" i="25" a="1"/>
  <c r="AE237" i="18" a="1"/>
  <c r="AD402" i="18" a="1"/>
  <c r="J275" i="25" a="1"/>
  <c r="AG385" i="18" a="1"/>
  <c r="AH309" i="18" a="1"/>
  <c r="AE326" i="18" a="1"/>
  <c r="AF219" i="18" a="1"/>
  <c r="AG225" i="18" a="1"/>
  <c r="AG299" i="18" a="1"/>
  <c r="AH148" i="18" a="1"/>
  <c r="AH425" i="18" a="1"/>
  <c r="AF153" i="18" a="1"/>
  <c r="AE307" i="18" a="1"/>
  <c r="AC356" i="18" a="1"/>
  <c r="AD502" i="18" a="1"/>
  <c r="I16" i="25" a="1"/>
  <c r="AF360" i="18" a="1"/>
  <c r="AE484" i="18" a="1"/>
  <c r="AD282" i="18" a="1"/>
  <c r="AE83" i="18" a="1"/>
  <c r="AF447" i="18" a="1"/>
  <c r="AH372" i="18" a="1"/>
  <c r="AE299" i="18" a="1"/>
  <c r="I63" i="25" a="1"/>
  <c r="AG414" i="18" a="1"/>
  <c r="I31" i="25" a="1"/>
  <c r="AH322" i="18" a="1"/>
  <c r="I269" i="25" a="1"/>
  <c r="AF414" i="18" a="1"/>
  <c r="AF76" i="18" a="1"/>
  <c r="AG92" i="18" a="1"/>
  <c r="J186" i="25" a="1"/>
  <c r="AD115" i="18" a="1"/>
  <c r="AE92" i="18" a="1"/>
  <c r="AD328" i="18" a="1"/>
  <c r="AD337" i="18" a="1"/>
  <c r="AE157" i="18" a="1"/>
  <c r="AF165" i="18" a="1"/>
  <c r="AH474" i="18" a="1"/>
  <c r="AE97" i="18" a="1"/>
  <c r="AF400" i="18" a="1"/>
  <c r="AF19" i="18" a="1"/>
  <c r="AF86" i="18" a="1"/>
  <c r="AD69" i="18" a="1"/>
  <c r="D81" i="27"/>
  <c r="J28" i="25" a="1"/>
  <c r="AF281" i="18" a="1"/>
  <c r="AG338" i="18" a="1"/>
  <c r="I105" i="25" a="1"/>
  <c r="AG370" i="18" a="1"/>
  <c r="AE445" i="18" a="1"/>
  <c r="AD453" i="18" a="1"/>
  <c r="AF143" i="18" a="1"/>
  <c r="AD425" i="18" a="1"/>
  <c r="J194" i="25" a="1"/>
  <c r="AH350" i="18" a="1"/>
  <c r="AG41" i="18" a="1"/>
  <c r="AE316" i="18" a="1"/>
  <c r="AF208" i="18" a="1"/>
  <c r="J60" i="25" a="1"/>
  <c r="AE126" i="18" a="1"/>
  <c r="J371" i="25" a="1"/>
  <c r="AH323" i="18" a="1"/>
  <c r="AC266" i="18" a="1"/>
  <c r="J182" i="25" a="1"/>
  <c r="J269" i="25" a="1"/>
  <c r="AC256" i="18" a="1"/>
  <c r="AD265" i="18" a="1"/>
  <c r="AE186" i="18" a="1"/>
  <c r="AG469" i="18" a="1"/>
  <c r="AC494" i="18" a="1"/>
  <c r="AH446" i="18" a="1"/>
  <c r="AC108" i="18" a="1"/>
  <c r="AF85" i="18" a="1"/>
  <c r="AG117" i="18" a="1"/>
  <c r="I91" i="25" a="1"/>
  <c r="AC51" i="18" a="1"/>
  <c r="AF390" i="18" a="1"/>
  <c r="AF174" i="18" a="1"/>
  <c r="AC78" i="18" a="1"/>
  <c r="AE169" i="18" a="1"/>
  <c r="J246" i="25" a="1"/>
  <c r="AF488" i="18" a="1"/>
  <c r="AD19" i="18" a="1"/>
  <c r="AE69" i="18" a="1"/>
  <c r="AD123" i="18" a="1"/>
  <c r="I88" i="25" a="1"/>
  <c r="J329" i="25" a="1"/>
  <c r="AG23" i="18" a="1"/>
  <c r="J218" i="25" a="1"/>
  <c r="AD203" i="18" a="1"/>
  <c r="J161" i="25" a="1"/>
  <c r="AC125" i="18" a="1"/>
  <c r="AG261" i="18" a="1"/>
  <c r="AD379" i="18" a="1"/>
  <c r="AC322" i="18" a="1"/>
  <c r="AG479" i="18" a="1"/>
  <c r="AE103" i="18" a="1"/>
  <c r="AF387" i="18" a="1"/>
  <c r="AE460" i="18" a="1"/>
  <c r="AD205" i="18" a="1"/>
  <c r="I66" i="25" a="1"/>
  <c r="AE204" i="18" a="1"/>
  <c r="J375" i="25" a="1"/>
  <c r="AG342" i="18" a="1"/>
  <c r="AH109" i="18" a="1"/>
  <c r="D99" i="27"/>
  <c r="AH343" i="18" a="1"/>
  <c r="AH471" i="18" a="1"/>
  <c r="I179" i="25" a="1"/>
  <c r="I373" i="25" a="1"/>
  <c r="AC224" i="18" a="1"/>
  <c r="I258" i="25" a="1"/>
  <c r="AG420" i="18" a="1"/>
  <c r="AD143" i="18" a="1"/>
  <c r="AE384" i="18" a="1"/>
  <c r="AC240" i="18" a="1"/>
  <c r="AG460" i="18" a="1"/>
  <c r="I111" i="25" a="1"/>
  <c r="D60" i="27"/>
  <c r="AC42" i="18" a="1"/>
  <c r="AG376" i="18" a="1"/>
  <c r="AH17" i="18" a="1"/>
  <c r="AH225" i="18" a="1"/>
  <c r="AD438" i="18" a="1"/>
  <c r="AD290" i="18" a="1"/>
  <c r="AC410" i="18" a="1"/>
  <c r="AF7" i="18" a="1"/>
  <c r="AF253" i="18" a="1"/>
  <c r="AC130" i="18" a="1"/>
  <c r="D31" i="27"/>
  <c r="AD308" i="18" a="1"/>
  <c r="AG36" i="18" a="1"/>
  <c r="AH133" i="18" a="1"/>
  <c r="J287" i="25" a="1"/>
  <c r="I207" i="25" a="1"/>
  <c r="AG461" i="18" a="1"/>
  <c r="AC477" i="18" a="1"/>
  <c r="AH369" i="18" a="1"/>
  <c r="AD147" i="18" a="1"/>
  <c r="AE220" i="18" a="1"/>
  <c r="AD136" i="18" a="1"/>
  <c r="D35" i="27"/>
  <c r="AC254" i="18" a="1"/>
  <c r="AE251" i="18" a="1"/>
  <c r="AC105" i="18" a="1"/>
  <c r="AF382" i="18" a="1"/>
  <c r="AF58" i="18" a="1"/>
  <c r="AF210" i="18" a="1"/>
  <c r="J37" i="25" a="1"/>
  <c r="AD47" i="18" a="1"/>
  <c r="AD405" i="18" a="1"/>
  <c r="AE106" i="18" a="1"/>
  <c r="AG249" i="18" a="1"/>
  <c r="AF332" i="18" a="1"/>
  <c r="J266" i="25" a="1"/>
  <c r="AD175" i="18" a="1"/>
  <c r="AE346" i="18" a="1"/>
  <c r="AH484" i="18" a="1"/>
  <c r="I375" i="25" a="1"/>
  <c r="AH31" i="18" a="1"/>
  <c r="AF194" i="18" a="1"/>
  <c r="I181" i="25" a="1"/>
  <c r="AD445" i="18" a="1"/>
  <c r="AD462" i="18" a="1"/>
  <c r="AH56" i="18" a="1"/>
  <c r="AE65" i="18" a="1"/>
  <c r="AG500" i="18" a="1"/>
  <c r="I157" i="25" a="1"/>
  <c r="AC406" i="18" a="1"/>
  <c r="AF435" i="18" a="1"/>
  <c r="AE145" i="18" a="1"/>
  <c r="AH125" i="18" a="1"/>
  <c r="J100" i="25" a="1"/>
  <c r="AD212" i="18" a="1"/>
  <c r="AD122" i="18" a="1"/>
  <c r="AE52" i="18" a="1"/>
  <c r="AE185" i="18" a="1"/>
  <c r="AC316" i="18" a="1"/>
  <c r="AD307" i="18" a="1"/>
  <c r="I332" i="25" a="1"/>
  <c r="AG429" i="18" a="1"/>
  <c r="AE330" i="18" a="1"/>
  <c r="I218" i="25" a="1"/>
  <c r="AF50" i="18" a="1"/>
  <c r="AD82" i="18" a="1"/>
  <c r="AF364" i="18" a="1"/>
  <c r="AE431" i="18" a="1"/>
  <c r="AC302" i="18" a="1"/>
  <c r="AC312" i="18" a="1"/>
  <c r="AG263" i="18" a="1"/>
  <c r="J29" i="25" a="1"/>
  <c r="AH401" i="18" a="1"/>
  <c r="AG348" i="18" a="1"/>
  <c r="J292" i="25" a="1"/>
  <c r="AH461" i="18" a="1"/>
  <c r="AG264" i="18" a="1"/>
  <c r="AC281" i="18" a="1"/>
  <c r="AC132" i="18" a="1"/>
  <c r="I362" i="25" a="1"/>
  <c r="AH440" i="18" a="1"/>
  <c r="AH447" i="18" a="1"/>
  <c r="AC366" i="18" a="1"/>
  <c r="AD202" i="18" a="1"/>
  <c r="AH397" i="18" a="1"/>
  <c r="AG343" i="18" a="1"/>
  <c r="AE334" i="18" a="1"/>
  <c r="J105" i="25" a="1"/>
  <c r="AG424" i="18" a="1"/>
  <c r="AG210" i="18" a="1"/>
  <c r="AH435" i="18" a="1"/>
  <c r="AC346" i="18" a="1"/>
  <c r="AD216" i="18" a="1"/>
  <c r="AC48" i="18" a="1"/>
  <c r="AF226" i="18" a="1"/>
  <c r="J129" i="25" a="1"/>
  <c r="AG291" i="18" a="1"/>
  <c r="AD255" i="18" a="1"/>
  <c r="AD57" i="18" a="1"/>
  <c r="AE281" i="18" a="1"/>
  <c r="AE368" i="18" a="1"/>
  <c r="J18" i="25" a="1"/>
  <c r="AH445" i="18" a="1"/>
  <c r="AF175" i="18" a="1"/>
  <c r="AC377" i="18" a="1"/>
  <c r="AH166" i="18" a="1"/>
  <c r="AF65" i="18" a="1"/>
  <c r="AC21" i="18" a="1"/>
  <c r="J109" i="25" a="1"/>
  <c r="AG162" i="18" a="1"/>
  <c r="D111" i="27"/>
  <c r="AC299" i="18" a="1"/>
  <c r="AC204" i="18" a="1"/>
  <c r="AF437" i="18" a="1"/>
  <c r="AH228" i="18" a="1"/>
  <c r="AE437" i="18" a="1"/>
  <c r="I103" i="25" a="1"/>
  <c r="AC387" i="18" a="1"/>
  <c r="AH335" i="18" a="1"/>
  <c r="AE469" i="18" a="1"/>
  <c r="I300" i="25" a="1"/>
  <c r="AH42" i="18" a="1"/>
  <c r="AE34" i="18" a="1"/>
  <c r="AG227" i="18" a="1"/>
  <c r="D32" i="27"/>
  <c r="AF463" i="18" a="1"/>
  <c r="AG266" i="18" a="1"/>
  <c r="J155" i="25" a="1"/>
  <c r="AH237" i="18" a="1"/>
  <c r="AD412" i="18" a="1"/>
  <c r="AC46" i="18" a="1"/>
  <c r="AF154" i="18" a="1"/>
  <c r="J258" i="25" a="1"/>
  <c r="AC221" i="18" a="1"/>
  <c r="AE385" i="18" a="1"/>
  <c r="I361" i="25" a="1"/>
  <c r="AH328" i="18" a="1"/>
  <c r="I246" i="25" a="1"/>
  <c r="AH10" i="18" a="1"/>
  <c r="I357" i="25" a="1"/>
  <c r="AH131" i="18" a="1"/>
  <c r="I128" i="25" a="1"/>
  <c r="AE322" i="18" a="1"/>
  <c r="AD36" i="18" a="1"/>
  <c r="AC14" i="18" a="1"/>
  <c r="AG99" i="18" a="1"/>
  <c r="AD81" i="18" a="1"/>
  <c r="AG488" i="18" a="1"/>
  <c r="AD89" i="18" a="1"/>
  <c r="AF205" i="18" a="1"/>
  <c r="AH153" i="18" a="1"/>
  <c r="AH448" i="18" a="1"/>
  <c r="AC61" i="18" a="1"/>
  <c r="AG307" i="18" a="1"/>
  <c r="J338" i="25" a="1"/>
  <c r="AC411" i="18" a="1"/>
  <c r="I84" i="25" a="1"/>
  <c r="AH145" i="18" a="1"/>
  <c r="AF231" i="18" a="1"/>
  <c r="AE341" i="18" a="1"/>
  <c r="AD108" i="18" a="1"/>
  <c r="AE135" i="18" a="1"/>
  <c r="J41" i="25" a="1"/>
  <c r="AG95" i="18" a="1"/>
  <c r="AE136" i="18" a="1"/>
  <c r="AF340" i="18" a="1"/>
  <c r="I281" i="25" a="1"/>
  <c r="AG279" i="18" a="1"/>
  <c r="AD387" i="18" a="1"/>
  <c r="AD9" i="18" a="1"/>
  <c r="I55" i="25" a="1"/>
  <c r="I318" i="25" a="1"/>
  <c r="AE308" i="18" a="1"/>
  <c r="I403" i="25" a="1"/>
  <c r="J351" i="25" a="1"/>
  <c r="AD408" i="18" a="1"/>
  <c r="AH351" i="18" a="1"/>
  <c r="D96" i="27"/>
  <c r="I205" i="25" a="1"/>
  <c r="I244" i="25" a="1"/>
  <c r="I338" i="25" a="1"/>
  <c r="AE482" i="18" a="1"/>
  <c r="AF260" i="18" a="1"/>
  <c r="AC8" i="18" a="1"/>
  <c r="AC463" i="18" a="1"/>
  <c r="AF289" i="18" a="1"/>
  <c r="AF325" i="18" a="1"/>
  <c r="I171" i="25" a="1"/>
  <c r="AH249" i="18" a="1"/>
  <c r="AG34" i="18" a="1"/>
  <c r="AC415" i="18" a="1"/>
  <c r="AH444" i="18" a="1"/>
  <c r="AE70" i="18" a="1"/>
  <c r="I151" i="25" a="1"/>
  <c r="AF470" i="18" a="1"/>
  <c r="J306" i="25" a="1"/>
  <c r="AD116" i="18" a="1"/>
  <c r="J151" i="25" a="1"/>
  <c r="I395" i="25" a="1"/>
  <c r="AG8" i="18" a="1"/>
  <c r="AH477" i="18" a="1"/>
  <c r="D73" i="27"/>
  <c r="AG425" i="18" a="1"/>
  <c r="AE99" i="18" a="1"/>
  <c r="AD258" i="18" a="1"/>
  <c r="AC172" i="18" a="1"/>
  <c r="AC28" i="18" a="1"/>
  <c r="AG240" i="18" a="1"/>
  <c r="AG89" i="18" a="1"/>
  <c r="AC209" i="18" a="1"/>
  <c r="AE444" i="18" a="1"/>
  <c r="AC286" i="18" a="1"/>
  <c r="AF452" i="18" a="1"/>
  <c r="AC137" i="18" a="1"/>
  <c r="J392" i="25" a="1"/>
  <c r="AD396" i="18" a="1"/>
  <c r="J249" i="25" a="1"/>
  <c r="I391" i="25" a="1"/>
  <c r="AC374" i="18" a="1"/>
  <c r="J93" i="25" a="1"/>
  <c r="AH348" i="18" a="1"/>
  <c r="I75" i="25" a="1"/>
  <c r="J281" i="25" a="1"/>
  <c r="AF454" i="18" a="1"/>
  <c r="AG151" i="18" a="1"/>
  <c r="AD283" i="18" a="1"/>
  <c r="AE19" i="18" a="1"/>
  <c r="AE288" i="18" a="1"/>
  <c r="AH167" i="18" a="1"/>
  <c r="AE198" i="18" a="1"/>
  <c r="AG310" i="18" a="1"/>
  <c r="AC24" i="18" a="1"/>
  <c r="AG294" i="18" a="1"/>
  <c r="AE219" i="18" a="1"/>
  <c r="AE137" i="18" a="1"/>
  <c r="J130" i="25" a="1"/>
  <c r="AG505" i="18" a="1"/>
  <c r="AC7" i="18" a="1"/>
  <c r="AD350" i="18" a="1"/>
  <c r="AH34" i="18" a="1"/>
  <c r="AE104" i="18" a="1"/>
  <c r="AC314" i="18" a="1"/>
  <c r="AE61" i="18" a="1"/>
  <c r="AD291" i="18" a="1"/>
  <c r="AF171" i="18" a="1"/>
  <c r="AD188" i="18" a="1"/>
  <c r="AF440" i="18" a="1"/>
  <c r="J139" i="25" a="1"/>
  <c r="AC455" i="18" a="1"/>
  <c r="J394" i="25" a="1"/>
  <c r="AG119" i="18" a="1"/>
  <c r="J206" i="25" a="1"/>
  <c r="AD33" i="18" a="1"/>
  <c r="AE260" i="18" a="1"/>
  <c r="AC393" i="18" a="1"/>
  <c r="AH70" i="18" a="1"/>
  <c r="AF339" i="18" a="1"/>
  <c r="AH490" i="18" a="1"/>
  <c r="AH84" i="18" a="1"/>
  <c r="AH73" i="18" a="1"/>
  <c r="AD194" i="18" a="1"/>
  <c r="J236" i="25" a="1"/>
  <c r="AF163" i="18" a="1"/>
  <c r="J362" i="25" a="1"/>
  <c r="AH245" i="18" a="1"/>
  <c r="J22" i="25" a="1"/>
  <c r="AF389" i="18" a="1"/>
  <c r="AC25" i="18" a="1"/>
  <c r="AG155" i="18" a="1"/>
  <c r="I388" i="25" a="1"/>
  <c r="AD215" i="18" a="1"/>
  <c r="AH382" i="18" a="1"/>
  <c r="I58" i="25" a="1"/>
  <c r="AG411" i="18" a="1"/>
  <c r="AH126" i="18" a="1"/>
  <c r="AC122" i="18" a="1"/>
  <c r="I101" i="25" a="1"/>
  <c r="I194" i="25" a="1"/>
  <c r="I146" i="25" a="1"/>
  <c r="AF148" i="18" a="1"/>
  <c r="AH417" i="18" a="1"/>
  <c r="AC267" i="18" a="1"/>
  <c r="I234" i="25" a="1"/>
  <c r="I328" i="25" a="1"/>
  <c r="AC82" i="18" a="1"/>
  <c r="AC358" i="18" a="1"/>
  <c r="AD153" i="18" a="1"/>
  <c r="AG194" i="18" a="1"/>
  <c r="AE45" i="18" a="1"/>
  <c r="J232" i="25" a="1"/>
  <c r="AH194" i="18" a="1"/>
  <c r="J86" i="25" a="1"/>
  <c r="AD275" i="18" a="1"/>
  <c r="AD35" i="18" a="1"/>
  <c r="AG15" i="18" a="1"/>
  <c r="AE139" i="18" a="1"/>
  <c r="AH504" i="18" a="1"/>
  <c r="I131" i="25" a="1"/>
  <c r="AD169" i="18" a="1"/>
  <c r="AF144" i="18" a="1"/>
  <c r="AC284" i="18" a="1"/>
  <c r="AC147" i="18" a="1"/>
  <c r="I24" i="25" a="1"/>
  <c r="AF284" i="18" a="1"/>
  <c r="AD83" i="18" a="1"/>
  <c r="I248" i="25" a="1"/>
  <c r="AH11" i="18" a="1"/>
  <c r="AD185" i="18" a="1"/>
  <c r="AD109" i="18" a="1"/>
  <c r="AC478" i="18" a="1"/>
  <c r="AC11" i="18" a="1"/>
  <c r="AH137" i="18" a="1"/>
  <c r="AD505" i="18" a="1"/>
  <c r="AE193" i="18" a="1"/>
  <c r="AD155" i="18" a="1"/>
  <c r="AD101" i="18" a="1"/>
  <c r="AC76" i="18" a="1"/>
  <c r="J241" i="25" a="1"/>
  <c r="AG156" i="18" a="1"/>
  <c r="AD452" i="18" a="1"/>
  <c r="AH223" i="18" a="1"/>
  <c r="J307" i="25" a="1"/>
  <c r="AC418" i="18" a="1"/>
  <c r="AC167" i="18" a="1"/>
  <c r="AH493" i="18" a="1"/>
  <c r="AF369" i="18" a="1"/>
  <c r="AG110" i="18" a="1"/>
  <c r="D44" i="27"/>
  <c r="AH179" i="18" a="1"/>
  <c r="AE77" i="18" a="1"/>
  <c r="J384" i="25" a="1"/>
  <c r="AC313" i="18" a="1"/>
  <c r="AH44" i="18" a="1"/>
  <c r="AH165" i="18" a="1"/>
  <c r="AE177" i="18" a="1"/>
  <c r="AG456" i="18" a="1"/>
  <c r="J148" i="25" a="1"/>
  <c r="AC31" i="18" a="1"/>
  <c r="I196" i="25" a="1"/>
  <c r="AE140" i="18" a="1"/>
  <c r="D85" i="27"/>
  <c r="AE435" i="18" a="1"/>
  <c r="AE355" i="18" a="1"/>
  <c r="AH332" i="18" a="1"/>
  <c r="J388" i="25" a="1"/>
  <c r="AD196" i="18" a="1"/>
  <c r="AD27" i="18" a="1"/>
  <c r="AG143" i="18" a="1"/>
  <c r="AE387" i="18" a="1"/>
  <c r="J345" i="25" a="1"/>
  <c r="AF395" i="18" a="1"/>
  <c r="AG296" i="18" a="1"/>
  <c r="AD487" i="18" a="1"/>
  <c r="J11" i="25" a="1"/>
  <c r="AF187" i="18" a="1"/>
  <c r="AC218" i="18" a="1"/>
  <c r="AC97" i="18" a="1"/>
  <c r="I367" i="25" a="1"/>
  <c r="AH220" i="18" a="1"/>
  <c r="AE452" i="18" a="1"/>
  <c r="AH46" i="18" a="1"/>
  <c r="AH467" i="18" a="1"/>
  <c r="AF443" i="18" a="1"/>
  <c r="J357" i="25" a="1"/>
  <c r="AG436" i="18" a="1"/>
  <c r="AG314" i="18" a="1"/>
  <c r="AH424" i="18" a="1"/>
  <c r="AC386" i="18" a="1"/>
  <c r="AD16" i="18" a="1"/>
  <c r="AC23" i="18" a="1"/>
  <c r="I289" i="25" a="1"/>
  <c r="AH206" i="18" a="1"/>
  <c r="AC403" i="18" a="1"/>
  <c r="AE383" i="18" a="1"/>
  <c r="AH12" i="18" a="1"/>
  <c r="AC325" i="18" a="1"/>
  <c r="AH311" i="18" a="1"/>
  <c r="AF357" i="18" a="1"/>
  <c r="AF376" i="18" a="1"/>
  <c r="AH122" i="18" a="1"/>
  <c r="AC92" i="18" a="1"/>
  <c r="AD349" i="18" a="1"/>
  <c r="AC397" i="18" a="1"/>
  <c r="AH190" i="18" a="1"/>
  <c r="I295" i="25" a="1"/>
  <c r="J347" i="25" a="1"/>
  <c r="AD121" i="18" a="1"/>
  <c r="AF168" i="18" a="1"/>
  <c r="AE46" i="18" a="1"/>
  <c r="J63" i="25" a="1"/>
  <c r="AE43" i="18" a="1"/>
  <c r="AE503" i="18" a="1"/>
  <c r="AC163" i="18" a="1"/>
  <c r="AF124" i="18" a="1"/>
  <c r="I309" i="25" a="1"/>
  <c r="J205" i="25" a="1"/>
  <c r="AG33" i="18" a="1"/>
  <c r="AF51" i="18" a="1"/>
  <c r="AC54" i="18" a="1"/>
  <c r="AD385" i="18" a="1"/>
  <c r="AH394" i="18" a="1"/>
  <c r="AE88" i="18" a="1"/>
  <c r="AF283" i="18" a="1"/>
  <c r="AC327" i="18" a="1"/>
  <c r="I210" i="25" a="1"/>
  <c r="AG154" i="18" a="1"/>
  <c r="AF252" i="18" a="1"/>
  <c r="AF396" i="18" a="1"/>
  <c r="AH473" i="18" a="1"/>
  <c r="AD62" i="18" a="1"/>
  <c r="J30" i="25" a="1"/>
  <c r="I27" i="25" a="1"/>
  <c r="AE175" i="18" a="1"/>
  <c r="AH304" i="18" a="1"/>
  <c r="AG476" i="18" a="1"/>
  <c r="AG12" i="18" a="1"/>
  <c r="J159" i="25" a="1"/>
  <c r="AG102" i="18" a="1"/>
  <c r="AE223" i="18" a="1"/>
  <c r="AF487" i="18" a="1"/>
  <c r="AD463" i="18" a="1"/>
  <c r="AG13" i="18" a="1"/>
  <c r="AE225" i="18" a="1"/>
  <c r="AH205" i="18" a="1"/>
  <c r="AF479" i="18" a="1"/>
  <c r="I316" i="25" a="1"/>
  <c r="AD234" i="18" a="1"/>
  <c r="AF139" i="18" a="1"/>
  <c r="AC59" i="18" a="1"/>
  <c r="AD139" i="18" a="1"/>
  <c r="AG64" i="18" a="1"/>
  <c r="AG398" i="18" a="1"/>
  <c r="AD288" i="18" a="1"/>
  <c r="AG147" i="18" a="1"/>
  <c r="AH385" i="18" a="1"/>
  <c r="J89" i="25" a="1"/>
  <c r="AD313" i="18" a="1"/>
  <c r="AD146" i="18" a="1"/>
  <c r="J263" i="25" a="1"/>
  <c r="AC217" i="18" a="1"/>
  <c r="AF72" i="18" a="1"/>
  <c r="I180" i="25" a="1"/>
  <c r="AH298" i="18" a="1"/>
  <c r="AE25" i="18" a="1"/>
  <c r="AE40" i="18" a="1"/>
  <c r="J82" i="25" a="1"/>
  <c r="J81" i="25" a="1"/>
  <c r="AE304" i="18" a="1"/>
  <c r="AF391" i="18" a="1"/>
  <c r="AH339" i="18" a="1"/>
  <c r="AH317" i="18" a="1"/>
  <c r="AG489" i="18" a="1"/>
  <c r="AG18" i="18" a="1"/>
  <c r="AC334" i="18" a="1"/>
  <c r="AC64" i="18" a="1"/>
  <c r="AE388" i="18" a="1"/>
  <c r="J138" i="25" a="1"/>
  <c r="AG255" i="18" a="1"/>
  <c r="D49" i="27"/>
  <c r="D97" i="27"/>
  <c r="AE498" i="18" a="1"/>
  <c r="AE291" i="18" a="1"/>
  <c r="AG127" i="18" a="1"/>
  <c r="AE96" i="18" a="1"/>
  <c r="AE105" i="18" a="1"/>
  <c r="I223" i="25" a="1"/>
  <c r="AG287" i="18" a="1"/>
  <c r="AF63" i="18" a="1"/>
  <c r="AD182" i="18" a="1"/>
  <c r="AC169" i="18" a="1"/>
  <c r="I204" i="25" a="1"/>
  <c r="AG77" i="18" a="1"/>
  <c r="AC317" i="18" a="1"/>
  <c r="AG90" i="18" a="1"/>
  <c r="J260" i="25" a="1"/>
  <c r="AG232" i="18" a="1"/>
  <c r="I34" i="25" a="1"/>
  <c r="J76" i="25" a="1"/>
  <c r="AC276" i="18" a="1"/>
  <c r="AF274" i="18" a="1"/>
  <c r="AD478" i="18" a="1"/>
  <c r="I118" i="25" a="1"/>
  <c r="AG273" i="18" a="1"/>
  <c r="AC352" i="18" a="1"/>
  <c r="AG498" i="18" a="1"/>
  <c r="AF184" i="18" a="1"/>
  <c r="AF304" i="18" a="1"/>
  <c r="AF55" i="18" a="1"/>
  <c r="I183" i="25" a="1"/>
  <c r="AF359" i="18" a="1"/>
  <c r="AF449" i="18" a="1"/>
  <c r="AG65" i="18" a="1"/>
  <c r="AG101" i="18" a="1"/>
  <c r="AF191" i="18" a="1"/>
  <c r="I291" i="25" a="1"/>
  <c r="AD244" i="18" a="1"/>
  <c r="AC485" i="18" a="1"/>
  <c r="AD356" i="18" a="1"/>
  <c r="J302" i="25" a="1"/>
  <c r="AG278" i="18" a="1"/>
  <c r="J34" i="25" a="1"/>
  <c r="AH196" i="18" a="1"/>
  <c r="AE11" i="18" a="1"/>
  <c r="AD329" i="18" a="1"/>
  <c r="J318" i="25" a="1"/>
  <c r="AD232" i="18" a="1"/>
  <c r="AD10" i="18" a="1"/>
  <c r="AE429" i="18" a="1"/>
  <c r="I337" i="25" a="1"/>
  <c r="AH156" i="18" a="1"/>
  <c r="AD358" i="18" a="1"/>
  <c r="AH342" i="18" a="1"/>
  <c r="AG390" i="18" a="1"/>
  <c r="AD304" i="18" a="1"/>
  <c r="AH316" i="18" a="1"/>
  <c r="AD420" i="18" a="1"/>
  <c r="AF384" i="18" a="1"/>
  <c r="AE354" i="18" a="1"/>
  <c r="I372" i="25" a="1"/>
  <c r="AD496" i="18" a="1"/>
  <c r="J248" i="25" a="1"/>
  <c r="J170" i="25" a="1"/>
  <c r="AD359" i="18" a="1"/>
  <c r="AF38" i="18" a="1"/>
  <c r="J150" i="25" a="1"/>
  <c r="AC363" i="18" a="1"/>
  <c r="AG408" i="18" a="1"/>
  <c r="AD399" i="18" a="1"/>
  <c r="I132" i="25" a="1"/>
  <c r="AF17" i="18" a="1"/>
  <c r="AF461" i="18" a="1"/>
  <c r="AE320" i="18" a="1"/>
  <c r="AD326" i="18" a="1"/>
  <c r="J119" i="25" a="1"/>
  <c r="AD335" i="18" a="1"/>
  <c r="J341" i="25" a="1"/>
  <c r="AG392" i="18" a="1"/>
  <c r="AH23" i="18" a="1"/>
  <c r="AH296" i="18" a="1"/>
  <c r="AE15" i="18" a="1"/>
  <c r="AD363" i="18" a="1"/>
  <c r="AF358" i="18" a="1"/>
  <c r="AG204" i="18" a="1"/>
  <c r="AG112" i="18" a="1"/>
  <c r="AE371" i="18" a="1"/>
  <c r="AC501" i="18" a="1"/>
  <c r="I140" i="25" a="1"/>
  <c r="AH199" i="18" a="1"/>
  <c r="AC252" i="18" a="1"/>
  <c r="AC500" i="18" a="1"/>
  <c r="AG363" i="18" a="1"/>
  <c r="AD341" i="18" a="1"/>
  <c r="I364" i="25" a="1"/>
  <c r="AE166" i="18" a="1"/>
  <c r="I294" i="25" a="1"/>
  <c r="AC402" i="18" a="1"/>
  <c r="AC16" i="18" a="1"/>
  <c r="AG35" i="18" a="1"/>
  <c r="AD156" i="18" a="1"/>
  <c r="AH302" i="18" a="1"/>
  <c r="AE474" i="18" a="1"/>
  <c r="AE287" i="18" a="1"/>
  <c r="AG235" i="18" a="1"/>
  <c r="I311" i="25" a="1"/>
  <c r="AH189" i="18" a="1"/>
  <c r="AH430" i="18" a="1"/>
  <c r="AG166" i="18" a="1"/>
  <c r="AD133" i="18" a="1"/>
  <c r="AF189" i="18" a="1"/>
  <c r="AG17" i="18" a="1"/>
  <c r="AC448" i="18" a="1"/>
  <c r="AF114" i="18" a="1"/>
  <c r="I178" i="25" a="1"/>
  <c r="J114" i="25" a="1"/>
  <c r="AH285" i="18" a="1"/>
  <c r="AD295" i="18" a="1"/>
  <c r="AG305" i="18" a="1"/>
  <c r="AF185" i="18" a="1"/>
  <c r="AG10" i="18" a="1"/>
  <c r="AG503" i="18" a="1"/>
  <c r="AH439" i="18" a="1"/>
  <c r="AF179" i="18" a="1"/>
  <c r="AE36" i="18" a="1"/>
  <c r="AG412" i="18" a="1"/>
  <c r="AH324" i="18" a="1"/>
  <c r="AD375" i="18" a="1"/>
  <c r="AC398" i="18" a="1"/>
  <c r="AH142" i="18" a="1"/>
  <c r="AF388" i="18" a="1"/>
  <c r="AD301" i="18" a="1"/>
  <c r="AE315" i="18" a="1"/>
  <c r="AE132" i="18" a="1"/>
  <c r="AH407" i="18" a="1"/>
  <c r="AF39" i="18" a="1"/>
  <c r="AE20" i="18" a="1"/>
  <c r="AG214" i="18" a="1"/>
  <c r="I177" i="25" a="1"/>
  <c r="AD73" i="18" a="1"/>
  <c r="I268" i="25" a="1"/>
  <c r="AG315" i="18" a="1"/>
  <c r="D91" i="27"/>
  <c r="AC437" i="18" a="1"/>
  <c r="AF365" i="18" a="1"/>
  <c r="AG184" i="18" a="1"/>
  <c r="AH210" i="18" a="1"/>
  <c r="AH359" i="18" a="1"/>
  <c r="AG480" i="18" a="1"/>
  <c r="AE120" i="18" a="1"/>
  <c r="AE93" i="18" a="1"/>
  <c r="AH365" i="18" a="1"/>
  <c r="I65" i="25" a="1"/>
  <c r="I310" i="25" a="1"/>
  <c r="AE282" i="18" a="1"/>
  <c r="AH127" i="18" a="1"/>
  <c r="I259" i="25" a="1"/>
  <c r="AE415" i="18" a="1"/>
  <c r="AC431" i="18" a="1"/>
  <c r="AF367" i="18" a="1"/>
  <c r="AE221" i="18" a="1"/>
  <c r="I221" i="25" a="1"/>
  <c r="J35" i="25" a="1"/>
  <c r="AG444" i="18" a="1"/>
  <c r="J64" i="25" a="1"/>
  <c r="AE196" i="18" a="1"/>
  <c r="AH500" i="18" a="1"/>
  <c r="AG146" i="18" a="1"/>
  <c r="AG196" i="18" a="1"/>
  <c r="AH274" i="18" a="1"/>
  <c r="AH273" i="18" a="1"/>
  <c r="AF342" i="18" a="1"/>
  <c r="AE294" i="18" a="1"/>
  <c r="J217" i="25" a="1"/>
  <c r="AE171" i="18" a="1"/>
  <c r="AD372" i="18" a="1"/>
  <c r="AF176" i="18" a="1"/>
  <c r="AD318" i="18" a="1"/>
  <c r="AD311" i="18" a="1"/>
  <c r="AG203" i="18" a="1"/>
  <c r="AE425" i="18" a="1"/>
  <c r="J72" i="25" a="1"/>
  <c r="AC34" i="18" a="1"/>
  <c r="AC289" i="18" a="1"/>
  <c r="AG416" i="18" a="1"/>
  <c r="AF295" i="18" a="1"/>
  <c r="AF230" i="18" a="1"/>
  <c r="AH299" i="18" a="1"/>
  <c r="AH432" i="18" a="1"/>
  <c r="J283" i="25" a="1"/>
  <c r="J257" i="25" a="1"/>
  <c r="AD303" i="18" a="1"/>
  <c r="AF43" i="18" a="1"/>
  <c r="AG130" i="18" a="1"/>
  <c r="AH144" i="18" a="1"/>
  <c r="AF428" i="18" a="1"/>
  <c r="AE381" i="18" a="1"/>
  <c r="AE392" i="18" a="1"/>
  <c r="AG161" i="18" a="1"/>
  <c r="AE113" i="18" a="1"/>
  <c r="AH110" i="18" a="1"/>
  <c r="AG142" i="18" a="1"/>
  <c r="AE313" i="18" a="1"/>
  <c r="AF212" i="18" a="1"/>
  <c r="AD45" i="18" a="1"/>
  <c r="AF458" i="18" a="1"/>
  <c r="AG86" i="18" a="1"/>
  <c r="AC258" i="18" a="1"/>
  <c r="J330" i="25" a="1"/>
  <c r="AF159" i="18" a="1"/>
  <c r="AF404" i="18" a="1"/>
  <c r="I11" i="25" a="1"/>
  <c r="AF26" i="18" a="1"/>
  <c r="J27" i="25" a="1"/>
  <c r="AC443" i="18" a="1"/>
  <c r="AD310" i="18" a="1"/>
  <c r="AH219" i="18" a="1"/>
  <c r="I85" i="25" a="1"/>
  <c r="AG169" i="18" a="1"/>
  <c r="I173" i="25" a="1"/>
  <c r="J259" i="25" a="1"/>
  <c r="AE478" i="18" a="1"/>
  <c r="AG346" i="18" a="1"/>
  <c r="AC117" i="18" a="1"/>
  <c r="AF464" i="18" a="1"/>
  <c r="AC372" i="18" a="1"/>
  <c r="AG251" i="18" a="1"/>
  <c r="AE395" i="18" a="1"/>
  <c r="AH231" i="18" a="1"/>
  <c r="J278" i="25" a="1"/>
  <c r="AG105" i="18" a="1"/>
  <c r="AC156" i="18" a="1"/>
  <c r="AH77" i="18" a="1"/>
  <c r="AD111" i="18" a="1"/>
  <c r="AG267" i="18" a="1"/>
  <c r="AF406" i="18" a="1"/>
  <c r="AC277" i="18" a="1"/>
  <c r="I342" i="25" a="1"/>
  <c r="AC151" i="18" a="1"/>
  <c r="J5" i="25" a="1"/>
  <c r="AD25" i="18" a="1"/>
  <c r="AF420" i="18" a="1"/>
  <c r="AE396" i="18" a="1"/>
  <c r="AD503" i="18" a="1"/>
  <c r="AG176" i="18" a="1"/>
  <c r="AG72" i="18" a="1"/>
  <c r="AG247" i="18" a="1"/>
  <c r="D108" i="27"/>
  <c r="AD340" i="18" a="1"/>
  <c r="AH258" i="18" a="1"/>
  <c r="AG193" i="18" a="1"/>
  <c r="AF392" i="18" a="1"/>
  <c r="AG470" i="18" a="1"/>
  <c r="I270" i="25" a="1"/>
  <c r="AC72" i="18" a="1"/>
  <c r="D113" i="27"/>
  <c r="AF169" i="18" a="1"/>
  <c r="AE500" i="18" a="1"/>
  <c r="AH469" i="18" a="1"/>
  <c r="AC297" i="18" a="1"/>
  <c r="AC208" i="18" a="1"/>
  <c r="AF482" i="18" a="1"/>
  <c r="J369" i="25" a="1"/>
  <c r="AD324" i="18" a="1"/>
  <c r="J143" i="25" a="1"/>
  <c r="AE217" i="18" a="1"/>
  <c r="J245" i="25" a="1"/>
  <c r="AD443" i="18" a="1"/>
  <c r="J235" i="25" a="1"/>
  <c r="AC185" i="18" a="1"/>
  <c r="AC41" i="18" a="1"/>
  <c r="AG62" i="18" a="1"/>
  <c r="J286" i="25" a="1"/>
  <c r="AF282" i="18" a="1"/>
  <c r="AC145" i="18" a="1"/>
  <c r="AF67" i="18" a="1"/>
  <c r="AC94" i="18" a="1"/>
  <c r="AD378" i="18" a="1"/>
  <c r="AF412" i="18" a="1"/>
  <c r="AF140" i="18" a="1"/>
  <c r="AG159" i="18" a="1"/>
  <c r="AH93" i="18" a="1"/>
  <c r="AF120" i="18" a="1"/>
  <c r="AE100" i="18" a="1"/>
  <c r="AC244" i="18" a="1"/>
  <c r="AC171" i="18" a="1"/>
  <c r="AF157" i="18" a="1"/>
  <c r="AC60" i="18" a="1"/>
  <c r="AH185" i="18" a="1"/>
  <c r="AD395" i="18" a="1"/>
  <c r="I164" i="25" a="1"/>
  <c r="AG257" i="18" a="1"/>
  <c r="I255" i="25" a="1"/>
  <c r="AD80" i="18" a="1"/>
  <c r="D105" i="27"/>
  <c r="J227" i="25" a="1"/>
  <c r="AE398" i="18" a="1"/>
  <c r="AH475" i="18" a="1"/>
  <c r="AH466" i="18" a="1"/>
  <c r="AH160" i="18" a="1"/>
  <c r="AH423" i="18" a="1"/>
  <c r="I184" i="25" a="1"/>
  <c r="AD500" i="18" a="1"/>
  <c r="AH27" i="18" a="1"/>
  <c r="AE82" i="18" a="1"/>
  <c r="AE377" i="18" a="1"/>
  <c r="AH117" i="18" a="1"/>
  <c r="I40" i="25" a="1"/>
  <c r="J127" i="25" a="1"/>
  <c r="AC196" i="18" a="1"/>
  <c r="AD26" i="18" a="1"/>
  <c r="AG190" i="18" a="1"/>
  <c r="AE467" i="18" a="1"/>
  <c r="AD110" i="18" a="1"/>
  <c r="AE443" i="18" a="1"/>
  <c r="AD172" i="18" a="1"/>
  <c r="AF475" i="18" a="1"/>
  <c r="I37" i="25" a="1"/>
  <c r="I21" i="25" a="1"/>
  <c r="AE277" i="18" a="1"/>
  <c r="J77" i="25" a="1"/>
  <c r="AC65" i="18" a="1"/>
  <c r="I5" i="25" a="1"/>
  <c r="AG362" i="18" a="1"/>
  <c r="AF40" i="18" a="1"/>
  <c r="I240" i="25" a="1"/>
  <c r="AH451" i="18" a="1"/>
  <c r="AG11" i="18" a="1"/>
  <c r="AH375" i="18" a="1"/>
  <c r="AE76" i="18" a="1"/>
  <c r="AF431" i="18" a="1"/>
  <c r="AD300" i="18" a="1"/>
  <c r="AH344" i="18" a="1"/>
  <c r="AH60" i="18" a="1"/>
  <c r="AD370" i="18" a="1"/>
  <c r="AE462" i="18" a="1"/>
  <c r="AC53" i="18" a="1"/>
  <c r="J376" i="25" a="1"/>
  <c r="AC396" i="18" a="1"/>
  <c r="AC236" i="18" a="1"/>
  <c r="AH366" i="18" a="1"/>
  <c r="AC57" i="18" a="1"/>
  <c r="AH387" i="18" a="1"/>
  <c r="AC62" i="18" a="1"/>
  <c r="AE273" i="18" a="1"/>
  <c r="AF429" i="18" a="1"/>
  <c r="AD506" i="18" a="1"/>
  <c r="AH410" i="18" a="1"/>
  <c r="J312" i="25" a="1"/>
  <c r="J47" i="25" a="1"/>
  <c r="AG252" i="18" a="1"/>
  <c r="AC388" i="18" a="1"/>
  <c r="AC342" i="18" a="1"/>
  <c r="AC161" i="18" a="1"/>
  <c r="AH61" i="18" a="1"/>
  <c r="J101" i="25" a="1"/>
  <c r="AF113" i="18" a="1"/>
  <c r="I336" i="25" a="1"/>
  <c r="AF100" i="18" a="1"/>
  <c r="J57" i="25" a="1"/>
  <c r="AE468" i="18" a="1"/>
  <c r="AH35" i="18" a="1"/>
  <c r="AH113" i="18" a="1"/>
  <c r="AF122" i="18" a="1"/>
  <c r="AH333" i="18" a="1"/>
  <c r="AG399" i="18" a="1"/>
  <c r="AC315" i="18" a="1"/>
  <c r="AE369" i="18" a="1"/>
  <c r="AH476" i="18" a="1"/>
  <c r="AE353" i="18" a="1"/>
  <c r="AD401" i="18" a="1"/>
  <c r="J355" i="25" a="1"/>
  <c r="AG394" i="18" a="1"/>
  <c r="AG237" i="18" a="1"/>
  <c r="AE319" i="18" a="1"/>
  <c r="AG404" i="18" a="1"/>
  <c r="AC320" i="18" a="1"/>
  <c r="J305" i="25" a="1"/>
  <c r="J97" i="25" a="1"/>
  <c r="AH103" i="18" a="1"/>
  <c r="AE73" i="18" a="1"/>
  <c r="D68" i="27"/>
  <c r="I185" i="25" a="1"/>
  <c r="AC189" i="18" a="1"/>
  <c r="AF34" i="18" a="1"/>
  <c r="J276" i="25" a="1"/>
  <c r="AC503" i="18" a="1"/>
  <c r="J397" i="25" a="1"/>
  <c r="AG432" i="18" a="1"/>
  <c r="AE160" i="18" a="1"/>
  <c r="AH336" i="18" a="1"/>
  <c r="J240" i="25" a="1"/>
  <c r="AF477" i="18" a="1"/>
  <c r="AH85" i="18" a="1"/>
  <c r="I273" i="25" a="1"/>
  <c r="AF242" i="18" a="1"/>
  <c r="AC248" i="18" a="1"/>
  <c r="AH264" i="18" a="1"/>
  <c r="I4" i="25" a="1"/>
  <c r="AC88" i="18" a="1"/>
  <c r="AD163" i="18" a="1"/>
  <c r="AD361" i="18" a="1"/>
  <c r="AG502" i="18" a="1"/>
  <c r="AC488" i="18" a="1"/>
  <c r="AC219" i="18" a="1"/>
  <c r="AG88" i="18" a="1"/>
  <c r="J52" i="25" a="1"/>
  <c r="I166" i="25" a="1"/>
  <c r="AH198" i="18" a="1"/>
  <c r="AD346" i="18" a="1"/>
  <c r="I41" i="25" a="1"/>
  <c r="AG87" i="18" a="1"/>
  <c r="AF8" i="18" a="1"/>
  <c r="J356" i="25" a="1"/>
  <c r="AH418" i="18" a="1"/>
  <c r="AC206" i="18" a="1"/>
  <c r="AD447" i="18" a="1"/>
  <c r="I350" i="25" a="1"/>
  <c r="AC343" i="18" a="1"/>
  <c r="AF402" i="18" a="1"/>
  <c r="AF102" i="18" a="1"/>
  <c r="I257" i="25" a="1"/>
  <c r="AD176" i="18" a="1"/>
  <c r="AH422" i="18" a="1"/>
  <c r="J55" i="25" a="1"/>
  <c r="AF399" i="18" a="1"/>
  <c r="AD34" i="18" a="1"/>
  <c r="AC199" i="18" a="1"/>
  <c r="J94" i="25" a="1"/>
  <c r="AH202" i="18" a="1"/>
  <c r="AH286" i="18" a="1"/>
  <c r="AD51" i="18" a="1"/>
  <c r="AH406" i="18" a="1"/>
  <c r="AG67" i="18" a="1"/>
  <c r="AG332" i="18" a="1"/>
  <c r="AF425" i="18" a="1"/>
  <c r="AH191" i="18" a="1"/>
  <c r="AH54" i="18" a="1"/>
  <c r="AD442" i="18" a="1"/>
  <c r="I222" i="25" a="1"/>
  <c r="AF271" i="18" a="1"/>
  <c r="AF158" i="18" a="1"/>
  <c r="AG475" i="18" a="1"/>
  <c r="AF225" i="18" a="1"/>
  <c r="AG140" i="18" a="1"/>
  <c r="AG367" i="18" a="1"/>
  <c r="AH48" i="18" a="1"/>
  <c r="I26" i="25" a="1"/>
  <c r="I387" i="25" a="1"/>
  <c r="AE245" i="18" a="1"/>
  <c r="AF105" i="18" a="1"/>
  <c r="AH455" i="18" a="1"/>
  <c r="AG292" i="18" a="1"/>
  <c r="AC212" i="18" a="1"/>
  <c r="I243" i="25" a="1"/>
  <c r="I340" i="25" a="1"/>
  <c r="AD233" i="18" a="1"/>
  <c r="D21" i="27"/>
  <c r="J15" i="25" a="1"/>
  <c r="I98" i="25" a="1"/>
  <c r="I233" i="25" a="1"/>
  <c r="AG446" i="18" a="1"/>
  <c r="J68" i="25" a="1"/>
  <c r="AD224" i="18" a="1"/>
  <c r="J124" i="25" a="1"/>
  <c r="J46" i="25" a="1"/>
  <c r="AF12" i="18" a="1"/>
  <c r="AD352" i="18" a="1"/>
  <c r="AG396" i="18" a="1"/>
  <c r="AH288" i="18" a="1"/>
  <c r="I366" i="25" a="1"/>
  <c r="J36" i="25" a="1"/>
  <c r="J135" i="25" a="1"/>
  <c r="AH250" i="18" a="1"/>
  <c r="AH392" i="18" a="1"/>
  <c r="AE311" i="18" a="1"/>
  <c r="I305" i="25" a="1"/>
  <c r="AG387" i="18" a="1"/>
  <c r="J308" i="25" a="1"/>
  <c r="AG152" i="18" a="1"/>
  <c r="AH51" i="18" a="1"/>
  <c r="AD48" i="18" a="1"/>
  <c r="AE490" i="18" a="1"/>
  <c r="AC174" i="18" a="1"/>
  <c r="AF362" i="18" a="1"/>
  <c r="AG91" i="18" a="1"/>
  <c r="AE42" i="18" a="1"/>
  <c r="AH498" i="18" a="1"/>
  <c r="AH230" i="18" a="1"/>
  <c r="AD239" i="18" a="1"/>
  <c r="AH459" i="18" a="1"/>
  <c r="I107" i="25" a="1"/>
  <c r="AD376" i="18" a="1"/>
  <c r="AH408" i="18" a="1"/>
  <c r="AD54" i="18" a="1"/>
  <c r="AF319" i="18" a="1"/>
  <c r="AE209" i="18" a="1"/>
  <c r="AE375" i="18" a="1"/>
  <c r="AE449" i="18" a="1"/>
  <c r="AF318" i="18" a="1"/>
  <c r="AF321" i="18" a="1"/>
  <c r="AE380" i="18" a="1"/>
  <c r="AH16" i="18" a="1"/>
  <c r="AD292" i="18" a="1"/>
  <c r="AE450" i="18" a="1"/>
  <c r="AH275" i="18" a="1"/>
  <c r="I82" i="25" a="1"/>
  <c r="AG60" i="18" a="1"/>
  <c r="AH270" i="18" a="1"/>
  <c r="I296" i="25" a="1"/>
  <c r="AH186" i="18" a="1"/>
  <c r="AF150" i="18" a="1"/>
  <c r="J83" i="25" a="1"/>
  <c r="I353" i="25" a="1"/>
  <c r="AG55" i="18" a="1"/>
  <c r="AD368" i="18" a="1"/>
  <c r="AH499" i="18" a="1"/>
  <c r="J123" i="25" a="1"/>
  <c r="J215" i="25" a="1"/>
  <c r="I195" i="25" a="1"/>
  <c r="AC231" i="18" a="1"/>
  <c r="AH119" i="18" a="1"/>
  <c r="AG482" i="18" a="1"/>
  <c r="AC149" i="18" a="1"/>
  <c r="AD223" i="18" a="1"/>
  <c r="AC131" i="18" a="1"/>
  <c r="AF172" i="18" a="1"/>
  <c r="D88" i="27"/>
  <c r="J332" i="25" a="1"/>
  <c r="AE426" i="18" a="1"/>
  <c r="AE423" i="18" a="1"/>
  <c r="AE179" i="18" a="1"/>
  <c r="I252" i="25" a="1"/>
  <c r="AH139" i="18" a="1"/>
  <c r="I312" i="25" a="1"/>
  <c r="AE154" i="18" a="1"/>
  <c r="AE457" i="18" a="1"/>
  <c r="AE7" i="18" a="1"/>
  <c r="AG471" i="18" a="1"/>
  <c r="AE29" i="18" a="1"/>
  <c r="AF483" i="18" a="1"/>
  <c r="J313" i="25" a="1"/>
  <c r="I155" i="25" a="1"/>
  <c r="AE272" i="18" a="1"/>
  <c r="AF138" i="18" a="1"/>
  <c r="I100" i="25" a="1"/>
  <c r="AE376" i="18" a="1"/>
  <c r="I52" i="25" a="1"/>
  <c r="AD126" i="18" a="1"/>
  <c r="AC232" i="18" a="1"/>
  <c r="J282" i="25" a="1"/>
  <c r="D89" i="27"/>
  <c r="AE232" i="18" a="1"/>
  <c r="I365" i="25" a="1"/>
  <c r="AC165" i="18" a="1"/>
  <c r="AC190" i="18" a="1"/>
  <c r="AF378" i="18" a="1"/>
  <c r="AE67" i="18" a="1"/>
  <c r="AG113" i="18" a="1"/>
  <c r="AD298" i="18" a="1"/>
  <c r="AH456" i="18" a="1"/>
  <c r="I168" i="25" a="1"/>
  <c r="AG303" i="18" a="1"/>
  <c r="AC120" i="18" a="1"/>
  <c r="AF317" i="18" a="1"/>
  <c r="AG25" i="18" a="1"/>
  <c r="J70" i="25" a="1"/>
  <c r="I13" i="25" a="1"/>
  <c r="AE130" i="18" a="1"/>
  <c r="AC435" i="18" a="1"/>
  <c r="AD152" i="18" a="1"/>
  <c r="I263" i="25" a="1"/>
  <c r="AF95" i="18" a="1"/>
  <c r="AG275" i="18" a="1"/>
  <c r="AC143" i="18" a="1"/>
  <c r="I110" i="25" a="1"/>
  <c r="J225" i="25" a="1"/>
  <c r="AE68" i="18" a="1"/>
  <c r="AD403" i="18" a="1"/>
  <c r="AC336" i="18" a="1"/>
  <c r="AE23" i="18" a="1"/>
  <c r="AE216" i="18" a="1"/>
  <c r="AC58" i="18" a="1"/>
  <c r="D100" i="27"/>
  <c r="AE66" i="18" a="1"/>
  <c r="J145" i="25" a="1"/>
  <c r="AG189" i="18" a="1"/>
  <c r="AH124" i="18" a="1"/>
  <c r="J56" i="25" a="1"/>
  <c r="AF68" i="18" a="1"/>
  <c r="AG358" i="18" a="1"/>
  <c r="I330" i="25" a="1"/>
  <c r="AF202" i="18" a="1"/>
  <c r="AD344" i="18" a="1"/>
  <c r="AE420" i="18" a="1"/>
  <c r="AG441" i="18" a="1"/>
  <c r="J264" i="25" a="1"/>
  <c r="J171" i="25" a="1"/>
  <c r="AC293" i="18" a="1"/>
  <c r="I236" i="25" a="1"/>
  <c r="AH39" i="18" a="1"/>
  <c r="AC73" i="18" a="1"/>
  <c r="AC265" i="18" a="1"/>
  <c r="J113" i="25" a="1"/>
  <c r="I283" i="25" a="1"/>
  <c r="I92" i="25" a="1"/>
  <c r="D45" i="27"/>
  <c r="AC311" i="18" a="1"/>
  <c r="AD330" i="18" a="1"/>
  <c r="AG389" i="18" a="1"/>
  <c r="AF206" i="18" a="1"/>
  <c r="AH378" i="18" a="1"/>
  <c r="AF119" i="18" a="1"/>
  <c r="AD364" i="18" a="1"/>
  <c r="AH433" i="18" a="1"/>
  <c r="AC430" i="18" a="1"/>
  <c r="I345" i="25" a="1"/>
  <c r="J254" i="25" a="1"/>
  <c r="AC241" i="18" a="1"/>
  <c r="AC413" i="18" a="1"/>
  <c r="AG220" i="18" a="1"/>
  <c r="J65" i="25" a="1"/>
  <c r="AF218" i="18" a="1"/>
  <c r="AE49" i="18" a="1"/>
  <c r="AF394" i="18" a="1"/>
  <c r="AH66" i="18" a="1"/>
  <c r="AC399" i="18" a="1"/>
  <c r="AH416" i="18" a="1"/>
  <c r="AF496" i="18" a="1"/>
  <c r="AH345" i="18" a="1"/>
  <c r="AH441" i="18" a="1"/>
  <c r="AD112" i="18" a="1"/>
  <c r="AD491" i="18" a="1"/>
  <c r="AC318" i="18" a="1"/>
  <c r="J324" i="25" a="1"/>
  <c r="AD306" i="18" a="1"/>
  <c r="J146" i="25" a="1"/>
  <c r="AE298" i="18" a="1"/>
  <c r="AF118" i="18" a="1"/>
  <c r="AH488" i="18" a="1"/>
  <c r="J8" i="25" a="1"/>
  <c r="AF328" i="18" a="1"/>
  <c r="AF366" i="18" a="1"/>
  <c r="AC382" i="18" a="1"/>
  <c r="AF69" i="18" a="1"/>
  <c r="AD391" i="18" a="1"/>
  <c r="AE207" i="18" a="1"/>
  <c r="AD125" i="18" a="1"/>
  <c r="AE35" i="18" a="1"/>
  <c r="AD37" i="18" a="1"/>
  <c r="I277" i="25" a="1"/>
  <c r="AE332" i="18" a="1"/>
  <c r="AC138" i="18" a="1"/>
  <c r="J220" i="25" a="1"/>
  <c r="J197" i="25" a="1"/>
  <c r="AH442" i="18" a="1"/>
  <c r="AG449" i="18" a="1"/>
  <c r="AD406" i="18" a="1"/>
  <c r="AF170" i="18" a="1"/>
  <c r="AG59" i="18" a="1"/>
  <c r="AC300" i="18" a="1"/>
  <c r="D36" i="27"/>
  <c r="AC250" i="18" a="1"/>
  <c r="AE31" i="18" a="1"/>
  <c r="AD418" i="18" a="1"/>
  <c r="AC142" i="18" a="1"/>
  <c r="AF266" i="18" a="1"/>
  <c r="AG69" i="18" a="1"/>
  <c r="AH62" i="18" a="1"/>
  <c r="AC102" i="18" a="1"/>
  <c r="J190" i="25" a="1"/>
  <c r="AE305" i="18" a="1"/>
  <c r="AC13" i="18" a="1"/>
  <c r="AG334" i="18" a="1"/>
  <c r="I308" i="25" a="1"/>
  <c r="I182" i="25" a="1"/>
  <c r="AC450" i="18" a="1"/>
  <c r="AG51" i="18" a="1"/>
  <c r="AE285" i="18" a="1"/>
  <c r="I45" i="25" a="1"/>
  <c r="AE440" i="18" a="1"/>
  <c r="I112" i="25" a="1"/>
  <c r="AF200" i="18" a="1"/>
  <c r="AH215" i="18" a="1"/>
  <c r="AD65" i="18" a="1"/>
  <c r="AC288" i="18" a="1"/>
  <c r="AD253" i="18" a="1"/>
  <c r="I159" i="25" a="1"/>
  <c r="AG454" i="18" a="1"/>
  <c r="AC223" i="18" a="1"/>
  <c r="AG492" i="18" a="1"/>
  <c r="AG218" i="18" a="1"/>
  <c r="AD377" i="18" a="1"/>
  <c r="AD184" i="18" a="1"/>
  <c r="AF182" i="18" a="1"/>
  <c r="I389" i="25" a="1"/>
  <c r="AF287" i="18" a="1"/>
  <c r="J79" i="25" a="1"/>
  <c r="AD476" i="18" a="1"/>
  <c r="I79" i="25" a="1"/>
  <c r="I125" i="25" a="1"/>
  <c r="AF430" i="18" a="1"/>
  <c r="AH87" i="18" a="1"/>
  <c r="J78" i="25" a="1"/>
  <c r="AF239" i="18" a="1"/>
  <c r="AF296" i="18" a="1"/>
  <c r="AG256" i="18" a="1"/>
  <c r="I346" i="25" a="1"/>
  <c r="AF135" i="18" a="1"/>
  <c r="AH361" i="18" a="1"/>
  <c r="AC487" i="18" a="1"/>
  <c r="AE303" i="18" a="1"/>
  <c r="AE125" i="18" a="1"/>
  <c r="AH118" i="18" a="1"/>
  <c r="AC114" i="18" a="1"/>
  <c r="AE174" i="18" a="1"/>
  <c r="AE302" i="18" a="1"/>
  <c r="AC460" i="18" a="1"/>
  <c r="J322" i="25" a="1"/>
  <c r="AC291" i="18" a="1"/>
  <c r="AC360" i="18" a="1"/>
  <c r="I343" i="25" a="1"/>
  <c r="AH337" i="18" a="1"/>
  <c r="AF77" i="18" a="1"/>
  <c r="J189" i="25" a="1"/>
  <c r="I150" i="25" a="1"/>
  <c r="AE493" i="18" a="1"/>
  <c r="AE156" i="18" a="1"/>
  <c r="AF257" i="18" a="1"/>
  <c r="AE112" i="18" a="1"/>
  <c r="AD183" i="18" a="1"/>
  <c r="AE95" i="18" a="1"/>
  <c r="D56" i="27"/>
  <c r="AG131" i="18" a="1"/>
  <c r="AH468" i="18" a="1"/>
  <c r="AE263" i="18" a="1"/>
  <c r="AH427" i="18" a="1"/>
  <c r="AC468" i="18" a="1"/>
  <c r="AE417" i="18" a="1"/>
  <c r="AD87" i="18" a="1"/>
  <c r="AH174" i="18" a="1"/>
  <c r="I351" i="25" a="1"/>
  <c r="AE230" i="18" a="1"/>
  <c r="AG383" i="18" a="1"/>
  <c r="I50" i="25" a="1"/>
  <c r="AD166" i="18" a="1"/>
  <c r="AF243" i="18" a="1"/>
  <c r="AC451" i="18" a="1"/>
  <c r="AE50" i="18" a="1"/>
  <c r="AC264" i="18" a="1"/>
  <c r="AD181" i="18" a="1"/>
  <c r="AC369" i="18" a="1"/>
  <c r="J348" i="25" a="1"/>
  <c r="AC362" i="18" a="1"/>
  <c r="AF348" i="18" a="1"/>
  <c r="AE241" i="18" a="1"/>
  <c r="AG443" i="18" a="1"/>
  <c r="AF423" i="18" a="1"/>
  <c r="AH13" i="18" a="1"/>
  <c r="AD67" i="18" a="1"/>
  <c r="J289" i="25" a="1"/>
  <c r="AE133" i="18" a="1"/>
  <c r="AF145" i="18" a="1"/>
  <c r="AG369" i="18" a="1"/>
  <c r="AG226" i="18" a="1"/>
  <c r="AH364" i="18" a="1"/>
  <c r="AH101" i="18" a="1"/>
  <c r="AF422" i="18" a="1"/>
  <c r="J353" i="25" a="1"/>
  <c r="AG30" i="18" a="1"/>
  <c r="AG178" i="18" a="1"/>
  <c r="AD493" i="18" a="1"/>
  <c r="AH355" i="18" a="1"/>
  <c r="AG144" i="18" a="1"/>
  <c r="AE250" i="18" a="1"/>
  <c r="AF133" i="18" a="1"/>
  <c r="AG216" i="18" a="1"/>
  <c r="I193" i="25" a="1"/>
  <c r="AE367" i="18" a="1"/>
  <c r="AH257" i="18" a="1"/>
  <c r="AE231" i="18" a="1"/>
  <c r="AD366" i="18" a="1"/>
  <c r="AD222" i="18" a="1"/>
  <c r="I123" i="25" a="1"/>
  <c r="AG191" i="18" a="1"/>
  <c r="AC368" i="18" a="1"/>
  <c r="AE28" i="18" a="1"/>
  <c r="AD468" i="18" a="1"/>
  <c r="J243" i="25" a="1"/>
  <c r="AG250" i="18" a="1"/>
  <c r="AE22" i="18" a="1"/>
  <c r="AC354" i="18" a="1"/>
  <c r="I59" i="25" a="1"/>
  <c r="AD257" i="18" a="1"/>
  <c r="AF371" i="18" a="1"/>
  <c r="AD464" i="18" a="1"/>
  <c r="AH115" i="18" a="1"/>
  <c r="AC365" i="18" a="1"/>
  <c r="AG185" i="18" a="1"/>
  <c r="AG239" i="18" a="1"/>
  <c r="AC27" i="18" a="1"/>
  <c r="AG98" i="18" a="1"/>
  <c r="AC474" i="18" a="1"/>
  <c r="AH383" i="18" a="1"/>
  <c r="AH238" i="18" a="1"/>
  <c r="AC20" i="18" a="1"/>
  <c r="AD154" i="18" a="1"/>
  <c r="AC464" i="18" a="1"/>
  <c r="AH293" i="18" a="1"/>
  <c r="AE74" i="18" a="1"/>
  <c r="AE81" i="18" a="1"/>
  <c r="AE463" i="18" a="1"/>
  <c r="AD417" i="18" a="1"/>
  <c r="AC440" i="18" a="1"/>
  <c r="J13" i="25" a="1"/>
  <c r="AG20" i="18" a="1"/>
  <c r="AD84" i="18" a="1"/>
  <c r="AG353" i="18" a="1"/>
  <c r="AE162" i="18" a="1"/>
  <c r="J90" i="25" a="1"/>
  <c r="AD285" i="18" a="1"/>
  <c r="AG462" i="18" a="1"/>
  <c r="AG457" i="18" a="1"/>
  <c r="AH326" i="18" a="1"/>
  <c r="I36" i="25" a="1"/>
  <c r="AF297" i="18" a="1"/>
  <c r="AE275" i="18" a="1"/>
  <c r="AH294" i="18" a="1"/>
  <c r="AG118" i="18" a="1"/>
  <c r="AD419" i="18" a="1"/>
  <c r="J38" i="25" a="1"/>
  <c r="I167" i="25" a="1"/>
  <c r="AF97" i="18" a="1"/>
  <c r="J88" i="25" a="1"/>
  <c r="D33" i="27"/>
  <c r="J335" i="25" a="1"/>
  <c r="AC128" i="18" a="1"/>
  <c r="AF104" i="18" a="1"/>
  <c r="AC136" i="18" a="1"/>
  <c r="AD157" i="18" a="1"/>
  <c r="AG103" i="18" a="1"/>
  <c r="AG496" i="18" a="1"/>
  <c r="AF469" i="18" a="1"/>
  <c r="AF441" i="18" a="1"/>
  <c r="AH300" i="18" a="1"/>
  <c r="AH457" i="18" a="1"/>
  <c r="AH479" i="18" a="1"/>
  <c r="AD171" i="18" a="1"/>
  <c r="AF92" i="18" a="1"/>
  <c r="AD140" i="18" a="1"/>
  <c r="AC259" i="18" a="1"/>
  <c r="I313" i="25" a="1"/>
  <c r="I220" i="25" a="1"/>
  <c r="J120" i="25" a="1"/>
  <c r="J49" i="25" a="1"/>
  <c r="AC194" i="18" a="1"/>
  <c r="AD494" i="18" a="1"/>
  <c r="AD254" i="18" a="1"/>
  <c r="AE400" i="18" a="1"/>
  <c r="AD357" i="18" a="1"/>
  <c r="AC101" i="18" a="1"/>
  <c r="AD190" i="18" a="1"/>
  <c r="AH437" i="18" a="1"/>
  <c r="AD269" i="18" a="1"/>
  <c r="AD501" i="18" a="1"/>
  <c r="AE378" i="18" a="1"/>
  <c r="AG75" i="18" a="1"/>
  <c r="J368" i="25" a="1"/>
  <c r="AE432" i="18" a="1"/>
  <c r="J298" i="25" a="1"/>
  <c r="AD486" i="18" a="1"/>
  <c r="J336" i="25" a="1"/>
  <c r="AE155" i="18" a="1"/>
  <c r="AC467" i="18" a="1"/>
  <c r="AE212" i="18" a="1"/>
  <c r="AC110" i="18" a="1"/>
  <c r="AH287" i="18" a="1"/>
  <c r="AC417" i="18" a="1"/>
  <c r="AF125" i="18" a="1"/>
  <c r="AC309" i="18" a="1"/>
  <c r="AC50" i="18" a="1"/>
  <c r="AD477" i="18" a="1"/>
  <c r="AE464" i="18" a="1"/>
  <c r="D59" i="27"/>
  <c r="AC55" i="18" a="1"/>
  <c r="AE141" i="18" a="1"/>
  <c r="AF401" i="18" a="1"/>
  <c r="AD164" i="18" a="1"/>
  <c r="AG284" i="18" a="1"/>
  <c r="AF307" i="18" a="1"/>
  <c r="AF446" i="18" a="1"/>
  <c r="J184" i="25" a="1"/>
  <c r="AE32" i="18" a="1"/>
  <c r="AD286" i="18" a="1"/>
  <c r="AE158" i="18" a="1"/>
  <c r="AD15" i="18" a="1"/>
  <c r="AF292" i="18" a="1"/>
  <c r="J16" i="25" a="1"/>
  <c r="J339" i="25" a="1"/>
  <c r="AC99" i="18" a="1"/>
  <c r="AG293" i="18" a="1"/>
  <c r="AG437" i="18" a="1"/>
  <c r="D77" i="27"/>
  <c r="D47" i="27"/>
  <c r="AE324" i="18" a="1"/>
  <c r="J87" i="25" a="1"/>
  <c r="AE211" i="18" a="1"/>
  <c r="AC367" i="18" a="1"/>
  <c r="AG246" i="18" a="1"/>
  <c r="AH203" i="18" a="1"/>
  <c r="AC140" i="18" a="1"/>
  <c r="AE312" i="18" a="1"/>
  <c r="I329" i="25" a="1"/>
  <c r="I284" i="25" a="1"/>
  <c r="AE470" i="18" a="1"/>
  <c r="AD276" i="18" a="1"/>
  <c r="AE270" i="18" a="1"/>
  <c r="I280" i="25" a="1"/>
  <c r="AC184" i="18" a="1"/>
  <c r="AD459" i="18" a="1"/>
  <c r="AE71" i="18" a="1"/>
  <c r="AE373" i="18" a="1"/>
  <c r="I172" i="25" a="1"/>
  <c r="I80" i="25" a="1"/>
  <c r="AG80" i="18" a="1"/>
  <c r="AD61" i="18" a="1"/>
  <c r="AG215" i="18" a="1"/>
  <c r="AC323" i="18" a="1"/>
  <c r="AG359" i="18" a="1"/>
  <c r="AE284" i="18" a="1"/>
  <c r="I127" i="25" a="1"/>
  <c r="AG243" i="18" a="1"/>
  <c r="AF259" i="18" a="1"/>
  <c r="AD242" i="18" a="1"/>
  <c r="AD131" i="18" a="1"/>
  <c r="AF451" i="18" a="1"/>
  <c r="AE414" i="18" a="1"/>
  <c r="AF363" i="18" a="1"/>
  <c r="D69" i="27"/>
  <c r="AE325" i="18" a="1"/>
  <c r="AF438" i="18" a="1"/>
  <c r="AE391" i="18" a="1"/>
  <c r="AF78" i="18" a="1"/>
  <c r="AG395" i="18" a="1"/>
  <c r="I326" i="25" a="1"/>
  <c r="I392" i="25" a="1"/>
  <c r="AC472" i="18" a="1"/>
  <c r="J272" i="25" a="1"/>
  <c r="AC407" i="18" a="1"/>
  <c r="AE98" i="18" a="1"/>
  <c r="AE21" i="18" a="1"/>
  <c r="AF196" i="18" a="1"/>
  <c r="J177" i="25" a="1"/>
  <c r="AF368" i="18" a="1"/>
  <c r="I175" i="25" a="1"/>
  <c r="J234" i="25" a="1"/>
  <c r="AG230" i="18" a="1"/>
  <c r="AC170" i="18" a="1"/>
  <c r="AD132" i="18" a="1"/>
  <c r="AF61" i="18" a="1"/>
  <c r="AF162" i="18" a="1"/>
  <c r="J288" i="25" a="1"/>
  <c r="AD173" i="18" a="1"/>
  <c r="AC56" i="18" a="1"/>
  <c r="AD29" i="18" a="1"/>
  <c r="J39" i="25" a="1"/>
  <c r="J385" i="25" a="1"/>
  <c r="AH404" i="18" a="1"/>
  <c r="J144" i="25" a="1"/>
  <c r="AG331" i="18" a="1"/>
  <c r="AH8" i="18" a="1"/>
  <c r="AH143" i="18" a="1"/>
  <c r="AD305" i="18" a="1"/>
  <c r="AD240" i="18" a="1"/>
  <c r="AG123" i="18" a="1"/>
  <c r="J326" i="25" a="1"/>
  <c r="AH248" i="18" a="1"/>
  <c r="AD90" i="18" a="1"/>
  <c r="AG93" i="18" a="1"/>
  <c r="AC439" i="18" a="1"/>
  <c r="AC49" i="18" a="1"/>
  <c r="AF66" i="18" a="1"/>
  <c r="AD373" i="18" a="1"/>
  <c r="AG136" i="18" a="1"/>
  <c r="AH36" i="18" a="1"/>
  <c r="AG323" i="18" a="1"/>
  <c r="AF320" i="18" a="1"/>
  <c r="J323" i="25" a="1"/>
  <c r="AE215" i="18" a="1"/>
  <c r="AE402" i="18" a="1"/>
  <c r="AC476" i="18" a="1"/>
  <c r="AD374" i="18" a="1"/>
  <c r="I378" i="25" a="1"/>
  <c r="AC422" i="18" a="1"/>
  <c r="AD151" i="18" a="1"/>
  <c r="AG260" i="18" a="1"/>
  <c r="I376" i="25" a="1"/>
  <c r="J325" i="25" a="1"/>
  <c r="J395" i="25" a="1"/>
  <c r="AD278" i="18" a="1"/>
  <c r="AD458" i="18" a="1"/>
  <c r="AG71" i="18" a="1"/>
  <c r="J352" i="25" a="1"/>
  <c r="J201" i="25" a="1"/>
  <c r="AC329" i="18" a="1"/>
  <c r="AH360" i="18" a="1"/>
  <c r="AE501" i="18" a="1"/>
  <c r="AD44" i="18" a="1"/>
  <c r="AH356" i="18" a="1"/>
  <c r="I261" i="25" a="1"/>
  <c r="AG83" i="18" a="1"/>
  <c r="I256" i="25" a="1"/>
  <c r="AD268" i="18" a="1"/>
  <c r="AC433" i="18" a="1"/>
  <c r="AF504" i="18" a="1"/>
  <c r="AG402" i="18" a="1"/>
  <c r="I23" i="25" a="1"/>
  <c r="J174" i="25" a="1"/>
  <c r="AH170" i="18" a="1"/>
  <c r="AF256" i="18" a="1"/>
  <c r="I165" i="25" a="1"/>
  <c r="AH182" i="18" a="1"/>
  <c r="J381" i="25" a="1"/>
  <c r="AG21" i="18" a="1"/>
  <c r="AD347" i="18" a="1"/>
  <c r="AF501" i="18" a="1"/>
  <c r="I67" i="25" a="1"/>
  <c r="AC247" i="18" a="1"/>
  <c r="AH358" i="18" a="1"/>
  <c r="AC81" i="18" a="1"/>
  <c r="AD198" i="18" a="1"/>
  <c r="AH443" i="18" a="1"/>
  <c r="AE75" i="18" a="1"/>
  <c r="J391" i="25" a="1"/>
  <c r="AG271" i="18" a="1"/>
  <c r="AC306" i="18" a="1"/>
  <c r="AD389" i="18" a="1"/>
  <c r="I86" i="25" a="1"/>
  <c r="I188" i="25" a="1"/>
  <c r="AE24" i="18" a="1"/>
  <c r="I20" i="25" a="1"/>
  <c r="AG407" i="18" a="1"/>
  <c r="AC424" i="18" a="1"/>
  <c r="AC298" i="18" a="1"/>
  <c r="AF305" i="18" a="1"/>
  <c r="AH334" i="18" a="1"/>
  <c r="J61" i="25" a="1"/>
  <c r="I49" i="25" a="1"/>
  <c r="J19" i="25" a="1"/>
  <c r="AG384" i="18" a="1"/>
  <c r="AG32" i="18" a="1"/>
  <c r="J92" i="25" a="1"/>
  <c r="I275" i="25" a="1"/>
  <c r="AG320" i="18" a="1"/>
  <c r="AD206" i="18" a="1"/>
  <c r="J267" i="25" a="1"/>
  <c r="I348" i="25" a="1"/>
  <c r="AD260" i="18" a="1"/>
  <c r="AH82" i="18" a="1"/>
  <c r="I400" i="25" a="1"/>
  <c r="AE362" i="18" a="1"/>
  <c r="AF410" i="18" a="1"/>
  <c r="AC106" i="18" a="1"/>
  <c r="I198" i="25" a="1"/>
  <c r="AE199" i="18" a="1"/>
  <c r="J175" i="25" a="1"/>
  <c r="AC392" i="18" a="1"/>
  <c r="AH80" i="18" a="1"/>
  <c r="AE279" i="18" a="1"/>
  <c r="AG78" i="18" a="1"/>
  <c r="J216" i="25" a="1"/>
  <c r="AC484" i="18" a="1"/>
  <c r="AC282" i="18" a="1"/>
  <c r="I238" i="25" a="1"/>
  <c r="J166" i="25" a="1"/>
  <c r="AH247" i="18" a="1"/>
  <c r="J363" i="25" a="1"/>
  <c r="AH112" i="18" a="1"/>
  <c r="AH421" i="18" a="1"/>
  <c r="AE242" i="18" a="1"/>
  <c r="I386" i="25" a="1"/>
  <c r="AG344" i="18" a="1"/>
  <c r="AH312" i="18" a="1"/>
  <c r="AD299" i="18" a="1"/>
  <c r="AD180" i="18" a="1"/>
  <c r="AD325" i="18" a="1"/>
  <c r="AE151" i="18" a="1"/>
  <c r="AE146" i="18" a="1"/>
  <c r="AH260" i="18" a="1"/>
  <c r="AC442" i="18" a="1"/>
  <c r="J290" i="25" a="1"/>
  <c r="AC405" i="18" a="1"/>
  <c r="AG122" i="18" a="1"/>
  <c r="AG373" i="18" a="1"/>
  <c r="AC144" i="18" a="1"/>
  <c r="AG463" i="18" a="1"/>
  <c r="AG448" i="18" a="1"/>
  <c r="AH256" i="18" a="1"/>
  <c r="AD262" i="18" a="1"/>
  <c r="AH349" i="18" a="1"/>
  <c r="I298" i="25" a="1"/>
  <c r="I219" i="25" a="1"/>
  <c r="I95" i="25" a="1"/>
  <c r="AG245" i="18" a="1"/>
  <c r="I39" i="25" a="1"/>
  <c r="I200" i="25" a="1"/>
  <c r="AE366" i="18" a="1"/>
  <c r="AC135" i="18" a="1"/>
  <c r="AF421" i="18" a="1"/>
  <c r="AE138" i="18" a="1"/>
  <c r="AG355" i="18" a="1"/>
  <c r="AE348" i="18" a="1"/>
  <c r="AF183" i="18" a="1"/>
  <c r="AF33" i="18" a="1"/>
  <c r="AF254" i="18" a="1"/>
  <c r="AF167" i="18" a="1"/>
  <c r="J382" i="25" a="1"/>
  <c r="AE91" i="18" a="1"/>
  <c r="AC330" i="18" a="1"/>
  <c r="AH53" i="18" a="1"/>
  <c r="J204" i="25" a="1"/>
  <c r="AD353" i="18" a="1"/>
  <c r="Y464" i="18" l="1"/>
  <c r="Y436" i="18"/>
  <c r="Y338" i="18"/>
  <c r="O74" i="31"/>
  <c r="N11" i="31"/>
  <c r="Y143" i="18"/>
  <c r="Y250" i="18"/>
  <c r="Y265" i="18"/>
  <c r="Y289" i="18"/>
  <c r="Y423" i="18"/>
  <c r="Y439" i="18"/>
  <c r="Y13" i="18"/>
  <c r="Y182" i="18"/>
  <c r="Y369" i="18"/>
  <c r="Y146" i="18"/>
  <c r="P12" i="31"/>
  <c r="Y379" i="18"/>
  <c r="Y137" i="18"/>
  <c r="Y333" i="18"/>
  <c r="Y70" i="18"/>
  <c r="Y336" i="18"/>
  <c r="Y92" i="18"/>
  <c r="F13" i="31"/>
  <c r="N12" i="31"/>
  <c r="Q12" i="31" s="1"/>
  <c r="I10" i="31"/>
  <c r="J10" i="31" s="1"/>
  <c r="P10" i="31"/>
  <c r="H11" i="31"/>
  <c r="Y313" i="18"/>
  <c r="L12" i="31"/>
  <c r="M12" i="31"/>
  <c r="F10" i="31"/>
  <c r="P13" i="31"/>
  <c r="Y317" i="18"/>
  <c r="Y490" i="18"/>
  <c r="Y493" i="18"/>
  <c r="Y450" i="18"/>
  <c r="Y11" i="18"/>
  <c r="Y354" i="18"/>
  <c r="Y179" i="18"/>
  <c r="Y443" i="18"/>
  <c r="Y322" i="18"/>
  <c r="Y475" i="18"/>
  <c r="Y477" i="18"/>
  <c r="Y203" i="18"/>
  <c r="Y494" i="18"/>
  <c r="Y240" i="18"/>
  <c r="Y264" i="18"/>
  <c r="Y294" i="18"/>
  <c r="M10" i="31"/>
  <c r="Y170" i="18"/>
  <c r="Y59" i="18"/>
  <c r="K11" i="31"/>
  <c r="K8" i="12"/>
  <c r="Y351" i="18"/>
  <c r="Y28" i="18"/>
  <c r="Y399" i="18"/>
  <c r="Y233" i="18"/>
  <c r="Y25" i="18"/>
  <c r="Y291" i="18"/>
  <c r="Y334" i="18"/>
  <c r="Y128" i="18"/>
  <c r="Y316" i="18"/>
  <c r="Y93" i="18"/>
  <c r="Y310" i="18"/>
  <c r="Y74" i="18"/>
  <c r="Y438" i="18"/>
  <c r="Y54" i="18"/>
  <c r="Y248" i="18"/>
  <c r="Y180" i="18"/>
  <c r="Y17" i="18"/>
  <c r="Y209" i="18"/>
  <c r="Y315" i="18"/>
  <c r="Y123" i="18"/>
  <c r="H34" i="31"/>
  <c r="M35" i="31"/>
  <c r="Y115" i="18"/>
  <c r="Y412" i="18"/>
  <c r="Y372" i="18"/>
  <c r="G34" i="31"/>
  <c r="K36" i="31"/>
  <c r="Y302" i="18"/>
  <c r="Y45" i="18"/>
  <c r="Y20" i="18"/>
  <c r="Y394" i="18"/>
  <c r="Q78" i="31"/>
  <c r="O78" i="31"/>
  <c r="Y427" i="18"/>
  <c r="F35" i="31"/>
  <c r="N34" i="31"/>
  <c r="Q34" i="31" s="1"/>
  <c r="G27" i="31"/>
  <c r="K30" i="31"/>
  <c r="F36" i="31"/>
  <c r="H35" i="31"/>
  <c r="G35" i="31"/>
  <c r="H27" i="31"/>
  <c r="M30" i="31"/>
  <c r="Y19" i="18"/>
  <c r="Y26" i="18"/>
  <c r="Y363" i="18"/>
  <c r="Y161" i="18"/>
  <c r="Y160" i="18"/>
  <c r="Y256" i="18"/>
  <c r="Q81" i="31"/>
  <c r="O81" i="31"/>
  <c r="I34" i="31"/>
  <c r="J34" i="31" s="1"/>
  <c r="N35" i="31"/>
  <c r="Q35" i="31" s="1"/>
  <c r="N37" i="31"/>
  <c r="Q37" i="31" s="1"/>
  <c r="P27" i="31"/>
  <c r="I36" i="31"/>
  <c r="J36" i="31" s="1"/>
  <c r="K31" i="31"/>
  <c r="Y498" i="18"/>
  <c r="Y48" i="18"/>
  <c r="Y483" i="18"/>
  <c r="Q79" i="31"/>
  <c r="O79" i="31"/>
  <c r="F37" i="31"/>
  <c r="M31" i="31"/>
  <c r="Y86" i="18"/>
  <c r="Y199" i="18"/>
  <c r="Y118" i="18"/>
  <c r="Y321" i="18"/>
  <c r="Y197" i="18"/>
  <c r="Y34" i="18"/>
  <c r="Y476" i="18"/>
  <c r="Y299" i="18"/>
  <c r="Y330" i="18"/>
  <c r="Y198" i="18"/>
  <c r="Y349" i="18"/>
  <c r="Y457" i="18"/>
  <c r="Y407" i="18"/>
  <c r="F41" i="31"/>
  <c r="P35" i="31"/>
  <c r="G36" i="31"/>
  <c r="N31" i="31"/>
  <c r="L33" i="31"/>
  <c r="Y458" i="18"/>
  <c r="Y159" i="18"/>
  <c r="L37" i="31"/>
  <c r="Q80" i="31"/>
  <c r="O80" i="31"/>
  <c r="I32" i="31"/>
  <c r="J32" i="31" s="1"/>
  <c r="N36" i="31"/>
  <c r="Q36" i="31" s="1"/>
  <c r="G32" i="31"/>
  <c r="P41" i="31"/>
  <c r="M37" i="31"/>
  <c r="K26" i="31"/>
  <c r="K40" i="31"/>
  <c r="Y415" i="18"/>
  <c r="Y61" i="18"/>
  <c r="Y18" i="18"/>
  <c r="Y353" i="18"/>
  <c r="Y270" i="18"/>
  <c r="Y285" i="18"/>
  <c r="Y397" i="18"/>
  <c r="Y384" i="18"/>
  <c r="Y304" i="18"/>
  <c r="Y371" i="18"/>
  <c r="Y183" i="18"/>
  <c r="Y364" i="18"/>
  <c r="Y254" i="18"/>
  <c r="Y331" i="18"/>
  <c r="Y141" i="18"/>
  <c r="Y186" i="18"/>
  <c r="Y370" i="18"/>
  <c r="Y392" i="18"/>
  <c r="Y71" i="18"/>
  <c r="I35" i="31"/>
  <c r="J35" i="31" s="1"/>
  <c r="G41" i="31"/>
  <c r="M38" i="31"/>
  <c r="Y24" i="18"/>
  <c r="O6" i="31"/>
  <c r="N30" i="31"/>
  <c r="Y260" i="18"/>
  <c r="Y447" i="18"/>
  <c r="Y218" i="18"/>
  <c r="Y66" i="18"/>
  <c r="Y15" i="18"/>
  <c r="Y413" i="18"/>
  <c r="Y124" i="18"/>
  <c r="Y377" i="18"/>
  <c r="Y131" i="18"/>
  <c r="Y480" i="18"/>
  <c r="Y410" i="18"/>
  <c r="Y158" i="18"/>
  <c r="Y222" i="18"/>
  <c r="Y10" i="18"/>
  <c r="Y325" i="18"/>
  <c r="Y105" i="18"/>
  <c r="Y201" i="18"/>
  <c r="Y279" i="18"/>
  <c r="Y340" i="18"/>
  <c r="Y78" i="18"/>
  <c r="Y449" i="18"/>
  <c r="O7" i="31"/>
  <c r="I28" i="31"/>
  <c r="J28" i="31" s="1"/>
  <c r="P36" i="31"/>
  <c r="H33" i="31"/>
  <c r="N38" i="31"/>
  <c r="Q38" i="31" s="1"/>
  <c r="K34" i="31"/>
  <c r="K27" i="31"/>
  <c r="Y249" i="18"/>
  <c r="Y237" i="18"/>
  <c r="Y157" i="18"/>
  <c r="Y57" i="18"/>
  <c r="Y400" i="18"/>
  <c r="Y16" i="18"/>
  <c r="Y258" i="18"/>
  <c r="H31" i="31"/>
  <c r="M36" i="31"/>
  <c r="K37" i="31"/>
  <c r="O37" i="31" s="1"/>
  <c r="Y323" i="18"/>
  <c r="Y221" i="18"/>
  <c r="Y129" i="18"/>
  <c r="Y111" i="18"/>
  <c r="Y485" i="18"/>
  <c r="Y214" i="18"/>
  <c r="Y357" i="18"/>
  <c r="I37" i="31"/>
  <c r="J37" i="31" s="1"/>
  <c r="H36" i="31"/>
  <c r="P40" i="31"/>
  <c r="M33" i="31"/>
  <c r="M39" i="31"/>
  <c r="I29" i="31"/>
  <c r="J29" i="31" s="1"/>
  <c r="G37" i="31"/>
  <c r="G33" i="31"/>
  <c r="G40" i="31"/>
  <c r="M34" i="31"/>
  <c r="K28" i="31"/>
  <c r="Y103" i="18"/>
  <c r="Y163" i="18"/>
  <c r="Y98" i="18"/>
  <c r="Y244" i="18"/>
  <c r="Y23" i="18"/>
  <c r="Y226" i="18"/>
  <c r="Y309" i="18"/>
  <c r="Y463" i="18"/>
  <c r="H37" i="31"/>
  <c r="G30" i="31"/>
  <c r="H40" i="31"/>
  <c r="K35" i="31"/>
  <c r="Y305" i="18"/>
  <c r="O82" i="31"/>
  <c r="O86" i="31"/>
  <c r="O88" i="31"/>
  <c r="P28" i="31"/>
  <c r="F28" i="31"/>
  <c r="P37" i="31"/>
  <c r="N33" i="31"/>
  <c r="Q33" i="31" s="1"/>
  <c r="N10" i="31"/>
  <c r="Q10" i="31" s="1"/>
  <c r="L35" i="31"/>
  <c r="Y297" i="18"/>
  <c r="Y430" i="18"/>
  <c r="Y446" i="18"/>
  <c r="Y282" i="18"/>
  <c r="Y504" i="18"/>
  <c r="Y306" i="18"/>
  <c r="Y72" i="18"/>
  <c r="Y44" i="18"/>
  <c r="Y472" i="18"/>
  <c r="Y262" i="18"/>
  <c r="Y280" i="18"/>
  <c r="Y492" i="18"/>
  <c r="Y378" i="18"/>
  <c r="Y22" i="18"/>
  <c r="Y359" i="18"/>
  <c r="Y422" i="18"/>
  <c r="Y138" i="18"/>
  <c r="Y290" i="18"/>
  <c r="Y473" i="18"/>
  <c r="Y448" i="18"/>
  <c r="Y502" i="18"/>
  <c r="O87" i="31"/>
  <c r="E9" i="12"/>
  <c r="E8" i="12"/>
  <c r="Y200" i="18"/>
  <c r="F33" i="24"/>
  <c r="Y207" i="18"/>
  <c r="Y501" i="18"/>
  <c r="Y255" i="18"/>
  <c r="Y88" i="18"/>
  <c r="Y360" i="18"/>
  <c r="Y152" i="18"/>
  <c r="Y278" i="18"/>
  <c r="Y432" i="18"/>
  <c r="Y385" i="18"/>
  <c r="Y177" i="18"/>
  <c r="P26" i="31"/>
  <c r="I26" i="31"/>
  <c r="J26" i="31" s="1"/>
  <c r="N27" i="31"/>
  <c r="M19" i="31"/>
  <c r="O8" i="31"/>
  <c r="Y195" i="18"/>
  <c r="M28" i="31"/>
  <c r="F27" i="31"/>
  <c r="I27" i="31"/>
  <c r="J27" i="31" s="1"/>
  <c r="Y188" i="18"/>
  <c r="Y125" i="18"/>
  <c r="Y178" i="18"/>
  <c r="Y150" i="18"/>
  <c r="Y166" i="18"/>
  <c r="Y230" i="18"/>
  <c r="Y121" i="18"/>
  <c r="Y414" i="18"/>
  <c r="Y253" i="18"/>
  <c r="Y478" i="18"/>
  <c r="Y495" i="18"/>
  <c r="Y145" i="18"/>
  <c r="Y267" i="18"/>
  <c r="P17" i="31"/>
  <c r="F14" i="31"/>
  <c r="H15" i="31"/>
  <c r="Y7" i="18"/>
  <c r="L19" i="31"/>
  <c r="P18" i="31"/>
  <c r="H20" i="31"/>
  <c r="P19" i="31"/>
  <c r="I21" i="31"/>
  <c r="J21" i="31" s="1"/>
  <c r="M27" i="31"/>
  <c r="K29" i="31"/>
  <c r="G28" i="31"/>
  <c r="F26" i="31"/>
  <c r="L27" i="31"/>
  <c r="N26" i="31"/>
  <c r="Q26" i="31" s="1"/>
  <c r="M26" i="31"/>
  <c r="H26" i="31"/>
  <c r="M29" i="31"/>
  <c r="L26" i="31"/>
  <c r="N29" i="31"/>
  <c r="G26" i="31"/>
  <c r="H29" i="31"/>
  <c r="L29" i="31"/>
  <c r="G29" i="31"/>
  <c r="H17" i="31"/>
  <c r="I46" i="31"/>
  <c r="J46" i="31" s="1"/>
  <c r="I49" i="31"/>
  <c r="J49" i="31" s="1"/>
  <c r="F49" i="31"/>
  <c r="I48" i="31"/>
  <c r="J48" i="31" s="1"/>
  <c r="F47" i="31"/>
  <c r="N48" i="31"/>
  <c r="Q48" i="31" s="1"/>
  <c r="Y252" i="18"/>
  <c r="L47" i="31"/>
  <c r="K22" i="31"/>
  <c r="N22" i="31"/>
  <c r="G48" i="24"/>
  <c r="H48" i="24" s="1"/>
  <c r="I48" i="24" s="1"/>
  <c r="J48" i="24" s="1"/>
  <c r="K48" i="24" s="1"/>
  <c r="N16" i="31"/>
  <c r="I39" i="31"/>
  <c r="J39" i="31" s="1"/>
  <c r="K41" i="31"/>
  <c r="L40" i="31"/>
  <c r="L39" i="31"/>
  <c r="K38" i="31"/>
  <c r="G38" i="31"/>
  <c r="P38" i="31"/>
  <c r="O9" i="31"/>
  <c r="F40" i="31"/>
  <c r="P46" i="31"/>
  <c r="H38" i="31"/>
  <c r="L28" i="31"/>
  <c r="L44" i="31"/>
  <c r="L43" i="31"/>
  <c r="Y169" i="18"/>
  <c r="Y398" i="18"/>
  <c r="Y82" i="18"/>
  <c r="Y287" i="18"/>
  <c r="Y390" i="18"/>
  <c r="Y38" i="18"/>
  <c r="Y225" i="18"/>
  <c r="Y293" i="18"/>
  <c r="Y343" i="18"/>
  <c r="H6" i="12"/>
  <c r="I31" i="31"/>
  <c r="J31" i="31" s="1"/>
  <c r="K32" i="31"/>
  <c r="Y442" i="18"/>
  <c r="Y425" i="18"/>
  <c r="Y81" i="18"/>
  <c r="Y148" i="18"/>
  <c r="Y196" i="18"/>
  <c r="Y395" i="18"/>
  <c r="Y60" i="18"/>
  <c r="Y482" i="18"/>
  <c r="Y147" i="18"/>
  <c r="Y374" i="18"/>
  <c r="Y46" i="18"/>
  <c r="Y467" i="18"/>
  <c r="Y356" i="18"/>
  <c r="Y292" i="18"/>
  <c r="Y420" i="18"/>
  <c r="Y41" i="18"/>
  <c r="Y149" i="18"/>
  <c r="P31" i="31"/>
  <c r="Y417" i="18"/>
  <c r="Y402" i="18"/>
  <c r="Y373" i="18"/>
  <c r="Y232" i="18"/>
  <c r="Y307" i="18"/>
  <c r="Y120" i="18"/>
  <c r="Y314" i="18"/>
  <c r="Y144" i="18"/>
  <c r="Y168" i="18"/>
  <c r="Y281" i="18"/>
  <c r="Y193" i="18"/>
  <c r="Y94" i="18"/>
  <c r="Y84" i="18"/>
  <c r="Y40" i="18"/>
  <c r="Y21" i="18"/>
  <c r="Y85" i="18"/>
  <c r="Y53" i="18"/>
  <c r="Y68" i="18"/>
  <c r="Y109" i="18"/>
  <c r="Y142" i="18"/>
  <c r="Y288" i="18"/>
  <c r="Y405" i="18"/>
  <c r="Y119" i="18"/>
  <c r="H32" i="31"/>
  <c r="Y87" i="18"/>
  <c r="Y418" i="18"/>
  <c r="Y345" i="18"/>
  <c r="Y67" i="18"/>
  <c r="Y261" i="18"/>
  <c r="Y471" i="18"/>
  <c r="Y99" i="18"/>
  <c r="Y215" i="18"/>
  <c r="Y91" i="18"/>
  <c r="Y133" i="18"/>
  <c r="Y102" i="18"/>
  <c r="Y176" i="18"/>
  <c r="Y12" i="18"/>
  <c r="Y227" i="18"/>
  <c r="Y136" i="18"/>
  <c r="Y35" i="18"/>
  <c r="Y205" i="18"/>
  <c r="Y52" i="18"/>
  <c r="Y167" i="18"/>
  <c r="Y339" i="18"/>
  <c r="Y429" i="18"/>
  <c r="Y286" i="18"/>
  <c r="Y441" i="18"/>
  <c r="Y31" i="18"/>
  <c r="Y192" i="18"/>
  <c r="Y396" i="18"/>
  <c r="Y388" i="18"/>
  <c r="Y29" i="18"/>
  <c r="Y308" i="18"/>
  <c r="Y451" i="18"/>
  <c r="Y505" i="18"/>
  <c r="Y393" i="18"/>
  <c r="Y411" i="18"/>
  <c r="Y497" i="18"/>
  <c r="Y246" i="18"/>
  <c r="Y481" i="18"/>
  <c r="Y154" i="18"/>
  <c r="Y173" i="18"/>
  <c r="Y95" i="18"/>
  <c r="Y389" i="18"/>
  <c r="E9" i="24"/>
  <c r="M10" i="24" s="1"/>
  <c r="H46" i="24"/>
  <c r="I46" i="24" s="1"/>
  <c r="J46" i="24" s="1"/>
  <c r="K46" i="24" s="1"/>
  <c r="G51" i="24"/>
  <c r="N15" i="24"/>
  <c r="M15" i="24" s="1"/>
  <c r="L28" i="24"/>
  <c r="N28" i="24"/>
  <c r="E28" i="24"/>
  <c r="E29" i="24" s="1"/>
  <c r="F51" i="24"/>
  <c r="Q22" i="31"/>
  <c r="M24" i="31"/>
  <c r="G22" i="31"/>
  <c r="K24" i="31"/>
  <c r="G23" i="31"/>
  <c r="F24" i="31"/>
  <c r="H25" i="31"/>
  <c r="I23" i="31"/>
  <c r="J23" i="31" s="1"/>
  <c r="G25" i="31"/>
  <c r="I22" i="31"/>
  <c r="J22" i="31" s="1"/>
  <c r="M25" i="31"/>
  <c r="N25" i="31"/>
  <c r="P24" i="31"/>
  <c r="M23" i="31"/>
  <c r="G24" i="31"/>
  <c r="K23" i="31"/>
  <c r="P23" i="31"/>
  <c r="M22" i="31"/>
  <c r="H24" i="31"/>
  <c r="I25" i="31"/>
  <c r="J25" i="31" s="1"/>
  <c r="L22" i="31"/>
  <c r="H22" i="31"/>
  <c r="I24" i="31"/>
  <c r="J24" i="31" s="1"/>
  <c r="N23" i="31"/>
  <c r="H23" i="31"/>
  <c r="F25" i="31"/>
  <c r="P25" i="31"/>
  <c r="F23" i="31"/>
  <c r="N24" i="31"/>
  <c r="F22" i="31"/>
  <c r="L23" i="31"/>
  <c r="L25" i="31"/>
  <c r="K25" i="31"/>
  <c r="E51" i="24"/>
  <c r="P22" i="31"/>
  <c r="L24" i="31"/>
  <c r="Q31" i="31"/>
  <c r="Q16" i="31"/>
  <c r="M28" i="24"/>
  <c r="I39" i="24"/>
  <c r="Q30" i="31"/>
  <c r="K44" i="31"/>
  <c r="G44" i="31"/>
  <c r="I44" i="31"/>
  <c r="J44" i="31" s="1"/>
  <c r="K43" i="31"/>
  <c r="N44" i="31"/>
  <c r="M44" i="31"/>
  <c r="M43" i="31"/>
  <c r="P44" i="31"/>
  <c r="L42" i="31"/>
  <c r="P45" i="31"/>
  <c r="F45" i="31"/>
  <c r="K42" i="31"/>
  <c r="H45" i="31"/>
  <c r="F42" i="31"/>
  <c r="P43" i="31"/>
  <c r="L45" i="31"/>
  <c r="G43" i="31"/>
  <c r="I45" i="31"/>
  <c r="J45" i="31" s="1"/>
  <c r="M45" i="31"/>
  <c r="N42" i="31"/>
  <c r="I42" i="31"/>
  <c r="J42" i="31" s="1"/>
  <c r="K45" i="31"/>
  <c r="H42" i="31"/>
  <c r="I43" i="31"/>
  <c r="J43" i="31" s="1"/>
  <c r="M42" i="31"/>
  <c r="N45" i="31"/>
  <c r="F44" i="31"/>
  <c r="G45" i="31"/>
  <c r="F43" i="31"/>
  <c r="P42" i="31"/>
  <c r="N43" i="31"/>
  <c r="H44" i="31"/>
  <c r="Q51" i="31"/>
  <c r="O51" i="31"/>
  <c r="F19" i="31"/>
  <c r="I15" i="31"/>
  <c r="J15" i="31" s="1"/>
  <c r="N15" i="31"/>
  <c r="N18" i="31"/>
  <c r="Q11" i="31"/>
  <c r="L15" i="31"/>
  <c r="K49" i="31"/>
  <c r="H46" i="31"/>
  <c r="N49" i="31"/>
  <c r="G47" i="31"/>
  <c r="I47" i="31"/>
  <c r="J47" i="31" s="1"/>
  <c r="L49" i="31"/>
  <c r="P48" i="31"/>
  <c r="F46" i="31"/>
  <c r="M48" i="31"/>
  <c r="H48" i="31"/>
  <c r="L48" i="31"/>
  <c r="G48" i="31"/>
  <c r="Q54" i="31"/>
  <c r="O54" i="31"/>
  <c r="F20" i="31"/>
  <c r="I14" i="31"/>
  <c r="J14" i="31" s="1"/>
  <c r="G49" i="31"/>
  <c r="H14" i="31"/>
  <c r="G19" i="31"/>
  <c r="K16" i="31"/>
  <c r="M47" i="31"/>
  <c r="F21" i="31"/>
  <c r="I17" i="31"/>
  <c r="J17" i="31" s="1"/>
  <c r="H49" i="31"/>
  <c r="N14" i="31"/>
  <c r="K14" i="31"/>
  <c r="K46" i="31"/>
  <c r="G46" i="31"/>
  <c r="P15" i="31"/>
  <c r="K19" i="31"/>
  <c r="M14" i="31"/>
  <c r="L46" i="31"/>
  <c r="H16" i="31"/>
  <c r="K20" i="31"/>
  <c r="M46" i="31"/>
  <c r="F48" i="31"/>
  <c r="K18" i="31"/>
  <c r="K47" i="31"/>
  <c r="F12" i="31"/>
  <c r="O12" i="31" s="1"/>
  <c r="L13" i="31"/>
  <c r="N13" i="31"/>
  <c r="F11" i="31"/>
  <c r="O11" i="31" s="1"/>
  <c r="K10" i="31"/>
  <c r="H13" i="31"/>
  <c r="I12" i="31"/>
  <c r="J12" i="31" s="1"/>
  <c r="M13" i="31"/>
  <c r="P11" i="31"/>
  <c r="I11" i="31"/>
  <c r="J11" i="31" s="1"/>
  <c r="K13" i="31"/>
  <c r="H12" i="31"/>
  <c r="I13" i="31"/>
  <c r="J13" i="31" s="1"/>
  <c r="G13" i="31"/>
  <c r="H19" i="31"/>
  <c r="K15" i="31"/>
  <c r="P16" i="31"/>
  <c r="I16" i="31"/>
  <c r="J16" i="31" s="1"/>
  <c r="L14" i="31"/>
  <c r="G16" i="31"/>
  <c r="M17" i="31"/>
  <c r="N17" i="31"/>
  <c r="G15" i="31"/>
  <c r="L17" i="31"/>
  <c r="G14" i="31"/>
  <c r="P14" i="31"/>
  <c r="F17" i="31"/>
  <c r="K17" i="31"/>
  <c r="G17" i="31"/>
  <c r="F15" i="31"/>
  <c r="Q53" i="31"/>
  <c r="O53" i="31"/>
  <c r="M21" i="31"/>
  <c r="G20" i="31"/>
  <c r="L20" i="31"/>
  <c r="N21" i="31"/>
  <c r="N19" i="31"/>
  <c r="I20" i="31"/>
  <c r="J20" i="31" s="1"/>
  <c r="M18" i="31"/>
  <c r="P21" i="31"/>
  <c r="F18" i="31"/>
  <c r="L18" i="31"/>
  <c r="H21" i="31"/>
  <c r="G21" i="31"/>
  <c r="Y469" i="18"/>
  <c r="Q62" i="31"/>
  <c r="O62" i="31"/>
  <c r="H47" i="31"/>
  <c r="N20" i="31"/>
  <c r="M20" i="31"/>
  <c r="Q57" i="31"/>
  <c r="O57" i="31"/>
  <c r="N46" i="31"/>
  <c r="P20" i="31"/>
  <c r="O34" i="31"/>
  <c r="K21" i="31"/>
  <c r="M11" i="31"/>
  <c r="L31" i="31"/>
  <c r="N32" i="31"/>
  <c r="I30" i="31"/>
  <c r="J30" i="31" s="1"/>
  <c r="L30" i="31"/>
  <c r="P32" i="31"/>
  <c r="I33" i="31"/>
  <c r="J33" i="31" s="1"/>
  <c r="K33" i="31"/>
  <c r="O33" i="31" s="1"/>
  <c r="G31" i="31"/>
  <c r="F31" i="31"/>
  <c r="O31" i="31" s="1"/>
  <c r="M32" i="31"/>
  <c r="H30" i="31"/>
  <c r="F30" i="31"/>
  <c r="O30" i="31" s="1"/>
  <c r="L32" i="31"/>
  <c r="P30" i="31"/>
  <c r="F32" i="31"/>
  <c r="I18" i="31"/>
  <c r="J18" i="31" s="1"/>
  <c r="N47" i="31"/>
  <c r="G18" i="31"/>
  <c r="L16" i="31"/>
  <c r="Q77" i="31"/>
  <c r="O77" i="31"/>
  <c r="F16" i="31"/>
  <c r="I19" i="31"/>
  <c r="J19" i="31" s="1"/>
  <c r="P47" i="31"/>
  <c r="Q27" i="31"/>
  <c r="O27" i="31"/>
  <c r="H18" i="31"/>
  <c r="H10" i="31"/>
  <c r="M15" i="31"/>
  <c r="K48" i="31"/>
  <c r="K39" i="31"/>
  <c r="N41" i="31"/>
  <c r="N40" i="31"/>
  <c r="F39" i="31"/>
  <c r="M40" i="31"/>
  <c r="P39" i="31"/>
  <c r="F38" i="31"/>
  <c r="L41" i="31"/>
  <c r="H39" i="31"/>
  <c r="I41" i="31"/>
  <c r="J41" i="31" s="1"/>
  <c r="M41" i="31"/>
  <c r="G39" i="31"/>
  <c r="I40" i="31"/>
  <c r="J40" i="31" s="1"/>
  <c r="L38" i="31"/>
  <c r="N39" i="31"/>
  <c r="I38" i="31"/>
  <c r="J38" i="31" s="1"/>
  <c r="Q63" i="31"/>
  <c r="O63" i="31"/>
  <c r="Q64" i="31"/>
  <c r="O64" i="31"/>
  <c r="Q52" i="31"/>
  <c r="O52" i="31"/>
  <c r="Q56" i="31"/>
  <c r="O56" i="31"/>
  <c r="Q55" i="31"/>
  <c r="O55" i="31"/>
  <c r="I47" i="24"/>
  <c r="J47" i="24" s="1"/>
  <c r="K47" i="24" s="1"/>
  <c r="Y9" i="18"/>
  <c r="J8" i="12"/>
  <c r="Q65" i="31"/>
  <c r="O65" i="31"/>
  <c r="Y14" i="18"/>
  <c r="C8" i="12"/>
  <c r="Q50" i="31"/>
  <c r="O50" i="31"/>
  <c r="Y151" i="18"/>
  <c r="G33" i="24"/>
  <c r="H33" i="24" s="1"/>
  <c r="I33" i="24" s="1"/>
  <c r="J33" i="24" s="1"/>
  <c r="K33" i="24" s="1"/>
  <c r="N28" i="31"/>
  <c r="AH260" i="18"/>
  <c r="J395" i="25"/>
  <c r="AC422" i="18"/>
  <c r="AE115" i="18"/>
  <c r="AG353" i="18"/>
  <c r="AC311" i="18"/>
  <c r="I27" i="25"/>
  <c r="AC189" i="18"/>
  <c r="I98" i="25"/>
  <c r="AE425" i="18"/>
  <c r="I177" i="25"/>
  <c r="AG143" i="18"/>
  <c r="AD190" i="18"/>
  <c r="I313" i="25"/>
  <c r="AE71" i="18"/>
  <c r="AF441" i="18"/>
  <c r="AD299" i="18"/>
  <c r="AG22" i="18"/>
  <c r="AH298" i="18"/>
  <c r="AE336" i="18"/>
  <c r="AG185" i="18"/>
  <c r="AF182" i="18"/>
  <c r="I185" i="25"/>
  <c r="J357" i="25"/>
  <c r="AG203" i="18"/>
  <c r="AG214" i="18"/>
  <c r="AD27" i="18"/>
  <c r="AH143" i="18"/>
  <c r="AG407" i="18"/>
  <c r="AG83" i="18"/>
  <c r="J204" i="25"/>
  <c r="AG355" i="18"/>
  <c r="AC37" i="18"/>
  <c r="AE459" i="18"/>
  <c r="AD84" i="18"/>
  <c r="AC365" i="18"/>
  <c r="J30" i="25"/>
  <c r="AF443" i="18"/>
  <c r="AD311" i="18"/>
  <c r="AE20" i="18"/>
  <c r="AD196" i="18"/>
  <c r="J336" i="25"/>
  <c r="AE146" i="18"/>
  <c r="AE21" i="18"/>
  <c r="I378" i="25"/>
  <c r="J272" i="25"/>
  <c r="AG474" i="18"/>
  <c r="AH135" i="18"/>
  <c r="I180" i="25"/>
  <c r="AH115" i="18"/>
  <c r="AD184" i="18"/>
  <c r="AE73" i="18"/>
  <c r="AH467" i="18"/>
  <c r="AD318" i="18"/>
  <c r="AF39" i="18"/>
  <c r="J388" i="25"/>
  <c r="AC323" i="18"/>
  <c r="AD459" i="18"/>
  <c r="AF469" i="18"/>
  <c r="AH312" i="18"/>
  <c r="AD437" i="18"/>
  <c r="AC106" i="18"/>
  <c r="J403" i="25"/>
  <c r="AG20" i="18"/>
  <c r="AD464" i="18"/>
  <c r="AD62" i="18"/>
  <c r="I270" i="25"/>
  <c r="AH46" i="18"/>
  <c r="AF176" i="18"/>
  <c r="AH407" i="18"/>
  <c r="AH332" i="18"/>
  <c r="AF292" i="18"/>
  <c r="AC170" i="18"/>
  <c r="AG284" i="18"/>
  <c r="AG16" i="18"/>
  <c r="AC50" i="18"/>
  <c r="AH349" i="18"/>
  <c r="AH414" i="18"/>
  <c r="AF72" i="18"/>
  <c r="AF371" i="18"/>
  <c r="AH473" i="18"/>
  <c r="AG470" i="18"/>
  <c r="AE452" i="18"/>
  <c r="AD372" i="18"/>
  <c r="AE132" i="18"/>
  <c r="AE355" i="18"/>
  <c r="AE151" i="18"/>
  <c r="AF363" i="18"/>
  <c r="AD75" i="18"/>
  <c r="AD374" i="18"/>
  <c r="AC101" i="18"/>
  <c r="AC259" i="18"/>
  <c r="J327" i="25"/>
  <c r="J13" i="25"/>
  <c r="AF139" i="18"/>
  <c r="AD377" i="18"/>
  <c r="AF392" i="18"/>
  <c r="AH220" i="18"/>
  <c r="AE171" i="18"/>
  <c r="AE315" i="18"/>
  <c r="AE435" i="18"/>
  <c r="AC184" i="18"/>
  <c r="AH269" i="18"/>
  <c r="AG496" i="18"/>
  <c r="AG344" i="18"/>
  <c r="AG21" i="18"/>
  <c r="I23" i="25"/>
  <c r="AE454" i="18"/>
  <c r="AC217" i="18"/>
  <c r="AD257" i="18"/>
  <c r="AF396" i="18"/>
  <c r="AG193" i="18"/>
  <c r="I367" i="25"/>
  <c r="J217" i="25"/>
  <c r="AD301" i="18"/>
  <c r="J304" i="25"/>
  <c r="I348" i="25"/>
  <c r="AH360" i="18"/>
  <c r="AE138" i="18"/>
  <c r="AD262" i="18"/>
  <c r="AD325" i="18"/>
  <c r="AF115" i="18"/>
  <c r="AC440" i="18"/>
  <c r="I59" i="25"/>
  <c r="AG218" i="18"/>
  <c r="AH258" i="18"/>
  <c r="AC97" i="18"/>
  <c r="AE294" i="18"/>
  <c r="AF388" i="18"/>
  <c r="AG175" i="18"/>
  <c r="AE140" i="18"/>
  <c r="AG75" i="18"/>
  <c r="AC476" i="18"/>
  <c r="AD357" i="18"/>
  <c r="AG215" i="18"/>
  <c r="I280" i="25"/>
  <c r="AH352" i="18"/>
  <c r="J263" i="25"/>
  <c r="AC354" i="18"/>
  <c r="AF252" i="18"/>
  <c r="AD340" i="18"/>
  <c r="AC218" i="18"/>
  <c r="AF342" i="18"/>
  <c r="AE53" i="18"/>
  <c r="AH142" i="18"/>
  <c r="I196" i="25"/>
  <c r="AG103" i="18"/>
  <c r="I386" i="25"/>
  <c r="J381" i="25"/>
  <c r="AD458" i="18"/>
  <c r="I261" i="25"/>
  <c r="J176" i="25"/>
  <c r="AD417" i="18"/>
  <c r="J322" i="25"/>
  <c r="AG492" i="18"/>
  <c r="AH103" i="18"/>
  <c r="AG380" i="18"/>
  <c r="AH273" i="18"/>
  <c r="AC398" i="18"/>
  <c r="AC31" i="18"/>
  <c r="AH53" i="18"/>
  <c r="AC309" i="18"/>
  <c r="AD486" i="18"/>
  <c r="J177" i="25"/>
  <c r="AC329" i="18"/>
  <c r="AE172" i="18"/>
  <c r="AE463" i="18"/>
  <c r="AE22" i="18"/>
  <c r="J171" i="25"/>
  <c r="AG247" i="18"/>
  <c r="AH233" i="18"/>
  <c r="J97" i="25"/>
  <c r="AH274" i="18"/>
  <c r="AD375" i="18"/>
  <c r="J148" i="25"/>
  <c r="AE402" i="18"/>
  <c r="AE400" i="18"/>
  <c r="AD140" i="18"/>
  <c r="AE270" i="18"/>
  <c r="AD157" i="18"/>
  <c r="AE159" i="18"/>
  <c r="AD146" i="18"/>
  <c r="AC460" i="18"/>
  <c r="AC223" i="18"/>
  <c r="AE264" i="18"/>
  <c r="AG72" i="18"/>
  <c r="J15" i="25"/>
  <c r="AG196" i="18"/>
  <c r="AH324" i="18"/>
  <c r="AG456" i="18"/>
  <c r="AE242" i="18"/>
  <c r="AH8" i="18"/>
  <c r="AD15" i="18"/>
  <c r="AJ15" i="18" s="1"/>
  <c r="AK15" i="18" s="1"/>
  <c r="AH356" i="18"/>
  <c r="AD164" i="18"/>
  <c r="AF35" i="18"/>
  <c r="AE81" i="18"/>
  <c r="AE302" i="18"/>
  <c r="AG324" i="18"/>
  <c r="AG154" i="18"/>
  <c r="AG176" i="18"/>
  <c r="I342" i="25"/>
  <c r="AG146" i="18"/>
  <c r="AG412" i="18"/>
  <c r="AE177" i="18"/>
  <c r="AF421" i="18"/>
  <c r="AE24" i="18"/>
  <c r="AE325" i="18"/>
  <c r="AE414" i="18"/>
  <c r="AE215" i="18"/>
  <c r="J383" i="25"/>
  <c r="AE74" i="18"/>
  <c r="AG347" i="18"/>
  <c r="AG250" i="18"/>
  <c r="AG454" i="18"/>
  <c r="AD503" i="18"/>
  <c r="AC277" i="18"/>
  <c r="AH500" i="18"/>
  <c r="AE36" i="18"/>
  <c r="AH165" i="18"/>
  <c r="AD254" i="18"/>
  <c r="AD61" i="18"/>
  <c r="AD276" i="18"/>
  <c r="AC136" i="18"/>
  <c r="AH421" i="18"/>
  <c r="AG29" i="18"/>
  <c r="AH362" i="18"/>
  <c r="AD313" i="18"/>
  <c r="AE174" i="18"/>
  <c r="I159" i="25"/>
  <c r="AE396" i="18"/>
  <c r="AF406" i="18"/>
  <c r="AE196" i="18"/>
  <c r="AF179" i="18"/>
  <c r="AH44" i="18"/>
  <c r="AH182" i="18"/>
  <c r="AG402" i="18"/>
  <c r="J267" i="25"/>
  <c r="AF401" i="18"/>
  <c r="AF125" i="18"/>
  <c r="AG280" i="18"/>
  <c r="AH411" i="18"/>
  <c r="AH293" i="18"/>
  <c r="AF477" i="18"/>
  <c r="AD253" i="18"/>
  <c r="AF420" i="18"/>
  <c r="AG267" i="18"/>
  <c r="J355" i="25"/>
  <c r="AH439" i="18"/>
  <c r="AC313" i="18"/>
  <c r="AH256" i="18"/>
  <c r="AF196" i="18"/>
  <c r="J325" i="25"/>
  <c r="J323" i="25"/>
  <c r="AF197" i="18"/>
  <c r="AD494" i="18"/>
  <c r="AE26" i="18"/>
  <c r="AC464" i="18"/>
  <c r="J243" i="25"/>
  <c r="AC288" i="18"/>
  <c r="AD25" i="18"/>
  <c r="AD111" i="18"/>
  <c r="AD401" i="18"/>
  <c r="AG503" i="18"/>
  <c r="J384" i="25"/>
  <c r="AF92" i="18"/>
  <c r="AE470" i="18"/>
  <c r="AF104" i="18"/>
  <c r="AD440" i="18"/>
  <c r="AH112" i="18"/>
  <c r="J61" i="25"/>
  <c r="AC287" i="18"/>
  <c r="J89" i="25"/>
  <c r="AC114" i="18"/>
  <c r="I210" i="25"/>
  <c r="J5" i="25"/>
  <c r="AF187" i="18"/>
  <c r="AE353" i="18"/>
  <c r="AG10" i="18"/>
  <c r="AE77" i="18"/>
  <c r="AE158" i="18"/>
  <c r="AG230" i="18"/>
  <c r="AD71" i="18"/>
  <c r="AC330" i="18"/>
  <c r="AC135" i="18"/>
  <c r="I188" i="25"/>
  <c r="AC80" i="18"/>
  <c r="AH385" i="18"/>
  <c r="AD468" i="18"/>
  <c r="AC327" i="18"/>
  <c r="AC151" i="18"/>
  <c r="AH77" i="18"/>
  <c r="AH476" i="18"/>
  <c r="AF185" i="18"/>
  <c r="AH179" i="18"/>
  <c r="AD180" i="18"/>
  <c r="AH102" i="18"/>
  <c r="AF451" i="18"/>
  <c r="AF320" i="18"/>
  <c r="J144" i="25"/>
  <c r="AG80" i="18"/>
  <c r="AG66" i="18"/>
  <c r="AD154" i="18"/>
  <c r="AH118" i="18"/>
  <c r="AD65" i="18"/>
  <c r="I295" i="25"/>
  <c r="J11" i="25"/>
  <c r="AE369" i="18"/>
  <c r="AG305" i="18"/>
  <c r="I42" i="25"/>
  <c r="I284" i="25"/>
  <c r="AC128" i="18"/>
  <c r="J363" i="25"/>
  <c r="I165" i="25"/>
  <c r="AF504" i="18"/>
  <c r="AC173" i="18"/>
  <c r="AG147" i="18"/>
  <c r="AE28" i="18"/>
  <c r="AF283" i="18"/>
  <c r="AH190" i="18"/>
  <c r="AC156" i="18"/>
  <c r="AC315" i="18"/>
  <c r="AD295" i="18"/>
  <c r="AF433" i="18"/>
  <c r="AG110" i="18"/>
  <c r="J234" i="25"/>
  <c r="AF368" i="18"/>
  <c r="AC417" i="18"/>
  <c r="J298" i="25"/>
  <c r="J368" i="25"/>
  <c r="AC116" i="18"/>
  <c r="AC20" i="18"/>
  <c r="AD234" i="18"/>
  <c r="AE88" i="18"/>
  <c r="AC397" i="18"/>
  <c r="AD487" i="18"/>
  <c r="AG399" i="18"/>
  <c r="AE447" i="18"/>
  <c r="AH285" i="18"/>
  <c r="AF369" i="18"/>
  <c r="AE378" i="18"/>
  <c r="AG323" i="18"/>
  <c r="AG243" i="18"/>
  <c r="AD171" i="18"/>
  <c r="AG457" i="18"/>
  <c r="AE51" i="18"/>
  <c r="AH238" i="18"/>
  <c r="AE125" i="18"/>
  <c r="AH394" i="18"/>
  <c r="AD349" i="18"/>
  <c r="AG105" i="18"/>
  <c r="AC395" i="18"/>
  <c r="AH333" i="18"/>
  <c r="J114" i="25"/>
  <c r="AH493" i="18"/>
  <c r="I329" i="25"/>
  <c r="J335" i="25"/>
  <c r="AH247" i="18"/>
  <c r="AH334" i="18"/>
  <c r="AF391" i="18"/>
  <c r="AH321" i="18"/>
  <c r="AD288" i="18"/>
  <c r="AC368" i="18"/>
  <c r="AD385" i="18"/>
  <c r="AC92" i="18"/>
  <c r="AG219" i="18"/>
  <c r="AG296" i="18"/>
  <c r="AF122" i="18"/>
  <c r="I178" i="25"/>
  <c r="AC167" i="18"/>
  <c r="J288" i="25"/>
  <c r="AD44" i="18"/>
  <c r="AE141" i="18"/>
  <c r="AE366" i="18"/>
  <c r="AG462" i="18"/>
  <c r="J107" i="25"/>
  <c r="AH383" i="18"/>
  <c r="AF169" i="18"/>
  <c r="AH75" i="18"/>
  <c r="I366" i="25"/>
  <c r="J278" i="25"/>
  <c r="AH113" i="18"/>
  <c r="AF114" i="18"/>
  <c r="AC418" i="18"/>
  <c r="AG448" i="18"/>
  <c r="AD278" i="18"/>
  <c r="AE98" i="18"/>
  <c r="AH36" i="18"/>
  <c r="AE304" i="18"/>
  <c r="AD430" i="18"/>
  <c r="AG398" i="18"/>
  <c r="I38" i="25"/>
  <c r="AF411" i="18"/>
  <c r="AE303" i="18"/>
  <c r="AC54" i="18"/>
  <c r="AH122" i="18"/>
  <c r="AF395" i="18"/>
  <c r="AH35" i="18"/>
  <c r="AC448" i="18"/>
  <c r="J307" i="25"/>
  <c r="AC194" i="18"/>
  <c r="I80" i="25"/>
  <c r="AE312" i="18"/>
  <c r="J81" i="25"/>
  <c r="AE495" i="18"/>
  <c r="AF426" i="18"/>
  <c r="J185" i="25"/>
  <c r="AC474" i="18"/>
  <c r="I316" i="25"/>
  <c r="AF51" i="18"/>
  <c r="AH288" i="18"/>
  <c r="AH231" i="18"/>
  <c r="AE468" i="18"/>
  <c r="AG17" i="18"/>
  <c r="AH223" i="18"/>
  <c r="J166" i="25"/>
  <c r="AF305" i="18"/>
  <c r="AG384" i="18"/>
  <c r="AD117" i="18"/>
  <c r="J75" i="25"/>
  <c r="AE32" i="18"/>
  <c r="AD285" i="18"/>
  <c r="AD199" i="18"/>
  <c r="AG64" i="18"/>
  <c r="AG191" i="18"/>
  <c r="AF376" i="18"/>
  <c r="J345" i="25"/>
  <c r="J57" i="25"/>
  <c r="AF189" i="18"/>
  <c r="AD452" i="18"/>
  <c r="AE91" i="18"/>
  <c r="AF13" i="18"/>
  <c r="I160" i="25"/>
  <c r="AH287" i="18"/>
  <c r="I86" i="25"/>
  <c r="J82" i="25"/>
  <c r="AD342" i="18"/>
  <c r="AG98" i="18"/>
  <c r="AC487" i="18"/>
  <c r="AG33" i="18"/>
  <c r="AG396" i="18"/>
  <c r="AE395" i="18"/>
  <c r="AF100" i="18"/>
  <c r="AD133" i="18"/>
  <c r="AF240" i="18"/>
  <c r="AG156" i="18"/>
  <c r="AD131" i="18"/>
  <c r="AG136" i="18"/>
  <c r="I127" i="25"/>
  <c r="AH479" i="18"/>
  <c r="J90" i="25"/>
  <c r="AH47" i="18"/>
  <c r="AD139" i="18"/>
  <c r="AF479" i="18"/>
  <c r="J205" i="25"/>
  <c r="AF357" i="18"/>
  <c r="AG251" i="18"/>
  <c r="AD32" i="18"/>
  <c r="I336" i="25"/>
  <c r="AG166" i="18"/>
  <c r="J241" i="25"/>
  <c r="AC140" i="18"/>
  <c r="J88" i="25"/>
  <c r="I238" i="25"/>
  <c r="AF256" i="18"/>
  <c r="AE40" i="18"/>
  <c r="AF494" i="18"/>
  <c r="AC27" i="18"/>
  <c r="AH361" i="18"/>
  <c r="I309" i="25"/>
  <c r="AF268" i="18"/>
  <c r="AD228" i="18"/>
  <c r="AD352" i="18"/>
  <c r="AC372" i="18"/>
  <c r="J64" i="25"/>
  <c r="AH430" i="18"/>
  <c r="AC76" i="18"/>
  <c r="AD286" i="18"/>
  <c r="AD206" i="18"/>
  <c r="J382" i="25"/>
  <c r="I200" i="25"/>
  <c r="AE162" i="18"/>
  <c r="I70" i="25"/>
  <c r="AC59" i="18"/>
  <c r="AH403" i="18"/>
  <c r="AE446" i="18"/>
  <c r="I123" i="25"/>
  <c r="AH215" i="18"/>
  <c r="AH311" i="18"/>
  <c r="AF464" i="18"/>
  <c r="AG444" i="18"/>
  <c r="AH189" i="18"/>
  <c r="AD101" i="18"/>
  <c r="AG463" i="18"/>
  <c r="AG271" i="18"/>
  <c r="I376" i="25"/>
  <c r="AD373" i="18"/>
  <c r="AE25" i="18"/>
  <c r="AD384" i="18"/>
  <c r="AC36" i="18"/>
  <c r="AF199" i="18"/>
  <c r="AG239" i="18"/>
  <c r="AH205" i="18"/>
  <c r="AF124" i="18"/>
  <c r="AC325" i="18"/>
  <c r="AC117" i="18"/>
  <c r="J35" i="25"/>
  <c r="I311" i="25"/>
  <c r="AD155" i="18"/>
  <c r="J49" i="25"/>
  <c r="AH457" i="18"/>
  <c r="AH203" i="18"/>
  <c r="I226" i="25"/>
  <c r="AC71" i="18"/>
  <c r="AF97" i="18"/>
  <c r="J342" i="25"/>
  <c r="AD339" i="18"/>
  <c r="AE213" i="18"/>
  <c r="J240" i="25"/>
  <c r="AC163" i="18"/>
  <c r="AF12" i="18"/>
  <c r="AG346" i="18"/>
  <c r="I221" i="25"/>
  <c r="AG235" i="18"/>
  <c r="AE193" i="18"/>
  <c r="AC282" i="18"/>
  <c r="AC245" i="18"/>
  <c r="AG254" i="18"/>
  <c r="AC298" i="18"/>
  <c r="I332" i="25"/>
  <c r="AC433" i="18"/>
  <c r="AF134" i="18"/>
  <c r="I162" i="25"/>
  <c r="I104" i="25"/>
  <c r="AE225" i="18"/>
  <c r="AE503" i="18"/>
  <c r="AH12" i="18"/>
  <c r="AE478" i="18"/>
  <c r="AE221" i="18"/>
  <c r="AE287" i="18"/>
  <c r="AD271" i="18"/>
  <c r="AF15" i="18"/>
  <c r="AD505" i="18"/>
  <c r="J184" i="25"/>
  <c r="AC55" i="18"/>
  <c r="AD307" i="18"/>
  <c r="AC110" i="18"/>
  <c r="AD96" i="18"/>
  <c r="AE108" i="18"/>
  <c r="AF126" i="18"/>
  <c r="AD222" i="18"/>
  <c r="AE43" i="18"/>
  <c r="J46" i="25"/>
  <c r="J259" i="25"/>
  <c r="AG374" i="18"/>
  <c r="AD422" i="18"/>
  <c r="AF367" i="18"/>
  <c r="AE474" i="18"/>
  <c r="AH137" i="18"/>
  <c r="AE432" i="18"/>
  <c r="J391" i="25"/>
  <c r="AC316" i="18"/>
  <c r="AD501" i="18"/>
  <c r="J275" i="25"/>
  <c r="AG321" i="18"/>
  <c r="AF313" i="18"/>
  <c r="AF135" i="18"/>
  <c r="J63" i="25"/>
  <c r="AF54" i="18"/>
  <c r="AE416" i="18"/>
  <c r="AE383" i="18"/>
  <c r="AE387" i="18"/>
  <c r="AC431" i="18"/>
  <c r="AH302" i="18"/>
  <c r="AC11" i="18"/>
  <c r="AF66" i="18"/>
  <c r="AE284" i="18"/>
  <c r="AE185" i="18"/>
  <c r="I172" i="25"/>
  <c r="AD402" i="18"/>
  <c r="AF21" i="18"/>
  <c r="AD179" i="18"/>
  <c r="AE78" i="18"/>
  <c r="AF379" i="18"/>
  <c r="I92" i="25"/>
  <c r="AE46" i="18"/>
  <c r="AC403" i="18"/>
  <c r="I173" i="25"/>
  <c r="AF113" i="18"/>
  <c r="AD156" i="18"/>
  <c r="AC478" i="18"/>
  <c r="AG246" i="18"/>
  <c r="I167" i="25"/>
  <c r="AE52" i="18"/>
  <c r="AC484" i="18"/>
  <c r="AE237" i="18"/>
  <c r="I30" i="25"/>
  <c r="J239" i="25"/>
  <c r="AH472" i="18"/>
  <c r="AD141" i="18"/>
  <c r="AD366" i="18"/>
  <c r="AF168" i="18"/>
  <c r="J124" i="25"/>
  <c r="AG169" i="18"/>
  <c r="J101" i="25"/>
  <c r="AG35" i="18"/>
  <c r="AD109" i="18"/>
  <c r="AC99" i="18"/>
  <c r="AF162" i="18"/>
  <c r="AD122" i="18"/>
  <c r="AH65" i="18"/>
  <c r="AH193" i="18"/>
  <c r="I175" i="25"/>
  <c r="J261" i="25"/>
  <c r="I356" i="25"/>
  <c r="J268" i="25"/>
  <c r="I346" i="25"/>
  <c r="I107" i="25"/>
  <c r="AH206" i="18"/>
  <c r="I85" i="25"/>
  <c r="AH61" i="18"/>
  <c r="AC16" i="18"/>
  <c r="AD185" i="18"/>
  <c r="AF167" i="18"/>
  <c r="AC139" i="18"/>
  <c r="AC89" i="18"/>
  <c r="I39" i="25"/>
  <c r="AD212" i="18"/>
  <c r="AD389" i="18"/>
  <c r="AH29" i="18"/>
  <c r="AE359" i="18"/>
  <c r="AF311" i="18"/>
  <c r="AG13" i="18"/>
  <c r="AD121" i="18"/>
  <c r="I289" i="25"/>
  <c r="AH219" i="18"/>
  <c r="AC161" i="18"/>
  <c r="AC402" i="18"/>
  <c r="AF300" i="18"/>
  <c r="AG223" i="18"/>
  <c r="AH11" i="18"/>
  <c r="AE75" i="18"/>
  <c r="AG331" i="18"/>
  <c r="J100" i="25"/>
  <c r="AC49" i="18"/>
  <c r="J365" i="25"/>
  <c r="AH246" i="18"/>
  <c r="AH25" i="18"/>
  <c r="AH336" i="18"/>
  <c r="AH459" i="18"/>
  <c r="AC23" i="18"/>
  <c r="J305" i="25"/>
  <c r="AF255" i="18"/>
  <c r="J133" i="25"/>
  <c r="AC342" i="18"/>
  <c r="I294" i="25"/>
  <c r="I248" i="25"/>
  <c r="J120" i="25"/>
  <c r="AH300" i="18"/>
  <c r="AH125" i="18"/>
  <c r="AC367" i="18"/>
  <c r="I334" i="25"/>
  <c r="AE195" i="18"/>
  <c r="AD23" i="18"/>
  <c r="AE231" i="18"/>
  <c r="AD239" i="18"/>
  <c r="AH306" i="18"/>
  <c r="J141" i="25"/>
  <c r="AD16" i="18"/>
  <c r="AD310" i="18"/>
  <c r="AC388" i="18"/>
  <c r="AE166" i="18"/>
  <c r="AD83" i="18"/>
  <c r="J38" i="25"/>
  <c r="J216" i="25"/>
  <c r="AE145" i="18"/>
  <c r="J352" i="25"/>
  <c r="AD130" i="18"/>
  <c r="AD243" i="18"/>
  <c r="AD100" i="18"/>
  <c r="AH325" i="18"/>
  <c r="AF96" i="18"/>
  <c r="AG256" i="18"/>
  <c r="AH230" i="18"/>
  <c r="AC386" i="18"/>
  <c r="AC320" i="18"/>
  <c r="AG252" i="18"/>
  <c r="I364" i="25"/>
  <c r="AF284" i="18"/>
  <c r="I400" i="25"/>
  <c r="AF446" i="18"/>
  <c r="AF435" i="18"/>
  <c r="AF254" i="18"/>
  <c r="AE163" i="18"/>
  <c r="AG52" i="18"/>
  <c r="AD457" i="18"/>
  <c r="I22" i="25"/>
  <c r="AC141" i="18"/>
  <c r="AD463" i="18"/>
  <c r="AH498" i="18"/>
  <c r="AH424" i="18"/>
  <c r="AG404" i="18"/>
  <c r="J47" i="25"/>
  <c r="AD341" i="18"/>
  <c r="I24" i="25"/>
  <c r="AE212" i="18"/>
  <c r="AC144" i="18"/>
  <c r="AC406" i="18"/>
  <c r="AD85" i="18"/>
  <c r="AG53" i="18"/>
  <c r="AH443" i="18"/>
  <c r="AH301" i="18"/>
  <c r="I209" i="25"/>
  <c r="AC207" i="18"/>
  <c r="AH257" i="18"/>
  <c r="AE42" i="18"/>
  <c r="AG314" i="18"/>
  <c r="AE319" i="18"/>
  <c r="J312" i="25"/>
  <c r="AG363" i="18"/>
  <c r="AC147" i="18"/>
  <c r="AD242" i="18"/>
  <c r="AE188" i="18"/>
  <c r="I142" i="25"/>
  <c r="AC439" i="18"/>
  <c r="I157" i="25"/>
  <c r="I220" i="25"/>
  <c r="AE168" i="18"/>
  <c r="AE18" i="18"/>
  <c r="J142" i="25"/>
  <c r="AF296" i="18"/>
  <c r="J347" i="25"/>
  <c r="AD224" i="18"/>
  <c r="AC443" i="18"/>
  <c r="AH410" i="18"/>
  <c r="AC500" i="18"/>
  <c r="AC486" i="18"/>
  <c r="AC284" i="18"/>
  <c r="AE373" i="18"/>
  <c r="AE211" i="18"/>
  <c r="AG500" i="18"/>
  <c r="AD419" i="18"/>
  <c r="AE85" i="18"/>
  <c r="AD289" i="18"/>
  <c r="AH492" i="18"/>
  <c r="AF487" i="18"/>
  <c r="AG91" i="18"/>
  <c r="J56" i="25"/>
  <c r="AG237" i="18"/>
  <c r="AF132" i="18"/>
  <c r="AD49" i="18"/>
  <c r="AD506" i="18"/>
  <c r="AC252" i="18"/>
  <c r="AF144" i="18"/>
  <c r="AG78" i="18"/>
  <c r="J339" i="25"/>
  <c r="AE65" i="18"/>
  <c r="AF61" i="18"/>
  <c r="AC84" i="18"/>
  <c r="AD479" i="18"/>
  <c r="J250" i="25"/>
  <c r="AE160" i="18"/>
  <c r="AC72" i="18"/>
  <c r="AC429" i="18"/>
  <c r="AF117" i="18"/>
  <c r="J68" i="25"/>
  <c r="AG394" i="18"/>
  <c r="AF429" i="18"/>
  <c r="AH199" i="18"/>
  <c r="AD169" i="18"/>
  <c r="AD353" i="18"/>
  <c r="AH56" i="18"/>
  <c r="AC467" i="18"/>
  <c r="AF337" i="18"/>
  <c r="AH176" i="18"/>
  <c r="I293" i="25"/>
  <c r="AF106" i="18"/>
  <c r="J386" i="25"/>
  <c r="AE367" i="18"/>
  <c r="AF362" i="18"/>
  <c r="AH124" i="18"/>
  <c r="J27" i="25"/>
  <c r="AE273" i="18"/>
  <c r="I140" i="25"/>
  <c r="I131" i="25"/>
  <c r="AG373" i="18"/>
  <c r="AD198" i="18"/>
  <c r="AD462" i="18"/>
  <c r="AG260" i="18"/>
  <c r="AE176" i="18"/>
  <c r="AF354" i="18"/>
  <c r="AC179" i="18"/>
  <c r="AE38" i="18"/>
  <c r="AC394" i="18"/>
  <c r="AF239" i="18"/>
  <c r="AC174" i="18"/>
  <c r="AG446" i="18"/>
  <c r="AF26" i="18"/>
  <c r="AC62" i="18"/>
  <c r="AC501" i="18"/>
  <c r="AH504" i="18"/>
  <c r="AG93" i="18"/>
  <c r="AG359" i="18"/>
  <c r="AD445" i="18"/>
  <c r="AD409" i="18"/>
  <c r="AF79" i="18"/>
  <c r="AC472" i="18"/>
  <c r="AF471" i="18"/>
  <c r="AE187" i="18"/>
  <c r="I143" i="25"/>
  <c r="AE223" i="18"/>
  <c r="AE490" i="18"/>
  <c r="AG436" i="18"/>
  <c r="I11" i="25"/>
  <c r="AH387" i="18"/>
  <c r="AE371" i="18"/>
  <c r="AE139" i="18"/>
  <c r="J87" i="25"/>
  <c r="AH240" i="18"/>
  <c r="AG118" i="18"/>
  <c r="I181" i="25"/>
  <c r="AE279" i="18"/>
  <c r="AD475" i="18"/>
  <c r="AH376" i="18"/>
  <c r="I344" i="25"/>
  <c r="I283" i="25"/>
  <c r="AD48" i="18"/>
  <c r="AG189" i="18"/>
  <c r="AF404" i="18"/>
  <c r="AC57" i="18"/>
  <c r="AG112" i="18"/>
  <c r="AF432" i="18"/>
  <c r="J4" i="25"/>
  <c r="AG15" i="18"/>
  <c r="AH170" i="18"/>
  <c r="AH82" i="18"/>
  <c r="AF194" i="18"/>
  <c r="AF307" i="18"/>
  <c r="AD119" i="18"/>
  <c r="AC497" i="18"/>
  <c r="AF439" i="18"/>
  <c r="AG432" i="18"/>
  <c r="AH51" i="18"/>
  <c r="I233" i="25"/>
  <c r="AF159" i="18"/>
  <c r="AF93" i="18"/>
  <c r="AG419" i="18"/>
  <c r="AH366" i="18"/>
  <c r="AG204" i="18"/>
  <c r="AD35" i="18"/>
  <c r="AF33" i="18"/>
  <c r="AG245" i="18"/>
  <c r="AH31" i="18"/>
  <c r="AC306" i="18"/>
  <c r="AH76" i="18"/>
  <c r="AF450" i="18"/>
  <c r="AE436" i="18"/>
  <c r="AE217" i="18"/>
  <c r="AG152" i="18"/>
  <c r="AE192" i="18"/>
  <c r="AE439" i="18"/>
  <c r="J145" i="25"/>
  <c r="AC236" i="18"/>
  <c r="AF358" i="18"/>
  <c r="AD275" i="18"/>
  <c r="AC81" i="18"/>
  <c r="AD269" i="18"/>
  <c r="I375" i="25"/>
  <c r="AD90" i="18"/>
  <c r="AH9" i="18"/>
  <c r="AE128" i="18"/>
  <c r="AE309" i="18"/>
  <c r="AD77" i="18"/>
  <c r="AE370" i="18"/>
  <c r="J143" i="25"/>
  <c r="J308" i="25"/>
  <c r="AE66" i="18"/>
  <c r="J330" i="25"/>
  <c r="AC396" i="18"/>
  <c r="AD363" i="18"/>
  <c r="J86" i="25"/>
  <c r="AH404" i="18"/>
  <c r="I392" i="25"/>
  <c r="AH484" i="18"/>
  <c r="AE324" i="18"/>
  <c r="I371" i="25"/>
  <c r="AF350" i="18"/>
  <c r="AF345" i="18"/>
  <c r="AC310" i="18"/>
  <c r="AC234" i="18"/>
  <c r="AD324" i="18"/>
  <c r="AG387" i="18"/>
  <c r="AD107" i="18"/>
  <c r="AC258" i="18"/>
  <c r="J376" i="25"/>
  <c r="AE15" i="18"/>
  <c r="AH194" i="18"/>
  <c r="AH294" i="18"/>
  <c r="AH80" i="18"/>
  <c r="AE9" i="18"/>
  <c r="AF419" i="18"/>
  <c r="AE346" i="18"/>
  <c r="AC424" i="18"/>
  <c r="AH449" i="18"/>
  <c r="AC401" i="18"/>
  <c r="AF480" i="18"/>
  <c r="J369" i="25"/>
  <c r="I305" i="25"/>
  <c r="AC58" i="18"/>
  <c r="AG86" i="18"/>
  <c r="AC53" i="18"/>
  <c r="AH296" i="18"/>
  <c r="AH485" i="18"/>
  <c r="AE434" i="18"/>
  <c r="J232" i="25"/>
  <c r="AD268" i="18"/>
  <c r="AE501" i="18"/>
  <c r="AD175" i="18"/>
  <c r="AE464" i="18"/>
  <c r="AD53" i="18"/>
  <c r="AJ53" i="18" s="1"/>
  <c r="AK53" i="18" s="1"/>
  <c r="I10" i="25"/>
  <c r="AF466" i="18"/>
  <c r="AC193" i="18"/>
  <c r="AF482" i="18"/>
  <c r="AE311" i="18"/>
  <c r="AE216" i="18"/>
  <c r="AH38" i="18"/>
  <c r="J364" i="25"/>
  <c r="AF458" i="18"/>
  <c r="AE462" i="18"/>
  <c r="AH23" i="18"/>
  <c r="AE45" i="18"/>
  <c r="I95" i="25"/>
  <c r="AH120" i="18"/>
  <c r="AG122" i="18"/>
  <c r="J266" i="25"/>
  <c r="AH358" i="18"/>
  <c r="AC157" i="18"/>
  <c r="AD134" i="18"/>
  <c r="AG165" i="18"/>
  <c r="AH151" i="18"/>
  <c r="AC489" i="18"/>
  <c r="AC208" i="18"/>
  <c r="AH392" i="18"/>
  <c r="AE23" i="18"/>
  <c r="AD45" i="18"/>
  <c r="AD370" i="18"/>
  <c r="AC115" i="18"/>
  <c r="AG392" i="18"/>
  <c r="AG194" i="18"/>
  <c r="AC407" i="18"/>
  <c r="AH248" i="18"/>
  <c r="AF332" i="18"/>
  <c r="J385" i="25"/>
  <c r="AC391" i="18"/>
  <c r="AF408" i="18"/>
  <c r="AE421" i="18"/>
  <c r="AF98" i="18"/>
  <c r="AC297" i="18"/>
  <c r="AH250" i="18"/>
  <c r="J85" i="25"/>
  <c r="AC336" i="18"/>
  <c r="AF212" i="18"/>
  <c r="AH60" i="18"/>
  <c r="J341" i="25"/>
  <c r="AD153" i="18"/>
  <c r="I326" i="25"/>
  <c r="AE16" i="18"/>
  <c r="AD46" i="18"/>
  <c r="AG249" i="18"/>
  <c r="AE275" i="18"/>
  <c r="AC235" i="18"/>
  <c r="AH71" i="18"/>
  <c r="AF164" i="18"/>
  <c r="AH469" i="18"/>
  <c r="J135" i="25"/>
  <c r="AD403" i="18"/>
  <c r="AE313" i="18"/>
  <c r="AH344" i="18"/>
  <c r="AG360" i="18"/>
  <c r="J316" i="25"/>
  <c r="AD335" i="18"/>
  <c r="AC358" i="18"/>
  <c r="AC392" i="18"/>
  <c r="J174" i="25"/>
  <c r="AE106" i="18"/>
  <c r="AG82" i="18"/>
  <c r="I256" i="25"/>
  <c r="AH59" i="18"/>
  <c r="I393" i="25"/>
  <c r="AH495" i="18"/>
  <c r="AE500" i="18"/>
  <c r="J36" i="25"/>
  <c r="J346" i="25"/>
  <c r="J244" i="25"/>
  <c r="AE68" i="18"/>
  <c r="AG142" i="18"/>
  <c r="AD300" i="18"/>
  <c r="J119" i="25"/>
  <c r="AC82" i="18"/>
  <c r="AG7" i="18"/>
  <c r="AG320" i="18"/>
  <c r="AF183" i="18"/>
  <c r="AD405" i="18"/>
  <c r="I219" i="25"/>
  <c r="AC44" i="18"/>
  <c r="AC238" i="18"/>
  <c r="AE496" i="18"/>
  <c r="AE430" i="18"/>
  <c r="AH428" i="18"/>
  <c r="J397" i="25"/>
  <c r="J264" i="25"/>
  <c r="J225" i="25"/>
  <c r="AH110" i="18"/>
  <c r="AE39" i="18"/>
  <c r="AF431" i="18"/>
  <c r="AD326" i="18"/>
  <c r="I328" i="25"/>
  <c r="AC405" i="18"/>
  <c r="AC247" i="18"/>
  <c r="AD47" i="18"/>
  <c r="AD177" i="18"/>
  <c r="AH14" i="18"/>
  <c r="AD151" i="18"/>
  <c r="AG319" i="18"/>
  <c r="AE44" i="18"/>
  <c r="AH254" i="18"/>
  <c r="I193" i="25"/>
  <c r="I227" i="25"/>
  <c r="AG441" i="18"/>
  <c r="I110" i="25"/>
  <c r="AE113" i="18"/>
  <c r="AE76" i="18"/>
  <c r="AE320" i="18"/>
  <c r="I234" i="25"/>
  <c r="AD460" i="18"/>
  <c r="AG330" i="18"/>
  <c r="J326" i="25"/>
  <c r="J39" i="25"/>
  <c r="J37" i="25"/>
  <c r="AG395" i="18"/>
  <c r="AG426" i="18"/>
  <c r="AF269" i="18"/>
  <c r="AC15" i="18"/>
  <c r="I239" i="25"/>
  <c r="AG216" i="18"/>
  <c r="AE420" i="18"/>
  <c r="AC143" i="18"/>
  <c r="AG161" i="18"/>
  <c r="AF80" i="18"/>
  <c r="AG418" i="18"/>
  <c r="AH375" i="18"/>
  <c r="AF461" i="18"/>
  <c r="AC267" i="18"/>
  <c r="AF297" i="18"/>
  <c r="I394" i="25"/>
  <c r="AF210" i="18"/>
  <c r="J175" i="25"/>
  <c r="AC220" i="18"/>
  <c r="AC9" i="18"/>
  <c r="AD274" i="18"/>
  <c r="AF133" i="18"/>
  <c r="AE357" i="18"/>
  <c r="AF310" i="18"/>
  <c r="AD344" i="18"/>
  <c r="AG275" i="18"/>
  <c r="AE392" i="18"/>
  <c r="AG11" i="18"/>
  <c r="AF17" i="18"/>
  <c r="AH192" i="18"/>
  <c r="AH417" i="18"/>
  <c r="J16" i="25"/>
  <c r="AD260" i="18"/>
  <c r="AF58" i="18"/>
  <c r="I275" i="25"/>
  <c r="AD213" i="18"/>
  <c r="AC409" i="18"/>
  <c r="AG386" i="18"/>
  <c r="AE30" i="18"/>
  <c r="AE250" i="18"/>
  <c r="AF202" i="18"/>
  <c r="AF95" i="18"/>
  <c r="AH184" i="18"/>
  <c r="AE381" i="18"/>
  <c r="AH451" i="18"/>
  <c r="I132" i="25"/>
  <c r="AF148" i="18"/>
  <c r="AE348" i="18"/>
  <c r="AE155" i="18"/>
  <c r="AH402" i="18"/>
  <c r="AD52" i="18"/>
  <c r="AF382" i="18"/>
  <c r="J290" i="25"/>
  <c r="J54" i="25"/>
  <c r="AD148" i="18"/>
  <c r="AC272" i="18"/>
  <c r="AD449" i="18"/>
  <c r="AC503" i="18"/>
  <c r="I330" i="25"/>
  <c r="I263" i="25"/>
  <c r="AF428" i="18"/>
  <c r="I240" i="25"/>
  <c r="AD399" i="18"/>
  <c r="AG391" i="18"/>
  <c r="J158" i="25"/>
  <c r="I146" i="25"/>
  <c r="I67" i="25"/>
  <c r="J201" i="25"/>
  <c r="AC105" i="18"/>
  <c r="AG123" i="18"/>
  <c r="J265" i="25"/>
  <c r="AG435" i="18"/>
  <c r="AC255" i="18"/>
  <c r="AC83" i="18"/>
  <c r="AD376" i="18"/>
  <c r="AG358" i="18"/>
  <c r="AD152" i="18"/>
  <c r="J193" i="25"/>
  <c r="AD348" i="18"/>
  <c r="AH144" i="18"/>
  <c r="AF40" i="18"/>
  <c r="AG408" i="18"/>
  <c r="I194" i="25"/>
  <c r="I163" i="25"/>
  <c r="AD332" i="18"/>
  <c r="AD29" i="18"/>
  <c r="AF78" i="18"/>
  <c r="AE251" i="18"/>
  <c r="AG437" i="18"/>
  <c r="AF149" i="18"/>
  <c r="AH462" i="18"/>
  <c r="AF91" i="18"/>
  <c r="AE262" i="18"/>
  <c r="AC261" i="18"/>
  <c r="AG144" i="18"/>
  <c r="AF68" i="18"/>
  <c r="AC435" i="18"/>
  <c r="AD88" i="18"/>
  <c r="J224" i="25"/>
  <c r="AG130" i="18"/>
  <c r="AG362" i="18"/>
  <c r="AC363" i="18"/>
  <c r="I101" i="25"/>
  <c r="I36" i="25"/>
  <c r="AE199" i="18"/>
  <c r="AG422" i="18"/>
  <c r="AD343" i="18"/>
  <c r="AC254" i="18"/>
  <c r="AG71" i="18"/>
  <c r="AD504" i="18"/>
  <c r="AD284" i="18"/>
  <c r="AC188" i="18"/>
  <c r="AD473" i="18"/>
  <c r="AF444" i="18"/>
  <c r="AH355" i="18"/>
  <c r="AF34" i="18"/>
  <c r="AE130" i="18"/>
  <c r="AF43" i="18"/>
  <c r="AE415" i="18"/>
  <c r="AH114" i="18"/>
  <c r="AG269" i="18"/>
  <c r="J150" i="25"/>
  <c r="AC122" i="18"/>
  <c r="AD132" i="18"/>
  <c r="J92" i="25"/>
  <c r="AF244" i="18"/>
  <c r="AF251" i="18"/>
  <c r="E35" i="27"/>
  <c r="F35" i="27" s="1"/>
  <c r="AD477" i="18"/>
  <c r="J279" i="25"/>
  <c r="AC95" i="18"/>
  <c r="AE491" i="18"/>
  <c r="AD493" i="18"/>
  <c r="AG349" i="18"/>
  <c r="J377" i="25"/>
  <c r="AF200" i="18"/>
  <c r="I13" i="25"/>
  <c r="AD303" i="18"/>
  <c r="I259" i="25"/>
  <c r="AG197" i="18"/>
  <c r="AC461" i="18"/>
  <c r="AF38" i="18"/>
  <c r="AH126" i="18"/>
  <c r="I298" i="25"/>
  <c r="I361" i="25"/>
  <c r="AD136" i="18"/>
  <c r="AC442" i="18"/>
  <c r="AC19" i="18"/>
  <c r="I230" i="25"/>
  <c r="AE249" i="18"/>
  <c r="AG366" i="18"/>
  <c r="AD236" i="18"/>
  <c r="AG178" i="18"/>
  <c r="AE278" i="18"/>
  <c r="I314" i="25"/>
  <c r="I112" i="25"/>
  <c r="J70" i="25"/>
  <c r="J257" i="25"/>
  <c r="AH127" i="18"/>
  <c r="AD359" i="18"/>
  <c r="AG411" i="18"/>
  <c r="AH318" i="18"/>
  <c r="AH338" i="18"/>
  <c r="AF501" i="18"/>
  <c r="AE385" i="18"/>
  <c r="AE220" i="18"/>
  <c r="AH437" i="18"/>
  <c r="AD267" i="18"/>
  <c r="I363" i="25"/>
  <c r="AF338" i="18"/>
  <c r="AF442" i="18"/>
  <c r="AG499" i="18"/>
  <c r="AG30" i="18"/>
  <c r="AE440" i="18"/>
  <c r="AG25" i="18"/>
  <c r="AF473" i="18"/>
  <c r="AF322" i="18"/>
  <c r="J283" i="25"/>
  <c r="AE282" i="18"/>
  <c r="J170" i="25"/>
  <c r="I58" i="25"/>
  <c r="I77" i="25"/>
  <c r="AD240" i="18"/>
  <c r="AC221" i="18"/>
  <c r="AD147" i="18"/>
  <c r="AC56" i="18"/>
  <c r="AG413" i="18"/>
  <c r="J211" i="25"/>
  <c r="AG466" i="18"/>
  <c r="AD480" i="18"/>
  <c r="I119" i="25"/>
  <c r="J78" i="25"/>
  <c r="I45" i="25"/>
  <c r="AF317" i="18"/>
  <c r="AF330" i="18"/>
  <c r="J256" i="25"/>
  <c r="AH432" i="18"/>
  <c r="I310" i="25"/>
  <c r="J248" i="25"/>
  <c r="AH382" i="18"/>
  <c r="AE391" i="18"/>
  <c r="J258" i="25"/>
  <c r="AD498" i="18"/>
  <c r="AE33" i="18"/>
  <c r="AH369" i="18"/>
  <c r="AG293" i="18"/>
  <c r="AG440" i="18"/>
  <c r="I370" i="25"/>
  <c r="I192" i="25"/>
  <c r="AC93" i="18"/>
  <c r="AH341" i="18"/>
  <c r="AH87" i="18"/>
  <c r="AE285" i="18"/>
  <c r="AC120" i="18"/>
  <c r="AH299" i="18"/>
  <c r="I65" i="25"/>
  <c r="AC303" i="18"/>
  <c r="J285" i="25"/>
  <c r="AD496" i="18"/>
  <c r="AD215" i="18"/>
  <c r="AH326" i="18"/>
  <c r="AF154" i="18"/>
  <c r="I325" i="25"/>
  <c r="AF221" i="18"/>
  <c r="AC477" i="18"/>
  <c r="I198" i="25"/>
  <c r="AF455" i="18"/>
  <c r="AD331" i="18"/>
  <c r="AH503" i="18"/>
  <c r="AF430" i="18"/>
  <c r="AG313" i="18"/>
  <c r="I170" i="25"/>
  <c r="AG51" i="18"/>
  <c r="AG303" i="18"/>
  <c r="AD233" i="18"/>
  <c r="AH365" i="18"/>
  <c r="AE210" i="18"/>
  <c r="J207" i="25"/>
  <c r="I372" i="25"/>
  <c r="I388" i="25"/>
  <c r="AF410" i="18"/>
  <c r="AC46" i="18"/>
  <c r="AG461" i="18"/>
  <c r="AE362" i="18"/>
  <c r="AF107" i="18"/>
  <c r="AC400" i="18"/>
  <c r="I161" i="25"/>
  <c r="AH41" i="18"/>
  <c r="J274" i="25"/>
  <c r="I125" i="25"/>
  <c r="AD186" i="18"/>
  <c r="I229" i="25"/>
  <c r="AC450" i="18"/>
  <c r="I168" i="25"/>
  <c r="AF230" i="18"/>
  <c r="AE93" i="18"/>
  <c r="AE354" i="18"/>
  <c r="AG155" i="18"/>
  <c r="AH116" i="18"/>
  <c r="AG371" i="18"/>
  <c r="AG32" i="18"/>
  <c r="AD412" i="18"/>
  <c r="I207" i="25"/>
  <c r="J19" i="25"/>
  <c r="AG37" i="18"/>
  <c r="AE197" i="18"/>
  <c r="I89" i="25"/>
  <c r="AE477" i="18"/>
  <c r="AC280" i="18"/>
  <c r="J276" i="25"/>
  <c r="I182" i="25"/>
  <c r="AH456" i="18"/>
  <c r="AD68" i="18"/>
  <c r="AH136" i="18"/>
  <c r="AF295" i="18"/>
  <c r="AE120" i="18"/>
  <c r="AF384" i="18"/>
  <c r="AC25" i="18"/>
  <c r="AD235" i="18"/>
  <c r="AC348" i="18"/>
  <c r="I49" i="25"/>
  <c r="AH237" i="18"/>
  <c r="J287" i="25"/>
  <c r="I20" i="25"/>
  <c r="AC229" i="18"/>
  <c r="I102" i="25"/>
  <c r="AF468" i="18"/>
  <c r="AF303" i="18"/>
  <c r="AF204" i="18"/>
  <c r="AG102" i="18"/>
  <c r="I308" i="25"/>
  <c r="AD298" i="18"/>
  <c r="AG481" i="18"/>
  <c r="AG182" i="18"/>
  <c r="AG416" i="18"/>
  <c r="AG480" i="18"/>
  <c r="AD420" i="18"/>
  <c r="AF389" i="18"/>
  <c r="AD347" i="18"/>
  <c r="J155" i="25"/>
  <c r="I349" i="25"/>
  <c r="AC227" i="18"/>
  <c r="AH133" i="18"/>
  <c r="AF259" i="18"/>
  <c r="AE365" i="18"/>
  <c r="J44" i="25"/>
  <c r="J331" i="25"/>
  <c r="AC421" i="18"/>
  <c r="J253" i="25"/>
  <c r="I79" i="25"/>
  <c r="AG334" i="18"/>
  <c r="AG113" i="18"/>
  <c r="AC289" i="18"/>
  <c r="AH359" i="18"/>
  <c r="AF103" i="18"/>
  <c r="J20" i="25"/>
  <c r="AH316" i="18"/>
  <c r="J22" i="25"/>
  <c r="AD305" i="18"/>
  <c r="AG266" i="18"/>
  <c r="I398" i="25"/>
  <c r="AH90" i="18"/>
  <c r="AG36" i="18"/>
  <c r="AD173" i="18"/>
  <c r="AG473" i="18"/>
  <c r="J115" i="25"/>
  <c r="AG272" i="18"/>
  <c r="J113" i="25"/>
  <c r="AE84" i="18"/>
  <c r="AF291" i="18"/>
  <c r="AC13" i="18"/>
  <c r="AE67" i="18"/>
  <c r="AC34" i="18"/>
  <c r="AH210" i="18"/>
  <c r="AF228" i="18"/>
  <c r="AE412" i="18"/>
  <c r="AD304" i="18"/>
  <c r="AH245" i="18"/>
  <c r="AF438" i="18"/>
  <c r="AF463" i="18"/>
  <c r="AD308" i="18"/>
  <c r="AC256" i="18"/>
  <c r="I290" i="25"/>
  <c r="AE114" i="18"/>
  <c r="J294" i="25"/>
  <c r="I352" i="25"/>
  <c r="AF88" i="18"/>
  <c r="J159" i="25"/>
  <c r="AF418" i="18"/>
  <c r="AH212" i="18"/>
  <c r="AE305" i="18"/>
  <c r="AF378" i="18"/>
  <c r="I340" i="25"/>
  <c r="AG184" i="18"/>
  <c r="AG390" i="18"/>
  <c r="J362" i="25"/>
  <c r="AD470" i="18"/>
  <c r="AG187" i="18"/>
  <c r="AG8" i="18"/>
  <c r="J269" i="25"/>
  <c r="AF331" i="18"/>
  <c r="J111" i="25"/>
  <c r="AD499" i="18"/>
  <c r="AF258" i="18"/>
  <c r="AD38" i="18"/>
  <c r="AC265" i="18"/>
  <c r="J190" i="25"/>
  <c r="AC190" i="18"/>
  <c r="AF393" i="18"/>
  <c r="I358" i="25"/>
  <c r="J72" i="25"/>
  <c r="AF365" i="18"/>
  <c r="AH342" i="18"/>
  <c r="AF163" i="18"/>
  <c r="AE296" i="18"/>
  <c r="AH371" i="18"/>
  <c r="I395" i="25"/>
  <c r="AG227" i="18"/>
  <c r="AC130" i="18"/>
  <c r="J182" i="25"/>
  <c r="AF49" i="18"/>
  <c r="AF64" i="18"/>
  <c r="AF472" i="18"/>
  <c r="AF229" i="18"/>
  <c r="J400" i="25"/>
  <c r="AD476" i="18"/>
  <c r="AC102" i="18"/>
  <c r="AC165" i="18"/>
  <c r="I266" i="25"/>
  <c r="AE259" i="18"/>
  <c r="I243" i="25"/>
  <c r="AC437" i="18"/>
  <c r="AD358" i="18"/>
  <c r="J236" i="25"/>
  <c r="J151" i="25"/>
  <c r="AE34" i="18"/>
  <c r="AH227" i="18"/>
  <c r="AG401" i="18"/>
  <c r="AF253" i="18"/>
  <c r="AC266" i="18"/>
  <c r="AD241" i="18"/>
  <c r="AG345" i="18"/>
  <c r="I33" i="25"/>
  <c r="AG403" i="18"/>
  <c r="I267" i="25"/>
  <c r="AG12" i="18"/>
  <c r="AH62" i="18"/>
  <c r="I365" i="25"/>
  <c r="AC212" i="18"/>
  <c r="I377" i="25"/>
  <c r="AC427" i="18"/>
  <c r="AH156" i="18"/>
  <c r="AD194" i="18"/>
  <c r="AD116" i="18"/>
  <c r="AH42" i="18"/>
  <c r="AD246" i="18"/>
  <c r="AF121" i="18"/>
  <c r="AF7" i="18"/>
  <c r="AH323" i="18"/>
  <c r="AE17" i="18"/>
  <c r="AH330" i="18"/>
  <c r="AE127" i="18"/>
  <c r="AC73" i="18"/>
  <c r="AH159" i="18"/>
  <c r="AH340" i="18"/>
  <c r="AG69" i="18"/>
  <c r="AE232" i="18"/>
  <c r="AG292" i="18"/>
  <c r="AG315" i="18"/>
  <c r="AH95" i="18"/>
  <c r="I114" i="25"/>
  <c r="I337" i="25"/>
  <c r="AH73" i="18"/>
  <c r="J306" i="25"/>
  <c r="I300" i="25"/>
  <c r="AC410" i="18"/>
  <c r="J371" i="25"/>
  <c r="AF334" i="18"/>
  <c r="AF87" i="18"/>
  <c r="AD114" i="18"/>
  <c r="AE438" i="18"/>
  <c r="AG40" i="18"/>
  <c r="J79" i="25"/>
  <c r="AG350" i="18"/>
  <c r="AH24" i="18"/>
  <c r="AF266" i="18"/>
  <c r="AH455" i="18"/>
  <c r="I268" i="25"/>
  <c r="AE429" i="18"/>
  <c r="AH84" i="18"/>
  <c r="AH313" i="18"/>
  <c r="I54" i="25"/>
  <c r="AF470" i="18"/>
  <c r="AE469" i="18"/>
  <c r="AD290" i="18"/>
  <c r="AE126" i="18"/>
  <c r="AF90" i="18"/>
  <c r="I201" i="25"/>
  <c r="AC87" i="18"/>
  <c r="AH308" i="18"/>
  <c r="AF129" i="18"/>
  <c r="AG476" i="18"/>
  <c r="AC142" i="18"/>
  <c r="J282" i="25"/>
  <c r="AE222" i="18"/>
  <c r="AF207" i="18"/>
  <c r="AF105" i="18"/>
  <c r="I5" i="25"/>
  <c r="AD10" i="18"/>
  <c r="AH490" i="18"/>
  <c r="AF74" i="18"/>
  <c r="AG133" i="18"/>
  <c r="I151" i="25"/>
  <c r="AH335" i="18"/>
  <c r="AD438" i="18"/>
  <c r="J60" i="25"/>
  <c r="AD229" i="18"/>
  <c r="AF456" i="18"/>
  <c r="AC201" i="18"/>
  <c r="AG430" i="18"/>
  <c r="AC203" i="18"/>
  <c r="AH39" i="18"/>
  <c r="AD418" i="18"/>
  <c r="AC232" i="18"/>
  <c r="AG379" i="18"/>
  <c r="AG183" i="18"/>
  <c r="AE245" i="18"/>
  <c r="AD73" i="18"/>
  <c r="AD232" i="18"/>
  <c r="AF339" i="18"/>
  <c r="AE70" i="18"/>
  <c r="AC387" i="18"/>
  <c r="AE256" i="18"/>
  <c r="AC187" i="18"/>
  <c r="AH225" i="18"/>
  <c r="AF208" i="18"/>
  <c r="J231" i="25"/>
  <c r="AF71" i="18"/>
  <c r="AD192" i="18"/>
  <c r="AD56" i="18"/>
  <c r="I134" i="25"/>
  <c r="AH304" i="18"/>
  <c r="AE31" i="18"/>
  <c r="AD126" i="18"/>
  <c r="I387" i="25"/>
  <c r="AC65" i="18"/>
  <c r="J270" i="25"/>
  <c r="J66" i="25"/>
  <c r="J318" i="25"/>
  <c r="AH70" i="18"/>
  <c r="AH444" i="18"/>
  <c r="I103" i="25"/>
  <c r="AC230" i="18"/>
  <c r="AH201" i="18"/>
  <c r="AH17" i="18"/>
  <c r="AE316" i="18"/>
  <c r="AE394" i="18"/>
  <c r="AG57" i="18"/>
  <c r="AF506" i="18"/>
  <c r="AF287" i="18"/>
  <c r="I139" i="25"/>
  <c r="AH140" i="18"/>
  <c r="AC250" i="18"/>
  <c r="I52" i="25"/>
  <c r="I26" i="25"/>
  <c r="J77" i="25"/>
  <c r="AE164" i="18"/>
  <c r="AC195" i="18"/>
  <c r="AD329" i="18"/>
  <c r="AC393" i="18"/>
  <c r="AC415" i="18"/>
  <c r="AE437" i="18"/>
  <c r="AG376" i="18"/>
  <c r="J255" i="25"/>
  <c r="AF62" i="18"/>
  <c r="J187" i="25"/>
  <c r="AG41" i="18"/>
  <c r="AG301" i="18"/>
  <c r="AC453" i="18"/>
  <c r="AF276" i="18"/>
  <c r="AH152" i="18"/>
  <c r="AH244" i="18"/>
  <c r="I236" i="25"/>
  <c r="AE376" i="18"/>
  <c r="AH48" i="18"/>
  <c r="AE277" i="18"/>
  <c r="AC166" i="18"/>
  <c r="AE290" i="18"/>
  <c r="AE297" i="18"/>
  <c r="AE11" i="18"/>
  <c r="AE260" i="18"/>
  <c r="AG34" i="18"/>
  <c r="AH228" i="18"/>
  <c r="AF484" i="18"/>
  <c r="AE131" i="18"/>
  <c r="AC42" i="18"/>
  <c r="AH350" i="18"/>
  <c r="AF356" i="18"/>
  <c r="AG459" i="18"/>
  <c r="I120" i="25"/>
  <c r="AG322" i="18"/>
  <c r="AE403" i="18"/>
  <c r="I213" i="25"/>
  <c r="AC293" i="18"/>
  <c r="AC300" i="18"/>
  <c r="I100" i="25"/>
  <c r="AG367" i="18"/>
  <c r="AD404" i="18"/>
  <c r="AG415" i="18"/>
  <c r="I21" i="25"/>
  <c r="AH196" i="18"/>
  <c r="AD33" i="18"/>
  <c r="AH249" i="18"/>
  <c r="AF437" i="18"/>
  <c r="AH171" i="18"/>
  <c r="AC404" i="18"/>
  <c r="AG207" i="18"/>
  <c r="J194" i="25"/>
  <c r="AF262" i="18"/>
  <c r="AE442" i="18"/>
  <c r="AG132" i="18"/>
  <c r="I354" i="25"/>
  <c r="AD355" i="18"/>
  <c r="I389" i="25"/>
  <c r="AG59" i="18"/>
  <c r="AF138" i="18"/>
  <c r="AG140" i="18"/>
  <c r="AD8" i="18"/>
  <c r="J262" i="25"/>
  <c r="I37" i="25"/>
  <c r="J34" i="25"/>
  <c r="J206" i="25"/>
  <c r="I171" i="25"/>
  <c r="AE428" i="18"/>
  <c r="AH32" i="18"/>
  <c r="AC204" i="18"/>
  <c r="I111" i="25"/>
  <c r="AD425" i="18"/>
  <c r="AE153" i="18"/>
  <c r="AD128" i="18"/>
  <c r="AD323" i="18"/>
  <c r="J59" i="25"/>
  <c r="J238" i="25"/>
  <c r="AF180" i="18"/>
  <c r="AE175" i="18"/>
  <c r="AF170" i="18"/>
  <c r="AE272" i="18"/>
  <c r="J7" i="25"/>
  <c r="AG195" i="18"/>
  <c r="AF225" i="18"/>
  <c r="AF475" i="18"/>
  <c r="AG278" i="18"/>
  <c r="AG119" i="18"/>
  <c r="AF325" i="18"/>
  <c r="AF181" i="18"/>
  <c r="AF326" i="18"/>
  <c r="AE351" i="18"/>
  <c r="AC299" i="18"/>
  <c r="AG460" i="18"/>
  <c r="AF143" i="18"/>
  <c r="I71" i="25"/>
  <c r="J213" i="25"/>
  <c r="AD280" i="18"/>
  <c r="AF497" i="18"/>
  <c r="AE382" i="18"/>
  <c r="J353" i="25"/>
  <c r="AD406" i="18"/>
  <c r="I155" i="25"/>
  <c r="AD495" i="18"/>
  <c r="I241" i="25"/>
  <c r="AG475" i="18"/>
  <c r="AD172" i="18"/>
  <c r="J302" i="25"/>
  <c r="J394" i="25"/>
  <c r="AG472" i="18"/>
  <c r="I262" i="25"/>
  <c r="AF289" i="18"/>
  <c r="AC240" i="18"/>
  <c r="AD453" i="18"/>
  <c r="AG274" i="18"/>
  <c r="AE142" i="18"/>
  <c r="AG259" i="18"/>
  <c r="AC273" i="18"/>
  <c r="AG295" i="18"/>
  <c r="AF279" i="18"/>
  <c r="AF422" i="18"/>
  <c r="AG449" i="18"/>
  <c r="AC228" i="18"/>
  <c r="AH79" i="18"/>
  <c r="J313" i="25"/>
  <c r="AF158" i="18"/>
  <c r="AE443" i="18"/>
  <c r="AD356" i="18"/>
  <c r="AC455" i="18"/>
  <c r="AC249" i="18"/>
  <c r="AD293" i="18"/>
  <c r="AC225" i="18"/>
  <c r="AC463" i="18"/>
  <c r="AG162" i="18"/>
  <c r="AE384" i="18"/>
  <c r="AE445" i="18"/>
  <c r="AG304" i="18"/>
  <c r="I382" i="25"/>
  <c r="AD334" i="18"/>
  <c r="I130" i="25"/>
  <c r="AH26" i="18"/>
  <c r="AH101" i="18"/>
  <c r="AH442" i="18"/>
  <c r="AH393" i="18"/>
  <c r="AF261" i="18"/>
  <c r="AH168" i="18"/>
  <c r="AF483" i="18"/>
  <c r="AF271" i="18"/>
  <c r="AD110" i="18"/>
  <c r="AC485" i="18"/>
  <c r="AG258" i="18"/>
  <c r="AE72" i="18"/>
  <c r="J139" i="25"/>
  <c r="AC8" i="18"/>
  <c r="J109" i="25"/>
  <c r="AD143" i="18"/>
  <c r="AG370" i="18"/>
  <c r="AC197" i="18"/>
  <c r="AH363" i="18"/>
  <c r="AF52" i="18"/>
  <c r="J237" i="25"/>
  <c r="AH463" i="18"/>
  <c r="AG483" i="18"/>
  <c r="AH364" i="18"/>
  <c r="AF82" i="18"/>
  <c r="AC283" i="18"/>
  <c r="J197" i="25"/>
  <c r="AE29" i="18"/>
  <c r="I222" i="25"/>
  <c r="AE467" i="18"/>
  <c r="AD244" i="18"/>
  <c r="J9" i="25"/>
  <c r="AD432" i="18"/>
  <c r="AF213" i="18"/>
  <c r="AD195" i="18"/>
  <c r="AD427" i="18"/>
  <c r="AF440" i="18"/>
  <c r="AF260" i="18"/>
  <c r="AC21" i="18"/>
  <c r="AG420" i="18"/>
  <c r="I304" i="25"/>
  <c r="AE48" i="18"/>
  <c r="I105" i="25"/>
  <c r="AH405" i="18"/>
  <c r="AH319" i="18"/>
  <c r="AC498" i="18"/>
  <c r="AG226" i="18"/>
  <c r="AG38" i="18"/>
  <c r="I374" i="25"/>
  <c r="AF94" i="18"/>
  <c r="AC32" i="18"/>
  <c r="AH353" i="18"/>
  <c r="J220" i="25"/>
  <c r="AG471" i="18"/>
  <c r="AD442" i="18"/>
  <c r="AG190" i="18"/>
  <c r="J271" i="25"/>
  <c r="J389" i="25"/>
  <c r="I291" i="25"/>
  <c r="AD188" i="18"/>
  <c r="AE482" i="18"/>
  <c r="AC496" i="18"/>
  <c r="AE314" i="18"/>
  <c r="AF65" i="18"/>
  <c r="I258" i="25"/>
  <c r="J121" i="25"/>
  <c r="AF290" i="18"/>
  <c r="AC492" i="18"/>
  <c r="AG338" i="18"/>
  <c r="AF286" i="18"/>
  <c r="J71" i="25"/>
  <c r="I44" i="25"/>
  <c r="AE471" i="18"/>
  <c r="AE265" i="18"/>
  <c r="AG369" i="18"/>
  <c r="AG46" i="18"/>
  <c r="AD294" i="18"/>
  <c r="AC138" i="18"/>
  <c r="AE7" i="18"/>
  <c r="AH54" i="18"/>
  <c r="AD26" i="18"/>
  <c r="AD423" i="18"/>
  <c r="AE280" i="18"/>
  <c r="AC331" i="18"/>
  <c r="AF191" i="18"/>
  <c r="AF171" i="18"/>
  <c r="I338" i="25"/>
  <c r="AH166" i="18"/>
  <c r="J340" i="25"/>
  <c r="AF45" i="18"/>
  <c r="AD444" i="18"/>
  <c r="AF448" i="18"/>
  <c r="AC224" i="18"/>
  <c r="AF281" i="18"/>
  <c r="I397" i="25"/>
  <c r="I359" i="25"/>
  <c r="I29" i="25"/>
  <c r="AE337" i="18"/>
  <c r="J178" i="25"/>
  <c r="J226" i="25"/>
  <c r="AF145" i="18"/>
  <c r="AE332" i="18"/>
  <c r="AE457" i="18"/>
  <c r="AD220" i="18"/>
  <c r="I319" i="25"/>
  <c r="AH191" i="18"/>
  <c r="AG451" i="18"/>
  <c r="AC506" i="18"/>
  <c r="AC196" i="18"/>
  <c r="AG101" i="18"/>
  <c r="AD291" i="18"/>
  <c r="I244" i="25"/>
  <c r="AC377" i="18"/>
  <c r="AH22" i="18"/>
  <c r="AH470" i="18"/>
  <c r="AD472" i="18"/>
  <c r="I373" i="25"/>
  <c r="J277" i="25"/>
  <c r="J28" i="25"/>
  <c r="AE295" i="18"/>
  <c r="AG312" i="18"/>
  <c r="AF166" i="18"/>
  <c r="AH86" i="18"/>
  <c r="AC38" i="18"/>
  <c r="AE133" i="18"/>
  <c r="I277" i="25"/>
  <c r="AE154" i="18"/>
  <c r="AF425" i="18"/>
  <c r="AG497" i="18"/>
  <c r="J6" i="25"/>
  <c r="AE170" i="18"/>
  <c r="I202" i="25"/>
  <c r="AD338" i="18"/>
  <c r="J127" i="25"/>
  <c r="AG65" i="18"/>
  <c r="AE61" i="18"/>
  <c r="I205" i="25"/>
  <c r="J398" i="25"/>
  <c r="AG501" i="18"/>
  <c r="AF175" i="18"/>
  <c r="I179" i="25"/>
  <c r="AD247" i="18"/>
  <c r="AG139" i="18"/>
  <c r="AG27" i="18"/>
  <c r="AH180" i="18"/>
  <c r="AG450" i="18"/>
  <c r="AH99" i="18"/>
  <c r="AD256" i="18"/>
  <c r="J289" i="25"/>
  <c r="AD37" i="18"/>
  <c r="I312" i="25"/>
  <c r="I396" i="25"/>
  <c r="J191" i="25"/>
  <c r="AG332" i="18"/>
  <c r="I40" i="25"/>
  <c r="AF449" i="18"/>
  <c r="AG410" i="18"/>
  <c r="J116" i="25"/>
  <c r="AC314" i="18"/>
  <c r="AG134" i="18"/>
  <c r="AC321" i="18"/>
  <c r="J401" i="25"/>
  <c r="AH445" i="18"/>
  <c r="AH471" i="18"/>
  <c r="AD69" i="18"/>
  <c r="I216" i="25"/>
  <c r="AG477" i="18"/>
  <c r="AC445" i="18"/>
  <c r="I383" i="25"/>
  <c r="J319" i="25"/>
  <c r="AH64" i="18"/>
  <c r="AF81" i="18"/>
  <c r="AC26" i="18"/>
  <c r="AD67" i="18"/>
  <c r="AE35" i="18"/>
  <c r="AG177" i="18"/>
  <c r="AD297" i="18"/>
  <c r="AD489" i="18"/>
  <c r="AH139" i="18"/>
  <c r="AG67" i="18"/>
  <c r="AH117" i="18"/>
  <c r="AF359" i="18"/>
  <c r="AC160" i="18"/>
  <c r="AC45" i="18"/>
  <c r="AH303" i="18"/>
  <c r="AC222" i="18"/>
  <c r="AE181" i="18"/>
  <c r="AE104" i="18"/>
  <c r="AH351" i="18"/>
  <c r="J18" i="25"/>
  <c r="AH343" i="18"/>
  <c r="AF329" i="18"/>
  <c r="AC202" i="18"/>
  <c r="J320" i="25"/>
  <c r="AF86" i="18"/>
  <c r="AH391" i="18"/>
  <c r="AF302" i="18"/>
  <c r="AE350" i="18"/>
  <c r="AF502" i="18"/>
  <c r="AF27" i="18"/>
  <c r="J343" i="25"/>
  <c r="AH20" i="18"/>
  <c r="AH13" i="18"/>
  <c r="AD125" i="18"/>
  <c r="I252" i="25"/>
  <c r="AH406" i="18"/>
  <c r="AE190" i="18"/>
  <c r="AD369" i="18"/>
  <c r="AC124" i="18"/>
  <c r="AE377" i="18"/>
  <c r="AG487" i="18"/>
  <c r="AC148" i="18"/>
  <c r="I183" i="25"/>
  <c r="AH34" i="18"/>
  <c r="AD408" i="18"/>
  <c r="AF109" i="18"/>
  <c r="I335" i="25"/>
  <c r="AD302" i="18"/>
  <c r="AE368" i="18"/>
  <c r="AF19" i="18"/>
  <c r="J21" i="25"/>
  <c r="J99" i="25"/>
  <c r="J242" i="25"/>
  <c r="AF495" i="18"/>
  <c r="AF343" i="18"/>
  <c r="AG141" i="18"/>
  <c r="AG318" i="18"/>
  <c r="AE358" i="18"/>
  <c r="AF423" i="18"/>
  <c r="AE207" i="18"/>
  <c r="AE405" i="18"/>
  <c r="AF233" i="18"/>
  <c r="AG73" i="18"/>
  <c r="AE179" i="18"/>
  <c r="AD51" i="18"/>
  <c r="AE82" i="18"/>
  <c r="AF55" i="18"/>
  <c r="AD394" i="18"/>
  <c r="AD159" i="18"/>
  <c r="AG200" i="18"/>
  <c r="AC383" i="18"/>
  <c r="AD193" i="18"/>
  <c r="AD350" i="18"/>
  <c r="J351" i="25"/>
  <c r="AE281" i="18"/>
  <c r="AH109" i="18"/>
  <c r="AD127" i="18"/>
  <c r="AF28" i="18"/>
  <c r="AG186" i="18"/>
  <c r="AF400" i="18"/>
  <c r="AG111" i="18"/>
  <c r="AC337" i="18"/>
  <c r="AE258" i="18"/>
  <c r="I380" i="25"/>
  <c r="AC85" i="18"/>
  <c r="AF467" i="18"/>
  <c r="J62" i="25"/>
  <c r="AG74" i="18"/>
  <c r="AG443" i="18"/>
  <c r="AD391" i="18"/>
  <c r="AE423" i="18"/>
  <c r="AH286" i="18"/>
  <c r="AF403" i="18"/>
  <c r="J10" i="25"/>
  <c r="I285" i="25"/>
  <c r="AF73" i="18"/>
  <c r="AF248" i="18"/>
  <c r="AH27" i="18"/>
  <c r="AF304" i="18"/>
  <c r="AC7" i="18"/>
  <c r="I403" i="25"/>
  <c r="AH454" i="18"/>
  <c r="AE122" i="18"/>
  <c r="AE184" i="18"/>
  <c r="AD57" i="18"/>
  <c r="AG342" i="18"/>
  <c r="AE97" i="18"/>
  <c r="AD211" i="18"/>
  <c r="AG270" i="18"/>
  <c r="AF155" i="18"/>
  <c r="J74" i="25"/>
  <c r="I121" i="25"/>
  <c r="AH276" i="18"/>
  <c r="AD428" i="18"/>
  <c r="AE241" i="18"/>
  <c r="AF69" i="18"/>
  <c r="AH395" i="18"/>
  <c r="AE335" i="18"/>
  <c r="AH346" i="18"/>
  <c r="AE426" i="18"/>
  <c r="AH202" i="18"/>
  <c r="AD500" i="18"/>
  <c r="J26" i="25"/>
  <c r="AH506" i="18"/>
  <c r="AF184" i="18"/>
  <c r="AF498" i="18"/>
  <c r="J360" i="25"/>
  <c r="AF275" i="18"/>
  <c r="AG505" i="18"/>
  <c r="AE308" i="18"/>
  <c r="AD255" i="18"/>
  <c r="J375" i="25"/>
  <c r="J221" i="25"/>
  <c r="AH357" i="18"/>
  <c r="AH96" i="18"/>
  <c r="AH474" i="18"/>
  <c r="I265" i="25"/>
  <c r="AG478" i="18"/>
  <c r="AD22" i="18"/>
  <c r="AF377" i="18"/>
  <c r="AH384" i="18"/>
  <c r="AH379" i="18"/>
  <c r="AG397" i="18"/>
  <c r="AG26" i="18"/>
  <c r="AF348" i="18"/>
  <c r="AC382" i="18"/>
  <c r="J332" i="25"/>
  <c r="J94" i="25"/>
  <c r="AE433" i="18"/>
  <c r="AG85" i="18"/>
  <c r="AH43" i="18"/>
  <c r="I28" i="25"/>
  <c r="I184" i="25"/>
  <c r="AG498" i="18"/>
  <c r="J130" i="25"/>
  <c r="I318" i="25"/>
  <c r="AE293" i="18"/>
  <c r="AD327" i="18"/>
  <c r="AH149" i="18"/>
  <c r="AG291" i="18"/>
  <c r="AE204" i="18"/>
  <c r="AF165" i="18"/>
  <c r="AG181" i="18"/>
  <c r="AC483" i="18"/>
  <c r="AG368" i="18"/>
  <c r="AE488" i="18"/>
  <c r="AH226" i="18"/>
  <c r="AC52" i="18"/>
  <c r="AD461" i="18"/>
  <c r="AF308" i="18"/>
  <c r="AC362" i="18"/>
  <c r="AF366" i="18"/>
  <c r="AE14" i="18"/>
  <c r="AC159" i="18"/>
  <c r="AE269" i="18"/>
  <c r="AC199" i="18"/>
  <c r="AH331" i="18"/>
  <c r="AE180" i="18"/>
  <c r="AH423" i="18"/>
  <c r="AC352" i="18"/>
  <c r="AH69" i="18"/>
  <c r="AD226" i="18"/>
  <c r="J334" i="25"/>
  <c r="AE137" i="18"/>
  <c r="AG453" i="18"/>
  <c r="I55" i="25"/>
  <c r="J129" i="25"/>
  <c r="AH218" i="18"/>
  <c r="AH147" i="18"/>
  <c r="AD421" i="18"/>
  <c r="AH243" i="18"/>
  <c r="AH347" i="18"/>
  <c r="I66" i="25"/>
  <c r="AE157" i="18"/>
  <c r="AH310" i="18"/>
  <c r="AD13" i="18"/>
  <c r="AG365" i="18"/>
  <c r="AG148" i="18"/>
  <c r="AH91" i="18"/>
  <c r="AD251" i="18"/>
  <c r="J118" i="25"/>
  <c r="J348" i="25"/>
  <c r="AF328" i="18"/>
  <c r="AE318" i="18"/>
  <c r="AC441" i="18"/>
  <c r="AC349" i="18"/>
  <c r="J136" i="25"/>
  <c r="AH505" i="18"/>
  <c r="AF172" i="18"/>
  <c r="AD34" i="18"/>
  <c r="AH160" i="18"/>
  <c r="AG273" i="18"/>
  <c r="AD201" i="18"/>
  <c r="AD225" i="18"/>
  <c r="AD450" i="18"/>
  <c r="AE219" i="18"/>
  <c r="AE453" i="18"/>
  <c r="AD9" i="18"/>
  <c r="AH49" i="18"/>
  <c r="AC146" i="18"/>
  <c r="AF226" i="18"/>
  <c r="AG28" i="18"/>
  <c r="AG61" i="18"/>
  <c r="AC480" i="18"/>
  <c r="AD205" i="18"/>
  <c r="AD337" i="18"/>
  <c r="I272" i="25"/>
  <c r="AG236" i="18"/>
  <c r="AD429" i="18"/>
  <c r="I347" i="25"/>
  <c r="J228" i="25"/>
  <c r="AH251" i="18"/>
  <c r="I355" i="25"/>
  <c r="AC17" i="18"/>
  <c r="AD86" i="18"/>
  <c r="AE59" i="18"/>
  <c r="AC369" i="18"/>
  <c r="AD469" i="18"/>
  <c r="AG409" i="18"/>
  <c r="AE148" i="18"/>
  <c r="J8" i="25"/>
  <c r="AC131" i="18"/>
  <c r="AF399" i="18"/>
  <c r="I176" i="25"/>
  <c r="AC150" i="18"/>
  <c r="AF416" i="18"/>
  <c r="AG438" i="18"/>
  <c r="AE41" i="18"/>
  <c r="AF53" i="18"/>
  <c r="AH466" i="18"/>
  <c r="AE161" i="18"/>
  <c r="AD41" i="18"/>
  <c r="I118" i="25"/>
  <c r="AF29" i="18"/>
  <c r="AC432" i="18"/>
  <c r="AG199" i="18"/>
  <c r="AG294" i="18"/>
  <c r="AD387" i="18"/>
  <c r="AC48" i="18"/>
  <c r="AG302" i="18"/>
  <c r="AD259" i="18"/>
  <c r="AG137" i="18"/>
  <c r="AD168" i="18"/>
  <c r="I8" i="25"/>
  <c r="AD55" i="18"/>
  <c r="AE460" i="18"/>
  <c r="AC357" i="18"/>
  <c r="J328" i="25"/>
  <c r="AD328" i="18"/>
  <c r="I93" i="25"/>
  <c r="I48" i="25"/>
  <c r="AG465" i="18"/>
  <c r="I368" i="25"/>
  <c r="AF211" i="18"/>
  <c r="AC361" i="18"/>
  <c r="I224" i="25"/>
  <c r="AE327" i="18"/>
  <c r="AC192" i="18"/>
  <c r="AG484" i="18"/>
  <c r="AF491" i="18"/>
  <c r="AH74" i="18"/>
  <c r="AD181" i="18"/>
  <c r="AC452" i="18"/>
  <c r="AH314" i="18"/>
  <c r="AH488" i="18"/>
  <c r="AC183" i="18"/>
  <c r="AC279" i="18"/>
  <c r="AG208" i="18"/>
  <c r="AC75" i="18"/>
  <c r="AF333" i="18"/>
  <c r="AD223" i="18"/>
  <c r="J55" i="25"/>
  <c r="AH475" i="18"/>
  <c r="J321" i="25"/>
  <c r="AF83" i="18"/>
  <c r="AG341" i="18"/>
  <c r="AC335" i="18"/>
  <c r="AD478" i="18"/>
  <c r="AH438" i="18"/>
  <c r="AC237" i="18"/>
  <c r="AC24" i="18"/>
  <c r="AD367" i="18"/>
  <c r="J154" i="25"/>
  <c r="I72" i="25"/>
  <c r="AE60" i="18"/>
  <c r="I133" i="25"/>
  <c r="AG279" i="18"/>
  <c r="AD216" i="18"/>
  <c r="AF387" i="18"/>
  <c r="J164" i="25"/>
  <c r="AG233" i="18"/>
  <c r="J344" i="25"/>
  <c r="AE347" i="18"/>
  <c r="AE92" i="18"/>
  <c r="I78" i="25"/>
  <c r="AF89" i="18"/>
  <c r="AF190" i="18"/>
  <c r="AF18" i="18"/>
  <c r="AC213" i="18"/>
  <c r="AH30" i="18"/>
  <c r="AF36" i="18"/>
  <c r="I97" i="25"/>
  <c r="AF270" i="18"/>
  <c r="AE466" i="18"/>
  <c r="AC264" i="18"/>
  <c r="AC35" i="18"/>
  <c r="I399" i="25"/>
  <c r="AE110" i="18"/>
  <c r="AD433" i="18"/>
  <c r="AF118" i="18"/>
  <c r="AG354" i="18"/>
  <c r="AF327" i="18"/>
  <c r="I53" i="25"/>
  <c r="AG364" i="18"/>
  <c r="AC149" i="18"/>
  <c r="I384" i="25"/>
  <c r="AE234" i="18"/>
  <c r="AH422" i="18"/>
  <c r="AE398" i="18"/>
  <c r="AF274" i="18"/>
  <c r="AC91" i="18"/>
  <c r="I126" i="25"/>
  <c r="AE89" i="18"/>
  <c r="AG84" i="18"/>
  <c r="AJ84" i="18" s="1"/>
  <c r="AK84" i="18" s="1"/>
  <c r="AH291" i="18"/>
  <c r="AG31" i="18"/>
  <c r="AG310" i="18"/>
  <c r="AC495" i="18"/>
  <c r="AC243" i="18"/>
  <c r="I281" i="25"/>
  <c r="AE254" i="18"/>
  <c r="I232" i="25"/>
  <c r="AH390" i="18"/>
  <c r="AC346" i="18"/>
  <c r="AE103" i="18"/>
  <c r="AD115" i="18"/>
  <c r="AG400" i="18"/>
  <c r="AF123" i="18"/>
  <c r="AH98" i="18"/>
  <c r="J359" i="25"/>
  <c r="AC164" i="18"/>
  <c r="J390" i="25"/>
  <c r="AH214" i="18"/>
  <c r="I113" i="25"/>
  <c r="AE338" i="18"/>
  <c r="AH208" i="18"/>
  <c r="AF351" i="18"/>
  <c r="I12" i="25"/>
  <c r="AE476" i="18"/>
  <c r="AE50" i="18"/>
  <c r="AF236" i="18"/>
  <c r="AE298" i="18"/>
  <c r="I187" i="25"/>
  <c r="AF201" i="18"/>
  <c r="AE239" i="18"/>
  <c r="I385" i="25"/>
  <c r="AG482" i="18"/>
  <c r="AH97" i="18"/>
  <c r="AH157" i="18"/>
  <c r="AD176" i="18"/>
  <c r="AG421" i="18"/>
  <c r="AC434" i="18"/>
  <c r="I297" i="25"/>
  <c r="I122" i="25"/>
  <c r="AD281" i="18"/>
  <c r="J227" i="25"/>
  <c r="AC276" i="18"/>
  <c r="AE198" i="18"/>
  <c r="I149" i="25"/>
  <c r="AE363" i="18"/>
  <c r="AC385" i="18"/>
  <c r="J181" i="25"/>
  <c r="AF340" i="18"/>
  <c r="AH89" i="18"/>
  <c r="AF209" i="18"/>
  <c r="AH435" i="18"/>
  <c r="AC211" i="18"/>
  <c r="AF42" i="18"/>
  <c r="AH45" i="18"/>
  <c r="J180" i="25"/>
  <c r="AD217" i="18"/>
  <c r="AG479" i="18"/>
  <c r="J186" i="25"/>
  <c r="AH252" i="18"/>
  <c r="J169" i="25"/>
  <c r="AC182" i="18"/>
  <c r="AF445" i="18"/>
  <c r="AF235" i="18"/>
  <c r="AC326" i="18"/>
  <c r="AC67" i="18"/>
  <c r="AD64" i="18"/>
  <c r="AE244" i="18"/>
  <c r="AF60" i="18"/>
  <c r="AG120" i="18"/>
  <c r="AD124" i="18"/>
  <c r="AE374" i="18"/>
  <c r="AH28" i="18"/>
  <c r="AC451" i="18"/>
  <c r="J146" i="25"/>
  <c r="AH119" i="18"/>
  <c r="AF459" i="18"/>
  <c r="AE422" i="18"/>
  <c r="AF46" i="18"/>
  <c r="AC39" i="18"/>
  <c r="I257" i="25"/>
  <c r="AH429" i="18"/>
  <c r="AC134" i="18"/>
  <c r="AF486" i="18"/>
  <c r="J349" i="25"/>
  <c r="AH412" i="18"/>
  <c r="AG128" i="18"/>
  <c r="AE465" i="18"/>
  <c r="J76" i="25"/>
  <c r="AH167" i="18"/>
  <c r="AE136" i="18"/>
  <c r="AE441" i="18"/>
  <c r="AF25" i="18"/>
  <c r="AE451" i="18"/>
  <c r="AG382" i="18"/>
  <c r="J162" i="25"/>
  <c r="AD317" i="18"/>
  <c r="AG210" i="18"/>
  <c r="AE205" i="18"/>
  <c r="I279" i="25"/>
  <c r="AC322" i="18"/>
  <c r="AD248" i="18"/>
  <c r="AH55" i="18"/>
  <c r="J163" i="25"/>
  <c r="AG92" i="18"/>
  <c r="I324" i="25"/>
  <c r="AH297" i="18"/>
  <c r="AF136" i="18"/>
  <c r="AD103" i="18"/>
  <c r="AG179" i="18"/>
  <c r="AJ179" i="18" s="1"/>
  <c r="AK179" i="18" s="1"/>
  <c r="AF214" i="18"/>
  <c r="AF499" i="18"/>
  <c r="I307" i="25"/>
  <c r="AE418" i="18"/>
  <c r="AH483" i="18"/>
  <c r="AH481" i="18"/>
  <c r="AF243" i="18"/>
  <c r="I14" i="25"/>
  <c r="AC40" i="18"/>
  <c r="AH111" i="18"/>
  <c r="AD306" i="18"/>
  <c r="AC231" i="18"/>
  <c r="AE119" i="18"/>
  <c r="AG114" i="18"/>
  <c r="AF102" i="18"/>
  <c r="J51" i="25"/>
  <c r="I129" i="25"/>
  <c r="AH460" i="18"/>
  <c r="AH367" i="18"/>
  <c r="AD80" i="18"/>
  <c r="AJ80" i="18" s="1"/>
  <c r="AK80" i="18" s="1"/>
  <c r="AE494" i="18"/>
  <c r="AE306" i="18"/>
  <c r="I34" i="25"/>
  <c r="AH396" i="18"/>
  <c r="AG491" i="18"/>
  <c r="AH128" i="18"/>
  <c r="J125" i="25"/>
  <c r="AF372" i="18"/>
  <c r="AE288" i="18"/>
  <c r="AG95" i="18"/>
  <c r="AG424" i="18"/>
  <c r="I174" i="25"/>
  <c r="AG423" i="18"/>
  <c r="AF224" i="18"/>
  <c r="AD456" i="18"/>
  <c r="AD379" i="18"/>
  <c r="AC502" i="18"/>
  <c r="AF250" i="18"/>
  <c r="AF76" i="18"/>
  <c r="AF156" i="18"/>
  <c r="AE47" i="18"/>
  <c r="AG212" i="18"/>
  <c r="I108" i="25"/>
  <c r="AG253" i="18"/>
  <c r="AG325" i="18"/>
  <c r="AF335" i="18"/>
  <c r="AE268" i="18"/>
  <c r="AH232" i="18"/>
  <c r="AE240" i="18"/>
  <c r="AG124" i="18"/>
  <c r="AE472" i="18"/>
  <c r="AD166" i="18"/>
  <c r="AH292" i="18"/>
  <c r="AC375" i="18"/>
  <c r="AD197" i="18"/>
  <c r="AF503" i="18"/>
  <c r="J324" i="25"/>
  <c r="AD474" i="18"/>
  <c r="AC344" i="18"/>
  <c r="I195" i="25"/>
  <c r="AF402" i="18"/>
  <c r="I255" i="25"/>
  <c r="AH204" i="18"/>
  <c r="AF375" i="18"/>
  <c r="AG357" i="18"/>
  <c r="AG232" i="18"/>
  <c r="AE480" i="18"/>
  <c r="AD398" i="18"/>
  <c r="AH172" i="18"/>
  <c r="AH100" i="18"/>
  <c r="AE19" i="18"/>
  <c r="AG45" i="18"/>
  <c r="AG49" i="18"/>
  <c r="J43" i="25"/>
  <c r="J41" i="25"/>
  <c r="J105" i="25"/>
  <c r="AG261" i="18"/>
  <c r="AE506" i="18"/>
  <c r="AD208" i="18"/>
  <c r="AH279" i="18"/>
  <c r="AH268" i="18"/>
  <c r="AG316" i="18"/>
  <c r="J222" i="25"/>
  <c r="AF414" i="18"/>
  <c r="J337" i="25"/>
  <c r="AD393" i="18"/>
  <c r="AE55" i="18"/>
  <c r="AF273" i="18"/>
  <c r="AH242" i="18"/>
  <c r="AE502" i="18"/>
  <c r="AG126" i="18"/>
  <c r="AF137" i="18"/>
  <c r="I50" i="25"/>
  <c r="AD483" i="18"/>
  <c r="I169" i="25"/>
  <c r="AG222" i="18"/>
  <c r="J214" i="25"/>
  <c r="J198" i="25"/>
  <c r="J42" i="25"/>
  <c r="AC318" i="18"/>
  <c r="AG486" i="18"/>
  <c r="AG434" i="18"/>
  <c r="J215" i="25"/>
  <c r="AC98" i="18"/>
  <c r="AE483" i="18"/>
  <c r="AH305" i="18"/>
  <c r="AC343" i="18"/>
  <c r="AF381" i="18"/>
  <c r="J293" i="25"/>
  <c r="AG257" i="18"/>
  <c r="J260" i="25"/>
  <c r="AG281" i="18"/>
  <c r="AE407" i="18"/>
  <c r="J126" i="25"/>
  <c r="AE227" i="18"/>
  <c r="AH415" i="18"/>
  <c r="AD283" i="18"/>
  <c r="AC66" i="18"/>
  <c r="AH450" i="18"/>
  <c r="AE135" i="18"/>
  <c r="AD178" i="18"/>
  <c r="AG39" i="18"/>
  <c r="I116" i="25"/>
  <c r="AF355" i="18"/>
  <c r="AE334" i="18"/>
  <c r="AC125" i="18"/>
  <c r="I269" i="25"/>
  <c r="AC319" i="18"/>
  <c r="AE253" i="18"/>
  <c r="AG468" i="18"/>
  <c r="AJ468" i="18" s="1"/>
  <c r="AK468" i="18" s="1"/>
  <c r="AC370" i="18"/>
  <c r="AG206" i="18"/>
  <c r="AD7" i="18"/>
  <c r="AH188" i="18"/>
  <c r="AC12" i="18"/>
  <c r="AE201" i="18"/>
  <c r="AH94" i="18"/>
  <c r="AE473" i="18"/>
  <c r="AF427" i="18"/>
  <c r="I90" i="25"/>
  <c r="AH431" i="18"/>
  <c r="AC384" i="18"/>
  <c r="AD312" i="18"/>
  <c r="AG383" i="18"/>
  <c r="AD491" i="18"/>
  <c r="AD161" i="18"/>
  <c r="AD319" i="18"/>
  <c r="J157" i="25"/>
  <c r="AC129" i="18"/>
  <c r="AC121" i="18"/>
  <c r="AD264" i="18"/>
  <c r="J123" i="25"/>
  <c r="AD249" i="18"/>
  <c r="I350" i="25"/>
  <c r="I282" i="25"/>
  <c r="J110" i="25"/>
  <c r="AD39" i="18"/>
  <c r="AF57" i="18"/>
  <c r="I164" i="25"/>
  <c r="AG90" i="18"/>
  <c r="AG151" i="18"/>
  <c r="AD392" i="18"/>
  <c r="AF267" i="18"/>
  <c r="AH281" i="18"/>
  <c r="AD466" i="18"/>
  <c r="AC376" i="18"/>
  <c r="AD266" i="18"/>
  <c r="AD108" i="18"/>
  <c r="AD187" i="18"/>
  <c r="AC226" i="18"/>
  <c r="AD106" i="18"/>
  <c r="AG343" i="18"/>
  <c r="AG490" i="18"/>
  <c r="I253" i="25"/>
  <c r="AE37" i="18"/>
  <c r="AH354" i="18"/>
  <c r="AG205" i="18"/>
  <c r="J161" i="25"/>
  <c r="AH322" i="18"/>
  <c r="J25" i="25"/>
  <c r="AD158" i="18"/>
  <c r="I402" i="25"/>
  <c r="AD484" i="18"/>
  <c r="AH262" i="18"/>
  <c r="AH426" i="18"/>
  <c r="AF436" i="18"/>
  <c r="AF127" i="18"/>
  <c r="AD414" i="18"/>
  <c r="AF24" i="18"/>
  <c r="I124" i="25"/>
  <c r="AD50" i="18"/>
  <c r="AE481" i="18"/>
  <c r="J333" i="25"/>
  <c r="AC301" i="18"/>
  <c r="AE230" i="18"/>
  <c r="AD112" i="18"/>
  <c r="AE458" i="18"/>
  <c r="AH499" i="18"/>
  <c r="J147" i="25"/>
  <c r="J209" i="25"/>
  <c r="AF500" i="18"/>
  <c r="I141" i="25"/>
  <c r="AD447" i="18"/>
  <c r="AH478" i="18"/>
  <c r="I235" i="25"/>
  <c r="AC111" i="18"/>
  <c r="AE479" i="18"/>
  <c r="AD395" i="18"/>
  <c r="AF112" i="18"/>
  <c r="AD261" i="18"/>
  <c r="AE492" i="18"/>
  <c r="AG172" i="18"/>
  <c r="AC317" i="18"/>
  <c r="AF454" i="18"/>
  <c r="AE341" i="18"/>
  <c r="AC107" i="18"/>
  <c r="J24" i="25"/>
  <c r="AD455" i="18"/>
  <c r="AC47" i="18"/>
  <c r="I401" i="25"/>
  <c r="AF32" i="18"/>
  <c r="AH397" i="18"/>
  <c r="AD488" i="18"/>
  <c r="J192" i="25"/>
  <c r="I156" i="25"/>
  <c r="AD203" i="18"/>
  <c r="AH494" i="18"/>
  <c r="AF193" i="18"/>
  <c r="AH419" i="18"/>
  <c r="I31" i="25"/>
  <c r="AE111" i="18"/>
  <c r="AH19" i="18"/>
  <c r="I145" i="25"/>
  <c r="AC304" i="18"/>
  <c r="AH489" i="18"/>
  <c r="AF493" i="18"/>
  <c r="AD78" i="18"/>
  <c r="AG47" i="18"/>
  <c r="AC359" i="18"/>
  <c r="AD336" i="18"/>
  <c r="AG493" i="18"/>
  <c r="AE152" i="18"/>
  <c r="I351" i="25"/>
  <c r="AG265" i="18"/>
  <c r="AG109" i="18"/>
  <c r="AG244" i="18"/>
  <c r="I96" i="25"/>
  <c r="J196" i="25"/>
  <c r="AH441" i="18"/>
  <c r="AD368" i="18"/>
  <c r="AC206" i="18"/>
  <c r="J380" i="25"/>
  <c r="AD137" i="18"/>
  <c r="AF192" i="18"/>
  <c r="AC251" i="18"/>
  <c r="AD162" i="18"/>
  <c r="AH185" i="18"/>
  <c r="J131" i="25"/>
  <c r="AG9" i="18"/>
  <c r="AE143" i="18"/>
  <c r="AD231" i="18"/>
  <c r="AG77" i="18"/>
  <c r="AG68" i="18"/>
  <c r="AD245" i="18"/>
  <c r="J122" i="25"/>
  <c r="J281" i="25"/>
  <c r="AD315" i="18"/>
  <c r="AF231" i="18"/>
  <c r="AD202" i="18"/>
  <c r="AH169" i="18"/>
  <c r="AC186" i="18"/>
  <c r="AC378" i="18"/>
  <c r="AE233" i="18"/>
  <c r="AC175" i="18"/>
  <c r="J218" i="25"/>
  <c r="AG333" i="18"/>
  <c r="AG414" i="18"/>
  <c r="I276" i="25"/>
  <c r="J299" i="25"/>
  <c r="AH266" i="18"/>
  <c r="AD435" i="18"/>
  <c r="J379" i="25"/>
  <c r="AG174" i="18"/>
  <c r="AG129" i="18"/>
  <c r="AE504" i="18"/>
  <c r="I323" i="25"/>
  <c r="I190" i="25"/>
  <c r="AD446" i="18"/>
  <c r="AG311" i="18"/>
  <c r="AD345" i="18"/>
  <c r="AH174" i="18"/>
  <c r="AF457" i="18"/>
  <c r="AD70" i="18"/>
  <c r="AC100" i="18"/>
  <c r="AH345" i="18"/>
  <c r="AC104" i="18"/>
  <c r="AE364" i="18"/>
  <c r="I115" i="25"/>
  <c r="AG55" i="18"/>
  <c r="AF220" i="18"/>
  <c r="AD42" i="18"/>
  <c r="AH418" i="18"/>
  <c r="AC60" i="18"/>
  <c r="I288" i="25"/>
  <c r="AG361" i="18"/>
  <c r="AH289" i="18"/>
  <c r="AC338" i="18"/>
  <c r="AC345" i="18"/>
  <c r="I204" i="25"/>
  <c r="AH123" i="18"/>
  <c r="I74" i="25"/>
  <c r="I75" i="25"/>
  <c r="AG352" i="18"/>
  <c r="AH239" i="18"/>
  <c r="AC473" i="18"/>
  <c r="AE165" i="18"/>
  <c r="I56" i="25"/>
  <c r="AH145" i="18"/>
  <c r="AC366" i="18"/>
  <c r="AG23" i="18"/>
  <c r="I19" i="25"/>
  <c r="AE486" i="18"/>
  <c r="AC33" i="18"/>
  <c r="AH386" i="18"/>
  <c r="J96" i="25"/>
  <c r="I63" i="25"/>
  <c r="AG234" i="18"/>
  <c r="AH327" i="18"/>
  <c r="I199" i="25"/>
  <c r="AC153" i="18"/>
  <c r="AC257" i="18"/>
  <c r="AE323" i="18"/>
  <c r="AG96" i="18"/>
  <c r="AG351" i="18"/>
  <c r="AF146" i="18"/>
  <c r="AH320" i="18"/>
  <c r="AD321" i="18"/>
  <c r="AD87" i="18"/>
  <c r="AC181" i="18"/>
  <c r="I25" i="25"/>
  <c r="I144" i="25"/>
  <c r="I191" i="25"/>
  <c r="J23" i="25"/>
  <c r="AC444" i="18"/>
  <c r="AF496" i="18"/>
  <c r="AC456" i="18"/>
  <c r="AG202" i="18"/>
  <c r="I353" i="25"/>
  <c r="AG298" i="18"/>
  <c r="AH278" i="18"/>
  <c r="AG375" i="18"/>
  <c r="AE399" i="18"/>
  <c r="J356" i="25"/>
  <c r="AF157" i="18"/>
  <c r="AC169" i="18"/>
  <c r="AD380" i="18"/>
  <c r="AF108" i="18"/>
  <c r="AD390" i="18"/>
  <c r="J153" i="25"/>
  <c r="AE150" i="18"/>
  <c r="AC233" i="18"/>
  <c r="AH348" i="18"/>
  <c r="AC168" i="18"/>
  <c r="AE191" i="18"/>
  <c r="AH399" i="18"/>
  <c r="I84" i="25"/>
  <c r="AD97" i="18"/>
  <c r="J33" i="25"/>
  <c r="AE56" i="18"/>
  <c r="AD426" i="18"/>
  <c r="AF30" i="18"/>
  <c r="AH447" i="18"/>
  <c r="J329" i="25"/>
  <c r="AE299" i="18"/>
  <c r="AD314" i="18"/>
  <c r="AD263" i="18"/>
  <c r="AG431" i="18"/>
  <c r="AD219" i="18"/>
  <c r="AH83" i="18"/>
  <c r="I117" i="25"/>
  <c r="AG211" i="18"/>
  <c r="AG328" i="18"/>
  <c r="AD221" i="18"/>
  <c r="AD145" i="18"/>
  <c r="AH259" i="18"/>
  <c r="AE246" i="18"/>
  <c r="AH15" i="18"/>
  <c r="AC269" i="18"/>
  <c r="AE417" i="18"/>
  <c r="AH307" i="18"/>
  <c r="AH416" i="18"/>
  <c r="AD118" i="18"/>
  <c r="I6" i="25"/>
  <c r="J229" i="25"/>
  <c r="AE238" i="18"/>
  <c r="J83" i="25"/>
  <c r="AF188" i="18"/>
  <c r="AG238" i="18"/>
  <c r="AD371" i="18"/>
  <c r="AH217" i="18"/>
  <c r="AF8" i="18"/>
  <c r="I69" i="25"/>
  <c r="AG188" i="18"/>
  <c r="AC466" i="18"/>
  <c r="AH216" i="18"/>
  <c r="AC171" i="18"/>
  <c r="AD182" i="18"/>
  <c r="J93" i="25"/>
  <c r="I17" i="25"/>
  <c r="AF424" i="18"/>
  <c r="AE404" i="18"/>
  <c r="AD386" i="18"/>
  <c r="AF285" i="18"/>
  <c r="AC411" i="18"/>
  <c r="AG452" i="18"/>
  <c r="I148" i="25"/>
  <c r="AF130" i="18"/>
  <c r="AH440" i="18"/>
  <c r="AF415" i="18"/>
  <c r="AF383" i="18"/>
  <c r="AC86" i="18"/>
  <c r="I88" i="25"/>
  <c r="AH372" i="18"/>
  <c r="AC30" i="18"/>
  <c r="AG221" i="18"/>
  <c r="AC469" i="18"/>
  <c r="AD60" i="18"/>
  <c r="AC332" i="18"/>
  <c r="J373" i="25"/>
  <c r="AC355" i="18"/>
  <c r="AE80" i="18"/>
  <c r="AC471" i="18"/>
  <c r="AD74" i="18"/>
  <c r="AG393" i="18"/>
  <c r="AF336" i="18"/>
  <c r="J396" i="25"/>
  <c r="AD160" i="18"/>
  <c r="AG198" i="18"/>
  <c r="J296" i="25"/>
  <c r="AF173" i="18"/>
  <c r="AC468" i="18"/>
  <c r="AC399" i="18"/>
  <c r="AF150" i="18"/>
  <c r="J374" i="25"/>
  <c r="I212" i="25"/>
  <c r="AG417" i="18"/>
  <c r="I197" i="25"/>
  <c r="AG107" i="18"/>
  <c r="AG87" i="18"/>
  <c r="AF238" i="18"/>
  <c r="I62" i="25"/>
  <c r="AE274" i="18"/>
  <c r="AC244" i="18"/>
  <c r="AG405" i="18"/>
  <c r="AC426" i="18"/>
  <c r="AC200" i="18"/>
  <c r="AF63" i="18"/>
  <c r="AD102" i="18"/>
  <c r="AC374" i="18"/>
  <c r="J338" i="25"/>
  <c r="AE475" i="18"/>
  <c r="J199" i="25"/>
  <c r="AF186" i="18"/>
  <c r="AD252" i="18"/>
  <c r="AH209" i="18"/>
  <c r="AC459" i="18"/>
  <c r="I362" i="25"/>
  <c r="AD142" i="18"/>
  <c r="J117" i="25"/>
  <c r="AD123" i="18"/>
  <c r="AF324" i="18"/>
  <c r="AH177" i="18"/>
  <c r="AD273" i="18"/>
  <c r="I61" i="25"/>
  <c r="AF447" i="18"/>
  <c r="I250" i="25"/>
  <c r="J106" i="25"/>
  <c r="AE361" i="18"/>
  <c r="AF352" i="18"/>
  <c r="AG76" i="18"/>
  <c r="AF20" i="18"/>
  <c r="AF9" i="18"/>
  <c r="AF505" i="18"/>
  <c r="AD144" i="18"/>
  <c r="J45" i="25"/>
  <c r="AH207" i="18"/>
  <c r="J140" i="25"/>
  <c r="AH427" i="18"/>
  <c r="AD93" i="18"/>
  <c r="AJ93" i="18" s="1"/>
  <c r="AK93" i="18" s="1"/>
  <c r="AF195" i="18"/>
  <c r="AD316" i="18"/>
  <c r="AH66" i="18"/>
  <c r="AG467" i="18"/>
  <c r="I249" i="25"/>
  <c r="AH186" i="18"/>
  <c r="I41" i="25"/>
  <c r="AF216" i="18"/>
  <c r="AH368" i="18"/>
  <c r="AH138" i="18"/>
  <c r="AH7" i="18"/>
  <c r="AE248" i="18"/>
  <c r="AE100" i="18"/>
  <c r="AG308" i="18"/>
  <c r="AG287" i="18"/>
  <c r="AF203" i="18"/>
  <c r="AH389" i="18"/>
  <c r="AG153" i="18"/>
  <c r="AH280" i="18"/>
  <c r="AG277" i="18"/>
  <c r="I391" i="25"/>
  <c r="AG307" i="18"/>
  <c r="AC132" i="18"/>
  <c r="AE283" i="18"/>
  <c r="AE134" i="18"/>
  <c r="AD72" i="18"/>
  <c r="AG201" i="18"/>
  <c r="AC425" i="18"/>
  <c r="AE69" i="18"/>
  <c r="AD11" i="18"/>
  <c r="AH284" i="18"/>
  <c r="AC481" i="18"/>
  <c r="AC499" i="18"/>
  <c r="AE83" i="18"/>
  <c r="AE409" i="18"/>
  <c r="AC504" i="18"/>
  <c r="AC70" i="18"/>
  <c r="AD407" i="18"/>
  <c r="AD135" i="18"/>
  <c r="AC379" i="18"/>
  <c r="AC79" i="18"/>
  <c r="AG327" i="18"/>
  <c r="AG329" i="18"/>
  <c r="AC119" i="18"/>
  <c r="AE117" i="18"/>
  <c r="I286" i="25"/>
  <c r="J354" i="25"/>
  <c r="AE263" i="18"/>
  <c r="AH72" i="18"/>
  <c r="AH224" i="18"/>
  <c r="AF394" i="18"/>
  <c r="AF131" i="18"/>
  <c r="J200" i="25"/>
  <c r="AD250" i="18"/>
  <c r="AJ250" i="18" s="1"/>
  <c r="AK250" i="18" s="1"/>
  <c r="AF434" i="18"/>
  <c r="I296" i="25"/>
  <c r="AD346" i="18"/>
  <c r="AF120" i="18"/>
  <c r="AD272" i="18"/>
  <c r="AH178" i="18"/>
  <c r="AC178" i="18"/>
  <c r="AD58" i="18"/>
  <c r="AH434" i="18"/>
  <c r="I35" i="25"/>
  <c r="I223" i="25"/>
  <c r="AC364" i="18"/>
  <c r="AF476" i="18"/>
  <c r="I299" i="25"/>
  <c r="J249" i="25"/>
  <c r="J12" i="25"/>
  <c r="J315" i="25"/>
  <c r="AG455" i="18"/>
  <c r="AD150" i="18"/>
  <c r="AC112" i="18"/>
  <c r="AC61" i="18"/>
  <c r="AC281" i="18"/>
  <c r="AD19" i="18"/>
  <c r="AD14" i="18"/>
  <c r="AG297" i="18"/>
  <c r="AD165" i="18"/>
  <c r="AE349" i="18"/>
  <c r="AD282" i="18"/>
  <c r="AG81" i="18"/>
  <c r="J367" i="25"/>
  <c r="AC290" i="18"/>
  <c r="AD388" i="18"/>
  <c r="AH315" i="18"/>
  <c r="AE86" i="18"/>
  <c r="AE228" i="18"/>
  <c r="I302" i="25"/>
  <c r="AE54" i="18"/>
  <c r="AE489" i="18"/>
  <c r="AE129" i="18"/>
  <c r="AH468" i="18"/>
  <c r="AC191" i="18"/>
  <c r="AC436" i="18"/>
  <c r="I43" i="25"/>
  <c r="AC328" i="18"/>
  <c r="AE49" i="18"/>
  <c r="AE107" i="18"/>
  <c r="I327" i="25"/>
  <c r="AH105" i="18"/>
  <c r="AF110" i="18"/>
  <c r="AH270" i="18"/>
  <c r="AH146" i="18"/>
  <c r="AF151" i="18"/>
  <c r="AD482" i="18"/>
  <c r="AF413" i="18"/>
  <c r="AH198" i="18"/>
  <c r="AH93" i="18"/>
  <c r="AE105" i="18"/>
  <c r="AG100" i="18"/>
  <c r="AG228" i="18"/>
  <c r="AC214" i="18"/>
  <c r="AF14" i="18"/>
  <c r="AF316" i="18"/>
  <c r="AE257" i="18"/>
  <c r="AD396" i="18"/>
  <c r="AG54" i="18"/>
  <c r="AE189" i="18"/>
  <c r="J188" i="25"/>
  <c r="AH448" i="18"/>
  <c r="J301" i="25"/>
  <c r="AH197" i="18"/>
  <c r="AH211" i="18"/>
  <c r="AG264" i="18"/>
  <c r="AF488" i="18"/>
  <c r="I106" i="25"/>
  <c r="AE497" i="18"/>
  <c r="AE484" i="18"/>
  <c r="AH265" i="18"/>
  <c r="I203" i="25"/>
  <c r="AE101" i="18"/>
  <c r="AG168" i="18"/>
  <c r="AE408" i="18"/>
  <c r="AC419" i="18"/>
  <c r="AC69" i="18"/>
  <c r="AF223" i="18"/>
  <c r="I390" i="25"/>
  <c r="AF417" i="18"/>
  <c r="AD129" i="18"/>
  <c r="AD200" i="18"/>
  <c r="AG116" i="18"/>
  <c r="J378" i="25"/>
  <c r="AH175" i="18"/>
  <c r="AG131" i="18"/>
  <c r="AF218" i="18"/>
  <c r="AH195" i="18"/>
  <c r="AH57" i="18"/>
  <c r="AC457" i="18"/>
  <c r="AD104" i="18"/>
  <c r="J202" i="25"/>
  <c r="AG60" i="18"/>
  <c r="AF485" i="18"/>
  <c r="AE271" i="18"/>
  <c r="AG106" i="18"/>
  <c r="J172" i="25"/>
  <c r="I166" i="25"/>
  <c r="AF398" i="18"/>
  <c r="AF178" i="18"/>
  <c r="AE276" i="18"/>
  <c r="AG159" i="18"/>
  <c r="I152" i="25"/>
  <c r="AE96" i="18"/>
  <c r="J392" i="25"/>
  <c r="AC103" i="18"/>
  <c r="AD17" i="18"/>
  <c r="AD439" i="18"/>
  <c r="AD333" i="18"/>
  <c r="AF41" i="18"/>
  <c r="AG42" i="18"/>
  <c r="AH153" i="18"/>
  <c r="J40" i="25"/>
  <c r="I135" i="25"/>
  <c r="AH461" i="18"/>
  <c r="AC389" i="18"/>
  <c r="AF299" i="18"/>
  <c r="AD18" i="18"/>
  <c r="AC271" i="18"/>
  <c r="J246" i="25"/>
  <c r="AF360" i="18"/>
  <c r="I51" i="25"/>
  <c r="AE173" i="18"/>
  <c r="J370" i="25"/>
  <c r="AH380" i="18"/>
  <c r="AF306" i="18"/>
  <c r="AF245" i="18"/>
  <c r="AG290" i="18"/>
  <c r="AC278" i="18"/>
  <c r="J32" i="25"/>
  <c r="AH491" i="18"/>
  <c r="AG309" i="18"/>
  <c r="AE58" i="18"/>
  <c r="AC438" i="18"/>
  <c r="AC347" i="18"/>
  <c r="J80" i="25"/>
  <c r="AC294" i="18"/>
  <c r="AF314" i="18"/>
  <c r="J65" i="25"/>
  <c r="I82" i="25"/>
  <c r="AG125" i="18"/>
  <c r="I64" i="25"/>
  <c r="AF31" i="18"/>
  <c r="AD98" i="18"/>
  <c r="I208" i="25"/>
  <c r="AG285" i="18"/>
  <c r="J52" i="25"/>
  <c r="AD287" i="18"/>
  <c r="J53" i="25"/>
  <c r="AE485" i="18"/>
  <c r="AC268" i="18"/>
  <c r="AF140" i="18"/>
  <c r="AC454" i="18"/>
  <c r="AD76" i="18"/>
  <c r="AE397" i="18"/>
  <c r="AG127" i="18"/>
  <c r="I99" i="25"/>
  <c r="AC137" i="18"/>
  <c r="AG48" i="18"/>
  <c r="AF205" i="18"/>
  <c r="J280" i="25"/>
  <c r="J165" i="25"/>
  <c r="AF249" i="18"/>
  <c r="J358" i="25"/>
  <c r="AE206" i="18"/>
  <c r="I137" i="25"/>
  <c r="J292" i="25"/>
  <c r="AH18" i="18"/>
  <c r="AG79" i="18"/>
  <c r="AE169" i="18"/>
  <c r="AE360" i="18"/>
  <c r="AG43" i="18"/>
  <c r="AG377" i="18"/>
  <c r="AH88" i="18"/>
  <c r="AH465" i="18"/>
  <c r="I16" i="25"/>
  <c r="AF234" i="18"/>
  <c r="AE252" i="18"/>
  <c r="AC158" i="18"/>
  <c r="J156" i="25"/>
  <c r="AC490" i="18"/>
  <c r="AH141" i="18"/>
  <c r="I214" i="25"/>
  <c r="AD207" i="18"/>
  <c r="I369" i="25"/>
  <c r="AG24" i="18"/>
  <c r="J134" i="25"/>
  <c r="AC446" i="18"/>
  <c r="AG495" i="18"/>
  <c r="AE95" i="18"/>
  <c r="AH377" i="18"/>
  <c r="AG224" i="18"/>
  <c r="AC18" i="18"/>
  <c r="J208" i="25"/>
  <c r="AG108" i="18"/>
  <c r="AG220" i="18"/>
  <c r="AH275" i="18"/>
  <c r="AG88" i="18"/>
  <c r="AC263" i="18"/>
  <c r="AC390" i="18"/>
  <c r="J314" i="25"/>
  <c r="J17" i="25"/>
  <c r="AD79" i="18"/>
  <c r="J233" i="25"/>
  <c r="AF412" i="18"/>
  <c r="AG268" i="18"/>
  <c r="AF347" i="18"/>
  <c r="AG464" i="18"/>
  <c r="AE372" i="18"/>
  <c r="AE291" i="18"/>
  <c r="AF56" i="18"/>
  <c r="AC210" i="18"/>
  <c r="AG44" i="18"/>
  <c r="AC275" i="18"/>
  <c r="AG157" i="18"/>
  <c r="AF452" i="18"/>
  <c r="AD89" i="18"/>
  <c r="AG348" i="18"/>
  <c r="AC77" i="18"/>
  <c r="AH104" i="18"/>
  <c r="AC10" i="18"/>
  <c r="J149" i="25"/>
  <c r="AC155" i="18"/>
  <c r="AG248" i="18"/>
  <c r="AC78" i="18"/>
  <c r="AC295" i="18"/>
  <c r="AC340" i="18"/>
  <c r="AH241" i="18"/>
  <c r="AE499" i="18"/>
  <c r="AD502" i="18"/>
  <c r="AH161" i="18"/>
  <c r="AF278" i="18"/>
  <c r="AC205" i="18"/>
  <c r="AF237" i="18"/>
  <c r="AF474" i="18"/>
  <c r="AD174" i="18"/>
  <c r="AF222" i="18"/>
  <c r="AG149" i="18"/>
  <c r="AD279" i="18"/>
  <c r="I247" i="25"/>
  <c r="AF152" i="18"/>
  <c r="AH21" i="18"/>
  <c r="AC408" i="18"/>
  <c r="AF385" i="18"/>
  <c r="AD183" i="18"/>
  <c r="AF409" i="18"/>
  <c r="J103" i="25"/>
  <c r="AE331" i="18"/>
  <c r="AH453" i="18"/>
  <c r="AC413" i="18"/>
  <c r="AF48" i="18"/>
  <c r="AC246" i="18"/>
  <c r="AF75" i="18"/>
  <c r="AE450" i="18"/>
  <c r="J179" i="25"/>
  <c r="AC219" i="18"/>
  <c r="AC380" i="18"/>
  <c r="AD378" i="18"/>
  <c r="AF288" i="18"/>
  <c r="I7" i="25"/>
  <c r="AC253" i="18"/>
  <c r="AH183" i="18"/>
  <c r="AE266" i="18"/>
  <c r="J14" i="25"/>
  <c r="AE498" i="18"/>
  <c r="AG378" i="18"/>
  <c r="AF147" i="18"/>
  <c r="AC286" i="18"/>
  <c r="AE236" i="18"/>
  <c r="AG381" i="18"/>
  <c r="J84" i="25"/>
  <c r="AH283" i="18"/>
  <c r="I306" i="25"/>
  <c r="AG488" i="18"/>
  <c r="AH401" i="18"/>
  <c r="AE178" i="18"/>
  <c r="J372" i="25"/>
  <c r="AF174" i="18"/>
  <c r="AC475" i="18"/>
  <c r="AE63" i="18"/>
  <c r="J69" i="25"/>
  <c r="AG306" i="18"/>
  <c r="AC242" i="18"/>
  <c r="AC356" i="18"/>
  <c r="AH295" i="18"/>
  <c r="AF70" i="18"/>
  <c r="AC350" i="18"/>
  <c r="J309" i="25"/>
  <c r="AD309" i="18"/>
  <c r="AF341" i="18"/>
  <c r="AE344" i="18"/>
  <c r="AD424" i="18"/>
  <c r="AF59" i="18"/>
  <c r="I264" i="25"/>
  <c r="AE208" i="18"/>
  <c r="AE112" i="18"/>
  <c r="AH370" i="18"/>
  <c r="J167" i="25"/>
  <c r="AH155" i="18"/>
  <c r="AH200" i="18"/>
  <c r="AC296" i="18"/>
  <c r="AC241" i="18"/>
  <c r="J402" i="25"/>
  <c r="AG485" i="18"/>
  <c r="AC123" i="18"/>
  <c r="AD292" i="18"/>
  <c r="AG340" i="18"/>
  <c r="AH480" i="18"/>
  <c r="I379" i="25"/>
  <c r="AC63" i="18"/>
  <c r="J251" i="25"/>
  <c r="AC488" i="18"/>
  <c r="AC94" i="18"/>
  <c r="AH497" i="18"/>
  <c r="AH413" i="18"/>
  <c r="AH106" i="18"/>
  <c r="AH267" i="18"/>
  <c r="I321" i="25"/>
  <c r="AG158" i="18"/>
  <c r="AE444" i="18"/>
  <c r="AD362" i="18"/>
  <c r="AE62" i="18"/>
  <c r="AF141" i="18"/>
  <c r="AD411" i="18"/>
  <c r="AD81" i="18"/>
  <c r="AG138" i="18"/>
  <c r="AC308" i="18"/>
  <c r="I68" i="25"/>
  <c r="AH255" i="18"/>
  <c r="AH229" i="18"/>
  <c r="J29" i="25"/>
  <c r="AF390" i="18"/>
  <c r="AE307" i="18"/>
  <c r="AC262" i="18"/>
  <c r="AF370" i="18"/>
  <c r="AE505" i="18"/>
  <c r="AD441" i="18"/>
  <c r="AJ441" i="18" s="1"/>
  <c r="AK441" i="18" s="1"/>
  <c r="AC479" i="18"/>
  <c r="AE292" i="18"/>
  <c r="J195" i="25"/>
  <c r="AD471" i="18"/>
  <c r="AF460" i="18"/>
  <c r="AH108" i="18"/>
  <c r="AG494" i="18"/>
  <c r="AF128" i="18"/>
  <c r="I339" i="25"/>
  <c r="AF294" i="18"/>
  <c r="AH154" i="18"/>
  <c r="AD237" i="18"/>
  <c r="AG104" i="18"/>
  <c r="AF257" i="18"/>
  <c r="AH162" i="18"/>
  <c r="J254" i="25"/>
  <c r="AE12" i="18"/>
  <c r="AD277" i="18"/>
  <c r="AG433" i="18"/>
  <c r="AH400" i="18"/>
  <c r="I245" i="25"/>
  <c r="AF111" i="18"/>
  <c r="AH16" i="18"/>
  <c r="AH50" i="18"/>
  <c r="AF386" i="18"/>
  <c r="AG502" i="18"/>
  <c r="AD63" i="18"/>
  <c r="AC341" i="18"/>
  <c r="AG286" i="18"/>
  <c r="AG58" i="18"/>
  <c r="AF465" i="18"/>
  <c r="AF67" i="18"/>
  <c r="AC215" i="18"/>
  <c r="AE243" i="18"/>
  <c r="AC209" i="18"/>
  <c r="AF301" i="18"/>
  <c r="AE87" i="18"/>
  <c r="AG209" i="18"/>
  <c r="AH501" i="18"/>
  <c r="AC198" i="18"/>
  <c r="AG99" i="18"/>
  <c r="AC154" i="18"/>
  <c r="I381" i="25"/>
  <c r="AG289" i="18"/>
  <c r="AG263" i="18"/>
  <c r="AG171" i="18"/>
  <c r="AF11" i="18"/>
  <c r="AD383" i="18"/>
  <c r="AD397" i="18"/>
  <c r="J168" i="25"/>
  <c r="AC51" i="18"/>
  <c r="AF153" i="18"/>
  <c r="AH33" i="18"/>
  <c r="AE214" i="18"/>
  <c r="AH261" i="18"/>
  <c r="AG167" i="18"/>
  <c r="AG170" i="18"/>
  <c r="AH282" i="18"/>
  <c r="AG406" i="18"/>
  <c r="AD138" i="18"/>
  <c r="AG283" i="18"/>
  <c r="J31" i="25"/>
  <c r="AG282" i="18"/>
  <c r="J297" i="25"/>
  <c r="AG388" i="18"/>
  <c r="AE27" i="18"/>
  <c r="AG94" i="18"/>
  <c r="AF293" i="18"/>
  <c r="J102" i="25"/>
  <c r="AD214" i="18"/>
  <c r="AE156" i="18"/>
  <c r="I345" i="25"/>
  <c r="AE380" i="18"/>
  <c r="J247" i="25"/>
  <c r="AD481" i="18"/>
  <c r="I251" i="25"/>
  <c r="J152" i="25"/>
  <c r="AC118" i="18"/>
  <c r="AF309" i="18"/>
  <c r="AD361" i="18"/>
  <c r="AF478" i="18"/>
  <c r="AF142" i="18"/>
  <c r="AG50" i="18"/>
  <c r="I57" i="25"/>
  <c r="AC145" i="18"/>
  <c r="AG70" i="18"/>
  <c r="AD400" i="18"/>
  <c r="AC176" i="18"/>
  <c r="AD43" i="18"/>
  <c r="AG255" i="18"/>
  <c r="AG89" i="18"/>
  <c r="AC14" i="18"/>
  <c r="AF10" i="18"/>
  <c r="J310" i="25"/>
  <c r="AH502" i="18"/>
  <c r="AE379" i="18"/>
  <c r="AG145" i="18"/>
  <c r="AE333" i="18"/>
  <c r="AC312" i="18"/>
  <c r="AE235" i="18"/>
  <c r="AE339" i="18"/>
  <c r="J284" i="25"/>
  <c r="AC307" i="18"/>
  <c r="I91" i="25"/>
  <c r="AH388" i="18"/>
  <c r="J399" i="25"/>
  <c r="I333" i="25"/>
  <c r="AH425" i="18"/>
  <c r="I341" i="25"/>
  <c r="AD497" i="18"/>
  <c r="AD485" i="18"/>
  <c r="I315" i="25"/>
  <c r="AG458" i="18"/>
  <c r="AD448" i="18"/>
  <c r="AJ448" i="18" s="1"/>
  <c r="AK448" i="18" s="1"/>
  <c r="AD204" i="18"/>
  <c r="AD354" i="18"/>
  <c r="AF23" i="18"/>
  <c r="AG229" i="18"/>
  <c r="AD415" i="18"/>
  <c r="J300" i="25"/>
  <c r="AD490" i="18"/>
  <c r="J273" i="25"/>
  <c r="AE183" i="18"/>
  <c r="AE493" i="18"/>
  <c r="J212" i="25"/>
  <c r="I189" i="25"/>
  <c r="J98" i="25"/>
  <c r="AD24" i="18"/>
  <c r="J393" i="25"/>
  <c r="AH263" i="18"/>
  <c r="AF344" i="18"/>
  <c r="AC430" i="18"/>
  <c r="AF321" i="18"/>
  <c r="AD163" i="18"/>
  <c r="AD227" i="18"/>
  <c r="AH164" i="18"/>
  <c r="AH173" i="18"/>
  <c r="AG506" i="18"/>
  <c r="AF298" i="18"/>
  <c r="J91" i="25"/>
  <c r="AF282" i="18"/>
  <c r="I154" i="25"/>
  <c r="I211" i="25"/>
  <c r="AE401" i="18"/>
  <c r="AD210" i="18"/>
  <c r="J138" i="25"/>
  <c r="AF227" i="18"/>
  <c r="AG14" i="18"/>
  <c r="AH398" i="18"/>
  <c r="AC239" i="18"/>
  <c r="AG240" i="18"/>
  <c r="AD465" i="18"/>
  <c r="AD36" i="18"/>
  <c r="AC302" i="18"/>
  <c r="AE487" i="18"/>
  <c r="AH121" i="18"/>
  <c r="AD170" i="18"/>
  <c r="AH150" i="18"/>
  <c r="AH272" i="18"/>
  <c r="AH40" i="18"/>
  <c r="AC274" i="18"/>
  <c r="AG117" i="18"/>
  <c r="AF346" i="18"/>
  <c r="AH163" i="18"/>
  <c r="AE200" i="18"/>
  <c r="AE413" i="18"/>
  <c r="AH148" i="18"/>
  <c r="AD209" i="18"/>
  <c r="AE345" i="18"/>
  <c r="I109" i="25"/>
  <c r="AD416" i="18"/>
  <c r="AF361" i="18"/>
  <c r="AF490" i="18"/>
  <c r="AE329" i="18"/>
  <c r="AC305" i="18"/>
  <c r="AF462" i="18"/>
  <c r="AD59" i="18"/>
  <c r="AF453" i="18"/>
  <c r="AF272" i="18"/>
  <c r="AH235" i="18"/>
  <c r="J128" i="25"/>
  <c r="I150" i="25"/>
  <c r="AD12" i="18"/>
  <c r="AJ12" i="18" s="1"/>
  <c r="AK12" i="18" s="1"/>
  <c r="AE461" i="18"/>
  <c r="AH81" i="18"/>
  <c r="AC462" i="18"/>
  <c r="AC90" i="18"/>
  <c r="AH433" i="18"/>
  <c r="J48" i="25"/>
  <c r="AG300" i="18"/>
  <c r="AD31" i="18"/>
  <c r="J291" i="25"/>
  <c r="J132" i="25"/>
  <c r="AF318" i="18"/>
  <c r="AC88" i="18"/>
  <c r="J286" i="25"/>
  <c r="AH52" i="18"/>
  <c r="I260" i="25"/>
  <c r="AG135" i="18"/>
  <c r="I301" i="25"/>
  <c r="AD113" i="18"/>
  <c r="I73" i="25"/>
  <c r="AG213" i="18"/>
  <c r="AE388" i="18"/>
  <c r="AG326" i="18"/>
  <c r="AE182" i="18"/>
  <c r="AC470" i="18"/>
  <c r="AC28" i="18"/>
  <c r="AD105" i="18"/>
  <c r="AC493" i="18"/>
  <c r="AC292" i="18"/>
  <c r="AD434" i="18"/>
  <c r="AC285" i="18"/>
  <c r="AE340" i="18"/>
  <c r="AE322" i="18"/>
  <c r="AE431" i="18"/>
  <c r="AF85" i="18"/>
  <c r="AD40" i="18"/>
  <c r="AC353" i="18"/>
  <c r="J137" i="25"/>
  <c r="AH436" i="18"/>
  <c r="I217" i="25"/>
  <c r="AC177" i="18"/>
  <c r="AE149" i="18"/>
  <c r="AG97" i="18"/>
  <c r="AE390" i="18"/>
  <c r="AG299" i="18"/>
  <c r="AF374" i="18"/>
  <c r="AE203" i="18"/>
  <c r="AF47" i="18"/>
  <c r="AE57" i="18"/>
  <c r="AE118" i="18"/>
  <c r="AE8" i="18"/>
  <c r="AE218" i="18"/>
  <c r="AF37" i="18"/>
  <c r="AE147" i="18"/>
  <c r="AH290" i="18"/>
  <c r="AD99" i="18"/>
  <c r="AD92" i="18"/>
  <c r="AG356" i="18"/>
  <c r="J189" i="25"/>
  <c r="AD218" i="18"/>
  <c r="AC127" i="18"/>
  <c r="J230" i="25"/>
  <c r="J361" i="25"/>
  <c r="AC29" i="18"/>
  <c r="AD364" i="18"/>
  <c r="AE393" i="18"/>
  <c r="I242" i="25"/>
  <c r="AF349" i="18"/>
  <c r="AE449" i="18"/>
  <c r="I206" i="25"/>
  <c r="I147" i="25"/>
  <c r="I278" i="25"/>
  <c r="AD120" i="18"/>
  <c r="AD454" i="18"/>
  <c r="AC449" i="18"/>
  <c r="I4" i="25"/>
  <c r="AG62" i="18"/>
  <c r="AE79" i="18"/>
  <c r="AC64" i="18"/>
  <c r="AD451" i="18"/>
  <c r="I287" i="25"/>
  <c r="I83" i="25"/>
  <c r="AC420" i="18"/>
  <c r="AC371" i="18"/>
  <c r="AH187" i="18"/>
  <c r="AE455" i="18"/>
  <c r="I320" i="25"/>
  <c r="AC172" i="18"/>
  <c r="AE352" i="18"/>
  <c r="AD360" i="18"/>
  <c r="I128" i="25"/>
  <c r="I18" i="25"/>
  <c r="AF265" i="18"/>
  <c r="AG337" i="18"/>
  <c r="AG63" i="18"/>
  <c r="AD322" i="18"/>
  <c r="AF364" i="18"/>
  <c r="AE121" i="18"/>
  <c r="AD21" i="18"/>
  <c r="AF380" i="18"/>
  <c r="AC108" i="18"/>
  <c r="AG225" i="18"/>
  <c r="AF489" i="18"/>
  <c r="I228" i="25"/>
  <c r="AG241" i="18"/>
  <c r="AE342" i="18"/>
  <c r="AH37" i="18"/>
  <c r="AE90" i="18"/>
  <c r="AD230" i="18"/>
  <c r="J104" i="25"/>
  <c r="J73" i="25"/>
  <c r="AF161" i="18"/>
  <c r="J311" i="25"/>
  <c r="AC482" i="18"/>
  <c r="AE267" i="18"/>
  <c r="AF407" i="18"/>
  <c r="I254" i="25"/>
  <c r="AG19" i="18"/>
  <c r="I153" i="25"/>
  <c r="AF77" i="18"/>
  <c r="I138" i="25"/>
  <c r="AF119" i="18"/>
  <c r="AC324" i="18"/>
  <c r="AG447" i="18"/>
  <c r="AF373" i="18"/>
  <c r="AD30" i="18"/>
  <c r="AF353" i="18"/>
  <c r="J108" i="25"/>
  <c r="AE375" i="18"/>
  <c r="I360" i="25"/>
  <c r="AC270" i="18"/>
  <c r="AC162" i="18"/>
  <c r="AH264" i="18"/>
  <c r="AF405" i="18"/>
  <c r="I317" i="25"/>
  <c r="AG121" i="18"/>
  <c r="AF101" i="18"/>
  <c r="I158" i="25"/>
  <c r="J112" i="25"/>
  <c r="AH271" i="18"/>
  <c r="AC41" i="18"/>
  <c r="AC334" i="18"/>
  <c r="AD258" i="18"/>
  <c r="J50" i="25"/>
  <c r="AC180" i="18"/>
  <c r="AE261" i="18"/>
  <c r="AD95" i="18"/>
  <c r="I186" i="25"/>
  <c r="AC74" i="18"/>
  <c r="AH131" i="18"/>
  <c r="AE226" i="18"/>
  <c r="AF16" i="18"/>
  <c r="AG336" i="18"/>
  <c r="AH487" i="18"/>
  <c r="AD320" i="18"/>
  <c r="AD82" i="18"/>
  <c r="AD492" i="18"/>
  <c r="AG427" i="18"/>
  <c r="I76" i="25"/>
  <c r="AF217" i="18"/>
  <c r="AH446" i="18"/>
  <c r="J210" i="25"/>
  <c r="AF219" i="18"/>
  <c r="AF247" i="18"/>
  <c r="J58" i="25"/>
  <c r="I60" i="25"/>
  <c r="AF264" i="18"/>
  <c r="AC339" i="18"/>
  <c r="AD467" i="18"/>
  <c r="AG164" i="18"/>
  <c r="AE356" i="18"/>
  <c r="AH181" i="18"/>
  <c r="AE289" i="18"/>
  <c r="AG372" i="18"/>
  <c r="I81" i="25"/>
  <c r="J203" i="25"/>
  <c r="AE10" i="18"/>
  <c r="AE310" i="18"/>
  <c r="AD66" i="18"/>
  <c r="AC423" i="18"/>
  <c r="AE317" i="18"/>
  <c r="AG262" i="18"/>
  <c r="AE94" i="18"/>
  <c r="AH337" i="18"/>
  <c r="AH378" i="18"/>
  <c r="AE209" i="18"/>
  <c r="J295" i="25"/>
  <c r="J350" i="25"/>
  <c r="J67" i="25"/>
  <c r="I94" i="25"/>
  <c r="AH373" i="18"/>
  <c r="AE411" i="18"/>
  <c r="AC248" i="18"/>
  <c r="AG150" i="18"/>
  <c r="I87" i="25"/>
  <c r="AG276" i="18"/>
  <c r="AC152" i="18"/>
  <c r="AH486" i="18"/>
  <c r="AC185" i="18"/>
  <c r="AC216" i="18"/>
  <c r="AE224" i="18"/>
  <c r="AC260" i="18"/>
  <c r="AF116" i="18"/>
  <c r="AH253" i="18"/>
  <c r="AG18" i="18"/>
  <c r="AE99" i="18"/>
  <c r="I357" i="25"/>
  <c r="I292" i="25"/>
  <c r="AH134" i="18"/>
  <c r="AH420" i="18"/>
  <c r="AH158" i="18"/>
  <c r="AD149" i="18"/>
  <c r="AF177" i="18"/>
  <c r="AF50" i="18"/>
  <c r="AH107" i="18"/>
  <c r="AD381" i="18"/>
  <c r="AG442" i="18"/>
  <c r="AG428" i="18"/>
  <c r="AC494" i="18"/>
  <c r="AF22" i="18"/>
  <c r="AF44" i="18"/>
  <c r="AH464" i="18"/>
  <c r="AE229" i="18"/>
  <c r="AF84" i="18"/>
  <c r="AD365" i="18"/>
  <c r="AE326" i="18"/>
  <c r="AF315" i="18"/>
  <c r="AG439" i="18"/>
  <c r="I274" i="25"/>
  <c r="AE321" i="18"/>
  <c r="AC428" i="18"/>
  <c r="AG180" i="18"/>
  <c r="AG231" i="18"/>
  <c r="AF241" i="18"/>
  <c r="J303" i="25"/>
  <c r="AD410" i="18"/>
  <c r="AF397" i="18"/>
  <c r="I331" i="25"/>
  <c r="AC414" i="18"/>
  <c r="AD20" i="18"/>
  <c r="I343" i="25"/>
  <c r="AE448" i="18"/>
  <c r="AF99" i="18"/>
  <c r="AG163" i="18"/>
  <c r="AH130" i="18"/>
  <c r="AC412" i="18"/>
  <c r="AF206" i="18"/>
  <c r="AF319" i="18"/>
  <c r="J317" i="25"/>
  <c r="AE424" i="18"/>
  <c r="I225" i="25"/>
  <c r="AF242" i="18"/>
  <c r="AD191" i="18"/>
  <c r="AC373" i="18"/>
  <c r="AE109" i="18"/>
  <c r="AH222" i="18"/>
  <c r="AD238" i="18"/>
  <c r="J235" i="25"/>
  <c r="AC491" i="18"/>
  <c r="AC465" i="18"/>
  <c r="J219" i="25"/>
  <c r="AG489" i="18"/>
  <c r="AE343" i="18"/>
  <c r="I32" i="25"/>
  <c r="J95" i="25"/>
  <c r="AH329" i="18"/>
  <c r="AH452" i="18"/>
  <c r="AC43" i="18"/>
  <c r="AG425" i="18"/>
  <c r="AH10" i="18"/>
  <c r="AF492" i="18"/>
  <c r="I218" i="25"/>
  <c r="J173" i="25"/>
  <c r="AH213" i="18"/>
  <c r="AD91" i="18"/>
  <c r="AE247" i="18"/>
  <c r="AE123" i="18"/>
  <c r="AE328" i="18"/>
  <c r="AH496" i="18"/>
  <c r="I15" i="25"/>
  <c r="AG469" i="18"/>
  <c r="AE456" i="18"/>
  <c r="AE102" i="18"/>
  <c r="AH309" i="18"/>
  <c r="AH236" i="18"/>
  <c r="AH78" i="18"/>
  <c r="AD431" i="18"/>
  <c r="AH132" i="18"/>
  <c r="AF198" i="18"/>
  <c r="AG504" i="18"/>
  <c r="AE202" i="18"/>
  <c r="AE419" i="18"/>
  <c r="AF160" i="18"/>
  <c r="AG242" i="18"/>
  <c r="AH129" i="18"/>
  <c r="AH409" i="18"/>
  <c r="AE406" i="18"/>
  <c r="AE389" i="18"/>
  <c r="AF280" i="18"/>
  <c r="I231" i="25"/>
  <c r="I303" i="25"/>
  <c r="AC360" i="18"/>
  <c r="J387" i="25"/>
  <c r="AC133" i="18"/>
  <c r="AC96" i="18"/>
  <c r="I46" i="25"/>
  <c r="AE300" i="18"/>
  <c r="AG389" i="18"/>
  <c r="AE386" i="18"/>
  <c r="AF481" i="18"/>
  <c r="AD189" i="18"/>
  <c r="AD54" i="18"/>
  <c r="AE194" i="18"/>
  <c r="I273" i="25"/>
  <c r="AC416" i="18"/>
  <c r="AD443" i="18"/>
  <c r="AG335" i="18"/>
  <c r="AH67" i="18"/>
  <c r="AD382" i="18"/>
  <c r="AH458" i="18"/>
  <c r="AH92" i="18"/>
  <c r="AF277" i="18"/>
  <c r="AH317" i="18"/>
  <c r="AC22" i="18"/>
  <c r="AH234" i="18"/>
  <c r="I271" i="25"/>
  <c r="AD296" i="18"/>
  <c r="AE286" i="18"/>
  <c r="AC447" i="18"/>
  <c r="AG192" i="18"/>
  <c r="AH381" i="18"/>
  <c r="AG217" i="18"/>
  <c r="AD167" i="18"/>
  <c r="I246" i="25"/>
  <c r="AE330" i="18"/>
  <c r="AE186" i="18"/>
  <c r="AD270" i="18"/>
  <c r="I322" i="25"/>
  <c r="AC109" i="18"/>
  <c r="J160" i="25"/>
  <c r="AE255" i="18"/>
  <c r="AE167" i="18"/>
  <c r="AG385" i="18"/>
  <c r="I136" i="25"/>
  <c r="AH58" i="18"/>
  <c r="AC381" i="18"/>
  <c r="AC351" i="18"/>
  <c r="AC68" i="18"/>
  <c r="AD413" i="18"/>
  <c r="I9" i="25"/>
  <c r="AG445" i="18"/>
  <c r="AE144" i="18"/>
  <c r="AG160" i="18"/>
  <c r="AH221" i="18"/>
  <c r="AF232" i="18"/>
  <c r="AH63" i="18"/>
  <c r="AC291" i="18"/>
  <c r="AH482" i="18"/>
  <c r="AG56" i="18"/>
  <c r="AC505" i="18"/>
  <c r="AC333" i="18"/>
  <c r="AF263" i="18"/>
  <c r="I215" i="25"/>
  <c r="AD330" i="18"/>
  <c r="AC126" i="18"/>
  <c r="AF323" i="18"/>
  <c r="AF246" i="18"/>
  <c r="AH374" i="18"/>
  <c r="AH408" i="18"/>
  <c r="AG317" i="18"/>
  <c r="AE116" i="18"/>
  <c r="AE427" i="18"/>
  <c r="AC458" i="18"/>
  <c r="AD351" i="18"/>
  <c r="J366" i="25"/>
  <c r="AH85" i="18"/>
  <c r="J245" i="25"/>
  <c r="AH339" i="18"/>
  <c r="AE13" i="18"/>
  <c r="J223" i="25"/>
  <c r="AE64" i="18"/>
  <c r="AG288" i="18"/>
  <c r="AF312" i="18"/>
  <c r="AH68" i="18"/>
  <c r="AH477" i="18"/>
  <c r="AE124" i="18"/>
  <c r="AE301" i="18"/>
  <c r="AG115" i="18"/>
  <c r="AE410" i="18"/>
  <c r="AC113" i="18"/>
  <c r="AG173" i="18"/>
  <c r="I47" i="25"/>
  <c r="AD28" i="18"/>
  <c r="AD94" i="18"/>
  <c r="AD436" i="18"/>
  <c r="AH328" i="18"/>
  <c r="AG429" i="18"/>
  <c r="AD265" i="18"/>
  <c r="J252" i="25"/>
  <c r="AF215" i="18"/>
  <c r="AG339" i="18"/>
  <c r="J183" i="25"/>
  <c r="AH277" i="18"/>
  <c r="I237" i="25"/>
  <c r="H51" i="24" l="1"/>
  <c r="AJ344" i="18"/>
  <c r="AK344" i="18" s="1"/>
  <c r="AJ353" i="18"/>
  <c r="AK353" i="18" s="1"/>
  <c r="O22" i="31"/>
  <c r="O26" i="31"/>
  <c r="AJ164" i="18"/>
  <c r="AK164" i="18" s="1"/>
  <c r="O38" i="31"/>
  <c r="AJ389" i="18"/>
  <c r="AK389" i="18" s="1"/>
  <c r="AJ52" i="18"/>
  <c r="AK52" i="18" s="1"/>
  <c r="O10" i="31"/>
  <c r="O36" i="31"/>
  <c r="O35" i="31"/>
  <c r="AJ339" i="18"/>
  <c r="AK339" i="18" s="1"/>
  <c r="AJ117" i="18"/>
  <c r="AK117" i="18" s="1"/>
  <c r="AJ398" i="18"/>
  <c r="AK398" i="18" s="1"/>
  <c r="AJ213" i="18"/>
  <c r="AK213" i="18" s="1"/>
  <c r="AJ29" i="18"/>
  <c r="AK29" i="18" s="1"/>
  <c r="H8" i="12"/>
  <c r="H9" i="12"/>
  <c r="Q29" i="31"/>
  <c r="O29" i="31"/>
  <c r="AJ285" i="18"/>
  <c r="AK285" i="18" s="1"/>
  <c r="AJ392" i="18"/>
  <c r="AK392" i="18" s="1"/>
  <c r="AJ258" i="18"/>
  <c r="AK258" i="18" s="1"/>
  <c r="AJ307" i="18"/>
  <c r="AK307" i="18" s="1"/>
  <c r="AJ363" i="18"/>
  <c r="AK363" i="18" s="1"/>
  <c r="O16" i="31"/>
  <c r="AJ75" i="18"/>
  <c r="AK75" i="18" s="1"/>
  <c r="O48" i="31"/>
  <c r="Q21" i="31"/>
  <c r="O21" i="31"/>
  <c r="Q17" i="31"/>
  <c r="O17" i="31"/>
  <c r="Q20" i="31"/>
  <c r="O20" i="31"/>
  <c r="Q49" i="31"/>
  <c r="O49" i="31"/>
  <c r="Q42" i="31"/>
  <c r="O42" i="31"/>
  <c r="Q23" i="31"/>
  <c r="O23" i="31"/>
  <c r="E56" i="30"/>
  <c r="D65" i="30"/>
  <c r="C65" i="30"/>
  <c r="D56" i="30"/>
  <c r="E65" i="30"/>
  <c r="C56" i="30"/>
  <c r="Q44" i="31"/>
  <c r="O44" i="31"/>
  <c r="AJ481" i="18"/>
  <c r="AK481" i="18" s="1"/>
  <c r="AJ246" i="18"/>
  <c r="AK246" i="18" s="1"/>
  <c r="Q28" i="31"/>
  <c r="O28" i="31"/>
  <c r="Q32" i="31"/>
  <c r="O32" i="31"/>
  <c r="Q43" i="31"/>
  <c r="O43" i="31"/>
  <c r="E30" i="24"/>
  <c r="E31" i="24"/>
  <c r="AJ189" i="18"/>
  <c r="AK189" i="18" s="1"/>
  <c r="AJ406" i="18"/>
  <c r="AK406" i="18" s="1"/>
  <c r="Q13" i="31"/>
  <c r="O13" i="31"/>
  <c r="N30" i="24"/>
  <c r="N31" i="24"/>
  <c r="AJ313" i="18"/>
  <c r="AK313" i="18" s="1"/>
  <c r="F28" i="24"/>
  <c r="Q14" i="31"/>
  <c r="O14" i="31"/>
  <c r="Q18" i="31"/>
  <c r="O18" i="31"/>
  <c r="L30" i="24"/>
  <c r="L31" i="24"/>
  <c r="L29" i="24"/>
  <c r="Q15" i="31"/>
  <c r="O15" i="31"/>
  <c r="AJ162" i="18"/>
  <c r="AK162" i="18" s="1"/>
  <c r="I51" i="24"/>
  <c r="J39" i="24"/>
  <c r="AJ175" i="18"/>
  <c r="AK175" i="18" s="1"/>
  <c r="Q46" i="31"/>
  <c r="O46" i="31"/>
  <c r="Q45" i="31"/>
  <c r="O45" i="31"/>
  <c r="AJ302" i="18"/>
  <c r="AK302" i="18" s="1"/>
  <c r="AJ342" i="18"/>
  <c r="AK342" i="18" s="1"/>
  <c r="Q24" i="31"/>
  <c r="O24" i="31"/>
  <c r="AJ347" i="18"/>
  <c r="AK347" i="18" s="1"/>
  <c r="AJ486" i="18"/>
  <c r="AK486" i="18" s="1"/>
  <c r="AJ464" i="18"/>
  <c r="AK464" i="18" s="1"/>
  <c r="Q40" i="31"/>
  <c r="O40" i="31"/>
  <c r="M30" i="24"/>
  <c r="M31" i="24"/>
  <c r="M29" i="24"/>
  <c r="Q41" i="31"/>
  <c r="O41" i="31"/>
  <c r="Q39" i="31"/>
  <c r="O39" i="31"/>
  <c r="Q47" i="31"/>
  <c r="O47" i="31"/>
  <c r="Q19" i="31"/>
  <c r="O19" i="31"/>
  <c r="Q25" i="31"/>
  <c r="O25" i="31"/>
  <c r="N29" i="24"/>
  <c r="AJ432" i="18"/>
  <c r="AK432" i="18" s="1"/>
  <c r="AJ416" i="18"/>
  <c r="AK416" i="18" s="1"/>
  <c r="AJ274" i="18"/>
  <c r="AK274" i="18" s="1"/>
  <c r="AJ360" i="18"/>
  <c r="AK360" i="18" s="1"/>
  <c r="AJ362" i="18"/>
  <c r="AK362" i="18" s="1"/>
  <c r="AJ110" i="18"/>
  <c r="AK110" i="18" s="1"/>
  <c r="AJ142" i="18"/>
  <c r="AK142" i="18" s="1"/>
  <c r="AJ173" i="18"/>
  <c r="AK173" i="18" s="1"/>
  <c r="AJ56" i="18"/>
  <c r="AK56" i="18" s="1"/>
  <c r="AJ268" i="18"/>
  <c r="AK268" i="18" s="1"/>
  <c r="AJ496" i="18"/>
  <c r="AK496" i="18" s="1"/>
  <c r="AJ85" i="18"/>
  <c r="AK85" i="18" s="1"/>
  <c r="AJ269" i="18"/>
  <c r="AK269" i="18" s="1"/>
  <c r="AJ23" i="18"/>
  <c r="AK23" i="18" s="1"/>
  <c r="AJ401" i="18"/>
  <c r="AK401" i="18" s="1"/>
  <c r="AJ203" i="18"/>
  <c r="AK203" i="18" s="1"/>
  <c r="AJ324" i="18"/>
  <c r="AK324" i="18" s="1"/>
  <c r="AJ103" i="18"/>
  <c r="AK103" i="18" s="1"/>
  <c r="AJ351" i="18"/>
  <c r="AK351" i="18" s="1"/>
  <c r="AJ289" i="18"/>
  <c r="AK289" i="18" s="1"/>
  <c r="AJ365" i="18"/>
  <c r="AK365" i="18" s="1"/>
  <c r="AJ410" i="18"/>
  <c r="AK410" i="18" s="1"/>
  <c r="AJ150" i="18"/>
  <c r="AK150" i="18" s="1"/>
  <c r="AJ261" i="18"/>
  <c r="AK261" i="18" s="1"/>
  <c r="AJ193" i="18"/>
  <c r="AK193" i="18" s="1"/>
  <c r="AJ247" i="18"/>
  <c r="AK247" i="18" s="1"/>
  <c r="AJ500" i="18"/>
  <c r="AK500" i="18" s="1"/>
  <c r="AJ188" i="18"/>
  <c r="AK188" i="18" s="1"/>
  <c r="AJ409" i="18"/>
  <c r="AK409" i="18" s="1"/>
  <c r="AJ385" i="18"/>
  <c r="AK385" i="18" s="1"/>
  <c r="AJ461" i="18"/>
  <c r="AK461" i="18" s="1"/>
  <c r="AJ169" i="18"/>
  <c r="AK169" i="18" s="1"/>
  <c r="AJ298" i="18"/>
  <c r="AK298" i="18" s="1"/>
  <c r="AJ281" i="18"/>
  <c r="AK281" i="18" s="1"/>
  <c r="AJ7" i="18"/>
  <c r="AK7" i="18" s="1"/>
  <c r="AJ451" i="18"/>
  <c r="AK451" i="18" s="1"/>
  <c r="AJ465" i="18"/>
  <c r="AK465" i="18" s="1"/>
  <c r="AJ83" i="18"/>
  <c r="AK83" i="18" s="1"/>
  <c r="AJ469" i="18"/>
  <c r="AK469" i="18" s="1"/>
  <c r="AJ433" i="18"/>
  <c r="AK433" i="18" s="1"/>
  <c r="AJ60" i="18"/>
  <c r="AK60" i="18" s="1"/>
  <c r="AJ345" i="18"/>
  <c r="AK345" i="18" s="1"/>
  <c r="AJ343" i="18"/>
  <c r="AK343" i="18" s="1"/>
  <c r="AJ26" i="18"/>
  <c r="AK26" i="18" s="1"/>
  <c r="AJ192" i="18"/>
  <c r="AK192" i="18" s="1"/>
  <c r="AJ467" i="18"/>
  <c r="AK467" i="18" s="1"/>
  <c r="AJ50" i="18"/>
  <c r="AK50" i="18" s="1"/>
  <c r="AJ319" i="18"/>
  <c r="AK319" i="18" s="1"/>
  <c r="AJ74" i="18"/>
  <c r="AK74" i="18" s="1"/>
  <c r="AJ138" i="18"/>
  <c r="AK138" i="18" s="1"/>
  <c r="AJ122" i="18"/>
  <c r="AK122" i="18" s="1"/>
  <c r="AJ505" i="18"/>
  <c r="AK505" i="18" s="1"/>
  <c r="AJ92" i="18"/>
  <c r="AK92" i="18" s="1"/>
  <c r="AJ171" i="18"/>
  <c r="AK171" i="18" s="1"/>
  <c r="AJ82" i="18"/>
  <c r="AK82" i="18" s="1"/>
  <c r="AJ492" i="18"/>
  <c r="AK492" i="18" s="1"/>
  <c r="AJ63" i="18"/>
  <c r="AK63" i="18" s="1"/>
  <c r="AJ174" i="18"/>
  <c r="AK174" i="18" s="1"/>
  <c r="AJ205" i="18"/>
  <c r="AK205" i="18" s="1"/>
  <c r="AJ275" i="18"/>
  <c r="AK275" i="18" s="1"/>
  <c r="AJ288" i="18"/>
  <c r="AK288" i="18" s="1"/>
  <c r="AJ379" i="18"/>
  <c r="AK379" i="18" s="1"/>
  <c r="AJ290" i="18"/>
  <c r="AK290" i="18" s="1"/>
  <c r="AJ387" i="18"/>
  <c r="AK387" i="18" s="1"/>
  <c r="AJ325" i="18"/>
  <c r="AK325" i="18" s="1"/>
  <c r="AJ278" i="18"/>
  <c r="AK278" i="18" s="1"/>
  <c r="AJ438" i="18"/>
  <c r="AK438" i="18" s="1"/>
  <c r="AJ397" i="18"/>
  <c r="AK397" i="18" s="1"/>
  <c r="AJ408" i="18"/>
  <c r="AK408" i="18" s="1"/>
  <c r="AJ309" i="18"/>
  <c r="AK309" i="18" s="1"/>
  <c r="AJ424" i="18"/>
  <c r="AK424" i="18" s="1"/>
  <c r="AJ221" i="18"/>
  <c r="AK221" i="18" s="1"/>
  <c r="AJ241" i="18"/>
  <c r="AK241" i="18" s="1"/>
  <c r="AJ300" i="18"/>
  <c r="AK300" i="18" s="1"/>
  <c r="AJ279" i="18"/>
  <c r="AK279" i="18" s="1"/>
  <c r="AJ42" i="18"/>
  <c r="AK42" i="18" s="1"/>
  <c r="AJ329" i="18"/>
  <c r="AK329" i="18" s="1"/>
  <c r="AJ166" i="18"/>
  <c r="AK166" i="18" s="1"/>
  <c r="AJ190" i="18"/>
  <c r="AK190" i="18" s="1"/>
  <c r="AJ502" i="18"/>
  <c r="AK502" i="18" s="1"/>
  <c r="AJ415" i="18"/>
  <c r="AK415" i="18" s="1"/>
  <c r="AJ186" i="18"/>
  <c r="AK186" i="18" s="1"/>
  <c r="AJ413" i="18"/>
  <c r="AK413" i="18" s="1"/>
  <c r="AJ227" i="18"/>
  <c r="AK227" i="18" s="1"/>
  <c r="AJ490" i="18"/>
  <c r="AK490" i="18" s="1"/>
  <c r="AJ312" i="18"/>
  <c r="AK312" i="18" s="1"/>
  <c r="AJ334" i="18"/>
  <c r="AK334" i="18" s="1"/>
  <c r="AJ128" i="18"/>
  <c r="AK128" i="18" s="1"/>
  <c r="AJ209" i="18"/>
  <c r="AK209" i="18" s="1"/>
  <c r="AJ294" i="18"/>
  <c r="AK294" i="18" s="1"/>
  <c r="AJ184" i="18"/>
  <c r="AK184" i="18" s="1"/>
  <c r="AJ125" i="18"/>
  <c r="AK125" i="18" s="1"/>
  <c r="AJ301" i="18"/>
  <c r="AK301" i="18" s="1"/>
  <c r="AJ240" i="18"/>
  <c r="AK240" i="18" s="1"/>
  <c r="AJ338" i="18"/>
  <c r="AK338" i="18" s="1"/>
  <c r="AJ46" i="18"/>
  <c r="AK46" i="18" s="1"/>
  <c r="AJ36" i="18"/>
  <c r="AK36" i="18" s="1"/>
  <c r="AJ371" i="18"/>
  <c r="AK371" i="18" s="1"/>
  <c r="AJ126" i="18"/>
  <c r="AK126" i="18" s="1"/>
  <c r="AJ321" i="18"/>
  <c r="AK321" i="18" s="1"/>
  <c r="AJ208" i="18"/>
  <c r="AK208" i="18" s="1"/>
  <c r="AJ305" i="18"/>
  <c r="AK305" i="18" s="1"/>
  <c r="AJ419" i="18"/>
  <c r="AK419" i="18" s="1"/>
  <c r="AJ49" i="18"/>
  <c r="AK49" i="18" s="1"/>
  <c r="AJ447" i="18"/>
  <c r="AK447" i="18" s="1"/>
  <c r="AJ68" i="18"/>
  <c r="AK68" i="18" s="1"/>
  <c r="AJ71" i="18"/>
  <c r="AK71" i="18" s="1"/>
  <c r="AJ16" i="18"/>
  <c r="AK16" i="18" s="1"/>
  <c r="AJ147" i="18"/>
  <c r="AK147" i="18" s="1"/>
  <c r="AJ218" i="18"/>
  <c r="AK218" i="18" s="1"/>
  <c r="AJ72" i="18"/>
  <c r="AK72" i="18" s="1"/>
  <c r="AJ462" i="18"/>
  <c r="AK462" i="18" s="1"/>
  <c r="AJ185" i="18"/>
  <c r="AK185" i="18" s="1"/>
  <c r="AJ383" i="18"/>
  <c r="AK383" i="18" s="1"/>
  <c r="AJ131" i="18"/>
  <c r="AK131" i="18" s="1"/>
  <c r="AJ194" i="18"/>
  <c r="AK194" i="18" s="1"/>
  <c r="AJ443" i="18"/>
  <c r="AK443" i="18" s="1"/>
  <c r="AJ318" i="18"/>
  <c r="AK318" i="18" s="1"/>
  <c r="AJ132" i="18"/>
  <c r="AK132" i="18" s="1"/>
  <c r="AJ322" i="18"/>
  <c r="AK322" i="18" s="1"/>
  <c r="AJ9" i="18"/>
  <c r="AK9" i="18" s="1"/>
  <c r="AJ463" i="18"/>
  <c r="AK463" i="18" s="1"/>
  <c r="AJ335" i="18"/>
  <c r="AK335" i="18" s="1"/>
  <c r="AJ473" i="18"/>
  <c r="AK473" i="18" s="1"/>
  <c r="AJ277" i="18"/>
  <c r="AK277" i="18" s="1"/>
  <c r="AJ384" i="18"/>
  <c r="AK384" i="18" s="1"/>
  <c r="AJ350" i="18"/>
  <c r="AK350" i="18" s="1"/>
  <c r="AJ411" i="18"/>
  <c r="AK411" i="18" s="1"/>
  <c r="AJ14" i="18"/>
  <c r="AK14" i="18" s="1"/>
  <c r="AJ430" i="18"/>
  <c r="AK430" i="18" s="1"/>
  <c r="AJ359" i="18"/>
  <c r="AK359" i="18" s="1"/>
  <c r="AJ304" i="18"/>
  <c r="AK304" i="18" s="1"/>
  <c r="AJ367" i="18"/>
  <c r="AK367" i="18" s="1"/>
  <c r="AJ364" i="18"/>
  <c r="AK364" i="18" s="1"/>
  <c r="AJ58" i="18"/>
  <c r="AK58" i="18" s="1"/>
  <c r="AJ328" i="18"/>
  <c r="AK328" i="18" s="1"/>
  <c r="AJ136" i="18"/>
  <c r="AK136" i="18" s="1"/>
  <c r="AJ99" i="18"/>
  <c r="AK99" i="18" s="1"/>
  <c r="AJ497" i="18"/>
  <c r="AK497" i="18" s="1"/>
  <c r="AJ67" i="18"/>
  <c r="AK67" i="18" s="1"/>
  <c r="AJ256" i="18"/>
  <c r="AK256" i="18" s="1"/>
  <c r="AJ38" i="18"/>
  <c r="AK38" i="18" s="1"/>
  <c r="AJ133" i="18"/>
  <c r="AK133" i="18" s="1"/>
  <c r="AJ27" i="18"/>
  <c r="AK27" i="18" s="1"/>
  <c r="AJ422" i="18"/>
  <c r="AK422" i="18" s="1"/>
  <c r="AJ239" i="18"/>
  <c r="AK239" i="18" s="1"/>
  <c r="AJ366" i="18"/>
  <c r="AK366" i="18" s="1"/>
  <c r="AJ503" i="18"/>
  <c r="AK503" i="18" s="1"/>
  <c r="AJ113" i="18"/>
  <c r="AK113" i="18" s="1"/>
  <c r="AJ337" i="18"/>
  <c r="AK337" i="18" s="1"/>
  <c r="AJ81" i="18"/>
  <c r="AK81" i="18" s="1"/>
  <c r="AJ295" i="18"/>
  <c r="AK295" i="18" s="1"/>
  <c r="AJ331" i="18"/>
  <c r="AK331" i="18" s="1"/>
  <c r="AJ245" i="18"/>
  <c r="AK245" i="18" s="1"/>
  <c r="AJ118" i="18"/>
  <c r="AK118" i="18" s="1"/>
  <c r="AJ157" i="18"/>
  <c r="AK157" i="18" s="1"/>
  <c r="AJ198" i="18"/>
  <c r="AK198" i="18" s="1"/>
  <c r="AJ101" i="18"/>
  <c r="AK101" i="18" s="1"/>
  <c r="AJ402" i="18"/>
  <c r="AK402" i="18" s="1"/>
  <c r="AJ79" i="18"/>
  <c r="AK79" i="18" s="1"/>
  <c r="AJ323" i="18"/>
  <c r="AK323" i="18" s="1"/>
  <c r="AJ96" i="18"/>
  <c r="AK96" i="18" s="1"/>
  <c r="AJ78" i="18"/>
  <c r="AK78" i="18" s="1"/>
  <c r="AJ224" i="18"/>
  <c r="AK224" i="18" s="1"/>
  <c r="AJ466" i="18"/>
  <c r="AK466" i="18" s="1"/>
  <c r="AJ86" i="18"/>
  <c r="AK86" i="18" s="1"/>
  <c r="AJ22" i="18"/>
  <c r="AK22" i="18" s="1"/>
  <c r="AJ177" i="18"/>
  <c r="AK177" i="18" s="1"/>
  <c r="AJ310" i="18"/>
  <c r="AK310" i="18" s="1"/>
  <c r="AJ349" i="18"/>
  <c r="AK349" i="18" s="1"/>
  <c r="AJ255" i="18"/>
  <c r="AK255" i="18" s="1"/>
  <c r="AJ135" i="18"/>
  <c r="AK135" i="18" s="1"/>
  <c r="AJ243" i="18"/>
  <c r="AK243" i="18" s="1"/>
  <c r="AJ332" i="18"/>
  <c r="AK332" i="18" s="1"/>
  <c r="AJ266" i="18"/>
  <c r="AK266" i="18" s="1"/>
  <c r="AJ374" i="18"/>
  <c r="AK374" i="18" s="1"/>
  <c r="AJ475" i="18"/>
  <c r="AK475" i="18" s="1"/>
  <c r="AJ470" i="18"/>
  <c r="AK470" i="18" s="1"/>
  <c r="AJ253" i="18"/>
  <c r="AK253" i="18" s="1"/>
  <c r="AJ391" i="18"/>
  <c r="AK391" i="18" s="1"/>
  <c r="AJ170" i="18"/>
  <c r="AK170" i="18" s="1"/>
  <c r="AJ33" i="18"/>
  <c r="AK33" i="18" s="1"/>
  <c r="AJ215" i="18"/>
  <c r="AK215" i="18" s="1"/>
  <c r="AJ476" i="18"/>
  <c r="AK476" i="18" s="1"/>
  <c r="AJ356" i="18"/>
  <c r="AK356" i="18" s="1"/>
  <c r="AJ361" i="18"/>
  <c r="AK361" i="18" s="1"/>
  <c r="AJ405" i="18"/>
  <c r="AK405" i="18" s="1"/>
  <c r="AJ37" i="18"/>
  <c r="AK37" i="18" s="1"/>
  <c r="AJ280" i="18"/>
  <c r="AK280" i="18" s="1"/>
  <c r="AJ284" i="18"/>
  <c r="AK284" i="18" s="1"/>
  <c r="AJ348" i="18"/>
  <c r="AK348" i="18" s="1"/>
  <c r="AJ394" i="18"/>
  <c r="AK394" i="18" s="1"/>
  <c r="AJ259" i="18"/>
  <c r="AK259" i="18" s="1"/>
  <c r="AJ73" i="18"/>
  <c r="AK73" i="18" s="1"/>
  <c r="AJ267" i="18"/>
  <c r="AK267" i="18" s="1"/>
  <c r="AJ13" i="18"/>
  <c r="AK13" i="18" s="1"/>
  <c r="AJ355" i="18"/>
  <c r="AK355" i="18" s="1"/>
  <c r="AJ386" i="18"/>
  <c r="AK386" i="18" s="1"/>
  <c r="AJ263" i="18"/>
  <c r="AK263" i="18" s="1"/>
  <c r="AJ373" i="18"/>
  <c r="AK373" i="18" s="1"/>
  <c r="AJ31" i="18"/>
  <c r="AK31" i="18" s="1"/>
  <c r="AJ98" i="18"/>
  <c r="AK98" i="18" s="1"/>
  <c r="AJ160" i="18"/>
  <c r="AK160" i="18" s="1"/>
  <c r="AJ64" i="18"/>
  <c r="AK64" i="18" s="1"/>
  <c r="AJ69" i="18"/>
  <c r="AK69" i="18" s="1"/>
  <c r="AJ480" i="18"/>
  <c r="AK480" i="18" s="1"/>
  <c r="AJ375" i="18"/>
  <c r="AK375" i="18" s="1"/>
  <c r="AJ130" i="18"/>
  <c r="AK130" i="18" s="1"/>
  <c r="AJ306" i="18"/>
  <c r="AK306" i="18" s="1"/>
  <c r="AJ380" i="18"/>
  <c r="AK380" i="18" s="1"/>
  <c r="AJ478" i="18"/>
  <c r="AK478" i="18" s="1"/>
  <c r="AJ149" i="18"/>
  <c r="AK149" i="18" s="1"/>
  <c r="AJ426" i="18"/>
  <c r="AK426" i="18" s="1"/>
  <c r="AJ119" i="18"/>
  <c r="AK119" i="18" s="1"/>
  <c r="AJ400" i="18"/>
  <c r="AK400" i="18" s="1"/>
  <c r="AJ161" i="18"/>
  <c r="AK161" i="18" s="1"/>
  <c r="AJ449" i="18"/>
  <c r="AK449" i="18" s="1"/>
  <c r="AJ108" i="18"/>
  <c r="AK108" i="18" s="1"/>
  <c r="AJ112" i="18"/>
  <c r="AK112" i="18" s="1"/>
  <c r="AJ254" i="18"/>
  <c r="AK254" i="18" s="1"/>
  <c r="AJ456" i="18"/>
  <c r="AK456" i="18" s="1"/>
  <c r="AJ487" i="18"/>
  <c r="AK487" i="18" s="1"/>
  <c r="AJ48" i="18"/>
  <c r="AK48" i="18" s="1"/>
  <c r="AJ297" i="18"/>
  <c r="AK297" i="18" s="1"/>
  <c r="AJ121" i="18"/>
  <c r="AK121" i="18" s="1"/>
  <c r="AJ459" i="18"/>
  <c r="AK459" i="18" s="1"/>
  <c r="AJ506" i="18"/>
  <c r="AK506" i="18" s="1"/>
  <c r="AJ104" i="18"/>
  <c r="AK104" i="18" s="1"/>
  <c r="AJ145" i="18"/>
  <c r="AK145" i="18" s="1"/>
  <c r="AJ143" i="18"/>
  <c r="AK143" i="18" s="1"/>
  <c r="AJ358" i="18"/>
  <c r="AK358" i="18" s="1"/>
  <c r="AJ420" i="18"/>
  <c r="AK420" i="18" s="1"/>
  <c r="AJ76" i="18"/>
  <c r="AK76" i="18" s="1"/>
  <c r="AJ396" i="18"/>
  <c r="AK396" i="18" s="1"/>
  <c r="AJ457" i="18"/>
  <c r="AK457" i="18" s="1"/>
  <c r="AJ141" i="18"/>
  <c r="AK141" i="18" s="1"/>
  <c r="AJ89" i="18"/>
  <c r="AK89" i="18" s="1"/>
  <c r="AJ483" i="18"/>
  <c r="AK483" i="18" s="1"/>
  <c r="AJ236" i="18"/>
  <c r="AK236" i="18" s="1"/>
  <c r="AJ270" i="18"/>
  <c r="AK270" i="18" s="1"/>
  <c r="AJ494" i="18"/>
  <c r="AK494" i="18" s="1"/>
  <c r="AJ223" i="18"/>
  <c r="AK223" i="18" s="1"/>
  <c r="AJ216" i="18"/>
  <c r="AK216" i="18" s="1"/>
  <c r="AJ146" i="18"/>
  <c r="AK146" i="18" s="1"/>
  <c r="AJ20" i="18"/>
  <c r="AK20" i="18" s="1"/>
  <c r="AJ414" i="18"/>
  <c r="AK414" i="18" s="1"/>
  <c r="AJ493" i="18"/>
  <c r="AK493" i="18" s="1"/>
  <c r="AJ153" i="18"/>
  <c r="AK153" i="18" s="1"/>
  <c r="AJ167" i="18"/>
  <c r="AK167" i="18" s="1"/>
  <c r="AJ425" i="18"/>
  <c r="AK425" i="18" s="1"/>
  <c r="AJ18" i="18"/>
  <c r="AK18" i="18" s="1"/>
  <c r="AJ299" i="18"/>
  <c r="AK299" i="18" s="1"/>
  <c r="AJ287" i="18"/>
  <c r="AK287" i="18" s="1"/>
  <c r="AJ273" i="18"/>
  <c r="AK273" i="18" s="1"/>
  <c r="AJ178" i="18"/>
  <c r="AK178" i="18" s="1"/>
  <c r="AJ88" i="18"/>
  <c r="AK88" i="18" s="1"/>
  <c r="AJ45" i="18"/>
  <c r="AK45" i="18" s="1"/>
  <c r="AJ242" i="18"/>
  <c r="AK242" i="18" s="1"/>
  <c r="AJ140" i="18"/>
  <c r="AK140" i="18" s="1"/>
  <c r="AJ28" i="18"/>
  <c r="AK28" i="18" s="1"/>
  <c r="AJ296" i="18"/>
  <c r="AK296" i="18" s="1"/>
  <c r="AJ87" i="18"/>
  <c r="AK87" i="18" s="1"/>
  <c r="AJ320" i="18"/>
  <c r="AK320" i="18" s="1"/>
  <c r="AJ17" i="18"/>
  <c r="AK17" i="18" s="1"/>
  <c r="AJ395" i="18"/>
  <c r="AK395" i="18" s="1"/>
  <c r="AJ357" i="18"/>
  <c r="AK357" i="18" s="1"/>
  <c r="AJ377" i="18"/>
  <c r="AK377" i="18" s="1"/>
  <c r="AJ407" i="18"/>
  <c r="AK407" i="18" s="1"/>
  <c r="AJ111" i="18"/>
  <c r="AK111" i="18" s="1"/>
  <c r="AJ340" i="18"/>
  <c r="AK340" i="18" s="1"/>
  <c r="AJ195" i="18"/>
  <c r="AK195" i="18" s="1"/>
  <c r="AJ460" i="18"/>
  <c r="AK460" i="18" s="1"/>
  <c r="AJ156" i="18"/>
  <c r="AK156" i="18" s="1"/>
  <c r="AJ233" i="18"/>
  <c r="AK233" i="18" s="1"/>
  <c r="AJ437" i="18"/>
  <c r="AK437" i="18" s="1"/>
  <c r="AJ196" i="18"/>
  <c r="AK196" i="18" s="1"/>
  <c r="AJ172" i="18"/>
  <c r="AK172" i="18" s="1"/>
  <c r="AJ180" i="18"/>
  <c r="AK180" i="18" s="1"/>
  <c r="AJ120" i="18"/>
  <c r="AK120" i="18" s="1"/>
  <c r="AJ440" i="18"/>
  <c r="AK440" i="18" s="1"/>
  <c r="AJ327" i="18"/>
  <c r="AK327" i="18" s="1"/>
  <c r="AJ489" i="18"/>
  <c r="AK489" i="18" s="1"/>
  <c r="AJ450" i="18"/>
  <c r="AK450" i="18" s="1"/>
  <c r="AJ346" i="18"/>
  <c r="AK346" i="18" s="1"/>
  <c r="AJ252" i="18"/>
  <c r="AK252" i="18" s="1"/>
  <c r="AJ251" i="18"/>
  <c r="AK251" i="18" s="1"/>
  <c r="AJ97" i="18"/>
  <c r="AK97" i="18" s="1"/>
  <c r="AJ154" i="18"/>
  <c r="AK154" i="18" s="1"/>
  <c r="AJ235" i="18"/>
  <c r="AK235" i="18" s="1"/>
  <c r="AJ105" i="18"/>
  <c r="AK105" i="18" s="1"/>
  <c r="AJ59" i="18"/>
  <c r="AK59" i="18" s="1"/>
  <c r="AJ210" i="18"/>
  <c r="AK210" i="18" s="1"/>
  <c r="AJ458" i="18"/>
  <c r="AK458" i="18" s="1"/>
  <c r="AJ378" i="18"/>
  <c r="AK378" i="18" s="1"/>
  <c r="AJ11" i="18"/>
  <c r="AK11" i="18" s="1"/>
  <c r="AJ442" i="18"/>
  <c r="AK442" i="18" s="1"/>
  <c r="AJ293" i="18"/>
  <c r="AK293" i="18" s="1"/>
  <c r="AJ341" i="18"/>
  <c r="AK341" i="18" s="1"/>
  <c r="AJ262" i="18"/>
  <c r="AK262" i="18" s="1"/>
  <c r="AJ237" i="18"/>
  <c r="AK237" i="18" s="1"/>
  <c r="AJ423" i="18"/>
  <c r="AK423" i="18" s="1"/>
  <c r="AJ499" i="18"/>
  <c r="AK499" i="18" s="1"/>
  <c r="AJ498" i="18"/>
  <c r="AK498" i="18" s="1"/>
  <c r="AJ91" i="18"/>
  <c r="AK91" i="18" s="1"/>
  <c r="AJ66" i="18"/>
  <c r="AK66" i="18" s="1"/>
  <c r="AJ417" i="18"/>
  <c r="AK417" i="18" s="1"/>
  <c r="AJ115" i="18"/>
  <c r="AK115" i="18" s="1"/>
  <c r="AJ272" i="18"/>
  <c r="AK272" i="18" s="1"/>
  <c r="AJ137" i="18"/>
  <c r="AK137" i="18" s="1"/>
  <c r="AJ181" i="18"/>
  <c r="AK181" i="18" s="1"/>
  <c r="AJ412" i="18"/>
  <c r="AK412" i="18" s="1"/>
  <c r="AJ163" i="18"/>
  <c r="AK163" i="18" s="1"/>
  <c r="AJ214" i="18"/>
  <c r="AK214" i="18" s="1"/>
  <c r="AJ32" i="18"/>
  <c r="AK32" i="18" s="1"/>
  <c r="AJ260" i="18"/>
  <c r="AK260" i="18" s="1"/>
  <c r="AJ282" i="18"/>
  <c r="AK282" i="18" s="1"/>
  <c r="AJ202" i="18"/>
  <c r="AK202" i="18" s="1"/>
  <c r="AJ51" i="18"/>
  <c r="AK51" i="18" s="1"/>
  <c r="AJ369" i="18"/>
  <c r="AK369" i="18" s="1"/>
  <c r="AJ212" i="18"/>
  <c r="AK212" i="18" s="1"/>
  <c r="AJ265" i="18"/>
  <c r="AK265" i="18" s="1"/>
  <c r="AJ372" i="18"/>
  <c r="AK372" i="18" s="1"/>
  <c r="AJ471" i="18"/>
  <c r="AK471" i="18" s="1"/>
  <c r="AJ44" i="18"/>
  <c r="AK44" i="18" s="1"/>
  <c r="AJ219" i="18"/>
  <c r="AK219" i="18" s="1"/>
  <c r="AJ474" i="18"/>
  <c r="AK474" i="18" s="1"/>
  <c r="AJ199" i="18"/>
  <c r="AK199" i="18" s="1"/>
  <c r="AJ107" i="18"/>
  <c r="AK107" i="18" s="1"/>
  <c r="AJ446" i="18"/>
  <c r="AK446" i="18" s="1"/>
  <c r="AJ429" i="18"/>
  <c r="AK429" i="18" s="1"/>
  <c r="AJ230" i="18"/>
  <c r="AK230" i="18" s="1"/>
  <c r="AJ165" i="18"/>
  <c r="AK165" i="18" s="1"/>
  <c r="AJ352" i="18"/>
  <c r="AK352" i="18" s="1"/>
  <c r="AJ435" i="18"/>
  <c r="AK435" i="18" s="1"/>
  <c r="AJ249" i="18"/>
  <c r="AK249" i="18" s="1"/>
  <c r="AJ491" i="18"/>
  <c r="AK491" i="18" s="1"/>
  <c r="AJ61" i="18"/>
  <c r="AK61" i="18" s="1"/>
  <c r="AJ155" i="18"/>
  <c r="AK155" i="18" s="1"/>
  <c r="AJ35" i="18"/>
  <c r="AK35" i="18" s="1"/>
  <c r="AJ330" i="18"/>
  <c r="AK330" i="18" s="1"/>
  <c r="AJ436" i="18"/>
  <c r="AK436" i="18" s="1"/>
  <c r="AJ292" i="18"/>
  <c r="AK292" i="18" s="1"/>
  <c r="AJ200" i="18"/>
  <c r="AK200" i="18" s="1"/>
  <c r="AJ314" i="18"/>
  <c r="AK314" i="18" s="1"/>
  <c r="AJ197" i="18"/>
  <c r="AK197" i="18" s="1"/>
  <c r="AJ65" i="18"/>
  <c r="AK65" i="18" s="1"/>
  <c r="AJ94" i="18"/>
  <c r="AK94" i="18" s="1"/>
  <c r="AJ454" i="18"/>
  <c r="AK454" i="18" s="1"/>
  <c r="AJ24" i="18"/>
  <c r="AK24" i="18" s="1"/>
  <c r="AJ129" i="18"/>
  <c r="AK129" i="18" s="1"/>
  <c r="AJ19" i="18"/>
  <c r="AK19" i="18" s="1"/>
  <c r="AJ123" i="18"/>
  <c r="AK123" i="18" s="1"/>
  <c r="AJ393" i="18"/>
  <c r="AK393" i="18" s="1"/>
  <c r="AJ176" i="18"/>
  <c r="AK176" i="18" s="1"/>
  <c r="AJ41" i="18"/>
  <c r="AK41" i="18" s="1"/>
  <c r="AJ453" i="18"/>
  <c r="AK453" i="18" s="1"/>
  <c r="AJ144" i="18"/>
  <c r="AK144" i="18" s="1"/>
  <c r="AJ399" i="18"/>
  <c r="AK399" i="18" s="1"/>
  <c r="AJ271" i="18"/>
  <c r="AK271" i="18" s="1"/>
  <c r="AJ148" i="18"/>
  <c r="AK148" i="18" s="1"/>
  <c r="AJ222" i="18"/>
  <c r="AK222" i="18" s="1"/>
  <c r="AJ134" i="18"/>
  <c r="AK134" i="18" s="1"/>
  <c r="AJ479" i="18"/>
  <c r="AK479" i="18" s="1"/>
  <c r="AJ106" i="18"/>
  <c r="AK106" i="18" s="1"/>
  <c r="AJ403" i="18"/>
  <c r="AK403" i="18" s="1"/>
  <c r="AJ381" i="18"/>
  <c r="AK381" i="18" s="1"/>
  <c r="AJ77" i="18"/>
  <c r="AK77" i="18" s="1"/>
  <c r="AJ229" i="18"/>
  <c r="AK229" i="18" s="1"/>
  <c r="AJ10" i="18"/>
  <c r="AK10" i="18" s="1"/>
  <c r="AJ382" i="18"/>
  <c r="AK382" i="18" s="1"/>
  <c r="AJ315" i="18"/>
  <c r="AK315" i="18" s="1"/>
  <c r="AJ217" i="18"/>
  <c r="AK217" i="18" s="1"/>
  <c r="AJ158" i="18"/>
  <c r="AK158" i="18" s="1"/>
  <c r="AJ21" i="18"/>
  <c r="AK21" i="18" s="1"/>
  <c r="AJ43" i="18"/>
  <c r="AK43" i="18" s="1"/>
  <c r="AJ404" i="18"/>
  <c r="AK404" i="18" s="1"/>
  <c r="AJ504" i="18"/>
  <c r="AK504" i="18" s="1"/>
  <c r="AJ47" i="18"/>
  <c r="AK47" i="18" s="1"/>
  <c r="AJ286" i="18"/>
  <c r="AK286" i="18" s="1"/>
  <c r="AJ333" i="18"/>
  <c r="AK333" i="18" s="1"/>
  <c r="AJ472" i="18"/>
  <c r="AK472" i="18" s="1"/>
  <c r="AJ40" i="18"/>
  <c r="AK40" i="18" s="1"/>
  <c r="AJ336" i="18"/>
  <c r="AK336" i="18" s="1"/>
  <c r="AJ226" i="18"/>
  <c r="AK226" i="18" s="1"/>
  <c r="AJ201" i="18"/>
  <c r="AK201" i="18" s="1"/>
  <c r="AJ257" i="18"/>
  <c r="AK257" i="18" s="1"/>
  <c r="AJ114" i="18"/>
  <c r="AK114" i="18" s="1"/>
  <c r="AJ70" i="18"/>
  <c r="AK70" i="18" s="1"/>
  <c r="AJ34" i="18"/>
  <c r="AK34" i="18" s="1"/>
  <c r="AJ30" i="18"/>
  <c r="AK30" i="18" s="1"/>
  <c r="AJ102" i="18"/>
  <c r="AK102" i="18" s="1"/>
  <c r="AJ211" i="18"/>
  <c r="AK211" i="18" s="1"/>
  <c r="AJ109" i="18"/>
  <c r="AK109" i="18" s="1"/>
  <c r="AJ206" i="18"/>
  <c r="AK206" i="18" s="1"/>
  <c r="AJ276" i="18"/>
  <c r="AK276" i="18" s="1"/>
  <c r="AJ231" i="18"/>
  <c r="AK231" i="18" s="1"/>
  <c r="AJ54" i="18"/>
  <c r="AK54" i="18" s="1"/>
  <c r="AJ152" i="18"/>
  <c r="AK152" i="18" s="1"/>
  <c r="AJ485" i="18"/>
  <c r="AK485" i="18" s="1"/>
  <c r="AJ55" i="18"/>
  <c r="AK55" i="18" s="1"/>
  <c r="AJ57" i="18"/>
  <c r="AK57" i="18" s="1"/>
  <c r="AJ8" i="18"/>
  <c r="AK8" i="18" s="1"/>
  <c r="AJ376" i="18"/>
  <c r="AK376" i="18" s="1"/>
  <c r="AJ127" i="18"/>
  <c r="AK127" i="18" s="1"/>
  <c r="AJ151" i="18"/>
  <c r="AK151" i="18" s="1"/>
  <c r="AJ168" i="18"/>
  <c r="AK168" i="18" s="1"/>
  <c r="AJ303" i="18"/>
  <c r="AK303" i="18" s="1"/>
  <c r="AJ232" i="18"/>
  <c r="AK232" i="18" s="1"/>
  <c r="AJ326" i="18"/>
  <c r="AK326" i="18" s="1"/>
  <c r="AJ95" i="18"/>
  <c r="AK95" i="18" s="1"/>
  <c r="AJ159" i="18"/>
  <c r="AK159" i="18" s="1"/>
  <c r="AJ228" i="18"/>
  <c r="AK228" i="18" s="1"/>
  <c r="AJ183" i="18"/>
  <c r="AK183" i="18" s="1"/>
  <c r="C34" i="31"/>
  <c r="AJ368" i="18"/>
  <c r="AK368" i="18" s="1"/>
  <c r="AJ455" i="18"/>
  <c r="AK455" i="18" s="1"/>
  <c r="AJ39" i="18"/>
  <c r="AK39" i="18" s="1"/>
  <c r="AJ291" i="18"/>
  <c r="AK291" i="18" s="1"/>
  <c r="AJ418" i="18"/>
  <c r="AK418" i="18" s="1"/>
  <c r="AJ390" i="18"/>
  <c r="AK390" i="18" s="1"/>
  <c r="AJ370" i="18"/>
  <c r="AK370" i="18" s="1"/>
  <c r="AJ501" i="18"/>
  <c r="AK501" i="18" s="1"/>
  <c r="AJ124" i="18"/>
  <c r="AK124" i="18" s="1"/>
  <c r="C10" i="31"/>
  <c r="AJ116" i="18"/>
  <c r="AK116" i="18" s="1"/>
  <c r="AJ248" i="18"/>
  <c r="AK248" i="18" s="1"/>
  <c r="AJ421" i="18"/>
  <c r="AK421" i="18" s="1"/>
  <c r="AJ220" i="18"/>
  <c r="AK220" i="18" s="1"/>
  <c r="AJ207" i="18"/>
  <c r="AK207" i="18" s="1"/>
  <c r="AJ477" i="18"/>
  <c r="AK477" i="18" s="1"/>
  <c r="AJ204" i="18"/>
  <c r="AK204" i="18" s="1"/>
  <c r="C82" i="31"/>
  <c r="AJ388" i="18"/>
  <c r="AK388" i="18" s="1"/>
  <c r="AJ488" i="18"/>
  <c r="AK488" i="18" s="1"/>
  <c r="AJ308" i="18"/>
  <c r="AK308" i="18" s="1"/>
  <c r="AJ182" i="18"/>
  <c r="AK182" i="18" s="1"/>
  <c r="AJ484" i="18"/>
  <c r="AK484" i="18" s="1"/>
  <c r="AJ264" i="18"/>
  <c r="AK264" i="18" s="1"/>
  <c r="AJ283" i="18"/>
  <c r="AK283" i="18" s="1"/>
  <c r="AJ452" i="18"/>
  <c r="AK452" i="18" s="1"/>
  <c r="AJ482" i="18"/>
  <c r="AK482" i="18" s="1"/>
  <c r="AJ427" i="18"/>
  <c r="AK427" i="18" s="1"/>
  <c r="AJ234" i="18"/>
  <c r="AK234" i="18" s="1"/>
  <c r="AJ317" i="18"/>
  <c r="AK317" i="18" s="1"/>
  <c r="AJ444" i="18"/>
  <c r="AK444" i="18" s="1"/>
  <c r="AJ439" i="18"/>
  <c r="AK439" i="18" s="1"/>
  <c r="AJ225" i="18"/>
  <c r="AK225" i="18" s="1"/>
  <c r="AJ191" i="18"/>
  <c r="AK191" i="18" s="1"/>
  <c r="AJ244" i="18"/>
  <c r="AK244" i="18" s="1"/>
  <c r="AJ100" i="18"/>
  <c r="AK100" i="18" s="1"/>
  <c r="AJ311" i="18"/>
  <c r="AK311" i="18" s="1"/>
  <c r="AJ238" i="18"/>
  <c r="AK238" i="18" s="1"/>
  <c r="AJ428" i="18"/>
  <c r="AK428" i="18" s="1"/>
  <c r="AJ90" i="18"/>
  <c r="AK90" i="18" s="1"/>
  <c r="AJ139" i="18"/>
  <c r="AK139" i="18" s="1"/>
  <c r="AJ25" i="18"/>
  <c r="AK25" i="18" s="1"/>
  <c r="AJ434" i="18"/>
  <c r="AK434" i="18" s="1"/>
  <c r="AJ354" i="18"/>
  <c r="AK354" i="18" s="1"/>
  <c r="AJ431" i="18"/>
  <c r="AK431" i="18" s="1"/>
  <c r="AJ62" i="18"/>
  <c r="AK62" i="18" s="1"/>
  <c r="AJ316" i="18"/>
  <c r="AK316" i="18" s="1"/>
  <c r="AJ187" i="18"/>
  <c r="AK187" i="18" s="1"/>
  <c r="C62" i="31"/>
  <c r="C66" i="31"/>
  <c r="C86" i="31"/>
  <c r="C74" i="31"/>
  <c r="C18" i="31"/>
  <c r="C50" i="31"/>
  <c r="C54" i="31"/>
  <c r="C78" i="31"/>
  <c r="C70" i="31"/>
  <c r="C14" i="31"/>
  <c r="C22" i="31"/>
  <c r="C26" i="31"/>
  <c r="C42" i="31"/>
  <c r="C30" i="31"/>
  <c r="C38" i="31"/>
  <c r="AJ495" i="18"/>
  <c r="AK495" i="18" s="1"/>
  <c r="AJ445" i="18"/>
  <c r="AK445" i="18" s="1"/>
  <c r="C58" i="31"/>
  <c r="C46" i="31"/>
  <c r="C6" i="31"/>
  <c r="E55" i="27"/>
  <c r="F55" i="27" s="1"/>
  <c r="E67" i="27"/>
  <c r="F67" i="27" s="1"/>
  <c r="E37" i="27"/>
  <c r="F37" i="27" s="1"/>
  <c r="E11" i="27"/>
  <c r="F11" i="27" s="1"/>
  <c r="E40" i="27"/>
  <c r="F40" i="27" s="1"/>
  <c r="E17" i="27"/>
  <c r="F17" i="27" s="1"/>
  <c r="E53" i="27"/>
  <c r="F53" i="27" s="1"/>
  <c r="E56" i="27"/>
  <c r="F56" i="27" s="1"/>
  <c r="E88" i="27"/>
  <c r="F88" i="27" s="1"/>
  <c r="E68" i="27"/>
  <c r="F68" i="27" s="1"/>
  <c r="E71" i="27"/>
  <c r="F71" i="27" s="1"/>
  <c r="E73" i="27"/>
  <c r="F73" i="27" s="1"/>
  <c r="E84" i="27"/>
  <c r="F84" i="27" s="1"/>
  <c r="E25" i="27"/>
  <c r="F25" i="27" s="1"/>
  <c r="E36" i="27"/>
  <c r="F36" i="27" s="1"/>
  <c r="E41" i="27"/>
  <c r="F41" i="27" s="1"/>
  <c r="E85" i="27"/>
  <c r="F85" i="27" s="1"/>
  <c r="E72" i="27"/>
  <c r="F72" i="27" s="1"/>
  <c r="E19" i="27"/>
  <c r="F19" i="27" s="1"/>
  <c r="E24" i="27"/>
  <c r="F24" i="27" s="1"/>
  <c r="E33" i="27"/>
  <c r="F33" i="27" s="1"/>
  <c r="E32" i="27"/>
  <c r="F32" i="27" s="1"/>
  <c r="E51" i="27"/>
  <c r="F51" i="27" s="1"/>
  <c r="E89" i="27"/>
  <c r="F89" i="27" s="1"/>
  <c r="E99" i="27"/>
  <c r="F99" i="27" s="1"/>
  <c r="E101" i="27"/>
  <c r="F101" i="27" s="1"/>
  <c r="E28" i="27"/>
  <c r="F28" i="27" s="1"/>
  <c r="E105" i="27"/>
  <c r="F105" i="27" s="1"/>
  <c r="E87" i="27"/>
  <c r="F87" i="27" s="1"/>
  <c r="E27" i="27"/>
  <c r="F27" i="27" s="1"/>
  <c r="E104" i="27"/>
  <c r="F104" i="27" s="1"/>
  <c r="E10" i="27"/>
  <c r="F10" i="27" s="1"/>
  <c r="E57" i="27"/>
  <c r="F57" i="27" s="1"/>
  <c r="E100" i="27"/>
  <c r="F100" i="27" s="1"/>
  <c r="E31" i="27"/>
  <c r="F31" i="27" s="1"/>
  <c r="E21" i="27"/>
  <c r="F21" i="27" s="1"/>
  <c r="E103" i="27"/>
  <c r="F103" i="27" s="1"/>
  <c r="E39" i="27"/>
  <c r="F39" i="27" s="1"/>
  <c r="E20" i="27"/>
  <c r="F20" i="27" s="1"/>
  <c r="E83" i="27"/>
  <c r="F83" i="27" s="1"/>
  <c r="E23" i="27"/>
  <c r="F23" i="27" s="1"/>
  <c r="E29" i="27"/>
  <c r="F29" i="27" s="1"/>
  <c r="E52" i="27"/>
  <c r="F52" i="27" s="1"/>
  <c r="E69" i="27"/>
  <c r="F69" i="27" s="1"/>
  <c r="E44" i="27"/>
  <c r="F44" i="27" s="1"/>
  <c r="E48" i="27"/>
  <c r="F48" i="27" s="1"/>
  <c r="E91" i="27"/>
  <c r="F91" i="27" s="1"/>
  <c r="E95" i="27"/>
  <c r="F95" i="27" s="1"/>
  <c r="E79" i="27"/>
  <c r="F79" i="27" s="1"/>
  <c r="E47" i="27"/>
  <c r="F47" i="27" s="1"/>
  <c r="E109" i="27"/>
  <c r="F109" i="27" s="1"/>
  <c r="E61" i="27"/>
  <c r="F61" i="27" s="1"/>
  <c r="E112" i="27"/>
  <c r="F112" i="27" s="1"/>
  <c r="E92" i="27"/>
  <c r="F92" i="27" s="1"/>
  <c r="E77" i="27"/>
  <c r="F77" i="27" s="1"/>
  <c r="E63" i="27"/>
  <c r="F63" i="27" s="1"/>
  <c r="E108" i="27"/>
  <c r="F108" i="27" s="1"/>
  <c r="E113" i="27"/>
  <c r="F113" i="27" s="1"/>
  <c r="E97" i="27"/>
  <c r="F97" i="27" s="1"/>
  <c r="E76" i="27"/>
  <c r="F76" i="27" s="1"/>
  <c r="E43" i="27"/>
  <c r="F43" i="27" s="1"/>
  <c r="E111" i="27"/>
  <c r="F111" i="27" s="1"/>
  <c r="E80" i="27"/>
  <c r="F80" i="27" s="1"/>
  <c r="E75" i="27"/>
  <c r="F75" i="27" s="1"/>
  <c r="E64" i="27"/>
  <c r="F64" i="27" s="1"/>
  <c r="E45" i="27"/>
  <c r="F45" i="27" s="1"/>
  <c r="E49" i="27"/>
  <c r="F49" i="27" s="1"/>
  <c r="E96" i="27"/>
  <c r="F96" i="27" s="1"/>
  <c r="E65" i="27"/>
  <c r="F65" i="27" s="1"/>
  <c r="E107" i="27"/>
  <c r="F107" i="27" s="1"/>
  <c r="E81" i="27"/>
  <c r="F81" i="27" s="1"/>
  <c r="E59" i="27"/>
  <c r="F59" i="27" s="1"/>
  <c r="E93" i="27"/>
  <c r="F93" i="27" s="1"/>
  <c r="E60" i="27"/>
  <c r="F60" i="27" s="1"/>
  <c r="F7" i="37"/>
  <c r="M32" i="24" l="1"/>
  <c r="M37" i="24" s="1"/>
  <c r="E32" i="24"/>
  <c r="E37" i="24" s="1"/>
  <c r="N32" i="24"/>
  <c r="N37" i="24" s="1"/>
  <c r="N52" i="24" s="1"/>
  <c r="L32" i="24"/>
  <c r="L37" i="24" s="1"/>
  <c r="L54" i="24"/>
  <c r="L52" i="24"/>
  <c r="E52" i="24"/>
  <c r="E54" i="24"/>
  <c r="F30" i="24"/>
  <c r="F31" i="24"/>
  <c r="F29" i="24"/>
  <c r="G28" i="24"/>
  <c r="J51" i="24"/>
  <c r="K39" i="24"/>
  <c r="K51" i="24" s="1"/>
  <c r="M54" i="24"/>
  <c r="M52" i="24"/>
  <c r="AE7" i="37"/>
  <c r="AG7" i="37"/>
  <c r="AB7" i="37"/>
  <c r="AI7" i="37"/>
  <c r="AH7" i="37"/>
  <c r="AA7" i="37"/>
  <c r="W7" i="37"/>
  <c r="X7" i="37"/>
  <c r="T7" i="37"/>
  <c r="U7" i="37"/>
  <c r="Y7" i="37"/>
  <c r="R7" i="37"/>
  <c r="F8" i="37"/>
  <c r="G7" i="37"/>
  <c r="J7" i="37" s="1"/>
  <c r="F32" i="24" l="1"/>
  <c r="F37" i="24" s="1"/>
  <c r="N54" i="24"/>
  <c r="I14" i="24"/>
  <c r="E58" i="24"/>
  <c r="E60" i="24" s="1"/>
  <c r="I15" i="24"/>
  <c r="E12" i="24"/>
  <c r="E8" i="24" s="1"/>
  <c r="E63" i="24"/>
  <c r="G30" i="24"/>
  <c r="G31" i="24"/>
  <c r="G29" i="24"/>
  <c r="G32" i="24" s="1"/>
  <c r="G37" i="24" s="1"/>
  <c r="H28" i="24"/>
  <c r="F54" i="24"/>
  <c r="F52" i="24"/>
  <c r="L63" i="24"/>
  <c r="L58" i="24"/>
  <c r="L60" i="24" s="1"/>
  <c r="M58" i="24"/>
  <c r="M60" i="24" s="1"/>
  <c r="M63" i="24"/>
  <c r="N63" i="24"/>
  <c r="N58" i="24"/>
  <c r="N60" i="24" s="1"/>
  <c r="AE8" i="37"/>
  <c r="AD8" i="37" s="1"/>
  <c r="AG8" i="37"/>
  <c r="AD7" i="37"/>
  <c r="V7" i="37"/>
  <c r="Z7" i="37"/>
  <c r="AB8" i="37"/>
  <c r="AI8" i="37"/>
  <c r="AH8" i="37"/>
  <c r="AF7" i="37"/>
  <c r="AA8" i="37"/>
  <c r="Y8" i="37"/>
  <c r="X8" i="37"/>
  <c r="W8" i="37"/>
  <c r="U8" i="37"/>
  <c r="T8" i="37"/>
  <c r="R8" i="37"/>
  <c r="F9" i="37"/>
  <c r="G8" i="37"/>
  <c r="AK7" i="37"/>
  <c r="AM7" i="37"/>
  <c r="AN7" i="37" s="1"/>
  <c r="I7" i="37"/>
  <c r="H7" i="37"/>
  <c r="AC7" i="37"/>
  <c r="AJ7" i="37"/>
  <c r="G52" i="24" l="1"/>
  <c r="G54" i="24"/>
  <c r="H30" i="24"/>
  <c r="H31" i="24"/>
  <c r="I28" i="24"/>
  <c r="H29" i="24"/>
  <c r="H32" i="24" s="1"/>
  <c r="H37" i="24" s="1"/>
  <c r="F58" i="24"/>
  <c r="F60" i="24" s="1"/>
  <c r="F63" i="24"/>
  <c r="E10" i="24"/>
  <c r="N14" i="24"/>
  <c r="M14" i="24" s="1"/>
  <c r="D73" i="24"/>
  <c r="N13" i="24"/>
  <c r="L68" i="24"/>
  <c r="L74" i="24"/>
  <c r="L67" i="24"/>
  <c r="L72" i="24" s="1"/>
  <c r="N68" i="24"/>
  <c r="N74" i="24"/>
  <c r="N67" i="24"/>
  <c r="N72" i="24" s="1"/>
  <c r="N75" i="24" s="1"/>
  <c r="M68" i="24"/>
  <c r="M67" i="24"/>
  <c r="M72" i="24" s="1"/>
  <c r="M74" i="24"/>
  <c r="I18" i="24"/>
  <c r="I16" i="24"/>
  <c r="AE9" i="37"/>
  <c r="AD9" i="37" s="1"/>
  <c r="AG9" i="37"/>
  <c r="V8" i="37"/>
  <c r="Z8" i="37"/>
  <c r="AB9" i="37"/>
  <c r="AI9" i="37"/>
  <c r="AH9" i="37"/>
  <c r="AF8" i="37"/>
  <c r="Y9" i="37"/>
  <c r="X9" i="37"/>
  <c r="U9" i="37"/>
  <c r="AA9" i="37"/>
  <c r="T9" i="37"/>
  <c r="W9" i="37"/>
  <c r="R9" i="37"/>
  <c r="G9" i="37"/>
  <c r="F10" i="37"/>
  <c r="J8" i="37"/>
  <c r="I8" i="37"/>
  <c r="H8" i="37"/>
  <c r="AL7" i="37"/>
  <c r="L75" i="24" l="1"/>
  <c r="H54" i="24"/>
  <c r="H52" i="24"/>
  <c r="M13" i="24"/>
  <c r="M75" i="24"/>
  <c r="I30" i="24"/>
  <c r="I29" i="24"/>
  <c r="I31" i="24"/>
  <c r="J28" i="24"/>
  <c r="I22" i="24"/>
  <c r="J20" i="24" s="1"/>
  <c r="N88" i="24"/>
  <c r="L88" i="24"/>
  <c r="G63" i="24"/>
  <c r="J14" i="24"/>
  <c r="J16" i="24" s="1"/>
  <c r="J15" i="24"/>
  <c r="G58" i="24"/>
  <c r="G60" i="24" s="1"/>
  <c r="I19" i="24"/>
  <c r="I21" i="24" s="1"/>
  <c r="I17" i="24"/>
  <c r="AE10" i="37"/>
  <c r="AD10" i="37" s="1"/>
  <c r="AG10" i="37"/>
  <c r="Z9" i="37"/>
  <c r="V9" i="37"/>
  <c r="AB10" i="37"/>
  <c r="AI10" i="37"/>
  <c r="AH10" i="37"/>
  <c r="AF9" i="37"/>
  <c r="U10" i="37"/>
  <c r="AA10" i="37"/>
  <c r="Y10" i="37"/>
  <c r="X10" i="37"/>
  <c r="T10" i="37"/>
  <c r="W10" i="37"/>
  <c r="AC9" i="37"/>
  <c r="AJ9" i="37"/>
  <c r="AM9" i="37"/>
  <c r="AN9" i="37" s="1"/>
  <c r="R10" i="37"/>
  <c r="AK9" i="37"/>
  <c r="AL9" i="37" s="1"/>
  <c r="G10" i="37"/>
  <c r="F11" i="37"/>
  <c r="H9" i="37"/>
  <c r="J9" i="37"/>
  <c r="I9" i="37"/>
  <c r="I32" i="24" l="1"/>
  <c r="I37" i="24" s="1"/>
  <c r="I54" i="24"/>
  <c r="I52" i="24"/>
  <c r="J19" i="24"/>
  <c r="J21" i="24" s="1"/>
  <c r="J17" i="24"/>
  <c r="E64" i="24" s="1"/>
  <c r="J18" i="24"/>
  <c r="M88" i="24"/>
  <c r="J30" i="24"/>
  <c r="J31" i="24"/>
  <c r="J29" i="24"/>
  <c r="J32" i="24" s="1"/>
  <c r="J37" i="24" s="1"/>
  <c r="K28" i="24"/>
  <c r="F64" i="24"/>
  <c r="N8" i="24"/>
  <c r="D66" i="24"/>
  <c r="H63" i="24"/>
  <c r="H58" i="24"/>
  <c r="H60" i="24" s="1"/>
  <c r="AE11" i="37"/>
  <c r="AD11" i="37" s="1"/>
  <c r="AG11" i="37"/>
  <c r="V10" i="37"/>
  <c r="Z10" i="37"/>
  <c r="AF10" i="37"/>
  <c r="AB11" i="37"/>
  <c r="AI11" i="37"/>
  <c r="AH11" i="37"/>
  <c r="AA11" i="37"/>
  <c r="Y11" i="37"/>
  <c r="X11" i="37"/>
  <c r="W11" i="37"/>
  <c r="U11" i="37"/>
  <c r="T11" i="37"/>
  <c r="R11" i="37"/>
  <c r="F12" i="37"/>
  <c r="G11" i="37"/>
  <c r="H10" i="37"/>
  <c r="J10" i="37"/>
  <c r="I10" i="37"/>
  <c r="J52" i="24" l="1"/>
  <c r="J54" i="24"/>
  <c r="K64" i="24"/>
  <c r="J22" i="24"/>
  <c r="K66" i="24" s="1"/>
  <c r="I64" i="24"/>
  <c r="J64" i="24"/>
  <c r="E68" i="24"/>
  <c r="E74" i="24"/>
  <c r="E67" i="24"/>
  <c r="G64" i="24"/>
  <c r="H64" i="24"/>
  <c r="H67" i="24" s="1"/>
  <c r="H72" i="24" s="1"/>
  <c r="M8" i="24"/>
  <c r="K30" i="24"/>
  <c r="K31" i="24"/>
  <c r="K29" i="24"/>
  <c r="G66" i="24"/>
  <c r="G73" i="24"/>
  <c r="F67" i="24"/>
  <c r="F72" i="24" s="1"/>
  <c r="F74" i="24"/>
  <c r="F68" i="24"/>
  <c r="I63" i="24"/>
  <c r="I58" i="24"/>
  <c r="I60" i="24" s="1"/>
  <c r="AE12" i="37"/>
  <c r="AD12" i="37" s="1"/>
  <c r="AG12" i="37"/>
  <c r="V11" i="37"/>
  <c r="Z11" i="37"/>
  <c r="AB12" i="37"/>
  <c r="AI12" i="37"/>
  <c r="AH12" i="37"/>
  <c r="AF11" i="37"/>
  <c r="X12" i="37"/>
  <c r="AA12" i="37"/>
  <c r="W12" i="37"/>
  <c r="U12" i="37"/>
  <c r="Y12" i="37"/>
  <c r="T12" i="37"/>
  <c r="R12" i="37"/>
  <c r="I11" i="37"/>
  <c r="J11" i="37"/>
  <c r="H11" i="37"/>
  <c r="F13" i="37"/>
  <c r="G12" i="37"/>
  <c r="I68" i="24" l="1"/>
  <c r="K32" i="24"/>
  <c r="K37" i="24" s="1"/>
  <c r="K54" i="24" s="1"/>
  <c r="G67" i="24"/>
  <c r="G72" i="24" s="1"/>
  <c r="G74" i="24"/>
  <c r="G68" i="24"/>
  <c r="I74" i="24"/>
  <c r="I67" i="24"/>
  <c r="I72" i="24" s="1"/>
  <c r="I75" i="24" s="1"/>
  <c r="E72" i="24"/>
  <c r="E75" i="24" s="1"/>
  <c r="H68" i="24"/>
  <c r="F75" i="24"/>
  <c r="H74" i="24"/>
  <c r="H75" i="24" s="1"/>
  <c r="J58" i="24"/>
  <c r="J60" i="24" s="1"/>
  <c r="J63" i="24"/>
  <c r="AE13" i="37"/>
  <c r="AD13" i="37" s="1"/>
  <c r="AG13" i="37"/>
  <c r="V12" i="37"/>
  <c r="Z12" i="37"/>
  <c r="AF12" i="37"/>
  <c r="AB13" i="37"/>
  <c r="AH13" i="37"/>
  <c r="AI13" i="37"/>
  <c r="W13" i="37"/>
  <c r="U13" i="37"/>
  <c r="AA13" i="37"/>
  <c r="Y13" i="37"/>
  <c r="X13" i="37"/>
  <c r="T13" i="37"/>
  <c r="AC12" i="37"/>
  <c r="AJ12" i="37"/>
  <c r="R13" i="37"/>
  <c r="AM12" i="37"/>
  <c r="AN12" i="37" s="1"/>
  <c r="AK12" i="37"/>
  <c r="AL12" i="37" s="1"/>
  <c r="I12" i="37"/>
  <c r="H12" i="37"/>
  <c r="J12" i="37"/>
  <c r="F14" i="37"/>
  <c r="G13" i="37"/>
  <c r="G75" i="24" l="1"/>
  <c r="K52" i="24"/>
  <c r="E88" i="24"/>
  <c r="I88" i="24"/>
  <c r="H88" i="24"/>
  <c r="F88" i="24"/>
  <c r="G88" i="24"/>
  <c r="J67" i="24"/>
  <c r="J72" i="24" s="1"/>
  <c r="J74" i="24"/>
  <c r="J68" i="24"/>
  <c r="K65" i="24"/>
  <c r="K63" i="24"/>
  <c r="K58" i="24"/>
  <c r="AE14" i="37"/>
  <c r="AD14" i="37" s="1"/>
  <c r="AG14" i="37"/>
  <c r="Z13" i="37"/>
  <c r="V13" i="37"/>
  <c r="AF13" i="37"/>
  <c r="AB14" i="37"/>
  <c r="AI14" i="37"/>
  <c r="AH14" i="37"/>
  <c r="W14" i="37"/>
  <c r="U14" i="37"/>
  <c r="T14" i="37"/>
  <c r="AA14" i="37"/>
  <c r="X14" i="37"/>
  <c r="Y14" i="37"/>
  <c r="R14" i="37"/>
  <c r="J13" i="37"/>
  <c r="I13" i="37"/>
  <c r="H13" i="37"/>
  <c r="F15" i="37"/>
  <c r="G14" i="37"/>
  <c r="J75" i="24" l="1"/>
  <c r="K68" i="24"/>
  <c r="K74" i="24"/>
  <c r="K67" i="24"/>
  <c r="K72" i="24" s="1"/>
  <c r="N17" i="24"/>
  <c r="M17" i="24" s="1"/>
  <c r="K73" i="24"/>
  <c r="N16" i="24" s="1"/>
  <c r="K59" i="24"/>
  <c r="K60" i="24" s="1"/>
  <c r="J88" i="24"/>
  <c r="AG15" i="37"/>
  <c r="AE15" i="37"/>
  <c r="AD15" i="37" s="1"/>
  <c r="V14" i="37"/>
  <c r="Z14" i="37"/>
  <c r="AB15" i="37"/>
  <c r="AI15" i="37"/>
  <c r="AH15" i="37"/>
  <c r="AF14" i="37"/>
  <c r="W15" i="37"/>
  <c r="U15" i="37"/>
  <c r="T15" i="37"/>
  <c r="Y15" i="37"/>
  <c r="X15" i="37"/>
  <c r="AA15" i="37"/>
  <c r="R15" i="37"/>
  <c r="F16" i="37"/>
  <c r="I14" i="37"/>
  <c r="H14" i="37"/>
  <c r="J14" i="37"/>
  <c r="G15" i="37"/>
  <c r="M16" i="24" l="1"/>
  <c r="N18" i="24"/>
  <c r="K75" i="24"/>
  <c r="AE16" i="37"/>
  <c r="AD16" i="37" s="1"/>
  <c r="AG16" i="37"/>
  <c r="V15" i="37"/>
  <c r="Z15" i="37"/>
  <c r="AB16" i="37"/>
  <c r="AI16" i="37"/>
  <c r="AH16" i="37"/>
  <c r="AF15" i="37"/>
  <c r="Y16" i="37"/>
  <c r="T16" i="37"/>
  <c r="W16" i="37"/>
  <c r="X16" i="37"/>
  <c r="AA16" i="37"/>
  <c r="U16" i="37"/>
  <c r="R16" i="37"/>
  <c r="F17" i="37"/>
  <c r="G16" i="37"/>
  <c r="I16" i="37" s="1"/>
  <c r="H15" i="37"/>
  <c r="J15" i="37"/>
  <c r="I15" i="37"/>
  <c r="K88" i="24" l="1"/>
  <c r="M18" i="24"/>
  <c r="N9" i="24"/>
  <c r="D59" i="24"/>
  <c r="AG17" i="37"/>
  <c r="AE17" i="37"/>
  <c r="AD17" i="37" s="1"/>
  <c r="Z16" i="37"/>
  <c r="V16" i="37"/>
  <c r="AB17" i="37"/>
  <c r="AI17" i="37"/>
  <c r="AH17" i="37"/>
  <c r="AF16" i="37"/>
  <c r="AA17" i="37"/>
  <c r="Y17" i="37"/>
  <c r="X17" i="37"/>
  <c r="W17" i="37"/>
  <c r="T17" i="37"/>
  <c r="U17" i="37"/>
  <c r="R17" i="37"/>
  <c r="H16" i="37"/>
  <c r="J16" i="37"/>
  <c r="G17" i="37"/>
  <c r="F18" i="37"/>
  <c r="L3" i="24" l="1"/>
  <c r="D65" i="24"/>
  <c r="D67" i="24" s="1"/>
  <c r="D60" i="24"/>
  <c r="M9" i="24"/>
  <c r="N11" i="24"/>
  <c r="M11" i="24" s="1"/>
  <c r="AG18" i="37"/>
  <c r="AE18" i="37"/>
  <c r="AD18" i="37" s="1"/>
  <c r="Z17" i="37"/>
  <c r="V17" i="37"/>
  <c r="AB18" i="37"/>
  <c r="AI18" i="37"/>
  <c r="AH18" i="37"/>
  <c r="AF17" i="37"/>
  <c r="AA18" i="37"/>
  <c r="W18" i="37"/>
  <c r="U18" i="37"/>
  <c r="T18" i="37"/>
  <c r="Y18" i="37"/>
  <c r="X18" i="37"/>
  <c r="R18" i="37"/>
  <c r="F19" i="37"/>
  <c r="G18" i="37"/>
  <c r="I17" i="37"/>
  <c r="J17" i="37"/>
  <c r="H17" i="37"/>
  <c r="K3" i="24" l="1"/>
  <c r="J3" i="24"/>
  <c r="J4" i="24"/>
  <c r="D72" i="24"/>
  <c r="D75" i="24" s="1"/>
  <c r="K4" i="24"/>
  <c r="L4" i="24"/>
  <c r="AG19" i="37"/>
  <c r="AE19" i="37"/>
  <c r="AD19" i="37" s="1"/>
  <c r="V18" i="37"/>
  <c r="Z18" i="37"/>
  <c r="AB19" i="37"/>
  <c r="AI19" i="37"/>
  <c r="AH19" i="37"/>
  <c r="AF18" i="37"/>
  <c r="Y19" i="37"/>
  <c r="X19" i="37"/>
  <c r="AA19" i="37"/>
  <c r="U19" i="37"/>
  <c r="T19" i="37"/>
  <c r="W19" i="37"/>
  <c r="AC18" i="37"/>
  <c r="AJ18" i="37"/>
  <c r="AK18" i="37"/>
  <c r="AL18" i="37" s="1"/>
  <c r="AM18" i="37"/>
  <c r="AN18" i="37" s="1"/>
  <c r="R19" i="37"/>
  <c r="F20" i="37"/>
  <c r="G19" i="37"/>
  <c r="J18" i="37"/>
  <c r="I18" i="37"/>
  <c r="H18" i="37"/>
  <c r="D97" i="24" l="1"/>
  <c r="E93" i="24"/>
  <c r="D98" i="24"/>
  <c r="D99" i="24" s="1"/>
  <c r="E87" i="24"/>
  <c r="D88" i="24"/>
  <c r="AG20" i="37"/>
  <c r="AE20" i="37"/>
  <c r="AD20" i="37" s="1"/>
  <c r="Z19" i="37"/>
  <c r="V19" i="37"/>
  <c r="AB20" i="37"/>
  <c r="AC20" i="37" s="1"/>
  <c r="AI20" i="37"/>
  <c r="AH20" i="37"/>
  <c r="AF19" i="37"/>
  <c r="W20" i="37"/>
  <c r="T20" i="37"/>
  <c r="X20" i="37"/>
  <c r="Y20" i="37"/>
  <c r="AA20" i="37"/>
  <c r="U20" i="37"/>
  <c r="V20" i="37" s="1"/>
  <c r="R20" i="37"/>
  <c r="F21" i="37"/>
  <c r="AB21" i="37" s="1"/>
  <c r="G20" i="37"/>
  <c r="H20" i="37" s="1"/>
  <c r="J19" i="37"/>
  <c r="I19" i="37"/>
  <c r="H19" i="37"/>
  <c r="AG21" i="37"/>
  <c r="AE21" i="37"/>
  <c r="AD21" i="37" s="1"/>
  <c r="Z20" i="37"/>
  <c r="Y21" i="37"/>
  <c r="U21" i="37"/>
  <c r="AK20" i="37"/>
  <c r="AL20" i="37" s="1"/>
  <c r="R21" i="37"/>
  <c r="AM20" i="37"/>
  <c r="AN20" i="37" s="1"/>
  <c r="J20" i="37"/>
  <c r="I20" i="37"/>
  <c r="X21" i="37" l="1"/>
  <c r="Z21" i="37" s="1"/>
  <c r="W21" i="37"/>
  <c r="AA21" i="37"/>
  <c r="T21" i="37"/>
  <c r="AF21" i="37"/>
  <c r="AF20" i="37"/>
  <c r="AH21" i="37"/>
  <c r="G21" i="37"/>
  <c r="AI21" i="37"/>
  <c r="F22" i="37"/>
  <c r="AJ20" i="37"/>
  <c r="E89" i="24"/>
  <c r="E90" i="24"/>
  <c r="E91" i="24" s="1"/>
  <c r="F87" i="24" s="1"/>
  <c r="E92" i="24"/>
  <c r="Y22" i="37" l="1"/>
  <c r="T22" i="37"/>
  <c r="W22" i="37"/>
  <c r="U22" i="37"/>
  <c r="G22" i="37"/>
  <c r="R22" i="37"/>
  <c r="AH22" i="37"/>
  <c r="X22" i="37"/>
  <c r="Z22" i="37" s="1"/>
  <c r="AA22" i="37"/>
  <c r="AG22" i="37"/>
  <c r="F23" i="37"/>
  <c r="AE22" i="37"/>
  <c r="AI22" i="37"/>
  <c r="AB22" i="37"/>
  <c r="I21" i="37"/>
  <c r="J21" i="37"/>
  <c r="H21" i="37"/>
  <c r="V21" i="37"/>
  <c r="F90" i="24"/>
  <c r="F89" i="24"/>
  <c r="F93" i="24"/>
  <c r="E95" i="24"/>
  <c r="E98" i="24" s="1"/>
  <c r="E94" i="24"/>
  <c r="E97" i="24" s="1"/>
  <c r="AD22" i="37" l="1"/>
  <c r="AF22" i="37"/>
  <c r="AI23" i="37"/>
  <c r="U23" i="37"/>
  <c r="G23" i="37"/>
  <c r="AH23" i="37"/>
  <c r="AA23" i="37"/>
  <c r="Y23" i="37"/>
  <c r="Y24" i="37" s="1"/>
  <c r="F24" i="37"/>
  <c r="AB23" i="37"/>
  <c r="X23" i="37"/>
  <c r="W23" i="37"/>
  <c r="T23" i="37"/>
  <c r="V23" i="37" s="1"/>
  <c r="R23" i="37"/>
  <c r="AG23" i="37"/>
  <c r="AE23" i="37"/>
  <c r="I22" i="37"/>
  <c r="H22" i="37"/>
  <c r="J22" i="37"/>
  <c r="V22" i="37"/>
  <c r="E99" i="24"/>
  <c r="F92" i="24"/>
  <c r="F91" i="24"/>
  <c r="G87" i="24" s="1"/>
  <c r="R24" i="37" l="1"/>
  <c r="G24" i="37"/>
  <c r="F25" i="37"/>
  <c r="AA24" i="37"/>
  <c r="AI24" i="37"/>
  <c r="U24" i="37"/>
  <c r="AH24" i="37"/>
  <c r="AE24" i="37"/>
  <c r="AG24" i="37"/>
  <c r="W24" i="37"/>
  <c r="T24" i="37"/>
  <c r="V24" i="37" s="1"/>
  <c r="X24" i="37"/>
  <c r="Z24" i="37" s="1"/>
  <c r="Z23" i="37"/>
  <c r="AD23" i="37"/>
  <c r="AF23" i="37"/>
  <c r="I23" i="37"/>
  <c r="H23" i="37"/>
  <c r="J23" i="37"/>
  <c r="AB24" i="37"/>
  <c r="G90" i="24"/>
  <c r="G89" i="24"/>
  <c r="F94" i="24"/>
  <c r="F97" i="24" s="1"/>
  <c r="F95" i="24"/>
  <c r="F98" i="24" s="1"/>
  <c r="G93" i="24"/>
  <c r="AD24" i="37" l="1"/>
  <c r="AF24" i="37"/>
  <c r="X25" i="37"/>
  <c r="W25" i="37"/>
  <c r="U25" i="37"/>
  <c r="R25" i="37"/>
  <c r="AI25" i="37"/>
  <c r="T25" i="37"/>
  <c r="V25" i="37" s="1"/>
  <c r="G25" i="37"/>
  <c r="F26" i="37"/>
  <c r="Y25" i="37"/>
  <c r="AG25" i="37"/>
  <c r="AH25" i="37"/>
  <c r="AE25" i="37"/>
  <c r="AB25" i="37"/>
  <c r="AA25" i="37"/>
  <c r="I24" i="37"/>
  <c r="H24" i="37"/>
  <c r="J24" i="37"/>
  <c r="G92" i="24"/>
  <c r="F99" i="24"/>
  <c r="G91" i="24"/>
  <c r="H87" i="24" s="1"/>
  <c r="AD25" i="37" l="1"/>
  <c r="AF25" i="37"/>
  <c r="I25" i="37"/>
  <c r="J25" i="37"/>
  <c r="H25" i="37"/>
  <c r="AB26" i="37"/>
  <c r="AI26" i="37"/>
  <c r="AH26" i="37"/>
  <c r="AA26" i="37"/>
  <c r="Y26" i="37"/>
  <c r="X26" i="37"/>
  <c r="T26" i="37"/>
  <c r="U26" i="37"/>
  <c r="R26" i="37"/>
  <c r="W26" i="37"/>
  <c r="AG26" i="37"/>
  <c r="AE26" i="37"/>
  <c r="F27" i="37"/>
  <c r="G26" i="37"/>
  <c r="Z25" i="37"/>
  <c r="H90" i="24"/>
  <c r="H89" i="24"/>
  <c r="G94" i="24"/>
  <c r="G97" i="24" s="1"/>
  <c r="G95" i="24"/>
  <c r="G98" i="24" s="1"/>
  <c r="H93" i="24"/>
  <c r="V26" i="37" l="1"/>
  <c r="J26" i="37"/>
  <c r="H26" i="37"/>
  <c r="I26" i="37"/>
  <c r="G27" i="37"/>
  <c r="AB27" i="37"/>
  <c r="AI27" i="37"/>
  <c r="AH27" i="37"/>
  <c r="T27" i="37"/>
  <c r="V27" i="37" s="1"/>
  <c r="U27" i="37"/>
  <c r="W27" i="37"/>
  <c r="AA27" i="37"/>
  <c r="Y27" i="37"/>
  <c r="X27" i="37"/>
  <c r="Z27" i="37" s="1"/>
  <c r="AG27" i="37"/>
  <c r="R27" i="37"/>
  <c r="AE27" i="37"/>
  <c r="F28" i="37"/>
  <c r="Z26" i="37"/>
  <c r="AD26" i="37"/>
  <c r="AF26" i="37"/>
  <c r="H92" i="24"/>
  <c r="G99" i="24"/>
  <c r="H91" i="24"/>
  <c r="I87" i="24" s="1"/>
  <c r="H27" i="37" l="1"/>
  <c r="I27" i="37"/>
  <c r="J27" i="37"/>
  <c r="AB28" i="37"/>
  <c r="AC28" i="37" s="1"/>
  <c r="AI28" i="37"/>
  <c r="AH28" i="37"/>
  <c r="Y28" i="37"/>
  <c r="X28" i="37"/>
  <c r="Z28" i="37" s="1"/>
  <c r="F29" i="37"/>
  <c r="W28" i="37"/>
  <c r="T28" i="37"/>
  <c r="AA28" i="37"/>
  <c r="AE28" i="37"/>
  <c r="U28" i="37"/>
  <c r="G28" i="37"/>
  <c r="AG28" i="37"/>
  <c r="R28" i="37"/>
  <c r="AD27" i="37"/>
  <c r="AF27" i="37"/>
  <c r="I90" i="24"/>
  <c r="I89" i="24"/>
  <c r="I93" i="24"/>
  <c r="H95" i="24"/>
  <c r="H98" i="24" s="1"/>
  <c r="H94" i="24"/>
  <c r="H97" i="24" s="1"/>
  <c r="AD28" i="37" l="1"/>
  <c r="AJ28" i="37"/>
  <c r="AF28" i="37"/>
  <c r="AK28" i="37"/>
  <c r="AL28" i="37" s="1"/>
  <c r="AM28" i="37"/>
  <c r="AN28" i="37" s="1"/>
  <c r="AB29" i="37"/>
  <c r="T29" i="37"/>
  <c r="V29" i="37" s="1"/>
  <c r="X29" i="37"/>
  <c r="Z29" i="37" s="1"/>
  <c r="W29" i="37"/>
  <c r="AE29" i="37"/>
  <c r="AG29" i="37"/>
  <c r="F30" i="37"/>
  <c r="AI29" i="37"/>
  <c r="G29" i="37"/>
  <c r="AH29" i="37"/>
  <c r="R29" i="37"/>
  <c r="AA29" i="37"/>
  <c r="Y29" i="37"/>
  <c r="U29" i="37"/>
  <c r="V28" i="37"/>
  <c r="J28" i="37"/>
  <c r="I28" i="37"/>
  <c r="H28" i="37"/>
  <c r="H99" i="24"/>
  <c r="I92" i="24"/>
  <c r="I91" i="24"/>
  <c r="J87" i="24" s="1"/>
  <c r="AD29" i="37" l="1"/>
  <c r="AF29" i="37"/>
  <c r="H29" i="37"/>
  <c r="I29" i="37"/>
  <c r="J29" i="37"/>
  <c r="AI30" i="37"/>
  <c r="AA30" i="37"/>
  <c r="Y30" i="37"/>
  <c r="W30" i="37"/>
  <c r="U30" i="37"/>
  <c r="X30" i="37"/>
  <c r="Z30" i="37" s="1"/>
  <c r="AE30" i="37"/>
  <c r="T30" i="37"/>
  <c r="AG30" i="37"/>
  <c r="F31" i="37"/>
  <c r="R30" i="37"/>
  <c r="AH30" i="37"/>
  <c r="G30" i="37"/>
  <c r="AB30" i="37"/>
  <c r="AC30" i="37" s="1"/>
  <c r="J93" i="24"/>
  <c r="I95" i="24"/>
  <c r="I98" i="24" s="1"/>
  <c r="I94" i="24"/>
  <c r="I97" i="24" s="1"/>
  <c r="J89" i="24"/>
  <c r="J90" i="24"/>
  <c r="AD30" i="37" l="1"/>
  <c r="AJ30" i="37"/>
  <c r="AF30" i="37"/>
  <c r="AK30" i="37"/>
  <c r="AL30" i="37" s="1"/>
  <c r="AM30" i="37"/>
  <c r="AN30" i="37" s="1"/>
  <c r="V30" i="37"/>
  <c r="J30" i="37"/>
  <c r="H30" i="37"/>
  <c r="I30" i="37"/>
  <c r="AB31" i="37"/>
  <c r="AC31" i="37" s="1"/>
  <c r="G31" i="37"/>
  <c r="AH31" i="37"/>
  <c r="F32" i="37"/>
  <c r="W31" i="37"/>
  <c r="AE31" i="37"/>
  <c r="AI31" i="37"/>
  <c r="X31" i="37"/>
  <c r="R31" i="37"/>
  <c r="AG31" i="37"/>
  <c r="U31" i="37"/>
  <c r="Y31" i="37"/>
  <c r="AA31" i="37"/>
  <c r="T31" i="37"/>
  <c r="V31" i="37" s="1"/>
  <c r="J91" i="24"/>
  <c r="K87" i="24" s="1"/>
  <c r="I99" i="24"/>
  <c r="J92" i="24"/>
  <c r="F37" i="37"/>
  <c r="K93" i="24" l="1"/>
  <c r="K92" i="24" s="1"/>
  <c r="AB32" i="37"/>
  <c r="F33" i="37"/>
  <c r="X32" i="37"/>
  <c r="AE32" i="37"/>
  <c r="AI32" i="37"/>
  <c r="AH32" i="37"/>
  <c r="G32" i="37"/>
  <c r="Y32" i="37"/>
  <c r="U32" i="37"/>
  <c r="R32" i="37"/>
  <c r="T32" i="37"/>
  <c r="W32" i="37"/>
  <c r="AA32" i="37"/>
  <c r="AG32" i="37"/>
  <c r="J31" i="37"/>
  <c r="H31" i="37"/>
  <c r="I31" i="37"/>
  <c r="Z31" i="37"/>
  <c r="AD31" i="37"/>
  <c r="AK31" i="37"/>
  <c r="AL31" i="37" s="1"/>
  <c r="AM31" i="37"/>
  <c r="AN31" i="37" s="1"/>
  <c r="AF31" i="37"/>
  <c r="AJ31" i="37"/>
  <c r="J95" i="24"/>
  <c r="J98" i="24" s="1"/>
  <c r="J94" i="24"/>
  <c r="J97" i="24" s="1"/>
  <c r="J99" i="24" s="1"/>
  <c r="K89" i="24"/>
  <c r="K90" i="24"/>
  <c r="F38" i="37"/>
  <c r="H32" i="37" l="1"/>
  <c r="I32" i="37"/>
  <c r="J32" i="37"/>
  <c r="V32" i="37"/>
  <c r="AD32" i="37"/>
  <c r="AF32" i="37"/>
  <c r="Z32" i="37"/>
  <c r="AB33" i="37"/>
  <c r="AH33" i="37"/>
  <c r="T33" i="37"/>
  <c r="V33" i="37" s="1"/>
  <c r="R33" i="37"/>
  <c r="AA33" i="37"/>
  <c r="AG33" i="37"/>
  <c r="AI33" i="37"/>
  <c r="G33" i="37"/>
  <c r="U33" i="37"/>
  <c r="W33" i="37"/>
  <c r="Y33" i="37"/>
  <c r="X33" i="37"/>
  <c r="Z33" i="37" s="1"/>
  <c r="AE33" i="37"/>
  <c r="F34" i="37"/>
  <c r="K91" i="24"/>
  <c r="AG38" i="37"/>
  <c r="AE38" i="37"/>
  <c r="AD38" i="37" s="1"/>
  <c r="AB38" i="37"/>
  <c r="AI38" i="37"/>
  <c r="AH38" i="37"/>
  <c r="U38" i="37"/>
  <c r="W38" i="37"/>
  <c r="Y38" i="37"/>
  <c r="X38" i="37"/>
  <c r="T38" i="37"/>
  <c r="AA38" i="37"/>
  <c r="R38" i="37"/>
  <c r="F39" i="37"/>
  <c r="G38" i="37"/>
  <c r="H38" i="37" s="1"/>
  <c r="AC33" i="37" l="1"/>
  <c r="AD33" i="37"/>
  <c r="AM33" i="37"/>
  <c r="AN33" i="37" s="1"/>
  <c r="AK33" i="37"/>
  <c r="AL33" i="37" s="1"/>
  <c r="AJ33" i="37"/>
  <c r="AF33" i="37"/>
  <c r="AB34" i="37"/>
  <c r="R34" i="37"/>
  <c r="AH34" i="37"/>
  <c r="F35" i="37"/>
  <c r="W34" i="37"/>
  <c r="AG34" i="37"/>
  <c r="AE34" i="37"/>
  <c r="AI34" i="37"/>
  <c r="AA34" i="37"/>
  <c r="G34" i="37"/>
  <c r="X34" i="37"/>
  <c r="T34" i="37"/>
  <c r="U34" i="37"/>
  <c r="Y34" i="37"/>
  <c r="I33" i="37"/>
  <c r="J33" i="37"/>
  <c r="H33" i="37"/>
  <c r="L87" i="24"/>
  <c r="K95" i="24"/>
  <c r="K98" i="24" s="1"/>
  <c r="K94" i="24"/>
  <c r="K97" i="24" s="1"/>
  <c r="AG39" i="37"/>
  <c r="AE39" i="37"/>
  <c r="AD39" i="37" s="1"/>
  <c r="V38" i="37"/>
  <c r="Z38" i="37"/>
  <c r="AB39" i="37"/>
  <c r="AH39" i="37"/>
  <c r="AI39" i="37"/>
  <c r="AF38" i="37"/>
  <c r="U39" i="37"/>
  <c r="AA39" i="37"/>
  <c r="Y39" i="37"/>
  <c r="T39" i="37"/>
  <c r="W39" i="37"/>
  <c r="X39" i="37"/>
  <c r="AJ38" i="37"/>
  <c r="AC38" i="37"/>
  <c r="I38" i="37"/>
  <c r="J38" i="37"/>
  <c r="F40" i="37"/>
  <c r="R39" i="37"/>
  <c r="G39" i="37"/>
  <c r="J39" i="37" s="1"/>
  <c r="AK38" i="37"/>
  <c r="AL38" i="37" s="1"/>
  <c r="AM38" i="37"/>
  <c r="AN38" i="37" s="1"/>
  <c r="AD34" i="37" l="1"/>
  <c r="AF34" i="37"/>
  <c r="AB35" i="37"/>
  <c r="AH35" i="37"/>
  <c r="AI35" i="37"/>
  <c r="AA35" i="37"/>
  <c r="Y35" i="37"/>
  <c r="W35" i="37"/>
  <c r="AE35" i="37"/>
  <c r="F36" i="37"/>
  <c r="G35" i="37"/>
  <c r="X35" i="37"/>
  <c r="Z35" i="37" s="1"/>
  <c r="U35" i="37"/>
  <c r="AG35" i="37"/>
  <c r="T35" i="37"/>
  <c r="R35" i="37"/>
  <c r="Z34" i="37"/>
  <c r="V34" i="37"/>
  <c r="H34" i="37"/>
  <c r="J34" i="37"/>
  <c r="I34" i="37"/>
  <c r="K99" i="24"/>
  <c r="L89" i="24"/>
  <c r="L90" i="24"/>
  <c r="AG40" i="37"/>
  <c r="AE40" i="37"/>
  <c r="AD40" i="37" s="1"/>
  <c r="Z39" i="37"/>
  <c r="V39" i="37"/>
  <c r="AB40" i="37"/>
  <c r="AI40" i="37"/>
  <c r="AH40" i="37"/>
  <c r="AF39" i="37"/>
  <c r="AA40" i="37"/>
  <c r="Y40" i="37"/>
  <c r="X40" i="37"/>
  <c r="U40" i="37"/>
  <c r="T40" i="37"/>
  <c r="W40" i="37"/>
  <c r="H39" i="37"/>
  <c r="I39" i="37"/>
  <c r="G40" i="37"/>
  <c r="I40" i="37" s="1"/>
  <c r="F41" i="37"/>
  <c r="R40" i="37"/>
  <c r="AE36" i="37" l="1"/>
  <c r="Y36" i="37"/>
  <c r="T36" i="37"/>
  <c r="T37" i="37" s="1"/>
  <c r="AG36" i="37"/>
  <c r="G36" i="37"/>
  <c r="W36" i="37"/>
  <c r="W37" i="37" s="1"/>
  <c r="AB36" i="37"/>
  <c r="AC36" i="37" s="1"/>
  <c r="R36" i="37"/>
  <c r="AI36" i="37"/>
  <c r="AI37" i="37" s="1"/>
  <c r="AH36" i="37"/>
  <c r="AH37" i="37" s="1"/>
  <c r="U36" i="37"/>
  <c r="U37" i="37" s="1"/>
  <c r="X36" i="37"/>
  <c r="Z36" i="37" s="1"/>
  <c r="AA36" i="37"/>
  <c r="Y37" i="37" s="1"/>
  <c r="AE37" i="37"/>
  <c r="R37" i="37"/>
  <c r="AG37" i="37"/>
  <c r="G37" i="37"/>
  <c r="AD35" i="37"/>
  <c r="AF35" i="37"/>
  <c r="I35" i="37"/>
  <c r="J35" i="37"/>
  <c r="H35" i="37"/>
  <c r="V35" i="37"/>
  <c r="L91" i="24"/>
  <c r="AE41" i="37"/>
  <c r="AD41" i="37" s="1"/>
  <c r="AG41" i="37"/>
  <c r="Z40" i="37"/>
  <c r="V40" i="37"/>
  <c r="AF40" i="37"/>
  <c r="AB41" i="37"/>
  <c r="AI41" i="37"/>
  <c r="AH41" i="37"/>
  <c r="AA41" i="37"/>
  <c r="Y41" i="37"/>
  <c r="X41" i="37"/>
  <c r="W41" i="37"/>
  <c r="T41" i="37"/>
  <c r="U41" i="37"/>
  <c r="J40" i="37"/>
  <c r="H40" i="37"/>
  <c r="R41" i="37"/>
  <c r="F42" i="37"/>
  <c r="G41" i="37"/>
  <c r="J41" i="37" s="1"/>
  <c r="V37" i="37" l="1"/>
  <c r="J37" i="37"/>
  <c r="H37" i="37"/>
  <c r="I37" i="37"/>
  <c r="AA37" i="37"/>
  <c r="X37" i="37"/>
  <c r="Z37" i="37" s="1"/>
  <c r="I36" i="37"/>
  <c r="J36" i="37"/>
  <c r="H36" i="37"/>
  <c r="AB37" i="37"/>
  <c r="V36" i="37"/>
  <c r="AD37" i="37"/>
  <c r="AF37" i="37"/>
  <c r="AD36" i="37"/>
  <c r="AJ36" i="37"/>
  <c r="AF36" i="37"/>
  <c r="AM36" i="37"/>
  <c r="AN36" i="37" s="1"/>
  <c r="AK36" i="37"/>
  <c r="AL36" i="37" s="1"/>
  <c r="L94" i="24"/>
  <c r="L97" i="24" s="1"/>
  <c r="L95" i="24"/>
  <c r="L98" i="24" s="1"/>
  <c r="M87" i="24"/>
  <c r="AE42" i="37"/>
  <c r="AD42" i="37" s="1"/>
  <c r="AG42" i="37"/>
  <c r="Z41" i="37"/>
  <c r="V41" i="37"/>
  <c r="AB42" i="37"/>
  <c r="AI42" i="37"/>
  <c r="AH42" i="37"/>
  <c r="AF41" i="37"/>
  <c r="X42" i="37"/>
  <c r="W42" i="37"/>
  <c r="AA42" i="37"/>
  <c r="Y42" i="37"/>
  <c r="T42" i="37"/>
  <c r="U42" i="37"/>
  <c r="G42" i="37"/>
  <c r="H42" i="37" s="1"/>
  <c r="F43" i="37"/>
  <c r="R42" i="37"/>
  <c r="I41" i="37"/>
  <c r="H41" i="37"/>
  <c r="L99" i="24" l="1"/>
  <c r="M89" i="24"/>
  <c r="M90" i="24"/>
  <c r="AE43" i="37"/>
  <c r="AD43" i="37" s="1"/>
  <c r="AG43" i="37"/>
  <c r="V42" i="37"/>
  <c r="Z42" i="37"/>
  <c r="AB43" i="37"/>
  <c r="AI43" i="37"/>
  <c r="AH43" i="37"/>
  <c r="AF42" i="37"/>
  <c r="U43" i="37"/>
  <c r="X43" i="37"/>
  <c r="W43" i="37"/>
  <c r="T43" i="37"/>
  <c r="AA43" i="37"/>
  <c r="Y43" i="37"/>
  <c r="G43" i="37"/>
  <c r="J43" i="37" s="1"/>
  <c r="F44" i="37"/>
  <c r="J42" i="37"/>
  <c r="I42" i="37"/>
  <c r="R43" i="37"/>
  <c r="M91" i="24" l="1"/>
  <c r="AE44" i="37"/>
  <c r="AD44" i="37" s="1"/>
  <c r="AG44" i="37"/>
  <c r="V43" i="37"/>
  <c r="Z43" i="37"/>
  <c r="AB44" i="37"/>
  <c r="AI44" i="37"/>
  <c r="AH44" i="37"/>
  <c r="AF43" i="37"/>
  <c r="U44" i="37"/>
  <c r="Y44" i="37"/>
  <c r="W44" i="37"/>
  <c r="T44" i="37"/>
  <c r="AA44" i="37"/>
  <c r="X44" i="37"/>
  <c r="H43" i="37"/>
  <c r="I43" i="37"/>
  <c r="AC43" i="37"/>
  <c r="F45" i="37"/>
  <c r="G44" i="37"/>
  <c r="I44" i="37" s="1"/>
  <c r="R44" i="37"/>
  <c r="AJ43" i="37"/>
  <c r="AK43" i="37"/>
  <c r="AL43" i="37" s="1"/>
  <c r="AM43" i="37"/>
  <c r="AN43" i="37" s="1"/>
  <c r="N87" i="24" l="1"/>
  <c r="M94" i="24"/>
  <c r="M97" i="24" s="1"/>
  <c r="M95" i="24"/>
  <c r="M98" i="24" s="1"/>
  <c r="AE45" i="37"/>
  <c r="AD45" i="37" s="1"/>
  <c r="AG45" i="37"/>
  <c r="V44" i="37"/>
  <c r="Z44" i="37"/>
  <c r="AB45" i="37"/>
  <c r="AI45" i="37"/>
  <c r="AH45" i="37"/>
  <c r="AF44" i="37"/>
  <c r="W45" i="37"/>
  <c r="Y45" i="37"/>
  <c r="T45" i="37"/>
  <c r="X45" i="37"/>
  <c r="AA45" i="37"/>
  <c r="U45" i="37"/>
  <c r="J44" i="37"/>
  <c r="H44" i="37"/>
  <c r="F46" i="37"/>
  <c r="G45" i="37"/>
  <c r="H45" i="37" s="1"/>
  <c r="R45" i="37"/>
  <c r="M99" i="24" l="1"/>
  <c r="N90" i="24"/>
  <c r="N89" i="24"/>
  <c r="AE46" i="37"/>
  <c r="AD46" i="37" s="1"/>
  <c r="AG46" i="37"/>
  <c r="Z45" i="37"/>
  <c r="V45" i="37"/>
  <c r="AC45" i="37"/>
  <c r="AI46" i="37"/>
  <c r="AH46" i="37"/>
  <c r="AF45" i="37"/>
  <c r="R46" i="37"/>
  <c r="AB46" i="37"/>
  <c r="F47" i="37"/>
  <c r="I45" i="37"/>
  <c r="G46" i="37"/>
  <c r="I46" i="37" s="1"/>
  <c r="W46" i="37"/>
  <c r="Y46" i="37"/>
  <c r="X46" i="37"/>
  <c r="AA46" i="37"/>
  <c r="T46" i="37"/>
  <c r="U46" i="37"/>
  <c r="J45" i="37"/>
  <c r="AJ45" i="37"/>
  <c r="AM45" i="37"/>
  <c r="AN45" i="37" s="1"/>
  <c r="AK45" i="37"/>
  <c r="AL45" i="37" s="1"/>
  <c r="N91" i="24" l="1"/>
  <c r="G47" i="37"/>
  <c r="I47" i="37" s="1"/>
  <c r="AG47" i="37"/>
  <c r="AE47" i="37"/>
  <c r="AD47" i="37" s="1"/>
  <c r="Z46" i="37"/>
  <c r="V46" i="37"/>
  <c r="F48" i="37"/>
  <c r="AB48" i="37" s="1"/>
  <c r="H46" i="37"/>
  <c r="J46" i="37"/>
  <c r="AB47" i="37"/>
  <c r="AI47" i="37"/>
  <c r="AH47" i="37"/>
  <c r="R47" i="37"/>
  <c r="AF46" i="37"/>
  <c r="AA47" i="37"/>
  <c r="W47" i="37"/>
  <c r="Y47" i="37"/>
  <c r="T47" i="37"/>
  <c r="X47" i="37"/>
  <c r="U47" i="37"/>
  <c r="J47" i="37"/>
  <c r="H47" i="37"/>
  <c r="AI48" i="37" l="1"/>
  <c r="AH48" i="37"/>
  <c r="N94" i="24"/>
  <c r="N95" i="24"/>
  <c r="N98" i="24" s="1"/>
  <c r="N97" i="24"/>
  <c r="X48" i="37"/>
  <c r="AG48" i="37"/>
  <c r="AE48" i="37"/>
  <c r="AD48" i="37" s="1"/>
  <c r="U48" i="37"/>
  <c r="Y48" i="37"/>
  <c r="Z48" i="37" s="1"/>
  <c r="R48" i="37"/>
  <c r="AC48" i="37" s="1"/>
  <c r="F49" i="37"/>
  <c r="AI49" i="37" s="1"/>
  <c r="G48" i="37"/>
  <c r="J48" i="37" s="1"/>
  <c r="T48" i="37"/>
  <c r="AA48" i="37"/>
  <c r="W48" i="37"/>
  <c r="Z47" i="37"/>
  <c r="V47" i="37"/>
  <c r="AC47" i="37"/>
  <c r="AM47" i="37"/>
  <c r="AN47" i="37" s="1"/>
  <c r="AK47" i="37"/>
  <c r="AL47" i="37" s="1"/>
  <c r="AF47" i="37"/>
  <c r="AJ47" i="37"/>
  <c r="N4" i="24" l="1"/>
  <c r="N99" i="24"/>
  <c r="M4" i="24"/>
  <c r="W49" i="37"/>
  <c r="G49" i="37"/>
  <c r="J49" i="37" s="1"/>
  <c r="AA49" i="37"/>
  <c r="Y49" i="37"/>
  <c r="R49" i="37"/>
  <c r="H48" i="37"/>
  <c r="T49" i="37"/>
  <c r="X49" i="37"/>
  <c r="Z49" i="37" s="1"/>
  <c r="AH49" i="37"/>
  <c r="F50" i="37"/>
  <c r="T50" i="37" s="1"/>
  <c r="I48" i="37"/>
  <c r="U49" i="37"/>
  <c r="AF48" i="37"/>
  <c r="AK48" i="37"/>
  <c r="AL48" i="37" s="1"/>
  <c r="AB49" i="37"/>
  <c r="AG49" i="37"/>
  <c r="AE49" i="37"/>
  <c r="AD49" i="37" s="1"/>
  <c r="AM48" i="37"/>
  <c r="AN48" i="37" s="1"/>
  <c r="AJ48" i="37"/>
  <c r="V48" i="37"/>
  <c r="AI50" i="37"/>
  <c r="R50" i="37"/>
  <c r="AB50" i="37"/>
  <c r="I49" i="37"/>
  <c r="H49" i="37"/>
  <c r="AH50" i="37" l="1"/>
  <c r="AG50" i="37"/>
  <c r="AA50" i="37"/>
  <c r="AE50" i="37"/>
  <c r="AD50" i="37" s="1"/>
  <c r="U50" i="37"/>
  <c r="V50" i="37" s="1"/>
  <c r="W50" i="37"/>
  <c r="F51" i="37"/>
  <c r="Y51" i="37" s="1"/>
  <c r="V49" i="37"/>
  <c r="AC49" i="37"/>
  <c r="AM49" i="37"/>
  <c r="AN49" i="37" s="1"/>
  <c r="X50" i="37"/>
  <c r="Y50" i="37"/>
  <c r="G50" i="37"/>
  <c r="H50" i="37" s="1"/>
  <c r="AK49" i="37"/>
  <c r="AL49" i="37" s="1"/>
  <c r="AJ49" i="37"/>
  <c r="AF49" i="37"/>
  <c r="AH51" i="37"/>
  <c r="AI51" i="37"/>
  <c r="AF50" i="37"/>
  <c r="R51" i="37"/>
  <c r="AA51" i="37"/>
  <c r="AB51" i="37"/>
  <c r="G51" i="37"/>
  <c r="J51" i="37" s="1"/>
  <c r="X51" i="37"/>
  <c r="I50" i="37" l="1"/>
  <c r="T51" i="37"/>
  <c r="V51" i="37" s="1"/>
  <c r="W51" i="37"/>
  <c r="W52" i="37" s="1"/>
  <c r="F52" i="37"/>
  <c r="AA52" i="37" s="1"/>
  <c r="J50" i="37"/>
  <c r="U51" i="37"/>
  <c r="AE51" i="37"/>
  <c r="AD51" i="37" s="1"/>
  <c r="AG51" i="37"/>
  <c r="Z50" i="37"/>
  <c r="AG52" i="37"/>
  <c r="Z51" i="37"/>
  <c r="I51" i="37"/>
  <c r="H51" i="37"/>
  <c r="U52" i="37"/>
  <c r="T52" i="37"/>
  <c r="AB52" i="37"/>
  <c r="X52" i="37" l="1"/>
  <c r="AH52" i="37"/>
  <c r="AI52" i="37"/>
  <c r="G52" i="37"/>
  <c r="R52" i="37"/>
  <c r="F53" i="37"/>
  <c r="AF51" i="37"/>
  <c r="AE52" i="37"/>
  <c r="Y52" i="37"/>
  <c r="V52" i="37"/>
  <c r="J52" i="37" l="1"/>
  <c r="H52" i="37"/>
  <c r="I52" i="37"/>
  <c r="Y53" i="37"/>
  <c r="U53" i="37"/>
  <c r="X53" i="37"/>
  <c r="Z53" i="37" s="1"/>
  <c r="T53" i="37"/>
  <c r="V53" i="37" s="1"/>
  <c r="W53" i="37"/>
  <c r="AA53" i="37"/>
  <c r="R53" i="37"/>
  <c r="AG53" i="37"/>
  <c r="F54" i="37"/>
  <c r="AB53" i="37"/>
  <c r="AC53" i="37" s="1"/>
  <c r="AH53" i="37"/>
  <c r="AE53" i="37"/>
  <c r="AI53" i="37"/>
  <c r="G53" i="37"/>
  <c r="Z52" i="37"/>
  <c r="AF52" i="37"/>
  <c r="AD52" i="37"/>
  <c r="AI54" i="37" l="1"/>
  <c r="F55" i="37"/>
  <c r="AH54" i="37"/>
  <c r="G54" i="37"/>
  <c r="W54" i="37"/>
  <c r="U54" i="37"/>
  <c r="Y54" i="37"/>
  <c r="X54" i="37"/>
  <c r="Z54" i="37" s="1"/>
  <c r="AE54" i="37"/>
  <c r="R54" i="37"/>
  <c r="T54" i="37"/>
  <c r="V54" i="37" s="1"/>
  <c r="AA54" i="37"/>
  <c r="AG54" i="37"/>
  <c r="AB54" i="37"/>
  <c r="AC54" i="37" s="1"/>
  <c r="J53" i="37"/>
  <c r="H53" i="37"/>
  <c r="I53" i="37"/>
  <c r="AD53" i="37"/>
  <c r="AM53" i="37"/>
  <c r="AN53" i="37" s="1"/>
  <c r="AF53" i="37"/>
  <c r="AJ53" i="37"/>
  <c r="AK53" i="37"/>
  <c r="AL53" i="37" s="1"/>
  <c r="AD54" i="37" l="1"/>
  <c r="AK54" i="37"/>
  <c r="AL54" i="37" s="1"/>
  <c r="AJ54" i="37"/>
  <c r="AM54" i="37"/>
  <c r="AN54" i="37" s="1"/>
  <c r="AF54" i="37"/>
  <c r="H54" i="37"/>
  <c r="J54" i="37"/>
  <c r="I54" i="37"/>
  <c r="T55" i="37"/>
  <c r="V55" i="37" s="1"/>
  <c r="F56" i="37"/>
  <c r="AH55" i="37"/>
  <c r="AA55" i="37"/>
  <c r="G55" i="37"/>
  <c r="Y55" i="37"/>
  <c r="X55" i="37"/>
  <c r="AG55" i="37"/>
  <c r="W55" i="37"/>
  <c r="AE55" i="37"/>
  <c r="U55" i="37"/>
  <c r="R55" i="37"/>
  <c r="AB55" i="37"/>
  <c r="AC55" i="37" s="1"/>
  <c r="AI55" i="37"/>
  <c r="H55" i="37" l="1"/>
  <c r="I55" i="37"/>
  <c r="J55" i="37"/>
  <c r="AH56" i="37"/>
  <c r="F57" i="37"/>
  <c r="AI56" i="37"/>
  <c r="Y56" i="37"/>
  <c r="T56" i="37"/>
  <c r="AA56" i="37"/>
  <c r="AG56" i="37"/>
  <c r="X56" i="37"/>
  <c r="Z56" i="37" s="1"/>
  <c r="U56" i="37"/>
  <c r="AB56" i="37"/>
  <c r="G56" i="37"/>
  <c r="W56" i="37"/>
  <c r="AE56" i="37"/>
  <c r="R56" i="37"/>
  <c r="AD55" i="37"/>
  <c r="AJ55" i="37"/>
  <c r="AM55" i="37"/>
  <c r="AN55" i="37" s="1"/>
  <c r="AF55" i="37"/>
  <c r="AK55" i="37"/>
  <c r="AL55" i="37" s="1"/>
  <c r="Z55" i="37"/>
  <c r="I56" i="37" l="1"/>
  <c r="J56" i="37"/>
  <c r="H56" i="37"/>
  <c r="AI57" i="37"/>
  <c r="F58" i="37"/>
  <c r="AH57" i="37"/>
  <c r="X57" i="37"/>
  <c r="AA57" i="37"/>
  <c r="T57" i="37"/>
  <c r="V57" i="37" s="1"/>
  <c r="W57" i="37"/>
  <c r="AB57" i="37"/>
  <c r="Y57" i="37"/>
  <c r="AG57" i="37"/>
  <c r="R57" i="37"/>
  <c r="AE57" i="37"/>
  <c r="U57" i="37"/>
  <c r="G57" i="37"/>
  <c r="V56" i="37"/>
  <c r="AD56" i="37"/>
  <c r="AF56" i="37"/>
  <c r="Z57" i="37" l="1"/>
  <c r="AH58" i="37"/>
  <c r="X58" i="37"/>
  <c r="AA58" i="37"/>
  <c r="Y58" i="37"/>
  <c r="U58" i="37"/>
  <c r="AG58" i="37"/>
  <c r="AB58" i="37"/>
  <c r="AC58" i="37" s="1"/>
  <c r="G58" i="37"/>
  <c r="AI58" i="37"/>
  <c r="F59" i="37"/>
  <c r="W58" i="37"/>
  <c r="T58" i="37"/>
  <c r="V58" i="37" s="1"/>
  <c r="AE58" i="37"/>
  <c r="R58" i="37"/>
  <c r="J57" i="37"/>
  <c r="I57" i="37"/>
  <c r="H57" i="37"/>
  <c r="AD57" i="37"/>
  <c r="AF57" i="37"/>
  <c r="AD58" i="37" l="1"/>
  <c r="AJ58" i="37"/>
  <c r="AM58" i="37"/>
  <c r="AN58" i="37" s="1"/>
  <c r="AK58" i="37"/>
  <c r="AL58" i="37" s="1"/>
  <c r="AF58" i="37"/>
  <c r="U59" i="37"/>
  <c r="X59" i="37"/>
  <c r="W59" i="37"/>
  <c r="AA59" i="37"/>
  <c r="Y59" i="37"/>
  <c r="AG59" i="37"/>
  <c r="T59" i="37"/>
  <c r="V59" i="37" s="1"/>
  <c r="AE59" i="37"/>
  <c r="AI59" i="37"/>
  <c r="G59" i="37"/>
  <c r="R59" i="37"/>
  <c r="AB59" i="37"/>
  <c r="AC59" i="37" s="1"/>
  <c r="AH59" i="37"/>
  <c r="F60" i="37"/>
  <c r="Z58" i="37"/>
  <c r="I58" i="37"/>
  <c r="H58" i="37"/>
  <c r="J58" i="37"/>
  <c r="AD59" i="37" l="1"/>
  <c r="AJ59" i="37"/>
  <c r="AM59" i="37"/>
  <c r="AN59" i="37" s="1"/>
  <c r="AK59" i="37"/>
  <c r="AL59" i="37" s="1"/>
  <c r="AF59" i="37"/>
  <c r="Z59" i="37"/>
  <c r="AA60" i="37"/>
  <c r="Y60" i="37"/>
  <c r="X60" i="37"/>
  <c r="T60" i="37"/>
  <c r="AG60" i="37"/>
  <c r="AE60" i="37"/>
  <c r="W60" i="37"/>
  <c r="U60" i="37"/>
  <c r="G60" i="37"/>
  <c r="AI60" i="37"/>
  <c r="F61" i="37"/>
  <c r="AH60" i="37"/>
  <c r="AB60" i="37"/>
  <c r="R60" i="37"/>
  <c r="I59" i="37"/>
  <c r="J59" i="37"/>
  <c r="H59" i="37"/>
  <c r="V60" i="37" l="1"/>
  <c r="Z60" i="37"/>
  <c r="AD60" i="37"/>
  <c r="AF60" i="37"/>
  <c r="AB61" i="37"/>
  <c r="AI61" i="37"/>
  <c r="AH61" i="37"/>
  <c r="AA61" i="37"/>
  <c r="R61" i="37"/>
  <c r="AG61" i="37"/>
  <c r="X61" i="37"/>
  <c r="U61" i="37"/>
  <c r="W61" i="37"/>
  <c r="Y61" i="37"/>
  <c r="T61" i="37"/>
  <c r="AE61" i="37"/>
  <c r="G61" i="37"/>
  <c r="F62" i="37"/>
  <c r="J60" i="37"/>
  <c r="I60" i="37"/>
  <c r="H60" i="37"/>
  <c r="Z61" i="37" l="1"/>
  <c r="AI62" i="37"/>
  <c r="G62" i="37"/>
  <c r="AH62" i="37"/>
  <c r="R62" i="37"/>
  <c r="Y62" i="37"/>
  <c r="AA62" i="37"/>
  <c r="X62" i="37"/>
  <c r="U62" i="37"/>
  <c r="AB62" i="37"/>
  <c r="AC62" i="37" s="1"/>
  <c r="F63" i="37"/>
  <c r="T62" i="37"/>
  <c r="V62" i="37" s="1"/>
  <c r="W62" i="37"/>
  <c r="AG62" i="37"/>
  <c r="AE62" i="37"/>
  <c r="J61" i="37"/>
  <c r="I61" i="37"/>
  <c r="H61" i="37"/>
  <c r="AD61" i="37"/>
  <c r="AF61" i="37"/>
  <c r="V61" i="37"/>
  <c r="AA63" i="37" l="1"/>
  <c r="F64" i="37"/>
  <c r="U63" i="37"/>
  <c r="Y63" i="37"/>
  <c r="G63" i="37"/>
  <c r="X63" i="37"/>
  <c r="Z63" i="37" s="1"/>
  <c r="W63" i="37"/>
  <c r="T63" i="37"/>
  <c r="V63" i="37" s="1"/>
  <c r="AE63" i="37"/>
  <c r="AB63" i="37"/>
  <c r="AC63" i="37" s="1"/>
  <c r="AI63" i="37"/>
  <c r="AH63" i="37"/>
  <c r="AG63" i="37"/>
  <c r="R63" i="37"/>
  <c r="H62" i="37"/>
  <c r="J62" i="37"/>
  <c r="I62" i="37"/>
  <c r="Z62" i="37"/>
  <c r="AD62" i="37"/>
  <c r="AM62" i="37"/>
  <c r="AN62" i="37" s="1"/>
  <c r="AF62" i="37"/>
  <c r="AJ62" i="37"/>
  <c r="AK62" i="37"/>
  <c r="AL62" i="37" s="1"/>
  <c r="AD63" i="37" l="1"/>
  <c r="AF63" i="37"/>
  <c r="AJ63" i="37"/>
  <c r="AM63" i="37"/>
  <c r="AN63" i="37" s="1"/>
  <c r="AK63" i="37"/>
  <c r="AL63" i="37" s="1"/>
  <c r="H63" i="37"/>
  <c r="J63" i="37"/>
  <c r="I63" i="37"/>
  <c r="X64" i="37"/>
  <c r="Y64" i="37"/>
  <c r="W64" i="37"/>
  <c r="U64" i="37"/>
  <c r="T64" i="37"/>
  <c r="V64" i="37" s="1"/>
  <c r="AG64" i="37"/>
  <c r="AI64" i="37"/>
  <c r="G64" i="37"/>
  <c r="AA64" i="37"/>
  <c r="AE64" i="37"/>
  <c r="R64" i="37"/>
  <c r="AB64" i="37"/>
  <c r="AH64" i="37"/>
  <c r="F65" i="37"/>
  <c r="AB65" i="37" l="1"/>
  <c r="G65" i="37"/>
  <c r="F66" i="37"/>
  <c r="AI65" i="37"/>
  <c r="AH65" i="37"/>
  <c r="W65" i="37"/>
  <c r="U65" i="37"/>
  <c r="R65" i="37"/>
  <c r="AG65" i="37"/>
  <c r="T65" i="37"/>
  <c r="V65" i="37" s="1"/>
  <c r="AA65" i="37"/>
  <c r="Y65" i="37"/>
  <c r="X65" i="37"/>
  <c r="Z65" i="37" s="1"/>
  <c r="AE65" i="37"/>
  <c r="AD64" i="37"/>
  <c r="AF64" i="37"/>
  <c r="I64" i="37"/>
  <c r="H64" i="37"/>
  <c r="J64" i="37"/>
  <c r="Z64" i="37"/>
  <c r="AD65" i="37" l="1"/>
  <c r="AF65" i="37"/>
  <c r="AH66" i="37"/>
  <c r="W66" i="37"/>
  <c r="T66" i="37"/>
  <c r="U66" i="37"/>
  <c r="Y66" i="37"/>
  <c r="AA66" i="37"/>
  <c r="X66" i="37"/>
  <c r="Z66" i="37" s="1"/>
  <c r="AG66" i="37"/>
  <c r="R66" i="37"/>
  <c r="AE66" i="37"/>
  <c r="G66" i="37"/>
  <c r="F67" i="37"/>
  <c r="AB66" i="37"/>
  <c r="AI66" i="37"/>
  <c r="I65" i="37"/>
  <c r="J65" i="37"/>
  <c r="H65" i="37"/>
  <c r="T67" i="37" l="1"/>
  <c r="U67" i="37"/>
  <c r="AG67" i="37"/>
  <c r="W67" i="37"/>
  <c r="X67" i="37"/>
  <c r="AA67" i="37"/>
  <c r="Y67" i="37"/>
  <c r="AE67" i="37"/>
  <c r="R67" i="37"/>
  <c r="AB67" i="37"/>
  <c r="AI67" i="37"/>
  <c r="G67" i="37"/>
  <c r="F68" i="37"/>
  <c r="AH67" i="37"/>
  <c r="H66" i="37"/>
  <c r="I66" i="37"/>
  <c r="J66" i="37"/>
  <c r="AD66" i="37"/>
  <c r="AF66" i="37"/>
  <c r="V66" i="37"/>
  <c r="T68" i="37" l="1"/>
  <c r="W68" i="37"/>
  <c r="AA68" i="37"/>
  <c r="X68" i="37"/>
  <c r="AE68" i="37"/>
  <c r="R68" i="37"/>
  <c r="AG68" i="37"/>
  <c r="G68" i="37"/>
  <c r="U68" i="37"/>
  <c r="F69" i="37"/>
  <c r="Y68" i="37"/>
  <c r="AB68" i="37"/>
  <c r="AH68" i="37"/>
  <c r="AI68" i="37"/>
  <c r="J67" i="37"/>
  <c r="I67" i="37"/>
  <c r="H67" i="37"/>
  <c r="AD67" i="37"/>
  <c r="AF67" i="37"/>
  <c r="Z67" i="37"/>
  <c r="V67" i="37"/>
  <c r="T69" i="37" l="1"/>
  <c r="W69" i="37"/>
  <c r="Y69" i="37"/>
  <c r="U69" i="37"/>
  <c r="AA69" i="37"/>
  <c r="X69" i="37"/>
  <c r="Z69" i="37" s="1"/>
  <c r="AG69" i="37"/>
  <c r="R69" i="37"/>
  <c r="AE69" i="37"/>
  <c r="F70" i="37"/>
  <c r="G69" i="37"/>
  <c r="AB69" i="37"/>
  <c r="AC69" i="37" s="1"/>
  <c r="AI69" i="37"/>
  <c r="AH69" i="37"/>
  <c r="J68" i="37"/>
  <c r="I68" i="37"/>
  <c r="H68" i="37"/>
  <c r="AD68" i="37"/>
  <c r="AF68" i="37"/>
  <c r="Z68" i="37"/>
  <c r="V68" i="37"/>
  <c r="AI70" i="37" l="1"/>
  <c r="AA70" i="37"/>
  <c r="G70" i="37"/>
  <c r="Y70" i="37"/>
  <c r="F71" i="37"/>
  <c r="T70" i="37"/>
  <c r="U70" i="37"/>
  <c r="AB70" i="37"/>
  <c r="AH70" i="37"/>
  <c r="X70" i="37"/>
  <c r="Z70" i="37" s="1"/>
  <c r="W70" i="37"/>
  <c r="R70" i="37"/>
  <c r="AG70" i="37"/>
  <c r="AE70" i="37"/>
  <c r="AD69" i="37"/>
  <c r="AF69" i="37"/>
  <c r="AK69" i="37"/>
  <c r="AL69" i="37" s="1"/>
  <c r="AM69" i="37"/>
  <c r="AN69" i="37" s="1"/>
  <c r="AJ69" i="37"/>
  <c r="H69" i="37"/>
  <c r="I69" i="37"/>
  <c r="J69" i="37"/>
  <c r="V69" i="37"/>
  <c r="AD70" i="37" l="1"/>
  <c r="AF70" i="37"/>
  <c r="AH71" i="37"/>
  <c r="Y71" i="37"/>
  <c r="AI71" i="37"/>
  <c r="U71" i="37"/>
  <c r="W71" i="37"/>
  <c r="AA71" i="37"/>
  <c r="X71" i="37"/>
  <c r="Z71" i="37" s="1"/>
  <c r="T71" i="37"/>
  <c r="V71" i="37" s="1"/>
  <c r="AE71" i="37"/>
  <c r="R71" i="37"/>
  <c r="F72" i="37"/>
  <c r="AG71" i="37"/>
  <c r="AB71" i="37"/>
  <c r="G71" i="37"/>
  <c r="J70" i="37"/>
  <c r="H70" i="37"/>
  <c r="I70" i="37"/>
  <c r="V70" i="37"/>
  <c r="AH72" i="37" l="1"/>
  <c r="F73" i="37"/>
  <c r="AI72" i="37"/>
  <c r="X72" i="37"/>
  <c r="AE72" i="37"/>
  <c r="R72" i="37"/>
  <c r="AG72" i="37"/>
  <c r="Y72" i="37"/>
  <c r="G72" i="37"/>
  <c r="T72" i="37"/>
  <c r="V72" i="37" s="1"/>
  <c r="W72" i="37"/>
  <c r="AA72" i="37"/>
  <c r="U72" i="37"/>
  <c r="AB72" i="37"/>
  <c r="AD71" i="37"/>
  <c r="AF71" i="37"/>
  <c r="J71" i="37"/>
  <c r="I71" i="37"/>
  <c r="H71" i="37"/>
  <c r="J72" i="37" l="1"/>
  <c r="I72" i="37"/>
  <c r="H72" i="37"/>
  <c r="Z72" i="37"/>
  <c r="AD72" i="37"/>
  <c r="AF72" i="37"/>
  <c r="W73" i="37"/>
  <c r="X73" i="37"/>
  <c r="AA73" i="37"/>
  <c r="Y73" i="37"/>
  <c r="U73" i="37"/>
  <c r="T73" i="37"/>
  <c r="V73" i="37" s="1"/>
  <c r="AG73" i="37"/>
  <c r="AE73" i="37"/>
  <c r="R73" i="37"/>
  <c r="F74" i="37"/>
  <c r="AI73" i="37"/>
  <c r="AB73" i="37"/>
  <c r="G73" i="37"/>
  <c r="AH73" i="37"/>
  <c r="Z73" i="37" l="1"/>
  <c r="Y74" i="37"/>
  <c r="X74" i="37"/>
  <c r="W74" i="37"/>
  <c r="T74" i="37"/>
  <c r="U74" i="37"/>
  <c r="AE74" i="37"/>
  <c r="R74" i="37"/>
  <c r="AG74" i="37"/>
  <c r="F75" i="37"/>
  <c r="G74" i="37"/>
  <c r="AI74" i="37"/>
  <c r="AH74" i="37"/>
  <c r="AA74" i="37"/>
  <c r="AB74" i="37"/>
  <c r="AD73" i="37"/>
  <c r="AF73" i="37"/>
  <c r="I73" i="37"/>
  <c r="J73" i="37"/>
  <c r="H73" i="37"/>
  <c r="W75" i="37" l="1"/>
  <c r="AI75" i="37"/>
  <c r="AH75" i="37"/>
  <c r="T75" i="37"/>
  <c r="X75" i="37"/>
  <c r="AA75" i="37"/>
  <c r="U75" i="37"/>
  <c r="R75" i="37"/>
  <c r="Y75" i="37"/>
  <c r="AE75" i="37"/>
  <c r="AG75" i="37"/>
  <c r="AB75" i="37"/>
  <c r="F76" i="37"/>
  <c r="G75" i="37"/>
  <c r="V74" i="37"/>
  <c r="J74" i="37"/>
  <c r="I74" i="37"/>
  <c r="H74" i="37"/>
  <c r="Z74" i="37"/>
  <c r="AD74" i="37"/>
  <c r="AM74" i="37"/>
  <c r="AN74" i="37" s="1"/>
  <c r="AJ74" i="37"/>
  <c r="AF74" i="37"/>
  <c r="AK74" i="37"/>
  <c r="AL74" i="37" s="1"/>
  <c r="AC74" i="37"/>
  <c r="AD75" i="37" l="1"/>
  <c r="AF75" i="37"/>
  <c r="AA76" i="37"/>
  <c r="Y76" i="37"/>
  <c r="X76" i="37"/>
  <c r="Z76" i="37" s="1"/>
  <c r="W76" i="37"/>
  <c r="U76" i="37"/>
  <c r="T76" i="37"/>
  <c r="V76" i="37" s="1"/>
  <c r="AE76" i="37"/>
  <c r="R76" i="37"/>
  <c r="AB76" i="37"/>
  <c r="F77" i="37"/>
  <c r="AG76" i="37"/>
  <c r="G76" i="37"/>
  <c r="AH76" i="37"/>
  <c r="AI76" i="37"/>
  <c r="V75" i="37"/>
  <c r="I75" i="37"/>
  <c r="H75" i="37"/>
  <c r="J75" i="37"/>
  <c r="Z75" i="37"/>
  <c r="AD76" i="37" l="1"/>
  <c r="AF76" i="37"/>
  <c r="J76" i="37"/>
  <c r="H76" i="37"/>
  <c r="I76" i="37"/>
  <c r="AB77" i="37"/>
  <c r="AI77" i="37"/>
  <c r="AH77" i="37"/>
  <c r="U77" i="37"/>
  <c r="AA77" i="37"/>
  <c r="W77" i="37"/>
  <c r="T77" i="37"/>
  <c r="V77" i="37" s="1"/>
  <c r="Y77" i="37"/>
  <c r="AG77" i="37"/>
  <c r="R77" i="37"/>
  <c r="AE77" i="37"/>
  <c r="G77" i="37"/>
  <c r="F78" i="37"/>
  <c r="X77" i="37"/>
  <c r="AD77" i="37" l="1"/>
  <c r="AF77" i="37"/>
  <c r="Z77" i="37"/>
  <c r="X78" i="37"/>
  <c r="T78" i="37"/>
  <c r="R78" i="37"/>
  <c r="G78" i="37"/>
  <c r="AB78" i="37"/>
  <c r="AC78" i="37" s="1"/>
  <c r="U78" i="37"/>
  <c r="Y78" i="37"/>
  <c r="AA78" i="37"/>
  <c r="W78" i="37"/>
  <c r="AG78" i="37"/>
  <c r="AE78" i="37"/>
  <c r="F79" i="37"/>
  <c r="AI78" i="37"/>
  <c r="AH78" i="37"/>
  <c r="H77" i="37"/>
  <c r="J77" i="37"/>
  <c r="I77" i="37"/>
  <c r="I78" i="37" l="1"/>
  <c r="J78" i="37"/>
  <c r="H78" i="37"/>
  <c r="Z78" i="37"/>
  <c r="AD78" i="37"/>
  <c r="AJ78" i="37"/>
  <c r="AK78" i="37"/>
  <c r="AL78" i="37" s="1"/>
  <c r="AF78" i="37"/>
  <c r="AM78" i="37"/>
  <c r="AN78" i="37" s="1"/>
  <c r="V78" i="37"/>
  <c r="U79" i="37"/>
  <c r="AA79" i="37"/>
  <c r="AE79" i="37"/>
  <c r="Y79" i="37"/>
  <c r="X79" i="37"/>
  <c r="T79" i="37"/>
  <c r="R79" i="37"/>
  <c r="AG79" i="37"/>
  <c r="AB79" i="37"/>
  <c r="AC79" i="37" s="1"/>
  <c r="AI79" i="37"/>
  <c r="F80" i="37"/>
  <c r="G79" i="37"/>
  <c r="AH79" i="37"/>
  <c r="W79" i="37"/>
  <c r="H79" i="37" l="1"/>
  <c r="I79" i="37"/>
  <c r="J79" i="37"/>
  <c r="W80" i="37"/>
  <c r="G80" i="37"/>
  <c r="AA80" i="37"/>
  <c r="F81" i="37"/>
  <c r="U80" i="37"/>
  <c r="X80" i="37"/>
  <c r="AG80" i="37"/>
  <c r="AE80" i="37"/>
  <c r="AH80" i="37"/>
  <c r="T80" i="37"/>
  <c r="V80" i="37" s="1"/>
  <c r="Y80" i="37"/>
  <c r="R80" i="37"/>
  <c r="AB80" i="37"/>
  <c r="AC80" i="37" s="1"/>
  <c r="AI80" i="37"/>
  <c r="V79" i="37"/>
  <c r="AD79" i="37"/>
  <c r="AM79" i="37"/>
  <c r="AN79" i="37" s="1"/>
  <c r="AK79" i="37"/>
  <c r="AL79" i="37" s="1"/>
  <c r="AJ79" i="37"/>
  <c r="AF79" i="37"/>
  <c r="Z79" i="37"/>
  <c r="Z80" i="37" l="1"/>
  <c r="AB81" i="37"/>
  <c r="F82" i="37"/>
  <c r="AI81" i="37"/>
  <c r="G81" i="37"/>
  <c r="AH81" i="37"/>
  <c r="X81" i="37"/>
  <c r="Y81" i="37"/>
  <c r="AG81" i="37"/>
  <c r="W81" i="37"/>
  <c r="U81" i="37"/>
  <c r="AA81" i="37"/>
  <c r="T81" i="37"/>
  <c r="V81" i="37" s="1"/>
  <c r="AE81" i="37"/>
  <c r="R81" i="37"/>
  <c r="AD80" i="37"/>
  <c r="AF80" i="37"/>
  <c r="AK80" i="37"/>
  <c r="AL80" i="37" s="1"/>
  <c r="AJ80" i="37"/>
  <c r="AM80" i="37"/>
  <c r="AN80" i="37" s="1"/>
  <c r="I80" i="37"/>
  <c r="H80" i="37"/>
  <c r="J80" i="37"/>
  <c r="AD81" i="37" l="1"/>
  <c r="AF81" i="37"/>
  <c r="Z81" i="37"/>
  <c r="AB82" i="37"/>
  <c r="F83" i="37"/>
  <c r="AI82" i="37"/>
  <c r="G82" i="37"/>
  <c r="AH82" i="37"/>
  <c r="Y82" i="37"/>
  <c r="T82" i="37"/>
  <c r="W82" i="37"/>
  <c r="U82" i="37"/>
  <c r="X82" i="37"/>
  <c r="Z82" i="37" s="1"/>
  <c r="AE82" i="37"/>
  <c r="R82" i="37"/>
  <c r="AG82" i="37"/>
  <c r="AA82" i="37"/>
  <c r="H81" i="37"/>
  <c r="J81" i="37"/>
  <c r="I81" i="37"/>
  <c r="H82" i="37" l="1"/>
  <c r="I82" i="37"/>
  <c r="J82" i="37"/>
  <c r="AD82" i="37"/>
  <c r="AF82" i="37"/>
  <c r="AH83" i="37"/>
  <c r="F84" i="37"/>
  <c r="AI83" i="37"/>
  <c r="AA83" i="37"/>
  <c r="Y83" i="37"/>
  <c r="X83" i="37"/>
  <c r="Z83" i="37" s="1"/>
  <c r="R83" i="37"/>
  <c r="U83" i="37"/>
  <c r="W83" i="37"/>
  <c r="AE83" i="37"/>
  <c r="AG83" i="37"/>
  <c r="T83" i="37"/>
  <c r="AB83" i="37"/>
  <c r="G83" i="37"/>
  <c r="V82" i="37"/>
  <c r="V83" i="37" l="1"/>
  <c r="AA84" i="37"/>
  <c r="X84" i="37"/>
  <c r="W84" i="37"/>
  <c r="AG84" i="37"/>
  <c r="AE84" i="37"/>
  <c r="U84" i="37"/>
  <c r="Y84" i="37"/>
  <c r="T84" i="37"/>
  <c r="AI84" i="37"/>
  <c r="R84" i="37"/>
  <c r="G84" i="37"/>
  <c r="F85" i="37"/>
  <c r="AB84" i="37"/>
  <c r="AC84" i="37" s="1"/>
  <c r="AH84" i="37"/>
  <c r="H83" i="37"/>
  <c r="I83" i="37"/>
  <c r="J83" i="37"/>
  <c r="AD83" i="37"/>
  <c r="AF83" i="37"/>
  <c r="AD84" i="37" l="1"/>
  <c r="AM84" i="37"/>
  <c r="AN84" i="37" s="1"/>
  <c r="AJ84" i="37"/>
  <c r="AK84" i="37"/>
  <c r="AL84" i="37" s="1"/>
  <c r="AF84" i="37"/>
  <c r="Z84" i="37"/>
  <c r="Y85" i="37"/>
  <c r="X85" i="37"/>
  <c r="Z85" i="37" s="1"/>
  <c r="U85" i="37"/>
  <c r="T85" i="37"/>
  <c r="V85" i="37" s="1"/>
  <c r="AA85" i="37"/>
  <c r="W85" i="37"/>
  <c r="AE85" i="37"/>
  <c r="R85" i="37"/>
  <c r="AG85" i="37"/>
  <c r="AB85" i="37"/>
  <c r="AI85" i="37"/>
  <c r="G85" i="37"/>
  <c r="AH85" i="37"/>
  <c r="F86" i="37"/>
  <c r="I84" i="37"/>
  <c r="J84" i="37"/>
  <c r="H84" i="37"/>
  <c r="V84" i="37"/>
  <c r="AD85" i="37" l="1"/>
  <c r="AF85" i="37"/>
  <c r="J85" i="37"/>
  <c r="I85" i="37"/>
  <c r="H85" i="37"/>
  <c r="AA86" i="37"/>
  <c r="U86" i="37"/>
  <c r="Y86" i="37"/>
  <c r="X86" i="37"/>
  <c r="Z86" i="37" s="1"/>
  <c r="W86" i="37"/>
  <c r="T86" i="37"/>
  <c r="V86" i="37" s="1"/>
  <c r="AG86" i="37"/>
  <c r="R86" i="37"/>
  <c r="AE86" i="37"/>
  <c r="F87" i="37"/>
  <c r="AH86" i="37"/>
  <c r="G86" i="37"/>
  <c r="AB86" i="37"/>
  <c r="AI86" i="37"/>
  <c r="AD86" i="37" l="1"/>
  <c r="AF86" i="37"/>
  <c r="H86" i="37"/>
  <c r="I86" i="37"/>
  <c r="J86" i="37"/>
  <c r="AB87" i="37"/>
  <c r="AI87" i="37"/>
  <c r="AH87" i="37"/>
  <c r="T87" i="37"/>
  <c r="U87" i="37"/>
  <c r="X87" i="37"/>
  <c r="W87" i="37"/>
  <c r="Y87" i="37"/>
  <c r="AG87" i="37"/>
  <c r="R87" i="37"/>
  <c r="AE87" i="37"/>
  <c r="AA87" i="37"/>
  <c r="G87" i="37"/>
  <c r="F88" i="37"/>
  <c r="V87" i="37" l="1"/>
  <c r="W88" i="37"/>
  <c r="AB88" i="37"/>
  <c r="Y88" i="37"/>
  <c r="X88" i="37"/>
  <c r="Z88" i="37" s="1"/>
  <c r="U88" i="37"/>
  <c r="AG88" i="37"/>
  <c r="R88" i="37"/>
  <c r="AE88" i="37"/>
  <c r="F89" i="37"/>
  <c r="G88" i="37"/>
  <c r="T88" i="37"/>
  <c r="V88" i="37" s="1"/>
  <c r="AI88" i="37"/>
  <c r="AA88" i="37"/>
  <c r="AH88" i="37"/>
  <c r="Z87" i="37"/>
  <c r="I87" i="37"/>
  <c r="H87" i="37"/>
  <c r="J87" i="37"/>
  <c r="AD87" i="37"/>
  <c r="AF87" i="37"/>
  <c r="J88" i="37" l="1"/>
  <c r="I88" i="37"/>
  <c r="H88" i="37"/>
  <c r="X89" i="37"/>
  <c r="AE89" i="37"/>
  <c r="G89" i="37"/>
  <c r="AB89" i="37"/>
  <c r="AI89" i="37"/>
  <c r="W89" i="37"/>
  <c r="T89" i="37"/>
  <c r="AA89" i="37"/>
  <c r="U89" i="37"/>
  <c r="AG89" i="37"/>
  <c r="R89" i="37"/>
  <c r="AH89" i="37"/>
  <c r="F90" i="37"/>
  <c r="Y89" i="37"/>
  <c r="AD88" i="37"/>
  <c r="AF88" i="37"/>
  <c r="Z89" i="37" l="1"/>
  <c r="V89" i="37"/>
  <c r="AC89" i="37"/>
  <c r="I89" i="37"/>
  <c r="J89" i="37"/>
  <c r="H89" i="37"/>
  <c r="AA90" i="37"/>
  <c r="F91" i="37"/>
  <c r="T90" i="37"/>
  <c r="G90" i="37"/>
  <c r="Y90" i="37"/>
  <c r="X90" i="37"/>
  <c r="Z90" i="37" s="1"/>
  <c r="U90" i="37"/>
  <c r="AI90" i="37"/>
  <c r="W90" i="37"/>
  <c r="AG90" i="37"/>
  <c r="AH90" i="37"/>
  <c r="AE90" i="37"/>
  <c r="R90" i="37"/>
  <c r="AB90" i="37"/>
  <c r="AC90" i="37" s="1"/>
  <c r="AD89" i="37"/>
  <c r="AF89" i="37"/>
  <c r="AJ89" i="37"/>
  <c r="AK89" i="37"/>
  <c r="AL89" i="37" s="1"/>
  <c r="AM89" i="37"/>
  <c r="AN89" i="37" s="1"/>
  <c r="V90" i="37" l="1"/>
  <c r="AD90" i="37"/>
  <c r="AM90" i="37"/>
  <c r="AN90" i="37" s="1"/>
  <c r="AJ90" i="37"/>
  <c r="AK90" i="37"/>
  <c r="AL90" i="37" s="1"/>
  <c r="AF90" i="37"/>
  <c r="H90" i="37"/>
  <c r="I90" i="37"/>
  <c r="J90" i="37"/>
  <c r="AA91" i="37"/>
  <c r="G91" i="37"/>
  <c r="U91" i="37"/>
  <c r="R91" i="37"/>
  <c r="X91" i="37"/>
  <c r="Z91" i="37" s="1"/>
  <c r="Y91" i="37"/>
  <c r="T91" i="37"/>
  <c r="AG91" i="37"/>
  <c r="W91" i="37"/>
  <c r="F92" i="37"/>
  <c r="AE91" i="37"/>
  <c r="AB91" i="37"/>
  <c r="AH91" i="37"/>
  <c r="AI91" i="37"/>
  <c r="I91" i="37" l="1"/>
  <c r="J91" i="37"/>
  <c r="H91" i="37"/>
  <c r="AD91" i="37"/>
  <c r="AF91" i="37"/>
  <c r="G92" i="37"/>
  <c r="AB92" i="37"/>
  <c r="F93" i="37"/>
  <c r="AH92" i="37"/>
  <c r="T92" i="37"/>
  <c r="V92" i="37" s="1"/>
  <c r="Y92" i="37"/>
  <c r="AE92" i="37"/>
  <c r="AI92" i="37"/>
  <c r="AA92" i="37"/>
  <c r="X92" i="37"/>
  <c r="U92" i="37"/>
  <c r="W92" i="37"/>
  <c r="R92" i="37"/>
  <c r="AG92" i="37"/>
  <c r="V91" i="37"/>
  <c r="AD92" i="37" l="1"/>
  <c r="AF92" i="37"/>
  <c r="AI93" i="37"/>
  <c r="AH93" i="37"/>
  <c r="Y93" i="37"/>
  <c r="AA93" i="37"/>
  <c r="W93" i="37"/>
  <c r="X93" i="37"/>
  <c r="Z93" i="37" s="1"/>
  <c r="U93" i="37"/>
  <c r="AE93" i="37"/>
  <c r="R93" i="37"/>
  <c r="F94" i="37"/>
  <c r="G93" i="37"/>
  <c r="AB93" i="37"/>
  <c r="AG93" i="37"/>
  <c r="T93" i="37"/>
  <c r="J92" i="37"/>
  <c r="H92" i="37"/>
  <c r="I92" i="37"/>
  <c r="Z92" i="37"/>
  <c r="AD93" i="37" l="1"/>
  <c r="AF93" i="37"/>
  <c r="J93" i="37"/>
  <c r="I93" i="37"/>
  <c r="H93" i="37"/>
  <c r="AA94" i="37"/>
  <c r="Y94" i="37"/>
  <c r="X94" i="37"/>
  <c r="Z94" i="37" s="1"/>
  <c r="U94" i="37"/>
  <c r="T94" i="37"/>
  <c r="V94" i="37" s="1"/>
  <c r="W94" i="37"/>
  <c r="AE94" i="37"/>
  <c r="R94" i="37"/>
  <c r="AG94" i="37"/>
  <c r="G94" i="37"/>
  <c r="AH94" i="37"/>
  <c r="AB94" i="37"/>
  <c r="F95" i="37"/>
  <c r="AI94" i="37"/>
  <c r="V93" i="37"/>
  <c r="AD94" i="37" l="1"/>
  <c r="AK94" i="37"/>
  <c r="AL94" i="37" s="1"/>
  <c r="AF94" i="37"/>
  <c r="AJ94" i="37"/>
  <c r="AM94" i="37"/>
  <c r="AN94" i="37" s="1"/>
  <c r="W95" i="37"/>
  <c r="Y95" i="37"/>
  <c r="X95" i="37"/>
  <c r="Z95" i="37" s="1"/>
  <c r="U95" i="37"/>
  <c r="AA95" i="37"/>
  <c r="AG95" i="37"/>
  <c r="R95" i="37"/>
  <c r="G95" i="37"/>
  <c r="T95" i="37"/>
  <c r="V95" i="37" s="1"/>
  <c r="AE95" i="37"/>
  <c r="AB95" i="37"/>
  <c r="AH95" i="37"/>
  <c r="F96" i="37"/>
  <c r="AI95" i="37"/>
  <c r="AC94" i="37"/>
  <c r="I94" i="37"/>
  <c r="J94" i="37"/>
  <c r="H94" i="37"/>
  <c r="I95" i="37" l="1"/>
  <c r="H95" i="37"/>
  <c r="J95" i="37"/>
  <c r="AA96" i="37"/>
  <c r="Y96" i="37"/>
  <c r="T96" i="37"/>
  <c r="X96" i="37"/>
  <c r="Z96" i="37" s="1"/>
  <c r="W96" i="37"/>
  <c r="AG96" i="37"/>
  <c r="U96" i="37"/>
  <c r="AE96" i="37"/>
  <c r="R96" i="37"/>
  <c r="AB96" i="37"/>
  <c r="AC96" i="37" s="1"/>
  <c r="AH96" i="37"/>
  <c r="F97" i="37"/>
  <c r="AI96" i="37"/>
  <c r="G96" i="37"/>
  <c r="AC95" i="37"/>
  <c r="AD95" i="37"/>
  <c r="AK95" i="37"/>
  <c r="AL95" i="37" s="1"/>
  <c r="AJ95" i="37"/>
  <c r="AM95" i="37"/>
  <c r="AN95" i="37" s="1"/>
  <c r="AF95" i="37"/>
  <c r="AD96" i="37" l="1"/>
  <c r="AF96" i="37"/>
  <c r="AJ96" i="37"/>
  <c r="AM96" i="37"/>
  <c r="AN96" i="37" s="1"/>
  <c r="AK96" i="37"/>
  <c r="AL96" i="37" s="1"/>
  <c r="V96" i="37"/>
  <c r="I96" i="37"/>
  <c r="H96" i="37"/>
  <c r="J96" i="37"/>
  <c r="AI97" i="37"/>
  <c r="AH97" i="37"/>
  <c r="F98" i="37"/>
  <c r="Y97" i="37"/>
  <c r="X97" i="37"/>
  <c r="Z97" i="37" s="1"/>
  <c r="G97" i="37"/>
  <c r="AA97" i="37"/>
  <c r="W97" i="37"/>
  <c r="AG97" i="37"/>
  <c r="U97" i="37"/>
  <c r="T97" i="37"/>
  <c r="V97" i="37" s="1"/>
  <c r="AE97" i="37"/>
  <c r="R97" i="37"/>
  <c r="AB97" i="37"/>
  <c r="AB98" i="37" l="1"/>
  <c r="AI98" i="37"/>
  <c r="U98" i="37"/>
  <c r="Y98" i="37"/>
  <c r="AH98" i="37"/>
  <c r="X98" i="37"/>
  <c r="Z98" i="37" s="1"/>
  <c r="AE98" i="37"/>
  <c r="F99" i="37"/>
  <c r="AA98" i="37"/>
  <c r="W98" i="37"/>
  <c r="AG98" i="37"/>
  <c r="R98" i="37"/>
  <c r="T98" i="37"/>
  <c r="V98" i="37" s="1"/>
  <c r="G98" i="37"/>
  <c r="AD97" i="37"/>
  <c r="AF97" i="37"/>
  <c r="H97" i="37"/>
  <c r="I97" i="37"/>
  <c r="J97" i="37"/>
  <c r="AI99" i="37" l="1"/>
  <c r="F100" i="37"/>
  <c r="AH99" i="37"/>
  <c r="G99" i="37"/>
  <c r="Y99" i="37"/>
  <c r="AA99" i="37"/>
  <c r="T99" i="37"/>
  <c r="AB99" i="37"/>
  <c r="AG99" i="37"/>
  <c r="W99" i="37"/>
  <c r="X99" i="37"/>
  <c r="Z99" i="37" s="1"/>
  <c r="U99" i="37"/>
  <c r="AE99" i="37"/>
  <c r="R99" i="37"/>
  <c r="AD98" i="37"/>
  <c r="AF98" i="37"/>
  <c r="AJ98" i="37"/>
  <c r="AM98" i="37"/>
  <c r="AN98" i="37" s="1"/>
  <c r="AK98" i="37"/>
  <c r="AL98" i="37" s="1"/>
  <c r="I98" i="37"/>
  <c r="J98" i="37"/>
  <c r="H98" i="37"/>
  <c r="AC98" i="37"/>
  <c r="H99" i="37" l="1"/>
  <c r="J99" i="37"/>
  <c r="I99" i="37"/>
  <c r="V99" i="37"/>
  <c r="Y100" i="37"/>
  <c r="T100" i="37"/>
  <c r="AH100" i="37"/>
  <c r="F101" i="37"/>
  <c r="X100" i="37"/>
  <c r="Z100" i="37" s="1"/>
  <c r="W100" i="37"/>
  <c r="U100" i="37"/>
  <c r="AA100" i="37"/>
  <c r="AG100" i="37"/>
  <c r="R100" i="37"/>
  <c r="AB100" i="37"/>
  <c r="AE100" i="37"/>
  <c r="AI100" i="37"/>
  <c r="G100" i="37"/>
  <c r="AD99" i="37"/>
  <c r="AF99" i="37"/>
  <c r="AJ99" i="37"/>
  <c r="AM99" i="37"/>
  <c r="AN99" i="37" s="1"/>
  <c r="AK99" i="37"/>
  <c r="AL99" i="37" s="1"/>
  <c r="AC99" i="37"/>
  <c r="J100" i="37" l="1"/>
  <c r="I100" i="37"/>
  <c r="H100" i="37"/>
  <c r="AB101" i="37"/>
  <c r="X101" i="37"/>
  <c r="AG101" i="37"/>
  <c r="F102" i="37"/>
  <c r="AI101" i="37"/>
  <c r="AH101" i="37"/>
  <c r="T101" i="37"/>
  <c r="Y101" i="37"/>
  <c r="AA101" i="37"/>
  <c r="W101" i="37"/>
  <c r="U101" i="37"/>
  <c r="AE101" i="37"/>
  <c r="G101" i="37"/>
  <c r="R101" i="37"/>
  <c r="AD100" i="37"/>
  <c r="AF100" i="37"/>
  <c r="V100" i="37"/>
  <c r="V101" i="37" l="1"/>
  <c r="Z101" i="37"/>
  <c r="I101" i="37"/>
  <c r="J101" i="37"/>
  <c r="H101" i="37"/>
  <c r="AB102" i="37"/>
  <c r="AI102" i="37"/>
  <c r="AA102" i="37"/>
  <c r="AH102" i="37"/>
  <c r="Y102" i="37"/>
  <c r="X102" i="37"/>
  <c r="Z102" i="37" s="1"/>
  <c r="W102" i="37"/>
  <c r="AG102" i="37"/>
  <c r="R102" i="37"/>
  <c r="AE102" i="37"/>
  <c r="F103" i="37"/>
  <c r="G102" i="37"/>
  <c r="T102" i="37"/>
  <c r="U102" i="37"/>
  <c r="AD101" i="37"/>
  <c r="AF101" i="37"/>
  <c r="AC102" i="37" l="1"/>
  <c r="H102" i="37"/>
  <c r="J102" i="37"/>
  <c r="I102" i="37"/>
  <c r="V102" i="37"/>
  <c r="X103" i="37"/>
  <c r="G103" i="37"/>
  <c r="U103" i="37"/>
  <c r="AG103" i="37"/>
  <c r="AE103" i="37"/>
  <c r="T103" i="37"/>
  <c r="F104" i="37"/>
  <c r="W103" i="37"/>
  <c r="Y103" i="37"/>
  <c r="AA103" i="37"/>
  <c r="AH103" i="37"/>
  <c r="R103" i="37"/>
  <c r="AB103" i="37"/>
  <c r="AC103" i="37" s="1"/>
  <c r="AI103" i="37"/>
  <c r="AD102" i="37"/>
  <c r="AJ102" i="37"/>
  <c r="AF102" i="37"/>
  <c r="AM102" i="37"/>
  <c r="AN102" i="37" s="1"/>
  <c r="AK102" i="37"/>
  <c r="AL102" i="37" s="1"/>
  <c r="I103" i="37" l="1"/>
  <c r="J103" i="37"/>
  <c r="H103" i="37"/>
  <c r="Z103" i="37"/>
  <c r="AH104" i="37"/>
  <c r="Y104" i="37"/>
  <c r="U104" i="37"/>
  <c r="T104" i="37"/>
  <c r="V104" i="37" s="1"/>
  <c r="W104" i="37"/>
  <c r="R104" i="37"/>
  <c r="AA104" i="37"/>
  <c r="X104" i="37"/>
  <c r="Z104" i="37" s="1"/>
  <c r="AE104" i="37"/>
  <c r="AB104" i="37"/>
  <c r="AC104" i="37" s="1"/>
  <c r="G104" i="37"/>
  <c r="AI104" i="37"/>
  <c r="F105" i="37"/>
  <c r="AG104" i="37"/>
  <c r="AD103" i="37"/>
  <c r="AJ103" i="37"/>
  <c r="AK103" i="37"/>
  <c r="AL103" i="37" s="1"/>
  <c r="AF103" i="37"/>
  <c r="AM103" i="37"/>
  <c r="AN103" i="37" s="1"/>
  <c r="V103" i="37"/>
  <c r="AD104" i="37" l="1"/>
  <c r="AF104" i="37"/>
  <c r="AM104" i="37"/>
  <c r="AN104" i="37" s="1"/>
  <c r="AJ104" i="37"/>
  <c r="AK104" i="37"/>
  <c r="AL104" i="37" s="1"/>
  <c r="AB105" i="37"/>
  <c r="F106" i="37"/>
  <c r="AA105" i="37"/>
  <c r="AI105" i="37"/>
  <c r="G105" i="37"/>
  <c r="AH105" i="37"/>
  <c r="X105" i="37"/>
  <c r="W105" i="37"/>
  <c r="Y105" i="37"/>
  <c r="AE105" i="37"/>
  <c r="AG105" i="37"/>
  <c r="T105" i="37"/>
  <c r="U105" i="37"/>
  <c r="R105" i="37"/>
  <c r="I104" i="37"/>
  <c r="J104" i="37"/>
  <c r="H104" i="37"/>
  <c r="Z105" i="37" l="1"/>
  <c r="V105" i="37"/>
  <c r="J105" i="37"/>
  <c r="H105" i="37"/>
  <c r="I105" i="37"/>
  <c r="AB106" i="37"/>
  <c r="AH106" i="37"/>
  <c r="X106" i="37"/>
  <c r="AA106" i="37"/>
  <c r="R106" i="37"/>
  <c r="F107" i="37"/>
  <c r="G106" i="37"/>
  <c r="AI106" i="37"/>
  <c r="Y106" i="37"/>
  <c r="W106" i="37"/>
  <c r="T106" i="37"/>
  <c r="U106" i="37"/>
  <c r="AE106" i="37"/>
  <c r="AG106" i="37"/>
  <c r="AD105" i="37"/>
  <c r="AF105" i="37"/>
  <c r="Z106" i="37" l="1"/>
  <c r="I106" i="37"/>
  <c r="J106" i="37"/>
  <c r="H106" i="37"/>
  <c r="AH107" i="37"/>
  <c r="F108" i="37"/>
  <c r="AA107" i="37"/>
  <c r="W107" i="37"/>
  <c r="Y107" i="37"/>
  <c r="AE107" i="37"/>
  <c r="X107" i="37"/>
  <c r="Z107" i="37" s="1"/>
  <c r="U107" i="37"/>
  <c r="T107" i="37"/>
  <c r="V107" i="37" s="1"/>
  <c r="AI107" i="37"/>
  <c r="R107" i="37"/>
  <c r="AG107" i="37"/>
  <c r="G107" i="37"/>
  <c r="AB107" i="37"/>
  <c r="AC106" i="37"/>
  <c r="AD106" i="37"/>
  <c r="AF106" i="37"/>
  <c r="AJ106" i="37"/>
  <c r="AK106" i="37"/>
  <c r="AL106" i="37" s="1"/>
  <c r="AM106" i="37"/>
  <c r="AN106" i="37" s="1"/>
  <c r="V106" i="37"/>
  <c r="Y108" i="37" l="1"/>
  <c r="X108" i="37"/>
  <c r="T108" i="37"/>
  <c r="U108" i="37"/>
  <c r="AE108" i="37"/>
  <c r="AG108" i="37"/>
  <c r="F109" i="37"/>
  <c r="AI108" i="37"/>
  <c r="AA108" i="37"/>
  <c r="R108" i="37"/>
  <c r="AB108" i="37"/>
  <c r="AC108" i="37" s="1"/>
  <c r="AH108" i="37"/>
  <c r="W108" i="37"/>
  <c r="G108" i="37"/>
  <c r="J107" i="37"/>
  <c r="H107" i="37"/>
  <c r="I107" i="37"/>
  <c r="AD107" i="37"/>
  <c r="AF107" i="37"/>
  <c r="AB109" i="37" l="1"/>
  <c r="AA109" i="37"/>
  <c r="AI109" i="37"/>
  <c r="G109" i="37"/>
  <c r="AH109" i="37"/>
  <c r="F110" i="37"/>
  <c r="Y109" i="37"/>
  <c r="W109" i="37"/>
  <c r="T109" i="37"/>
  <c r="X109" i="37"/>
  <c r="Z109" i="37" s="1"/>
  <c r="AG109" i="37"/>
  <c r="R109" i="37"/>
  <c r="U109" i="37"/>
  <c r="AE109" i="37"/>
  <c r="I108" i="37"/>
  <c r="H108" i="37"/>
  <c r="J108" i="37"/>
  <c r="AD108" i="37"/>
  <c r="AM108" i="37"/>
  <c r="AN108" i="37" s="1"/>
  <c r="AK108" i="37"/>
  <c r="AL108" i="37" s="1"/>
  <c r="AJ108" i="37"/>
  <c r="AF108" i="37"/>
  <c r="V108" i="37"/>
  <c r="Z108" i="37"/>
  <c r="AD109" i="37" l="1"/>
  <c r="AF109" i="37"/>
  <c r="V109" i="37"/>
  <c r="J109" i="37"/>
  <c r="I109" i="37"/>
  <c r="H109" i="37"/>
  <c r="Y110" i="37"/>
  <c r="T110" i="37"/>
  <c r="AA110" i="37"/>
  <c r="X110" i="37"/>
  <c r="Z110" i="37" s="1"/>
  <c r="U110" i="37"/>
  <c r="AI110" i="37"/>
  <c r="AH110" i="37"/>
  <c r="W110" i="37"/>
  <c r="AE110" i="37"/>
  <c r="R110" i="37"/>
  <c r="AB110" i="37"/>
  <c r="AC110" i="37" s="1"/>
  <c r="AG110" i="37"/>
  <c r="G110" i="37"/>
  <c r="F111" i="37"/>
  <c r="AB111" i="37" l="1"/>
  <c r="AH111" i="37"/>
  <c r="G111" i="37"/>
  <c r="F112" i="37"/>
  <c r="AI111" i="37"/>
  <c r="X111" i="37"/>
  <c r="AE111" i="37"/>
  <c r="R111" i="37"/>
  <c r="Y111" i="37"/>
  <c r="W111" i="37"/>
  <c r="AG111" i="37"/>
  <c r="U111" i="37"/>
  <c r="T111" i="37"/>
  <c r="V111" i="37" s="1"/>
  <c r="AA111" i="37"/>
  <c r="V110" i="37"/>
  <c r="I110" i="37"/>
  <c r="J110" i="37"/>
  <c r="H110" i="37"/>
  <c r="AD110" i="37"/>
  <c r="AK110" i="37"/>
  <c r="AL110" i="37" s="1"/>
  <c r="AM110" i="37"/>
  <c r="AN110" i="37" s="1"/>
  <c r="AF110" i="37"/>
  <c r="AJ110" i="37"/>
  <c r="Z111" i="37" l="1"/>
  <c r="W112" i="37"/>
  <c r="AA112" i="37"/>
  <c r="AE112" i="37"/>
  <c r="U112" i="37"/>
  <c r="X112" i="37"/>
  <c r="R112" i="37"/>
  <c r="AG112" i="37"/>
  <c r="T112" i="37"/>
  <c r="V112" i="37" s="1"/>
  <c r="Y112" i="37"/>
  <c r="G112" i="37"/>
  <c r="AB112" i="37"/>
  <c r="AI112" i="37"/>
  <c r="F113" i="37"/>
  <c r="AH112" i="37"/>
  <c r="H111" i="37"/>
  <c r="I111" i="37"/>
  <c r="J111" i="37"/>
  <c r="AD111" i="37"/>
  <c r="AJ111" i="37"/>
  <c r="AM111" i="37"/>
  <c r="AN111" i="37" s="1"/>
  <c r="AF111" i="37"/>
  <c r="AK111" i="37"/>
  <c r="AL111" i="37" s="1"/>
  <c r="AC111" i="37"/>
  <c r="AB113" i="37" l="1"/>
  <c r="F114" i="37"/>
  <c r="T113" i="37"/>
  <c r="R113" i="37"/>
  <c r="AE113" i="37"/>
  <c r="AI113" i="37"/>
  <c r="U113" i="37"/>
  <c r="AH113" i="37"/>
  <c r="AA113" i="37"/>
  <c r="Y113" i="37"/>
  <c r="AG113" i="37"/>
  <c r="W113" i="37"/>
  <c r="X113" i="37"/>
  <c r="Z113" i="37" s="1"/>
  <c r="G113" i="37"/>
  <c r="J112" i="37"/>
  <c r="H112" i="37"/>
  <c r="I112" i="37"/>
  <c r="Z112" i="37"/>
  <c r="AD112" i="37"/>
  <c r="AF112" i="37"/>
  <c r="I113" i="37" l="1"/>
  <c r="H113" i="37"/>
  <c r="J113" i="37"/>
  <c r="V113" i="37"/>
  <c r="AD113" i="37"/>
  <c r="AK113" i="37"/>
  <c r="AL113" i="37" s="1"/>
  <c r="AF113" i="37"/>
  <c r="AJ113" i="37"/>
  <c r="AM113" i="37"/>
  <c r="AN113" i="37" s="1"/>
  <c r="AB114" i="37"/>
  <c r="AI114" i="37"/>
  <c r="F115" i="37"/>
  <c r="AH114" i="37"/>
  <c r="G114" i="37"/>
  <c r="T114" i="37"/>
  <c r="X114" i="37"/>
  <c r="AA114" i="37"/>
  <c r="W114" i="37"/>
  <c r="U114" i="37"/>
  <c r="Y114" i="37"/>
  <c r="AG114" i="37"/>
  <c r="AE114" i="37"/>
  <c r="R114" i="37"/>
  <c r="AC113" i="37"/>
  <c r="AA115" i="37" l="1"/>
  <c r="T115" i="37"/>
  <c r="Y115" i="37"/>
  <c r="X115" i="37"/>
  <c r="Z115" i="37" s="1"/>
  <c r="W115" i="37"/>
  <c r="U115" i="37"/>
  <c r="R115" i="37"/>
  <c r="F116" i="37"/>
  <c r="G115" i="37"/>
  <c r="AH115" i="37"/>
  <c r="AG115" i="37"/>
  <c r="AE115" i="37"/>
  <c r="AB115" i="37"/>
  <c r="AC115" i="37" s="1"/>
  <c r="AI115" i="37"/>
  <c r="AD114" i="37"/>
  <c r="AF114" i="37"/>
  <c r="I114" i="37"/>
  <c r="J114" i="37"/>
  <c r="H114" i="37"/>
  <c r="Z114" i="37"/>
  <c r="V114" i="37"/>
  <c r="H115" i="37" l="1"/>
  <c r="I115" i="37"/>
  <c r="J115" i="37"/>
  <c r="AB116" i="37"/>
  <c r="AC116" i="37" s="1"/>
  <c r="AI116" i="37"/>
  <c r="AA116" i="37"/>
  <c r="Y116" i="37"/>
  <c r="AH116" i="37"/>
  <c r="G116" i="37"/>
  <c r="F117" i="37"/>
  <c r="X116" i="37"/>
  <c r="U116" i="37"/>
  <c r="W116" i="37"/>
  <c r="AG116" i="37"/>
  <c r="R116" i="37"/>
  <c r="T116" i="37"/>
  <c r="AE116" i="37"/>
  <c r="AD115" i="37"/>
  <c r="AK115" i="37"/>
  <c r="AL115" i="37" s="1"/>
  <c r="AF115" i="37"/>
  <c r="AJ115" i="37"/>
  <c r="AM115" i="37"/>
  <c r="AN115" i="37" s="1"/>
  <c r="V115" i="37"/>
  <c r="AH117" i="37" l="1"/>
  <c r="AA117" i="37"/>
  <c r="W117" i="37"/>
  <c r="T117" i="37"/>
  <c r="X117" i="37"/>
  <c r="U117" i="37"/>
  <c r="Y117" i="37"/>
  <c r="AI117" i="37"/>
  <c r="AG117" i="37"/>
  <c r="R117" i="37"/>
  <c r="F118" i="37"/>
  <c r="AE117" i="37"/>
  <c r="AB117" i="37"/>
  <c r="AC117" i="37" s="1"/>
  <c r="G117" i="37"/>
  <c r="J116" i="37"/>
  <c r="I116" i="37"/>
  <c r="H116" i="37"/>
  <c r="V116" i="37"/>
  <c r="Z116" i="37"/>
  <c r="AD116" i="37"/>
  <c r="AK116" i="37"/>
  <c r="AL116" i="37" s="1"/>
  <c r="AJ116" i="37"/>
  <c r="AF116" i="37"/>
  <c r="AM116" i="37"/>
  <c r="AN116" i="37" s="1"/>
  <c r="AD117" i="37" l="1"/>
  <c r="AF117" i="37"/>
  <c r="AJ117" i="37"/>
  <c r="AK117" i="37"/>
  <c r="AL117" i="37" s="1"/>
  <c r="AM117" i="37"/>
  <c r="AN117" i="37" s="1"/>
  <c r="V117" i="37"/>
  <c r="J117" i="37"/>
  <c r="H117" i="37"/>
  <c r="I117" i="37"/>
  <c r="AI118" i="37"/>
  <c r="AH118" i="37"/>
  <c r="X118" i="37"/>
  <c r="Z118" i="37" s="1"/>
  <c r="F119" i="37"/>
  <c r="W118" i="37"/>
  <c r="Y118" i="37"/>
  <c r="G118" i="37"/>
  <c r="T118" i="37"/>
  <c r="AA118" i="37"/>
  <c r="U118" i="37"/>
  <c r="AG118" i="37"/>
  <c r="AE118" i="37"/>
  <c r="R118" i="37"/>
  <c r="AB118" i="37"/>
  <c r="Z117" i="37"/>
  <c r="AD118" i="37" l="1"/>
  <c r="AF118" i="37"/>
  <c r="AB119" i="37"/>
  <c r="AI119" i="37"/>
  <c r="AH119" i="37"/>
  <c r="U119" i="37"/>
  <c r="AA119" i="37"/>
  <c r="W119" i="37"/>
  <c r="T119" i="37"/>
  <c r="V119" i="37" s="1"/>
  <c r="Y119" i="37"/>
  <c r="R119" i="37"/>
  <c r="G119" i="37"/>
  <c r="AG119" i="37"/>
  <c r="F120" i="37"/>
  <c r="X119" i="37"/>
  <c r="AE119" i="37"/>
  <c r="V118" i="37"/>
  <c r="J118" i="37"/>
  <c r="H118" i="37"/>
  <c r="I118" i="37"/>
  <c r="AB120" i="37" l="1"/>
  <c r="G120" i="37"/>
  <c r="AI120" i="37"/>
  <c r="AH120" i="37"/>
  <c r="F121" i="37"/>
  <c r="AA120" i="37"/>
  <c r="T120" i="37"/>
  <c r="X120" i="37"/>
  <c r="R120" i="37"/>
  <c r="Y120" i="37"/>
  <c r="U120" i="37"/>
  <c r="W120" i="37"/>
  <c r="AE120" i="37"/>
  <c r="AG120" i="37"/>
  <c r="J119" i="37"/>
  <c r="I119" i="37"/>
  <c r="H119" i="37"/>
  <c r="AD119" i="37"/>
  <c r="AF119" i="37"/>
  <c r="Z119" i="37"/>
  <c r="AD120" i="37" l="1"/>
  <c r="AF120" i="37"/>
  <c r="Z120" i="37"/>
  <c r="H120" i="37"/>
  <c r="I120" i="37"/>
  <c r="J120" i="37"/>
  <c r="V120" i="37"/>
  <c r="X121" i="37"/>
  <c r="U121" i="37"/>
  <c r="Y121" i="37"/>
  <c r="W121" i="37"/>
  <c r="AA121" i="37"/>
  <c r="T121" i="37"/>
  <c r="V121" i="37" s="1"/>
  <c r="AG121" i="37"/>
  <c r="R121" i="37"/>
  <c r="AB121" i="37"/>
  <c r="AC121" i="37" s="1"/>
  <c r="G121" i="37"/>
  <c r="F122" i="37"/>
  <c r="AH121" i="37"/>
  <c r="AI121" i="37"/>
  <c r="AE121" i="37"/>
  <c r="Z121" i="37" l="1"/>
  <c r="AD121" i="37"/>
  <c r="AJ121" i="37"/>
  <c r="AK121" i="37"/>
  <c r="AL121" i="37" s="1"/>
  <c r="AM121" i="37"/>
  <c r="AN121" i="37" s="1"/>
  <c r="AF121" i="37"/>
  <c r="X122" i="37"/>
  <c r="AA122" i="37"/>
  <c r="U122" i="37"/>
  <c r="W122" i="37"/>
  <c r="Y122" i="37"/>
  <c r="T122" i="37"/>
  <c r="V122" i="37" s="1"/>
  <c r="AE122" i="37"/>
  <c r="AG122" i="37"/>
  <c r="R122" i="37"/>
  <c r="AB122" i="37"/>
  <c r="AC122" i="37" s="1"/>
  <c r="AI122" i="37"/>
  <c r="F123" i="37"/>
  <c r="AH122" i="37"/>
  <c r="G122" i="37"/>
  <c r="J121" i="37"/>
  <c r="I121" i="37"/>
  <c r="H121" i="37"/>
  <c r="AD122" i="37" l="1"/>
  <c r="AF122" i="37"/>
  <c r="AJ122" i="37"/>
  <c r="AM122" i="37"/>
  <c r="AN122" i="37" s="1"/>
  <c r="AK122" i="37"/>
  <c r="AL122" i="37" s="1"/>
  <c r="Z122" i="37"/>
  <c r="I122" i="37"/>
  <c r="H122" i="37"/>
  <c r="J122" i="37"/>
  <c r="U123" i="37"/>
  <c r="F124" i="37"/>
  <c r="Y123" i="37"/>
  <c r="AG123" i="37"/>
  <c r="AA123" i="37"/>
  <c r="G123" i="37"/>
  <c r="X123" i="37"/>
  <c r="W123" i="37"/>
  <c r="AB123" i="37"/>
  <c r="AC123" i="37" s="1"/>
  <c r="R123" i="37"/>
  <c r="T123" i="37"/>
  <c r="AE123" i="37"/>
  <c r="AI123" i="37"/>
  <c r="AH123" i="37"/>
  <c r="AB124" i="37" l="1"/>
  <c r="AI124" i="37"/>
  <c r="AH124" i="37"/>
  <c r="F125" i="37"/>
  <c r="AA124" i="37"/>
  <c r="AG124" i="37"/>
  <c r="R124" i="37"/>
  <c r="X124" i="37"/>
  <c r="T124" i="37"/>
  <c r="W124" i="37"/>
  <c r="Y124" i="37"/>
  <c r="G124" i="37"/>
  <c r="U124" i="37"/>
  <c r="AE124" i="37"/>
  <c r="V123" i="37"/>
  <c r="AD123" i="37"/>
  <c r="AJ123" i="37"/>
  <c r="AM123" i="37"/>
  <c r="AN123" i="37" s="1"/>
  <c r="AF123" i="37"/>
  <c r="AK123" i="37"/>
  <c r="AL123" i="37" s="1"/>
  <c r="Z123" i="37"/>
  <c r="H123" i="37"/>
  <c r="J123" i="37"/>
  <c r="I123" i="37"/>
  <c r="AD124" i="37" l="1"/>
  <c r="AF124" i="37"/>
  <c r="H124" i="37"/>
  <c r="J124" i="37"/>
  <c r="I124" i="37"/>
  <c r="Z124" i="37"/>
  <c r="AB125" i="37"/>
  <c r="AC125" i="37" s="1"/>
  <c r="AI125" i="37"/>
  <c r="AH125" i="37"/>
  <c r="AA125" i="37"/>
  <c r="Y125" i="37"/>
  <c r="U125" i="37"/>
  <c r="F126" i="37"/>
  <c r="X125" i="37"/>
  <c r="Z125" i="37" s="1"/>
  <c r="T125" i="37"/>
  <c r="W125" i="37"/>
  <c r="AG125" i="37"/>
  <c r="R125" i="37"/>
  <c r="AE125" i="37"/>
  <c r="G125" i="37"/>
  <c r="V124" i="37"/>
  <c r="AB126" i="37" l="1"/>
  <c r="AI126" i="37"/>
  <c r="G126" i="37"/>
  <c r="AH126" i="37"/>
  <c r="F127" i="37"/>
  <c r="W126" i="37"/>
  <c r="AA126" i="37"/>
  <c r="X126" i="37"/>
  <c r="Y126" i="37"/>
  <c r="T126" i="37"/>
  <c r="U126" i="37"/>
  <c r="AG126" i="37"/>
  <c r="AE126" i="37"/>
  <c r="R126" i="37"/>
  <c r="AD125" i="37"/>
  <c r="AM125" i="37"/>
  <c r="AN125" i="37" s="1"/>
  <c r="AF125" i="37"/>
  <c r="AJ125" i="37"/>
  <c r="AK125" i="37"/>
  <c r="AL125" i="37" s="1"/>
  <c r="I125" i="37"/>
  <c r="H125" i="37"/>
  <c r="J125" i="37"/>
  <c r="V125" i="37"/>
  <c r="AD126" i="37" l="1"/>
  <c r="AK126" i="37"/>
  <c r="AL126" i="37" s="1"/>
  <c r="AJ126" i="37"/>
  <c r="AF126" i="37"/>
  <c r="AM126" i="37"/>
  <c r="AN126" i="37" s="1"/>
  <c r="V126" i="37"/>
  <c r="W127" i="37"/>
  <c r="F128" i="37"/>
  <c r="T127" i="37"/>
  <c r="R127" i="37"/>
  <c r="U127" i="37"/>
  <c r="AB127" i="37"/>
  <c r="AC127" i="37" s="1"/>
  <c r="G127" i="37"/>
  <c r="Y127" i="37"/>
  <c r="X127" i="37"/>
  <c r="AG127" i="37"/>
  <c r="AE127" i="37"/>
  <c r="AH127" i="37"/>
  <c r="AI127" i="37"/>
  <c r="AA127" i="37"/>
  <c r="I126" i="37"/>
  <c r="H126" i="37"/>
  <c r="J126" i="37"/>
  <c r="Z126" i="37"/>
  <c r="AC126" i="37"/>
  <c r="V127" i="37" l="1"/>
  <c r="AB128" i="37"/>
  <c r="F129" i="37"/>
  <c r="G128" i="37"/>
  <c r="W128" i="37"/>
  <c r="AI128" i="37"/>
  <c r="X128" i="37"/>
  <c r="AH128" i="37"/>
  <c r="AA128" i="37"/>
  <c r="Y128" i="37"/>
  <c r="T128" i="37"/>
  <c r="U128" i="37"/>
  <c r="AG128" i="37"/>
  <c r="R128" i="37"/>
  <c r="AE128" i="37"/>
  <c r="H127" i="37"/>
  <c r="J127" i="37"/>
  <c r="I127" i="37"/>
  <c r="AD127" i="37"/>
  <c r="AM127" i="37"/>
  <c r="AN127" i="37" s="1"/>
  <c r="AJ127" i="37"/>
  <c r="AF127" i="37"/>
  <c r="AK127" i="37"/>
  <c r="AL127" i="37" s="1"/>
  <c r="Z127" i="37"/>
  <c r="J128" i="37" l="1"/>
  <c r="H128" i="37"/>
  <c r="I128" i="37"/>
  <c r="R129" i="37"/>
  <c r="AB129" i="37"/>
  <c r="AC129" i="37" s="1"/>
  <c r="AI129" i="37"/>
  <c r="G129" i="37"/>
  <c r="F130" i="37"/>
  <c r="X129" i="37"/>
  <c r="W129" i="37"/>
  <c r="AG129" i="37"/>
  <c r="AE129" i="37"/>
  <c r="AH129" i="37"/>
  <c r="Y129" i="37"/>
  <c r="AA129" i="37"/>
  <c r="U129" i="37"/>
  <c r="T129" i="37"/>
  <c r="V129" i="37" s="1"/>
  <c r="Z128" i="37"/>
  <c r="AC128" i="37"/>
  <c r="V128" i="37"/>
  <c r="AD128" i="37"/>
  <c r="AM128" i="37"/>
  <c r="AN128" i="37" s="1"/>
  <c r="AK128" i="37"/>
  <c r="AL128" i="37" s="1"/>
  <c r="AF128" i="37"/>
  <c r="AJ128" i="37"/>
  <c r="AD129" i="37" l="1"/>
  <c r="AF129" i="37"/>
  <c r="AM129" i="37"/>
  <c r="AN129" i="37" s="1"/>
  <c r="AK129" i="37"/>
  <c r="AL129" i="37" s="1"/>
  <c r="AJ129" i="37"/>
  <c r="W130" i="37"/>
  <c r="AB130" i="37"/>
  <c r="G130" i="37"/>
  <c r="T130" i="37"/>
  <c r="AI130" i="37"/>
  <c r="F131" i="37"/>
  <c r="AH130" i="37"/>
  <c r="U130" i="37"/>
  <c r="AA130" i="37"/>
  <c r="Y130" i="37"/>
  <c r="X130" i="37"/>
  <c r="Z130" i="37" s="1"/>
  <c r="AG130" i="37"/>
  <c r="AE130" i="37"/>
  <c r="R130" i="37"/>
  <c r="J129" i="37"/>
  <c r="H129" i="37"/>
  <c r="I129" i="37"/>
  <c r="Z129" i="37"/>
  <c r="I130" i="37" l="1"/>
  <c r="H130" i="37"/>
  <c r="J130" i="37"/>
  <c r="F132" i="37"/>
  <c r="AB131" i="37"/>
  <c r="G131" i="37"/>
  <c r="AI131" i="37"/>
  <c r="T131" i="37"/>
  <c r="AH131" i="37"/>
  <c r="AA131" i="37"/>
  <c r="Y131" i="37"/>
  <c r="X131" i="37"/>
  <c r="U131" i="37"/>
  <c r="W131" i="37"/>
  <c r="AG131" i="37"/>
  <c r="R131" i="37"/>
  <c r="AE131" i="37"/>
  <c r="V130" i="37"/>
  <c r="AD130" i="37"/>
  <c r="AF130" i="37"/>
  <c r="Z131" i="37" l="1"/>
  <c r="AI132" i="37"/>
  <c r="F133" i="37"/>
  <c r="AH132" i="37"/>
  <c r="G132" i="37"/>
  <c r="AA132" i="37"/>
  <c r="X132" i="37"/>
  <c r="T132" i="37"/>
  <c r="U132" i="37"/>
  <c r="R132" i="37"/>
  <c r="AE132" i="37"/>
  <c r="AB132" i="37"/>
  <c r="AC132" i="37" s="1"/>
  <c r="Y132" i="37"/>
  <c r="W132" i="37"/>
  <c r="AG132" i="37"/>
  <c r="V131" i="37"/>
  <c r="AD131" i="37"/>
  <c r="AF131" i="37"/>
  <c r="J131" i="37"/>
  <c r="H131" i="37"/>
  <c r="I131" i="37"/>
  <c r="AD132" i="37" l="1"/>
  <c r="AJ132" i="37"/>
  <c r="AF132" i="37"/>
  <c r="AM132" i="37"/>
  <c r="AN132" i="37" s="1"/>
  <c r="AK132" i="37"/>
  <c r="AL132" i="37" s="1"/>
  <c r="V132" i="37"/>
  <c r="Z132" i="37"/>
  <c r="J132" i="37"/>
  <c r="I132" i="37"/>
  <c r="H132" i="37"/>
  <c r="X133" i="37"/>
  <c r="Z133" i="37" s="1"/>
  <c r="AE133" i="37"/>
  <c r="AG133" i="37"/>
  <c r="AA133" i="37"/>
  <c r="Y133" i="37"/>
  <c r="W133" i="37"/>
  <c r="U133" i="37"/>
  <c r="G133" i="37"/>
  <c r="T133" i="37"/>
  <c r="V133" i="37" s="1"/>
  <c r="R133" i="37"/>
  <c r="AB133" i="37"/>
  <c r="AI133" i="37"/>
  <c r="F134" i="37"/>
  <c r="AH133" i="37"/>
  <c r="AD133" i="37" l="1"/>
  <c r="AF133" i="37"/>
  <c r="AA134" i="37"/>
  <c r="X134" i="37"/>
  <c r="AG134" i="37"/>
  <c r="AE134" i="37"/>
  <c r="AB134" i="37"/>
  <c r="G134" i="37"/>
  <c r="T134" i="37"/>
  <c r="Y134" i="37"/>
  <c r="W134" i="37"/>
  <c r="U134" i="37"/>
  <c r="R134" i="37"/>
  <c r="AH134" i="37"/>
  <c r="AI134" i="37"/>
  <c r="F135" i="37"/>
  <c r="I133" i="37"/>
  <c r="H133" i="37"/>
  <c r="J133" i="37"/>
  <c r="I134" i="37" l="1"/>
  <c r="H134" i="37"/>
  <c r="J134" i="37"/>
  <c r="V134" i="37"/>
  <c r="Z134" i="37"/>
  <c r="AB135" i="37"/>
  <c r="AC135" i="37" s="1"/>
  <c r="AH135" i="37"/>
  <c r="AI135" i="37"/>
  <c r="F136" i="37"/>
  <c r="T135" i="37"/>
  <c r="X135" i="37"/>
  <c r="Y135" i="37"/>
  <c r="AA135" i="37"/>
  <c r="U135" i="37"/>
  <c r="AE135" i="37"/>
  <c r="W135" i="37"/>
  <c r="R135" i="37"/>
  <c r="AG135" i="37"/>
  <c r="G135" i="37"/>
  <c r="AD134" i="37"/>
  <c r="AF134" i="37"/>
  <c r="Z135" i="37" l="1"/>
  <c r="V135" i="37"/>
  <c r="T136" i="37"/>
  <c r="X136" i="37"/>
  <c r="AB136" i="37"/>
  <c r="AA136" i="37"/>
  <c r="W136" i="37"/>
  <c r="Y136" i="37"/>
  <c r="AE136" i="37"/>
  <c r="F137" i="37"/>
  <c r="AH136" i="37"/>
  <c r="U136" i="37"/>
  <c r="AG136" i="37"/>
  <c r="R136" i="37"/>
  <c r="G136" i="37"/>
  <c r="AI136" i="37"/>
  <c r="I135" i="37"/>
  <c r="J135" i="37"/>
  <c r="H135" i="37"/>
  <c r="AD135" i="37"/>
  <c r="AK135" i="37"/>
  <c r="AL135" i="37" s="1"/>
  <c r="AJ135" i="37"/>
  <c r="AF135" i="37"/>
  <c r="AM135" i="37"/>
  <c r="AN135" i="37" s="1"/>
  <c r="Z136" i="37" l="1"/>
  <c r="V136" i="37"/>
  <c r="AD136" i="37"/>
  <c r="AM136" i="37"/>
  <c r="AN136" i="37" s="1"/>
  <c r="AF136" i="37"/>
  <c r="AK136" i="37"/>
  <c r="AL136" i="37" s="1"/>
  <c r="AJ136" i="37"/>
  <c r="AI137" i="37"/>
  <c r="AA137" i="37"/>
  <c r="Y137" i="37"/>
  <c r="R137" i="37"/>
  <c r="G137" i="37"/>
  <c r="W137" i="37"/>
  <c r="U137" i="37"/>
  <c r="X137" i="37"/>
  <c r="AB137" i="37"/>
  <c r="AH137" i="37"/>
  <c r="F138" i="37"/>
  <c r="T137" i="37"/>
  <c r="AG137" i="37"/>
  <c r="AE137" i="37"/>
  <c r="AC136" i="37"/>
  <c r="H136" i="37"/>
  <c r="I136" i="37"/>
  <c r="J136" i="37"/>
  <c r="H137" i="37" l="1"/>
  <c r="I137" i="37"/>
  <c r="J137" i="37"/>
  <c r="AD137" i="37"/>
  <c r="AF137" i="37"/>
  <c r="AM137" i="37"/>
  <c r="AN137" i="37" s="1"/>
  <c r="AJ137" i="37"/>
  <c r="AK137" i="37"/>
  <c r="AL137" i="37" s="1"/>
  <c r="V137" i="37"/>
  <c r="AB138" i="37"/>
  <c r="G138" i="37"/>
  <c r="AI138" i="37"/>
  <c r="F139" i="37"/>
  <c r="AH138" i="37"/>
  <c r="U138" i="37"/>
  <c r="R138" i="37"/>
  <c r="W138" i="37"/>
  <c r="Y138" i="37"/>
  <c r="AA138" i="37"/>
  <c r="AE138" i="37"/>
  <c r="T138" i="37"/>
  <c r="V138" i="37" s="1"/>
  <c r="X138" i="37"/>
  <c r="Z138" i="37" s="1"/>
  <c r="AG138" i="37"/>
  <c r="AC137" i="37"/>
  <c r="Z137" i="37"/>
  <c r="AD138" i="37" l="1"/>
  <c r="AF138" i="37"/>
  <c r="J138" i="37"/>
  <c r="I138" i="37"/>
  <c r="H138" i="37"/>
  <c r="F140" i="37"/>
  <c r="G139" i="37"/>
  <c r="X139" i="37"/>
  <c r="AB139" i="37"/>
  <c r="W139" i="37"/>
  <c r="AI139" i="37"/>
  <c r="AH139" i="37"/>
  <c r="AA139" i="37"/>
  <c r="Y139" i="37"/>
  <c r="AE139" i="37"/>
  <c r="U139" i="37"/>
  <c r="T139" i="37"/>
  <c r="V139" i="37" s="1"/>
  <c r="R139" i="37"/>
  <c r="AG139" i="37"/>
  <c r="Z139" i="37" l="1"/>
  <c r="J139" i="37"/>
  <c r="I139" i="37"/>
  <c r="H139" i="37"/>
  <c r="AE140" i="37"/>
  <c r="R140" i="37"/>
  <c r="AB140" i="37"/>
  <c r="AC140" i="37" s="1"/>
  <c r="G140" i="37"/>
  <c r="AI140" i="37"/>
  <c r="F141" i="37"/>
  <c r="AH140" i="37"/>
  <c r="AG140" i="37"/>
  <c r="T140" i="37"/>
  <c r="V140" i="37" s="1"/>
  <c r="X140" i="37"/>
  <c r="Z140" i="37" s="1"/>
  <c r="U140" i="37"/>
  <c r="Y140" i="37"/>
  <c r="AA140" i="37"/>
  <c r="W140" i="37"/>
  <c r="AD139" i="37"/>
  <c r="AF139" i="37"/>
  <c r="J140" i="37" l="1"/>
  <c r="H140" i="37"/>
  <c r="I140" i="37"/>
  <c r="Y141" i="37"/>
  <c r="X141" i="37"/>
  <c r="Z141" i="37" s="1"/>
  <c r="W141" i="37"/>
  <c r="U141" i="37"/>
  <c r="T141" i="37"/>
  <c r="V141" i="37" s="1"/>
  <c r="AE141" i="37"/>
  <c r="AG141" i="37"/>
  <c r="AI141" i="37"/>
  <c r="R141" i="37"/>
  <c r="AB141" i="37"/>
  <c r="AC141" i="37" s="1"/>
  <c r="F142" i="37"/>
  <c r="AH141" i="37"/>
  <c r="G141" i="37"/>
  <c r="AA141" i="37"/>
  <c r="AD140" i="37"/>
  <c r="AJ140" i="37"/>
  <c r="AF140" i="37"/>
  <c r="AK140" i="37"/>
  <c r="AL140" i="37" s="1"/>
  <c r="AM140" i="37"/>
  <c r="AN140" i="37" s="1"/>
  <c r="AD141" i="37" l="1"/>
  <c r="AJ141" i="37"/>
  <c r="AM141" i="37"/>
  <c r="AN141" i="37" s="1"/>
  <c r="AK141" i="37"/>
  <c r="AL141" i="37" s="1"/>
  <c r="AF141" i="37"/>
  <c r="AA142" i="37"/>
  <c r="Y142" i="37"/>
  <c r="W142" i="37"/>
  <c r="G142" i="37"/>
  <c r="U142" i="37"/>
  <c r="R142" i="37"/>
  <c r="T142" i="37"/>
  <c r="V142" i="37" s="1"/>
  <c r="AE142" i="37"/>
  <c r="AB142" i="37"/>
  <c r="AI142" i="37"/>
  <c r="F143" i="37"/>
  <c r="X142" i="37"/>
  <c r="AG142" i="37"/>
  <c r="AH142" i="37"/>
  <c r="J141" i="37"/>
  <c r="I141" i="37"/>
  <c r="H141" i="37"/>
  <c r="AD142" i="37" l="1"/>
  <c r="AF142" i="37"/>
  <c r="H142" i="37"/>
  <c r="J142" i="37"/>
  <c r="I142" i="37"/>
  <c r="Z142" i="37"/>
  <c r="AI143" i="37"/>
  <c r="Y143" i="37"/>
  <c r="AH143" i="37"/>
  <c r="AA143" i="37"/>
  <c r="W143" i="37"/>
  <c r="T143" i="37"/>
  <c r="X143" i="37"/>
  <c r="Z143" i="37" s="1"/>
  <c r="U143" i="37"/>
  <c r="AE143" i="37"/>
  <c r="R143" i="37"/>
  <c r="AB143" i="37"/>
  <c r="AC143" i="37" s="1"/>
  <c r="AG143" i="37"/>
  <c r="F144" i="37"/>
  <c r="G143" i="37"/>
  <c r="V143" i="37" l="1"/>
  <c r="I143" i="37"/>
  <c r="J143" i="37"/>
  <c r="H143" i="37"/>
  <c r="AI144" i="37"/>
  <c r="W144" i="37"/>
  <c r="Y144" i="37"/>
  <c r="F145" i="37"/>
  <c r="X144" i="37"/>
  <c r="Z144" i="37" s="1"/>
  <c r="G144" i="37"/>
  <c r="T144" i="37"/>
  <c r="U144" i="37"/>
  <c r="AE144" i="37"/>
  <c r="AG144" i="37"/>
  <c r="AA144" i="37"/>
  <c r="AB144" i="37"/>
  <c r="AH144" i="37"/>
  <c r="R144" i="37"/>
  <c r="AD143" i="37"/>
  <c r="AF143" i="37"/>
  <c r="AM143" i="37"/>
  <c r="AN143" i="37" s="1"/>
  <c r="AJ143" i="37"/>
  <c r="AK143" i="37"/>
  <c r="AL143" i="37" s="1"/>
  <c r="AD144" i="37" l="1"/>
  <c r="AF144" i="37"/>
  <c r="I144" i="37"/>
  <c r="H144" i="37"/>
  <c r="J144" i="37"/>
  <c r="W145" i="37"/>
  <c r="AA145" i="37"/>
  <c r="Y145" i="37"/>
  <c r="AE145" i="37"/>
  <c r="U145" i="37"/>
  <c r="X145" i="37"/>
  <c r="Z145" i="37" s="1"/>
  <c r="AG145" i="37"/>
  <c r="T145" i="37"/>
  <c r="V145" i="37" s="1"/>
  <c r="AH145" i="37"/>
  <c r="F146" i="37"/>
  <c r="G145" i="37"/>
  <c r="AI145" i="37"/>
  <c r="R145" i="37"/>
  <c r="AB145" i="37"/>
  <c r="V144" i="37"/>
  <c r="AD145" i="37" l="1"/>
  <c r="AF145" i="37"/>
  <c r="H145" i="37"/>
  <c r="I145" i="37"/>
  <c r="J145" i="37"/>
  <c r="AH146" i="37"/>
  <c r="AI146" i="37"/>
  <c r="W146" i="37"/>
  <c r="AA146" i="37"/>
  <c r="X146" i="37"/>
  <c r="Y146" i="37"/>
  <c r="AG146" i="37"/>
  <c r="G146" i="37"/>
  <c r="F147" i="37"/>
  <c r="AB146" i="37"/>
  <c r="T146" i="37"/>
  <c r="U146" i="37"/>
  <c r="R146" i="37"/>
  <c r="AE146" i="37"/>
  <c r="J146" i="37" l="1"/>
  <c r="H146" i="37"/>
  <c r="I146" i="37"/>
  <c r="W147" i="37"/>
  <c r="Y147" i="37"/>
  <c r="AE147" i="37"/>
  <c r="AA147" i="37"/>
  <c r="AG147" i="37"/>
  <c r="T147" i="37"/>
  <c r="U147" i="37"/>
  <c r="X147" i="37"/>
  <c r="Z147" i="37" s="1"/>
  <c r="AI147" i="37"/>
  <c r="R147" i="37"/>
  <c r="F148" i="37"/>
  <c r="AB147" i="37"/>
  <c r="G147" i="37"/>
  <c r="AH147" i="37"/>
  <c r="V146" i="37"/>
  <c r="Z146" i="37"/>
  <c r="AD146" i="37"/>
  <c r="AF146" i="37"/>
  <c r="V147" i="37" l="1"/>
  <c r="Y148" i="37"/>
  <c r="X148" i="37"/>
  <c r="Z148" i="37" s="1"/>
  <c r="U148" i="37"/>
  <c r="T148" i="37"/>
  <c r="V148" i="37" s="1"/>
  <c r="AA148" i="37"/>
  <c r="AI148" i="37"/>
  <c r="G148" i="37"/>
  <c r="AG148" i="37"/>
  <c r="F149" i="37"/>
  <c r="R148" i="37"/>
  <c r="AE148" i="37"/>
  <c r="AB148" i="37"/>
  <c r="AC148" i="37" s="1"/>
  <c r="AH148" i="37"/>
  <c r="W148" i="37"/>
  <c r="AD147" i="37"/>
  <c r="AM147" i="37"/>
  <c r="AN147" i="37" s="1"/>
  <c r="AF147" i="37"/>
  <c r="AJ147" i="37"/>
  <c r="AK147" i="37"/>
  <c r="AL147" i="37" s="1"/>
  <c r="J147" i="37"/>
  <c r="H147" i="37"/>
  <c r="I147" i="37"/>
  <c r="AC147" i="37"/>
  <c r="AH149" i="37" l="1"/>
  <c r="AA149" i="37"/>
  <c r="W149" i="37"/>
  <c r="Y149" i="37"/>
  <c r="T149" i="37"/>
  <c r="F150" i="37"/>
  <c r="AB149" i="37"/>
  <c r="AI149" i="37"/>
  <c r="U149" i="37"/>
  <c r="X149" i="37"/>
  <c r="Z149" i="37" s="1"/>
  <c r="AG149" i="37"/>
  <c r="AE149" i="37"/>
  <c r="G149" i="37"/>
  <c r="R149" i="37"/>
  <c r="H148" i="37"/>
  <c r="J148" i="37"/>
  <c r="I148" i="37"/>
  <c r="AD148" i="37"/>
  <c r="AM148" i="37"/>
  <c r="AN148" i="37" s="1"/>
  <c r="AK148" i="37"/>
  <c r="AL148" i="37" s="1"/>
  <c r="AF148" i="37"/>
  <c r="AJ148" i="37"/>
  <c r="J149" i="37" l="1"/>
  <c r="H149" i="37"/>
  <c r="I149" i="37"/>
  <c r="AD149" i="37"/>
  <c r="AF149" i="37"/>
  <c r="V149" i="37"/>
  <c r="AB150" i="37"/>
  <c r="F151" i="37"/>
  <c r="T150" i="37"/>
  <c r="AI150" i="37"/>
  <c r="R150" i="37"/>
  <c r="AA150" i="37"/>
  <c r="AH150" i="37"/>
  <c r="U150" i="37"/>
  <c r="W150" i="37"/>
  <c r="AG150" i="37"/>
  <c r="Y150" i="37"/>
  <c r="X150" i="37"/>
  <c r="AE150" i="37"/>
  <c r="G150" i="37"/>
  <c r="AC150" i="37" l="1"/>
  <c r="V150" i="37"/>
  <c r="AH151" i="37"/>
  <c r="Y151" i="37"/>
  <c r="X151" i="37"/>
  <c r="Z151" i="37" s="1"/>
  <c r="T151" i="37"/>
  <c r="V151" i="37" s="1"/>
  <c r="W151" i="37"/>
  <c r="AG151" i="37"/>
  <c r="AE151" i="37"/>
  <c r="F152" i="37"/>
  <c r="G151" i="37"/>
  <c r="AB151" i="37"/>
  <c r="AC151" i="37" s="1"/>
  <c r="R151" i="37"/>
  <c r="AI151" i="37"/>
  <c r="AA151" i="37"/>
  <c r="U151" i="37"/>
  <c r="I150" i="37"/>
  <c r="J150" i="37"/>
  <c r="H150" i="37"/>
  <c r="Z150" i="37"/>
  <c r="AD150" i="37"/>
  <c r="AF150" i="37"/>
  <c r="AM150" i="37"/>
  <c r="AN150" i="37" s="1"/>
  <c r="AK150" i="37"/>
  <c r="AL150" i="37" s="1"/>
  <c r="AJ150" i="37"/>
  <c r="T152" i="37" l="1"/>
  <c r="U152" i="37"/>
  <c r="W152" i="37"/>
  <c r="G152" i="37"/>
  <c r="AB152" i="37"/>
  <c r="X152" i="37"/>
  <c r="Z152" i="37" s="1"/>
  <c r="Y152" i="37"/>
  <c r="AG152" i="37"/>
  <c r="AH152" i="37"/>
  <c r="AA152" i="37"/>
  <c r="AE152" i="37"/>
  <c r="F153" i="37"/>
  <c r="R152" i="37"/>
  <c r="AI152" i="37"/>
  <c r="AD151" i="37"/>
  <c r="AK151" i="37"/>
  <c r="AL151" i="37" s="1"/>
  <c r="AJ151" i="37"/>
  <c r="AF151" i="37"/>
  <c r="AM151" i="37"/>
  <c r="AN151" i="37" s="1"/>
  <c r="J151" i="37"/>
  <c r="H151" i="37"/>
  <c r="I151" i="37"/>
  <c r="AD152" i="37" l="1"/>
  <c r="AM152" i="37"/>
  <c r="AN152" i="37" s="1"/>
  <c r="AF152" i="37"/>
  <c r="AJ152" i="37"/>
  <c r="AK152" i="37"/>
  <c r="AL152" i="37" s="1"/>
  <c r="AB153" i="37"/>
  <c r="AA153" i="37"/>
  <c r="R153" i="37"/>
  <c r="Y153" i="37"/>
  <c r="U153" i="37"/>
  <c r="AE153" i="37"/>
  <c r="AG153" i="37"/>
  <c r="AH153" i="37"/>
  <c r="AI153" i="37"/>
  <c r="F154" i="37"/>
  <c r="T153" i="37"/>
  <c r="G153" i="37"/>
  <c r="X153" i="37"/>
  <c r="W153" i="37"/>
  <c r="AC152" i="37"/>
  <c r="H152" i="37"/>
  <c r="J152" i="37"/>
  <c r="I152" i="37"/>
  <c r="V152" i="37"/>
  <c r="AD153" i="37" l="1"/>
  <c r="AK153" i="37"/>
  <c r="AL153" i="37" s="1"/>
  <c r="AM153" i="37"/>
  <c r="AN153" i="37" s="1"/>
  <c r="AF153" i="37"/>
  <c r="AJ153" i="37"/>
  <c r="Z153" i="37"/>
  <c r="J153" i="37"/>
  <c r="I153" i="37"/>
  <c r="H153" i="37"/>
  <c r="AC153" i="37"/>
  <c r="V153" i="37"/>
  <c r="AI154" i="37"/>
  <c r="F155" i="37"/>
  <c r="T154" i="37"/>
  <c r="V154" i="37" s="1"/>
  <c r="R154" i="37"/>
  <c r="W154" i="37"/>
  <c r="AE154" i="37"/>
  <c r="U154" i="37"/>
  <c r="Y154" i="37"/>
  <c r="AB154" i="37"/>
  <c r="AH154" i="37"/>
  <c r="X154" i="37"/>
  <c r="Z154" i="37" s="1"/>
  <c r="AG154" i="37"/>
  <c r="G154" i="37"/>
  <c r="AA154" i="37"/>
  <c r="H154" i="37" l="1"/>
  <c r="I154" i="37"/>
  <c r="J154" i="37"/>
  <c r="F156" i="37"/>
  <c r="AB155" i="37"/>
  <c r="R155" i="37"/>
  <c r="AA155" i="37"/>
  <c r="Y155" i="37"/>
  <c r="AI155" i="37"/>
  <c r="AH155" i="37"/>
  <c r="X155" i="37"/>
  <c r="Z155" i="37" s="1"/>
  <c r="W155" i="37"/>
  <c r="AE155" i="37"/>
  <c r="T155" i="37"/>
  <c r="V155" i="37" s="1"/>
  <c r="U155" i="37"/>
  <c r="G155" i="37"/>
  <c r="AG155" i="37"/>
  <c r="AD154" i="37"/>
  <c r="AF154" i="37"/>
  <c r="AD155" i="37" l="1"/>
  <c r="AF155" i="37"/>
  <c r="AB156" i="37"/>
  <c r="W156" i="37"/>
  <c r="AI156" i="37"/>
  <c r="AH156" i="37"/>
  <c r="AA156" i="37"/>
  <c r="F157" i="37"/>
  <c r="Y156" i="37"/>
  <c r="X156" i="37"/>
  <c r="Z156" i="37" s="1"/>
  <c r="AG156" i="37"/>
  <c r="G156" i="37"/>
  <c r="AE156" i="37"/>
  <c r="R156" i="37"/>
  <c r="U156" i="37"/>
  <c r="T156" i="37"/>
  <c r="V156" i="37" s="1"/>
  <c r="I155" i="37"/>
  <c r="J155" i="37"/>
  <c r="H155" i="37"/>
  <c r="H156" i="37" l="1"/>
  <c r="I156" i="37"/>
  <c r="J156" i="37"/>
  <c r="T157" i="37"/>
  <c r="V157" i="37" s="1"/>
  <c r="AG157" i="37"/>
  <c r="F158" i="37"/>
  <c r="W157" i="37"/>
  <c r="AA157" i="37"/>
  <c r="Y157" i="37"/>
  <c r="AE157" i="37"/>
  <c r="G157" i="37"/>
  <c r="R157" i="37"/>
  <c r="AB157" i="37"/>
  <c r="AC157" i="37" s="1"/>
  <c r="AI157" i="37"/>
  <c r="AH157" i="37"/>
  <c r="X157" i="37"/>
  <c r="U157" i="37"/>
  <c r="AD156" i="37"/>
  <c r="AF156" i="37"/>
  <c r="H157" i="37" l="1"/>
  <c r="I157" i="37"/>
  <c r="J157" i="37"/>
  <c r="Y158" i="37"/>
  <c r="W158" i="37"/>
  <c r="T158" i="37"/>
  <c r="V158" i="37" s="1"/>
  <c r="AE158" i="37"/>
  <c r="AG158" i="37"/>
  <c r="G158" i="37"/>
  <c r="AH158" i="37"/>
  <c r="AI158" i="37"/>
  <c r="AB158" i="37"/>
  <c r="AC158" i="37" s="1"/>
  <c r="R158" i="37"/>
  <c r="F159" i="37"/>
  <c r="U158" i="37"/>
  <c r="X158" i="37"/>
  <c r="AA158" i="37"/>
  <c r="AD157" i="37"/>
  <c r="AJ157" i="37"/>
  <c r="AK157" i="37"/>
  <c r="AL157" i="37" s="1"/>
  <c r="AM157" i="37"/>
  <c r="AN157" i="37" s="1"/>
  <c r="AF157" i="37"/>
  <c r="Z157" i="37"/>
  <c r="H158" i="37" l="1"/>
  <c r="J158" i="37"/>
  <c r="I158" i="37"/>
  <c r="AD158" i="37"/>
  <c r="AJ158" i="37"/>
  <c r="AK158" i="37"/>
  <c r="AL158" i="37" s="1"/>
  <c r="AF158" i="37"/>
  <c r="AM158" i="37"/>
  <c r="AN158" i="37" s="1"/>
  <c r="Y159" i="37"/>
  <c r="X159" i="37"/>
  <c r="Z159" i="37" s="1"/>
  <c r="W159" i="37"/>
  <c r="T159" i="37"/>
  <c r="V159" i="37" s="1"/>
  <c r="AA159" i="37"/>
  <c r="AG159" i="37"/>
  <c r="AE159" i="37"/>
  <c r="U159" i="37"/>
  <c r="G159" i="37"/>
  <c r="AI159" i="37"/>
  <c r="F160" i="37"/>
  <c r="AB159" i="37"/>
  <c r="R159" i="37"/>
  <c r="AH159" i="37"/>
  <c r="Z158" i="37"/>
  <c r="AI160" i="37" l="1"/>
  <c r="F161" i="37"/>
  <c r="AB160" i="37"/>
  <c r="AH160" i="37"/>
  <c r="U160" i="37"/>
  <c r="W160" i="37"/>
  <c r="X160" i="37"/>
  <c r="T160" i="37"/>
  <c r="V160" i="37" s="1"/>
  <c r="AA160" i="37"/>
  <c r="AE160" i="37"/>
  <c r="AG160" i="37"/>
  <c r="G160" i="37"/>
  <c r="R160" i="37"/>
  <c r="Y160" i="37"/>
  <c r="I159" i="37"/>
  <c r="J159" i="37"/>
  <c r="H159" i="37"/>
  <c r="AD159" i="37"/>
  <c r="AF159" i="37"/>
  <c r="H160" i="37" l="1"/>
  <c r="J160" i="37"/>
  <c r="I160" i="37"/>
  <c r="AD160" i="37"/>
  <c r="AF160" i="37"/>
  <c r="AM160" i="37"/>
  <c r="AN160" i="37" s="1"/>
  <c r="AK160" i="37"/>
  <c r="AL160" i="37" s="1"/>
  <c r="AJ160" i="37"/>
  <c r="Z160" i="37"/>
  <c r="AC160" i="37"/>
  <c r="AI161" i="37"/>
  <c r="AH161" i="37"/>
  <c r="X161" i="37"/>
  <c r="Z161" i="37" s="1"/>
  <c r="U161" i="37"/>
  <c r="AA161" i="37"/>
  <c r="Y161" i="37"/>
  <c r="AE161" i="37"/>
  <c r="AG161" i="37"/>
  <c r="W161" i="37"/>
  <c r="T161" i="37"/>
  <c r="G161" i="37"/>
  <c r="F162" i="37"/>
  <c r="R161" i="37"/>
  <c r="AB161" i="37"/>
  <c r="AC161" i="37" s="1"/>
  <c r="AA162" i="37" l="1"/>
  <c r="W162" i="37"/>
  <c r="U162" i="37"/>
  <c r="Y162" i="37"/>
  <c r="T162" i="37"/>
  <c r="V162" i="37" s="1"/>
  <c r="AE162" i="37"/>
  <c r="AG162" i="37"/>
  <c r="F163" i="37"/>
  <c r="G162" i="37"/>
  <c r="AB162" i="37"/>
  <c r="R162" i="37"/>
  <c r="X162" i="37"/>
  <c r="Z162" i="37" s="1"/>
  <c r="AI162" i="37"/>
  <c r="AH162" i="37"/>
  <c r="J161" i="37"/>
  <c r="I161" i="37"/>
  <c r="H161" i="37"/>
  <c r="V161" i="37"/>
  <c r="AD161" i="37"/>
  <c r="AM161" i="37"/>
  <c r="AN161" i="37" s="1"/>
  <c r="AJ161" i="37"/>
  <c r="AK161" i="37"/>
  <c r="AL161" i="37" s="1"/>
  <c r="AF161" i="37"/>
  <c r="AC162" i="37" l="1"/>
  <c r="I162" i="37"/>
  <c r="H162" i="37"/>
  <c r="J162" i="37"/>
  <c r="AB163" i="37"/>
  <c r="R163" i="37"/>
  <c r="AI163" i="37"/>
  <c r="AH163" i="37"/>
  <c r="Y163" i="37"/>
  <c r="X163" i="37"/>
  <c r="Z163" i="37" s="1"/>
  <c r="AA163" i="37"/>
  <c r="T163" i="37"/>
  <c r="U163" i="37"/>
  <c r="AG163" i="37"/>
  <c r="W163" i="37"/>
  <c r="AE163" i="37"/>
  <c r="F164" i="37"/>
  <c r="G163" i="37"/>
  <c r="AD162" i="37"/>
  <c r="AF162" i="37"/>
  <c r="AK162" i="37"/>
  <c r="AL162" i="37" s="1"/>
  <c r="AM162" i="37"/>
  <c r="AN162" i="37" s="1"/>
  <c r="AJ162" i="37"/>
  <c r="J163" i="37" l="1"/>
  <c r="I163" i="37"/>
  <c r="H163" i="37"/>
  <c r="V163" i="37"/>
  <c r="AI164" i="37"/>
  <c r="AH164" i="37"/>
  <c r="T164" i="37"/>
  <c r="V164" i="37" s="1"/>
  <c r="Y164" i="37"/>
  <c r="G164" i="37"/>
  <c r="X164" i="37"/>
  <c r="AG164" i="37"/>
  <c r="AB164" i="37"/>
  <c r="AA164" i="37"/>
  <c r="W164" i="37"/>
  <c r="U164" i="37"/>
  <c r="AE164" i="37"/>
  <c r="F165" i="37"/>
  <c r="R164" i="37"/>
  <c r="AD163" i="37"/>
  <c r="AF163" i="37"/>
  <c r="Z164" i="37" l="1"/>
  <c r="J164" i="37"/>
  <c r="I164" i="37"/>
  <c r="H164" i="37"/>
  <c r="R165" i="37"/>
  <c r="AH165" i="37"/>
  <c r="T165" i="37"/>
  <c r="AA165" i="37"/>
  <c r="U165" i="37"/>
  <c r="AE165" i="37"/>
  <c r="W165" i="37"/>
  <c r="X165" i="37"/>
  <c r="Y165" i="37"/>
  <c r="AG165" i="37"/>
  <c r="G165" i="37"/>
  <c r="AB165" i="37"/>
  <c r="AI165" i="37"/>
  <c r="F166" i="37"/>
  <c r="AD164" i="37"/>
  <c r="AF164" i="37"/>
  <c r="Z165" i="37" l="1"/>
  <c r="AD165" i="37"/>
  <c r="AF165" i="37"/>
  <c r="Y166" i="37"/>
  <c r="X166" i="37"/>
  <c r="Z166" i="37" s="1"/>
  <c r="AA166" i="37"/>
  <c r="T166" i="37"/>
  <c r="U166" i="37"/>
  <c r="AI166" i="37"/>
  <c r="W166" i="37"/>
  <c r="AG166" i="37"/>
  <c r="F167" i="37"/>
  <c r="AE166" i="37"/>
  <c r="R166" i="37"/>
  <c r="G166" i="37"/>
  <c r="AB166" i="37"/>
  <c r="AH166" i="37"/>
  <c r="V165" i="37"/>
  <c r="J165" i="37"/>
  <c r="I165" i="37"/>
  <c r="H165" i="37"/>
  <c r="AA167" i="37" l="1"/>
  <c r="W167" i="37"/>
  <c r="AE167" i="37"/>
  <c r="U167" i="37"/>
  <c r="Y167" i="37"/>
  <c r="AG167" i="37"/>
  <c r="X167" i="37"/>
  <c r="Z167" i="37" s="1"/>
  <c r="T167" i="37"/>
  <c r="V167" i="37" s="1"/>
  <c r="G167" i="37"/>
  <c r="R167" i="37"/>
  <c r="AB167" i="37"/>
  <c r="F168" i="37"/>
  <c r="AH167" i="37"/>
  <c r="AI167" i="37"/>
  <c r="V166" i="37"/>
  <c r="AD166" i="37"/>
  <c r="AM166" i="37"/>
  <c r="AN166" i="37" s="1"/>
  <c r="AK166" i="37"/>
  <c r="AL166" i="37" s="1"/>
  <c r="AJ166" i="37"/>
  <c r="AF166" i="37"/>
  <c r="AC166" i="37"/>
  <c r="J166" i="37"/>
  <c r="I166" i="37"/>
  <c r="H166" i="37"/>
  <c r="AA168" i="37" l="1"/>
  <c r="Y168" i="37"/>
  <c r="X168" i="37"/>
  <c r="Z168" i="37" s="1"/>
  <c r="AG168" i="37"/>
  <c r="W168" i="37"/>
  <c r="T168" i="37"/>
  <c r="U168" i="37"/>
  <c r="AE168" i="37"/>
  <c r="AB168" i="37"/>
  <c r="G168" i="37"/>
  <c r="F169" i="37"/>
  <c r="R168" i="37"/>
  <c r="AH168" i="37"/>
  <c r="AI168" i="37"/>
  <c r="H167" i="37"/>
  <c r="J167" i="37"/>
  <c r="I167" i="37"/>
  <c r="AD167" i="37"/>
  <c r="AF167" i="37"/>
  <c r="AB169" i="37" l="1"/>
  <c r="AC169" i="37" s="1"/>
  <c r="R169" i="37"/>
  <c r="AI169" i="37"/>
  <c r="T169" i="37"/>
  <c r="G169" i="37"/>
  <c r="F170" i="37"/>
  <c r="AH169" i="37"/>
  <c r="U169" i="37"/>
  <c r="Y169" i="37"/>
  <c r="X169" i="37"/>
  <c r="Z169" i="37" s="1"/>
  <c r="AA169" i="37"/>
  <c r="W169" i="37"/>
  <c r="AG169" i="37"/>
  <c r="AE169" i="37"/>
  <c r="AD168" i="37"/>
  <c r="AM168" i="37"/>
  <c r="AN168" i="37" s="1"/>
  <c r="AK168" i="37"/>
  <c r="AL168" i="37" s="1"/>
  <c r="AF168" i="37"/>
  <c r="AJ168" i="37"/>
  <c r="V168" i="37"/>
  <c r="AC168" i="37"/>
  <c r="I168" i="37"/>
  <c r="J168" i="37"/>
  <c r="H168" i="37"/>
  <c r="AD169" i="37" l="1"/>
  <c r="AJ169" i="37"/>
  <c r="AM169" i="37"/>
  <c r="AN169" i="37" s="1"/>
  <c r="AK169" i="37"/>
  <c r="AL169" i="37" s="1"/>
  <c r="AF169" i="37"/>
  <c r="AA170" i="37"/>
  <c r="Y170" i="37"/>
  <c r="X170" i="37"/>
  <c r="Z170" i="37" s="1"/>
  <c r="F171" i="37"/>
  <c r="G170" i="37"/>
  <c r="T170" i="37"/>
  <c r="V170" i="37" s="1"/>
  <c r="W170" i="37"/>
  <c r="U170" i="37"/>
  <c r="AG170" i="37"/>
  <c r="AE170" i="37"/>
  <c r="AI170" i="37"/>
  <c r="R170" i="37"/>
  <c r="AB170" i="37"/>
  <c r="AC170" i="37" s="1"/>
  <c r="AH170" i="37"/>
  <c r="I169" i="37"/>
  <c r="H169" i="37"/>
  <c r="J169" i="37"/>
  <c r="V169" i="37"/>
  <c r="AB171" i="37" l="1"/>
  <c r="G171" i="37"/>
  <c r="AH171" i="37"/>
  <c r="F172" i="37"/>
  <c r="AI171" i="37"/>
  <c r="T171" i="37"/>
  <c r="R171" i="37"/>
  <c r="U171" i="37"/>
  <c r="W171" i="37"/>
  <c r="Y171" i="37"/>
  <c r="AA171" i="37"/>
  <c r="AG171" i="37"/>
  <c r="AE171" i="37"/>
  <c r="X171" i="37"/>
  <c r="Z171" i="37" s="1"/>
  <c r="J170" i="37"/>
  <c r="I170" i="37"/>
  <c r="H170" i="37"/>
  <c r="AD170" i="37"/>
  <c r="AF170" i="37"/>
  <c r="AJ170" i="37"/>
  <c r="AM170" i="37"/>
  <c r="AN170" i="37" s="1"/>
  <c r="AK170" i="37"/>
  <c r="AL170" i="37" s="1"/>
  <c r="AD171" i="37" l="1"/>
  <c r="AK171" i="37"/>
  <c r="AL171" i="37" s="1"/>
  <c r="AM171" i="37"/>
  <c r="AN171" i="37" s="1"/>
  <c r="AF171" i="37"/>
  <c r="AJ171" i="37"/>
  <c r="AI172" i="37"/>
  <c r="AH172" i="37"/>
  <c r="Y172" i="37"/>
  <c r="X172" i="37"/>
  <c r="Z172" i="37" s="1"/>
  <c r="AA172" i="37"/>
  <c r="U172" i="37"/>
  <c r="AE172" i="37"/>
  <c r="F173" i="37"/>
  <c r="W172" i="37"/>
  <c r="T172" i="37"/>
  <c r="AG172" i="37"/>
  <c r="R172" i="37"/>
  <c r="AB172" i="37"/>
  <c r="AC172" i="37" s="1"/>
  <c r="G172" i="37"/>
  <c r="I171" i="37"/>
  <c r="J171" i="37"/>
  <c r="H171" i="37"/>
  <c r="V171" i="37"/>
  <c r="AC171" i="37"/>
  <c r="AH173" i="37" l="1"/>
  <c r="R173" i="37"/>
  <c r="U173" i="37"/>
  <c r="G173" i="37"/>
  <c r="X173" i="37"/>
  <c r="W173" i="37"/>
  <c r="AE173" i="37"/>
  <c r="AG173" i="37"/>
  <c r="AI173" i="37"/>
  <c r="F174" i="37"/>
  <c r="AA173" i="37"/>
  <c r="Y173" i="37"/>
  <c r="T173" i="37"/>
  <c r="V173" i="37" s="1"/>
  <c r="AB173" i="37"/>
  <c r="AC173" i="37" s="1"/>
  <c r="AD172" i="37"/>
  <c r="AF172" i="37"/>
  <c r="AM172" i="37"/>
  <c r="AN172" i="37" s="1"/>
  <c r="AK172" i="37"/>
  <c r="AL172" i="37" s="1"/>
  <c r="AJ172" i="37"/>
  <c r="J172" i="37"/>
  <c r="I172" i="37"/>
  <c r="H172" i="37"/>
  <c r="V172" i="37"/>
  <c r="AI174" i="37" l="1"/>
  <c r="G174" i="37"/>
  <c r="AA174" i="37"/>
  <c r="Y174" i="37"/>
  <c r="T174" i="37"/>
  <c r="AE174" i="37"/>
  <c r="AH174" i="37"/>
  <c r="F175" i="37"/>
  <c r="R174" i="37"/>
  <c r="AG174" i="37"/>
  <c r="AB174" i="37"/>
  <c r="AC174" i="37" s="1"/>
  <c r="U174" i="37"/>
  <c r="W174" i="37"/>
  <c r="X174" i="37"/>
  <c r="Z174" i="37" s="1"/>
  <c r="AD173" i="37"/>
  <c r="AK173" i="37"/>
  <c r="AL173" i="37" s="1"/>
  <c r="AM173" i="37"/>
  <c r="AN173" i="37" s="1"/>
  <c r="AF173" i="37"/>
  <c r="AJ173" i="37"/>
  <c r="I173" i="37"/>
  <c r="H173" i="37"/>
  <c r="J173" i="37"/>
  <c r="Z173" i="37"/>
  <c r="AB175" i="37" l="1"/>
  <c r="AI175" i="37"/>
  <c r="AH175" i="37"/>
  <c r="W175" i="37"/>
  <c r="AA175" i="37"/>
  <c r="Y175" i="37"/>
  <c r="X175" i="37"/>
  <c r="Z175" i="37" s="1"/>
  <c r="AG175" i="37"/>
  <c r="T175" i="37"/>
  <c r="R175" i="37"/>
  <c r="G175" i="37"/>
  <c r="U175" i="37"/>
  <c r="AE175" i="37"/>
  <c r="F176" i="37"/>
  <c r="AD174" i="37"/>
  <c r="AK174" i="37"/>
  <c r="AL174" i="37" s="1"/>
  <c r="AM174" i="37"/>
  <c r="AN174" i="37" s="1"/>
  <c r="AF174" i="37"/>
  <c r="AJ174" i="37"/>
  <c r="H174" i="37"/>
  <c r="J174" i="37"/>
  <c r="I174" i="37"/>
  <c r="V174" i="37"/>
  <c r="AI176" i="37" l="1"/>
  <c r="G176" i="37"/>
  <c r="AH176" i="37"/>
  <c r="R176" i="37"/>
  <c r="AA176" i="37"/>
  <c r="U176" i="37"/>
  <c r="AB176" i="37"/>
  <c r="AC176" i="37" s="1"/>
  <c r="F177" i="37"/>
  <c r="X176" i="37"/>
  <c r="T176" i="37"/>
  <c r="V176" i="37" s="1"/>
  <c r="W176" i="37"/>
  <c r="AE176" i="37"/>
  <c r="Y176" i="37"/>
  <c r="AG176" i="37"/>
  <c r="J175" i="37"/>
  <c r="H175" i="37"/>
  <c r="I175" i="37"/>
  <c r="V175" i="37"/>
  <c r="AD175" i="37"/>
  <c r="AF175" i="37"/>
  <c r="AJ175" i="37"/>
  <c r="AK175" i="37"/>
  <c r="AL175" i="37" s="1"/>
  <c r="AM175" i="37"/>
  <c r="AN175" i="37" s="1"/>
  <c r="AC175" i="37"/>
  <c r="AD176" i="37" l="1"/>
  <c r="AK176" i="37"/>
  <c r="AL176" i="37" s="1"/>
  <c r="AF176" i="37"/>
  <c r="AM176" i="37"/>
  <c r="AN176" i="37" s="1"/>
  <c r="AJ176" i="37"/>
  <c r="AI177" i="37"/>
  <c r="U177" i="37"/>
  <c r="X177" i="37"/>
  <c r="AA177" i="37"/>
  <c r="AE177" i="37"/>
  <c r="R177" i="37"/>
  <c r="AH177" i="37"/>
  <c r="Y177" i="37"/>
  <c r="T177" i="37"/>
  <c r="V177" i="37" s="1"/>
  <c r="AG177" i="37"/>
  <c r="G177" i="37"/>
  <c r="F178" i="37"/>
  <c r="AB177" i="37"/>
  <c r="W177" i="37"/>
  <c r="Z176" i="37"/>
  <c r="J176" i="37"/>
  <c r="H176" i="37"/>
  <c r="I176" i="37"/>
  <c r="Z177" i="37" l="1"/>
  <c r="AD177" i="37"/>
  <c r="AF177" i="37"/>
  <c r="AB178" i="37"/>
  <c r="AI178" i="37"/>
  <c r="AH178" i="37"/>
  <c r="U178" i="37"/>
  <c r="W178" i="37"/>
  <c r="T178" i="37"/>
  <c r="V178" i="37" s="1"/>
  <c r="X178" i="37"/>
  <c r="Z178" i="37" s="1"/>
  <c r="AA178" i="37"/>
  <c r="F179" i="37"/>
  <c r="R178" i="37"/>
  <c r="G178" i="37"/>
  <c r="Y178" i="37"/>
  <c r="AG178" i="37"/>
  <c r="AE178" i="37"/>
  <c r="H177" i="37"/>
  <c r="J177" i="37"/>
  <c r="I177" i="37"/>
  <c r="AI179" i="37" l="1"/>
  <c r="G179" i="37"/>
  <c r="F180" i="37"/>
  <c r="R179" i="37"/>
  <c r="AH179" i="37"/>
  <c r="W179" i="37"/>
  <c r="AE179" i="37"/>
  <c r="AA179" i="37"/>
  <c r="U179" i="37"/>
  <c r="X179" i="37"/>
  <c r="T179" i="37"/>
  <c r="V179" i="37" s="1"/>
  <c r="Y179" i="37"/>
  <c r="AG179" i="37"/>
  <c r="AB179" i="37"/>
  <c r="AD178" i="37"/>
  <c r="AF178" i="37"/>
  <c r="H178" i="37"/>
  <c r="J178" i="37"/>
  <c r="I178" i="37"/>
  <c r="AD179" i="37" l="1"/>
  <c r="AF179" i="37"/>
  <c r="Y180" i="37"/>
  <c r="W180" i="37"/>
  <c r="X180" i="37"/>
  <c r="Z180" i="37" s="1"/>
  <c r="AA180" i="37"/>
  <c r="AG180" i="37"/>
  <c r="G180" i="37"/>
  <c r="AB180" i="37"/>
  <c r="F181" i="37"/>
  <c r="AI180" i="37"/>
  <c r="R180" i="37"/>
  <c r="T180" i="37"/>
  <c r="V180" i="37" s="1"/>
  <c r="AE180" i="37"/>
  <c r="U180" i="37"/>
  <c r="AH180" i="37"/>
  <c r="J179" i="37"/>
  <c r="I179" i="37"/>
  <c r="H179" i="37"/>
  <c r="Z179" i="37"/>
  <c r="Y181" i="37" l="1"/>
  <c r="AE181" i="37"/>
  <c r="T181" i="37"/>
  <c r="X181" i="37"/>
  <c r="Z181" i="37" s="1"/>
  <c r="AG181" i="37"/>
  <c r="AA181" i="37"/>
  <c r="U181" i="37"/>
  <c r="F182" i="37"/>
  <c r="AB181" i="37"/>
  <c r="AI181" i="37"/>
  <c r="W181" i="37"/>
  <c r="G181" i="37"/>
  <c r="R181" i="37"/>
  <c r="AH181" i="37"/>
  <c r="J180" i="37"/>
  <c r="I180" i="37"/>
  <c r="H180" i="37"/>
  <c r="AD180" i="37"/>
  <c r="AF180" i="37"/>
  <c r="AC181" i="37" l="1"/>
  <c r="X182" i="37"/>
  <c r="U182" i="37"/>
  <c r="T182" i="37"/>
  <c r="V182" i="37" s="1"/>
  <c r="W182" i="37"/>
  <c r="Y182" i="37"/>
  <c r="AG182" i="37"/>
  <c r="AE182" i="37"/>
  <c r="R182" i="37"/>
  <c r="AI182" i="37"/>
  <c r="AH182" i="37"/>
  <c r="AA182" i="37"/>
  <c r="F183" i="37"/>
  <c r="G182" i="37"/>
  <c r="AB182" i="37"/>
  <c r="V181" i="37"/>
  <c r="H181" i="37"/>
  <c r="I181" i="37"/>
  <c r="J181" i="37"/>
  <c r="AD181" i="37"/>
  <c r="AK181" i="37"/>
  <c r="AL181" i="37" s="1"/>
  <c r="AJ181" i="37"/>
  <c r="AF181" i="37"/>
  <c r="AM181" i="37"/>
  <c r="AN181" i="37" s="1"/>
  <c r="X183" i="37" l="1"/>
  <c r="W183" i="37"/>
  <c r="U183" i="37"/>
  <c r="T183" i="37"/>
  <c r="V183" i="37" s="1"/>
  <c r="AA183" i="37"/>
  <c r="AG183" i="37"/>
  <c r="AE183" i="37"/>
  <c r="F184" i="37"/>
  <c r="AI183" i="37"/>
  <c r="R183" i="37"/>
  <c r="AH183" i="37"/>
  <c r="Y183" i="37"/>
  <c r="AB183" i="37"/>
  <c r="AC183" i="37" s="1"/>
  <c r="G183" i="37"/>
  <c r="AD182" i="37"/>
  <c r="AF182" i="37"/>
  <c r="Z182" i="37"/>
  <c r="J182" i="37"/>
  <c r="I182" i="37"/>
  <c r="H182" i="37"/>
  <c r="H183" i="37" l="1"/>
  <c r="J183" i="37"/>
  <c r="I183" i="37"/>
  <c r="AB184" i="37"/>
  <c r="R184" i="37"/>
  <c r="AH184" i="37"/>
  <c r="AI184" i="37"/>
  <c r="AA184" i="37"/>
  <c r="W184" i="37"/>
  <c r="X184" i="37"/>
  <c r="Y184" i="37"/>
  <c r="AE184" i="37"/>
  <c r="G184" i="37"/>
  <c r="U184" i="37"/>
  <c r="F185" i="37"/>
  <c r="T184" i="37"/>
  <c r="AG184" i="37"/>
  <c r="AD183" i="37"/>
  <c r="AF183" i="37"/>
  <c r="AM183" i="37"/>
  <c r="AN183" i="37" s="1"/>
  <c r="AK183" i="37"/>
  <c r="AL183" i="37" s="1"/>
  <c r="AJ183" i="37"/>
  <c r="Z183" i="37"/>
  <c r="I184" i="37" l="1"/>
  <c r="J184" i="37"/>
  <c r="H184" i="37"/>
  <c r="AD184" i="37"/>
  <c r="AF184" i="37"/>
  <c r="V184" i="37"/>
  <c r="Z184" i="37"/>
  <c r="W185" i="37"/>
  <c r="AA185" i="37"/>
  <c r="T185" i="37"/>
  <c r="U185" i="37"/>
  <c r="Y185" i="37"/>
  <c r="X185" i="37"/>
  <c r="Z185" i="37" s="1"/>
  <c r="AG185" i="37"/>
  <c r="G185" i="37"/>
  <c r="AB185" i="37"/>
  <c r="F186" i="37"/>
  <c r="AH185" i="37"/>
  <c r="R185" i="37"/>
  <c r="AE185" i="37"/>
  <c r="AI185" i="37"/>
  <c r="AI186" i="37" l="1"/>
  <c r="F187" i="37"/>
  <c r="AH186" i="37"/>
  <c r="R186" i="37"/>
  <c r="W186" i="37"/>
  <c r="T186" i="37"/>
  <c r="U186" i="37"/>
  <c r="AA186" i="37"/>
  <c r="AG186" i="37"/>
  <c r="AB186" i="37"/>
  <c r="AC186" i="37" s="1"/>
  <c r="X186" i="37"/>
  <c r="Y186" i="37"/>
  <c r="AE186" i="37"/>
  <c r="G186" i="37"/>
  <c r="V185" i="37"/>
  <c r="AD185" i="37"/>
  <c r="AF185" i="37"/>
  <c r="AJ185" i="37"/>
  <c r="AK185" i="37"/>
  <c r="AL185" i="37" s="1"/>
  <c r="AM185" i="37"/>
  <c r="AN185" i="37" s="1"/>
  <c r="AC185" i="37"/>
  <c r="J185" i="37"/>
  <c r="I185" i="37"/>
  <c r="H185" i="37"/>
  <c r="AD186" i="37" l="1"/>
  <c r="AF186" i="37"/>
  <c r="AJ186" i="37"/>
  <c r="AK186" i="37"/>
  <c r="AL186" i="37" s="1"/>
  <c r="AM186" i="37"/>
  <c r="AN186" i="37" s="1"/>
  <c r="H186" i="37"/>
  <c r="J186" i="37"/>
  <c r="I186" i="37"/>
  <c r="V186" i="37"/>
  <c r="AG187" i="37"/>
  <c r="Y187" i="37"/>
  <c r="W187" i="37"/>
  <c r="U187" i="37"/>
  <c r="AA187" i="37"/>
  <c r="X187" i="37"/>
  <c r="T187" i="37"/>
  <c r="AE187" i="37"/>
  <c r="G187" i="37"/>
  <c r="R187" i="37"/>
  <c r="AB187" i="37"/>
  <c r="AC187" i="37" s="1"/>
  <c r="AI187" i="37"/>
  <c r="F188" i="37"/>
  <c r="AH187" i="37"/>
  <c r="Z186" i="37"/>
  <c r="AB188" i="37" l="1"/>
  <c r="F189" i="37"/>
  <c r="W188" i="37"/>
  <c r="U188" i="37"/>
  <c r="AI188" i="37"/>
  <c r="G188" i="37"/>
  <c r="AH188" i="37"/>
  <c r="R188" i="37"/>
  <c r="Y188" i="37"/>
  <c r="X188" i="37"/>
  <c r="Z188" i="37" s="1"/>
  <c r="AA188" i="37"/>
  <c r="T188" i="37"/>
  <c r="V188" i="37" s="1"/>
  <c r="AE188" i="37"/>
  <c r="AG188" i="37"/>
  <c r="H187" i="37"/>
  <c r="I187" i="37"/>
  <c r="J187" i="37"/>
  <c r="AD187" i="37"/>
  <c r="AF187" i="37"/>
  <c r="AM187" i="37"/>
  <c r="AN187" i="37" s="1"/>
  <c r="AK187" i="37"/>
  <c r="AL187" i="37" s="1"/>
  <c r="AJ187" i="37"/>
  <c r="V187" i="37"/>
  <c r="Z187" i="37"/>
  <c r="AD188" i="37" l="1"/>
  <c r="AF188" i="37"/>
  <c r="AH189" i="37"/>
  <c r="W189" i="37"/>
  <c r="AE189" i="37"/>
  <c r="F190" i="37"/>
  <c r="AG189" i="37"/>
  <c r="AB189" i="37"/>
  <c r="AC189" i="37" s="1"/>
  <c r="AI189" i="37"/>
  <c r="X189" i="37"/>
  <c r="Y189" i="37"/>
  <c r="U189" i="37"/>
  <c r="T189" i="37"/>
  <c r="V189" i="37" s="1"/>
  <c r="AA189" i="37"/>
  <c r="G189" i="37"/>
  <c r="R189" i="37"/>
  <c r="I188" i="37"/>
  <c r="H188" i="37"/>
  <c r="J188" i="37"/>
  <c r="Z189" i="37" l="1"/>
  <c r="AB190" i="37"/>
  <c r="F191" i="37"/>
  <c r="W190" i="37"/>
  <c r="X190" i="37"/>
  <c r="AI190" i="37"/>
  <c r="AH190" i="37"/>
  <c r="AG190" i="37"/>
  <c r="AA190" i="37"/>
  <c r="T190" i="37"/>
  <c r="AE190" i="37"/>
  <c r="U190" i="37"/>
  <c r="Y190" i="37"/>
  <c r="R190" i="37"/>
  <c r="G190" i="37"/>
  <c r="AD189" i="37"/>
  <c r="AM189" i="37"/>
  <c r="AN189" i="37" s="1"/>
  <c r="AF189" i="37"/>
  <c r="AJ189" i="37"/>
  <c r="AK189" i="37"/>
  <c r="AL189" i="37" s="1"/>
  <c r="J189" i="37"/>
  <c r="I189" i="37"/>
  <c r="H189" i="37"/>
  <c r="AD190" i="37" l="1"/>
  <c r="AF190" i="37"/>
  <c r="Z190" i="37"/>
  <c r="V190" i="37"/>
  <c r="W191" i="37"/>
  <c r="T191" i="37"/>
  <c r="Y191" i="37"/>
  <c r="X191" i="37"/>
  <c r="Z191" i="37" s="1"/>
  <c r="R191" i="37"/>
  <c r="U191" i="37"/>
  <c r="AE191" i="37"/>
  <c r="AG191" i="37"/>
  <c r="G191" i="37"/>
  <c r="F192" i="37"/>
  <c r="AH191" i="37"/>
  <c r="AI191" i="37"/>
  <c r="AB191" i="37"/>
  <c r="AA191" i="37"/>
  <c r="I190" i="37"/>
  <c r="H190" i="37"/>
  <c r="J190" i="37"/>
  <c r="J191" i="37" l="1"/>
  <c r="I191" i="37"/>
  <c r="H191" i="37"/>
  <c r="AD191" i="37"/>
  <c r="AF191" i="37"/>
  <c r="AJ191" i="37"/>
  <c r="AM191" i="37"/>
  <c r="AN191" i="37" s="1"/>
  <c r="AK191" i="37"/>
  <c r="AL191" i="37" s="1"/>
  <c r="AI192" i="37"/>
  <c r="F193" i="37"/>
  <c r="G192" i="37"/>
  <c r="X192" i="37"/>
  <c r="Z192" i="37" s="1"/>
  <c r="U192" i="37"/>
  <c r="AH192" i="37"/>
  <c r="AA192" i="37"/>
  <c r="Y192" i="37"/>
  <c r="W192" i="37"/>
  <c r="AG192" i="37"/>
  <c r="T192" i="37"/>
  <c r="AE192" i="37"/>
  <c r="AB192" i="37"/>
  <c r="AC192" i="37" s="1"/>
  <c r="R192" i="37"/>
  <c r="V191" i="37"/>
  <c r="AC191" i="37"/>
  <c r="Y193" i="37" l="1"/>
  <c r="T193" i="37"/>
  <c r="W193" i="37"/>
  <c r="X193" i="37"/>
  <c r="Z193" i="37" s="1"/>
  <c r="AA193" i="37"/>
  <c r="AI193" i="37"/>
  <c r="G193" i="37"/>
  <c r="U193" i="37"/>
  <c r="AG193" i="37"/>
  <c r="AE193" i="37"/>
  <c r="AB193" i="37"/>
  <c r="AC193" i="37" s="1"/>
  <c r="R193" i="37"/>
  <c r="F194" i="37"/>
  <c r="AH193" i="37"/>
  <c r="AD192" i="37"/>
  <c r="AF192" i="37"/>
  <c r="AM192" i="37"/>
  <c r="AN192" i="37" s="1"/>
  <c r="AK192" i="37"/>
  <c r="AL192" i="37" s="1"/>
  <c r="AJ192" i="37"/>
  <c r="V192" i="37"/>
  <c r="I192" i="37"/>
  <c r="J192" i="37"/>
  <c r="H192" i="37"/>
  <c r="AB194" i="37" l="1"/>
  <c r="AI194" i="37"/>
  <c r="AH194" i="37"/>
  <c r="R194" i="37"/>
  <c r="G194" i="37"/>
  <c r="F195" i="37"/>
  <c r="AA194" i="37"/>
  <c r="Y194" i="37"/>
  <c r="U194" i="37"/>
  <c r="T194" i="37"/>
  <c r="V194" i="37" s="1"/>
  <c r="W194" i="37"/>
  <c r="X194" i="37"/>
  <c r="Z194" i="37" s="1"/>
  <c r="AE194" i="37"/>
  <c r="AG194" i="37"/>
  <c r="AD193" i="37"/>
  <c r="AF193" i="37"/>
  <c r="AK193" i="37"/>
  <c r="AL193" i="37" s="1"/>
  <c r="AM193" i="37"/>
  <c r="AN193" i="37" s="1"/>
  <c r="AJ193" i="37"/>
  <c r="H193" i="37"/>
  <c r="I193" i="37"/>
  <c r="J193" i="37"/>
  <c r="V193" i="37"/>
  <c r="AB195" i="37" l="1"/>
  <c r="F196" i="37"/>
  <c r="AI195" i="37"/>
  <c r="R195" i="37"/>
  <c r="Y195" i="37"/>
  <c r="G195" i="37"/>
  <c r="AH195" i="37"/>
  <c r="X195" i="37"/>
  <c r="Z195" i="37" s="1"/>
  <c r="U195" i="37"/>
  <c r="W195" i="37"/>
  <c r="AA195" i="37"/>
  <c r="T195" i="37"/>
  <c r="V195" i="37" s="1"/>
  <c r="AE195" i="37"/>
  <c r="AG195" i="37"/>
  <c r="I194" i="37"/>
  <c r="H194" i="37"/>
  <c r="J194" i="37"/>
  <c r="AD194" i="37"/>
  <c r="AM194" i="37"/>
  <c r="AN194" i="37" s="1"/>
  <c r="AF194" i="37"/>
  <c r="AJ194" i="37"/>
  <c r="AK194" i="37"/>
  <c r="AL194" i="37" s="1"/>
  <c r="AC194" i="37"/>
  <c r="AD195" i="37" l="1"/>
  <c r="AF195" i="37"/>
  <c r="AM195" i="37"/>
  <c r="AN195" i="37" s="1"/>
  <c r="AK195" i="37"/>
  <c r="AL195" i="37" s="1"/>
  <c r="AJ195" i="37"/>
  <c r="J195" i="37"/>
  <c r="H195" i="37"/>
  <c r="I195" i="37"/>
  <c r="AI196" i="37"/>
  <c r="AH196" i="37"/>
  <c r="U196" i="37"/>
  <c r="AG196" i="37"/>
  <c r="F197" i="37"/>
  <c r="AA196" i="37"/>
  <c r="Y196" i="37"/>
  <c r="X196" i="37"/>
  <c r="Z196" i="37" s="1"/>
  <c r="W196" i="37"/>
  <c r="T196" i="37"/>
  <c r="AE196" i="37"/>
  <c r="G196" i="37"/>
  <c r="AB196" i="37"/>
  <c r="AC196" i="37" s="1"/>
  <c r="R196" i="37"/>
  <c r="AC195" i="37"/>
  <c r="AI197" i="37" l="1"/>
  <c r="G197" i="37"/>
  <c r="X197" i="37"/>
  <c r="U197" i="37"/>
  <c r="AH197" i="37"/>
  <c r="F198" i="37"/>
  <c r="R197" i="37"/>
  <c r="Y197" i="37"/>
  <c r="AA197" i="37"/>
  <c r="AE197" i="37"/>
  <c r="W197" i="37"/>
  <c r="T197" i="37"/>
  <c r="V197" i="37" s="1"/>
  <c r="AG197" i="37"/>
  <c r="AB197" i="37"/>
  <c r="H196" i="37"/>
  <c r="J196" i="37"/>
  <c r="I196" i="37"/>
  <c r="AD196" i="37"/>
  <c r="AM196" i="37"/>
  <c r="AN196" i="37" s="1"/>
  <c r="AF196" i="37"/>
  <c r="AK196" i="37"/>
  <c r="AL196" i="37" s="1"/>
  <c r="AJ196" i="37"/>
  <c r="V196" i="37"/>
  <c r="AD197" i="37" l="1"/>
  <c r="AF197" i="37"/>
  <c r="AB198" i="37"/>
  <c r="AC198" i="37" s="1"/>
  <c r="AH198" i="37"/>
  <c r="AI198" i="37"/>
  <c r="W198" i="37"/>
  <c r="AA198" i="37"/>
  <c r="AG198" i="37"/>
  <c r="G198" i="37"/>
  <c r="F199" i="37"/>
  <c r="Y198" i="37"/>
  <c r="T198" i="37"/>
  <c r="U198" i="37"/>
  <c r="AE198" i="37"/>
  <c r="R198" i="37"/>
  <c r="X198" i="37"/>
  <c r="Z197" i="37"/>
  <c r="J197" i="37"/>
  <c r="I197" i="37"/>
  <c r="H197" i="37"/>
  <c r="AI199" i="37" l="1"/>
  <c r="AG199" i="37"/>
  <c r="R199" i="37"/>
  <c r="AH199" i="37"/>
  <c r="W199" i="37"/>
  <c r="AA199" i="37"/>
  <c r="Y199" i="37"/>
  <c r="X199" i="37"/>
  <c r="Z199" i="37" s="1"/>
  <c r="AE199" i="37"/>
  <c r="U199" i="37"/>
  <c r="T199" i="37"/>
  <c r="V199" i="37" s="1"/>
  <c r="AB199" i="37"/>
  <c r="G199" i="37"/>
  <c r="F200" i="37"/>
  <c r="V198" i="37"/>
  <c r="H198" i="37"/>
  <c r="J198" i="37"/>
  <c r="I198" i="37"/>
  <c r="Z198" i="37"/>
  <c r="AD198" i="37"/>
  <c r="AK198" i="37"/>
  <c r="AL198" i="37" s="1"/>
  <c r="AM198" i="37"/>
  <c r="AN198" i="37" s="1"/>
  <c r="AF198" i="37"/>
  <c r="AJ198" i="37"/>
  <c r="U200" i="37" l="1"/>
  <c r="T200" i="37"/>
  <c r="V200" i="37" s="1"/>
  <c r="W200" i="37"/>
  <c r="AA200" i="37"/>
  <c r="AG200" i="37"/>
  <c r="AE200" i="37"/>
  <c r="F201" i="37"/>
  <c r="AI200" i="37"/>
  <c r="G200" i="37"/>
  <c r="Y200" i="37"/>
  <c r="R200" i="37"/>
  <c r="AB200" i="37"/>
  <c r="AC200" i="37" s="1"/>
  <c r="AH200" i="37"/>
  <c r="X200" i="37"/>
  <c r="Z200" i="37" s="1"/>
  <c r="I199" i="37"/>
  <c r="H199" i="37"/>
  <c r="J199" i="37"/>
  <c r="AD199" i="37"/>
  <c r="AF199" i="37"/>
  <c r="J200" i="37" l="1"/>
  <c r="H200" i="37"/>
  <c r="I200" i="37"/>
  <c r="AB201" i="37"/>
  <c r="G201" i="37"/>
  <c r="AI201" i="37"/>
  <c r="X201" i="37"/>
  <c r="Z201" i="37" s="1"/>
  <c r="T201" i="37"/>
  <c r="V201" i="37" s="1"/>
  <c r="AH201" i="37"/>
  <c r="AA201" i="37"/>
  <c r="U201" i="37"/>
  <c r="W201" i="37"/>
  <c r="R201" i="37"/>
  <c r="F202" i="37"/>
  <c r="Y201" i="37"/>
  <c r="AE201" i="37"/>
  <c r="AG201" i="37"/>
  <c r="AD200" i="37"/>
  <c r="AM200" i="37"/>
  <c r="AN200" i="37" s="1"/>
  <c r="AK200" i="37"/>
  <c r="AL200" i="37" s="1"/>
  <c r="AF200" i="37"/>
  <c r="AJ200" i="37"/>
  <c r="Y202" i="37" l="1"/>
  <c r="X202" i="37"/>
  <c r="Z202" i="37" s="1"/>
  <c r="AA202" i="37"/>
  <c r="W202" i="37"/>
  <c r="AE202" i="37"/>
  <c r="R202" i="37"/>
  <c r="U202" i="37"/>
  <c r="T202" i="37"/>
  <c r="AG202" i="37"/>
  <c r="G202" i="37"/>
  <c r="F203" i="37"/>
  <c r="AB202" i="37"/>
  <c r="AC202" i="37" s="1"/>
  <c r="AI202" i="37"/>
  <c r="AH202" i="37"/>
  <c r="H201" i="37"/>
  <c r="I201" i="37"/>
  <c r="J201" i="37"/>
  <c r="AC201" i="37"/>
  <c r="AD201" i="37"/>
  <c r="AK201" i="37"/>
  <c r="AL201" i="37" s="1"/>
  <c r="AM201" i="37"/>
  <c r="AN201" i="37" s="1"/>
  <c r="AJ201" i="37"/>
  <c r="AF201" i="37"/>
  <c r="AH203" i="37" l="1"/>
  <c r="AB203" i="37"/>
  <c r="AI203" i="37"/>
  <c r="F204" i="37"/>
  <c r="T203" i="37"/>
  <c r="V203" i="37" s="1"/>
  <c r="R203" i="37"/>
  <c r="U203" i="37"/>
  <c r="X203" i="37"/>
  <c r="AA203" i="37"/>
  <c r="AG203" i="37"/>
  <c r="AE203" i="37"/>
  <c r="G203" i="37"/>
  <c r="W203" i="37"/>
  <c r="Y203" i="37"/>
  <c r="I202" i="37"/>
  <c r="H202" i="37"/>
  <c r="J202" i="37"/>
  <c r="V202" i="37"/>
  <c r="AD202" i="37"/>
  <c r="AJ202" i="37"/>
  <c r="AK202" i="37"/>
  <c r="AL202" i="37" s="1"/>
  <c r="AF202" i="37"/>
  <c r="AM202" i="37"/>
  <c r="AN202" i="37" s="1"/>
  <c r="H203" i="37" l="1"/>
  <c r="J203" i="37"/>
  <c r="I203" i="37"/>
  <c r="AB204" i="37"/>
  <c r="AA204" i="37"/>
  <c r="AI204" i="37"/>
  <c r="T204" i="37"/>
  <c r="W204" i="37"/>
  <c r="U204" i="37"/>
  <c r="AH204" i="37"/>
  <c r="G204" i="37"/>
  <c r="R204" i="37"/>
  <c r="Y204" i="37"/>
  <c r="F205" i="37"/>
  <c r="AG204" i="37"/>
  <c r="X204" i="37"/>
  <c r="AE204" i="37"/>
  <c r="Z203" i="37"/>
  <c r="AD203" i="37"/>
  <c r="AK203" i="37"/>
  <c r="AL203" i="37" s="1"/>
  <c r="AM203" i="37"/>
  <c r="AN203" i="37" s="1"/>
  <c r="AJ203" i="37"/>
  <c r="AF203" i="37"/>
  <c r="AC203" i="37"/>
  <c r="H204" i="37" l="1"/>
  <c r="J204" i="37"/>
  <c r="I204" i="37"/>
  <c r="V204" i="37"/>
  <c r="AC204" i="37"/>
  <c r="AB205" i="37"/>
  <c r="F206" i="37"/>
  <c r="AH205" i="37"/>
  <c r="AI205" i="37"/>
  <c r="G205" i="37"/>
  <c r="R205" i="37"/>
  <c r="AE205" i="37"/>
  <c r="T205" i="37"/>
  <c r="V205" i="37" s="1"/>
  <c r="AA205" i="37"/>
  <c r="Y205" i="37"/>
  <c r="X205" i="37"/>
  <c r="Z205" i="37" s="1"/>
  <c r="AG205" i="37"/>
  <c r="W205" i="37"/>
  <c r="U205" i="37"/>
  <c r="AD204" i="37"/>
  <c r="AK204" i="37"/>
  <c r="AL204" i="37" s="1"/>
  <c r="AM204" i="37"/>
  <c r="AN204" i="37" s="1"/>
  <c r="AJ204" i="37"/>
  <c r="AF204" i="37"/>
  <c r="Z204" i="37"/>
  <c r="H205" i="37" l="1"/>
  <c r="J205" i="37"/>
  <c r="I205" i="37"/>
  <c r="AB206" i="37"/>
  <c r="F207" i="37"/>
  <c r="AI206" i="37"/>
  <c r="AH206" i="37"/>
  <c r="R206" i="37"/>
  <c r="G206" i="37"/>
  <c r="AA206" i="37"/>
  <c r="T206" i="37"/>
  <c r="V206" i="37" s="1"/>
  <c r="Y206" i="37"/>
  <c r="X206" i="37"/>
  <c r="Z206" i="37" s="1"/>
  <c r="W206" i="37"/>
  <c r="AE206" i="37"/>
  <c r="AG206" i="37"/>
  <c r="U206" i="37"/>
  <c r="AC205" i="37"/>
  <c r="AD205" i="37"/>
  <c r="AF205" i="37"/>
  <c r="AK205" i="37"/>
  <c r="AL205" i="37" s="1"/>
  <c r="AM205" i="37"/>
  <c r="AN205" i="37" s="1"/>
  <c r="AJ205" i="37"/>
  <c r="I206" i="37" l="1"/>
  <c r="H206" i="37"/>
  <c r="J206" i="37"/>
  <c r="R207" i="37"/>
  <c r="AB207" i="37"/>
  <c r="AC207" i="37" s="1"/>
  <c r="F208" i="37"/>
  <c r="AE207" i="37"/>
  <c r="AI207" i="37"/>
  <c r="G207" i="37"/>
  <c r="AH207" i="37"/>
  <c r="AA207" i="37"/>
  <c r="W207" i="37"/>
  <c r="U207" i="37"/>
  <c r="Y207" i="37"/>
  <c r="T207" i="37"/>
  <c r="AG207" i="37"/>
  <c r="X207" i="37"/>
  <c r="AC206" i="37"/>
  <c r="AD206" i="37"/>
  <c r="AF206" i="37"/>
  <c r="AM206" i="37"/>
  <c r="AN206" i="37" s="1"/>
  <c r="AJ206" i="37"/>
  <c r="AK206" i="37"/>
  <c r="AL206" i="37" s="1"/>
  <c r="J207" i="37" l="1"/>
  <c r="H207" i="37"/>
  <c r="I207" i="37"/>
  <c r="AD207" i="37"/>
  <c r="AK207" i="37"/>
  <c r="AL207" i="37" s="1"/>
  <c r="AF207" i="37"/>
  <c r="AM207" i="37"/>
  <c r="AN207" i="37" s="1"/>
  <c r="AJ207" i="37"/>
  <c r="AI208" i="37"/>
  <c r="Y208" i="37"/>
  <c r="F209" i="37"/>
  <c r="AH208" i="37"/>
  <c r="AA208" i="37"/>
  <c r="T208" i="37"/>
  <c r="V208" i="37" s="1"/>
  <c r="AG208" i="37"/>
  <c r="R208" i="37"/>
  <c r="AB208" i="37"/>
  <c r="AC208" i="37" s="1"/>
  <c r="X208" i="37"/>
  <c r="W208" i="37"/>
  <c r="U208" i="37"/>
  <c r="G208" i="37"/>
  <c r="AE208" i="37"/>
  <c r="Z207" i="37"/>
  <c r="V207" i="37"/>
  <c r="AD208" i="37" l="1"/>
  <c r="AK208" i="37"/>
  <c r="AL208" i="37" s="1"/>
  <c r="AF208" i="37"/>
  <c r="AM208" i="37"/>
  <c r="AN208" i="37" s="1"/>
  <c r="AJ208" i="37"/>
  <c r="AH209" i="37"/>
  <c r="G209" i="37"/>
  <c r="W209" i="37"/>
  <c r="F210" i="37"/>
  <c r="AA209" i="37"/>
  <c r="X209" i="37"/>
  <c r="Z209" i="37" s="1"/>
  <c r="R209" i="37"/>
  <c r="AE209" i="37"/>
  <c r="U209" i="37"/>
  <c r="AG209" i="37"/>
  <c r="Y209" i="37"/>
  <c r="T209" i="37"/>
  <c r="AB209" i="37"/>
  <c r="AI209" i="37"/>
  <c r="I208" i="37"/>
  <c r="J208" i="37"/>
  <c r="H208" i="37"/>
  <c r="Z208" i="37"/>
  <c r="H209" i="37" l="1"/>
  <c r="J209" i="37"/>
  <c r="I209" i="37"/>
  <c r="R210" i="37"/>
  <c r="Y210" i="37"/>
  <c r="AB210" i="37"/>
  <c r="G210" i="37"/>
  <c r="AI210" i="37"/>
  <c r="AH210" i="37"/>
  <c r="X210" i="37"/>
  <c r="Z210" i="37" s="1"/>
  <c r="AA210" i="37"/>
  <c r="T210" i="37"/>
  <c r="V210" i="37" s="1"/>
  <c r="AG210" i="37"/>
  <c r="AE210" i="37"/>
  <c r="W210" i="37"/>
  <c r="U210" i="37"/>
  <c r="F211" i="37"/>
  <c r="V209" i="37"/>
  <c r="AD209" i="37"/>
  <c r="AF209" i="37"/>
  <c r="AD210" i="37" l="1"/>
  <c r="AF210" i="37"/>
  <c r="H210" i="37"/>
  <c r="J210" i="37"/>
  <c r="I210" i="37"/>
  <c r="AI211" i="37"/>
  <c r="G211" i="37"/>
  <c r="AH211" i="37"/>
  <c r="W211" i="37"/>
  <c r="Y211" i="37"/>
  <c r="X211" i="37"/>
  <c r="F212" i="37"/>
  <c r="T211" i="37"/>
  <c r="V211" i="37" s="1"/>
  <c r="AA211" i="37"/>
  <c r="U211" i="37"/>
  <c r="AE211" i="37"/>
  <c r="AG211" i="37"/>
  <c r="R211" i="37"/>
  <c r="AB211" i="37"/>
  <c r="AC211" i="37" s="1"/>
  <c r="X212" i="37" l="1"/>
  <c r="Z212" i="37" s="1"/>
  <c r="Y212" i="37"/>
  <c r="AA212" i="37"/>
  <c r="AB212" i="37"/>
  <c r="T212" i="37"/>
  <c r="AE212" i="37"/>
  <c r="AI212" i="37"/>
  <c r="AG212" i="37"/>
  <c r="AH212" i="37"/>
  <c r="R212" i="37"/>
  <c r="U212" i="37"/>
  <c r="G212" i="37"/>
  <c r="W212" i="37"/>
  <c r="F213" i="37"/>
  <c r="Z211" i="37"/>
  <c r="I211" i="37"/>
  <c r="J211" i="37"/>
  <c r="H211" i="37"/>
  <c r="AD211" i="37"/>
  <c r="AK211" i="37"/>
  <c r="AL211" i="37" s="1"/>
  <c r="AM211" i="37"/>
  <c r="AN211" i="37" s="1"/>
  <c r="AJ211" i="37"/>
  <c r="AF211" i="37"/>
  <c r="H212" i="37" l="1"/>
  <c r="J212" i="37"/>
  <c r="I212" i="37"/>
  <c r="AA213" i="37"/>
  <c r="Y213" i="37"/>
  <c r="AB213" i="37"/>
  <c r="AI213" i="37"/>
  <c r="AH213" i="37"/>
  <c r="U213" i="37"/>
  <c r="W213" i="37"/>
  <c r="AG213" i="37"/>
  <c r="G213" i="37"/>
  <c r="AE213" i="37"/>
  <c r="F214" i="37"/>
  <c r="X213" i="37"/>
  <c r="T213" i="37"/>
  <c r="R213" i="37"/>
  <c r="V212" i="37"/>
  <c r="AD212" i="37"/>
  <c r="AF212" i="37"/>
  <c r="I213" i="37" l="1"/>
  <c r="J213" i="37"/>
  <c r="H213" i="37"/>
  <c r="AI214" i="37"/>
  <c r="AB214" i="37"/>
  <c r="AH214" i="37"/>
  <c r="T214" i="37"/>
  <c r="AE214" i="37"/>
  <c r="F215" i="37"/>
  <c r="U214" i="37"/>
  <c r="AA214" i="37"/>
  <c r="R214" i="37"/>
  <c r="W214" i="37"/>
  <c r="G214" i="37"/>
  <c r="X214" i="37"/>
  <c r="Y214" i="37"/>
  <c r="AG214" i="37"/>
  <c r="V213" i="37"/>
  <c r="AD213" i="37"/>
  <c r="AF213" i="37"/>
  <c r="Z213" i="37"/>
  <c r="W215" i="37" l="1"/>
  <c r="X215" i="37"/>
  <c r="AA215" i="37"/>
  <c r="T215" i="37"/>
  <c r="U215" i="37"/>
  <c r="Y215" i="37"/>
  <c r="AE215" i="37"/>
  <c r="F216" i="37"/>
  <c r="AG215" i="37"/>
  <c r="R215" i="37"/>
  <c r="G215" i="37"/>
  <c r="AB215" i="37"/>
  <c r="AC215" i="37" s="1"/>
  <c r="AI215" i="37"/>
  <c r="AH215" i="37"/>
  <c r="H214" i="37"/>
  <c r="I214" i="37"/>
  <c r="J214" i="37"/>
  <c r="AD214" i="37"/>
  <c r="AF214" i="37"/>
  <c r="V214" i="37"/>
  <c r="Z214" i="37"/>
  <c r="H215" i="37" l="1"/>
  <c r="J215" i="37"/>
  <c r="I215" i="37"/>
  <c r="G216" i="37"/>
  <c r="AA216" i="37"/>
  <c r="W216" i="37"/>
  <c r="U216" i="37"/>
  <c r="AE216" i="37"/>
  <c r="F217" i="37"/>
  <c r="AH216" i="37"/>
  <c r="Y216" i="37"/>
  <c r="X216" i="37"/>
  <c r="T216" i="37"/>
  <c r="V216" i="37" s="1"/>
  <c r="AG216" i="37"/>
  <c r="R216" i="37"/>
  <c r="AB216" i="37"/>
  <c r="AC216" i="37" s="1"/>
  <c r="AI216" i="37"/>
  <c r="AD215" i="37"/>
  <c r="AF215" i="37"/>
  <c r="AK215" i="37"/>
  <c r="AL215" i="37" s="1"/>
  <c r="AM215" i="37"/>
  <c r="AN215" i="37" s="1"/>
  <c r="AJ215" i="37"/>
  <c r="V215" i="37"/>
  <c r="Z215" i="37"/>
  <c r="Y217" i="37" l="1"/>
  <c r="W217" i="37"/>
  <c r="X217" i="37"/>
  <c r="Z217" i="37" s="1"/>
  <c r="AA217" i="37"/>
  <c r="U217" i="37"/>
  <c r="T217" i="37"/>
  <c r="V217" i="37" s="1"/>
  <c r="AG217" i="37"/>
  <c r="AE217" i="37"/>
  <c r="R217" i="37"/>
  <c r="F218" i="37"/>
  <c r="AB217" i="37"/>
  <c r="AC217" i="37" s="1"/>
  <c r="G217" i="37"/>
  <c r="AI217" i="37"/>
  <c r="AH217" i="37"/>
  <c r="AD216" i="37"/>
  <c r="AF216" i="37"/>
  <c r="AJ216" i="37"/>
  <c r="AK216" i="37"/>
  <c r="AL216" i="37" s="1"/>
  <c r="AM216" i="37"/>
  <c r="AN216" i="37" s="1"/>
  <c r="Z216" i="37"/>
  <c r="J216" i="37"/>
  <c r="H216" i="37"/>
  <c r="I216" i="37"/>
  <c r="AB218" i="37" l="1"/>
  <c r="AC218" i="37" s="1"/>
  <c r="AH218" i="37"/>
  <c r="R218" i="37"/>
  <c r="AI218" i="37"/>
  <c r="G218" i="37"/>
  <c r="X218" i="37"/>
  <c r="AA218" i="37"/>
  <c r="U218" i="37"/>
  <c r="F219" i="37"/>
  <c r="Y218" i="37"/>
  <c r="W218" i="37"/>
  <c r="T218" i="37"/>
  <c r="V218" i="37" s="1"/>
  <c r="AG218" i="37"/>
  <c r="AE218" i="37"/>
  <c r="AD217" i="37"/>
  <c r="AK217" i="37"/>
  <c r="AL217" i="37" s="1"/>
  <c r="AJ217" i="37"/>
  <c r="AF217" i="37"/>
  <c r="AM217" i="37"/>
  <c r="AN217" i="37" s="1"/>
  <c r="I217" i="37"/>
  <c r="J217" i="37"/>
  <c r="H217" i="37"/>
  <c r="AD218" i="37" l="1"/>
  <c r="AK218" i="37"/>
  <c r="AL218" i="37" s="1"/>
  <c r="AM218" i="37"/>
  <c r="AN218" i="37" s="1"/>
  <c r="AJ218" i="37"/>
  <c r="AF218" i="37"/>
  <c r="Z218" i="37"/>
  <c r="I218" i="37"/>
  <c r="J218" i="37"/>
  <c r="H218" i="37"/>
  <c r="AB219" i="37"/>
  <c r="AC219" i="37" s="1"/>
  <c r="AI219" i="37"/>
  <c r="AH219" i="37"/>
  <c r="T219" i="37"/>
  <c r="V219" i="37" s="1"/>
  <c r="Y219" i="37"/>
  <c r="W219" i="37"/>
  <c r="U219" i="37"/>
  <c r="X219" i="37"/>
  <c r="AG219" i="37"/>
  <c r="AE219" i="37"/>
  <c r="R219" i="37"/>
  <c r="G219" i="37"/>
  <c r="AA219" i="37"/>
  <c r="F220" i="37"/>
  <c r="AH220" i="37" l="1"/>
  <c r="G220" i="37"/>
  <c r="X220" i="37"/>
  <c r="AG220" i="37"/>
  <c r="AE220" i="37"/>
  <c r="U220" i="37"/>
  <c r="T220" i="37"/>
  <c r="V220" i="37" s="1"/>
  <c r="W220" i="37"/>
  <c r="AA220" i="37"/>
  <c r="Y220" i="37"/>
  <c r="AB220" i="37"/>
  <c r="AC220" i="37" s="1"/>
  <c r="R220" i="37"/>
  <c r="AI220" i="37"/>
  <c r="F221" i="37"/>
  <c r="J219" i="37"/>
  <c r="H219" i="37"/>
  <c r="I219" i="37"/>
  <c r="AD219" i="37"/>
  <c r="AF219" i="37"/>
  <c r="AM219" i="37"/>
  <c r="AN219" i="37" s="1"/>
  <c r="AJ219" i="37"/>
  <c r="AK219" i="37"/>
  <c r="AL219" i="37" s="1"/>
  <c r="Z219" i="37"/>
  <c r="AD220" i="37" l="1"/>
  <c r="AF220" i="37"/>
  <c r="AM220" i="37"/>
  <c r="AN220" i="37" s="1"/>
  <c r="AK220" i="37"/>
  <c r="AL220" i="37" s="1"/>
  <c r="AJ220" i="37"/>
  <c r="AI221" i="37"/>
  <c r="AH221" i="37"/>
  <c r="AB221" i="37"/>
  <c r="AC221" i="37" s="1"/>
  <c r="G221" i="37"/>
  <c r="U221" i="37"/>
  <c r="X221" i="37"/>
  <c r="Z221" i="37" s="1"/>
  <c r="AA221" i="37"/>
  <c r="T221" i="37"/>
  <c r="V221" i="37" s="1"/>
  <c r="W221" i="37"/>
  <c r="Y221" i="37"/>
  <c r="AG221" i="37"/>
  <c r="AE221" i="37"/>
  <c r="R221" i="37"/>
  <c r="F222" i="37"/>
  <c r="Z220" i="37"/>
  <c r="H220" i="37"/>
  <c r="J220" i="37"/>
  <c r="I220" i="37"/>
  <c r="H221" i="37" l="1"/>
  <c r="I221" i="37"/>
  <c r="J221" i="37"/>
  <c r="AI222" i="37"/>
  <c r="F223" i="37"/>
  <c r="U222" i="37"/>
  <c r="T222" i="37"/>
  <c r="V222" i="37" s="1"/>
  <c r="AH222" i="37"/>
  <c r="R222" i="37"/>
  <c r="G222" i="37"/>
  <c r="AA222" i="37"/>
  <c r="Y222" i="37"/>
  <c r="W222" i="37"/>
  <c r="X222" i="37"/>
  <c r="Z222" i="37" s="1"/>
  <c r="AG222" i="37"/>
  <c r="AE222" i="37"/>
  <c r="AB222" i="37"/>
  <c r="AD221" i="37"/>
  <c r="AF221" i="37"/>
  <c r="AM221" i="37"/>
  <c r="AN221" i="37" s="1"/>
  <c r="AK221" i="37"/>
  <c r="AL221" i="37" s="1"/>
  <c r="AJ221" i="37"/>
  <c r="H222" i="37" l="1"/>
  <c r="I222" i="37"/>
  <c r="J222" i="37"/>
  <c r="AC222" i="37"/>
  <c r="AH223" i="37"/>
  <c r="F224" i="37"/>
  <c r="AI223" i="37"/>
  <c r="R223" i="37"/>
  <c r="G223" i="37"/>
  <c r="T223" i="37"/>
  <c r="V223" i="37" s="1"/>
  <c r="AB223" i="37"/>
  <c r="AC223" i="37" s="1"/>
  <c r="X223" i="37"/>
  <c r="W223" i="37"/>
  <c r="Y223" i="37"/>
  <c r="AA223" i="37"/>
  <c r="U223" i="37"/>
  <c r="AG223" i="37"/>
  <c r="AE223" i="37"/>
  <c r="AD222" i="37"/>
  <c r="AF222" i="37"/>
  <c r="AK222" i="37"/>
  <c r="AL222" i="37" s="1"/>
  <c r="AM222" i="37"/>
  <c r="AN222" i="37" s="1"/>
  <c r="AJ222" i="37"/>
  <c r="J223" i="37" l="1"/>
  <c r="I223" i="37"/>
  <c r="H223" i="37"/>
  <c r="Z223" i="37"/>
  <c r="AH224" i="37"/>
  <c r="R224" i="37"/>
  <c r="W224" i="37"/>
  <c r="F225" i="37"/>
  <c r="Y224" i="37"/>
  <c r="AB224" i="37"/>
  <c r="AC224" i="37" s="1"/>
  <c r="G224" i="37"/>
  <c r="AA224" i="37"/>
  <c r="X224" i="37"/>
  <c r="Z224" i="37" s="1"/>
  <c r="U224" i="37"/>
  <c r="AI224" i="37"/>
  <c r="T224" i="37"/>
  <c r="AG224" i="37"/>
  <c r="AE224" i="37"/>
  <c r="AD223" i="37"/>
  <c r="AF223" i="37"/>
  <c r="AJ223" i="37"/>
  <c r="AM223" i="37"/>
  <c r="AN223" i="37" s="1"/>
  <c r="AK223" i="37"/>
  <c r="AL223" i="37" s="1"/>
  <c r="AB225" i="37" l="1"/>
  <c r="AC225" i="37" s="1"/>
  <c r="R225" i="37"/>
  <c r="AI225" i="37"/>
  <c r="AH225" i="37"/>
  <c r="G225" i="37"/>
  <c r="W225" i="37"/>
  <c r="Y225" i="37"/>
  <c r="X225" i="37"/>
  <c r="Z225" i="37" s="1"/>
  <c r="AA225" i="37"/>
  <c r="T225" i="37"/>
  <c r="V225" i="37" s="1"/>
  <c r="U225" i="37"/>
  <c r="AG225" i="37"/>
  <c r="AE225" i="37"/>
  <c r="F226" i="37"/>
  <c r="J224" i="37"/>
  <c r="I224" i="37"/>
  <c r="H224" i="37"/>
  <c r="AD224" i="37"/>
  <c r="AM224" i="37"/>
  <c r="AN224" i="37" s="1"/>
  <c r="AK224" i="37"/>
  <c r="AL224" i="37" s="1"/>
  <c r="AJ224" i="37"/>
  <c r="AF224" i="37"/>
  <c r="V224" i="37"/>
  <c r="AB226" i="37" l="1"/>
  <c r="AC226" i="37" s="1"/>
  <c r="R226" i="37"/>
  <c r="AH226" i="37"/>
  <c r="F227" i="37"/>
  <c r="AI226" i="37"/>
  <c r="G226" i="37"/>
  <c r="AA226" i="37"/>
  <c r="X226" i="37"/>
  <c r="U226" i="37"/>
  <c r="T226" i="37"/>
  <c r="V226" i="37" s="1"/>
  <c r="W226" i="37"/>
  <c r="Y226" i="37"/>
  <c r="AG226" i="37"/>
  <c r="AE226" i="37"/>
  <c r="AD225" i="37"/>
  <c r="AM225" i="37"/>
  <c r="AN225" i="37" s="1"/>
  <c r="AK225" i="37"/>
  <c r="AL225" i="37" s="1"/>
  <c r="AJ225" i="37"/>
  <c r="AF225" i="37"/>
  <c r="H225" i="37"/>
  <c r="I225" i="37"/>
  <c r="J225" i="37"/>
  <c r="I226" i="37" l="1"/>
  <c r="J226" i="37"/>
  <c r="H226" i="37"/>
  <c r="AB227" i="37"/>
  <c r="R227" i="37"/>
  <c r="Y227" i="37"/>
  <c r="X227" i="37"/>
  <c r="Z227" i="37" s="1"/>
  <c r="T227" i="37"/>
  <c r="U227" i="37"/>
  <c r="AI227" i="37"/>
  <c r="G227" i="37"/>
  <c r="AH227" i="37"/>
  <c r="F228" i="37"/>
  <c r="AA227" i="37"/>
  <c r="W227" i="37"/>
  <c r="AE227" i="37"/>
  <c r="AG227" i="37"/>
  <c r="Z226" i="37"/>
  <c r="AD226" i="37"/>
  <c r="AK226" i="37"/>
  <c r="AL226" i="37" s="1"/>
  <c r="AM226" i="37"/>
  <c r="AN226" i="37" s="1"/>
  <c r="AJ226" i="37"/>
  <c r="AF226" i="37"/>
  <c r="AI228" i="37" l="1"/>
  <c r="AE228" i="37"/>
  <c r="F229" i="37"/>
  <c r="AH228" i="37"/>
  <c r="AA228" i="37"/>
  <c r="Y228" i="37"/>
  <c r="X228" i="37"/>
  <c r="Z228" i="37" s="1"/>
  <c r="AB228" i="37"/>
  <c r="U228" i="37"/>
  <c r="T228" i="37"/>
  <c r="V228" i="37" s="1"/>
  <c r="AG228" i="37"/>
  <c r="G228" i="37"/>
  <c r="R228" i="37"/>
  <c r="W228" i="37"/>
  <c r="V227" i="37"/>
  <c r="J227" i="37"/>
  <c r="I227" i="37"/>
  <c r="H227" i="37"/>
  <c r="AD227" i="37"/>
  <c r="AF227" i="37"/>
  <c r="I228" i="37" l="1"/>
  <c r="J228" i="37"/>
  <c r="H228" i="37"/>
  <c r="AI229" i="37"/>
  <c r="F230" i="37"/>
  <c r="AH229" i="37"/>
  <c r="X229" i="37"/>
  <c r="AA229" i="37"/>
  <c r="T229" i="37"/>
  <c r="AE229" i="37"/>
  <c r="Y229" i="37"/>
  <c r="U229" i="37"/>
  <c r="AG229" i="37"/>
  <c r="R229" i="37"/>
  <c r="W229" i="37"/>
  <c r="AB229" i="37"/>
  <c r="G229" i="37"/>
  <c r="AD228" i="37"/>
  <c r="AF228" i="37"/>
  <c r="V229" i="37" l="1"/>
  <c r="AD229" i="37"/>
  <c r="AF229" i="37"/>
  <c r="AA230" i="37"/>
  <c r="Y230" i="37"/>
  <c r="T230" i="37"/>
  <c r="U230" i="37"/>
  <c r="W230" i="37"/>
  <c r="X230" i="37"/>
  <c r="Z230" i="37" s="1"/>
  <c r="AE230" i="37"/>
  <c r="AG230" i="37"/>
  <c r="AH230" i="37"/>
  <c r="G230" i="37"/>
  <c r="R230" i="37"/>
  <c r="F231" i="37"/>
  <c r="AB230" i="37"/>
  <c r="AI230" i="37"/>
  <c r="I229" i="37"/>
  <c r="H229" i="37"/>
  <c r="J229" i="37"/>
  <c r="Z229" i="37"/>
  <c r="I230" i="37" l="1"/>
  <c r="H230" i="37"/>
  <c r="J230" i="37"/>
  <c r="AD230" i="37"/>
  <c r="AJ230" i="37"/>
  <c r="AM230" i="37"/>
  <c r="AN230" i="37" s="1"/>
  <c r="AK230" i="37"/>
  <c r="AL230" i="37" s="1"/>
  <c r="AF230" i="37"/>
  <c r="V230" i="37"/>
  <c r="AC230" i="37"/>
  <c r="AA231" i="37"/>
  <c r="AE231" i="37"/>
  <c r="Y231" i="37"/>
  <c r="T231" i="37"/>
  <c r="V231" i="37" s="1"/>
  <c r="U231" i="37"/>
  <c r="AG231" i="37"/>
  <c r="F232" i="37"/>
  <c r="R231" i="37"/>
  <c r="W231" i="37"/>
  <c r="X231" i="37"/>
  <c r="AB231" i="37"/>
  <c r="G231" i="37"/>
  <c r="AI231" i="37"/>
  <c r="AH231" i="37"/>
  <c r="AD231" i="37" l="1"/>
  <c r="AF231" i="37"/>
  <c r="I231" i="37"/>
  <c r="J231" i="37"/>
  <c r="H231" i="37"/>
  <c r="Z231" i="37"/>
  <c r="W232" i="37"/>
  <c r="U232" i="37"/>
  <c r="X232" i="37"/>
  <c r="T232" i="37"/>
  <c r="V232" i="37" s="1"/>
  <c r="AA232" i="37"/>
  <c r="Y232" i="37"/>
  <c r="AG232" i="37"/>
  <c r="AE232" i="37"/>
  <c r="AB232" i="37"/>
  <c r="AC232" i="37" s="1"/>
  <c r="AI232" i="37"/>
  <c r="R232" i="37"/>
  <c r="G232" i="37"/>
  <c r="F233" i="37"/>
  <c r="AH232" i="37"/>
  <c r="AD232" i="37" l="1"/>
  <c r="AF232" i="37"/>
  <c r="AM232" i="37"/>
  <c r="AN232" i="37" s="1"/>
  <c r="AJ232" i="37"/>
  <c r="AK232" i="37"/>
  <c r="AL232" i="37" s="1"/>
  <c r="AI233" i="37"/>
  <c r="F234" i="37"/>
  <c r="AA233" i="37"/>
  <c r="AE233" i="37"/>
  <c r="AH233" i="37"/>
  <c r="G233" i="37"/>
  <c r="W233" i="37"/>
  <c r="U233" i="37"/>
  <c r="T233" i="37"/>
  <c r="V233" i="37" s="1"/>
  <c r="X233" i="37"/>
  <c r="Z233" i="37" s="1"/>
  <c r="Y233" i="37"/>
  <c r="AB233" i="37"/>
  <c r="AC233" i="37" s="1"/>
  <c r="R233" i="37"/>
  <c r="AG233" i="37"/>
  <c r="J232" i="37"/>
  <c r="I232" i="37"/>
  <c r="H232" i="37"/>
  <c r="Z232" i="37"/>
  <c r="I233" i="37" l="1"/>
  <c r="H233" i="37"/>
  <c r="J233" i="37"/>
  <c r="U234" i="37"/>
  <c r="Y234" i="37"/>
  <c r="AA234" i="37"/>
  <c r="AE234" i="37"/>
  <c r="W234" i="37"/>
  <c r="T234" i="37"/>
  <c r="V234" i="37" s="1"/>
  <c r="X234" i="37"/>
  <c r="Z234" i="37" s="1"/>
  <c r="AG234" i="37"/>
  <c r="AI234" i="37"/>
  <c r="R234" i="37"/>
  <c r="F235" i="37"/>
  <c r="AB234" i="37"/>
  <c r="AH234" i="37"/>
  <c r="G234" i="37"/>
  <c r="AD233" i="37"/>
  <c r="AK233" i="37"/>
  <c r="AL233" i="37" s="1"/>
  <c r="AM233" i="37"/>
  <c r="AN233" i="37" s="1"/>
  <c r="AJ233" i="37"/>
  <c r="AF233" i="37"/>
  <c r="AB235" i="37" l="1"/>
  <c r="AC235" i="37" s="1"/>
  <c r="AI235" i="37"/>
  <c r="R235" i="37"/>
  <c r="F236" i="37"/>
  <c r="AH235" i="37"/>
  <c r="AA235" i="37"/>
  <c r="Y235" i="37"/>
  <c r="X235" i="37"/>
  <c r="Z235" i="37" s="1"/>
  <c r="W235" i="37"/>
  <c r="T235" i="37"/>
  <c r="V235" i="37" s="1"/>
  <c r="U235" i="37"/>
  <c r="AE235" i="37"/>
  <c r="AG235" i="37"/>
  <c r="G235" i="37"/>
  <c r="AD234" i="37"/>
  <c r="AM234" i="37"/>
  <c r="AN234" i="37" s="1"/>
  <c r="AK234" i="37"/>
  <c r="AL234" i="37" s="1"/>
  <c r="AF234" i="37"/>
  <c r="AJ234" i="37"/>
  <c r="I234" i="37"/>
  <c r="J234" i="37"/>
  <c r="H234" i="37"/>
  <c r="AC234" i="37"/>
  <c r="I235" i="37" l="1"/>
  <c r="J235" i="37"/>
  <c r="H235" i="37"/>
  <c r="AH236" i="37"/>
  <c r="W236" i="37"/>
  <c r="Y236" i="37"/>
  <c r="U236" i="37"/>
  <c r="AA236" i="37"/>
  <c r="X236" i="37"/>
  <c r="Z236" i="37" s="1"/>
  <c r="T236" i="37"/>
  <c r="V236" i="37" s="1"/>
  <c r="AG236" i="37"/>
  <c r="AE236" i="37"/>
  <c r="AI236" i="37"/>
  <c r="F237" i="37"/>
  <c r="G236" i="37"/>
  <c r="AB236" i="37"/>
  <c r="AC236" i="37" s="1"/>
  <c r="R236" i="37"/>
  <c r="AD235" i="37"/>
  <c r="AM235" i="37"/>
  <c r="AN235" i="37" s="1"/>
  <c r="AF235" i="37"/>
  <c r="AK235" i="37"/>
  <c r="AL235" i="37" s="1"/>
  <c r="AJ235" i="37"/>
  <c r="AI237" i="37" l="1"/>
  <c r="AH237" i="37"/>
  <c r="W237" i="37"/>
  <c r="AA237" i="37"/>
  <c r="AG237" i="37"/>
  <c r="AE237" i="37"/>
  <c r="G237" i="37"/>
  <c r="U237" i="37"/>
  <c r="T237" i="37"/>
  <c r="V237" i="37" s="1"/>
  <c r="X237" i="37"/>
  <c r="R237" i="37"/>
  <c r="Y237" i="37"/>
  <c r="F238" i="37"/>
  <c r="AB237" i="37"/>
  <c r="AC237" i="37" s="1"/>
  <c r="AD236" i="37"/>
  <c r="AF236" i="37"/>
  <c r="AM236" i="37"/>
  <c r="AN236" i="37" s="1"/>
  <c r="AK236" i="37"/>
  <c r="AL236" i="37" s="1"/>
  <c r="AJ236" i="37"/>
  <c r="I236" i="37"/>
  <c r="J236" i="37"/>
  <c r="H236" i="37"/>
  <c r="Z237" i="37" l="1"/>
  <c r="H237" i="37"/>
  <c r="J237" i="37"/>
  <c r="I237" i="37"/>
  <c r="AD237" i="37"/>
  <c r="AF237" i="37"/>
  <c r="AK237" i="37"/>
  <c r="AL237" i="37" s="1"/>
  <c r="AM237" i="37"/>
  <c r="AN237" i="37" s="1"/>
  <c r="AJ237" i="37"/>
  <c r="AH238" i="37"/>
  <c r="AA238" i="37"/>
  <c r="W238" i="37"/>
  <c r="X238" i="37"/>
  <c r="Y238" i="37"/>
  <c r="T238" i="37"/>
  <c r="V238" i="37" s="1"/>
  <c r="U238" i="37"/>
  <c r="R238" i="37"/>
  <c r="F239" i="37"/>
  <c r="AI238" i="37"/>
  <c r="AG238" i="37"/>
  <c r="AE238" i="37"/>
  <c r="AB238" i="37"/>
  <c r="G238" i="37"/>
  <c r="Z238" i="37" l="1"/>
  <c r="AD238" i="37"/>
  <c r="AF238" i="37"/>
  <c r="I238" i="37"/>
  <c r="J238" i="37"/>
  <c r="H238" i="37"/>
  <c r="AH239" i="37"/>
  <c r="Y239" i="37"/>
  <c r="AB239" i="37"/>
  <c r="AA239" i="37"/>
  <c r="R239" i="37"/>
  <c r="AI239" i="37"/>
  <c r="X239" i="37"/>
  <c r="Z239" i="37" s="1"/>
  <c r="T239" i="37"/>
  <c r="V239" i="37" s="1"/>
  <c r="AG239" i="37"/>
  <c r="G239" i="37"/>
  <c r="F240" i="37"/>
  <c r="W239" i="37"/>
  <c r="U239" i="37"/>
  <c r="AE239" i="37"/>
  <c r="AC239" i="37" l="1"/>
  <c r="AH240" i="37"/>
  <c r="R240" i="37"/>
  <c r="F241" i="37"/>
  <c r="AA240" i="37"/>
  <c r="Y240" i="37"/>
  <c r="X240" i="37"/>
  <c r="Z240" i="37" s="1"/>
  <c r="G240" i="37"/>
  <c r="U240" i="37"/>
  <c r="T240" i="37"/>
  <c r="W240" i="37"/>
  <c r="AB240" i="37"/>
  <c r="AI240" i="37"/>
  <c r="AE240" i="37"/>
  <c r="AG240" i="37"/>
  <c r="J239" i="37"/>
  <c r="I239" i="37"/>
  <c r="H239" i="37"/>
  <c r="AD239" i="37"/>
  <c r="AF239" i="37"/>
  <c r="AJ239" i="37"/>
  <c r="AM239" i="37"/>
  <c r="AN239" i="37" s="1"/>
  <c r="AK239" i="37"/>
  <c r="AL239" i="37" s="1"/>
  <c r="AD240" i="37" l="1"/>
  <c r="AF240" i="37"/>
  <c r="V240" i="37"/>
  <c r="I240" i="37"/>
  <c r="J240" i="37"/>
  <c r="H240" i="37"/>
  <c r="W241" i="37"/>
  <c r="R241" i="37"/>
  <c r="T241" i="37"/>
  <c r="X241" i="37"/>
  <c r="U241" i="37"/>
  <c r="AA241" i="37"/>
  <c r="Y241" i="37"/>
  <c r="F242" i="37"/>
  <c r="AB241" i="37"/>
  <c r="G241" i="37"/>
  <c r="AG241" i="37"/>
  <c r="AE241" i="37"/>
  <c r="AI241" i="37"/>
  <c r="AH241" i="37"/>
  <c r="AI242" i="37" l="1"/>
  <c r="AH242" i="37"/>
  <c r="AA242" i="37"/>
  <c r="X242" i="37"/>
  <c r="Y242" i="37"/>
  <c r="T242" i="37"/>
  <c r="U242" i="37"/>
  <c r="W242" i="37"/>
  <c r="F243" i="37"/>
  <c r="G242" i="37"/>
  <c r="AG242" i="37"/>
  <c r="R242" i="37"/>
  <c r="AE242" i="37"/>
  <c r="AB242" i="37"/>
  <c r="V241" i="37"/>
  <c r="AD241" i="37"/>
  <c r="AF241" i="37"/>
  <c r="J241" i="37"/>
  <c r="H241" i="37"/>
  <c r="I241" i="37"/>
  <c r="Z241" i="37"/>
  <c r="J242" i="37" l="1"/>
  <c r="I242" i="37"/>
  <c r="H242" i="37"/>
  <c r="X243" i="37"/>
  <c r="T243" i="37"/>
  <c r="W243" i="37"/>
  <c r="U243" i="37"/>
  <c r="G243" i="37"/>
  <c r="Y243" i="37"/>
  <c r="AA243" i="37"/>
  <c r="R243" i="37"/>
  <c r="AB243" i="37"/>
  <c r="AC243" i="37" s="1"/>
  <c r="AG243" i="37"/>
  <c r="AE243" i="37"/>
  <c r="F244" i="37"/>
  <c r="AI243" i="37"/>
  <c r="AH243" i="37"/>
  <c r="Z242" i="37"/>
  <c r="AD242" i="37"/>
  <c r="AF242" i="37"/>
  <c r="V242" i="37"/>
  <c r="AD243" i="37" l="1"/>
  <c r="AF243" i="37"/>
  <c r="AJ243" i="37"/>
  <c r="AM243" i="37"/>
  <c r="AN243" i="37" s="1"/>
  <c r="AK243" i="37"/>
  <c r="AL243" i="37" s="1"/>
  <c r="H243" i="37"/>
  <c r="I243" i="37"/>
  <c r="J243" i="37"/>
  <c r="Z243" i="37"/>
  <c r="V243" i="37"/>
  <c r="R244" i="37"/>
  <c r="U244" i="37"/>
  <c r="F245" i="37"/>
  <c r="Y244" i="37"/>
  <c r="W244" i="37"/>
  <c r="G244" i="37"/>
  <c r="T244" i="37"/>
  <c r="AI244" i="37"/>
  <c r="AA244" i="37"/>
  <c r="AG244" i="37"/>
  <c r="AB244" i="37"/>
  <c r="X244" i="37"/>
  <c r="AE244" i="37"/>
  <c r="AH244" i="37"/>
  <c r="AD244" i="37" l="1"/>
  <c r="AJ244" i="37"/>
  <c r="AK244" i="37"/>
  <c r="AL244" i="37" s="1"/>
  <c r="AM244" i="37"/>
  <c r="AN244" i="37" s="1"/>
  <c r="AF244" i="37"/>
  <c r="Z244" i="37"/>
  <c r="AH245" i="37"/>
  <c r="G245" i="37"/>
  <c r="X245" i="37"/>
  <c r="R245" i="37"/>
  <c r="T245" i="37"/>
  <c r="F246" i="37"/>
  <c r="U245" i="37"/>
  <c r="Y245" i="37"/>
  <c r="AI245" i="37"/>
  <c r="AA245" i="37"/>
  <c r="AG245" i="37"/>
  <c r="AB245" i="37"/>
  <c r="W245" i="37"/>
  <c r="AE245" i="37"/>
  <c r="AC244" i="37"/>
  <c r="V244" i="37"/>
  <c r="I244" i="37"/>
  <c r="J244" i="37"/>
  <c r="H244" i="37"/>
  <c r="H245" i="37" l="1"/>
  <c r="I245" i="37"/>
  <c r="J245" i="37"/>
  <c r="Z245" i="37"/>
  <c r="AC245" i="37"/>
  <c r="AB246" i="37"/>
  <c r="AH246" i="37"/>
  <c r="U246" i="37"/>
  <c r="X246" i="37"/>
  <c r="Z246" i="37" s="1"/>
  <c r="F247" i="37"/>
  <c r="AG246" i="37"/>
  <c r="AI246" i="37"/>
  <c r="G246" i="37"/>
  <c r="R246" i="37"/>
  <c r="AE246" i="37"/>
  <c r="Y246" i="37"/>
  <c r="T246" i="37"/>
  <c r="W246" i="37"/>
  <c r="AA246" i="37"/>
  <c r="V245" i="37"/>
  <c r="AD245" i="37"/>
  <c r="AF245" i="37"/>
  <c r="AK245" i="37"/>
  <c r="AL245" i="37" s="1"/>
  <c r="AM245" i="37"/>
  <c r="AN245" i="37" s="1"/>
  <c r="AJ245" i="37"/>
  <c r="AB247" i="37" l="1"/>
  <c r="AC247" i="37" s="1"/>
  <c r="R247" i="37"/>
  <c r="AI247" i="37"/>
  <c r="F248" i="37"/>
  <c r="AH247" i="37"/>
  <c r="G247" i="37"/>
  <c r="Y247" i="37"/>
  <c r="U247" i="37"/>
  <c r="W247" i="37"/>
  <c r="AE247" i="37"/>
  <c r="X247" i="37"/>
  <c r="Z247" i="37" s="1"/>
  <c r="T247" i="37"/>
  <c r="V247" i="37" s="1"/>
  <c r="AA247" i="37"/>
  <c r="AG247" i="37"/>
  <c r="V246" i="37"/>
  <c r="I246" i="37"/>
  <c r="H246" i="37"/>
  <c r="J246" i="37"/>
  <c r="AC246" i="37"/>
  <c r="AD246" i="37"/>
  <c r="AF246" i="37"/>
  <c r="AK246" i="37"/>
  <c r="AL246" i="37" s="1"/>
  <c r="AM246" i="37"/>
  <c r="AN246" i="37" s="1"/>
  <c r="AJ246" i="37"/>
  <c r="H247" i="37" l="1"/>
  <c r="J247" i="37"/>
  <c r="I247" i="37"/>
  <c r="AB248" i="37"/>
  <c r="R248" i="37"/>
  <c r="AH248" i="37"/>
  <c r="F249" i="37"/>
  <c r="AI248" i="37"/>
  <c r="G248" i="37"/>
  <c r="U248" i="37"/>
  <c r="X248" i="37"/>
  <c r="Z248" i="37" s="1"/>
  <c r="AG248" i="37"/>
  <c r="AE248" i="37"/>
  <c r="AA248" i="37"/>
  <c r="Y248" i="37"/>
  <c r="W248" i="37"/>
  <c r="T248" i="37"/>
  <c r="AD247" i="37"/>
  <c r="AF247" i="37"/>
  <c r="AK247" i="37"/>
  <c r="AL247" i="37" s="1"/>
  <c r="AJ247" i="37"/>
  <c r="AM247" i="37"/>
  <c r="AN247" i="37" s="1"/>
  <c r="J248" i="37" l="1"/>
  <c r="H248" i="37"/>
  <c r="I248" i="37"/>
  <c r="AD248" i="37"/>
  <c r="AF248" i="37"/>
  <c r="AK248" i="37"/>
  <c r="AL248" i="37" s="1"/>
  <c r="AJ248" i="37"/>
  <c r="AM248" i="37"/>
  <c r="AN248" i="37" s="1"/>
  <c r="F250" i="37"/>
  <c r="Y249" i="37"/>
  <c r="X249" i="37"/>
  <c r="U249" i="37"/>
  <c r="AG249" i="37"/>
  <c r="AB249" i="37"/>
  <c r="AC249" i="37" s="1"/>
  <c r="G249" i="37"/>
  <c r="AI249" i="37"/>
  <c r="AH249" i="37"/>
  <c r="AE249" i="37"/>
  <c r="W249" i="37"/>
  <c r="T249" i="37"/>
  <c r="AA249" i="37"/>
  <c r="R249" i="37"/>
  <c r="AC248" i="37"/>
  <c r="V248" i="37"/>
  <c r="AH250" i="37" l="1"/>
  <c r="Y250" i="37"/>
  <c r="X250" i="37"/>
  <c r="Z250" i="37" s="1"/>
  <c r="AA250" i="37"/>
  <c r="T250" i="37"/>
  <c r="W250" i="37"/>
  <c r="G250" i="37"/>
  <c r="AB250" i="37"/>
  <c r="AG250" i="37"/>
  <c r="AE250" i="37"/>
  <c r="U250" i="37"/>
  <c r="F251" i="37"/>
  <c r="R250" i="37"/>
  <c r="AI250" i="37"/>
  <c r="AD249" i="37"/>
  <c r="AF249" i="37"/>
  <c r="AM249" i="37"/>
  <c r="AN249" i="37" s="1"/>
  <c r="AK249" i="37"/>
  <c r="AL249" i="37" s="1"/>
  <c r="AJ249" i="37"/>
  <c r="V249" i="37"/>
  <c r="Z249" i="37"/>
  <c r="J249" i="37"/>
  <c r="H249" i="37"/>
  <c r="I249" i="37"/>
  <c r="AD250" i="37" l="1"/>
  <c r="AK250" i="37"/>
  <c r="AL250" i="37" s="1"/>
  <c r="AF250" i="37"/>
  <c r="AM250" i="37"/>
  <c r="AN250" i="37" s="1"/>
  <c r="AJ250" i="37"/>
  <c r="AC250" i="37"/>
  <c r="H250" i="37"/>
  <c r="I250" i="37"/>
  <c r="J250" i="37"/>
  <c r="AB251" i="37"/>
  <c r="AC251" i="37" s="1"/>
  <c r="AH251" i="37"/>
  <c r="R251" i="37"/>
  <c r="W251" i="37"/>
  <c r="Y251" i="37"/>
  <c r="U251" i="37"/>
  <c r="T251" i="37"/>
  <c r="V251" i="37" s="1"/>
  <c r="AI251" i="37"/>
  <c r="G251" i="37"/>
  <c r="F252" i="37"/>
  <c r="AA251" i="37"/>
  <c r="AE251" i="37"/>
  <c r="X251" i="37"/>
  <c r="AG251" i="37"/>
  <c r="V250" i="37"/>
  <c r="Z251" i="37" l="1"/>
  <c r="AD251" i="37"/>
  <c r="AF251" i="37"/>
  <c r="AJ251" i="37"/>
  <c r="AM251" i="37"/>
  <c r="AN251" i="37" s="1"/>
  <c r="AK251" i="37"/>
  <c r="AL251" i="37" s="1"/>
  <c r="R252" i="37"/>
  <c r="AB252" i="37"/>
  <c r="AC252" i="37" s="1"/>
  <c r="G252" i="37"/>
  <c r="AI252" i="37"/>
  <c r="F253" i="37"/>
  <c r="AH252" i="37"/>
  <c r="W252" i="37"/>
  <c r="T252" i="37"/>
  <c r="V252" i="37" s="1"/>
  <c r="AA252" i="37"/>
  <c r="X252" i="37"/>
  <c r="U252" i="37"/>
  <c r="AE252" i="37"/>
  <c r="Y252" i="37"/>
  <c r="AG252" i="37"/>
  <c r="H251" i="37"/>
  <c r="I251" i="37"/>
  <c r="J251" i="37"/>
  <c r="I252" i="37" l="1"/>
  <c r="H252" i="37"/>
  <c r="J252" i="37"/>
  <c r="R253" i="37"/>
  <c r="AI253" i="37"/>
  <c r="AH253" i="37"/>
  <c r="W253" i="37"/>
  <c r="Y253" i="37"/>
  <c r="X253" i="37"/>
  <c r="AA253" i="37"/>
  <c r="U253" i="37"/>
  <c r="AG253" i="37"/>
  <c r="T253" i="37"/>
  <c r="V253" i="37" s="1"/>
  <c r="AE253" i="37"/>
  <c r="G253" i="37"/>
  <c r="F254" i="37"/>
  <c r="AB253" i="37"/>
  <c r="AC253" i="37" s="1"/>
  <c r="AD252" i="37"/>
  <c r="AF252" i="37"/>
  <c r="AM252" i="37"/>
  <c r="AN252" i="37" s="1"/>
  <c r="AK252" i="37"/>
  <c r="AL252" i="37" s="1"/>
  <c r="AJ252" i="37"/>
  <c r="Z252" i="37"/>
  <c r="AD253" i="37" l="1"/>
  <c r="AM253" i="37"/>
  <c r="AN253" i="37" s="1"/>
  <c r="AK253" i="37"/>
  <c r="AL253" i="37" s="1"/>
  <c r="AF253" i="37"/>
  <c r="AJ253" i="37"/>
  <c r="Z253" i="37"/>
  <c r="AI254" i="37"/>
  <c r="Y254" i="37"/>
  <c r="X254" i="37"/>
  <c r="Z254" i="37" s="1"/>
  <c r="AH254" i="37"/>
  <c r="AA254" i="37"/>
  <c r="AE254" i="37"/>
  <c r="W254" i="37"/>
  <c r="T254" i="37"/>
  <c r="V254" i="37" s="1"/>
  <c r="U254" i="37"/>
  <c r="F255" i="37"/>
  <c r="G254" i="37"/>
  <c r="R254" i="37"/>
  <c r="AB254" i="37"/>
  <c r="AC254" i="37" s="1"/>
  <c r="AG254" i="37"/>
  <c r="J253" i="37"/>
  <c r="H253" i="37"/>
  <c r="I253" i="37"/>
  <c r="AD254" i="37" l="1"/>
  <c r="AK254" i="37"/>
  <c r="AL254" i="37" s="1"/>
  <c r="AM254" i="37"/>
  <c r="AN254" i="37" s="1"/>
  <c r="AF254" i="37"/>
  <c r="AJ254" i="37"/>
  <c r="H254" i="37"/>
  <c r="J254" i="37"/>
  <c r="I254" i="37"/>
  <c r="AI255" i="37"/>
  <c r="X255" i="37"/>
  <c r="AH255" i="37"/>
  <c r="AG255" i="37"/>
  <c r="AA255" i="37"/>
  <c r="Y255" i="37"/>
  <c r="U255" i="37"/>
  <c r="AE255" i="37"/>
  <c r="W255" i="37"/>
  <c r="T255" i="37"/>
  <c r="V255" i="37" s="1"/>
  <c r="R255" i="37"/>
  <c r="G255" i="37"/>
  <c r="AB255" i="37"/>
  <c r="F256" i="37"/>
  <c r="Z255" i="37" l="1"/>
  <c r="AH256" i="37"/>
  <c r="W256" i="37"/>
  <c r="U256" i="37"/>
  <c r="AG256" i="37"/>
  <c r="AA256" i="37"/>
  <c r="X256" i="37"/>
  <c r="Y256" i="37"/>
  <c r="T256" i="37"/>
  <c r="V256" i="37" s="1"/>
  <c r="AE256" i="37"/>
  <c r="F257" i="37"/>
  <c r="AI256" i="37"/>
  <c r="AB256" i="37"/>
  <c r="G256" i="37"/>
  <c r="R256" i="37"/>
  <c r="I255" i="37"/>
  <c r="H255" i="37"/>
  <c r="J255" i="37"/>
  <c r="AD255" i="37"/>
  <c r="AF255" i="37"/>
  <c r="I256" i="37" l="1"/>
  <c r="H256" i="37"/>
  <c r="J256" i="37"/>
  <c r="W257" i="37"/>
  <c r="T257" i="37"/>
  <c r="AG257" i="37"/>
  <c r="Y257" i="37"/>
  <c r="U257" i="37"/>
  <c r="AE257" i="37"/>
  <c r="X257" i="37"/>
  <c r="Z257" i="37" s="1"/>
  <c r="R257" i="37"/>
  <c r="AA257" i="37"/>
  <c r="AB257" i="37"/>
  <c r="AC257" i="37" s="1"/>
  <c r="G257" i="37"/>
  <c r="AI257" i="37"/>
  <c r="F258" i="37"/>
  <c r="AH257" i="37"/>
  <c r="AD256" i="37"/>
  <c r="AF256" i="37"/>
  <c r="Z256" i="37"/>
  <c r="I257" i="37" l="1"/>
  <c r="J257" i="37"/>
  <c r="H257" i="37"/>
  <c r="AD257" i="37"/>
  <c r="AJ257" i="37"/>
  <c r="AK257" i="37"/>
  <c r="AL257" i="37" s="1"/>
  <c r="AM257" i="37"/>
  <c r="AN257" i="37" s="1"/>
  <c r="AF257" i="37"/>
  <c r="V257" i="37"/>
  <c r="T258" i="37"/>
  <c r="W258" i="37"/>
  <c r="Y258" i="37"/>
  <c r="U258" i="37"/>
  <c r="AA258" i="37"/>
  <c r="X258" i="37"/>
  <c r="AE258" i="37"/>
  <c r="AG258" i="37"/>
  <c r="AB258" i="37"/>
  <c r="R258" i="37"/>
  <c r="AI258" i="37"/>
  <c r="F259" i="37"/>
  <c r="AH258" i="37"/>
  <c r="G258" i="37"/>
  <c r="V258" i="37" l="1"/>
  <c r="AA259" i="37"/>
  <c r="T259" i="37"/>
  <c r="AB259" i="37"/>
  <c r="AI259" i="37"/>
  <c r="Y259" i="37"/>
  <c r="X259" i="37"/>
  <c r="Z259" i="37" s="1"/>
  <c r="U259" i="37"/>
  <c r="W259" i="37"/>
  <c r="AE259" i="37"/>
  <c r="AG259" i="37"/>
  <c r="R259" i="37"/>
  <c r="AH259" i="37"/>
  <c r="G259" i="37"/>
  <c r="F260" i="37"/>
  <c r="AC258" i="37"/>
  <c r="AD258" i="37"/>
  <c r="AM258" i="37"/>
  <c r="AN258" i="37" s="1"/>
  <c r="AK258" i="37"/>
  <c r="AL258" i="37" s="1"/>
  <c r="AJ258" i="37"/>
  <c r="AF258" i="37"/>
  <c r="I258" i="37"/>
  <c r="J258" i="37"/>
  <c r="H258" i="37"/>
  <c r="Z258" i="37"/>
  <c r="V259" i="37" l="1"/>
  <c r="H259" i="37"/>
  <c r="I259" i="37"/>
  <c r="J259" i="37"/>
  <c r="AD259" i="37"/>
  <c r="AF259" i="37"/>
  <c r="AB260" i="37"/>
  <c r="AC260" i="37" s="1"/>
  <c r="F261" i="37"/>
  <c r="AI260" i="37"/>
  <c r="AH260" i="37"/>
  <c r="Y260" i="37"/>
  <c r="AA260" i="37"/>
  <c r="X260" i="37"/>
  <c r="Z260" i="37" s="1"/>
  <c r="W260" i="37"/>
  <c r="R260" i="37"/>
  <c r="U260" i="37"/>
  <c r="T260" i="37"/>
  <c r="V260" i="37" s="1"/>
  <c r="AE260" i="37"/>
  <c r="AG260" i="37"/>
  <c r="G260" i="37"/>
  <c r="AB261" i="37" l="1"/>
  <c r="AI261" i="37"/>
  <c r="AH261" i="37"/>
  <c r="R261" i="37"/>
  <c r="AA261" i="37"/>
  <c r="F262" i="37"/>
  <c r="Y261" i="37"/>
  <c r="G261" i="37"/>
  <c r="W261" i="37"/>
  <c r="AE261" i="37"/>
  <c r="AG261" i="37"/>
  <c r="X261" i="37"/>
  <c r="Z261" i="37" s="1"/>
  <c r="U261" i="37"/>
  <c r="T261" i="37"/>
  <c r="V261" i="37" s="1"/>
  <c r="H260" i="37"/>
  <c r="I260" i="37"/>
  <c r="J260" i="37"/>
  <c r="AD260" i="37"/>
  <c r="AM260" i="37"/>
  <c r="AN260" i="37" s="1"/>
  <c r="AF260" i="37"/>
  <c r="AJ260" i="37"/>
  <c r="AK260" i="37"/>
  <c r="AL260" i="37" s="1"/>
  <c r="AD261" i="37" l="1"/>
  <c r="AF261" i="37"/>
  <c r="I261" i="37"/>
  <c r="J261" i="37"/>
  <c r="H261" i="37"/>
  <c r="X262" i="37"/>
  <c r="Z262" i="37" s="1"/>
  <c r="Y262" i="37"/>
  <c r="U262" i="37"/>
  <c r="AA262" i="37"/>
  <c r="G262" i="37"/>
  <c r="R262" i="37"/>
  <c r="AH262" i="37"/>
  <c r="W262" i="37"/>
  <c r="AE262" i="37"/>
  <c r="AG262" i="37"/>
  <c r="T262" i="37"/>
  <c r="AI262" i="37"/>
  <c r="F263" i="37"/>
  <c r="AB262" i="37"/>
  <c r="AD262" i="37" l="1"/>
  <c r="AF262" i="37"/>
  <c r="AK262" i="37"/>
  <c r="AL262" i="37" s="1"/>
  <c r="AM262" i="37"/>
  <c r="AN262" i="37" s="1"/>
  <c r="AJ262" i="37"/>
  <c r="J262" i="37"/>
  <c r="H262" i="37"/>
  <c r="I262" i="37"/>
  <c r="AH263" i="37"/>
  <c r="G263" i="37"/>
  <c r="F264" i="37"/>
  <c r="X263" i="37"/>
  <c r="Z263" i="37" s="1"/>
  <c r="T263" i="37"/>
  <c r="V263" i="37" s="1"/>
  <c r="AG263" i="37"/>
  <c r="AE263" i="37"/>
  <c r="AA263" i="37"/>
  <c r="W263" i="37"/>
  <c r="U263" i="37"/>
  <c r="Y263" i="37"/>
  <c r="AB263" i="37"/>
  <c r="AC263" i="37" s="1"/>
  <c r="AI263" i="37"/>
  <c r="R263" i="37"/>
  <c r="V262" i="37"/>
  <c r="AC262" i="37"/>
  <c r="I263" i="37" l="1"/>
  <c r="H263" i="37"/>
  <c r="J263" i="37"/>
  <c r="X264" i="37"/>
  <c r="U264" i="37"/>
  <c r="Y264" i="37"/>
  <c r="R264" i="37"/>
  <c r="AB264" i="37"/>
  <c r="AC264" i="37" s="1"/>
  <c r="F265" i="37"/>
  <c r="AA264" i="37"/>
  <c r="T264" i="37"/>
  <c r="V264" i="37" s="1"/>
  <c r="G264" i="37"/>
  <c r="AH264" i="37"/>
  <c r="AE264" i="37"/>
  <c r="AG264" i="37"/>
  <c r="AI264" i="37"/>
  <c r="W264" i="37"/>
  <c r="AD263" i="37"/>
  <c r="AF263" i="37"/>
  <c r="AJ263" i="37"/>
  <c r="AK263" i="37"/>
  <c r="AL263" i="37" s="1"/>
  <c r="AM263" i="37"/>
  <c r="AN263" i="37" s="1"/>
  <c r="AD264" i="37" l="1"/>
  <c r="AF264" i="37"/>
  <c r="AJ264" i="37"/>
  <c r="AM264" i="37"/>
  <c r="AN264" i="37" s="1"/>
  <c r="AK264" i="37"/>
  <c r="AL264" i="37" s="1"/>
  <c r="J264" i="37"/>
  <c r="I264" i="37"/>
  <c r="H264" i="37"/>
  <c r="Z264" i="37"/>
  <c r="AB265" i="37"/>
  <c r="AI265" i="37"/>
  <c r="AH265" i="37"/>
  <c r="R265" i="37"/>
  <c r="X265" i="37"/>
  <c r="Z265" i="37" s="1"/>
  <c r="T265" i="37"/>
  <c r="AG265" i="37"/>
  <c r="W265" i="37"/>
  <c r="F266" i="37"/>
  <c r="Y265" i="37"/>
  <c r="G265" i="37"/>
  <c r="U265" i="37"/>
  <c r="AA265" i="37"/>
  <c r="AE265" i="37"/>
  <c r="AC265" i="37" l="1"/>
  <c r="AD265" i="37"/>
  <c r="AM265" i="37"/>
  <c r="AN265" i="37" s="1"/>
  <c r="AK265" i="37"/>
  <c r="AL265" i="37" s="1"/>
  <c r="AJ265" i="37"/>
  <c r="AF265" i="37"/>
  <c r="AI266" i="37"/>
  <c r="R266" i="37"/>
  <c r="AH266" i="37"/>
  <c r="G266" i="37"/>
  <c r="W266" i="37"/>
  <c r="U266" i="37"/>
  <c r="X266" i="37"/>
  <c r="Z266" i="37" s="1"/>
  <c r="AG266" i="37"/>
  <c r="AA266" i="37"/>
  <c r="Y266" i="37"/>
  <c r="T266" i="37"/>
  <c r="AB266" i="37"/>
  <c r="F267" i="37"/>
  <c r="AE266" i="37"/>
  <c r="I265" i="37"/>
  <c r="J265" i="37"/>
  <c r="H265" i="37"/>
  <c r="V265" i="37"/>
  <c r="J266" i="37" l="1"/>
  <c r="I266" i="37"/>
  <c r="H266" i="37"/>
  <c r="AD266" i="37"/>
  <c r="AK266" i="37"/>
  <c r="AL266" i="37" s="1"/>
  <c r="AF266" i="37"/>
  <c r="AM266" i="37"/>
  <c r="AN266" i="37" s="1"/>
  <c r="AJ266" i="37"/>
  <c r="AI267" i="37"/>
  <c r="F268" i="37"/>
  <c r="G267" i="37"/>
  <c r="U267" i="37"/>
  <c r="X267" i="37"/>
  <c r="Z267" i="37" s="1"/>
  <c r="R267" i="37"/>
  <c r="W267" i="37"/>
  <c r="T267" i="37"/>
  <c r="AA267" i="37"/>
  <c r="AG267" i="37"/>
  <c r="AB267" i="37"/>
  <c r="AH267" i="37"/>
  <c r="Y267" i="37"/>
  <c r="AE267" i="37"/>
  <c r="AC266" i="37"/>
  <c r="V266" i="37"/>
  <c r="J267" i="37" l="1"/>
  <c r="I267" i="37"/>
  <c r="H267" i="37"/>
  <c r="AD267" i="37"/>
  <c r="AF267" i="37"/>
  <c r="AM267" i="37"/>
  <c r="AN267" i="37" s="1"/>
  <c r="AK267" i="37"/>
  <c r="AL267" i="37" s="1"/>
  <c r="AJ267" i="37"/>
  <c r="AC267" i="37"/>
  <c r="F269" i="37"/>
  <c r="AH268" i="37"/>
  <c r="AB268" i="37"/>
  <c r="R268" i="37"/>
  <c r="AI268" i="37"/>
  <c r="G268" i="37"/>
  <c r="X268" i="37"/>
  <c r="AG268" i="37"/>
  <c r="W268" i="37"/>
  <c r="U268" i="37"/>
  <c r="AE268" i="37"/>
  <c r="T268" i="37"/>
  <c r="AA268" i="37"/>
  <c r="Y268" i="37"/>
  <c r="V267" i="37"/>
  <c r="V268" i="37" l="1"/>
  <c r="AB269" i="37"/>
  <c r="AI269" i="37"/>
  <c r="AH269" i="37"/>
  <c r="U269" i="37"/>
  <c r="Y269" i="37"/>
  <c r="W269" i="37"/>
  <c r="AA269" i="37"/>
  <c r="X269" i="37"/>
  <c r="Z269" i="37" s="1"/>
  <c r="AG269" i="37"/>
  <c r="R269" i="37"/>
  <c r="AE269" i="37"/>
  <c r="T269" i="37"/>
  <c r="V269" i="37" s="1"/>
  <c r="G269" i="37"/>
  <c r="F270" i="37"/>
  <c r="AD268" i="37"/>
  <c r="AF268" i="37"/>
  <c r="Z268" i="37"/>
  <c r="J268" i="37"/>
  <c r="H268" i="37"/>
  <c r="I268" i="37"/>
  <c r="J269" i="37" l="1"/>
  <c r="H269" i="37"/>
  <c r="I269" i="37"/>
  <c r="AD269" i="37"/>
  <c r="AF269" i="37"/>
  <c r="AM269" i="37"/>
  <c r="AN269" i="37" s="1"/>
  <c r="AK269" i="37"/>
  <c r="AL269" i="37" s="1"/>
  <c r="AJ269" i="37"/>
  <c r="AC269" i="37"/>
  <c r="AB270" i="37"/>
  <c r="AC270" i="37" s="1"/>
  <c r="AH270" i="37"/>
  <c r="R270" i="37"/>
  <c r="AI270" i="37"/>
  <c r="G270" i="37"/>
  <c r="T270" i="37"/>
  <c r="F271" i="37"/>
  <c r="AA270" i="37"/>
  <c r="W270" i="37"/>
  <c r="AE270" i="37"/>
  <c r="Y270" i="37"/>
  <c r="X270" i="37"/>
  <c r="U270" i="37"/>
  <c r="AG270" i="37"/>
  <c r="Z270" i="37" l="1"/>
  <c r="AD270" i="37"/>
  <c r="AJ270" i="37"/>
  <c r="AF270" i="37"/>
  <c r="AK270" i="37"/>
  <c r="AL270" i="37" s="1"/>
  <c r="AM270" i="37"/>
  <c r="AN270" i="37" s="1"/>
  <c r="AH271" i="37"/>
  <c r="R271" i="37"/>
  <c r="U271" i="37"/>
  <c r="G271" i="37"/>
  <c r="T271" i="37"/>
  <c r="V271" i="37" s="1"/>
  <c r="F272" i="37"/>
  <c r="AA271" i="37"/>
  <c r="Y271" i="37"/>
  <c r="X271" i="37"/>
  <c r="W271" i="37"/>
  <c r="AE271" i="37"/>
  <c r="AG271" i="37"/>
  <c r="AI271" i="37"/>
  <c r="AB271" i="37"/>
  <c r="AC271" i="37" s="1"/>
  <c r="I270" i="37"/>
  <c r="J270" i="37"/>
  <c r="H270" i="37"/>
  <c r="V270" i="37"/>
  <c r="AB272" i="37" l="1"/>
  <c r="AH272" i="37"/>
  <c r="AG272" i="37"/>
  <c r="R272" i="37"/>
  <c r="AI272" i="37"/>
  <c r="AA272" i="37"/>
  <c r="Y272" i="37"/>
  <c r="X272" i="37"/>
  <c r="Z272" i="37" s="1"/>
  <c r="U272" i="37"/>
  <c r="T272" i="37"/>
  <c r="V272" i="37" s="1"/>
  <c r="F273" i="37"/>
  <c r="G272" i="37"/>
  <c r="W272" i="37"/>
  <c r="AE272" i="37"/>
  <c r="I271" i="37"/>
  <c r="H271" i="37"/>
  <c r="J271" i="37"/>
  <c r="AD271" i="37"/>
  <c r="AJ271" i="37"/>
  <c r="AK271" i="37"/>
  <c r="AL271" i="37" s="1"/>
  <c r="AM271" i="37"/>
  <c r="AN271" i="37" s="1"/>
  <c r="AF271" i="37"/>
  <c r="Z271" i="37"/>
  <c r="AD272" i="37" l="1"/>
  <c r="AM272" i="37"/>
  <c r="AN272" i="37" s="1"/>
  <c r="AF272" i="37"/>
  <c r="AJ272" i="37"/>
  <c r="AK272" i="37"/>
  <c r="AL272" i="37" s="1"/>
  <c r="J272" i="37"/>
  <c r="I272" i="37"/>
  <c r="H272" i="37"/>
  <c r="AB273" i="37"/>
  <c r="AC273" i="37" s="1"/>
  <c r="AH273" i="37"/>
  <c r="AI273" i="37"/>
  <c r="AE273" i="37"/>
  <c r="G273" i="37"/>
  <c r="T273" i="37"/>
  <c r="V273" i="37" s="1"/>
  <c r="F274" i="37"/>
  <c r="Y273" i="37"/>
  <c r="R273" i="37"/>
  <c r="X273" i="37"/>
  <c r="Z273" i="37" s="1"/>
  <c r="AA273" i="37"/>
  <c r="W273" i="37"/>
  <c r="U273" i="37"/>
  <c r="AG273" i="37"/>
  <c r="AC272" i="37"/>
  <c r="H273" i="37" l="1"/>
  <c r="I273" i="37"/>
  <c r="J273" i="37"/>
  <c r="AD273" i="37"/>
  <c r="AK273" i="37"/>
  <c r="AL273" i="37" s="1"/>
  <c r="AM273" i="37"/>
  <c r="AN273" i="37" s="1"/>
  <c r="AJ273" i="37"/>
  <c r="AF273" i="37"/>
  <c r="AB274" i="37"/>
  <c r="AC274" i="37" s="1"/>
  <c r="R274" i="37"/>
  <c r="AH274" i="37"/>
  <c r="F275" i="37"/>
  <c r="G274" i="37"/>
  <c r="X274" i="37"/>
  <c r="Z274" i="37" s="1"/>
  <c r="AI274" i="37"/>
  <c r="U274" i="37"/>
  <c r="W274" i="37"/>
  <c r="Y274" i="37"/>
  <c r="AA274" i="37"/>
  <c r="T274" i="37"/>
  <c r="V274" i="37" s="1"/>
  <c r="AE274" i="37"/>
  <c r="AG274" i="37"/>
  <c r="J274" i="37" l="1"/>
  <c r="H274" i="37"/>
  <c r="I274" i="37"/>
  <c r="AB275" i="37"/>
  <c r="AE275" i="37"/>
  <c r="AI275" i="37"/>
  <c r="W275" i="37"/>
  <c r="R275" i="37"/>
  <c r="F276" i="37"/>
  <c r="AH275" i="37"/>
  <c r="AA275" i="37"/>
  <c r="U275" i="37"/>
  <c r="T275" i="37"/>
  <c r="Y275" i="37"/>
  <c r="X275" i="37"/>
  <c r="G275" i="37"/>
  <c r="AG275" i="37"/>
  <c r="AD274" i="37"/>
  <c r="AM274" i="37"/>
  <c r="AN274" i="37" s="1"/>
  <c r="AJ274" i="37"/>
  <c r="AK274" i="37"/>
  <c r="AL274" i="37" s="1"/>
  <c r="AF274" i="37"/>
  <c r="AH276" i="37" l="1"/>
  <c r="F277" i="37"/>
  <c r="AA276" i="37"/>
  <c r="R276" i="37"/>
  <c r="Y276" i="37"/>
  <c r="G276" i="37"/>
  <c r="AB276" i="37"/>
  <c r="AC276" i="37" s="1"/>
  <c r="X276" i="37"/>
  <c r="Z276" i="37" s="1"/>
  <c r="W276" i="37"/>
  <c r="T276" i="37"/>
  <c r="AE276" i="37"/>
  <c r="AG276" i="37"/>
  <c r="AI276" i="37"/>
  <c r="U276" i="37"/>
  <c r="V275" i="37"/>
  <c r="AC275" i="37"/>
  <c r="AD275" i="37"/>
  <c r="AK275" i="37"/>
  <c r="AL275" i="37" s="1"/>
  <c r="AF275" i="37"/>
  <c r="AJ275" i="37"/>
  <c r="AM275" i="37"/>
  <c r="AN275" i="37" s="1"/>
  <c r="H275" i="37"/>
  <c r="I275" i="37"/>
  <c r="J275" i="37"/>
  <c r="Z275" i="37"/>
  <c r="AD276" i="37" l="1"/>
  <c r="AK276" i="37"/>
  <c r="AL276" i="37" s="1"/>
  <c r="AM276" i="37"/>
  <c r="AN276" i="37" s="1"/>
  <c r="AJ276" i="37"/>
  <c r="AF276" i="37"/>
  <c r="V276" i="37"/>
  <c r="AI277" i="37"/>
  <c r="F278" i="37"/>
  <c r="AH277" i="37"/>
  <c r="G277" i="37"/>
  <c r="X277" i="37"/>
  <c r="T277" i="37"/>
  <c r="V277" i="37" s="1"/>
  <c r="W277" i="37"/>
  <c r="Y277" i="37"/>
  <c r="AA277" i="37"/>
  <c r="AG277" i="37"/>
  <c r="AE277" i="37"/>
  <c r="R277" i="37"/>
  <c r="U277" i="37"/>
  <c r="AB277" i="37"/>
  <c r="AC277" i="37" s="1"/>
  <c r="H276" i="37"/>
  <c r="I276" i="37"/>
  <c r="J276" i="37"/>
  <c r="I277" i="37" l="1"/>
  <c r="J277" i="37"/>
  <c r="H277" i="37"/>
  <c r="G278" i="37"/>
  <c r="AH278" i="37"/>
  <c r="AA278" i="37"/>
  <c r="U278" i="37"/>
  <c r="AE278" i="37"/>
  <c r="F279" i="37"/>
  <c r="AB278" i="37"/>
  <c r="AC278" i="37" s="1"/>
  <c r="R278" i="37"/>
  <c r="AI278" i="37"/>
  <c r="Y278" i="37"/>
  <c r="AG278" i="37"/>
  <c r="T278" i="37"/>
  <c r="X278" i="37"/>
  <c r="W278" i="37"/>
  <c r="AD277" i="37"/>
  <c r="AJ277" i="37"/>
  <c r="AF277" i="37"/>
  <c r="AK277" i="37"/>
  <c r="AL277" i="37" s="1"/>
  <c r="AM277" i="37"/>
  <c r="AN277" i="37" s="1"/>
  <c r="Z277" i="37"/>
  <c r="AI279" i="37" l="1"/>
  <c r="AG279" i="37"/>
  <c r="AH279" i="37"/>
  <c r="X279" i="37"/>
  <c r="U279" i="37"/>
  <c r="AE279" i="37"/>
  <c r="T279" i="37"/>
  <c r="V279" i="37" s="1"/>
  <c r="AA279" i="37"/>
  <c r="Y279" i="37"/>
  <c r="AB279" i="37"/>
  <c r="F280" i="37"/>
  <c r="W279" i="37"/>
  <c r="R279" i="37"/>
  <c r="G279" i="37"/>
  <c r="AD278" i="37"/>
  <c r="AF278" i="37"/>
  <c r="AM278" i="37"/>
  <c r="AN278" i="37" s="1"/>
  <c r="AK278" i="37"/>
  <c r="AL278" i="37" s="1"/>
  <c r="AJ278" i="37"/>
  <c r="I278" i="37"/>
  <c r="H278" i="37"/>
  <c r="J278" i="37"/>
  <c r="Z278" i="37"/>
  <c r="V278" i="37"/>
  <c r="I279" i="37" l="1"/>
  <c r="J279" i="37"/>
  <c r="H279" i="37"/>
  <c r="AI280" i="37"/>
  <c r="R280" i="37"/>
  <c r="AH280" i="37"/>
  <c r="F281" i="37"/>
  <c r="G280" i="37"/>
  <c r="U280" i="37"/>
  <c r="W280" i="37"/>
  <c r="AA280" i="37"/>
  <c r="Y280" i="37"/>
  <c r="T280" i="37"/>
  <c r="V280" i="37" s="1"/>
  <c r="X280" i="37"/>
  <c r="AB280" i="37"/>
  <c r="AG280" i="37"/>
  <c r="AE280" i="37"/>
  <c r="AD279" i="37"/>
  <c r="AF279" i="37"/>
  <c r="AM279" i="37"/>
  <c r="AN279" i="37" s="1"/>
  <c r="AK279" i="37"/>
  <c r="AL279" i="37" s="1"/>
  <c r="AJ279" i="37"/>
  <c r="Z279" i="37"/>
  <c r="AC279" i="37"/>
  <c r="J280" i="37" l="1"/>
  <c r="H280" i="37"/>
  <c r="I280" i="37"/>
  <c r="G281" i="37"/>
  <c r="AB281" i="37"/>
  <c r="F282" i="37"/>
  <c r="R281" i="37"/>
  <c r="AA281" i="37"/>
  <c r="Y281" i="37"/>
  <c r="AI281" i="37"/>
  <c r="U281" i="37"/>
  <c r="T281" i="37"/>
  <c r="X281" i="37"/>
  <c r="Z281" i="37" s="1"/>
  <c r="AH281" i="37"/>
  <c r="W281" i="37"/>
  <c r="AE281" i="37"/>
  <c r="AG281" i="37"/>
  <c r="Z280" i="37"/>
  <c r="AD280" i="37"/>
  <c r="AF280" i="37"/>
  <c r="AJ280" i="37"/>
  <c r="AK280" i="37"/>
  <c r="AL280" i="37" s="1"/>
  <c r="AM280" i="37"/>
  <c r="AN280" i="37" s="1"/>
  <c r="AC280" i="37"/>
  <c r="AC281" i="37" l="1"/>
  <c r="I281" i="37"/>
  <c r="J281" i="37"/>
  <c r="H281" i="37"/>
  <c r="V281" i="37"/>
  <c r="AB282" i="37"/>
  <c r="AC282" i="37" s="1"/>
  <c r="R282" i="37"/>
  <c r="AH282" i="37"/>
  <c r="G282" i="37"/>
  <c r="AA282" i="37"/>
  <c r="AE282" i="37"/>
  <c r="AI282" i="37"/>
  <c r="F283" i="37"/>
  <c r="U282" i="37"/>
  <c r="T282" i="37"/>
  <c r="X282" i="37"/>
  <c r="Y282" i="37"/>
  <c r="AG282" i="37"/>
  <c r="W282" i="37"/>
  <c r="AD281" i="37"/>
  <c r="AF281" i="37"/>
  <c r="AM281" i="37"/>
  <c r="AN281" i="37" s="1"/>
  <c r="AJ281" i="37"/>
  <c r="AK281" i="37"/>
  <c r="AL281" i="37" s="1"/>
  <c r="I282" i="37" l="1"/>
  <c r="H282" i="37"/>
  <c r="J282" i="37"/>
  <c r="AB283" i="37"/>
  <c r="AC283" i="37" s="1"/>
  <c r="Y283" i="37"/>
  <c r="T283" i="37"/>
  <c r="W283" i="37"/>
  <c r="AI283" i="37"/>
  <c r="AG283" i="37"/>
  <c r="AH283" i="37"/>
  <c r="AE283" i="37"/>
  <c r="X283" i="37"/>
  <c r="Z283" i="37" s="1"/>
  <c r="U283" i="37"/>
  <c r="AA283" i="37"/>
  <c r="G283" i="37"/>
  <c r="F284" i="37"/>
  <c r="R283" i="37"/>
  <c r="AD282" i="37"/>
  <c r="AM282" i="37"/>
  <c r="AN282" i="37" s="1"/>
  <c r="AK282" i="37"/>
  <c r="AL282" i="37" s="1"/>
  <c r="AJ282" i="37"/>
  <c r="AF282" i="37"/>
  <c r="Z282" i="37"/>
  <c r="V282" i="37"/>
  <c r="AD283" i="37" l="1"/>
  <c r="AJ283" i="37"/>
  <c r="AK283" i="37"/>
  <c r="AL283" i="37" s="1"/>
  <c r="AF283" i="37"/>
  <c r="AM283" i="37"/>
  <c r="AN283" i="37" s="1"/>
  <c r="V283" i="37"/>
  <c r="AB284" i="37"/>
  <c r="G284" i="37"/>
  <c r="AH284" i="37"/>
  <c r="R284" i="37"/>
  <c r="F285" i="37"/>
  <c r="AI284" i="37"/>
  <c r="AE284" i="37"/>
  <c r="AA284" i="37"/>
  <c r="W284" i="37"/>
  <c r="Y284" i="37"/>
  <c r="X284" i="37"/>
  <c r="Z284" i="37" s="1"/>
  <c r="U284" i="37"/>
  <c r="AG284" i="37"/>
  <c r="T284" i="37"/>
  <c r="V284" i="37" s="1"/>
  <c r="H283" i="37"/>
  <c r="J283" i="37"/>
  <c r="I283" i="37"/>
  <c r="R285" i="37" l="1"/>
  <c r="AB285" i="37"/>
  <c r="AC285" i="37" s="1"/>
  <c r="AH285" i="37"/>
  <c r="T285" i="37"/>
  <c r="AI285" i="37"/>
  <c r="AA285" i="37"/>
  <c r="Y285" i="37"/>
  <c r="X285" i="37"/>
  <c r="Z285" i="37" s="1"/>
  <c r="F286" i="37"/>
  <c r="AG285" i="37"/>
  <c r="W285" i="37"/>
  <c r="U285" i="37"/>
  <c r="AE285" i="37"/>
  <c r="G285" i="37"/>
  <c r="I284" i="37"/>
  <c r="H284" i="37"/>
  <c r="J284" i="37"/>
  <c r="AC284" i="37"/>
  <c r="AD284" i="37"/>
  <c r="AF284" i="37"/>
  <c r="AK284" i="37"/>
  <c r="AL284" i="37" s="1"/>
  <c r="AM284" i="37"/>
  <c r="AN284" i="37" s="1"/>
  <c r="AJ284" i="37"/>
  <c r="H285" i="37" l="1"/>
  <c r="J285" i="37"/>
  <c r="I285" i="37"/>
  <c r="V285" i="37"/>
  <c r="AD285" i="37"/>
  <c r="AF285" i="37"/>
  <c r="AM285" i="37"/>
  <c r="AN285" i="37" s="1"/>
  <c r="AJ285" i="37"/>
  <c r="AK285" i="37"/>
  <c r="AL285" i="37" s="1"/>
  <c r="AI286" i="37"/>
  <c r="R286" i="37"/>
  <c r="AH286" i="37"/>
  <c r="G286" i="37"/>
  <c r="W286" i="37"/>
  <c r="U286" i="37"/>
  <c r="AA286" i="37"/>
  <c r="Y286" i="37"/>
  <c r="T286" i="37"/>
  <c r="V286" i="37" s="1"/>
  <c r="AE286" i="37"/>
  <c r="X286" i="37"/>
  <c r="Z286" i="37" s="1"/>
  <c r="F287" i="37"/>
  <c r="AB286" i="37"/>
  <c r="AG286" i="37"/>
  <c r="AC286" i="37" l="1"/>
  <c r="AH287" i="37"/>
  <c r="R287" i="37"/>
  <c r="AI287" i="37"/>
  <c r="F288" i="37"/>
  <c r="G287" i="37"/>
  <c r="AG287" i="37"/>
  <c r="AE287" i="37"/>
  <c r="Y287" i="37"/>
  <c r="W287" i="37"/>
  <c r="U287" i="37"/>
  <c r="X287" i="37"/>
  <c r="AA287" i="37"/>
  <c r="T287" i="37"/>
  <c r="V287" i="37" s="1"/>
  <c r="AB287" i="37"/>
  <c r="AC287" i="37" s="1"/>
  <c r="AD286" i="37"/>
  <c r="AK286" i="37"/>
  <c r="AL286" i="37" s="1"/>
  <c r="AJ286" i="37"/>
  <c r="AF286" i="37"/>
  <c r="AM286" i="37"/>
  <c r="AN286" i="37" s="1"/>
  <c r="I286" i="37"/>
  <c r="J286" i="37"/>
  <c r="H286" i="37"/>
  <c r="AD287" i="37" l="1"/>
  <c r="AK287" i="37"/>
  <c r="AL287" i="37" s="1"/>
  <c r="AJ287" i="37"/>
  <c r="AF287" i="37"/>
  <c r="AM287" i="37"/>
  <c r="AN287" i="37" s="1"/>
  <c r="AB288" i="37"/>
  <c r="AC288" i="37" s="1"/>
  <c r="R288" i="37"/>
  <c r="AH288" i="37"/>
  <c r="W288" i="37"/>
  <c r="T288" i="37"/>
  <c r="AE288" i="37"/>
  <c r="AI288" i="37"/>
  <c r="F289" i="37"/>
  <c r="U288" i="37"/>
  <c r="G288" i="37"/>
  <c r="AA288" i="37"/>
  <c r="Y288" i="37"/>
  <c r="X288" i="37"/>
  <c r="Z288" i="37" s="1"/>
  <c r="AG288" i="37"/>
  <c r="Z287" i="37"/>
  <c r="J287" i="37"/>
  <c r="H287" i="37"/>
  <c r="I287" i="37"/>
  <c r="V288" i="37" l="1"/>
  <c r="AB289" i="37"/>
  <c r="AC289" i="37" s="1"/>
  <c r="G289" i="37"/>
  <c r="AA289" i="37"/>
  <c r="T289" i="37"/>
  <c r="U289" i="37"/>
  <c r="AI289" i="37"/>
  <c r="F290" i="37"/>
  <c r="AG289" i="37"/>
  <c r="AH289" i="37"/>
  <c r="W289" i="37"/>
  <c r="Y289" i="37"/>
  <c r="X289" i="37"/>
  <c r="AE289" i="37"/>
  <c r="R289" i="37"/>
  <c r="AD288" i="37"/>
  <c r="AK288" i="37"/>
  <c r="AL288" i="37" s="1"/>
  <c r="AJ288" i="37"/>
  <c r="AM288" i="37"/>
  <c r="AN288" i="37" s="1"/>
  <c r="AF288" i="37"/>
  <c r="H288" i="37"/>
  <c r="J288" i="37"/>
  <c r="I288" i="37"/>
  <c r="AD289" i="37" l="1"/>
  <c r="AK289" i="37"/>
  <c r="AL289" i="37" s="1"/>
  <c r="AM289" i="37"/>
  <c r="AN289" i="37" s="1"/>
  <c r="AJ289" i="37"/>
  <c r="AF289" i="37"/>
  <c r="AB290" i="37"/>
  <c r="AC290" i="37" s="1"/>
  <c r="AH290" i="37"/>
  <c r="AI290" i="37"/>
  <c r="R290" i="37"/>
  <c r="Y290" i="37"/>
  <c r="F291" i="37"/>
  <c r="X290" i="37"/>
  <c r="Z290" i="37" s="1"/>
  <c r="G290" i="37"/>
  <c r="W290" i="37"/>
  <c r="AA290" i="37"/>
  <c r="T290" i="37"/>
  <c r="AE290" i="37"/>
  <c r="AG290" i="37"/>
  <c r="U290" i="37"/>
  <c r="Z289" i="37"/>
  <c r="H289" i="37"/>
  <c r="J289" i="37"/>
  <c r="I289" i="37"/>
  <c r="V289" i="37"/>
  <c r="AB291" i="37" l="1"/>
  <c r="AI291" i="37"/>
  <c r="U291" i="37"/>
  <c r="G291" i="37"/>
  <c r="AH291" i="37"/>
  <c r="R291" i="37"/>
  <c r="X291" i="37"/>
  <c r="F292" i="37"/>
  <c r="W291" i="37"/>
  <c r="AA291" i="37"/>
  <c r="AG291" i="37"/>
  <c r="Y291" i="37"/>
  <c r="AE291" i="37"/>
  <c r="T291" i="37"/>
  <c r="V291" i="37" s="1"/>
  <c r="AD290" i="37"/>
  <c r="AJ290" i="37"/>
  <c r="AM290" i="37"/>
  <c r="AN290" i="37" s="1"/>
  <c r="AF290" i="37"/>
  <c r="AK290" i="37"/>
  <c r="AL290" i="37" s="1"/>
  <c r="V290" i="37"/>
  <c r="J290" i="37"/>
  <c r="H290" i="37"/>
  <c r="I290" i="37"/>
  <c r="AD291" i="37" l="1"/>
  <c r="AF291" i="37"/>
  <c r="AK291" i="37"/>
  <c r="AL291" i="37" s="1"/>
  <c r="AJ291" i="37"/>
  <c r="AM291" i="37"/>
  <c r="AN291" i="37" s="1"/>
  <c r="Z291" i="37"/>
  <c r="J291" i="37"/>
  <c r="I291" i="37"/>
  <c r="H291" i="37"/>
  <c r="F293" i="37"/>
  <c r="AB292" i="37"/>
  <c r="AC292" i="37" s="1"/>
  <c r="AI292" i="37"/>
  <c r="W292" i="37"/>
  <c r="U292" i="37"/>
  <c r="AH292" i="37"/>
  <c r="X292" i="37"/>
  <c r="AA292" i="37"/>
  <c r="Y292" i="37"/>
  <c r="T292" i="37"/>
  <c r="AG292" i="37"/>
  <c r="AE292" i="37"/>
  <c r="R292" i="37"/>
  <c r="G292" i="37"/>
  <c r="AC291" i="37"/>
  <c r="AD292" i="37" l="1"/>
  <c r="AK292" i="37"/>
  <c r="AL292" i="37" s="1"/>
  <c r="AM292" i="37"/>
  <c r="AN292" i="37" s="1"/>
  <c r="AF292" i="37"/>
  <c r="AJ292" i="37"/>
  <c r="AI293" i="37"/>
  <c r="AH293" i="37"/>
  <c r="Y293" i="37"/>
  <c r="X293" i="37"/>
  <c r="Z293" i="37" s="1"/>
  <c r="W293" i="37"/>
  <c r="AA293" i="37"/>
  <c r="U293" i="37"/>
  <c r="T293" i="37"/>
  <c r="V293" i="37" s="1"/>
  <c r="AG293" i="37"/>
  <c r="AE293" i="37"/>
  <c r="R293" i="37"/>
  <c r="F294" i="37"/>
  <c r="AB293" i="37"/>
  <c r="AC293" i="37" s="1"/>
  <c r="G293" i="37"/>
  <c r="H292" i="37"/>
  <c r="I292" i="37"/>
  <c r="J292" i="37"/>
  <c r="Z292" i="37"/>
  <c r="V292" i="37"/>
  <c r="AB294" i="37" l="1"/>
  <c r="G294" i="37"/>
  <c r="AI294" i="37"/>
  <c r="F295" i="37"/>
  <c r="AH294" i="37"/>
  <c r="R294" i="37"/>
  <c r="X294" i="37"/>
  <c r="AE294" i="37"/>
  <c r="T294" i="37"/>
  <c r="AA294" i="37"/>
  <c r="Y294" i="37"/>
  <c r="W294" i="37"/>
  <c r="U294" i="37"/>
  <c r="AG294" i="37"/>
  <c r="H293" i="37"/>
  <c r="J293" i="37"/>
  <c r="I293" i="37"/>
  <c r="AD293" i="37"/>
  <c r="AF293" i="37"/>
  <c r="AK293" i="37"/>
  <c r="AL293" i="37" s="1"/>
  <c r="AM293" i="37"/>
  <c r="AN293" i="37" s="1"/>
  <c r="AJ293" i="37"/>
  <c r="V294" i="37" l="1"/>
  <c r="AD294" i="37"/>
  <c r="AK294" i="37"/>
  <c r="AL294" i="37" s="1"/>
  <c r="AF294" i="37"/>
  <c r="AM294" i="37"/>
  <c r="AN294" i="37" s="1"/>
  <c r="AJ294" i="37"/>
  <c r="AB295" i="37"/>
  <c r="AC295" i="37" s="1"/>
  <c r="R295" i="37"/>
  <c r="AA295" i="37"/>
  <c r="X295" i="37"/>
  <c r="AI295" i="37"/>
  <c r="AH295" i="37"/>
  <c r="Y295" i="37"/>
  <c r="F296" i="37"/>
  <c r="AG295" i="37"/>
  <c r="U295" i="37"/>
  <c r="T295" i="37"/>
  <c r="V295" i="37" s="1"/>
  <c r="AE295" i="37"/>
  <c r="G295" i="37"/>
  <c r="W295" i="37"/>
  <c r="Z294" i="37"/>
  <c r="H294" i="37"/>
  <c r="I294" i="37"/>
  <c r="J294" i="37"/>
  <c r="AC294" i="37"/>
  <c r="Z295" i="37" l="1"/>
  <c r="AD295" i="37"/>
  <c r="AK295" i="37"/>
  <c r="AL295" i="37" s="1"/>
  <c r="AM295" i="37"/>
  <c r="AN295" i="37" s="1"/>
  <c r="AF295" i="37"/>
  <c r="AJ295" i="37"/>
  <c r="AH296" i="37"/>
  <c r="F297" i="37"/>
  <c r="AE296" i="37"/>
  <c r="AG296" i="37"/>
  <c r="AB296" i="37"/>
  <c r="AC296" i="37" s="1"/>
  <c r="G296" i="37"/>
  <c r="W296" i="37"/>
  <c r="U296" i="37"/>
  <c r="Y296" i="37"/>
  <c r="AA296" i="37"/>
  <c r="X296" i="37"/>
  <c r="Z296" i="37" s="1"/>
  <c r="R296" i="37"/>
  <c r="T296" i="37"/>
  <c r="AI296" i="37"/>
  <c r="H295" i="37"/>
  <c r="I295" i="37"/>
  <c r="J295" i="37"/>
  <c r="AD296" i="37" l="1"/>
  <c r="AK296" i="37"/>
  <c r="AL296" i="37" s="1"/>
  <c r="AF296" i="37"/>
  <c r="AJ296" i="37"/>
  <c r="AM296" i="37"/>
  <c r="AN296" i="37" s="1"/>
  <c r="R297" i="37"/>
  <c r="AB297" i="37"/>
  <c r="AC297" i="37" s="1"/>
  <c r="F298" i="37"/>
  <c r="AH297" i="37"/>
  <c r="G297" i="37"/>
  <c r="AI297" i="37"/>
  <c r="AG297" i="37"/>
  <c r="U297" i="37"/>
  <c r="W297" i="37"/>
  <c r="Y297" i="37"/>
  <c r="X297" i="37"/>
  <c r="Z297" i="37" s="1"/>
  <c r="T297" i="37"/>
  <c r="AE297" i="37"/>
  <c r="AA297" i="37"/>
  <c r="V296" i="37"/>
  <c r="I296" i="37"/>
  <c r="H296" i="37"/>
  <c r="J296" i="37"/>
  <c r="J297" i="37" l="1"/>
  <c r="H297" i="37"/>
  <c r="I297" i="37"/>
  <c r="AI298" i="37"/>
  <c r="R298" i="37"/>
  <c r="AH298" i="37"/>
  <c r="F299" i="37"/>
  <c r="G298" i="37"/>
  <c r="AG298" i="37"/>
  <c r="W298" i="37"/>
  <c r="T298" i="37"/>
  <c r="V298" i="37" s="1"/>
  <c r="U298" i="37"/>
  <c r="AA298" i="37"/>
  <c r="X298" i="37"/>
  <c r="Z298" i="37" s="1"/>
  <c r="AB298" i="37"/>
  <c r="Y298" i="37"/>
  <c r="AE298" i="37"/>
  <c r="AD297" i="37"/>
  <c r="AF297" i="37"/>
  <c r="AM297" i="37"/>
  <c r="AN297" i="37" s="1"/>
  <c r="AK297" i="37"/>
  <c r="AL297" i="37" s="1"/>
  <c r="AJ297" i="37"/>
  <c r="V297" i="37"/>
  <c r="AB299" i="37" l="1"/>
  <c r="AC299" i="37" s="1"/>
  <c r="R299" i="37"/>
  <c r="AI299" i="37"/>
  <c r="G299" i="37"/>
  <c r="AH299" i="37"/>
  <c r="F300" i="37"/>
  <c r="AA299" i="37"/>
  <c r="Y299" i="37"/>
  <c r="W299" i="37"/>
  <c r="AE299" i="37"/>
  <c r="AG299" i="37"/>
  <c r="X299" i="37"/>
  <c r="Z299" i="37" s="1"/>
  <c r="T299" i="37"/>
  <c r="U299" i="37"/>
  <c r="H298" i="37"/>
  <c r="I298" i="37"/>
  <c r="J298" i="37"/>
  <c r="AD298" i="37"/>
  <c r="AF298" i="37"/>
  <c r="AM298" i="37"/>
  <c r="AN298" i="37" s="1"/>
  <c r="AK298" i="37"/>
  <c r="AL298" i="37" s="1"/>
  <c r="AJ298" i="37"/>
  <c r="AC298" i="37"/>
  <c r="V299" i="37" l="1"/>
  <c r="AB300" i="37"/>
  <c r="AI300" i="37"/>
  <c r="U300" i="37"/>
  <c r="Y300" i="37"/>
  <c r="AE300" i="37"/>
  <c r="AH300" i="37"/>
  <c r="W300" i="37"/>
  <c r="T300" i="37"/>
  <c r="V300" i="37" s="1"/>
  <c r="AA300" i="37"/>
  <c r="X300" i="37"/>
  <c r="Z300" i="37" s="1"/>
  <c r="G300" i="37"/>
  <c r="R300" i="37"/>
  <c r="F301" i="37"/>
  <c r="AG300" i="37"/>
  <c r="H299" i="37"/>
  <c r="I299" i="37"/>
  <c r="J299" i="37"/>
  <c r="AD299" i="37"/>
  <c r="AK299" i="37"/>
  <c r="AL299" i="37" s="1"/>
  <c r="AM299" i="37"/>
  <c r="AN299" i="37" s="1"/>
  <c r="AJ299" i="37"/>
  <c r="AF299" i="37"/>
  <c r="AI301" i="37" l="1"/>
  <c r="W301" i="37"/>
  <c r="AH301" i="37"/>
  <c r="R301" i="37"/>
  <c r="G301" i="37"/>
  <c r="AB301" i="37"/>
  <c r="AC301" i="37" s="1"/>
  <c r="Y301" i="37"/>
  <c r="U301" i="37"/>
  <c r="AA301" i="37"/>
  <c r="F302" i="37"/>
  <c r="T301" i="37"/>
  <c r="V301" i="37" s="1"/>
  <c r="X301" i="37"/>
  <c r="Z301" i="37" s="1"/>
  <c r="AE301" i="37"/>
  <c r="AG301" i="37"/>
  <c r="I300" i="37"/>
  <c r="H300" i="37"/>
  <c r="J300" i="37"/>
  <c r="AD300" i="37"/>
  <c r="AF300" i="37"/>
  <c r="AJ300" i="37"/>
  <c r="AK300" i="37"/>
  <c r="AL300" i="37" s="1"/>
  <c r="AM300" i="37"/>
  <c r="AN300" i="37" s="1"/>
  <c r="AC300" i="37"/>
  <c r="AB302" i="37" l="1"/>
  <c r="G302" i="37"/>
  <c r="AI302" i="37"/>
  <c r="F303" i="37"/>
  <c r="AH302" i="37"/>
  <c r="U302" i="37"/>
  <c r="AE302" i="37"/>
  <c r="X302" i="37"/>
  <c r="AA302" i="37"/>
  <c r="W302" i="37"/>
  <c r="T302" i="37"/>
  <c r="V302" i="37" s="1"/>
  <c r="Y302" i="37"/>
  <c r="AG302" i="37"/>
  <c r="R302" i="37"/>
  <c r="AD301" i="37"/>
  <c r="AJ301" i="37"/>
  <c r="AF301" i="37"/>
  <c r="AM301" i="37"/>
  <c r="AN301" i="37" s="1"/>
  <c r="AK301" i="37"/>
  <c r="AL301" i="37" s="1"/>
  <c r="J301" i="37"/>
  <c r="H301" i="37"/>
  <c r="I301" i="37"/>
  <c r="AB303" i="37" l="1"/>
  <c r="G303" i="37"/>
  <c r="AI303" i="37"/>
  <c r="F304" i="37"/>
  <c r="AH303" i="37"/>
  <c r="W303" i="37"/>
  <c r="R303" i="37"/>
  <c r="X303" i="37"/>
  <c r="AA303" i="37"/>
  <c r="AG303" i="37"/>
  <c r="U303" i="37"/>
  <c r="AE303" i="37"/>
  <c r="T303" i="37"/>
  <c r="V303" i="37" s="1"/>
  <c r="Y303" i="37"/>
  <c r="AD302" i="37"/>
  <c r="AJ302" i="37"/>
  <c r="AM302" i="37"/>
  <c r="AN302" i="37" s="1"/>
  <c r="AK302" i="37"/>
  <c r="AL302" i="37" s="1"/>
  <c r="AF302" i="37"/>
  <c r="J302" i="37"/>
  <c r="I302" i="37"/>
  <c r="H302" i="37"/>
  <c r="Z302" i="37"/>
  <c r="AC302" i="37"/>
  <c r="AD303" i="37" l="1"/>
  <c r="AF303" i="37"/>
  <c r="AJ303" i="37"/>
  <c r="AM303" i="37"/>
  <c r="AN303" i="37" s="1"/>
  <c r="AK303" i="37"/>
  <c r="AL303" i="37" s="1"/>
  <c r="AI304" i="37"/>
  <c r="F305" i="37"/>
  <c r="T304" i="37"/>
  <c r="V304" i="37" s="1"/>
  <c r="AH304" i="37"/>
  <c r="X304" i="37"/>
  <c r="Z304" i="37" s="1"/>
  <c r="Y304" i="37"/>
  <c r="AA304" i="37"/>
  <c r="W304" i="37"/>
  <c r="AG304" i="37"/>
  <c r="U304" i="37"/>
  <c r="AE304" i="37"/>
  <c r="G304" i="37"/>
  <c r="AB304" i="37"/>
  <c r="R304" i="37"/>
  <c r="Z303" i="37"/>
  <c r="J303" i="37"/>
  <c r="I303" i="37"/>
  <c r="H303" i="37"/>
  <c r="AC303" i="37"/>
  <c r="F306" i="37" l="1"/>
  <c r="AA305" i="37"/>
  <c r="AB305" i="37"/>
  <c r="AC305" i="37" s="1"/>
  <c r="R305" i="37"/>
  <c r="AH305" i="37"/>
  <c r="AI305" i="37"/>
  <c r="T305" i="37"/>
  <c r="Y305" i="37"/>
  <c r="X305" i="37"/>
  <c r="AE305" i="37"/>
  <c r="AG305" i="37"/>
  <c r="U305" i="37"/>
  <c r="W305" i="37"/>
  <c r="G305" i="37"/>
  <c r="H304" i="37"/>
  <c r="I304" i="37"/>
  <c r="J304" i="37"/>
  <c r="AD304" i="37"/>
  <c r="AF304" i="37"/>
  <c r="H305" i="37" l="1"/>
  <c r="I305" i="37"/>
  <c r="J305" i="37"/>
  <c r="AD305" i="37"/>
  <c r="AF305" i="37"/>
  <c r="AJ305" i="37"/>
  <c r="AM305" i="37"/>
  <c r="AN305" i="37" s="1"/>
  <c r="AK305" i="37"/>
  <c r="AL305" i="37" s="1"/>
  <c r="Z305" i="37"/>
  <c r="V305" i="37"/>
  <c r="R306" i="37"/>
  <c r="AI306" i="37"/>
  <c r="F307" i="37"/>
  <c r="T306" i="37"/>
  <c r="V306" i="37" s="1"/>
  <c r="X306" i="37"/>
  <c r="AB306" i="37"/>
  <c r="AH306" i="37"/>
  <c r="G306" i="37"/>
  <c r="U306" i="37"/>
  <c r="Y306" i="37"/>
  <c r="AA306" i="37"/>
  <c r="AE306" i="37"/>
  <c r="W306" i="37"/>
  <c r="AG306" i="37"/>
  <c r="AD306" i="37" l="1"/>
  <c r="AJ306" i="37"/>
  <c r="AM306" i="37"/>
  <c r="AN306" i="37" s="1"/>
  <c r="AK306" i="37"/>
  <c r="AL306" i="37" s="1"/>
  <c r="AF306" i="37"/>
  <c r="I306" i="37"/>
  <c r="H306" i="37"/>
  <c r="J306" i="37"/>
  <c r="AC306" i="37"/>
  <c r="T307" i="37"/>
  <c r="F308" i="37"/>
  <c r="U307" i="37"/>
  <c r="X307" i="37"/>
  <c r="Y307" i="37"/>
  <c r="AB307" i="37"/>
  <c r="AI307" i="37"/>
  <c r="AE307" i="37"/>
  <c r="AA307" i="37"/>
  <c r="AG307" i="37"/>
  <c r="AH307" i="37"/>
  <c r="G307" i="37"/>
  <c r="W307" i="37"/>
  <c r="R307" i="37"/>
  <c r="Z306" i="37"/>
  <c r="Z307" i="37" l="1"/>
  <c r="AB308" i="37"/>
  <c r="AI308" i="37"/>
  <c r="U308" i="37"/>
  <c r="R308" i="37"/>
  <c r="F309" i="37"/>
  <c r="X308" i="37"/>
  <c r="T308" i="37"/>
  <c r="V308" i="37" s="1"/>
  <c r="AE308" i="37"/>
  <c r="AH308" i="37"/>
  <c r="G308" i="37"/>
  <c r="AA308" i="37"/>
  <c r="Y308" i="37"/>
  <c r="W308" i="37"/>
  <c r="AG308" i="37"/>
  <c r="I307" i="37"/>
  <c r="H307" i="37"/>
  <c r="J307" i="37"/>
  <c r="V307" i="37"/>
  <c r="AD307" i="37"/>
  <c r="AF307" i="37"/>
  <c r="AM307" i="37"/>
  <c r="AN307" i="37" s="1"/>
  <c r="AJ307" i="37"/>
  <c r="AK307" i="37"/>
  <c r="AL307" i="37" s="1"/>
  <c r="AC307" i="37"/>
  <c r="J308" i="37" l="1"/>
  <c r="I308" i="37"/>
  <c r="H308" i="37"/>
  <c r="AB309" i="37"/>
  <c r="AC309" i="37" s="1"/>
  <c r="T309" i="37"/>
  <c r="AG309" i="37"/>
  <c r="AE309" i="37"/>
  <c r="Y309" i="37"/>
  <c r="G309" i="37"/>
  <c r="U309" i="37"/>
  <c r="F310" i="37"/>
  <c r="X309" i="37"/>
  <c r="Z309" i="37" s="1"/>
  <c r="AI309" i="37"/>
  <c r="AH309" i="37"/>
  <c r="R309" i="37"/>
  <c r="W309" i="37"/>
  <c r="AA309" i="37"/>
  <c r="AD308" i="37"/>
  <c r="AF308" i="37"/>
  <c r="AM308" i="37"/>
  <c r="AN308" i="37" s="1"/>
  <c r="AK308" i="37"/>
  <c r="AL308" i="37" s="1"/>
  <c r="AJ308" i="37"/>
  <c r="AC308" i="37"/>
  <c r="Z308" i="37"/>
  <c r="I309" i="37" l="1"/>
  <c r="H309" i="37"/>
  <c r="J309" i="37"/>
  <c r="G310" i="37"/>
  <c r="F311" i="37"/>
  <c r="AB310" i="37"/>
  <c r="AI310" i="37"/>
  <c r="AA310" i="37"/>
  <c r="X310" i="37"/>
  <c r="R310" i="37"/>
  <c r="AH310" i="37"/>
  <c r="W310" i="37"/>
  <c r="Y310" i="37"/>
  <c r="AE310" i="37"/>
  <c r="U310" i="37"/>
  <c r="T310" i="37"/>
  <c r="V310" i="37" s="1"/>
  <c r="AG310" i="37"/>
  <c r="AD309" i="37"/>
  <c r="AF309" i="37"/>
  <c r="AM309" i="37"/>
  <c r="AN309" i="37" s="1"/>
  <c r="AJ309" i="37"/>
  <c r="AK309" i="37"/>
  <c r="AL309" i="37" s="1"/>
  <c r="V309" i="37"/>
  <c r="Z310" i="37" l="1"/>
  <c r="AD310" i="37"/>
  <c r="AF310" i="37"/>
  <c r="AM310" i="37"/>
  <c r="AN310" i="37" s="1"/>
  <c r="AK310" i="37"/>
  <c r="AL310" i="37" s="1"/>
  <c r="AJ310" i="37"/>
  <c r="AC310" i="37"/>
  <c r="AB311" i="37"/>
  <c r="AC311" i="37" s="1"/>
  <c r="R311" i="37"/>
  <c r="AH311" i="37"/>
  <c r="G311" i="37"/>
  <c r="AI311" i="37"/>
  <c r="F312" i="37"/>
  <c r="AG311" i="37"/>
  <c r="AE311" i="37"/>
  <c r="T311" i="37"/>
  <c r="U311" i="37"/>
  <c r="X311" i="37"/>
  <c r="AA311" i="37"/>
  <c r="Y311" i="37"/>
  <c r="W311" i="37"/>
  <c r="I310" i="37"/>
  <c r="J310" i="37"/>
  <c r="H310" i="37"/>
  <c r="J311" i="37" l="1"/>
  <c r="H311" i="37"/>
  <c r="I311" i="37"/>
  <c r="AH312" i="37"/>
  <c r="Y312" i="37"/>
  <c r="G312" i="37"/>
  <c r="F313" i="37"/>
  <c r="R312" i="37"/>
  <c r="AB312" i="37"/>
  <c r="AC312" i="37" s="1"/>
  <c r="AI312" i="37"/>
  <c r="U312" i="37"/>
  <c r="AA312" i="37"/>
  <c r="X312" i="37"/>
  <c r="Z312" i="37" s="1"/>
  <c r="T312" i="37"/>
  <c r="V312" i="37" s="1"/>
  <c r="W312" i="37"/>
  <c r="AE312" i="37"/>
  <c r="AG312" i="37"/>
  <c r="Z311" i="37"/>
  <c r="V311" i="37"/>
  <c r="AD311" i="37"/>
  <c r="AF311" i="37"/>
  <c r="AM311" i="37"/>
  <c r="AN311" i="37" s="1"/>
  <c r="AK311" i="37"/>
  <c r="AL311" i="37" s="1"/>
  <c r="AJ311" i="37"/>
  <c r="AB313" i="37" l="1"/>
  <c r="AI313" i="37"/>
  <c r="AH313" i="37"/>
  <c r="R313" i="37"/>
  <c r="W313" i="37"/>
  <c r="F314" i="37"/>
  <c r="AA313" i="37"/>
  <c r="G313" i="37"/>
  <c r="U313" i="37"/>
  <c r="Y313" i="37"/>
  <c r="AE313" i="37"/>
  <c r="X313" i="37"/>
  <c r="Z313" i="37" s="1"/>
  <c r="T313" i="37"/>
  <c r="V313" i="37" s="1"/>
  <c r="AG313" i="37"/>
  <c r="H312" i="37"/>
  <c r="I312" i="37"/>
  <c r="J312" i="37"/>
  <c r="AD312" i="37"/>
  <c r="AM312" i="37"/>
  <c r="AN312" i="37" s="1"/>
  <c r="AK312" i="37"/>
  <c r="AL312" i="37" s="1"/>
  <c r="AF312" i="37"/>
  <c r="AJ312" i="37"/>
  <c r="AD313" i="37" l="1"/>
  <c r="AF313" i="37"/>
  <c r="I313" i="37"/>
  <c r="J313" i="37"/>
  <c r="H313" i="37"/>
  <c r="AB314" i="37"/>
  <c r="AC314" i="37" s="1"/>
  <c r="AI314" i="37"/>
  <c r="AH314" i="37"/>
  <c r="T314" i="37"/>
  <c r="V314" i="37" s="1"/>
  <c r="G314" i="37"/>
  <c r="F315" i="37"/>
  <c r="AA314" i="37"/>
  <c r="Y314" i="37"/>
  <c r="X314" i="37"/>
  <c r="U314" i="37"/>
  <c r="AG314" i="37"/>
  <c r="W314" i="37"/>
  <c r="R314" i="37"/>
  <c r="AE314" i="37"/>
  <c r="I314" i="37" l="1"/>
  <c r="H314" i="37"/>
  <c r="J314" i="37"/>
  <c r="Z314" i="37"/>
  <c r="AD314" i="37"/>
  <c r="AM314" i="37"/>
  <c r="AN314" i="37" s="1"/>
  <c r="AF314" i="37"/>
  <c r="AK314" i="37"/>
  <c r="AL314" i="37" s="1"/>
  <c r="AJ314" i="37"/>
  <c r="AI315" i="37"/>
  <c r="AH315" i="37"/>
  <c r="AA315" i="37"/>
  <c r="T315" i="37"/>
  <c r="V315" i="37" s="1"/>
  <c r="Y315" i="37"/>
  <c r="W315" i="37"/>
  <c r="X315" i="37"/>
  <c r="AG315" i="37"/>
  <c r="G315" i="37"/>
  <c r="F316" i="37"/>
  <c r="R315" i="37"/>
  <c r="AB315" i="37"/>
  <c r="AC315" i="37" s="1"/>
  <c r="U315" i="37"/>
  <c r="AE315" i="37"/>
  <c r="AD315" i="37" l="1"/>
  <c r="AF315" i="37"/>
  <c r="AK315" i="37"/>
  <c r="AL315" i="37" s="1"/>
  <c r="AM315" i="37"/>
  <c r="AN315" i="37" s="1"/>
  <c r="AJ315" i="37"/>
  <c r="U316" i="37"/>
  <c r="AA316" i="37"/>
  <c r="W316" i="37"/>
  <c r="R316" i="37"/>
  <c r="T316" i="37"/>
  <c r="V316" i="37" s="1"/>
  <c r="AG316" i="37"/>
  <c r="X316" i="37"/>
  <c r="Z316" i="37" s="1"/>
  <c r="G316" i="37"/>
  <c r="F317" i="37"/>
  <c r="AI316" i="37"/>
  <c r="AH316" i="37"/>
  <c r="Y316" i="37"/>
  <c r="AE316" i="37"/>
  <c r="AB316" i="37"/>
  <c r="I315" i="37"/>
  <c r="J315" i="37"/>
  <c r="H315" i="37"/>
  <c r="Z315" i="37"/>
  <c r="J316" i="37" l="1"/>
  <c r="I316" i="37"/>
  <c r="H316" i="37"/>
  <c r="AD316" i="37"/>
  <c r="AF316" i="37"/>
  <c r="AM316" i="37"/>
  <c r="AN316" i="37" s="1"/>
  <c r="AK316" i="37"/>
  <c r="AL316" i="37" s="1"/>
  <c r="AJ316" i="37"/>
  <c r="AH317" i="37"/>
  <c r="F318" i="37"/>
  <c r="X317" i="37"/>
  <c r="G317" i="37"/>
  <c r="AA317" i="37"/>
  <c r="Y317" i="37"/>
  <c r="AE317" i="37"/>
  <c r="T317" i="37"/>
  <c r="U317" i="37"/>
  <c r="AG317" i="37"/>
  <c r="W317" i="37"/>
  <c r="R317" i="37"/>
  <c r="AB317" i="37"/>
  <c r="AC317" i="37" s="1"/>
  <c r="AI317" i="37"/>
  <c r="AC316" i="37"/>
  <c r="J317" i="37" l="1"/>
  <c r="H317" i="37"/>
  <c r="I317" i="37"/>
  <c r="AI318" i="37"/>
  <c r="T318" i="37"/>
  <c r="R318" i="37"/>
  <c r="F319" i="37"/>
  <c r="G318" i="37"/>
  <c r="AH318" i="37"/>
  <c r="W318" i="37"/>
  <c r="X318" i="37"/>
  <c r="Z318" i="37" s="1"/>
  <c r="AG318" i="37"/>
  <c r="AE318" i="37"/>
  <c r="U318" i="37"/>
  <c r="Y318" i="37"/>
  <c r="AA318" i="37"/>
  <c r="AB318" i="37"/>
  <c r="Z317" i="37"/>
  <c r="V317" i="37"/>
  <c r="AD317" i="37"/>
  <c r="AM317" i="37"/>
  <c r="AN317" i="37" s="1"/>
  <c r="AF317" i="37"/>
  <c r="AJ317" i="37"/>
  <c r="AK317" i="37"/>
  <c r="AL317" i="37" s="1"/>
  <c r="H318" i="37" l="1"/>
  <c r="I318" i="37"/>
  <c r="J318" i="37"/>
  <c r="AI319" i="37"/>
  <c r="AH319" i="37"/>
  <c r="R319" i="37"/>
  <c r="AA319" i="37"/>
  <c r="G319" i="37"/>
  <c r="F320" i="37"/>
  <c r="U319" i="37"/>
  <c r="AG319" i="37"/>
  <c r="W319" i="37"/>
  <c r="X319" i="37"/>
  <c r="Z319" i="37" s="1"/>
  <c r="T319" i="37"/>
  <c r="V319" i="37" s="1"/>
  <c r="Y319" i="37"/>
  <c r="AE319" i="37"/>
  <c r="AB319" i="37"/>
  <c r="V318" i="37"/>
  <c r="AD318" i="37"/>
  <c r="AK318" i="37"/>
  <c r="AL318" i="37" s="1"/>
  <c r="AM318" i="37"/>
  <c r="AN318" i="37" s="1"/>
  <c r="AF318" i="37"/>
  <c r="AJ318" i="37"/>
  <c r="AC318" i="37"/>
  <c r="I319" i="37" l="1"/>
  <c r="H319" i="37"/>
  <c r="J319" i="37"/>
  <c r="F321" i="37"/>
  <c r="AB320" i="37"/>
  <c r="AC320" i="37" s="1"/>
  <c r="R320" i="37"/>
  <c r="AI320" i="37"/>
  <c r="AH320" i="37"/>
  <c r="AG320" i="37"/>
  <c r="AE320" i="37"/>
  <c r="X320" i="37"/>
  <c r="T320" i="37"/>
  <c r="U320" i="37"/>
  <c r="Y320" i="37"/>
  <c r="W320" i="37"/>
  <c r="AA320" i="37"/>
  <c r="G320" i="37"/>
  <c r="AC319" i="37"/>
  <c r="AD319" i="37"/>
  <c r="AF319" i="37"/>
  <c r="AK319" i="37"/>
  <c r="AL319" i="37" s="1"/>
  <c r="AM319" i="37"/>
  <c r="AN319" i="37" s="1"/>
  <c r="AJ319" i="37"/>
  <c r="V320" i="37" l="1"/>
  <c r="Z320" i="37"/>
  <c r="AD320" i="37"/>
  <c r="AM320" i="37"/>
  <c r="AN320" i="37" s="1"/>
  <c r="AJ320" i="37"/>
  <c r="AF320" i="37"/>
  <c r="AK320" i="37"/>
  <c r="AL320" i="37" s="1"/>
  <c r="AB321" i="37"/>
  <c r="AC321" i="37" s="1"/>
  <c r="F322" i="37"/>
  <c r="AI321" i="37"/>
  <c r="AH321" i="37"/>
  <c r="U321" i="37"/>
  <c r="AG321" i="37"/>
  <c r="G321" i="37"/>
  <c r="R321" i="37"/>
  <c r="T321" i="37"/>
  <c r="X321" i="37"/>
  <c r="W321" i="37"/>
  <c r="AE321" i="37"/>
  <c r="AA321" i="37"/>
  <c r="Y321" i="37"/>
  <c r="I320" i="37"/>
  <c r="J320" i="37"/>
  <c r="H320" i="37"/>
  <c r="AI322" i="37" l="1"/>
  <c r="G322" i="37"/>
  <c r="AB322" i="37"/>
  <c r="AH322" i="37"/>
  <c r="Y322" i="37"/>
  <c r="U322" i="37"/>
  <c r="AA322" i="37"/>
  <c r="T322" i="37"/>
  <c r="R322" i="37"/>
  <c r="W322" i="37"/>
  <c r="X322" i="37"/>
  <c r="Z322" i="37" s="1"/>
  <c r="AG322" i="37"/>
  <c r="AE322" i="37"/>
  <c r="F323" i="37"/>
  <c r="AD321" i="37"/>
  <c r="AF321" i="37"/>
  <c r="AM321" i="37"/>
  <c r="AN321" i="37" s="1"/>
  <c r="AJ321" i="37"/>
  <c r="AK321" i="37"/>
  <c r="AL321" i="37" s="1"/>
  <c r="J321" i="37"/>
  <c r="I321" i="37"/>
  <c r="H321" i="37"/>
  <c r="Z321" i="37"/>
  <c r="V321" i="37"/>
  <c r="AD322" i="37" l="1"/>
  <c r="AF322" i="37"/>
  <c r="AK322" i="37"/>
  <c r="AL322" i="37" s="1"/>
  <c r="AM322" i="37"/>
  <c r="AN322" i="37" s="1"/>
  <c r="AJ322" i="37"/>
  <c r="AB323" i="37"/>
  <c r="AI323" i="37"/>
  <c r="AH323" i="37"/>
  <c r="R323" i="37"/>
  <c r="F324" i="37"/>
  <c r="W323" i="37"/>
  <c r="G323" i="37"/>
  <c r="T323" i="37"/>
  <c r="U323" i="37"/>
  <c r="Y323" i="37"/>
  <c r="AE323" i="37"/>
  <c r="AA323" i="37"/>
  <c r="X323" i="37"/>
  <c r="Z323" i="37" s="1"/>
  <c r="AG323" i="37"/>
  <c r="V322" i="37"/>
  <c r="AC322" i="37"/>
  <c r="J322" i="37"/>
  <c r="I322" i="37"/>
  <c r="H322" i="37"/>
  <c r="J323" i="37" l="1"/>
  <c r="H323" i="37"/>
  <c r="I323" i="37"/>
  <c r="AC323" i="37"/>
  <c r="V323" i="37"/>
  <c r="AD323" i="37"/>
  <c r="AF323" i="37"/>
  <c r="AM323" i="37"/>
  <c r="AN323" i="37" s="1"/>
  <c r="AK323" i="37"/>
  <c r="AL323" i="37" s="1"/>
  <c r="AJ323" i="37"/>
  <c r="F325" i="37"/>
  <c r="AH324" i="37"/>
  <c r="AB324" i="37"/>
  <c r="AC324" i="37" s="1"/>
  <c r="W324" i="37"/>
  <c r="AI324" i="37"/>
  <c r="AA324" i="37"/>
  <c r="T324" i="37"/>
  <c r="X324" i="37"/>
  <c r="U324" i="37"/>
  <c r="AE324" i="37"/>
  <c r="G324" i="37"/>
  <c r="R324" i="37"/>
  <c r="Y324" i="37"/>
  <c r="AG324" i="37"/>
  <c r="R325" i="37" l="1"/>
  <c r="AB325" i="37"/>
  <c r="AC325" i="37" s="1"/>
  <c r="F326" i="37"/>
  <c r="AI325" i="37"/>
  <c r="AH325" i="37"/>
  <c r="W325" i="37"/>
  <c r="AA325" i="37"/>
  <c r="X325" i="37"/>
  <c r="Y325" i="37"/>
  <c r="AG325" i="37"/>
  <c r="G325" i="37"/>
  <c r="U325" i="37"/>
  <c r="T325" i="37"/>
  <c r="V325" i="37" s="1"/>
  <c r="AE325" i="37"/>
  <c r="AD324" i="37"/>
  <c r="AF324" i="37"/>
  <c r="AM324" i="37"/>
  <c r="AN324" i="37" s="1"/>
  <c r="AJ324" i="37"/>
  <c r="AK324" i="37"/>
  <c r="AL324" i="37" s="1"/>
  <c r="H324" i="37"/>
  <c r="I324" i="37"/>
  <c r="J324" i="37"/>
  <c r="Z324" i="37"/>
  <c r="V324" i="37"/>
  <c r="AB326" i="37" l="1"/>
  <c r="F327" i="37"/>
  <c r="AH326" i="37"/>
  <c r="R326" i="37"/>
  <c r="T326" i="37"/>
  <c r="AI326" i="37"/>
  <c r="AA326" i="37"/>
  <c r="Y326" i="37"/>
  <c r="X326" i="37"/>
  <c r="Z326" i="37" s="1"/>
  <c r="U326" i="37"/>
  <c r="W326" i="37"/>
  <c r="AE326" i="37"/>
  <c r="AG326" i="37"/>
  <c r="G326" i="37"/>
  <c r="Z325" i="37"/>
  <c r="AD325" i="37"/>
  <c r="AJ325" i="37"/>
  <c r="AF325" i="37"/>
  <c r="AK325" i="37"/>
  <c r="AL325" i="37" s="1"/>
  <c r="AM325" i="37"/>
  <c r="AN325" i="37" s="1"/>
  <c r="H325" i="37"/>
  <c r="I325" i="37"/>
  <c r="J325" i="37"/>
  <c r="J326" i="37" l="1"/>
  <c r="H326" i="37"/>
  <c r="I326" i="37"/>
  <c r="AD326" i="37"/>
  <c r="AF326" i="37"/>
  <c r="AM326" i="37"/>
  <c r="AN326" i="37" s="1"/>
  <c r="AK326" i="37"/>
  <c r="AL326" i="37" s="1"/>
  <c r="AJ326" i="37"/>
  <c r="V326" i="37"/>
  <c r="G327" i="37"/>
  <c r="AB327" i="37"/>
  <c r="AC327" i="37" s="1"/>
  <c r="AI327" i="37"/>
  <c r="AH327" i="37"/>
  <c r="W327" i="37"/>
  <c r="T327" i="37"/>
  <c r="R327" i="37"/>
  <c r="X327" i="37"/>
  <c r="AA327" i="37"/>
  <c r="Y327" i="37"/>
  <c r="U327" i="37"/>
  <c r="AG327" i="37"/>
  <c r="AE327" i="37"/>
  <c r="F328" i="37"/>
  <c r="AC326" i="37"/>
  <c r="J327" i="37" l="1"/>
  <c r="H327" i="37"/>
  <c r="I327" i="37"/>
  <c r="AB328" i="37"/>
  <c r="F329" i="37"/>
  <c r="AH328" i="37"/>
  <c r="R328" i="37"/>
  <c r="X328" i="37"/>
  <c r="AI328" i="37"/>
  <c r="G328" i="37"/>
  <c r="AA328" i="37"/>
  <c r="Y328" i="37"/>
  <c r="AG328" i="37"/>
  <c r="AE328" i="37"/>
  <c r="U328" i="37"/>
  <c r="W328" i="37"/>
  <c r="T328" i="37"/>
  <c r="V328" i="37" s="1"/>
  <c r="AD327" i="37"/>
  <c r="AM327" i="37"/>
  <c r="AN327" i="37" s="1"/>
  <c r="AK327" i="37"/>
  <c r="AL327" i="37" s="1"/>
  <c r="AJ327" i="37"/>
  <c r="AF327" i="37"/>
  <c r="Z327" i="37"/>
  <c r="V327" i="37"/>
  <c r="Z328" i="37" l="1"/>
  <c r="AD328" i="37"/>
  <c r="AF328" i="37"/>
  <c r="AK328" i="37"/>
  <c r="AL328" i="37" s="1"/>
  <c r="AM328" i="37"/>
  <c r="AN328" i="37" s="1"/>
  <c r="AJ328" i="37"/>
  <c r="J328" i="37"/>
  <c r="H328" i="37"/>
  <c r="I328" i="37"/>
  <c r="AI329" i="37"/>
  <c r="G329" i="37"/>
  <c r="AH329" i="37"/>
  <c r="R329" i="37"/>
  <c r="F330" i="37"/>
  <c r="AB329" i="37"/>
  <c r="Y329" i="37"/>
  <c r="AA329" i="37"/>
  <c r="AG329" i="37"/>
  <c r="W329" i="37"/>
  <c r="AE329" i="37"/>
  <c r="X329" i="37"/>
  <c r="Z329" i="37" s="1"/>
  <c r="T329" i="37"/>
  <c r="U329" i="37"/>
  <c r="AC328" i="37"/>
  <c r="J329" i="37" l="1"/>
  <c r="H329" i="37"/>
  <c r="I329" i="37"/>
  <c r="V329" i="37"/>
  <c r="F331" i="37"/>
  <c r="AB330" i="37"/>
  <c r="AC330" i="37" s="1"/>
  <c r="AH330" i="37"/>
  <c r="AI330" i="37"/>
  <c r="AA330" i="37"/>
  <c r="W330" i="37"/>
  <c r="U330" i="37"/>
  <c r="AG330" i="37"/>
  <c r="AE330" i="37"/>
  <c r="G330" i="37"/>
  <c r="Y330" i="37"/>
  <c r="X330" i="37"/>
  <c r="Z330" i="37" s="1"/>
  <c r="T330" i="37"/>
  <c r="R330" i="37"/>
  <c r="AD329" i="37"/>
  <c r="AF329" i="37"/>
  <c r="AM329" i="37"/>
  <c r="AN329" i="37" s="1"/>
  <c r="AK329" i="37"/>
  <c r="AL329" i="37" s="1"/>
  <c r="AJ329" i="37"/>
  <c r="AC329" i="37"/>
  <c r="J330" i="37" l="1"/>
  <c r="H330" i="37"/>
  <c r="I330" i="37"/>
  <c r="AD330" i="37"/>
  <c r="AF330" i="37"/>
  <c r="AJ330" i="37"/>
  <c r="AM330" i="37"/>
  <c r="AN330" i="37" s="1"/>
  <c r="AK330" i="37"/>
  <c r="AL330" i="37" s="1"/>
  <c r="R331" i="37"/>
  <c r="AB331" i="37"/>
  <c r="AC331" i="37" s="1"/>
  <c r="G331" i="37"/>
  <c r="AI331" i="37"/>
  <c r="F332" i="37"/>
  <c r="AH331" i="37"/>
  <c r="AA331" i="37"/>
  <c r="W331" i="37"/>
  <c r="AG331" i="37"/>
  <c r="T331" i="37"/>
  <c r="X331" i="37"/>
  <c r="Z331" i="37" s="1"/>
  <c r="Y331" i="37"/>
  <c r="U331" i="37"/>
  <c r="AE331" i="37"/>
  <c r="V330" i="37"/>
  <c r="R332" i="37" l="1"/>
  <c r="AB332" i="37"/>
  <c r="AC332" i="37" s="1"/>
  <c r="F333" i="37"/>
  <c r="AI332" i="37"/>
  <c r="G332" i="37"/>
  <c r="AH332" i="37"/>
  <c r="Y332" i="37"/>
  <c r="W332" i="37"/>
  <c r="U332" i="37"/>
  <c r="X332" i="37"/>
  <c r="Z332" i="37" s="1"/>
  <c r="AA332" i="37"/>
  <c r="T332" i="37"/>
  <c r="V332" i="37" s="1"/>
  <c r="AE332" i="37"/>
  <c r="AG332" i="37"/>
  <c r="I331" i="37"/>
  <c r="H331" i="37"/>
  <c r="J331" i="37"/>
  <c r="AD331" i="37"/>
  <c r="AF331" i="37"/>
  <c r="AJ331" i="37"/>
  <c r="AK331" i="37"/>
  <c r="AL331" i="37" s="1"/>
  <c r="AM331" i="37"/>
  <c r="AN331" i="37" s="1"/>
  <c r="V331" i="37"/>
  <c r="AD332" i="37" l="1"/>
  <c r="AM332" i="37"/>
  <c r="AN332" i="37" s="1"/>
  <c r="AK332" i="37"/>
  <c r="AL332" i="37" s="1"/>
  <c r="AF332" i="37"/>
  <c r="AJ332" i="37"/>
  <c r="I332" i="37"/>
  <c r="H332" i="37"/>
  <c r="J332" i="37"/>
  <c r="AH333" i="37"/>
  <c r="AI333" i="37"/>
  <c r="T333" i="37"/>
  <c r="V333" i="37" s="1"/>
  <c r="F334" i="37"/>
  <c r="AA333" i="37"/>
  <c r="G333" i="37"/>
  <c r="X333" i="37"/>
  <c r="R333" i="37"/>
  <c r="Y333" i="37"/>
  <c r="W333" i="37"/>
  <c r="U333" i="37"/>
  <c r="AE333" i="37"/>
  <c r="AG333" i="37"/>
  <c r="AB333" i="37"/>
  <c r="AC333" i="37" s="1"/>
  <c r="J333" i="37" l="1"/>
  <c r="I333" i="37"/>
  <c r="H333" i="37"/>
  <c r="AD333" i="37"/>
  <c r="AM333" i="37"/>
  <c r="AN333" i="37" s="1"/>
  <c r="AK333" i="37"/>
  <c r="AL333" i="37" s="1"/>
  <c r="AJ333" i="37"/>
  <c r="AF333" i="37"/>
  <c r="AB334" i="37"/>
  <c r="AC334" i="37" s="1"/>
  <c r="F335" i="37"/>
  <c r="AI334" i="37"/>
  <c r="G334" i="37"/>
  <c r="U334" i="37"/>
  <c r="W334" i="37"/>
  <c r="Y334" i="37"/>
  <c r="AH334" i="37"/>
  <c r="R334" i="37"/>
  <c r="AA334" i="37"/>
  <c r="X334" i="37"/>
  <c r="Z334" i="37" s="1"/>
  <c r="AE334" i="37"/>
  <c r="AG334" i="37"/>
  <c r="T334" i="37"/>
  <c r="Z333" i="37"/>
  <c r="V334" i="37" l="1"/>
  <c r="AD334" i="37"/>
  <c r="AF334" i="37"/>
  <c r="AM334" i="37"/>
  <c r="AN334" i="37" s="1"/>
  <c r="AK334" i="37"/>
  <c r="AL334" i="37" s="1"/>
  <c r="AJ334" i="37"/>
  <c r="I334" i="37"/>
  <c r="H334" i="37"/>
  <c r="J334" i="37"/>
  <c r="AI335" i="37"/>
  <c r="G335" i="37"/>
  <c r="AG335" i="37"/>
  <c r="AH335" i="37"/>
  <c r="R335" i="37"/>
  <c r="Y335" i="37"/>
  <c r="X335" i="37"/>
  <c r="Z335" i="37" s="1"/>
  <c r="AA335" i="37"/>
  <c r="W335" i="37"/>
  <c r="T335" i="37"/>
  <c r="U335" i="37"/>
  <c r="AE335" i="37"/>
  <c r="AB335" i="37"/>
  <c r="F336" i="37"/>
  <c r="AC335" i="37" l="1"/>
  <c r="H335" i="37"/>
  <c r="I335" i="37"/>
  <c r="J335" i="37"/>
  <c r="AD335" i="37"/>
  <c r="AK335" i="37"/>
  <c r="AL335" i="37" s="1"/>
  <c r="AF335" i="37"/>
  <c r="AM335" i="37"/>
  <c r="AN335" i="37" s="1"/>
  <c r="AJ335" i="37"/>
  <c r="V335" i="37"/>
  <c r="AH336" i="37"/>
  <c r="G336" i="37"/>
  <c r="AA336" i="37"/>
  <c r="X336" i="37"/>
  <c r="Z336" i="37" s="1"/>
  <c r="AG336" i="37"/>
  <c r="F337" i="37"/>
  <c r="W336" i="37"/>
  <c r="Y336" i="37"/>
  <c r="U336" i="37"/>
  <c r="T336" i="37"/>
  <c r="V336" i="37" s="1"/>
  <c r="AE336" i="37"/>
  <c r="AB336" i="37"/>
  <c r="AI336" i="37"/>
  <c r="R336" i="37"/>
  <c r="I336" i="37" l="1"/>
  <c r="J336" i="37"/>
  <c r="H336" i="37"/>
  <c r="AD336" i="37"/>
  <c r="AF336" i="37"/>
  <c r="AB337" i="37"/>
  <c r="AI337" i="37"/>
  <c r="Y337" i="37"/>
  <c r="U337" i="37"/>
  <c r="T337" i="37"/>
  <c r="V337" i="37" s="1"/>
  <c r="R337" i="37"/>
  <c r="X337" i="37"/>
  <c r="Z337" i="37" s="1"/>
  <c r="AH337" i="37"/>
  <c r="AA337" i="37"/>
  <c r="W337" i="37"/>
  <c r="F338" i="37"/>
  <c r="AG337" i="37"/>
  <c r="AE337" i="37"/>
  <c r="G337" i="37"/>
  <c r="AD337" i="37" l="1"/>
  <c r="AF337" i="37"/>
  <c r="AJ337" i="37"/>
  <c r="AM337" i="37"/>
  <c r="AN337" i="37" s="1"/>
  <c r="AK337" i="37"/>
  <c r="AL337" i="37" s="1"/>
  <c r="AC337" i="37"/>
  <c r="H337" i="37"/>
  <c r="J337" i="37"/>
  <c r="I337" i="37"/>
  <c r="R338" i="37"/>
  <c r="AB338" i="37"/>
  <c r="AC338" i="37" s="1"/>
  <c r="F339" i="37"/>
  <c r="AH338" i="37"/>
  <c r="G338" i="37"/>
  <c r="AI338" i="37"/>
  <c r="AA338" i="37"/>
  <c r="Y338" i="37"/>
  <c r="X338" i="37"/>
  <c r="Z338" i="37" s="1"/>
  <c r="AG338" i="37"/>
  <c r="W338" i="37"/>
  <c r="U338" i="37"/>
  <c r="T338" i="37"/>
  <c r="V338" i="37" s="1"/>
  <c r="AE338" i="37"/>
  <c r="I338" i="37" l="1"/>
  <c r="H338" i="37"/>
  <c r="J338" i="37"/>
  <c r="AD338" i="37"/>
  <c r="AJ338" i="37"/>
  <c r="AF338" i="37"/>
  <c r="AM338" i="37"/>
  <c r="AN338" i="37" s="1"/>
  <c r="AK338" i="37"/>
  <c r="AL338" i="37" s="1"/>
  <c r="T339" i="37"/>
  <c r="V339" i="37" s="1"/>
  <c r="X339" i="37"/>
  <c r="Z339" i="37" s="1"/>
  <c r="W339" i="37"/>
  <c r="U339" i="37"/>
  <c r="AG339" i="37"/>
  <c r="AE339" i="37"/>
  <c r="AB339" i="37"/>
  <c r="AH339" i="37"/>
  <c r="G339" i="37"/>
  <c r="F340" i="37"/>
  <c r="Y339" i="37"/>
  <c r="R339" i="37"/>
  <c r="AI339" i="37"/>
  <c r="AA339" i="37"/>
  <c r="AD339" i="37" l="1"/>
  <c r="AK339" i="37"/>
  <c r="AL339" i="37" s="1"/>
  <c r="AM339" i="37"/>
  <c r="AN339" i="37" s="1"/>
  <c r="AJ339" i="37"/>
  <c r="AF339" i="37"/>
  <c r="AB340" i="37"/>
  <c r="AC340" i="37" s="1"/>
  <c r="AI340" i="37"/>
  <c r="AH340" i="37"/>
  <c r="X340" i="37"/>
  <c r="T340" i="37"/>
  <c r="V340" i="37" s="1"/>
  <c r="AE340" i="37"/>
  <c r="F341" i="37"/>
  <c r="G340" i="37"/>
  <c r="Y340" i="37"/>
  <c r="U340" i="37"/>
  <c r="AA340" i="37"/>
  <c r="AG340" i="37"/>
  <c r="W340" i="37"/>
  <c r="R340" i="37"/>
  <c r="H339" i="37"/>
  <c r="I339" i="37"/>
  <c r="J339" i="37"/>
  <c r="AC339" i="37"/>
  <c r="Z340" i="37" l="1"/>
  <c r="AD340" i="37"/>
  <c r="AF340" i="37"/>
  <c r="AJ340" i="37"/>
  <c r="AM340" i="37"/>
  <c r="AN340" i="37" s="1"/>
  <c r="AK340" i="37"/>
  <c r="AL340" i="37" s="1"/>
  <c r="AH341" i="37"/>
  <c r="R341" i="37"/>
  <c r="W341" i="37"/>
  <c r="AG341" i="37"/>
  <c r="X341" i="37"/>
  <c r="Z341" i="37" s="1"/>
  <c r="AE341" i="37"/>
  <c r="T341" i="37"/>
  <c r="V341" i="37" s="1"/>
  <c r="G341" i="37"/>
  <c r="U341" i="37"/>
  <c r="F342" i="37"/>
  <c r="AA341" i="37"/>
  <c r="Y341" i="37"/>
  <c r="AB341" i="37"/>
  <c r="AI341" i="37"/>
  <c r="J340" i="37"/>
  <c r="I340" i="37"/>
  <c r="H340" i="37"/>
  <c r="J341" i="37" l="1"/>
  <c r="H341" i="37"/>
  <c r="I341" i="37"/>
  <c r="AD341" i="37"/>
  <c r="AM341" i="37"/>
  <c r="AN341" i="37" s="1"/>
  <c r="AJ341" i="37"/>
  <c r="AF341" i="37"/>
  <c r="AK341" i="37"/>
  <c r="AL341" i="37" s="1"/>
  <c r="AC341" i="37"/>
  <c r="AI342" i="37"/>
  <c r="AH342" i="37"/>
  <c r="W342" i="37"/>
  <c r="T342" i="37"/>
  <c r="V342" i="37" s="1"/>
  <c r="Y342" i="37"/>
  <c r="U342" i="37"/>
  <c r="AA342" i="37"/>
  <c r="AG342" i="37"/>
  <c r="F343" i="37"/>
  <c r="G342" i="37"/>
  <c r="AE342" i="37"/>
  <c r="R342" i="37"/>
  <c r="AB342" i="37"/>
  <c r="X342" i="37"/>
  <c r="Z342" i="37" l="1"/>
  <c r="I342" i="37"/>
  <c r="J342" i="37"/>
  <c r="H342" i="37"/>
  <c r="AB343" i="37"/>
  <c r="AI343" i="37"/>
  <c r="AH343" i="37"/>
  <c r="W343" i="37"/>
  <c r="R343" i="37"/>
  <c r="G343" i="37"/>
  <c r="F344" i="37"/>
  <c r="AA343" i="37"/>
  <c r="T343" i="37"/>
  <c r="V343" i="37" s="1"/>
  <c r="Y343" i="37"/>
  <c r="U343" i="37"/>
  <c r="AE343" i="37"/>
  <c r="AG343" i="37"/>
  <c r="X343" i="37"/>
  <c r="AD342" i="37"/>
  <c r="AF342" i="37"/>
  <c r="H343" i="37" l="1"/>
  <c r="I343" i="37"/>
  <c r="J343" i="37"/>
  <c r="AC343" i="37"/>
  <c r="Z343" i="37"/>
  <c r="AI344" i="37"/>
  <c r="G344" i="37"/>
  <c r="AH344" i="37"/>
  <c r="R344" i="37"/>
  <c r="F345" i="37"/>
  <c r="AB344" i="37"/>
  <c r="AC344" i="37" s="1"/>
  <c r="Y344" i="37"/>
  <c r="AA344" i="37"/>
  <c r="W344" i="37"/>
  <c r="AG344" i="37"/>
  <c r="X344" i="37"/>
  <c r="U344" i="37"/>
  <c r="T344" i="37"/>
  <c r="AE344" i="37"/>
  <c r="AD343" i="37"/>
  <c r="AF343" i="37"/>
  <c r="AK343" i="37"/>
  <c r="AL343" i="37" s="1"/>
  <c r="AM343" i="37"/>
  <c r="AN343" i="37" s="1"/>
  <c r="AJ343" i="37"/>
  <c r="W345" i="37" l="1"/>
  <c r="F346" i="37"/>
  <c r="U345" i="37"/>
  <c r="AA345" i="37"/>
  <c r="T345" i="37"/>
  <c r="V345" i="37" s="1"/>
  <c r="AI345" i="37"/>
  <c r="G345" i="37"/>
  <c r="Y345" i="37"/>
  <c r="AH345" i="37"/>
  <c r="X345" i="37"/>
  <c r="Z345" i="37" s="1"/>
  <c r="AB345" i="37"/>
  <c r="AG345" i="37"/>
  <c r="AE345" i="37"/>
  <c r="R345" i="37"/>
  <c r="AD344" i="37"/>
  <c r="AF344" i="37"/>
  <c r="AM344" i="37"/>
  <c r="AN344" i="37" s="1"/>
  <c r="AK344" i="37"/>
  <c r="AL344" i="37" s="1"/>
  <c r="AJ344" i="37"/>
  <c r="V344" i="37"/>
  <c r="Z344" i="37"/>
  <c r="I344" i="37"/>
  <c r="H344" i="37"/>
  <c r="J344" i="37"/>
  <c r="AD345" i="37" l="1"/>
  <c r="AF345" i="37"/>
  <c r="AK345" i="37"/>
  <c r="AL345" i="37" s="1"/>
  <c r="AM345" i="37"/>
  <c r="AN345" i="37" s="1"/>
  <c r="AJ345" i="37"/>
  <c r="I345" i="37"/>
  <c r="J345" i="37"/>
  <c r="H345" i="37"/>
  <c r="R346" i="37"/>
  <c r="AB346" i="37"/>
  <c r="AC346" i="37" s="1"/>
  <c r="AI346" i="37"/>
  <c r="AH346" i="37"/>
  <c r="W346" i="37"/>
  <c r="U346" i="37"/>
  <c r="X346" i="37"/>
  <c r="Y346" i="37"/>
  <c r="T346" i="37"/>
  <c r="AG346" i="37"/>
  <c r="F347" i="37"/>
  <c r="AA346" i="37"/>
  <c r="G346" i="37"/>
  <c r="AE346" i="37"/>
  <c r="AC345" i="37"/>
  <c r="F348" i="37" l="1"/>
  <c r="T347" i="37"/>
  <c r="AB347" i="37"/>
  <c r="AC347" i="37" s="1"/>
  <c r="R347" i="37"/>
  <c r="AI347" i="37"/>
  <c r="G347" i="37"/>
  <c r="AH347" i="37"/>
  <c r="AA347" i="37"/>
  <c r="W347" i="37"/>
  <c r="Y347" i="37"/>
  <c r="X347" i="37"/>
  <c r="U347" i="37"/>
  <c r="AG347" i="37"/>
  <c r="AE347" i="37"/>
  <c r="J346" i="37"/>
  <c r="I346" i="37"/>
  <c r="H346" i="37"/>
  <c r="V346" i="37"/>
  <c r="AD346" i="37"/>
  <c r="AF346" i="37"/>
  <c r="AJ346" i="37"/>
  <c r="AK346" i="37"/>
  <c r="AL346" i="37" s="1"/>
  <c r="AM346" i="37"/>
  <c r="AN346" i="37" s="1"/>
  <c r="Z346" i="37"/>
  <c r="AD347" i="37" l="1"/>
  <c r="AM347" i="37"/>
  <c r="AN347" i="37" s="1"/>
  <c r="AK347" i="37"/>
  <c r="AL347" i="37" s="1"/>
  <c r="AF347" i="37"/>
  <c r="AJ347" i="37"/>
  <c r="Z347" i="37"/>
  <c r="V347" i="37"/>
  <c r="J347" i="37"/>
  <c r="I347" i="37"/>
  <c r="H347" i="37"/>
  <c r="AB348" i="37"/>
  <c r="AC348" i="37" s="1"/>
  <c r="AI348" i="37"/>
  <c r="AH348" i="37"/>
  <c r="AA348" i="37"/>
  <c r="U348" i="37"/>
  <c r="X348" i="37"/>
  <c r="AG348" i="37"/>
  <c r="R348" i="37"/>
  <c r="F349" i="37"/>
  <c r="G348" i="37"/>
  <c r="T348" i="37"/>
  <c r="V348" i="37" s="1"/>
  <c r="AE348" i="37"/>
  <c r="Y348" i="37"/>
  <c r="W348" i="37"/>
  <c r="J348" i="37" l="1"/>
  <c r="I348" i="37"/>
  <c r="H348" i="37"/>
  <c r="AB349" i="37"/>
  <c r="AC349" i="37" s="1"/>
  <c r="G349" i="37"/>
  <c r="AI349" i="37"/>
  <c r="AH349" i="37"/>
  <c r="Y349" i="37"/>
  <c r="X349" i="37"/>
  <c r="T349" i="37"/>
  <c r="AG349" i="37"/>
  <c r="AE349" i="37"/>
  <c r="W349" i="37"/>
  <c r="U349" i="37"/>
  <c r="AA349" i="37"/>
  <c r="R349" i="37"/>
  <c r="F350" i="37"/>
  <c r="AD348" i="37"/>
  <c r="AK348" i="37"/>
  <c r="AL348" i="37" s="1"/>
  <c r="AM348" i="37"/>
  <c r="AN348" i="37" s="1"/>
  <c r="AJ348" i="37"/>
  <c r="AF348" i="37"/>
  <c r="Z348" i="37"/>
  <c r="V349" i="37" l="1"/>
  <c r="AD349" i="37"/>
  <c r="AF349" i="37"/>
  <c r="AK349" i="37"/>
  <c r="AL349" i="37" s="1"/>
  <c r="AM349" i="37"/>
  <c r="AN349" i="37" s="1"/>
  <c r="AJ349" i="37"/>
  <c r="J349" i="37"/>
  <c r="I349" i="37"/>
  <c r="H349" i="37"/>
  <c r="Z349" i="37"/>
  <c r="AB350" i="37"/>
  <c r="R350" i="37"/>
  <c r="AH350" i="37"/>
  <c r="F351" i="37"/>
  <c r="AI350" i="37"/>
  <c r="G350" i="37"/>
  <c r="Y350" i="37"/>
  <c r="T350" i="37"/>
  <c r="AA350" i="37"/>
  <c r="U350" i="37"/>
  <c r="W350" i="37"/>
  <c r="X350" i="37"/>
  <c r="Z350" i="37" s="1"/>
  <c r="AG350" i="37"/>
  <c r="AE350" i="37"/>
  <c r="AI351" i="37" l="1"/>
  <c r="R351" i="37"/>
  <c r="Y351" i="37"/>
  <c r="AH351" i="37"/>
  <c r="F352" i="37"/>
  <c r="AA351" i="37"/>
  <c r="T351" i="37"/>
  <c r="W351" i="37"/>
  <c r="AG351" i="37"/>
  <c r="AE351" i="37"/>
  <c r="X351" i="37"/>
  <c r="Z351" i="37" s="1"/>
  <c r="U351" i="37"/>
  <c r="AB351" i="37"/>
  <c r="AC351" i="37" s="1"/>
  <c r="G351" i="37"/>
  <c r="AD350" i="37"/>
  <c r="AM350" i="37"/>
  <c r="AN350" i="37" s="1"/>
  <c r="AK350" i="37"/>
  <c r="AL350" i="37" s="1"/>
  <c r="AJ350" i="37"/>
  <c r="AF350" i="37"/>
  <c r="AC350" i="37"/>
  <c r="V350" i="37"/>
  <c r="I350" i="37"/>
  <c r="J350" i="37"/>
  <c r="H350" i="37"/>
  <c r="V351" i="37" l="1"/>
  <c r="G352" i="37"/>
  <c r="AI352" i="37"/>
  <c r="AB352" i="37"/>
  <c r="AE352" i="37"/>
  <c r="AH352" i="37"/>
  <c r="Y352" i="37"/>
  <c r="T352" i="37"/>
  <c r="U352" i="37"/>
  <c r="X352" i="37"/>
  <c r="Z352" i="37" s="1"/>
  <c r="W352" i="37"/>
  <c r="R352" i="37"/>
  <c r="AA352" i="37"/>
  <c r="AG352" i="37"/>
  <c r="F353" i="37"/>
  <c r="J351" i="37"/>
  <c r="H351" i="37"/>
  <c r="I351" i="37"/>
  <c r="AD351" i="37"/>
  <c r="AF351" i="37"/>
  <c r="AM351" i="37"/>
  <c r="AN351" i="37" s="1"/>
  <c r="AK351" i="37"/>
  <c r="AL351" i="37" s="1"/>
  <c r="AJ351" i="37"/>
  <c r="AC352" i="37" l="1"/>
  <c r="H352" i="37"/>
  <c r="I352" i="37"/>
  <c r="J352" i="37"/>
  <c r="V352" i="37"/>
  <c r="AD352" i="37"/>
  <c r="AF352" i="37"/>
  <c r="AK352" i="37"/>
  <c r="AL352" i="37" s="1"/>
  <c r="AM352" i="37"/>
  <c r="AN352" i="37" s="1"/>
  <c r="AJ352" i="37"/>
  <c r="AI353" i="37"/>
  <c r="T353" i="37"/>
  <c r="V353" i="37" s="1"/>
  <c r="AA353" i="37"/>
  <c r="R353" i="37"/>
  <c r="W353" i="37"/>
  <c r="X353" i="37"/>
  <c r="AB353" i="37"/>
  <c r="AH353" i="37"/>
  <c r="G353" i="37"/>
  <c r="Y353" i="37"/>
  <c r="AG353" i="37"/>
  <c r="F354" i="37"/>
  <c r="U353" i="37"/>
  <c r="AE353" i="37"/>
  <c r="AD353" i="37" l="1"/>
  <c r="AJ353" i="37"/>
  <c r="AF353" i="37"/>
  <c r="AM353" i="37"/>
  <c r="AN353" i="37" s="1"/>
  <c r="AK353" i="37"/>
  <c r="AL353" i="37" s="1"/>
  <c r="AB354" i="37"/>
  <c r="AC354" i="37" s="1"/>
  <c r="G354" i="37"/>
  <c r="AI354" i="37"/>
  <c r="F355" i="37"/>
  <c r="Y354" i="37"/>
  <c r="AA354" i="37"/>
  <c r="AH354" i="37"/>
  <c r="T354" i="37"/>
  <c r="V354" i="37" s="1"/>
  <c r="X354" i="37"/>
  <c r="Z354" i="37" s="1"/>
  <c r="W354" i="37"/>
  <c r="U354" i="37"/>
  <c r="AG354" i="37"/>
  <c r="AE354" i="37"/>
  <c r="R354" i="37"/>
  <c r="H353" i="37"/>
  <c r="J353" i="37"/>
  <c r="I353" i="37"/>
  <c r="AC353" i="37"/>
  <c r="Z353" i="37"/>
  <c r="I354" i="37" l="1"/>
  <c r="J354" i="37"/>
  <c r="H354" i="37"/>
  <c r="AB355" i="37"/>
  <c r="G355" i="37"/>
  <c r="AI355" i="37"/>
  <c r="AH355" i="37"/>
  <c r="AA355" i="37"/>
  <c r="Y355" i="37"/>
  <c r="AE355" i="37"/>
  <c r="R355" i="37"/>
  <c r="F356" i="37"/>
  <c r="T355" i="37"/>
  <c r="V355" i="37" s="1"/>
  <c r="W355" i="37"/>
  <c r="U355" i="37"/>
  <c r="X355" i="37"/>
  <c r="AG355" i="37"/>
  <c r="AD354" i="37"/>
  <c r="AF354" i="37"/>
  <c r="AM354" i="37"/>
  <c r="AN354" i="37" s="1"/>
  <c r="AJ354" i="37"/>
  <c r="AK354" i="37"/>
  <c r="AL354" i="37" s="1"/>
  <c r="AB356" i="37" l="1"/>
  <c r="AI356" i="37"/>
  <c r="AH356" i="37"/>
  <c r="F357" i="37"/>
  <c r="X356" i="37"/>
  <c r="G356" i="37"/>
  <c r="W356" i="37"/>
  <c r="AA356" i="37"/>
  <c r="R356" i="37"/>
  <c r="T356" i="37"/>
  <c r="AG356" i="37"/>
  <c r="AE356" i="37"/>
  <c r="U356" i="37"/>
  <c r="Y356" i="37"/>
  <c r="J355" i="37"/>
  <c r="H355" i="37"/>
  <c r="I355" i="37"/>
  <c r="AC355" i="37"/>
  <c r="AD355" i="37"/>
  <c r="AF355" i="37"/>
  <c r="AJ355" i="37"/>
  <c r="AK355" i="37"/>
  <c r="AL355" i="37" s="1"/>
  <c r="AM355" i="37"/>
  <c r="AN355" i="37" s="1"/>
  <c r="Z355" i="37"/>
  <c r="AD356" i="37" l="1"/>
  <c r="AJ356" i="37"/>
  <c r="AF356" i="37"/>
  <c r="AM356" i="37"/>
  <c r="AN356" i="37" s="1"/>
  <c r="AK356" i="37"/>
  <c r="AL356" i="37" s="1"/>
  <c r="V356" i="37"/>
  <c r="J356" i="37"/>
  <c r="H356" i="37"/>
  <c r="I356" i="37"/>
  <c r="AH357" i="37"/>
  <c r="AI357" i="37"/>
  <c r="AA357" i="37"/>
  <c r="X357" i="37"/>
  <c r="Z357" i="37" s="1"/>
  <c r="AG357" i="37"/>
  <c r="Y357" i="37"/>
  <c r="AE357" i="37"/>
  <c r="AB357" i="37"/>
  <c r="W357" i="37"/>
  <c r="T357" i="37"/>
  <c r="U357" i="37"/>
  <c r="R357" i="37"/>
  <c r="G357" i="37"/>
  <c r="F358" i="37"/>
  <c r="Z356" i="37"/>
  <c r="AC356" i="37"/>
  <c r="H357" i="37" l="1"/>
  <c r="J357" i="37"/>
  <c r="I357" i="37"/>
  <c r="AB358" i="37"/>
  <c r="AI358" i="37"/>
  <c r="F359" i="37"/>
  <c r="AH358" i="37"/>
  <c r="G358" i="37"/>
  <c r="R358" i="37"/>
  <c r="AA358" i="37"/>
  <c r="X358" i="37"/>
  <c r="Y358" i="37"/>
  <c r="U358" i="37"/>
  <c r="W358" i="37"/>
  <c r="AE358" i="37"/>
  <c r="T358" i="37"/>
  <c r="AG358" i="37"/>
  <c r="AC357" i="37"/>
  <c r="V357" i="37"/>
  <c r="AD357" i="37"/>
  <c r="AM357" i="37"/>
  <c r="AN357" i="37" s="1"/>
  <c r="AK357" i="37"/>
  <c r="AL357" i="37" s="1"/>
  <c r="AF357" i="37"/>
  <c r="AJ357" i="37"/>
  <c r="H358" i="37" l="1"/>
  <c r="I358" i="37"/>
  <c r="J358" i="37"/>
  <c r="Z358" i="37"/>
  <c r="AB359" i="37"/>
  <c r="AC359" i="37" s="1"/>
  <c r="R359" i="37"/>
  <c r="AI359" i="37"/>
  <c r="F360" i="37"/>
  <c r="AH359" i="37"/>
  <c r="G359" i="37"/>
  <c r="W359" i="37"/>
  <c r="X359" i="37"/>
  <c r="Z359" i="37" s="1"/>
  <c r="T359" i="37"/>
  <c r="V359" i="37" s="1"/>
  <c r="AA359" i="37"/>
  <c r="Y359" i="37"/>
  <c r="U359" i="37"/>
  <c r="AG359" i="37"/>
  <c r="AE359" i="37"/>
  <c r="AC358" i="37"/>
  <c r="V358" i="37"/>
  <c r="AD358" i="37"/>
  <c r="AF358" i="37"/>
  <c r="AK358" i="37"/>
  <c r="AL358" i="37" s="1"/>
  <c r="AM358" i="37"/>
  <c r="AN358" i="37" s="1"/>
  <c r="AJ358" i="37"/>
  <c r="AB360" i="37" l="1"/>
  <c r="AC360" i="37" s="1"/>
  <c r="R360" i="37"/>
  <c r="AI360" i="37"/>
  <c r="F361" i="37"/>
  <c r="T360" i="37"/>
  <c r="AH360" i="37"/>
  <c r="X360" i="37"/>
  <c r="AA360" i="37"/>
  <c r="Y360" i="37"/>
  <c r="U360" i="37"/>
  <c r="G360" i="37"/>
  <c r="W360" i="37"/>
  <c r="AG360" i="37"/>
  <c r="AE360" i="37"/>
  <c r="AD359" i="37"/>
  <c r="AF359" i="37"/>
  <c r="AM359" i="37"/>
  <c r="AN359" i="37" s="1"/>
  <c r="AK359" i="37"/>
  <c r="AL359" i="37" s="1"/>
  <c r="AJ359" i="37"/>
  <c r="H359" i="37"/>
  <c r="J359" i="37"/>
  <c r="I359" i="37"/>
  <c r="J360" i="37" l="1"/>
  <c r="H360" i="37"/>
  <c r="I360" i="37"/>
  <c r="V360" i="37"/>
  <c r="AD360" i="37"/>
  <c r="AF360" i="37"/>
  <c r="AM360" i="37"/>
  <c r="AN360" i="37" s="1"/>
  <c r="AK360" i="37"/>
  <c r="AL360" i="37" s="1"/>
  <c r="AJ360" i="37"/>
  <c r="AB361" i="37"/>
  <c r="AC361" i="37" s="1"/>
  <c r="R361" i="37"/>
  <c r="AH361" i="37"/>
  <c r="G361" i="37"/>
  <c r="W361" i="37"/>
  <c r="U361" i="37"/>
  <c r="Y361" i="37"/>
  <c r="F362" i="37"/>
  <c r="AI361" i="37"/>
  <c r="X361" i="37"/>
  <c r="Z361" i="37" s="1"/>
  <c r="AA361" i="37"/>
  <c r="AE361" i="37"/>
  <c r="T361" i="37"/>
  <c r="V361" i="37" s="1"/>
  <c r="AG361" i="37"/>
  <c r="Z360" i="37"/>
  <c r="I361" i="37" l="1"/>
  <c r="H361" i="37"/>
  <c r="J361" i="37"/>
  <c r="AD361" i="37"/>
  <c r="AK361" i="37"/>
  <c r="AL361" i="37" s="1"/>
  <c r="AF361" i="37"/>
  <c r="AJ361" i="37"/>
  <c r="AM361" i="37"/>
  <c r="AN361" i="37" s="1"/>
  <c r="AH362" i="37"/>
  <c r="AI362" i="37"/>
  <c r="R362" i="37"/>
  <c r="W362" i="37"/>
  <c r="F363" i="37"/>
  <c r="X362" i="37"/>
  <c r="Z362" i="37" s="1"/>
  <c r="AA362" i="37"/>
  <c r="G362" i="37"/>
  <c r="Y362" i="37"/>
  <c r="U362" i="37"/>
  <c r="T362" i="37"/>
  <c r="V362" i="37" s="1"/>
  <c r="AE362" i="37"/>
  <c r="AG362" i="37"/>
  <c r="AB362" i="37"/>
  <c r="AB363" i="37" l="1"/>
  <c r="AC363" i="37" s="1"/>
  <c r="AH363" i="37"/>
  <c r="AI363" i="37"/>
  <c r="R363" i="37"/>
  <c r="G363" i="37"/>
  <c r="W363" i="37"/>
  <c r="F364" i="37"/>
  <c r="T363" i="37"/>
  <c r="AE363" i="37"/>
  <c r="Y363" i="37"/>
  <c r="X363" i="37"/>
  <c r="Z363" i="37" s="1"/>
  <c r="AA363" i="37"/>
  <c r="U363" i="37"/>
  <c r="AG363" i="37"/>
  <c r="AC362" i="37"/>
  <c r="AD362" i="37"/>
  <c r="AF362" i="37"/>
  <c r="AJ362" i="37"/>
  <c r="AM362" i="37"/>
  <c r="AN362" i="37" s="1"/>
  <c r="AK362" i="37"/>
  <c r="AL362" i="37" s="1"/>
  <c r="J362" i="37"/>
  <c r="I362" i="37"/>
  <c r="H362" i="37"/>
  <c r="V363" i="37" l="1"/>
  <c r="J363" i="37"/>
  <c r="H363" i="37"/>
  <c r="I363" i="37"/>
  <c r="AD363" i="37"/>
  <c r="AF363" i="37"/>
  <c r="AM363" i="37"/>
  <c r="AN363" i="37" s="1"/>
  <c r="AK363" i="37"/>
  <c r="AL363" i="37" s="1"/>
  <c r="AJ363" i="37"/>
  <c r="AH364" i="37"/>
  <c r="R364" i="37"/>
  <c r="U364" i="37"/>
  <c r="AG364" i="37"/>
  <c r="AI364" i="37"/>
  <c r="G364" i="37"/>
  <c r="W364" i="37"/>
  <c r="F365" i="37"/>
  <c r="Y364" i="37"/>
  <c r="X364" i="37"/>
  <c r="Z364" i="37" s="1"/>
  <c r="AA364" i="37"/>
  <c r="T364" i="37"/>
  <c r="AB364" i="37"/>
  <c r="AE364" i="37"/>
  <c r="AD364" i="37" l="1"/>
  <c r="AM364" i="37"/>
  <c r="AN364" i="37" s="1"/>
  <c r="AK364" i="37"/>
  <c r="AL364" i="37" s="1"/>
  <c r="AJ364" i="37"/>
  <c r="AF364" i="37"/>
  <c r="V364" i="37"/>
  <c r="AC364" i="37"/>
  <c r="AB365" i="37"/>
  <c r="AC365" i="37" s="1"/>
  <c r="W365" i="37"/>
  <c r="AA365" i="37"/>
  <c r="AI365" i="37"/>
  <c r="AH365" i="37"/>
  <c r="X365" i="37"/>
  <c r="Z365" i="37" s="1"/>
  <c r="U365" i="37"/>
  <c r="T365" i="37"/>
  <c r="Y365" i="37"/>
  <c r="AG365" i="37"/>
  <c r="R365" i="37"/>
  <c r="AE365" i="37"/>
  <c r="F366" i="37"/>
  <c r="G365" i="37"/>
  <c r="J364" i="37"/>
  <c r="I364" i="37"/>
  <c r="H364" i="37"/>
  <c r="J365" i="37" l="1"/>
  <c r="H365" i="37"/>
  <c r="I365" i="37"/>
  <c r="AD365" i="37"/>
  <c r="AF365" i="37"/>
  <c r="AK365" i="37"/>
  <c r="AL365" i="37" s="1"/>
  <c r="AM365" i="37"/>
  <c r="AN365" i="37" s="1"/>
  <c r="AJ365" i="37"/>
  <c r="AH366" i="37"/>
  <c r="R366" i="37"/>
  <c r="AI366" i="37"/>
  <c r="F367" i="37"/>
  <c r="G366" i="37"/>
  <c r="AA366" i="37"/>
  <c r="W366" i="37"/>
  <c r="U366" i="37"/>
  <c r="T366" i="37"/>
  <c r="V366" i="37" s="1"/>
  <c r="X366" i="37"/>
  <c r="Y366" i="37"/>
  <c r="AB366" i="37"/>
  <c r="AG366" i="37"/>
  <c r="AE366" i="37"/>
  <c r="V365" i="37"/>
  <c r="AB367" i="37" l="1"/>
  <c r="AI367" i="37"/>
  <c r="AH367" i="37"/>
  <c r="T367" i="37"/>
  <c r="V367" i="37" s="1"/>
  <c r="U367" i="37"/>
  <c r="AA367" i="37"/>
  <c r="AG367" i="37"/>
  <c r="F368" i="37"/>
  <c r="G367" i="37"/>
  <c r="W367" i="37"/>
  <c r="AE367" i="37"/>
  <c r="Y367" i="37"/>
  <c r="X367" i="37"/>
  <c r="Z367" i="37" s="1"/>
  <c r="R367" i="37"/>
  <c r="AD366" i="37"/>
  <c r="AK366" i="37"/>
  <c r="AL366" i="37" s="1"/>
  <c r="AJ366" i="37"/>
  <c r="AM366" i="37"/>
  <c r="AN366" i="37" s="1"/>
  <c r="AF366" i="37"/>
  <c r="AC366" i="37"/>
  <c r="J366" i="37"/>
  <c r="I366" i="37"/>
  <c r="H366" i="37"/>
  <c r="Z366" i="37"/>
  <c r="I367" i="37" l="1"/>
  <c r="J367" i="37"/>
  <c r="H367" i="37"/>
  <c r="AD367" i="37"/>
  <c r="AF367" i="37"/>
  <c r="AK367" i="37"/>
  <c r="AL367" i="37" s="1"/>
  <c r="AM367" i="37"/>
  <c r="AN367" i="37" s="1"/>
  <c r="AJ367" i="37"/>
  <c r="AB368" i="37"/>
  <c r="R368" i="37"/>
  <c r="F369" i="37"/>
  <c r="AI368" i="37"/>
  <c r="AH368" i="37"/>
  <c r="G368" i="37"/>
  <c r="U368" i="37"/>
  <c r="T368" i="37"/>
  <c r="V368" i="37" s="1"/>
  <c r="AE368" i="37"/>
  <c r="W368" i="37"/>
  <c r="AA368" i="37"/>
  <c r="Y368" i="37"/>
  <c r="X368" i="37"/>
  <c r="Z368" i="37" s="1"/>
  <c r="AG368" i="37"/>
  <c r="AC367" i="37"/>
  <c r="J368" i="37" l="1"/>
  <c r="I368" i="37"/>
  <c r="H368" i="37"/>
  <c r="AB369" i="37"/>
  <c r="R369" i="37"/>
  <c r="AI369" i="37"/>
  <c r="F370" i="37"/>
  <c r="AA369" i="37"/>
  <c r="AH369" i="37"/>
  <c r="G369" i="37"/>
  <c r="Y369" i="37"/>
  <c r="W369" i="37"/>
  <c r="AG369" i="37"/>
  <c r="AE369" i="37"/>
  <c r="T369" i="37"/>
  <c r="X369" i="37"/>
  <c r="U369" i="37"/>
  <c r="AC368" i="37"/>
  <c r="AD368" i="37"/>
  <c r="AF368" i="37"/>
  <c r="AM368" i="37"/>
  <c r="AN368" i="37" s="1"/>
  <c r="AK368" i="37"/>
  <c r="AL368" i="37" s="1"/>
  <c r="AJ368" i="37"/>
  <c r="AB370" i="37" l="1"/>
  <c r="AH370" i="37"/>
  <c r="AG370" i="37"/>
  <c r="AI370" i="37"/>
  <c r="R370" i="37"/>
  <c r="AA370" i="37"/>
  <c r="G370" i="37"/>
  <c r="Y370" i="37"/>
  <c r="F371" i="37"/>
  <c r="W370" i="37"/>
  <c r="X370" i="37"/>
  <c r="Z370" i="37" s="1"/>
  <c r="U370" i="37"/>
  <c r="T370" i="37"/>
  <c r="V370" i="37" s="1"/>
  <c r="AE370" i="37"/>
  <c r="AD369" i="37"/>
  <c r="AM369" i="37"/>
  <c r="AN369" i="37" s="1"/>
  <c r="AF369" i="37"/>
  <c r="AJ369" i="37"/>
  <c r="AK369" i="37"/>
  <c r="AL369" i="37" s="1"/>
  <c r="I369" i="37"/>
  <c r="H369" i="37"/>
  <c r="J369" i="37"/>
  <c r="AC369" i="37"/>
  <c r="Z369" i="37"/>
  <c r="V369" i="37"/>
  <c r="AD370" i="37" l="1"/>
  <c r="AK370" i="37"/>
  <c r="AL370" i="37" s="1"/>
  <c r="AM370" i="37"/>
  <c r="AN370" i="37" s="1"/>
  <c r="AF370" i="37"/>
  <c r="AJ370" i="37"/>
  <c r="AI371" i="37"/>
  <c r="AH371" i="37"/>
  <c r="R371" i="37"/>
  <c r="AA371" i="37"/>
  <c r="G371" i="37"/>
  <c r="F372" i="37"/>
  <c r="W371" i="37"/>
  <c r="Y371" i="37"/>
  <c r="X371" i="37"/>
  <c r="Z371" i="37" s="1"/>
  <c r="AE371" i="37"/>
  <c r="U371" i="37"/>
  <c r="AB371" i="37"/>
  <c r="T371" i="37"/>
  <c r="V371" i="37" s="1"/>
  <c r="AG371" i="37"/>
  <c r="H370" i="37"/>
  <c r="I370" i="37"/>
  <c r="J370" i="37"/>
  <c r="AC370" i="37"/>
  <c r="AB372" i="37" l="1"/>
  <c r="AI372" i="37"/>
  <c r="F373" i="37"/>
  <c r="W372" i="37"/>
  <c r="AH372" i="37"/>
  <c r="R372" i="37"/>
  <c r="X372" i="37"/>
  <c r="G372" i="37"/>
  <c r="T372" i="37"/>
  <c r="V372" i="37" s="1"/>
  <c r="AA372" i="37"/>
  <c r="Y372" i="37"/>
  <c r="U372" i="37"/>
  <c r="AE372" i="37"/>
  <c r="AG372" i="37"/>
  <c r="H371" i="37"/>
  <c r="J371" i="37"/>
  <c r="I371" i="37"/>
  <c r="AC371" i="37"/>
  <c r="AD371" i="37"/>
  <c r="AK371" i="37"/>
  <c r="AL371" i="37" s="1"/>
  <c r="AF371" i="37"/>
  <c r="AJ371" i="37"/>
  <c r="AM371" i="37"/>
  <c r="AN371" i="37" s="1"/>
  <c r="AD372" i="37" l="1"/>
  <c r="AM372" i="37"/>
  <c r="AN372" i="37" s="1"/>
  <c r="AF372" i="37"/>
  <c r="AJ372" i="37"/>
  <c r="AK372" i="37"/>
  <c r="AL372" i="37" s="1"/>
  <c r="Z372" i="37"/>
  <c r="J372" i="37"/>
  <c r="I372" i="37"/>
  <c r="H372" i="37"/>
  <c r="AB373" i="37"/>
  <c r="AC373" i="37" s="1"/>
  <c r="G373" i="37"/>
  <c r="AI373" i="37"/>
  <c r="F374" i="37"/>
  <c r="AH373" i="37"/>
  <c r="T373" i="37"/>
  <c r="AA373" i="37"/>
  <c r="Y373" i="37"/>
  <c r="W373" i="37"/>
  <c r="AG373" i="37"/>
  <c r="X373" i="37"/>
  <c r="Z373" i="37" s="1"/>
  <c r="U373" i="37"/>
  <c r="AE373" i="37"/>
  <c r="R373" i="37"/>
  <c r="AC372" i="37"/>
  <c r="AB374" i="37" l="1"/>
  <c r="F375" i="37"/>
  <c r="Y374" i="37"/>
  <c r="W374" i="37"/>
  <c r="AH374" i="37"/>
  <c r="R374" i="37"/>
  <c r="AI374" i="37"/>
  <c r="AA374" i="37"/>
  <c r="X374" i="37"/>
  <c r="Z374" i="37" s="1"/>
  <c r="U374" i="37"/>
  <c r="AG374" i="37"/>
  <c r="AE374" i="37"/>
  <c r="T374" i="37"/>
  <c r="V374" i="37" s="1"/>
  <c r="G374" i="37"/>
  <c r="AD373" i="37"/>
  <c r="AJ373" i="37"/>
  <c r="AM373" i="37"/>
  <c r="AN373" i="37" s="1"/>
  <c r="AK373" i="37"/>
  <c r="AL373" i="37" s="1"/>
  <c r="AF373" i="37"/>
  <c r="H373" i="37"/>
  <c r="J373" i="37"/>
  <c r="I373" i="37"/>
  <c r="V373" i="37"/>
  <c r="AD374" i="37" l="1"/>
  <c r="AF374" i="37"/>
  <c r="AJ374" i="37"/>
  <c r="AK374" i="37"/>
  <c r="AL374" i="37" s="1"/>
  <c r="AM374" i="37"/>
  <c r="AN374" i="37" s="1"/>
  <c r="H374" i="37"/>
  <c r="I374" i="37"/>
  <c r="J374" i="37"/>
  <c r="AB375" i="37"/>
  <c r="AC375" i="37" s="1"/>
  <c r="F376" i="37"/>
  <c r="AI375" i="37"/>
  <c r="X375" i="37"/>
  <c r="Z375" i="37" s="1"/>
  <c r="Y375" i="37"/>
  <c r="AG375" i="37"/>
  <c r="G375" i="37"/>
  <c r="AH375" i="37"/>
  <c r="AE375" i="37"/>
  <c r="AA375" i="37"/>
  <c r="R375" i="37"/>
  <c r="U375" i="37"/>
  <c r="T375" i="37"/>
  <c r="V375" i="37" s="1"/>
  <c r="W375" i="37"/>
  <c r="AC374" i="37"/>
  <c r="AB376" i="37" l="1"/>
  <c r="Y376" i="37"/>
  <c r="U376" i="37"/>
  <c r="AI376" i="37"/>
  <c r="AH376" i="37"/>
  <c r="R376" i="37"/>
  <c r="X376" i="37"/>
  <c r="Z376" i="37" s="1"/>
  <c r="AA376" i="37"/>
  <c r="W376" i="37"/>
  <c r="T376" i="37"/>
  <c r="V376" i="37" s="1"/>
  <c r="AG376" i="37"/>
  <c r="AE376" i="37"/>
  <c r="G376" i="37"/>
  <c r="F377" i="37"/>
  <c r="AD375" i="37"/>
  <c r="AM375" i="37"/>
  <c r="AN375" i="37" s="1"/>
  <c r="AK375" i="37"/>
  <c r="AL375" i="37" s="1"/>
  <c r="AJ375" i="37"/>
  <c r="AF375" i="37"/>
  <c r="I375" i="37"/>
  <c r="H375" i="37"/>
  <c r="J375" i="37"/>
  <c r="AD376" i="37" l="1"/>
  <c r="AM376" i="37"/>
  <c r="AN376" i="37" s="1"/>
  <c r="AK376" i="37"/>
  <c r="AL376" i="37" s="1"/>
  <c r="AF376" i="37"/>
  <c r="AJ376" i="37"/>
  <c r="AH377" i="37"/>
  <c r="AI377" i="37"/>
  <c r="AA377" i="37"/>
  <c r="G377" i="37"/>
  <c r="AB377" i="37"/>
  <c r="AC377" i="37" s="1"/>
  <c r="F378" i="37"/>
  <c r="Y377" i="37"/>
  <c r="T377" i="37"/>
  <c r="V377" i="37" s="1"/>
  <c r="X377" i="37"/>
  <c r="Z377" i="37" s="1"/>
  <c r="W377" i="37"/>
  <c r="AG377" i="37"/>
  <c r="U377" i="37"/>
  <c r="R377" i="37"/>
  <c r="AE377" i="37"/>
  <c r="H376" i="37"/>
  <c r="J376" i="37"/>
  <c r="I376" i="37"/>
  <c r="AC376" i="37"/>
  <c r="AI378" i="37" l="1"/>
  <c r="G378" i="37"/>
  <c r="AH378" i="37"/>
  <c r="F379" i="37"/>
  <c r="AA378" i="37"/>
  <c r="X378" i="37"/>
  <c r="W378" i="37"/>
  <c r="Y378" i="37"/>
  <c r="T378" i="37"/>
  <c r="U378" i="37"/>
  <c r="AG378" i="37"/>
  <c r="AE378" i="37"/>
  <c r="AB378" i="37"/>
  <c r="AC378" i="37" s="1"/>
  <c r="R378" i="37"/>
  <c r="I377" i="37"/>
  <c r="H377" i="37"/>
  <c r="J377" i="37"/>
  <c r="AD377" i="37"/>
  <c r="AK377" i="37"/>
  <c r="AL377" i="37" s="1"/>
  <c r="AM377" i="37"/>
  <c r="AN377" i="37" s="1"/>
  <c r="AJ377" i="37"/>
  <c r="AF377" i="37"/>
  <c r="AD378" i="37" l="1"/>
  <c r="AM378" i="37"/>
  <c r="AN378" i="37" s="1"/>
  <c r="AF378" i="37"/>
  <c r="AJ378" i="37"/>
  <c r="AK378" i="37"/>
  <c r="AL378" i="37" s="1"/>
  <c r="V378" i="37"/>
  <c r="AH379" i="37"/>
  <c r="G379" i="37"/>
  <c r="Y379" i="37"/>
  <c r="R379" i="37"/>
  <c r="X379" i="37"/>
  <c r="Z379" i="37" s="1"/>
  <c r="F380" i="37"/>
  <c r="T379" i="37"/>
  <c r="V379" i="37" s="1"/>
  <c r="AA379" i="37"/>
  <c r="AI379" i="37"/>
  <c r="W379" i="37"/>
  <c r="U379" i="37"/>
  <c r="AG379" i="37"/>
  <c r="AE379" i="37"/>
  <c r="AB379" i="37"/>
  <c r="J378" i="37"/>
  <c r="I378" i="37"/>
  <c r="H378" i="37"/>
  <c r="Z378" i="37"/>
  <c r="H379" i="37" l="1"/>
  <c r="J379" i="37"/>
  <c r="I379" i="37"/>
  <c r="AD379" i="37"/>
  <c r="AF379" i="37"/>
  <c r="AJ379" i="37"/>
  <c r="AM379" i="37"/>
  <c r="AN379" i="37" s="1"/>
  <c r="AK379" i="37"/>
  <c r="AL379" i="37" s="1"/>
  <c r="AI380" i="37"/>
  <c r="G380" i="37"/>
  <c r="AH380" i="37"/>
  <c r="AA380" i="37"/>
  <c r="X380" i="37"/>
  <c r="Z380" i="37" s="1"/>
  <c r="W380" i="37"/>
  <c r="Y380" i="37"/>
  <c r="T380" i="37"/>
  <c r="AG380" i="37"/>
  <c r="AE380" i="37"/>
  <c r="R380" i="37"/>
  <c r="AB380" i="37"/>
  <c r="AC380" i="37" s="1"/>
  <c r="F381" i="37"/>
  <c r="U380" i="37"/>
  <c r="AC379" i="37"/>
  <c r="I380" i="37" l="1"/>
  <c r="H380" i="37"/>
  <c r="J380" i="37"/>
  <c r="AB381" i="37"/>
  <c r="AI381" i="37"/>
  <c r="AH381" i="37"/>
  <c r="R381" i="37"/>
  <c r="G381" i="37"/>
  <c r="Y381" i="37"/>
  <c r="X381" i="37"/>
  <c r="Z381" i="37" s="1"/>
  <c r="F382" i="37"/>
  <c r="U381" i="37"/>
  <c r="W381" i="37"/>
  <c r="T381" i="37"/>
  <c r="V381" i="37" s="1"/>
  <c r="AA381" i="37"/>
  <c r="AG381" i="37"/>
  <c r="AE381" i="37"/>
  <c r="AD380" i="37"/>
  <c r="AF380" i="37"/>
  <c r="AJ380" i="37"/>
  <c r="AM380" i="37"/>
  <c r="AN380" i="37" s="1"/>
  <c r="AK380" i="37"/>
  <c r="AL380" i="37" s="1"/>
  <c r="V380" i="37"/>
  <c r="I381" i="37" l="1"/>
  <c r="H381" i="37"/>
  <c r="J381" i="37"/>
  <c r="AC381" i="37"/>
  <c r="AD381" i="37"/>
  <c r="AF381" i="37"/>
  <c r="AM381" i="37"/>
  <c r="AN381" i="37" s="1"/>
  <c r="AJ381" i="37"/>
  <c r="AK381" i="37"/>
  <c r="AL381" i="37" s="1"/>
  <c r="AI382" i="37"/>
  <c r="G382" i="37"/>
  <c r="AH382" i="37"/>
  <c r="F383" i="37"/>
  <c r="Y382" i="37"/>
  <c r="U382" i="37"/>
  <c r="W382" i="37"/>
  <c r="AA382" i="37"/>
  <c r="X382" i="37"/>
  <c r="T382" i="37"/>
  <c r="V382" i="37" s="1"/>
  <c r="AE382" i="37"/>
  <c r="AG382" i="37"/>
  <c r="AB382" i="37"/>
  <c r="AC382" i="37" s="1"/>
  <c r="R382" i="37"/>
  <c r="AB383" i="37" l="1"/>
  <c r="AE383" i="37"/>
  <c r="AH383" i="37"/>
  <c r="AI383" i="37"/>
  <c r="F384" i="37"/>
  <c r="U383" i="37"/>
  <c r="G383" i="37"/>
  <c r="T383" i="37"/>
  <c r="V383" i="37" s="1"/>
  <c r="R383" i="37"/>
  <c r="W383" i="37"/>
  <c r="X383" i="37"/>
  <c r="Y383" i="37"/>
  <c r="AA383" i="37"/>
  <c r="AG383" i="37"/>
  <c r="J382" i="37"/>
  <c r="I382" i="37"/>
  <c r="H382" i="37"/>
  <c r="AD382" i="37"/>
  <c r="AM382" i="37"/>
  <c r="AN382" i="37" s="1"/>
  <c r="AK382" i="37"/>
  <c r="AL382" i="37" s="1"/>
  <c r="AF382" i="37"/>
  <c r="AJ382" i="37"/>
  <c r="Z382" i="37"/>
  <c r="H383" i="37" l="1"/>
  <c r="J383" i="37"/>
  <c r="I383" i="37"/>
  <c r="Z383" i="37"/>
  <c r="AB384" i="37"/>
  <c r="AC384" i="37" s="1"/>
  <c r="G384" i="37"/>
  <c r="AI384" i="37"/>
  <c r="R384" i="37"/>
  <c r="AH384" i="37"/>
  <c r="F385" i="37"/>
  <c r="W384" i="37"/>
  <c r="AA384" i="37"/>
  <c r="Y384" i="37"/>
  <c r="U384" i="37"/>
  <c r="X384" i="37"/>
  <c r="T384" i="37"/>
  <c r="AE384" i="37"/>
  <c r="AG384" i="37"/>
  <c r="AD383" i="37"/>
  <c r="AM383" i="37"/>
  <c r="AN383" i="37" s="1"/>
  <c r="AK383" i="37"/>
  <c r="AL383" i="37" s="1"/>
  <c r="AF383" i="37"/>
  <c r="AJ383" i="37"/>
  <c r="AC383" i="37"/>
  <c r="AB385" i="37" l="1"/>
  <c r="G385" i="37"/>
  <c r="AI385" i="37"/>
  <c r="F386" i="37"/>
  <c r="AH385" i="37"/>
  <c r="X385" i="37"/>
  <c r="Z385" i="37" s="1"/>
  <c r="Y385" i="37"/>
  <c r="W385" i="37"/>
  <c r="T385" i="37"/>
  <c r="V385" i="37" s="1"/>
  <c r="U385" i="37"/>
  <c r="AA385" i="37"/>
  <c r="AE385" i="37"/>
  <c r="AG385" i="37"/>
  <c r="R385" i="37"/>
  <c r="I384" i="37"/>
  <c r="H384" i="37"/>
  <c r="J384" i="37"/>
  <c r="AD384" i="37"/>
  <c r="AJ384" i="37"/>
  <c r="AK384" i="37"/>
  <c r="AL384" i="37" s="1"/>
  <c r="AM384" i="37"/>
  <c r="AN384" i="37" s="1"/>
  <c r="AF384" i="37"/>
  <c r="V384" i="37"/>
  <c r="Z384" i="37"/>
  <c r="F387" i="37" l="1"/>
  <c r="AB386" i="37"/>
  <c r="AI386" i="37"/>
  <c r="AH386" i="37"/>
  <c r="AA386" i="37"/>
  <c r="Y386" i="37"/>
  <c r="AE386" i="37"/>
  <c r="AG386" i="37"/>
  <c r="G386" i="37"/>
  <c r="R386" i="37"/>
  <c r="X386" i="37"/>
  <c r="Z386" i="37" s="1"/>
  <c r="U386" i="37"/>
  <c r="W386" i="37"/>
  <c r="T386" i="37"/>
  <c r="V386" i="37" s="1"/>
  <c r="H385" i="37"/>
  <c r="I385" i="37"/>
  <c r="J385" i="37"/>
  <c r="AD385" i="37"/>
  <c r="AF385" i="37"/>
  <c r="AK385" i="37"/>
  <c r="AL385" i="37" s="1"/>
  <c r="AM385" i="37"/>
  <c r="AN385" i="37" s="1"/>
  <c r="AJ385" i="37"/>
  <c r="AC385" i="37"/>
  <c r="I386" i="37" l="1"/>
  <c r="J386" i="37"/>
  <c r="H386" i="37"/>
  <c r="AD386" i="37"/>
  <c r="AF386" i="37"/>
  <c r="AK386" i="37"/>
  <c r="AL386" i="37" s="1"/>
  <c r="AJ386" i="37"/>
  <c r="AM386" i="37"/>
  <c r="AN386" i="37" s="1"/>
  <c r="AC386" i="37"/>
  <c r="F388" i="37"/>
  <c r="AE387" i="37"/>
  <c r="AB387" i="37"/>
  <c r="AC387" i="37" s="1"/>
  <c r="AI387" i="37"/>
  <c r="AA387" i="37"/>
  <c r="X387" i="37"/>
  <c r="U387" i="37"/>
  <c r="Y387" i="37"/>
  <c r="AH387" i="37"/>
  <c r="R387" i="37"/>
  <c r="G387" i="37"/>
  <c r="W387" i="37"/>
  <c r="T387" i="37"/>
  <c r="V387" i="37" s="1"/>
  <c r="AG387" i="37"/>
  <c r="AB388" i="37" l="1"/>
  <c r="AI388" i="37"/>
  <c r="AH388" i="37"/>
  <c r="W388" i="37"/>
  <c r="Y388" i="37"/>
  <c r="T388" i="37"/>
  <c r="F389" i="37"/>
  <c r="U388" i="37"/>
  <c r="X388" i="37"/>
  <c r="Z388" i="37" s="1"/>
  <c r="AG388" i="37"/>
  <c r="AA388" i="37"/>
  <c r="AE388" i="37"/>
  <c r="G388" i="37"/>
  <c r="R388" i="37"/>
  <c r="AD387" i="37"/>
  <c r="AM387" i="37"/>
  <c r="AN387" i="37" s="1"/>
  <c r="AK387" i="37"/>
  <c r="AL387" i="37" s="1"/>
  <c r="AJ387" i="37"/>
  <c r="AF387" i="37"/>
  <c r="H387" i="37"/>
  <c r="I387" i="37"/>
  <c r="J387" i="37"/>
  <c r="Z387" i="37"/>
  <c r="AD388" i="37" l="1"/>
  <c r="AF388" i="37"/>
  <c r="AK388" i="37"/>
  <c r="AL388" i="37" s="1"/>
  <c r="AM388" i="37"/>
  <c r="AN388" i="37" s="1"/>
  <c r="AJ388" i="37"/>
  <c r="V388" i="37"/>
  <c r="J388" i="37"/>
  <c r="H388" i="37"/>
  <c r="I388" i="37"/>
  <c r="AI389" i="37"/>
  <c r="R389" i="37"/>
  <c r="AH389" i="37"/>
  <c r="G389" i="37"/>
  <c r="F390" i="37"/>
  <c r="AB389" i="37"/>
  <c r="Y389" i="37"/>
  <c r="W389" i="37"/>
  <c r="T389" i="37"/>
  <c r="X389" i="37"/>
  <c r="Z389" i="37" s="1"/>
  <c r="AG389" i="37"/>
  <c r="U389" i="37"/>
  <c r="AA389" i="37"/>
  <c r="AE389" i="37"/>
  <c r="AC388" i="37"/>
  <c r="AD389" i="37" l="1"/>
  <c r="AJ389" i="37"/>
  <c r="AM389" i="37"/>
  <c r="AN389" i="37" s="1"/>
  <c r="AK389" i="37"/>
  <c r="AL389" i="37" s="1"/>
  <c r="AF389" i="37"/>
  <c r="V389" i="37"/>
  <c r="AB390" i="37"/>
  <c r="AC390" i="37" s="1"/>
  <c r="F391" i="37"/>
  <c r="AH390" i="37"/>
  <c r="G390" i="37"/>
  <c r="Y390" i="37"/>
  <c r="T390" i="37"/>
  <c r="V390" i="37" s="1"/>
  <c r="AG390" i="37"/>
  <c r="X390" i="37"/>
  <c r="Z390" i="37" s="1"/>
  <c r="U390" i="37"/>
  <c r="R390" i="37"/>
  <c r="AI390" i="37"/>
  <c r="W390" i="37"/>
  <c r="AA390" i="37"/>
  <c r="AE390" i="37"/>
  <c r="J389" i="37"/>
  <c r="I389" i="37"/>
  <c r="H389" i="37"/>
  <c r="AC389" i="37"/>
  <c r="J390" i="37" l="1"/>
  <c r="I390" i="37"/>
  <c r="H390" i="37"/>
  <c r="AB391" i="37"/>
  <c r="AI391" i="37"/>
  <c r="R391" i="37"/>
  <c r="AH391" i="37"/>
  <c r="G391" i="37"/>
  <c r="F392" i="37"/>
  <c r="AA391" i="37"/>
  <c r="Y391" i="37"/>
  <c r="X391" i="37"/>
  <c r="Z391" i="37" s="1"/>
  <c r="W391" i="37"/>
  <c r="T391" i="37"/>
  <c r="V391" i="37" s="1"/>
  <c r="U391" i="37"/>
  <c r="AG391" i="37"/>
  <c r="AE391" i="37"/>
  <c r="AD390" i="37"/>
  <c r="AF390" i="37"/>
  <c r="AK390" i="37"/>
  <c r="AL390" i="37" s="1"/>
  <c r="AM390" i="37"/>
  <c r="AN390" i="37" s="1"/>
  <c r="AJ390" i="37"/>
  <c r="AB392" i="37" l="1"/>
  <c r="AC392" i="37" s="1"/>
  <c r="R392" i="37"/>
  <c r="AI392" i="37"/>
  <c r="G392" i="37"/>
  <c r="AH392" i="37"/>
  <c r="F393" i="37"/>
  <c r="W392" i="37"/>
  <c r="U392" i="37"/>
  <c r="X392" i="37"/>
  <c r="T392" i="37"/>
  <c r="V392" i="37" s="1"/>
  <c r="Y392" i="37"/>
  <c r="AA392" i="37"/>
  <c r="AG392" i="37"/>
  <c r="AE392" i="37"/>
  <c r="H391" i="37"/>
  <c r="I391" i="37"/>
  <c r="J391" i="37"/>
  <c r="AC391" i="37"/>
  <c r="AD391" i="37"/>
  <c r="AF391" i="37"/>
  <c r="AK391" i="37"/>
  <c r="AL391" i="37" s="1"/>
  <c r="AM391" i="37"/>
  <c r="AN391" i="37" s="1"/>
  <c r="AJ391" i="37"/>
  <c r="Z392" i="37" l="1"/>
  <c r="AI393" i="37"/>
  <c r="AA393" i="37"/>
  <c r="AE393" i="37"/>
  <c r="AB393" i="37"/>
  <c r="AC393" i="37" s="1"/>
  <c r="W393" i="37"/>
  <c r="U393" i="37"/>
  <c r="Y393" i="37"/>
  <c r="X393" i="37"/>
  <c r="Z393" i="37" s="1"/>
  <c r="F394" i="37"/>
  <c r="G393" i="37"/>
  <c r="AG393" i="37"/>
  <c r="AH393" i="37"/>
  <c r="T393" i="37"/>
  <c r="V393" i="37" s="1"/>
  <c r="R393" i="37"/>
  <c r="AD392" i="37"/>
  <c r="AK392" i="37"/>
  <c r="AL392" i="37" s="1"/>
  <c r="AM392" i="37"/>
  <c r="AN392" i="37" s="1"/>
  <c r="AJ392" i="37"/>
  <c r="AF392" i="37"/>
  <c r="J392" i="37"/>
  <c r="I392" i="37"/>
  <c r="H392" i="37"/>
  <c r="AB394" i="37" l="1"/>
  <c r="AI394" i="37"/>
  <c r="F395" i="37"/>
  <c r="AH394" i="37"/>
  <c r="G394" i="37"/>
  <c r="X394" i="37"/>
  <c r="T394" i="37"/>
  <c r="W394" i="37"/>
  <c r="R394" i="37"/>
  <c r="AA394" i="37"/>
  <c r="Y394" i="37"/>
  <c r="U394" i="37"/>
  <c r="AG394" i="37"/>
  <c r="AE394" i="37"/>
  <c r="AD393" i="37"/>
  <c r="AM393" i="37"/>
  <c r="AN393" i="37" s="1"/>
  <c r="AJ393" i="37"/>
  <c r="AK393" i="37"/>
  <c r="AL393" i="37" s="1"/>
  <c r="AF393" i="37"/>
  <c r="H393" i="37"/>
  <c r="I393" i="37"/>
  <c r="J393" i="37"/>
  <c r="AD394" i="37" l="1"/>
  <c r="AJ394" i="37"/>
  <c r="AM394" i="37"/>
  <c r="AN394" i="37" s="1"/>
  <c r="AK394" i="37"/>
  <c r="AL394" i="37" s="1"/>
  <c r="AF394" i="37"/>
  <c r="Z394" i="37"/>
  <c r="AB395" i="37"/>
  <c r="Y395" i="37"/>
  <c r="AI395" i="37"/>
  <c r="AH395" i="37"/>
  <c r="R395" i="37"/>
  <c r="F396" i="37"/>
  <c r="X395" i="37"/>
  <c r="Z395" i="37" s="1"/>
  <c r="AG395" i="37"/>
  <c r="W395" i="37"/>
  <c r="G395" i="37"/>
  <c r="AE395" i="37"/>
  <c r="U395" i="37"/>
  <c r="AA395" i="37"/>
  <c r="T395" i="37"/>
  <c r="V395" i="37" s="1"/>
  <c r="V394" i="37"/>
  <c r="J394" i="37"/>
  <c r="H394" i="37"/>
  <c r="I394" i="37"/>
  <c r="AC394" i="37"/>
  <c r="AI396" i="37" l="1"/>
  <c r="AH396" i="37"/>
  <c r="R396" i="37"/>
  <c r="U396" i="37"/>
  <c r="Y396" i="37"/>
  <c r="T396" i="37"/>
  <c r="V396" i="37" s="1"/>
  <c r="W396" i="37"/>
  <c r="G396" i="37"/>
  <c r="AA396" i="37"/>
  <c r="F397" i="37"/>
  <c r="X396" i="37"/>
  <c r="Z396" i="37" s="1"/>
  <c r="AE396" i="37"/>
  <c r="AG396" i="37"/>
  <c r="AB396" i="37"/>
  <c r="AC396" i="37" s="1"/>
  <c r="AC395" i="37"/>
  <c r="AD395" i="37"/>
  <c r="AK395" i="37"/>
  <c r="AL395" i="37" s="1"/>
  <c r="AJ395" i="37"/>
  <c r="AF395" i="37"/>
  <c r="AM395" i="37"/>
  <c r="AN395" i="37" s="1"/>
  <c r="J395" i="37"/>
  <c r="I395" i="37"/>
  <c r="H395" i="37"/>
  <c r="AD396" i="37" l="1"/>
  <c r="AK396" i="37"/>
  <c r="AL396" i="37" s="1"/>
  <c r="AF396" i="37"/>
  <c r="AJ396" i="37"/>
  <c r="AM396" i="37"/>
  <c r="AN396" i="37" s="1"/>
  <c r="I396" i="37"/>
  <c r="J396" i="37"/>
  <c r="H396" i="37"/>
  <c r="F398" i="37"/>
  <c r="AB397" i="37"/>
  <c r="AC397" i="37" s="1"/>
  <c r="G397" i="37"/>
  <c r="AA397" i="37"/>
  <c r="W397" i="37"/>
  <c r="Y397" i="37"/>
  <c r="AH397" i="37"/>
  <c r="R397" i="37"/>
  <c r="AI397" i="37"/>
  <c r="U397" i="37"/>
  <c r="T397" i="37"/>
  <c r="AG397" i="37"/>
  <c r="X397" i="37"/>
  <c r="AE397" i="37"/>
  <c r="H397" i="37" l="1"/>
  <c r="I397" i="37"/>
  <c r="J397" i="37"/>
  <c r="AB398" i="37"/>
  <c r="F399" i="37"/>
  <c r="Y398" i="37"/>
  <c r="AH398" i="37"/>
  <c r="R398" i="37"/>
  <c r="W398" i="37"/>
  <c r="AA398" i="37"/>
  <c r="T398" i="37"/>
  <c r="AI398" i="37"/>
  <c r="X398" i="37"/>
  <c r="Z398" i="37" s="1"/>
  <c r="U398" i="37"/>
  <c r="AE398" i="37"/>
  <c r="AG398" i="37"/>
  <c r="G398" i="37"/>
  <c r="Z397" i="37"/>
  <c r="AD397" i="37"/>
  <c r="AM397" i="37"/>
  <c r="AN397" i="37" s="1"/>
  <c r="AF397" i="37"/>
  <c r="AJ397" i="37"/>
  <c r="AK397" i="37"/>
  <c r="AL397" i="37" s="1"/>
  <c r="V397" i="37"/>
  <c r="AC398" i="37" l="1"/>
  <c r="AH399" i="37"/>
  <c r="G399" i="37"/>
  <c r="W399" i="37"/>
  <c r="U399" i="37"/>
  <c r="AI399" i="37"/>
  <c r="X399" i="37"/>
  <c r="T399" i="37"/>
  <c r="V399" i="37" s="1"/>
  <c r="AA399" i="37"/>
  <c r="AE399" i="37"/>
  <c r="AB399" i="37"/>
  <c r="Y399" i="37"/>
  <c r="AG399" i="37"/>
  <c r="R399" i="37"/>
  <c r="F400" i="37"/>
  <c r="I398" i="37"/>
  <c r="J398" i="37"/>
  <c r="H398" i="37"/>
  <c r="V398" i="37"/>
  <c r="AD398" i="37"/>
  <c r="AM398" i="37"/>
  <c r="AN398" i="37" s="1"/>
  <c r="AF398" i="37"/>
  <c r="AJ398" i="37"/>
  <c r="AK398" i="37"/>
  <c r="AL398" i="37" s="1"/>
  <c r="AD399" i="37" l="1"/>
  <c r="AF399" i="37"/>
  <c r="AK399" i="37"/>
  <c r="AL399" i="37" s="1"/>
  <c r="AM399" i="37"/>
  <c r="AN399" i="37" s="1"/>
  <c r="AJ399" i="37"/>
  <c r="AC399" i="37"/>
  <c r="H399" i="37"/>
  <c r="I399" i="37"/>
  <c r="J399" i="37"/>
  <c r="Z399" i="37"/>
  <c r="R400" i="37"/>
  <c r="AB400" i="37"/>
  <c r="AC400" i="37" s="1"/>
  <c r="G400" i="37"/>
  <c r="AH400" i="37"/>
  <c r="AA400" i="37"/>
  <c r="X400" i="37"/>
  <c r="U400" i="37"/>
  <c r="T400" i="37"/>
  <c r="V400" i="37" s="1"/>
  <c r="AE400" i="37"/>
  <c r="AI400" i="37"/>
  <c r="F401" i="37"/>
  <c r="Y400" i="37"/>
  <c r="W400" i="37"/>
  <c r="AG400" i="37"/>
  <c r="F402" i="37" l="1"/>
  <c r="AB401" i="37"/>
  <c r="G401" i="37"/>
  <c r="AI401" i="37"/>
  <c r="R401" i="37"/>
  <c r="Y401" i="37"/>
  <c r="AH401" i="37"/>
  <c r="AA401" i="37"/>
  <c r="W401" i="37"/>
  <c r="X401" i="37"/>
  <c r="Z401" i="37" s="1"/>
  <c r="T401" i="37"/>
  <c r="U401" i="37"/>
  <c r="AG401" i="37"/>
  <c r="AE401" i="37"/>
  <c r="AD400" i="37"/>
  <c r="AF400" i="37"/>
  <c r="AM400" i="37"/>
  <c r="AN400" i="37" s="1"/>
  <c r="AK400" i="37"/>
  <c r="AL400" i="37" s="1"/>
  <c r="AJ400" i="37"/>
  <c r="J400" i="37"/>
  <c r="H400" i="37"/>
  <c r="I400" i="37"/>
  <c r="Z400" i="37"/>
  <c r="AD401" i="37" l="1"/>
  <c r="AF401" i="37"/>
  <c r="AJ401" i="37"/>
  <c r="AM401" i="37"/>
  <c r="AN401" i="37" s="1"/>
  <c r="AK401" i="37"/>
  <c r="AL401" i="37" s="1"/>
  <c r="H401" i="37"/>
  <c r="I401" i="37"/>
  <c r="J401" i="37"/>
  <c r="V401" i="37"/>
  <c r="AC401" i="37"/>
  <c r="AB402" i="37"/>
  <c r="G402" i="37"/>
  <c r="AI402" i="37"/>
  <c r="R402" i="37"/>
  <c r="AH402" i="37"/>
  <c r="F403" i="37"/>
  <c r="AA402" i="37"/>
  <c r="Y402" i="37"/>
  <c r="W402" i="37"/>
  <c r="AE402" i="37"/>
  <c r="X402" i="37"/>
  <c r="Z402" i="37" s="1"/>
  <c r="T402" i="37"/>
  <c r="U402" i="37"/>
  <c r="AG402" i="37"/>
  <c r="V402" i="37" l="1"/>
  <c r="AC402" i="37"/>
  <c r="AD402" i="37"/>
  <c r="AJ402" i="37"/>
  <c r="AM402" i="37"/>
  <c r="AN402" i="37" s="1"/>
  <c r="AK402" i="37"/>
  <c r="AL402" i="37" s="1"/>
  <c r="AF402" i="37"/>
  <c r="I402" i="37"/>
  <c r="J402" i="37"/>
  <c r="H402" i="37"/>
  <c r="AB403" i="37"/>
  <c r="AC403" i="37" s="1"/>
  <c r="G403" i="37"/>
  <c r="AI403" i="37"/>
  <c r="F404" i="37"/>
  <c r="T403" i="37"/>
  <c r="AG403" i="37"/>
  <c r="W403" i="37"/>
  <c r="AE403" i="37"/>
  <c r="AH403" i="37"/>
  <c r="AA403" i="37"/>
  <c r="X403" i="37"/>
  <c r="U403" i="37"/>
  <c r="Y403" i="37"/>
  <c r="R403" i="37"/>
  <c r="F405" i="37" l="1"/>
  <c r="AB404" i="37"/>
  <c r="G404" i="37"/>
  <c r="AE404" i="37"/>
  <c r="AG404" i="37"/>
  <c r="AI404" i="37"/>
  <c r="AH404" i="37"/>
  <c r="AA404" i="37"/>
  <c r="W404" i="37"/>
  <c r="Y404" i="37"/>
  <c r="R404" i="37"/>
  <c r="T404" i="37"/>
  <c r="U404" i="37"/>
  <c r="X404" i="37"/>
  <c r="Z404" i="37" s="1"/>
  <c r="J403" i="37"/>
  <c r="I403" i="37"/>
  <c r="H403" i="37"/>
  <c r="Z403" i="37"/>
  <c r="AD403" i="37"/>
  <c r="AF403" i="37"/>
  <c r="AJ403" i="37"/>
  <c r="AK403" i="37"/>
  <c r="AL403" i="37" s="1"/>
  <c r="AM403" i="37"/>
  <c r="AN403" i="37" s="1"/>
  <c r="V403" i="37"/>
  <c r="V404" i="37" l="1"/>
  <c r="AD404" i="37"/>
  <c r="AK404" i="37"/>
  <c r="AL404" i="37" s="1"/>
  <c r="AM404" i="37"/>
  <c r="AN404" i="37" s="1"/>
  <c r="AJ404" i="37"/>
  <c r="AF404" i="37"/>
  <c r="J404" i="37"/>
  <c r="H404" i="37"/>
  <c r="I404" i="37"/>
  <c r="AC404" i="37"/>
  <c r="AB405" i="37"/>
  <c r="AC405" i="37" s="1"/>
  <c r="R405" i="37"/>
  <c r="AI405" i="37"/>
  <c r="G405" i="37"/>
  <c r="AH405" i="37"/>
  <c r="F406" i="37"/>
  <c r="T405" i="37"/>
  <c r="AA405" i="37"/>
  <c r="U405" i="37"/>
  <c r="Y405" i="37"/>
  <c r="X405" i="37"/>
  <c r="Z405" i="37" s="1"/>
  <c r="AG405" i="37"/>
  <c r="W405" i="37"/>
  <c r="AE405" i="37"/>
  <c r="AD405" i="37" l="1"/>
  <c r="AF405" i="37"/>
  <c r="AJ405" i="37"/>
  <c r="AK405" i="37"/>
  <c r="AL405" i="37" s="1"/>
  <c r="AM405" i="37"/>
  <c r="AN405" i="37" s="1"/>
  <c r="J405" i="37"/>
  <c r="I405" i="37"/>
  <c r="H405" i="37"/>
  <c r="V405" i="37"/>
  <c r="G406" i="37"/>
  <c r="AB406" i="37"/>
  <c r="AC406" i="37" s="1"/>
  <c r="F407" i="37"/>
  <c r="AH406" i="37"/>
  <c r="T406" i="37"/>
  <c r="V406" i="37" s="1"/>
  <c r="W406" i="37"/>
  <c r="AE406" i="37"/>
  <c r="AI406" i="37"/>
  <c r="U406" i="37"/>
  <c r="AG406" i="37"/>
  <c r="R406" i="37"/>
  <c r="AA406" i="37"/>
  <c r="X406" i="37"/>
  <c r="Y406" i="37"/>
  <c r="F408" i="37" l="1"/>
  <c r="AB407" i="37"/>
  <c r="AC407" i="37" s="1"/>
  <c r="AI407" i="37"/>
  <c r="R407" i="37"/>
  <c r="G407" i="37"/>
  <c r="AH407" i="37"/>
  <c r="X407" i="37"/>
  <c r="T407" i="37"/>
  <c r="W407" i="37"/>
  <c r="AE407" i="37"/>
  <c r="AG407" i="37"/>
  <c r="U407" i="37"/>
  <c r="Y407" i="37"/>
  <c r="AA407" i="37"/>
  <c r="H406" i="37"/>
  <c r="I406" i="37"/>
  <c r="J406" i="37"/>
  <c r="Z406" i="37"/>
  <c r="AD406" i="37"/>
  <c r="AF406" i="37"/>
  <c r="AJ406" i="37"/>
  <c r="AK406" i="37"/>
  <c r="AL406" i="37" s="1"/>
  <c r="AM406" i="37"/>
  <c r="AN406" i="37" s="1"/>
  <c r="AD407" i="37" l="1"/>
  <c r="AF407" i="37"/>
  <c r="AK407" i="37"/>
  <c r="AL407" i="37" s="1"/>
  <c r="AJ407" i="37"/>
  <c r="AM407" i="37"/>
  <c r="AN407" i="37" s="1"/>
  <c r="Z407" i="37"/>
  <c r="V407" i="37"/>
  <c r="I407" i="37"/>
  <c r="H407" i="37"/>
  <c r="J407" i="37"/>
  <c r="AI408" i="37"/>
  <c r="F409" i="37"/>
  <c r="R408" i="37"/>
  <c r="AH408" i="37"/>
  <c r="G408" i="37"/>
  <c r="AA408" i="37"/>
  <c r="W408" i="37"/>
  <c r="U408" i="37"/>
  <c r="T408" i="37"/>
  <c r="V408" i="37" s="1"/>
  <c r="AG408" i="37"/>
  <c r="Y408" i="37"/>
  <c r="X408" i="37"/>
  <c r="Z408" i="37" s="1"/>
  <c r="AE408" i="37"/>
  <c r="AB408" i="37"/>
  <c r="AC408" i="37" s="1"/>
  <c r="AB409" i="37" l="1"/>
  <c r="AI409" i="37"/>
  <c r="AH409" i="37"/>
  <c r="Y409" i="37"/>
  <c r="R409" i="37"/>
  <c r="G409" i="37"/>
  <c r="T409" i="37"/>
  <c r="AA409" i="37"/>
  <c r="U409" i="37"/>
  <c r="W409" i="37"/>
  <c r="X409" i="37"/>
  <c r="Z409" i="37" s="1"/>
  <c r="AG409" i="37"/>
  <c r="AE409" i="37"/>
  <c r="F410" i="37"/>
  <c r="AD408" i="37"/>
  <c r="AK408" i="37"/>
  <c r="AL408" i="37" s="1"/>
  <c r="AM408" i="37"/>
  <c r="AN408" i="37" s="1"/>
  <c r="AJ408" i="37"/>
  <c r="AF408" i="37"/>
  <c r="I408" i="37"/>
  <c r="H408" i="37"/>
  <c r="J408" i="37"/>
  <c r="AB410" i="37" l="1"/>
  <c r="AI410" i="37"/>
  <c r="Y410" i="37"/>
  <c r="T410" i="37"/>
  <c r="AH410" i="37"/>
  <c r="G410" i="37"/>
  <c r="X410" i="37"/>
  <c r="Z410" i="37" s="1"/>
  <c r="R410" i="37"/>
  <c r="W410" i="37"/>
  <c r="AA410" i="37"/>
  <c r="F411" i="37"/>
  <c r="U410" i="37"/>
  <c r="AE410" i="37"/>
  <c r="AG410" i="37"/>
  <c r="J409" i="37"/>
  <c r="I409" i="37"/>
  <c r="H409" i="37"/>
  <c r="AD409" i="37"/>
  <c r="AK409" i="37"/>
  <c r="AL409" i="37" s="1"/>
  <c r="AF409" i="37"/>
  <c r="AM409" i="37"/>
  <c r="AN409" i="37" s="1"/>
  <c r="AJ409" i="37"/>
  <c r="V409" i="37"/>
  <c r="AC409" i="37"/>
  <c r="AI411" i="37" l="1"/>
  <c r="AH411" i="37"/>
  <c r="Y411" i="37"/>
  <c r="T411" i="37"/>
  <c r="X411" i="37"/>
  <c r="Z411" i="37" s="1"/>
  <c r="W411" i="37"/>
  <c r="AA411" i="37"/>
  <c r="U411" i="37"/>
  <c r="AG411" i="37"/>
  <c r="AE411" i="37"/>
  <c r="R411" i="37"/>
  <c r="G411" i="37"/>
  <c r="F412" i="37"/>
  <c r="AB411" i="37"/>
  <c r="AC411" i="37" s="1"/>
  <c r="AD410" i="37"/>
  <c r="AM410" i="37"/>
  <c r="AN410" i="37" s="1"/>
  <c r="AK410" i="37"/>
  <c r="AL410" i="37" s="1"/>
  <c r="AF410" i="37"/>
  <c r="AJ410" i="37"/>
  <c r="J410" i="37"/>
  <c r="H410" i="37"/>
  <c r="I410" i="37"/>
  <c r="V410" i="37"/>
  <c r="AC410" i="37"/>
  <c r="AD411" i="37" l="1"/>
  <c r="AF411" i="37"/>
  <c r="AJ411" i="37"/>
  <c r="AM411" i="37"/>
  <c r="AN411" i="37" s="1"/>
  <c r="AK411" i="37"/>
  <c r="AL411" i="37" s="1"/>
  <c r="AB412" i="37"/>
  <c r="AC412" i="37" s="1"/>
  <c r="R412" i="37"/>
  <c r="AI412" i="37"/>
  <c r="F413" i="37"/>
  <c r="AH412" i="37"/>
  <c r="G412" i="37"/>
  <c r="W412" i="37"/>
  <c r="T412" i="37"/>
  <c r="V412" i="37" s="1"/>
  <c r="X412" i="37"/>
  <c r="Z412" i="37" s="1"/>
  <c r="AA412" i="37"/>
  <c r="U412" i="37"/>
  <c r="AE412" i="37"/>
  <c r="Y412" i="37"/>
  <c r="AG412" i="37"/>
  <c r="H411" i="37"/>
  <c r="I411" i="37"/>
  <c r="J411" i="37"/>
  <c r="V411" i="37"/>
  <c r="AB413" i="37" l="1"/>
  <c r="AI413" i="37"/>
  <c r="R413" i="37"/>
  <c r="Y413" i="37"/>
  <c r="G413" i="37"/>
  <c r="AH413" i="37"/>
  <c r="F414" i="37"/>
  <c r="W413" i="37"/>
  <c r="T413" i="37"/>
  <c r="AE413" i="37"/>
  <c r="X413" i="37"/>
  <c r="Z413" i="37" s="1"/>
  <c r="U413" i="37"/>
  <c r="AG413" i="37"/>
  <c r="AA413" i="37"/>
  <c r="J412" i="37"/>
  <c r="I412" i="37"/>
  <c r="H412" i="37"/>
  <c r="AD412" i="37"/>
  <c r="AF412" i="37"/>
  <c r="AM412" i="37"/>
  <c r="AN412" i="37" s="1"/>
  <c r="AJ412" i="37"/>
  <c r="AK412" i="37"/>
  <c r="AL412" i="37" s="1"/>
  <c r="AD413" i="37" l="1"/>
  <c r="AF413" i="37"/>
  <c r="AJ413" i="37"/>
  <c r="AK413" i="37"/>
  <c r="AL413" i="37" s="1"/>
  <c r="AM413" i="37"/>
  <c r="AN413" i="37" s="1"/>
  <c r="AI414" i="37"/>
  <c r="G414" i="37"/>
  <c r="AH414" i="37"/>
  <c r="R414" i="37"/>
  <c r="U414" i="37"/>
  <c r="W414" i="37"/>
  <c r="AA414" i="37"/>
  <c r="Y414" i="37"/>
  <c r="X414" i="37"/>
  <c r="T414" i="37"/>
  <c r="AE414" i="37"/>
  <c r="AG414" i="37"/>
  <c r="AB414" i="37"/>
  <c r="F415" i="37"/>
  <c r="V413" i="37"/>
  <c r="I413" i="37"/>
  <c r="J413" i="37"/>
  <c r="H413" i="37"/>
  <c r="AC413" i="37"/>
  <c r="I414" i="37" l="1"/>
  <c r="J414" i="37"/>
  <c r="H414" i="37"/>
  <c r="AC414" i="37"/>
  <c r="AI415" i="37"/>
  <c r="AA415" i="37"/>
  <c r="R415" i="37"/>
  <c r="T415" i="37"/>
  <c r="V415" i="37" s="1"/>
  <c r="G415" i="37"/>
  <c r="W415" i="37"/>
  <c r="X415" i="37"/>
  <c r="AG415" i="37"/>
  <c r="Y415" i="37"/>
  <c r="F416" i="37"/>
  <c r="U415" i="37"/>
  <c r="AE415" i="37"/>
  <c r="AB415" i="37"/>
  <c r="AH415" i="37"/>
  <c r="Z414" i="37"/>
  <c r="AD414" i="37"/>
  <c r="AK414" i="37"/>
  <c r="AL414" i="37" s="1"/>
  <c r="AF414" i="37"/>
  <c r="AJ414" i="37"/>
  <c r="AM414" i="37"/>
  <c r="AN414" i="37" s="1"/>
  <c r="V414" i="37"/>
  <c r="J415" i="37" l="1"/>
  <c r="I415" i="37"/>
  <c r="H415" i="37"/>
  <c r="Z415" i="37"/>
  <c r="AB416" i="37"/>
  <c r="U416" i="37"/>
  <c r="AG416" i="37"/>
  <c r="AI416" i="37"/>
  <c r="AH416" i="37"/>
  <c r="W416" i="37"/>
  <c r="T416" i="37"/>
  <c r="V416" i="37" s="1"/>
  <c r="AE416" i="37"/>
  <c r="R416" i="37"/>
  <c r="Y416" i="37"/>
  <c r="AA416" i="37"/>
  <c r="X416" i="37"/>
  <c r="F417" i="37"/>
  <c r="G416" i="37"/>
  <c r="AC415" i="37"/>
  <c r="AD415" i="37"/>
  <c r="AK415" i="37"/>
  <c r="AL415" i="37" s="1"/>
  <c r="AM415" i="37"/>
  <c r="AN415" i="37" s="1"/>
  <c r="AJ415" i="37"/>
  <c r="AF415" i="37"/>
  <c r="AD416" i="37" l="1"/>
  <c r="AF416" i="37"/>
  <c r="AM416" i="37"/>
  <c r="AN416" i="37" s="1"/>
  <c r="AK416" i="37"/>
  <c r="AL416" i="37" s="1"/>
  <c r="AJ416" i="37"/>
  <c r="AC416" i="37"/>
  <c r="H416" i="37"/>
  <c r="I416" i="37"/>
  <c r="J416" i="37"/>
  <c r="AI417" i="37"/>
  <c r="G417" i="37"/>
  <c r="AB417" i="37"/>
  <c r="AC417" i="37" s="1"/>
  <c r="R417" i="37"/>
  <c r="F418" i="37"/>
  <c r="AH417" i="37"/>
  <c r="U417" i="37"/>
  <c r="AA417" i="37"/>
  <c r="T417" i="37"/>
  <c r="V417" i="37" s="1"/>
  <c r="X417" i="37"/>
  <c r="Y417" i="37"/>
  <c r="W417" i="37"/>
  <c r="AE417" i="37"/>
  <c r="AG417" i="37"/>
  <c r="Z416" i="37"/>
  <c r="AB418" i="37" l="1"/>
  <c r="R418" i="37"/>
  <c r="AH418" i="37"/>
  <c r="F419" i="37"/>
  <c r="X418" i="37"/>
  <c r="AI418" i="37"/>
  <c r="G418" i="37"/>
  <c r="Y418" i="37"/>
  <c r="AA418" i="37"/>
  <c r="U418" i="37"/>
  <c r="T418" i="37"/>
  <c r="W418" i="37"/>
  <c r="AG418" i="37"/>
  <c r="AE418" i="37"/>
  <c r="AD417" i="37"/>
  <c r="AF417" i="37"/>
  <c r="AK417" i="37"/>
  <c r="AL417" i="37" s="1"/>
  <c r="AM417" i="37"/>
  <c r="AN417" i="37" s="1"/>
  <c r="AJ417" i="37"/>
  <c r="Z417" i="37"/>
  <c r="J417" i="37"/>
  <c r="H417" i="37"/>
  <c r="I417" i="37"/>
  <c r="I418" i="37" l="1"/>
  <c r="H418" i="37"/>
  <c r="J418" i="37"/>
  <c r="Z418" i="37"/>
  <c r="AB419" i="37"/>
  <c r="AI419" i="37"/>
  <c r="R419" i="37"/>
  <c r="AH419" i="37"/>
  <c r="G419" i="37"/>
  <c r="U419" i="37"/>
  <c r="F420" i="37"/>
  <c r="AA419" i="37"/>
  <c r="AE419" i="37"/>
  <c r="Y419" i="37"/>
  <c r="W419" i="37"/>
  <c r="AG419" i="37"/>
  <c r="X419" i="37"/>
  <c r="T419" i="37"/>
  <c r="AD418" i="37"/>
  <c r="AF418" i="37"/>
  <c r="AK418" i="37"/>
  <c r="AL418" i="37" s="1"/>
  <c r="AJ418" i="37"/>
  <c r="AM418" i="37"/>
  <c r="AN418" i="37" s="1"/>
  <c r="V418" i="37"/>
  <c r="AC418" i="37"/>
  <c r="I419" i="37" l="1"/>
  <c r="J419" i="37"/>
  <c r="H419" i="37"/>
  <c r="AD419" i="37"/>
  <c r="AK419" i="37"/>
  <c r="AL419" i="37" s="1"/>
  <c r="AJ419" i="37"/>
  <c r="AM419" i="37"/>
  <c r="AN419" i="37" s="1"/>
  <c r="AF419" i="37"/>
  <c r="AB420" i="37"/>
  <c r="AI420" i="37"/>
  <c r="AH420" i="37"/>
  <c r="F421" i="37"/>
  <c r="R420" i="37"/>
  <c r="W420" i="37"/>
  <c r="X420" i="37"/>
  <c r="U420" i="37"/>
  <c r="AA420" i="37"/>
  <c r="Y420" i="37"/>
  <c r="T420" i="37"/>
  <c r="V420" i="37" s="1"/>
  <c r="AG420" i="37"/>
  <c r="AE420" i="37"/>
  <c r="G420" i="37"/>
  <c r="V419" i="37"/>
  <c r="Z419" i="37"/>
  <c r="AC419" i="37"/>
  <c r="I420" i="37" l="1"/>
  <c r="J420" i="37"/>
  <c r="H420" i="37"/>
  <c r="AD420" i="37"/>
  <c r="AF420" i="37"/>
  <c r="AB421" i="37"/>
  <c r="AI421" i="37"/>
  <c r="X421" i="37"/>
  <c r="Z421" i="37" s="1"/>
  <c r="T421" i="37"/>
  <c r="R421" i="37"/>
  <c r="AH421" i="37"/>
  <c r="AA421" i="37"/>
  <c r="W421" i="37"/>
  <c r="U421" i="37"/>
  <c r="AE421" i="37"/>
  <c r="AG421" i="37"/>
  <c r="Y421" i="37"/>
  <c r="G421" i="37"/>
  <c r="F422" i="37"/>
  <c r="Z420" i="37"/>
  <c r="V421" i="37" l="1"/>
  <c r="AC421" i="37"/>
  <c r="G422" i="37"/>
  <c r="F423" i="37"/>
  <c r="AE422" i="37"/>
  <c r="AB422" i="37"/>
  <c r="AC422" i="37" s="1"/>
  <c r="AI422" i="37"/>
  <c r="AH422" i="37"/>
  <c r="U422" i="37"/>
  <c r="X422" i="37"/>
  <c r="Z422" i="37" s="1"/>
  <c r="T422" i="37"/>
  <c r="V422" i="37" s="1"/>
  <c r="W422" i="37"/>
  <c r="AA422" i="37"/>
  <c r="AG422" i="37"/>
  <c r="Y422" i="37"/>
  <c r="R422" i="37"/>
  <c r="J421" i="37"/>
  <c r="I421" i="37"/>
  <c r="H421" i="37"/>
  <c r="AD421" i="37"/>
  <c r="AF421" i="37"/>
  <c r="AK421" i="37"/>
  <c r="AL421" i="37" s="1"/>
  <c r="AM421" i="37"/>
  <c r="AN421" i="37" s="1"/>
  <c r="AJ421" i="37"/>
  <c r="AA423" i="37" l="1"/>
  <c r="Y423" i="37"/>
  <c r="U423" i="37"/>
  <c r="AE423" i="37"/>
  <c r="X423" i="37"/>
  <c r="Z423" i="37" s="1"/>
  <c r="T423" i="37"/>
  <c r="V423" i="37" s="1"/>
  <c r="W423" i="37"/>
  <c r="R423" i="37"/>
  <c r="F424" i="37"/>
  <c r="G423" i="37"/>
  <c r="AB423" i="37"/>
  <c r="AC423" i="37" s="1"/>
  <c r="AI423" i="37"/>
  <c r="AH423" i="37"/>
  <c r="AG423" i="37"/>
  <c r="H422" i="37"/>
  <c r="J422" i="37"/>
  <c r="I422" i="37"/>
  <c r="AD422" i="37"/>
  <c r="AJ422" i="37"/>
  <c r="AF422" i="37"/>
  <c r="AK422" i="37"/>
  <c r="AL422" i="37" s="1"/>
  <c r="AM422" i="37"/>
  <c r="AN422" i="37" s="1"/>
  <c r="AB424" i="37" l="1"/>
  <c r="AI424" i="37"/>
  <c r="Y424" i="37"/>
  <c r="AH424" i="37"/>
  <c r="G424" i="37"/>
  <c r="T424" i="37"/>
  <c r="F425" i="37"/>
  <c r="AA424" i="37"/>
  <c r="X424" i="37"/>
  <c r="Z424" i="37" s="1"/>
  <c r="R424" i="37"/>
  <c r="W424" i="37"/>
  <c r="U424" i="37"/>
  <c r="AG424" i="37"/>
  <c r="AE424" i="37"/>
  <c r="J423" i="37"/>
  <c r="H423" i="37"/>
  <c r="I423" i="37"/>
  <c r="AD423" i="37"/>
  <c r="AF423" i="37"/>
  <c r="AM423" i="37"/>
  <c r="AN423" i="37" s="1"/>
  <c r="AK423" i="37"/>
  <c r="AL423" i="37" s="1"/>
  <c r="AJ423" i="37"/>
  <c r="AD424" i="37" l="1"/>
  <c r="AM424" i="37"/>
  <c r="AN424" i="37" s="1"/>
  <c r="AF424" i="37"/>
  <c r="AK424" i="37"/>
  <c r="AL424" i="37" s="1"/>
  <c r="AJ424" i="37"/>
  <c r="AH425" i="37"/>
  <c r="G425" i="37"/>
  <c r="AA425" i="37"/>
  <c r="R425" i="37"/>
  <c r="AI425" i="37"/>
  <c r="AB425" i="37"/>
  <c r="AC425" i="37" s="1"/>
  <c r="F426" i="37"/>
  <c r="Y425" i="37"/>
  <c r="T425" i="37"/>
  <c r="V425" i="37" s="1"/>
  <c r="W425" i="37"/>
  <c r="X425" i="37"/>
  <c r="U425" i="37"/>
  <c r="AG425" i="37"/>
  <c r="AE425" i="37"/>
  <c r="J424" i="37"/>
  <c r="I424" i="37"/>
  <c r="H424" i="37"/>
  <c r="V424" i="37"/>
  <c r="AC424" i="37"/>
  <c r="J425" i="37" l="1"/>
  <c r="H425" i="37"/>
  <c r="I425" i="37"/>
  <c r="AD425" i="37"/>
  <c r="AJ425" i="37"/>
  <c r="AM425" i="37"/>
  <c r="AN425" i="37" s="1"/>
  <c r="AK425" i="37"/>
  <c r="AL425" i="37" s="1"/>
  <c r="AF425" i="37"/>
  <c r="AI426" i="37"/>
  <c r="W426" i="37"/>
  <c r="T426" i="37"/>
  <c r="V426" i="37" s="1"/>
  <c r="AH426" i="37"/>
  <c r="R426" i="37"/>
  <c r="F427" i="37"/>
  <c r="AG426" i="37"/>
  <c r="AB426" i="37"/>
  <c r="X426" i="37"/>
  <c r="G426" i="37"/>
  <c r="U426" i="37"/>
  <c r="Y426" i="37"/>
  <c r="AA426" i="37"/>
  <c r="AE426" i="37"/>
  <c r="Z425" i="37"/>
  <c r="I426" i="37" l="1"/>
  <c r="J426" i="37"/>
  <c r="H426" i="37"/>
  <c r="Z426" i="37"/>
  <c r="AB427" i="37"/>
  <c r="AH427" i="37"/>
  <c r="F428" i="37"/>
  <c r="AI427" i="37"/>
  <c r="G427" i="37"/>
  <c r="W427" i="37"/>
  <c r="R427" i="37"/>
  <c r="X427" i="37"/>
  <c r="Y427" i="37"/>
  <c r="AG427" i="37"/>
  <c r="AE427" i="37"/>
  <c r="U427" i="37"/>
  <c r="AA427" i="37"/>
  <c r="T427" i="37"/>
  <c r="AD426" i="37"/>
  <c r="AF426" i="37"/>
  <c r="AM426" i="37"/>
  <c r="AN426" i="37" s="1"/>
  <c r="AJ426" i="37"/>
  <c r="AK426" i="37"/>
  <c r="AL426" i="37" s="1"/>
  <c r="AC426" i="37"/>
  <c r="Z427" i="37" l="1"/>
  <c r="AB428" i="37"/>
  <c r="AI428" i="37"/>
  <c r="AH428" i="37"/>
  <c r="Y428" i="37"/>
  <c r="AA428" i="37"/>
  <c r="T428" i="37"/>
  <c r="AE428" i="37"/>
  <c r="R428" i="37"/>
  <c r="W428" i="37"/>
  <c r="X428" i="37"/>
  <c r="Z428" i="37" s="1"/>
  <c r="U428" i="37"/>
  <c r="AG428" i="37"/>
  <c r="G428" i="37"/>
  <c r="F429" i="37"/>
  <c r="J427" i="37"/>
  <c r="I427" i="37"/>
  <c r="H427" i="37"/>
  <c r="V427" i="37"/>
  <c r="AC427" i="37"/>
  <c r="AD427" i="37"/>
  <c r="AM427" i="37"/>
  <c r="AN427" i="37" s="1"/>
  <c r="AK427" i="37"/>
  <c r="AL427" i="37" s="1"/>
  <c r="AJ427" i="37"/>
  <c r="AF427" i="37"/>
  <c r="J428" i="37" l="1"/>
  <c r="H428" i="37"/>
  <c r="I428" i="37"/>
  <c r="AD428" i="37"/>
  <c r="AF428" i="37"/>
  <c r="AM428" i="37"/>
  <c r="AN428" i="37" s="1"/>
  <c r="AK428" i="37"/>
  <c r="AL428" i="37" s="1"/>
  <c r="AJ428" i="37"/>
  <c r="V428" i="37"/>
  <c r="AC428" i="37"/>
  <c r="R429" i="37"/>
  <c r="AB429" i="37"/>
  <c r="AC429" i="37" s="1"/>
  <c r="AI429" i="37"/>
  <c r="AH429" i="37"/>
  <c r="AG429" i="37"/>
  <c r="AE429" i="37"/>
  <c r="G429" i="37"/>
  <c r="AA429" i="37"/>
  <c r="Y429" i="37"/>
  <c r="F430" i="37"/>
  <c r="X429" i="37"/>
  <c r="Z429" i="37" s="1"/>
  <c r="W429" i="37"/>
  <c r="U429" i="37"/>
  <c r="T429" i="37"/>
  <c r="V429" i="37" s="1"/>
  <c r="AB430" i="37" l="1"/>
  <c r="AI430" i="37"/>
  <c r="R430" i="37"/>
  <c r="F431" i="37"/>
  <c r="W430" i="37"/>
  <c r="G430" i="37"/>
  <c r="AH430" i="37"/>
  <c r="AA430" i="37"/>
  <c r="T430" i="37"/>
  <c r="AG430" i="37"/>
  <c r="AE430" i="37"/>
  <c r="U430" i="37"/>
  <c r="Y430" i="37"/>
  <c r="X430" i="37"/>
  <c r="J429" i="37"/>
  <c r="H429" i="37"/>
  <c r="I429" i="37"/>
  <c r="AD429" i="37"/>
  <c r="AF429" i="37"/>
  <c r="AM429" i="37"/>
  <c r="AN429" i="37" s="1"/>
  <c r="AJ429" i="37"/>
  <c r="AK429" i="37"/>
  <c r="AL429" i="37" s="1"/>
  <c r="AD430" i="37" l="1"/>
  <c r="AF430" i="37"/>
  <c r="AK430" i="37"/>
  <c r="AL430" i="37" s="1"/>
  <c r="AM430" i="37"/>
  <c r="AN430" i="37" s="1"/>
  <c r="AJ430" i="37"/>
  <c r="Y431" i="37"/>
  <c r="AB431" i="37"/>
  <c r="AC431" i="37" s="1"/>
  <c r="R431" i="37"/>
  <c r="X431" i="37"/>
  <c r="Z431" i="37" s="1"/>
  <c r="AI431" i="37"/>
  <c r="G431" i="37"/>
  <c r="AH431" i="37"/>
  <c r="F432" i="37"/>
  <c r="AG431" i="37"/>
  <c r="U431" i="37"/>
  <c r="W431" i="37"/>
  <c r="AA431" i="37"/>
  <c r="T431" i="37"/>
  <c r="V431" i="37" s="1"/>
  <c r="AE431" i="37"/>
  <c r="Z430" i="37"/>
  <c r="V430" i="37"/>
  <c r="H430" i="37"/>
  <c r="I430" i="37"/>
  <c r="J430" i="37"/>
  <c r="AC430" i="37"/>
  <c r="J431" i="37" l="1"/>
  <c r="H431" i="37"/>
  <c r="I431" i="37"/>
  <c r="AD431" i="37"/>
  <c r="AM431" i="37"/>
  <c r="AN431" i="37" s="1"/>
  <c r="AK431" i="37"/>
  <c r="AL431" i="37" s="1"/>
  <c r="AF431" i="37"/>
  <c r="AJ431" i="37"/>
  <c r="AH432" i="37"/>
  <c r="AI432" i="37"/>
  <c r="X432" i="37"/>
  <c r="U432" i="37"/>
  <c r="Y432" i="37"/>
  <c r="T432" i="37"/>
  <c r="V432" i="37" s="1"/>
  <c r="AA432" i="37"/>
  <c r="F433" i="37"/>
  <c r="W432" i="37"/>
  <c r="AE432" i="37"/>
  <c r="AG432" i="37"/>
  <c r="R432" i="37"/>
  <c r="G432" i="37"/>
  <c r="AB432" i="37"/>
  <c r="AC432" i="37" s="1"/>
  <c r="Z432" i="37" l="1"/>
  <c r="H432" i="37"/>
  <c r="J432" i="37"/>
  <c r="I432" i="37"/>
  <c r="AD432" i="37"/>
  <c r="AK432" i="37"/>
  <c r="AL432" i="37" s="1"/>
  <c r="AF432" i="37"/>
  <c r="AJ432" i="37"/>
  <c r="AM432" i="37"/>
  <c r="AN432" i="37" s="1"/>
  <c r="AE433" i="37"/>
  <c r="R433" i="37"/>
  <c r="AH433" i="37"/>
  <c r="AB433" i="37"/>
  <c r="AC433" i="37" s="1"/>
  <c r="F434" i="37"/>
  <c r="G433" i="37"/>
  <c r="AI433" i="37"/>
  <c r="Y433" i="37"/>
  <c r="X433" i="37"/>
  <c r="Z433" i="37" s="1"/>
  <c r="AA433" i="37"/>
  <c r="T433" i="37"/>
  <c r="W433" i="37"/>
  <c r="U433" i="37"/>
  <c r="AG433" i="37"/>
  <c r="AH434" i="37" l="1"/>
  <c r="U434" i="37"/>
  <c r="R434" i="37"/>
  <c r="AA434" i="37"/>
  <c r="G434" i="37"/>
  <c r="T434" i="37"/>
  <c r="V434" i="37" s="1"/>
  <c r="Y434" i="37"/>
  <c r="F435" i="37"/>
  <c r="X434" i="37"/>
  <c r="Z434" i="37" s="1"/>
  <c r="AE434" i="37"/>
  <c r="AG434" i="37"/>
  <c r="W434" i="37"/>
  <c r="AB434" i="37"/>
  <c r="AC434" i="37" s="1"/>
  <c r="AI434" i="37"/>
  <c r="AD433" i="37"/>
  <c r="AM433" i="37"/>
  <c r="AN433" i="37" s="1"/>
  <c r="AF433" i="37"/>
  <c r="AK433" i="37"/>
  <c r="AL433" i="37" s="1"/>
  <c r="AJ433" i="37"/>
  <c r="V433" i="37"/>
  <c r="J433" i="37"/>
  <c r="H433" i="37"/>
  <c r="I433" i="37"/>
  <c r="AB435" i="37" l="1"/>
  <c r="AH435" i="37"/>
  <c r="R435" i="37"/>
  <c r="G435" i="37"/>
  <c r="Y435" i="37"/>
  <c r="W435" i="37"/>
  <c r="AI435" i="37"/>
  <c r="AG435" i="37"/>
  <c r="F436" i="37"/>
  <c r="X435" i="37"/>
  <c r="Z435" i="37" s="1"/>
  <c r="U435" i="37"/>
  <c r="AA435" i="37"/>
  <c r="T435" i="37"/>
  <c r="AE435" i="37"/>
  <c r="AD434" i="37"/>
  <c r="AM434" i="37"/>
  <c r="AN434" i="37" s="1"/>
  <c r="AK434" i="37"/>
  <c r="AL434" i="37" s="1"/>
  <c r="AJ434" i="37"/>
  <c r="AF434" i="37"/>
  <c r="H434" i="37"/>
  <c r="J434" i="37"/>
  <c r="I434" i="37"/>
  <c r="AD435" i="37" l="1"/>
  <c r="AF435" i="37"/>
  <c r="AM435" i="37"/>
  <c r="AN435" i="37" s="1"/>
  <c r="AK435" i="37"/>
  <c r="AL435" i="37" s="1"/>
  <c r="AJ435" i="37"/>
  <c r="AI436" i="37"/>
  <c r="F437" i="37"/>
  <c r="AH436" i="37"/>
  <c r="R436" i="37"/>
  <c r="G436" i="37"/>
  <c r="T436" i="37"/>
  <c r="W436" i="37"/>
  <c r="U436" i="37"/>
  <c r="X436" i="37"/>
  <c r="Z436" i="37" s="1"/>
  <c r="AA436" i="37"/>
  <c r="Y436" i="37"/>
  <c r="AE436" i="37"/>
  <c r="AG436" i="37"/>
  <c r="AB436" i="37"/>
  <c r="I435" i="37"/>
  <c r="H435" i="37"/>
  <c r="J435" i="37"/>
  <c r="V435" i="37"/>
  <c r="AC435" i="37"/>
  <c r="V436" i="37" l="1"/>
  <c r="AH437" i="37"/>
  <c r="AI437" i="37"/>
  <c r="R437" i="37"/>
  <c r="G437" i="37"/>
  <c r="F438" i="37"/>
  <c r="X437" i="37"/>
  <c r="AA437" i="37"/>
  <c r="Y437" i="37"/>
  <c r="T437" i="37"/>
  <c r="U437" i="37"/>
  <c r="AB437" i="37"/>
  <c r="AC437" i="37" s="1"/>
  <c r="W437" i="37"/>
  <c r="AG437" i="37"/>
  <c r="AE437" i="37"/>
  <c r="H436" i="37"/>
  <c r="I436" i="37"/>
  <c r="J436" i="37"/>
  <c r="AC436" i="37"/>
  <c r="AD436" i="37"/>
  <c r="AM436" i="37"/>
  <c r="AN436" i="37" s="1"/>
  <c r="AK436" i="37"/>
  <c r="AL436" i="37" s="1"/>
  <c r="AJ436" i="37"/>
  <c r="AF436" i="37"/>
  <c r="V437" i="37" l="1"/>
  <c r="H437" i="37"/>
  <c r="J437" i="37"/>
  <c r="I437" i="37"/>
  <c r="Z437" i="37"/>
  <c r="G438" i="37"/>
  <c r="AB438" i="37"/>
  <c r="AC438" i="37" s="1"/>
  <c r="R438" i="37"/>
  <c r="AI438" i="37"/>
  <c r="AH438" i="37"/>
  <c r="AA438" i="37"/>
  <c r="X438" i="37"/>
  <c r="T438" i="37"/>
  <c r="V438" i="37" s="1"/>
  <c r="Y438" i="37"/>
  <c r="AE438" i="37"/>
  <c r="W438" i="37"/>
  <c r="AG438" i="37"/>
  <c r="U438" i="37"/>
  <c r="F439" i="37"/>
  <c r="AD437" i="37"/>
  <c r="AF437" i="37"/>
  <c r="AM437" i="37"/>
  <c r="AN437" i="37" s="1"/>
  <c r="AK437" i="37"/>
  <c r="AL437" i="37" s="1"/>
  <c r="AJ437" i="37"/>
  <c r="Z438" i="37" l="1"/>
  <c r="H438" i="37"/>
  <c r="I438" i="37"/>
  <c r="J438" i="37"/>
  <c r="AB439" i="37"/>
  <c r="AI439" i="37"/>
  <c r="F440" i="37"/>
  <c r="AA439" i="37"/>
  <c r="G439" i="37"/>
  <c r="AE439" i="37"/>
  <c r="Y439" i="37"/>
  <c r="AH439" i="37"/>
  <c r="R439" i="37"/>
  <c r="X439" i="37"/>
  <c r="Z439" i="37" s="1"/>
  <c r="T439" i="37"/>
  <c r="U439" i="37"/>
  <c r="W439" i="37"/>
  <c r="AG439" i="37"/>
  <c r="AD438" i="37"/>
  <c r="AF438" i="37"/>
  <c r="AM438" i="37"/>
  <c r="AN438" i="37" s="1"/>
  <c r="AJ438" i="37"/>
  <c r="AK438" i="37"/>
  <c r="AL438" i="37" s="1"/>
  <c r="AD439" i="37" l="1"/>
  <c r="AF439" i="37"/>
  <c r="AJ439" i="37"/>
  <c r="AK439" i="37"/>
  <c r="AL439" i="37" s="1"/>
  <c r="AM439" i="37"/>
  <c r="AN439" i="37" s="1"/>
  <c r="J439" i="37"/>
  <c r="I439" i="37"/>
  <c r="H439" i="37"/>
  <c r="R440" i="37"/>
  <c r="AB440" i="37"/>
  <c r="AC440" i="37" s="1"/>
  <c r="G440" i="37"/>
  <c r="AI440" i="37"/>
  <c r="F441" i="37"/>
  <c r="AH440" i="37"/>
  <c r="U440" i="37"/>
  <c r="T440" i="37"/>
  <c r="V440" i="37" s="1"/>
  <c r="W440" i="37"/>
  <c r="AA440" i="37"/>
  <c r="Y440" i="37"/>
  <c r="X440" i="37"/>
  <c r="AE440" i="37"/>
  <c r="AG440" i="37"/>
  <c r="AC439" i="37"/>
  <c r="V439" i="37"/>
  <c r="I440" i="37" l="1"/>
  <c r="J440" i="37"/>
  <c r="H440" i="37"/>
  <c r="AD440" i="37"/>
  <c r="AK440" i="37"/>
  <c r="AL440" i="37" s="1"/>
  <c r="AF440" i="37"/>
  <c r="AJ440" i="37"/>
  <c r="AM440" i="37"/>
  <c r="AN440" i="37" s="1"/>
  <c r="Z440" i="37"/>
  <c r="AB441" i="37"/>
  <c r="F442" i="37"/>
  <c r="R441" i="37"/>
  <c r="AI441" i="37"/>
  <c r="AH441" i="37"/>
  <c r="Y441" i="37"/>
  <c r="W441" i="37"/>
  <c r="AA441" i="37"/>
  <c r="G441" i="37"/>
  <c r="U441" i="37"/>
  <c r="X441" i="37"/>
  <c r="Z441" i="37" s="1"/>
  <c r="T441" i="37"/>
  <c r="V441" i="37" s="1"/>
  <c r="AE441" i="37"/>
  <c r="AG441" i="37"/>
  <c r="AC441" i="37" l="1"/>
  <c r="AD441" i="37"/>
  <c r="AK441" i="37"/>
  <c r="AL441" i="37" s="1"/>
  <c r="AF441" i="37"/>
  <c r="AJ441" i="37"/>
  <c r="AM441" i="37"/>
  <c r="AN441" i="37" s="1"/>
  <c r="I441" i="37"/>
  <c r="H441" i="37"/>
  <c r="J441" i="37"/>
  <c r="AB442" i="37"/>
  <c r="F443" i="37"/>
  <c r="AI442" i="37"/>
  <c r="G442" i="37"/>
  <c r="R442" i="37"/>
  <c r="AH442" i="37"/>
  <c r="AA442" i="37"/>
  <c r="W442" i="37"/>
  <c r="T442" i="37"/>
  <c r="Y442" i="37"/>
  <c r="AE442" i="37"/>
  <c r="AG442" i="37"/>
  <c r="U442" i="37"/>
  <c r="X442" i="37"/>
  <c r="Z442" i="37" s="1"/>
  <c r="AC442" i="37" l="1"/>
  <c r="H442" i="37"/>
  <c r="J442" i="37"/>
  <c r="I442" i="37"/>
  <c r="AI443" i="37"/>
  <c r="F444" i="37"/>
  <c r="AH443" i="37"/>
  <c r="R443" i="37"/>
  <c r="W443" i="37"/>
  <c r="AA443" i="37"/>
  <c r="U443" i="37"/>
  <c r="AG443" i="37"/>
  <c r="AE443" i="37"/>
  <c r="AB443" i="37"/>
  <c r="AC443" i="37" s="1"/>
  <c r="Y443" i="37"/>
  <c r="X443" i="37"/>
  <c r="Z443" i="37" s="1"/>
  <c r="T443" i="37"/>
  <c r="G443" i="37"/>
  <c r="AD442" i="37"/>
  <c r="AF442" i="37"/>
  <c r="AJ442" i="37"/>
  <c r="AM442" i="37"/>
  <c r="AN442" i="37" s="1"/>
  <c r="AK442" i="37"/>
  <c r="AL442" i="37" s="1"/>
  <c r="V442" i="37"/>
  <c r="AD443" i="37" l="1"/>
  <c r="AM443" i="37"/>
  <c r="AN443" i="37" s="1"/>
  <c r="AK443" i="37"/>
  <c r="AL443" i="37" s="1"/>
  <c r="AF443" i="37"/>
  <c r="AJ443" i="37"/>
  <c r="AI444" i="37"/>
  <c r="AH444" i="37"/>
  <c r="AA444" i="37"/>
  <c r="Y444" i="37"/>
  <c r="U444" i="37"/>
  <c r="X444" i="37"/>
  <c r="Z444" i="37" s="1"/>
  <c r="AE444" i="37"/>
  <c r="AG444" i="37"/>
  <c r="G444" i="37"/>
  <c r="F445" i="37"/>
  <c r="AB444" i="37"/>
  <c r="AC444" i="37" s="1"/>
  <c r="R444" i="37"/>
  <c r="W444" i="37"/>
  <c r="T444" i="37"/>
  <c r="H443" i="37"/>
  <c r="I443" i="37"/>
  <c r="J443" i="37"/>
  <c r="V443" i="37"/>
  <c r="I444" i="37" l="1"/>
  <c r="H444" i="37"/>
  <c r="J444" i="37"/>
  <c r="AD444" i="37"/>
  <c r="AF444" i="37"/>
  <c r="AJ444" i="37"/>
  <c r="AM444" i="37"/>
  <c r="AN444" i="37" s="1"/>
  <c r="AK444" i="37"/>
  <c r="AL444" i="37" s="1"/>
  <c r="V444" i="37"/>
  <c r="F446" i="37"/>
  <c r="AB445" i="37"/>
  <c r="AC445" i="37" s="1"/>
  <c r="AI445" i="37"/>
  <c r="R445" i="37"/>
  <c r="AH445" i="37"/>
  <c r="AA445" i="37"/>
  <c r="AE445" i="37"/>
  <c r="G445" i="37"/>
  <c r="Y445" i="37"/>
  <c r="X445" i="37"/>
  <c r="Z445" i="37" s="1"/>
  <c r="T445" i="37"/>
  <c r="AG445" i="37"/>
  <c r="U445" i="37"/>
  <c r="W445" i="37"/>
  <c r="V445" i="37" l="1"/>
  <c r="I445" i="37"/>
  <c r="J445" i="37"/>
  <c r="H445" i="37"/>
  <c r="AI446" i="37"/>
  <c r="U446" i="37"/>
  <c r="T446" i="37"/>
  <c r="V446" i="37" s="1"/>
  <c r="AH446" i="37"/>
  <c r="X446" i="37"/>
  <c r="Y446" i="37"/>
  <c r="AA446" i="37"/>
  <c r="W446" i="37"/>
  <c r="AE446" i="37"/>
  <c r="AG446" i="37"/>
  <c r="R446" i="37"/>
  <c r="G446" i="37"/>
  <c r="AB446" i="37"/>
  <c r="AC446" i="37" s="1"/>
  <c r="F447" i="37"/>
  <c r="AD445" i="37"/>
  <c r="AM445" i="37"/>
  <c r="AN445" i="37" s="1"/>
  <c r="AK445" i="37"/>
  <c r="AL445" i="37" s="1"/>
  <c r="AF445" i="37"/>
  <c r="AJ445" i="37"/>
  <c r="AD446" i="37" l="1"/>
  <c r="AM446" i="37"/>
  <c r="AN446" i="37" s="1"/>
  <c r="AF446" i="37"/>
  <c r="AK446" i="37"/>
  <c r="AL446" i="37" s="1"/>
  <c r="AJ446" i="37"/>
  <c r="Z446" i="37"/>
  <c r="AB447" i="37"/>
  <c r="AC447" i="37" s="1"/>
  <c r="R447" i="37"/>
  <c r="F448" i="37"/>
  <c r="G447" i="37"/>
  <c r="AH447" i="37"/>
  <c r="W447" i="37"/>
  <c r="AA447" i="37"/>
  <c r="X447" i="37"/>
  <c r="Z447" i="37" s="1"/>
  <c r="AI447" i="37"/>
  <c r="T447" i="37"/>
  <c r="V447" i="37" s="1"/>
  <c r="U447" i="37"/>
  <c r="Y447" i="37"/>
  <c r="AG447" i="37"/>
  <c r="AE447" i="37"/>
  <c r="H446" i="37"/>
  <c r="J446" i="37"/>
  <c r="I446" i="37"/>
  <c r="I447" i="37" l="1"/>
  <c r="J447" i="37"/>
  <c r="H447" i="37"/>
  <c r="AI448" i="37"/>
  <c r="AH448" i="37"/>
  <c r="R448" i="37"/>
  <c r="F449" i="37"/>
  <c r="G448" i="37"/>
  <c r="X448" i="37"/>
  <c r="Z448" i="37" s="1"/>
  <c r="AA448" i="37"/>
  <c r="U448" i="37"/>
  <c r="AE448" i="37"/>
  <c r="W448" i="37"/>
  <c r="T448" i="37"/>
  <c r="V448" i="37" s="1"/>
  <c r="Y448" i="37"/>
  <c r="AG448" i="37"/>
  <c r="AB448" i="37"/>
  <c r="AD447" i="37"/>
  <c r="AF447" i="37"/>
  <c r="AM447" i="37"/>
  <c r="AN447" i="37" s="1"/>
  <c r="AJ447" i="37"/>
  <c r="AK447" i="37"/>
  <c r="AL447" i="37" s="1"/>
  <c r="AD448" i="37" l="1"/>
  <c r="AM448" i="37"/>
  <c r="AN448" i="37" s="1"/>
  <c r="AF448" i="37"/>
  <c r="AJ448" i="37"/>
  <c r="AK448" i="37"/>
  <c r="AL448" i="37" s="1"/>
  <c r="I448" i="37"/>
  <c r="H448" i="37"/>
  <c r="J448" i="37"/>
  <c r="AB449" i="37"/>
  <c r="AI449" i="37"/>
  <c r="R449" i="37"/>
  <c r="AH449" i="37"/>
  <c r="F450" i="37"/>
  <c r="U449" i="37"/>
  <c r="G449" i="37"/>
  <c r="T449" i="37"/>
  <c r="X449" i="37"/>
  <c r="W449" i="37"/>
  <c r="Y449" i="37"/>
  <c r="AA449" i="37"/>
  <c r="AE449" i="37"/>
  <c r="AG449" i="37"/>
  <c r="AC448" i="37"/>
  <c r="AI450" i="37" l="1"/>
  <c r="R450" i="37"/>
  <c r="AH450" i="37"/>
  <c r="F451" i="37"/>
  <c r="T450" i="37"/>
  <c r="W450" i="37"/>
  <c r="X450" i="37"/>
  <c r="Y450" i="37"/>
  <c r="U450" i="37"/>
  <c r="AA450" i="37"/>
  <c r="AB450" i="37"/>
  <c r="AC450" i="37" s="1"/>
  <c r="G450" i="37"/>
  <c r="AG450" i="37"/>
  <c r="AE450" i="37"/>
  <c r="AC449" i="37"/>
  <c r="AD449" i="37"/>
  <c r="AM449" i="37"/>
  <c r="AN449" i="37" s="1"/>
  <c r="AK449" i="37"/>
  <c r="AL449" i="37" s="1"/>
  <c r="AF449" i="37"/>
  <c r="AJ449" i="37"/>
  <c r="V449" i="37"/>
  <c r="Z449" i="37"/>
  <c r="J449" i="37"/>
  <c r="H449" i="37"/>
  <c r="I449" i="37"/>
  <c r="I450" i="37" l="1"/>
  <c r="H450" i="37"/>
  <c r="J450" i="37"/>
  <c r="V450" i="37"/>
  <c r="AD450" i="37"/>
  <c r="AM450" i="37"/>
  <c r="AN450" i="37" s="1"/>
  <c r="AK450" i="37"/>
  <c r="AL450" i="37" s="1"/>
  <c r="AF450" i="37"/>
  <c r="AJ450" i="37"/>
  <c r="AI451" i="37"/>
  <c r="AH451" i="37"/>
  <c r="T451" i="37"/>
  <c r="AA451" i="37"/>
  <c r="U451" i="37"/>
  <c r="W451" i="37"/>
  <c r="X451" i="37"/>
  <c r="AG451" i="37"/>
  <c r="Y451" i="37"/>
  <c r="F452" i="37"/>
  <c r="AE451" i="37"/>
  <c r="R451" i="37"/>
  <c r="G451" i="37"/>
  <c r="AB451" i="37"/>
  <c r="AC451" i="37" s="1"/>
  <c r="Z450" i="37"/>
  <c r="I451" i="37" l="1"/>
  <c r="J451" i="37"/>
  <c r="H451" i="37"/>
  <c r="AD451" i="37"/>
  <c r="AF451" i="37"/>
  <c r="AM451" i="37"/>
  <c r="AN451" i="37" s="1"/>
  <c r="AK451" i="37"/>
  <c r="AL451" i="37" s="1"/>
  <c r="AJ451" i="37"/>
  <c r="V451" i="37"/>
  <c r="F453" i="37"/>
  <c r="AH452" i="37"/>
  <c r="G452" i="37"/>
  <c r="AB452" i="37"/>
  <c r="AC452" i="37" s="1"/>
  <c r="AA452" i="37"/>
  <c r="Y452" i="37"/>
  <c r="AI452" i="37"/>
  <c r="W452" i="37"/>
  <c r="AG452" i="37"/>
  <c r="AE452" i="37"/>
  <c r="U452" i="37"/>
  <c r="X452" i="37"/>
  <c r="Z452" i="37" s="1"/>
  <c r="T452" i="37"/>
  <c r="V452" i="37" s="1"/>
  <c r="R452" i="37"/>
  <c r="Z451" i="37"/>
  <c r="H452" i="37" l="1"/>
  <c r="J452" i="37"/>
  <c r="I452" i="37"/>
  <c r="AB453" i="37"/>
  <c r="AI453" i="37"/>
  <c r="AH453" i="37"/>
  <c r="R453" i="37"/>
  <c r="G453" i="37"/>
  <c r="Y453" i="37"/>
  <c r="F454" i="37"/>
  <c r="AG453" i="37"/>
  <c r="X453" i="37"/>
  <c r="Z453" i="37" s="1"/>
  <c r="AA453" i="37"/>
  <c r="W453" i="37"/>
  <c r="AE453" i="37"/>
  <c r="U453" i="37"/>
  <c r="T453" i="37"/>
  <c r="V453" i="37" s="1"/>
  <c r="AD452" i="37"/>
  <c r="AK452" i="37"/>
  <c r="AL452" i="37" s="1"/>
  <c r="AF452" i="37"/>
  <c r="AJ452" i="37"/>
  <c r="AM452" i="37"/>
  <c r="AN452" i="37" s="1"/>
  <c r="J453" i="37" l="1"/>
  <c r="I453" i="37"/>
  <c r="H453" i="37"/>
  <c r="R454" i="37"/>
  <c r="AB454" i="37"/>
  <c r="AC454" i="37" s="1"/>
  <c r="F455" i="37"/>
  <c r="AI454" i="37"/>
  <c r="Y454" i="37"/>
  <c r="AA454" i="37"/>
  <c r="AH454" i="37"/>
  <c r="X454" i="37"/>
  <c r="Z454" i="37" s="1"/>
  <c r="U454" i="37"/>
  <c r="T454" i="37"/>
  <c r="V454" i="37" s="1"/>
  <c r="AG454" i="37"/>
  <c r="AE454" i="37"/>
  <c r="W454" i="37"/>
  <c r="G454" i="37"/>
  <c r="AD453" i="37"/>
  <c r="AF453" i="37"/>
  <c r="AI455" i="37" l="1"/>
  <c r="AH455" i="37"/>
  <c r="AA455" i="37"/>
  <c r="T455" i="37"/>
  <c r="Y455" i="37"/>
  <c r="U455" i="37"/>
  <c r="R455" i="37"/>
  <c r="G455" i="37"/>
  <c r="AB455" i="37"/>
  <c r="AC455" i="37" s="1"/>
  <c r="X455" i="37"/>
  <c r="Z455" i="37" s="1"/>
  <c r="W455" i="37"/>
  <c r="AE455" i="37"/>
  <c r="F456" i="37"/>
  <c r="AG455" i="37"/>
  <c r="J454" i="37"/>
  <c r="I454" i="37"/>
  <c r="H454" i="37"/>
  <c r="AD454" i="37"/>
  <c r="AK454" i="37"/>
  <c r="AL454" i="37" s="1"/>
  <c r="AM454" i="37"/>
  <c r="AN454" i="37" s="1"/>
  <c r="AJ454" i="37"/>
  <c r="AF454" i="37"/>
  <c r="AD455" i="37" l="1"/>
  <c r="AJ455" i="37"/>
  <c r="AK455" i="37"/>
  <c r="AL455" i="37" s="1"/>
  <c r="AM455" i="37"/>
  <c r="AN455" i="37" s="1"/>
  <c r="AF455" i="37"/>
  <c r="J455" i="37"/>
  <c r="H455" i="37"/>
  <c r="I455" i="37"/>
  <c r="V455" i="37"/>
  <c r="U456" i="37"/>
  <c r="F457" i="37"/>
  <c r="W456" i="37"/>
  <c r="AG456" i="37"/>
  <c r="T456" i="37"/>
  <c r="Y456" i="37"/>
  <c r="AA456" i="37"/>
  <c r="AE456" i="37"/>
  <c r="R456" i="37"/>
  <c r="X456" i="37"/>
  <c r="Z456" i="37" s="1"/>
  <c r="G456" i="37"/>
  <c r="AB456" i="37"/>
  <c r="AC456" i="37" s="1"/>
  <c r="AI456" i="37"/>
  <c r="AH456" i="37"/>
  <c r="AH457" i="37" l="1"/>
  <c r="U457" i="37"/>
  <c r="T457" i="37"/>
  <c r="V457" i="37" s="1"/>
  <c r="AI457" i="37"/>
  <c r="AA457" i="37"/>
  <c r="Y457" i="37"/>
  <c r="X457" i="37"/>
  <c r="Z457" i="37" s="1"/>
  <c r="AB457" i="37"/>
  <c r="W457" i="37"/>
  <c r="AE457" i="37"/>
  <c r="AG457" i="37"/>
  <c r="F458" i="37"/>
  <c r="G457" i="37"/>
  <c r="R457" i="37"/>
  <c r="I456" i="37"/>
  <c r="H456" i="37"/>
  <c r="J456" i="37"/>
  <c r="AD456" i="37"/>
  <c r="AM456" i="37"/>
  <c r="AN456" i="37" s="1"/>
  <c r="AK456" i="37"/>
  <c r="AL456" i="37" s="1"/>
  <c r="AJ456" i="37"/>
  <c r="AF456" i="37"/>
  <c r="V456" i="37"/>
  <c r="AD457" i="37" l="1"/>
  <c r="AK457" i="37"/>
  <c r="AL457" i="37" s="1"/>
  <c r="AM457" i="37"/>
  <c r="AN457" i="37" s="1"/>
  <c r="AF457" i="37"/>
  <c r="AJ457" i="37"/>
  <c r="AB458" i="37"/>
  <c r="AI458" i="37"/>
  <c r="AH458" i="37"/>
  <c r="R458" i="37"/>
  <c r="Y458" i="37"/>
  <c r="AE458" i="37"/>
  <c r="W458" i="37"/>
  <c r="F459" i="37"/>
  <c r="AA458" i="37"/>
  <c r="G458" i="37"/>
  <c r="U458" i="37"/>
  <c r="T458" i="37"/>
  <c r="V458" i="37" s="1"/>
  <c r="X458" i="37"/>
  <c r="AG458" i="37"/>
  <c r="H457" i="37"/>
  <c r="I457" i="37"/>
  <c r="J457" i="37"/>
  <c r="AC457" i="37"/>
  <c r="AB459" i="37" l="1"/>
  <c r="AH459" i="37"/>
  <c r="AI459" i="37"/>
  <c r="R459" i="37"/>
  <c r="W459" i="37"/>
  <c r="G459" i="37"/>
  <c r="AG459" i="37"/>
  <c r="AA459" i="37"/>
  <c r="F460" i="37"/>
  <c r="Y459" i="37"/>
  <c r="X459" i="37"/>
  <c r="Z459" i="37" s="1"/>
  <c r="U459" i="37"/>
  <c r="T459" i="37"/>
  <c r="V459" i="37" s="1"/>
  <c r="AE459" i="37"/>
  <c r="AD458" i="37"/>
  <c r="AK458" i="37"/>
  <c r="AL458" i="37" s="1"/>
  <c r="AM458" i="37"/>
  <c r="AN458" i="37" s="1"/>
  <c r="AJ458" i="37"/>
  <c r="AF458" i="37"/>
  <c r="AC458" i="37"/>
  <c r="Z458" i="37"/>
  <c r="H458" i="37"/>
  <c r="J458" i="37"/>
  <c r="I458" i="37"/>
  <c r="AD459" i="37" l="1"/>
  <c r="AK459" i="37"/>
  <c r="AL459" i="37" s="1"/>
  <c r="AM459" i="37"/>
  <c r="AN459" i="37" s="1"/>
  <c r="AF459" i="37"/>
  <c r="AJ459" i="37"/>
  <c r="AB460" i="37"/>
  <c r="AC460" i="37" s="1"/>
  <c r="AH460" i="37"/>
  <c r="AI460" i="37"/>
  <c r="R460" i="37"/>
  <c r="W460" i="37"/>
  <c r="G460" i="37"/>
  <c r="F461" i="37"/>
  <c r="Y460" i="37"/>
  <c r="AA460" i="37"/>
  <c r="X460" i="37"/>
  <c r="T460" i="37"/>
  <c r="V460" i="37" s="1"/>
  <c r="U460" i="37"/>
  <c r="AG460" i="37"/>
  <c r="AE460" i="37"/>
  <c r="I459" i="37"/>
  <c r="H459" i="37"/>
  <c r="J459" i="37"/>
  <c r="AC459" i="37"/>
  <c r="H460" i="37" l="1"/>
  <c r="J460" i="37"/>
  <c r="I460" i="37"/>
  <c r="AB461" i="37"/>
  <c r="AC461" i="37" s="1"/>
  <c r="G461" i="37"/>
  <c r="AI461" i="37"/>
  <c r="AG461" i="37"/>
  <c r="AH461" i="37"/>
  <c r="X461" i="37"/>
  <c r="U461" i="37"/>
  <c r="W461" i="37"/>
  <c r="T461" i="37"/>
  <c r="V461" i="37" s="1"/>
  <c r="AA461" i="37"/>
  <c r="Y461" i="37"/>
  <c r="R461" i="37"/>
  <c r="F462" i="37"/>
  <c r="AE461" i="37"/>
  <c r="AD460" i="37"/>
  <c r="AM460" i="37"/>
  <c r="AN460" i="37" s="1"/>
  <c r="AK460" i="37"/>
  <c r="AL460" i="37" s="1"/>
  <c r="AF460" i="37"/>
  <c r="AJ460" i="37"/>
  <c r="Z460" i="37"/>
  <c r="J461" i="37" l="1"/>
  <c r="H461" i="37"/>
  <c r="I461" i="37"/>
  <c r="AB462" i="37"/>
  <c r="AI462" i="37"/>
  <c r="AH462" i="37"/>
  <c r="G462" i="37"/>
  <c r="U462" i="37"/>
  <c r="F463" i="37"/>
  <c r="X462" i="37"/>
  <c r="R462" i="37"/>
  <c r="W462" i="37"/>
  <c r="Y462" i="37"/>
  <c r="T462" i="37"/>
  <c r="V462" i="37" s="1"/>
  <c r="AG462" i="37"/>
  <c r="AA462" i="37"/>
  <c r="AE462" i="37"/>
  <c r="Z461" i="37"/>
  <c r="AD461" i="37"/>
  <c r="AK461" i="37"/>
  <c r="AL461" i="37" s="1"/>
  <c r="AM461" i="37"/>
  <c r="AN461" i="37" s="1"/>
  <c r="AF461" i="37"/>
  <c r="AJ461" i="37"/>
  <c r="AB463" i="37" l="1"/>
  <c r="AH463" i="37"/>
  <c r="T463" i="37"/>
  <c r="R463" i="37"/>
  <c r="F464" i="37"/>
  <c r="AI463" i="37"/>
  <c r="U463" i="37"/>
  <c r="W463" i="37"/>
  <c r="X463" i="37"/>
  <c r="AA463" i="37"/>
  <c r="Y463" i="37"/>
  <c r="AE463" i="37"/>
  <c r="AG463" i="37"/>
  <c r="G463" i="37"/>
  <c r="H462" i="37"/>
  <c r="J462" i="37"/>
  <c r="I462" i="37"/>
  <c r="AC462" i="37"/>
  <c r="AD462" i="37"/>
  <c r="AM462" i="37"/>
  <c r="AN462" i="37" s="1"/>
  <c r="AK462" i="37"/>
  <c r="AL462" i="37" s="1"/>
  <c r="AF462" i="37"/>
  <c r="AJ462" i="37"/>
  <c r="Z462" i="37"/>
  <c r="AD463" i="37" l="1"/>
  <c r="AM463" i="37"/>
  <c r="AN463" i="37" s="1"/>
  <c r="AK463" i="37"/>
  <c r="AL463" i="37" s="1"/>
  <c r="AJ463" i="37"/>
  <c r="AF463" i="37"/>
  <c r="Z463" i="37"/>
  <c r="AB464" i="37"/>
  <c r="AC464" i="37" s="1"/>
  <c r="AI464" i="37"/>
  <c r="AH464" i="37"/>
  <c r="AA464" i="37"/>
  <c r="T464" i="37"/>
  <c r="V464" i="37" s="1"/>
  <c r="W464" i="37"/>
  <c r="Y464" i="37"/>
  <c r="X464" i="37"/>
  <c r="Z464" i="37" s="1"/>
  <c r="AG464" i="37"/>
  <c r="AE464" i="37"/>
  <c r="F465" i="37"/>
  <c r="G464" i="37"/>
  <c r="R464" i="37"/>
  <c r="U464" i="37"/>
  <c r="V463" i="37"/>
  <c r="H463" i="37"/>
  <c r="I463" i="37"/>
  <c r="J463" i="37"/>
  <c r="AC463" i="37"/>
  <c r="H464" i="37" l="1"/>
  <c r="J464" i="37"/>
  <c r="I464" i="37"/>
  <c r="AD464" i="37"/>
  <c r="AF464" i="37"/>
  <c r="AM464" i="37"/>
  <c r="AN464" i="37" s="1"/>
  <c r="AK464" i="37"/>
  <c r="AL464" i="37" s="1"/>
  <c r="AJ464" i="37"/>
  <c r="R465" i="37"/>
  <c r="AB465" i="37"/>
  <c r="AC465" i="37" s="1"/>
  <c r="G465" i="37"/>
  <c r="AA465" i="37"/>
  <c r="F466" i="37"/>
  <c r="AI465" i="37"/>
  <c r="W465" i="37"/>
  <c r="AH465" i="37"/>
  <c r="Y465" i="37"/>
  <c r="X465" i="37"/>
  <c r="T465" i="37"/>
  <c r="U465" i="37"/>
  <c r="AG465" i="37"/>
  <c r="AE465" i="37"/>
  <c r="I465" i="37" l="1"/>
  <c r="H465" i="37"/>
  <c r="J465" i="37"/>
  <c r="AD465" i="37"/>
  <c r="AM465" i="37"/>
  <c r="AN465" i="37" s="1"/>
  <c r="AF465" i="37"/>
  <c r="AK465" i="37"/>
  <c r="AL465" i="37" s="1"/>
  <c r="AJ465" i="37"/>
  <c r="V465" i="37"/>
  <c r="Z465" i="37"/>
  <c r="G466" i="37"/>
  <c r="AB466" i="37"/>
  <c r="AC466" i="37" s="1"/>
  <c r="F467" i="37"/>
  <c r="W466" i="37"/>
  <c r="AH466" i="37"/>
  <c r="AA466" i="37"/>
  <c r="Y466" i="37"/>
  <c r="AG466" i="37"/>
  <c r="AI466" i="37"/>
  <c r="AE466" i="37"/>
  <c r="X466" i="37"/>
  <c r="Z466" i="37" s="1"/>
  <c r="R466" i="37"/>
  <c r="T466" i="37"/>
  <c r="U466" i="37"/>
  <c r="V466" i="37" l="1"/>
  <c r="AI467" i="37"/>
  <c r="AH467" i="37"/>
  <c r="W467" i="37"/>
  <c r="AA467" i="37"/>
  <c r="Y467" i="37"/>
  <c r="X467" i="37"/>
  <c r="Z467" i="37" s="1"/>
  <c r="T467" i="37"/>
  <c r="U467" i="37"/>
  <c r="AE467" i="37"/>
  <c r="R467" i="37"/>
  <c r="F468" i="37"/>
  <c r="G467" i="37"/>
  <c r="AG467" i="37"/>
  <c r="AB467" i="37"/>
  <c r="J466" i="37"/>
  <c r="I466" i="37"/>
  <c r="H466" i="37"/>
  <c r="AD466" i="37"/>
  <c r="AK466" i="37"/>
  <c r="AL466" i="37" s="1"/>
  <c r="AF466" i="37"/>
  <c r="AM466" i="37"/>
  <c r="AN466" i="37" s="1"/>
  <c r="AJ466" i="37"/>
  <c r="AB468" i="37" l="1"/>
  <c r="AI468" i="37"/>
  <c r="AH468" i="37"/>
  <c r="R468" i="37"/>
  <c r="G468" i="37"/>
  <c r="AG468" i="37"/>
  <c r="AE468" i="37"/>
  <c r="W468" i="37"/>
  <c r="AA468" i="37"/>
  <c r="F469" i="37"/>
  <c r="X468" i="37"/>
  <c r="U468" i="37"/>
  <c r="Y468" i="37"/>
  <c r="T468" i="37"/>
  <c r="V468" i="37" s="1"/>
  <c r="AD467" i="37"/>
  <c r="AK467" i="37"/>
  <c r="AL467" i="37" s="1"/>
  <c r="AM467" i="37"/>
  <c r="AN467" i="37" s="1"/>
  <c r="AF467" i="37"/>
  <c r="AJ467" i="37"/>
  <c r="H467" i="37"/>
  <c r="I467" i="37"/>
  <c r="J467" i="37"/>
  <c r="V467" i="37"/>
  <c r="AC467" i="37"/>
  <c r="AB469" i="37" l="1"/>
  <c r="AI469" i="37"/>
  <c r="Y469" i="37"/>
  <c r="T469" i="37"/>
  <c r="AH469" i="37"/>
  <c r="W469" i="37"/>
  <c r="X469" i="37"/>
  <c r="Z469" i="37" s="1"/>
  <c r="AA469" i="37"/>
  <c r="AE469" i="37"/>
  <c r="R469" i="37"/>
  <c r="G469" i="37"/>
  <c r="U469" i="37"/>
  <c r="F470" i="37"/>
  <c r="AG469" i="37"/>
  <c r="J468" i="37"/>
  <c r="I468" i="37"/>
  <c r="H468" i="37"/>
  <c r="Z468" i="37"/>
  <c r="AD468" i="37"/>
  <c r="AM468" i="37"/>
  <c r="AN468" i="37" s="1"/>
  <c r="AK468" i="37"/>
  <c r="AL468" i="37" s="1"/>
  <c r="AJ468" i="37"/>
  <c r="AF468" i="37"/>
  <c r="AC468" i="37"/>
  <c r="H469" i="37" l="1"/>
  <c r="I469" i="37"/>
  <c r="J469" i="37"/>
  <c r="V469" i="37"/>
  <c r="F471" i="37"/>
  <c r="AB470" i="37"/>
  <c r="AC470" i="37" s="1"/>
  <c r="AI470" i="37"/>
  <c r="X470" i="37"/>
  <c r="Z470" i="37" s="1"/>
  <c r="T470" i="37"/>
  <c r="V470" i="37" s="1"/>
  <c r="U470" i="37"/>
  <c r="AH470" i="37"/>
  <c r="W470" i="37"/>
  <c r="AA470" i="37"/>
  <c r="AE470" i="37"/>
  <c r="G470" i="37"/>
  <c r="Y470" i="37"/>
  <c r="AG470" i="37"/>
  <c r="R470" i="37"/>
  <c r="AD469" i="37"/>
  <c r="AF469" i="37"/>
  <c r="AM469" i="37"/>
  <c r="AN469" i="37" s="1"/>
  <c r="AK469" i="37"/>
  <c r="AL469" i="37" s="1"/>
  <c r="AJ469" i="37"/>
  <c r="AC469" i="37"/>
  <c r="AD470" i="37" l="1"/>
  <c r="AF470" i="37"/>
  <c r="AM470" i="37"/>
  <c r="AN470" i="37" s="1"/>
  <c r="AK470" i="37"/>
  <c r="AL470" i="37" s="1"/>
  <c r="AJ470" i="37"/>
  <c r="F472" i="37"/>
  <c r="AB471" i="37"/>
  <c r="AC471" i="37" s="1"/>
  <c r="AI471" i="37"/>
  <c r="AH471" i="37"/>
  <c r="T471" i="37"/>
  <c r="G471" i="37"/>
  <c r="U471" i="37"/>
  <c r="X471" i="37"/>
  <c r="Z471" i="37" s="1"/>
  <c r="AG471" i="37"/>
  <c r="Y471" i="37"/>
  <c r="AA471" i="37"/>
  <c r="W471" i="37"/>
  <c r="AE471" i="37"/>
  <c r="R471" i="37"/>
  <c r="J470" i="37"/>
  <c r="H470" i="37"/>
  <c r="I470" i="37"/>
  <c r="V471" i="37" l="1"/>
  <c r="H471" i="37"/>
  <c r="J471" i="37"/>
  <c r="I471" i="37"/>
  <c r="AB472" i="37"/>
  <c r="W472" i="37"/>
  <c r="Y472" i="37"/>
  <c r="AH472" i="37"/>
  <c r="R472" i="37"/>
  <c r="F473" i="37"/>
  <c r="G472" i="37"/>
  <c r="AA472" i="37"/>
  <c r="AI472" i="37"/>
  <c r="T472" i="37"/>
  <c r="V472" i="37" s="1"/>
  <c r="AE472" i="37"/>
  <c r="U472" i="37"/>
  <c r="X472" i="37"/>
  <c r="AG472" i="37"/>
  <c r="AD471" i="37"/>
  <c r="AF471" i="37"/>
  <c r="AJ471" i="37"/>
  <c r="AK471" i="37"/>
  <c r="AL471" i="37" s="1"/>
  <c r="AM471" i="37"/>
  <c r="AN471" i="37" s="1"/>
  <c r="I472" i="37" l="1"/>
  <c r="J472" i="37"/>
  <c r="H472" i="37"/>
  <c r="Z472" i="37"/>
  <c r="AI473" i="37"/>
  <c r="AH473" i="37"/>
  <c r="AA473" i="37"/>
  <c r="X473" i="37"/>
  <c r="Z473" i="37" s="1"/>
  <c r="W473" i="37"/>
  <c r="F474" i="37"/>
  <c r="AB473" i="37"/>
  <c r="T473" i="37"/>
  <c r="U473" i="37"/>
  <c r="R473" i="37"/>
  <c r="AG473" i="37"/>
  <c r="AE473" i="37"/>
  <c r="G473" i="37"/>
  <c r="Y473" i="37"/>
  <c r="AC472" i="37"/>
  <c r="AD472" i="37"/>
  <c r="AK472" i="37"/>
  <c r="AL472" i="37" s="1"/>
  <c r="AM472" i="37"/>
  <c r="AN472" i="37" s="1"/>
  <c r="AJ472" i="37"/>
  <c r="AF472" i="37"/>
  <c r="I473" i="37" l="1"/>
  <c r="H473" i="37"/>
  <c r="J473" i="37"/>
  <c r="AC473" i="37"/>
  <c r="AD473" i="37"/>
  <c r="AM473" i="37"/>
  <c r="AN473" i="37" s="1"/>
  <c r="AF473" i="37"/>
  <c r="AK473" i="37"/>
  <c r="AL473" i="37" s="1"/>
  <c r="AJ473" i="37"/>
  <c r="V473" i="37"/>
  <c r="AB474" i="37"/>
  <c r="AC474" i="37" s="1"/>
  <c r="AH474" i="37"/>
  <c r="AI474" i="37"/>
  <c r="AA474" i="37"/>
  <c r="W474" i="37"/>
  <c r="T474" i="37"/>
  <c r="Y474" i="37"/>
  <c r="X474" i="37"/>
  <c r="Z474" i="37" s="1"/>
  <c r="AG474" i="37"/>
  <c r="R474" i="37"/>
  <c r="F475" i="37"/>
  <c r="U474" i="37"/>
  <c r="AE474" i="37"/>
  <c r="G474" i="37"/>
  <c r="AD474" i="37" l="1"/>
  <c r="AF474" i="37"/>
  <c r="AM474" i="37"/>
  <c r="AN474" i="37" s="1"/>
  <c r="AK474" i="37"/>
  <c r="AL474" i="37" s="1"/>
  <c r="AJ474" i="37"/>
  <c r="F476" i="37"/>
  <c r="AA475" i="37"/>
  <c r="AB475" i="37"/>
  <c r="AC475" i="37" s="1"/>
  <c r="W475" i="37"/>
  <c r="U475" i="37"/>
  <c r="T475" i="37"/>
  <c r="V475" i="37" s="1"/>
  <c r="AI475" i="37"/>
  <c r="AH475" i="37"/>
  <c r="AG475" i="37"/>
  <c r="AE475" i="37"/>
  <c r="X475" i="37"/>
  <c r="Y475" i="37"/>
  <c r="G475" i="37"/>
  <c r="R475" i="37"/>
  <c r="I474" i="37"/>
  <c r="J474" i="37"/>
  <c r="H474" i="37"/>
  <c r="V474" i="37"/>
  <c r="G476" i="37" l="1"/>
  <c r="AB476" i="37"/>
  <c r="F477" i="37"/>
  <c r="AI476" i="37"/>
  <c r="R476" i="37"/>
  <c r="AH476" i="37"/>
  <c r="AA476" i="37"/>
  <c r="X476" i="37"/>
  <c r="AE476" i="37"/>
  <c r="AG476" i="37"/>
  <c r="W476" i="37"/>
  <c r="Y476" i="37"/>
  <c r="U476" i="37"/>
  <c r="T476" i="37"/>
  <c r="V476" i="37" s="1"/>
  <c r="I475" i="37"/>
  <c r="H475" i="37"/>
  <c r="J475" i="37"/>
  <c r="Z475" i="37"/>
  <c r="AD475" i="37"/>
  <c r="AF475" i="37"/>
  <c r="AM475" i="37"/>
  <c r="AN475" i="37" s="1"/>
  <c r="AJ475" i="37"/>
  <c r="AK475" i="37"/>
  <c r="AL475" i="37" s="1"/>
  <c r="AD476" i="37" l="1"/>
  <c r="AK476" i="37"/>
  <c r="AL476" i="37" s="1"/>
  <c r="AM476" i="37"/>
  <c r="AN476" i="37" s="1"/>
  <c r="AJ476" i="37"/>
  <c r="AF476" i="37"/>
  <c r="Z476" i="37"/>
  <c r="AB477" i="37"/>
  <c r="AC477" i="37" s="1"/>
  <c r="AI477" i="37"/>
  <c r="AH477" i="37"/>
  <c r="W477" i="37"/>
  <c r="F478" i="37"/>
  <c r="Y477" i="37"/>
  <c r="X477" i="37"/>
  <c r="Z477" i="37" s="1"/>
  <c r="AA477" i="37"/>
  <c r="U477" i="37"/>
  <c r="T477" i="37"/>
  <c r="V477" i="37" s="1"/>
  <c r="AE477" i="37"/>
  <c r="R477" i="37"/>
  <c r="G477" i="37"/>
  <c r="AG477" i="37"/>
  <c r="AC476" i="37"/>
  <c r="J476" i="37"/>
  <c r="I476" i="37"/>
  <c r="H476" i="37"/>
  <c r="AB478" i="37" l="1"/>
  <c r="F479" i="37"/>
  <c r="AI478" i="37"/>
  <c r="G478" i="37"/>
  <c r="AA478" i="37"/>
  <c r="W478" i="37"/>
  <c r="AH478" i="37"/>
  <c r="X478" i="37"/>
  <c r="Y478" i="37"/>
  <c r="R478" i="37"/>
  <c r="T478" i="37"/>
  <c r="U478" i="37"/>
  <c r="AG478" i="37"/>
  <c r="AE478" i="37"/>
  <c r="H477" i="37"/>
  <c r="J477" i="37"/>
  <c r="I477" i="37"/>
  <c r="AD477" i="37"/>
  <c r="AJ477" i="37"/>
  <c r="AF477" i="37"/>
  <c r="AK477" i="37"/>
  <c r="AL477" i="37" s="1"/>
  <c r="AM477" i="37"/>
  <c r="AN477" i="37" s="1"/>
  <c r="AD478" i="37" l="1"/>
  <c r="AF478" i="37"/>
  <c r="AM478" i="37"/>
  <c r="AN478" i="37" s="1"/>
  <c r="AK478" i="37"/>
  <c r="AL478" i="37" s="1"/>
  <c r="AJ478" i="37"/>
  <c r="Z478" i="37"/>
  <c r="H478" i="37"/>
  <c r="I478" i="37"/>
  <c r="J478" i="37"/>
  <c r="AB479" i="37"/>
  <c r="AC479" i="37" s="1"/>
  <c r="R479" i="37"/>
  <c r="AH479" i="37"/>
  <c r="G479" i="37"/>
  <c r="AI479" i="37"/>
  <c r="F480" i="37"/>
  <c r="T479" i="37"/>
  <c r="AA479" i="37"/>
  <c r="AE479" i="37"/>
  <c r="X479" i="37"/>
  <c r="U479" i="37"/>
  <c r="Y479" i="37"/>
  <c r="W479" i="37"/>
  <c r="AG479" i="37"/>
  <c r="V478" i="37"/>
  <c r="AC478" i="37"/>
  <c r="Z479" i="37" l="1"/>
  <c r="I479" i="37"/>
  <c r="J479" i="37"/>
  <c r="H479" i="37"/>
  <c r="V479" i="37"/>
  <c r="AD479" i="37"/>
  <c r="AM479" i="37"/>
  <c r="AN479" i="37" s="1"/>
  <c r="AJ479" i="37"/>
  <c r="AK479" i="37"/>
  <c r="AL479" i="37" s="1"/>
  <c r="AF479" i="37"/>
  <c r="AI480" i="37"/>
  <c r="G480" i="37"/>
  <c r="W480" i="37"/>
  <c r="AE480" i="37"/>
  <c r="AH480" i="37"/>
  <c r="F481" i="37"/>
  <c r="AA480" i="37"/>
  <c r="T480" i="37"/>
  <c r="Y480" i="37"/>
  <c r="X480" i="37"/>
  <c r="Z480" i="37" s="1"/>
  <c r="U480" i="37"/>
  <c r="AG480" i="37"/>
  <c r="AB480" i="37"/>
  <c r="AC480" i="37" s="1"/>
  <c r="R480" i="37"/>
  <c r="I480" i="37" l="1"/>
  <c r="H480" i="37"/>
  <c r="J480" i="37"/>
  <c r="AD480" i="37"/>
  <c r="AF480" i="37"/>
  <c r="AM480" i="37"/>
  <c r="AN480" i="37" s="1"/>
  <c r="AK480" i="37"/>
  <c r="AL480" i="37" s="1"/>
  <c r="AJ480" i="37"/>
  <c r="R481" i="37"/>
  <c r="G481" i="37"/>
  <c r="AB481" i="37"/>
  <c r="AC481" i="37" s="1"/>
  <c r="Y481" i="37"/>
  <c r="W481" i="37"/>
  <c r="AG481" i="37"/>
  <c r="F482" i="37"/>
  <c r="AI481" i="37"/>
  <c r="AH481" i="37"/>
  <c r="AA481" i="37"/>
  <c r="X481" i="37"/>
  <c r="AE481" i="37"/>
  <c r="U481" i="37"/>
  <c r="T481" i="37"/>
  <c r="V480" i="37"/>
  <c r="H481" i="37" l="1"/>
  <c r="J481" i="37"/>
  <c r="I481" i="37"/>
  <c r="Z481" i="37"/>
  <c r="AD481" i="37"/>
  <c r="AF481" i="37"/>
  <c r="AK481" i="37"/>
  <c r="AL481" i="37" s="1"/>
  <c r="AM481" i="37"/>
  <c r="AN481" i="37" s="1"/>
  <c r="AJ481" i="37"/>
  <c r="V481" i="37"/>
  <c r="AB482" i="37"/>
  <c r="AH482" i="37"/>
  <c r="R482" i="37"/>
  <c r="AI482" i="37"/>
  <c r="G482" i="37"/>
  <c r="F483" i="37"/>
  <c r="Y482" i="37"/>
  <c r="X482" i="37"/>
  <c r="Z482" i="37" s="1"/>
  <c r="AA482" i="37"/>
  <c r="U482" i="37"/>
  <c r="AG482" i="37"/>
  <c r="AE482" i="37"/>
  <c r="T482" i="37"/>
  <c r="V482" i="37" s="1"/>
  <c r="W482" i="37"/>
  <c r="AC482" i="37" l="1"/>
  <c r="AD482" i="37"/>
  <c r="AM482" i="37"/>
  <c r="AN482" i="37" s="1"/>
  <c r="AF482" i="37"/>
  <c r="AK482" i="37"/>
  <c r="AL482" i="37" s="1"/>
  <c r="AJ482" i="37"/>
  <c r="AB483" i="37"/>
  <c r="AH483" i="37"/>
  <c r="R483" i="37"/>
  <c r="AI483" i="37"/>
  <c r="T483" i="37"/>
  <c r="V483" i="37" s="1"/>
  <c r="Y483" i="37"/>
  <c r="AG483" i="37"/>
  <c r="AE483" i="37"/>
  <c r="AA483" i="37"/>
  <c r="U483" i="37"/>
  <c r="W483" i="37"/>
  <c r="X483" i="37"/>
  <c r="F484" i="37"/>
  <c r="G483" i="37"/>
  <c r="J482" i="37"/>
  <c r="H482" i="37"/>
  <c r="I482" i="37"/>
  <c r="AC483" i="37" l="1"/>
  <c r="AD483" i="37"/>
  <c r="AF483" i="37"/>
  <c r="AK483" i="37"/>
  <c r="AL483" i="37" s="1"/>
  <c r="AM483" i="37"/>
  <c r="AN483" i="37" s="1"/>
  <c r="AJ483" i="37"/>
  <c r="J483" i="37"/>
  <c r="I483" i="37"/>
  <c r="H483" i="37"/>
  <c r="AB484" i="37"/>
  <c r="AC484" i="37" s="1"/>
  <c r="G484" i="37"/>
  <c r="R484" i="37"/>
  <c r="AH484" i="37"/>
  <c r="F485" i="37"/>
  <c r="AG484" i="37"/>
  <c r="AI484" i="37"/>
  <c r="U484" i="37"/>
  <c r="W484" i="37"/>
  <c r="Y484" i="37"/>
  <c r="AE484" i="37"/>
  <c r="T484" i="37"/>
  <c r="V484" i="37" s="1"/>
  <c r="AA484" i="37"/>
  <c r="X484" i="37"/>
  <c r="Z484" i="37" s="1"/>
  <c r="Z483" i="37"/>
  <c r="H484" i="37" l="1"/>
  <c r="I484" i="37"/>
  <c r="J484" i="37"/>
  <c r="AB485" i="37"/>
  <c r="G485" i="37"/>
  <c r="AI485" i="37"/>
  <c r="F486" i="37"/>
  <c r="AH485" i="37"/>
  <c r="Y485" i="37"/>
  <c r="R485" i="37"/>
  <c r="T485" i="37"/>
  <c r="V485" i="37" s="1"/>
  <c r="W485" i="37"/>
  <c r="AA485" i="37"/>
  <c r="U485" i="37"/>
  <c r="X485" i="37"/>
  <c r="AE485" i="37"/>
  <c r="AG485" i="37"/>
  <c r="AD484" i="37"/>
  <c r="AM484" i="37"/>
  <c r="AN484" i="37" s="1"/>
  <c r="AK484" i="37"/>
  <c r="AL484" i="37" s="1"/>
  <c r="AF484" i="37"/>
  <c r="AJ484" i="37"/>
  <c r="F487" i="37" l="1"/>
  <c r="AH486" i="37"/>
  <c r="X486" i="37"/>
  <c r="AB486" i="37"/>
  <c r="R486" i="37"/>
  <c r="AI486" i="37"/>
  <c r="W486" i="37"/>
  <c r="U486" i="37"/>
  <c r="AA486" i="37"/>
  <c r="G486" i="37"/>
  <c r="Y486" i="37"/>
  <c r="T486" i="37"/>
  <c r="V486" i="37" s="1"/>
  <c r="AE486" i="37"/>
  <c r="AG486" i="37"/>
  <c r="AC485" i="37"/>
  <c r="I485" i="37"/>
  <c r="J485" i="37"/>
  <c r="H485" i="37"/>
  <c r="AD485" i="37"/>
  <c r="AF485" i="37"/>
  <c r="AM485" i="37"/>
  <c r="AN485" i="37" s="1"/>
  <c r="AJ485" i="37"/>
  <c r="AK485" i="37"/>
  <c r="AL485" i="37" s="1"/>
  <c r="Z485" i="37"/>
  <c r="J486" i="37" l="1"/>
  <c r="H486" i="37"/>
  <c r="I486" i="37"/>
  <c r="AC486" i="37"/>
  <c r="Z486" i="37"/>
  <c r="AD486" i="37"/>
  <c r="AF486" i="37"/>
  <c r="AK486" i="37"/>
  <c r="AL486" i="37" s="1"/>
  <c r="AJ486" i="37"/>
  <c r="AM486" i="37"/>
  <c r="AN486" i="37" s="1"/>
  <c r="AI487" i="37"/>
  <c r="AH487" i="37"/>
  <c r="F488" i="37"/>
  <c r="AA487" i="37"/>
  <c r="G487" i="37"/>
  <c r="Y487" i="37"/>
  <c r="R487" i="37"/>
  <c r="W487" i="37"/>
  <c r="U487" i="37"/>
  <c r="T487" i="37"/>
  <c r="V487" i="37" s="1"/>
  <c r="AE487" i="37"/>
  <c r="X487" i="37"/>
  <c r="Z487" i="37" s="1"/>
  <c r="AB487" i="37"/>
  <c r="AC487" i="37" s="1"/>
  <c r="AG487" i="37"/>
  <c r="R488" i="37" l="1"/>
  <c r="AB488" i="37"/>
  <c r="AC488" i="37" s="1"/>
  <c r="G488" i="37"/>
  <c r="AI488" i="37"/>
  <c r="F489" i="37"/>
  <c r="X488" i="37"/>
  <c r="AA488" i="37"/>
  <c r="AH488" i="37"/>
  <c r="U488" i="37"/>
  <c r="AE488" i="37"/>
  <c r="AG488" i="37"/>
  <c r="Y488" i="37"/>
  <c r="T488" i="37"/>
  <c r="V488" i="37" s="1"/>
  <c r="W488" i="37"/>
  <c r="AD487" i="37"/>
  <c r="AF487" i="37"/>
  <c r="AJ487" i="37"/>
  <c r="AM487" i="37"/>
  <c r="AN487" i="37" s="1"/>
  <c r="AK487" i="37"/>
  <c r="AL487" i="37" s="1"/>
  <c r="H487" i="37"/>
  <c r="J487" i="37"/>
  <c r="I487" i="37"/>
  <c r="AD488" i="37" l="1"/>
  <c r="AF488" i="37"/>
  <c r="AM488" i="37"/>
  <c r="AN488" i="37" s="1"/>
  <c r="AK488" i="37"/>
  <c r="AL488" i="37" s="1"/>
  <c r="AJ488" i="37"/>
  <c r="Z488" i="37"/>
  <c r="J488" i="37"/>
  <c r="I488" i="37"/>
  <c r="H488" i="37"/>
  <c r="G489" i="37"/>
  <c r="AB489" i="37"/>
  <c r="AC489" i="37" s="1"/>
  <c r="AA489" i="37"/>
  <c r="AI489" i="37"/>
  <c r="AH489" i="37"/>
  <c r="W489" i="37"/>
  <c r="X489" i="37"/>
  <c r="R489" i="37"/>
  <c r="U489" i="37"/>
  <c r="Y489" i="37"/>
  <c r="AE489" i="37"/>
  <c r="F490" i="37"/>
  <c r="T489" i="37"/>
  <c r="V489" i="37" s="1"/>
  <c r="AG489" i="37"/>
  <c r="I489" i="37" l="1"/>
  <c r="H489" i="37"/>
  <c r="J489" i="37"/>
  <c r="AI490" i="37"/>
  <c r="R490" i="37"/>
  <c r="F491" i="37"/>
  <c r="W490" i="37"/>
  <c r="G490" i="37"/>
  <c r="X490" i="37"/>
  <c r="Z490" i="37" s="1"/>
  <c r="AB490" i="37"/>
  <c r="AC490" i="37" s="1"/>
  <c r="AH490" i="37"/>
  <c r="U490" i="37"/>
  <c r="T490" i="37"/>
  <c r="V490" i="37" s="1"/>
  <c r="AE490" i="37"/>
  <c r="AA490" i="37"/>
  <c r="Y490" i="37"/>
  <c r="AG490" i="37"/>
  <c r="AD489" i="37"/>
  <c r="AF489" i="37"/>
  <c r="AM489" i="37"/>
  <c r="AN489" i="37" s="1"/>
  <c r="AJ489" i="37"/>
  <c r="AK489" i="37"/>
  <c r="AL489" i="37" s="1"/>
  <c r="Z489" i="37"/>
  <c r="I490" i="37" l="1"/>
  <c r="H490" i="37"/>
  <c r="J490" i="37"/>
  <c r="AB491" i="37"/>
  <c r="AI491" i="37"/>
  <c r="AH491" i="37"/>
  <c r="W491" i="37"/>
  <c r="X491" i="37"/>
  <c r="U491" i="37"/>
  <c r="Y491" i="37"/>
  <c r="F492" i="37"/>
  <c r="R491" i="37"/>
  <c r="T491" i="37"/>
  <c r="V491" i="37" s="1"/>
  <c r="AA491" i="37"/>
  <c r="AG491" i="37"/>
  <c r="G491" i="37"/>
  <c r="AE491" i="37"/>
  <c r="AD490" i="37"/>
  <c r="AM490" i="37"/>
  <c r="AN490" i="37" s="1"/>
  <c r="AK490" i="37"/>
  <c r="AL490" i="37" s="1"/>
  <c r="AF490" i="37"/>
  <c r="AJ490" i="37"/>
  <c r="AC491" i="37" l="1"/>
  <c r="AD491" i="37"/>
  <c r="AK491" i="37"/>
  <c r="AL491" i="37" s="1"/>
  <c r="AM491" i="37"/>
  <c r="AN491" i="37" s="1"/>
  <c r="AF491" i="37"/>
  <c r="AJ491" i="37"/>
  <c r="Z491" i="37"/>
  <c r="I491" i="37"/>
  <c r="J491" i="37"/>
  <c r="H491" i="37"/>
  <c r="AB492" i="37"/>
  <c r="AC492" i="37" s="1"/>
  <c r="R492" i="37"/>
  <c r="AI492" i="37"/>
  <c r="AH492" i="37"/>
  <c r="G492" i="37"/>
  <c r="Y492" i="37"/>
  <c r="AE492" i="37"/>
  <c r="W492" i="37"/>
  <c r="F493" i="37"/>
  <c r="AA492" i="37"/>
  <c r="T492" i="37"/>
  <c r="X492" i="37"/>
  <c r="Z492" i="37" s="1"/>
  <c r="U492" i="37"/>
  <c r="AG492" i="37"/>
  <c r="V492" i="37" l="1"/>
  <c r="AI493" i="37"/>
  <c r="U493" i="37"/>
  <c r="AH493" i="37"/>
  <c r="Y493" i="37"/>
  <c r="X493" i="37"/>
  <c r="Z493" i="37" s="1"/>
  <c r="W493" i="37"/>
  <c r="AA493" i="37"/>
  <c r="T493" i="37"/>
  <c r="V493" i="37" s="1"/>
  <c r="AB493" i="37"/>
  <c r="AG493" i="37"/>
  <c r="AE493" i="37"/>
  <c r="R493" i="37"/>
  <c r="F494" i="37"/>
  <c r="G493" i="37"/>
  <c r="AD492" i="37"/>
  <c r="AK492" i="37"/>
  <c r="AL492" i="37" s="1"/>
  <c r="AM492" i="37"/>
  <c r="AN492" i="37" s="1"/>
  <c r="AJ492" i="37"/>
  <c r="AF492" i="37"/>
  <c r="I492" i="37"/>
  <c r="J492" i="37"/>
  <c r="H492" i="37"/>
  <c r="AD493" i="37" l="1"/>
  <c r="AF493" i="37"/>
  <c r="AJ493" i="37"/>
  <c r="AK493" i="37"/>
  <c r="AL493" i="37" s="1"/>
  <c r="AM493" i="37"/>
  <c r="AN493" i="37" s="1"/>
  <c r="AC493" i="37"/>
  <c r="AB494" i="37"/>
  <c r="AC494" i="37" s="1"/>
  <c r="R494" i="37"/>
  <c r="X494" i="37"/>
  <c r="Z494" i="37" s="1"/>
  <c r="W494" i="37"/>
  <c r="AG494" i="37"/>
  <c r="AE494" i="37"/>
  <c r="AI494" i="37"/>
  <c r="F495" i="37"/>
  <c r="AH494" i="37"/>
  <c r="G494" i="37"/>
  <c r="U494" i="37"/>
  <c r="Y494" i="37"/>
  <c r="AA494" i="37"/>
  <c r="T494" i="37"/>
  <c r="V494" i="37" s="1"/>
  <c r="I493" i="37"/>
  <c r="J493" i="37"/>
  <c r="H493" i="37"/>
  <c r="AD494" i="37" l="1"/>
  <c r="AM494" i="37"/>
  <c r="AN494" i="37" s="1"/>
  <c r="AK494" i="37"/>
  <c r="AL494" i="37" s="1"/>
  <c r="AF494" i="37"/>
  <c r="AJ494" i="37"/>
  <c r="H494" i="37"/>
  <c r="I494" i="37"/>
  <c r="J494" i="37"/>
  <c r="AB495" i="37"/>
  <c r="AC495" i="37" s="1"/>
  <c r="AI495" i="37"/>
  <c r="AH495" i="37"/>
  <c r="U495" i="37"/>
  <c r="W495" i="37"/>
  <c r="AA495" i="37"/>
  <c r="Y495" i="37"/>
  <c r="X495" i="37"/>
  <c r="Z495" i="37" s="1"/>
  <c r="T495" i="37"/>
  <c r="F496" i="37"/>
  <c r="AE495" i="37"/>
  <c r="G495" i="37"/>
  <c r="R495" i="37"/>
  <c r="AG495" i="37"/>
  <c r="H495" i="37" l="1"/>
  <c r="J495" i="37"/>
  <c r="I495" i="37"/>
  <c r="AD495" i="37"/>
  <c r="AK495" i="37"/>
  <c r="AL495" i="37" s="1"/>
  <c r="AM495" i="37"/>
  <c r="AN495" i="37" s="1"/>
  <c r="AF495" i="37"/>
  <c r="AJ495" i="37"/>
  <c r="AB496" i="37"/>
  <c r="AC496" i="37" s="1"/>
  <c r="G496" i="37"/>
  <c r="AI496" i="37"/>
  <c r="AH496" i="37"/>
  <c r="X496" i="37"/>
  <c r="Y496" i="37"/>
  <c r="U496" i="37"/>
  <c r="AG496" i="37"/>
  <c r="R496" i="37"/>
  <c r="AA496" i="37"/>
  <c r="W496" i="37"/>
  <c r="T496" i="37"/>
  <c r="V496" i="37" s="1"/>
  <c r="AE496" i="37"/>
  <c r="F497" i="37"/>
  <c r="V495" i="37"/>
  <c r="Z496" i="37" l="1"/>
  <c r="I496" i="37"/>
  <c r="H496" i="37"/>
  <c r="J496" i="37"/>
  <c r="AH497" i="37"/>
  <c r="F498" i="37"/>
  <c r="AI497" i="37"/>
  <c r="G497" i="37"/>
  <c r="U497" i="37"/>
  <c r="W497" i="37"/>
  <c r="Y497" i="37"/>
  <c r="AB497" i="37"/>
  <c r="AC497" i="37" s="1"/>
  <c r="X497" i="37"/>
  <c r="Z497" i="37" s="1"/>
  <c r="AA497" i="37"/>
  <c r="T497" i="37"/>
  <c r="AG497" i="37"/>
  <c r="AE497" i="37"/>
  <c r="R497" i="37"/>
  <c r="AD496" i="37"/>
  <c r="AK496" i="37"/>
  <c r="AL496" i="37" s="1"/>
  <c r="AF496" i="37"/>
  <c r="AM496" i="37"/>
  <c r="AN496" i="37" s="1"/>
  <c r="AJ496" i="37"/>
  <c r="J497" i="37" l="1"/>
  <c r="I497" i="37"/>
  <c r="H497" i="37"/>
  <c r="AD497" i="37"/>
  <c r="AM497" i="37"/>
  <c r="AN497" i="37" s="1"/>
  <c r="AK497" i="37"/>
  <c r="AL497" i="37" s="1"/>
  <c r="AF497" i="37"/>
  <c r="AJ497" i="37"/>
  <c r="AI498" i="37"/>
  <c r="Y498" i="37"/>
  <c r="X498" i="37"/>
  <c r="Z498" i="37" s="1"/>
  <c r="G498" i="37"/>
  <c r="AH498" i="37"/>
  <c r="AA498" i="37"/>
  <c r="AB498" i="37"/>
  <c r="U498" i="37"/>
  <c r="AE498" i="37"/>
  <c r="W498" i="37"/>
  <c r="AG498" i="37"/>
  <c r="T498" i="37"/>
  <c r="V498" i="37" s="1"/>
  <c r="F499" i="37"/>
  <c r="R498" i="37"/>
  <c r="V497" i="37"/>
  <c r="J498" i="37" l="1"/>
  <c r="I498" i="37"/>
  <c r="H498" i="37"/>
  <c r="AI499" i="37"/>
  <c r="W499" i="37"/>
  <c r="U499" i="37"/>
  <c r="R499" i="37"/>
  <c r="F500" i="37"/>
  <c r="T499" i="37"/>
  <c r="V499" i="37" s="1"/>
  <c r="X499" i="37"/>
  <c r="Z499" i="37" s="1"/>
  <c r="G499" i="37"/>
  <c r="AA499" i="37"/>
  <c r="Y499" i="37"/>
  <c r="AE499" i="37"/>
  <c r="AG499" i="37"/>
  <c r="AB499" i="37"/>
  <c r="AH499" i="37"/>
  <c r="AD498" i="37"/>
  <c r="AK498" i="37"/>
  <c r="AL498" i="37" s="1"/>
  <c r="AF498" i="37"/>
  <c r="AJ498" i="37"/>
  <c r="AM498" i="37"/>
  <c r="AN498" i="37" s="1"/>
  <c r="AC498" i="37"/>
  <c r="AD499" i="37" l="1"/>
  <c r="AM499" i="37"/>
  <c r="AN499" i="37" s="1"/>
  <c r="AK499" i="37"/>
  <c r="AL499" i="37" s="1"/>
  <c r="AJ499" i="37"/>
  <c r="AF499" i="37"/>
  <c r="AC499" i="37"/>
  <c r="J499" i="37"/>
  <c r="I499" i="37"/>
  <c r="H499" i="37"/>
  <c r="AB500" i="37"/>
  <c r="AC500" i="37" s="1"/>
  <c r="AI500" i="37"/>
  <c r="Y500" i="37"/>
  <c r="AE500" i="37"/>
  <c r="AG500" i="37"/>
  <c r="AH500" i="37"/>
  <c r="W500" i="37"/>
  <c r="AA500" i="37"/>
  <c r="X500" i="37"/>
  <c r="U500" i="37"/>
  <c r="T500" i="37"/>
  <c r="V500" i="37" s="1"/>
  <c r="R500" i="37"/>
  <c r="G500" i="37"/>
  <c r="F501" i="37"/>
  <c r="AD500" i="37" l="1"/>
  <c r="AF500" i="37"/>
  <c r="AK500" i="37"/>
  <c r="AL500" i="37" s="1"/>
  <c r="AM500" i="37"/>
  <c r="AN500" i="37" s="1"/>
  <c r="AJ500" i="37"/>
  <c r="AI501" i="37"/>
  <c r="AH501" i="37"/>
  <c r="AA501" i="37"/>
  <c r="T501" i="37"/>
  <c r="V501" i="37" s="1"/>
  <c r="AE501" i="37"/>
  <c r="W501" i="37"/>
  <c r="Y501" i="37"/>
  <c r="X501" i="37"/>
  <c r="Z501" i="37" s="1"/>
  <c r="AG501" i="37"/>
  <c r="R501" i="37"/>
  <c r="F502" i="37"/>
  <c r="AB501" i="37"/>
  <c r="AC501" i="37" s="1"/>
  <c r="G501" i="37"/>
  <c r="U501" i="37"/>
  <c r="J500" i="37"/>
  <c r="I500" i="37"/>
  <c r="H500" i="37"/>
  <c r="Z500" i="37"/>
  <c r="I501" i="37" l="1"/>
  <c r="J501" i="37"/>
  <c r="H501" i="37"/>
  <c r="AI502" i="37"/>
  <c r="AH502" i="37"/>
  <c r="R502" i="37"/>
  <c r="W502" i="37"/>
  <c r="G502" i="37"/>
  <c r="AB502" i="37"/>
  <c r="AC502" i="37" s="1"/>
  <c r="Y502" i="37"/>
  <c r="F503" i="37"/>
  <c r="AA502" i="37"/>
  <c r="U502" i="37"/>
  <c r="T502" i="37"/>
  <c r="AE502" i="37"/>
  <c r="AG502" i="37"/>
  <c r="X502" i="37"/>
  <c r="AD501" i="37"/>
  <c r="AK501" i="37"/>
  <c r="AL501" i="37" s="1"/>
  <c r="AF501" i="37"/>
  <c r="AJ501" i="37"/>
  <c r="AM501" i="37"/>
  <c r="AN501" i="37" s="1"/>
  <c r="AB503" i="37" l="1"/>
  <c r="T503" i="37"/>
  <c r="U503" i="37"/>
  <c r="AI503" i="37"/>
  <c r="AH503" i="37"/>
  <c r="W503" i="37"/>
  <c r="Y503" i="37"/>
  <c r="AA503" i="37"/>
  <c r="AE503" i="37"/>
  <c r="X503" i="37"/>
  <c r="Z503" i="37" s="1"/>
  <c r="R503" i="37"/>
  <c r="G503" i="37"/>
  <c r="AG503" i="37"/>
  <c r="F504" i="37"/>
  <c r="J502" i="37"/>
  <c r="H502" i="37"/>
  <c r="I502" i="37"/>
  <c r="Z502" i="37"/>
  <c r="V502" i="37"/>
  <c r="AD502" i="37"/>
  <c r="AK502" i="37"/>
  <c r="AL502" i="37" s="1"/>
  <c r="AF502" i="37"/>
  <c r="AM502" i="37"/>
  <c r="AN502" i="37" s="1"/>
  <c r="AJ502" i="37"/>
  <c r="I503" i="37" l="1"/>
  <c r="H503" i="37"/>
  <c r="J503" i="37"/>
  <c r="AI504" i="37"/>
  <c r="W504" i="37"/>
  <c r="AA504" i="37"/>
  <c r="AE504" i="37"/>
  <c r="Y504" i="37"/>
  <c r="X504" i="37"/>
  <c r="Z504" i="37" s="1"/>
  <c r="AB504" i="37"/>
  <c r="U504" i="37"/>
  <c r="T504" i="37"/>
  <c r="V504" i="37" s="1"/>
  <c r="R504" i="37"/>
  <c r="AG504" i="37"/>
  <c r="F505" i="37"/>
  <c r="G504" i="37"/>
  <c r="AH504" i="37"/>
  <c r="AD503" i="37"/>
  <c r="AK503" i="37"/>
  <c r="AL503" i="37" s="1"/>
  <c r="AF503" i="37"/>
  <c r="AM503" i="37"/>
  <c r="AN503" i="37" s="1"/>
  <c r="AJ503" i="37"/>
  <c r="V503" i="37"/>
  <c r="AC503" i="37"/>
  <c r="AC504" i="37" l="1"/>
  <c r="AD504" i="37"/>
  <c r="AF504" i="37"/>
  <c r="AK504" i="37"/>
  <c r="AL504" i="37" s="1"/>
  <c r="AM504" i="37"/>
  <c r="AN504" i="37" s="1"/>
  <c r="AJ504" i="37"/>
  <c r="H504" i="37"/>
  <c r="I504" i="37"/>
  <c r="J504" i="37"/>
  <c r="AB505" i="37"/>
  <c r="R505" i="37"/>
  <c r="AI505" i="37"/>
  <c r="F506" i="37"/>
  <c r="AH505" i="37"/>
  <c r="G505" i="37"/>
  <c r="Y505" i="37"/>
  <c r="U505" i="37"/>
  <c r="X505" i="37"/>
  <c r="Z505" i="37" s="1"/>
  <c r="AA505" i="37"/>
  <c r="T505" i="37"/>
  <c r="V505" i="37" s="1"/>
  <c r="W505" i="37"/>
  <c r="AE505" i="37"/>
  <c r="AG505" i="37"/>
  <c r="AC505" i="37" l="1"/>
  <c r="AB506" i="37"/>
  <c r="AC506" i="37" s="1"/>
  <c r="R506" i="37"/>
  <c r="AI506" i="37"/>
  <c r="G506" i="37"/>
  <c r="AA506" i="37"/>
  <c r="U506" i="37"/>
  <c r="AH506" i="37"/>
  <c r="F507" i="37"/>
  <c r="X506" i="37"/>
  <c r="T506" i="37"/>
  <c r="V506" i="37" s="1"/>
  <c r="Y506" i="37"/>
  <c r="AG506" i="37"/>
  <c r="W506" i="37"/>
  <c r="AE506" i="37"/>
  <c r="AD505" i="37"/>
  <c r="AF505" i="37"/>
  <c r="AM505" i="37"/>
  <c r="AN505" i="37" s="1"/>
  <c r="AK505" i="37"/>
  <c r="AL505" i="37" s="1"/>
  <c r="AJ505" i="37"/>
  <c r="I505" i="37"/>
  <c r="J505" i="37"/>
  <c r="H505" i="37"/>
  <c r="Z506" i="37" l="1"/>
  <c r="AB507" i="37"/>
  <c r="AC507" i="37" s="1"/>
  <c r="R507" i="37"/>
  <c r="AI507" i="37"/>
  <c r="F508" i="37"/>
  <c r="AH507" i="37"/>
  <c r="T507" i="37"/>
  <c r="G507" i="37"/>
  <c r="U507" i="37"/>
  <c r="AA507" i="37"/>
  <c r="Y507" i="37"/>
  <c r="AE507" i="37"/>
  <c r="X507" i="37"/>
  <c r="Z507" i="37" s="1"/>
  <c r="W507" i="37"/>
  <c r="AG507" i="37"/>
  <c r="J506" i="37"/>
  <c r="H506" i="37"/>
  <c r="I506" i="37"/>
  <c r="AD506" i="37"/>
  <c r="AM506" i="37"/>
  <c r="AN506" i="37" s="1"/>
  <c r="AJ506" i="37"/>
  <c r="AF506" i="37"/>
  <c r="AK506" i="37"/>
  <c r="AL506" i="37" s="1"/>
  <c r="AD507" i="37" l="1"/>
  <c r="AM507" i="37"/>
  <c r="AN507" i="37" s="1"/>
  <c r="AK507" i="37"/>
  <c r="AL507" i="37" s="1"/>
  <c r="AJ507" i="37"/>
  <c r="AF507" i="37"/>
  <c r="V507" i="37"/>
  <c r="H507" i="37"/>
  <c r="I507" i="37"/>
  <c r="J507" i="37"/>
  <c r="AB508" i="37"/>
  <c r="AC508" i="37" s="1"/>
  <c r="W508" i="37"/>
  <c r="R508" i="37"/>
  <c r="AH508" i="37"/>
  <c r="X508" i="37"/>
  <c r="Z508" i="37" s="1"/>
  <c r="AI508" i="37"/>
  <c r="AA508" i="37"/>
  <c r="Y508" i="37"/>
  <c r="AG508" i="37"/>
  <c r="U508" i="37"/>
  <c r="T508" i="37"/>
  <c r="V508" i="37" s="1"/>
  <c r="AE508" i="37"/>
  <c r="F509" i="37"/>
  <c r="G508" i="37"/>
  <c r="I508" i="37" l="1"/>
  <c r="H508" i="37"/>
  <c r="J508" i="37"/>
  <c r="AI509" i="37"/>
  <c r="AH509" i="37"/>
  <c r="X509" i="37"/>
  <c r="Y509" i="37"/>
  <c r="AA509" i="37"/>
  <c r="T509" i="37"/>
  <c r="U509" i="37"/>
  <c r="W509" i="37"/>
  <c r="AG509" i="37"/>
  <c r="AE509" i="37"/>
  <c r="R509" i="37"/>
  <c r="F510" i="37"/>
  <c r="AB509" i="37"/>
  <c r="G509" i="37"/>
  <c r="AD508" i="37"/>
  <c r="AK508" i="37"/>
  <c r="AL508" i="37" s="1"/>
  <c r="AM508" i="37"/>
  <c r="AN508" i="37" s="1"/>
  <c r="AF508" i="37"/>
  <c r="AJ508" i="37"/>
  <c r="AD509" i="37" l="1"/>
  <c r="AM509" i="37"/>
  <c r="AN509" i="37" s="1"/>
  <c r="AK509" i="37"/>
  <c r="AL509" i="37" s="1"/>
  <c r="AJ509" i="37"/>
  <c r="AF509" i="37"/>
  <c r="Z509" i="37"/>
  <c r="J509" i="37"/>
  <c r="I509" i="37"/>
  <c r="H509" i="37"/>
  <c r="V509" i="37"/>
  <c r="AC509" i="37"/>
  <c r="AB510" i="37"/>
  <c r="AC510" i="37" s="1"/>
  <c r="R510" i="37"/>
  <c r="AH510" i="37"/>
  <c r="F511" i="37"/>
  <c r="AI510" i="37"/>
  <c r="G510" i="37"/>
  <c r="AA510" i="37"/>
  <c r="Y510" i="37"/>
  <c r="W510" i="37"/>
  <c r="U510" i="37"/>
  <c r="T510" i="37"/>
  <c r="V510" i="37" s="1"/>
  <c r="X510" i="37"/>
  <c r="Z510" i="37" s="1"/>
  <c r="AG510" i="37"/>
  <c r="AE510" i="37"/>
  <c r="AD510" i="37" l="1"/>
  <c r="AK510" i="37"/>
  <c r="AL510" i="37" s="1"/>
  <c r="AJ510" i="37"/>
  <c r="AM510" i="37"/>
  <c r="AN510" i="37" s="1"/>
  <c r="AF510" i="37"/>
  <c r="I510" i="37"/>
  <c r="H510" i="37"/>
  <c r="J510" i="37"/>
  <c r="AH511" i="37"/>
  <c r="AI511" i="37"/>
  <c r="F512" i="37"/>
  <c r="X511" i="37"/>
  <c r="Z511" i="37" s="1"/>
  <c r="R511" i="37"/>
  <c r="T511" i="37"/>
  <c r="V511" i="37" s="1"/>
  <c r="W511" i="37"/>
  <c r="Y511" i="37"/>
  <c r="G511" i="37"/>
  <c r="AG511" i="37"/>
  <c r="AE511" i="37"/>
  <c r="AA511" i="37"/>
  <c r="U511" i="37"/>
  <c r="AB511" i="37"/>
  <c r="T512" i="37" l="1"/>
  <c r="G512" i="37"/>
  <c r="Y512" i="37"/>
  <c r="U512" i="37"/>
  <c r="AG512" i="37"/>
  <c r="AE512" i="37"/>
  <c r="AB512" i="37"/>
  <c r="AI512" i="37"/>
  <c r="AH512" i="37"/>
  <c r="F513" i="37"/>
  <c r="X512" i="37"/>
  <c r="Z512" i="37" s="1"/>
  <c r="R512" i="37"/>
  <c r="AA512" i="37"/>
  <c r="W512" i="37"/>
  <c r="AD511" i="37"/>
  <c r="AJ511" i="37"/>
  <c r="AF511" i="37"/>
  <c r="AM511" i="37"/>
  <c r="AN511" i="37" s="1"/>
  <c r="AK511" i="37"/>
  <c r="AL511" i="37" s="1"/>
  <c r="AC511" i="37"/>
  <c r="H511" i="37"/>
  <c r="I511" i="37"/>
  <c r="J511" i="37"/>
  <c r="AC512" i="37" l="1"/>
  <c r="AD512" i="37"/>
  <c r="AM512" i="37"/>
  <c r="AN512" i="37" s="1"/>
  <c r="AK512" i="37"/>
  <c r="AL512" i="37" s="1"/>
  <c r="AJ512" i="37"/>
  <c r="AF512" i="37"/>
  <c r="AI513" i="37"/>
  <c r="R513" i="37"/>
  <c r="G513" i="37"/>
  <c r="AH513" i="37"/>
  <c r="AB513" i="37"/>
  <c r="AC513" i="37" s="1"/>
  <c r="AA513" i="37"/>
  <c r="F514" i="37"/>
  <c r="X513" i="37"/>
  <c r="Z513" i="37" s="1"/>
  <c r="AG513" i="37"/>
  <c r="W513" i="37"/>
  <c r="Y513" i="37"/>
  <c r="T513" i="37"/>
  <c r="U513" i="37"/>
  <c r="AE513" i="37"/>
  <c r="H512" i="37"/>
  <c r="J512" i="37"/>
  <c r="I512" i="37"/>
  <c r="V512" i="37"/>
  <c r="H513" i="37" l="1"/>
  <c r="J513" i="37"/>
  <c r="I513" i="37"/>
  <c r="V513" i="37"/>
  <c r="AB514" i="37"/>
  <c r="AI514" i="37"/>
  <c r="AH514" i="37"/>
  <c r="R514" i="37"/>
  <c r="AA514" i="37"/>
  <c r="G514" i="37"/>
  <c r="W514" i="37"/>
  <c r="F515" i="37"/>
  <c r="X514" i="37"/>
  <c r="Z514" i="37" s="1"/>
  <c r="Y514" i="37"/>
  <c r="AE514" i="37"/>
  <c r="T514" i="37"/>
  <c r="U514" i="37"/>
  <c r="AG514" i="37"/>
  <c r="AD513" i="37"/>
  <c r="AM513" i="37"/>
  <c r="AN513" i="37" s="1"/>
  <c r="AK513" i="37"/>
  <c r="AL513" i="37" s="1"/>
  <c r="AJ513" i="37"/>
  <c r="AF513" i="37"/>
  <c r="F516" i="37" l="1"/>
  <c r="AB515" i="37"/>
  <c r="AI515" i="37"/>
  <c r="AH515" i="37"/>
  <c r="W515" i="37"/>
  <c r="AA515" i="37"/>
  <c r="Y515" i="37"/>
  <c r="AE515" i="37"/>
  <c r="R515" i="37"/>
  <c r="G515" i="37"/>
  <c r="X515" i="37"/>
  <c r="Z515" i="37" s="1"/>
  <c r="U515" i="37"/>
  <c r="T515" i="37"/>
  <c r="AG515" i="37"/>
  <c r="J514" i="37"/>
  <c r="I514" i="37"/>
  <c r="H514" i="37"/>
  <c r="AC514" i="37"/>
  <c r="V514" i="37"/>
  <c r="AD514" i="37"/>
  <c r="AF514" i="37"/>
  <c r="AM514" i="37"/>
  <c r="AN514" i="37" s="1"/>
  <c r="AK514" i="37"/>
  <c r="AL514" i="37" s="1"/>
  <c r="AJ514" i="37"/>
  <c r="AD515" i="37" l="1"/>
  <c r="AK515" i="37"/>
  <c r="AL515" i="37" s="1"/>
  <c r="AM515" i="37"/>
  <c r="AN515" i="37" s="1"/>
  <c r="AJ515" i="37"/>
  <c r="AF515" i="37"/>
  <c r="J515" i="37"/>
  <c r="H515" i="37"/>
  <c r="I515" i="37"/>
  <c r="V515" i="37"/>
  <c r="AC515" i="37"/>
  <c r="AB516" i="37"/>
  <c r="AC516" i="37" s="1"/>
  <c r="AI516" i="37"/>
  <c r="AH516" i="37"/>
  <c r="AA516" i="37"/>
  <c r="X516" i="37"/>
  <c r="U516" i="37"/>
  <c r="W516" i="37"/>
  <c r="Y516" i="37"/>
  <c r="AG516" i="37"/>
  <c r="AE516" i="37"/>
  <c r="G516" i="37"/>
  <c r="T516" i="37"/>
  <c r="V516" i="37" s="1"/>
  <c r="R516" i="37"/>
  <c r="F517" i="37"/>
  <c r="H516" i="37" l="1"/>
  <c r="J516" i="37"/>
  <c r="I516" i="37"/>
  <c r="AD516" i="37"/>
  <c r="AF516" i="37"/>
  <c r="AM516" i="37"/>
  <c r="AN516" i="37" s="1"/>
  <c r="AJ516" i="37"/>
  <c r="AK516" i="37"/>
  <c r="AL516" i="37" s="1"/>
  <c r="AB517" i="37"/>
  <c r="AI517" i="37"/>
  <c r="R517" i="37"/>
  <c r="AH517" i="37"/>
  <c r="F518" i="37"/>
  <c r="AA517" i="37"/>
  <c r="T517" i="37"/>
  <c r="X517" i="37"/>
  <c r="Z517" i="37" s="1"/>
  <c r="Y517" i="37"/>
  <c r="G517" i="37"/>
  <c r="U517" i="37"/>
  <c r="AE517" i="37"/>
  <c r="W517" i="37"/>
  <c r="AG517" i="37"/>
  <c r="Z516" i="37"/>
  <c r="AB518" i="37" l="1"/>
  <c r="AC518" i="37" s="1"/>
  <c r="AH518" i="37"/>
  <c r="R518" i="37"/>
  <c r="F519" i="37"/>
  <c r="AI518" i="37"/>
  <c r="U518" i="37"/>
  <c r="G518" i="37"/>
  <c r="AA518" i="37"/>
  <c r="X518" i="37"/>
  <c r="AE518" i="37"/>
  <c r="W518" i="37"/>
  <c r="T518" i="37"/>
  <c r="V518" i="37" s="1"/>
  <c r="Y518" i="37"/>
  <c r="AG518" i="37"/>
  <c r="AC517" i="37"/>
  <c r="AD517" i="37"/>
  <c r="AF517" i="37"/>
  <c r="AM517" i="37"/>
  <c r="AN517" i="37" s="1"/>
  <c r="AK517" i="37"/>
  <c r="AL517" i="37" s="1"/>
  <c r="AJ517" i="37"/>
  <c r="I517" i="37"/>
  <c r="H517" i="37"/>
  <c r="J517" i="37"/>
  <c r="V517" i="37"/>
  <c r="AD518" i="37" l="1"/>
  <c r="AF518" i="37"/>
  <c r="AM518" i="37"/>
  <c r="AN518" i="37" s="1"/>
  <c r="AK518" i="37"/>
  <c r="AL518" i="37" s="1"/>
  <c r="AJ518" i="37"/>
  <c r="Z518" i="37"/>
  <c r="AI519" i="37"/>
  <c r="F520" i="37"/>
  <c r="AH519" i="37"/>
  <c r="AA519" i="37"/>
  <c r="Y519" i="37"/>
  <c r="W519" i="37"/>
  <c r="G519" i="37"/>
  <c r="U519" i="37"/>
  <c r="X519" i="37"/>
  <c r="R519" i="37"/>
  <c r="T519" i="37"/>
  <c r="AB519" i="37"/>
  <c r="AC519" i="37" s="1"/>
  <c r="AE519" i="37"/>
  <c r="AG519" i="37"/>
  <c r="H518" i="37"/>
  <c r="I518" i="37"/>
  <c r="J518" i="37"/>
  <c r="I519" i="37" l="1"/>
  <c r="J519" i="37"/>
  <c r="H519" i="37"/>
  <c r="F521" i="37"/>
  <c r="AB520" i="37"/>
  <c r="AC520" i="37" s="1"/>
  <c r="X520" i="37"/>
  <c r="G520" i="37"/>
  <c r="AH520" i="37"/>
  <c r="AA520" i="37"/>
  <c r="Y520" i="37"/>
  <c r="AI520" i="37"/>
  <c r="AG520" i="37"/>
  <c r="U520" i="37"/>
  <c r="AE520" i="37"/>
  <c r="W520" i="37"/>
  <c r="T520" i="37"/>
  <c r="R520" i="37"/>
  <c r="AD519" i="37"/>
  <c r="AF519" i="37"/>
  <c r="AM519" i="37"/>
  <c r="AN519" i="37" s="1"/>
  <c r="AK519" i="37"/>
  <c r="AL519" i="37" s="1"/>
  <c r="AJ519" i="37"/>
  <c r="V519" i="37"/>
  <c r="Z519" i="37"/>
  <c r="AD520" i="37" l="1"/>
  <c r="AF520" i="37"/>
  <c r="AJ520" i="37"/>
  <c r="AK520" i="37"/>
  <c r="AL520" i="37" s="1"/>
  <c r="AM520" i="37"/>
  <c r="AN520" i="37" s="1"/>
  <c r="J520" i="37"/>
  <c r="I520" i="37"/>
  <c r="H520" i="37"/>
  <c r="AH521" i="37"/>
  <c r="F522" i="37"/>
  <c r="AI521" i="37"/>
  <c r="R521" i="37"/>
  <c r="AE521" i="37"/>
  <c r="Y521" i="37"/>
  <c r="AA521" i="37"/>
  <c r="W521" i="37"/>
  <c r="AG521" i="37"/>
  <c r="X521" i="37"/>
  <c r="U521" i="37"/>
  <c r="T521" i="37"/>
  <c r="V521" i="37" s="1"/>
  <c r="AB521" i="37"/>
  <c r="G521" i="37"/>
  <c r="Z520" i="37"/>
  <c r="V520" i="37"/>
  <c r="AI522" i="37" l="1"/>
  <c r="F523" i="37"/>
  <c r="W522" i="37"/>
  <c r="AH522" i="37"/>
  <c r="Y522" i="37"/>
  <c r="U522" i="37"/>
  <c r="R522" i="37"/>
  <c r="G522" i="37"/>
  <c r="T522" i="37"/>
  <c r="V522" i="37" s="1"/>
  <c r="AA522" i="37"/>
  <c r="AE522" i="37"/>
  <c r="X522" i="37"/>
  <c r="Z522" i="37" s="1"/>
  <c r="AG522" i="37"/>
  <c r="AB522" i="37"/>
  <c r="AC522" i="37" s="1"/>
  <c r="AC521" i="37"/>
  <c r="AD521" i="37"/>
  <c r="AF521" i="37"/>
  <c r="AJ521" i="37"/>
  <c r="AK521" i="37"/>
  <c r="AL521" i="37" s="1"/>
  <c r="AM521" i="37"/>
  <c r="AN521" i="37" s="1"/>
  <c r="J521" i="37"/>
  <c r="I521" i="37"/>
  <c r="H521" i="37"/>
  <c r="Z521" i="37"/>
  <c r="AD522" i="37" l="1"/>
  <c r="AF522" i="37"/>
  <c r="AK522" i="37"/>
  <c r="AL522" i="37" s="1"/>
  <c r="AM522" i="37"/>
  <c r="AN522" i="37" s="1"/>
  <c r="AJ522" i="37"/>
  <c r="I522" i="37"/>
  <c r="H522" i="37"/>
  <c r="J522" i="37"/>
  <c r="G523" i="37"/>
  <c r="AB523" i="37"/>
  <c r="AC523" i="37" s="1"/>
  <c r="AI523" i="37"/>
  <c r="AH523" i="37"/>
  <c r="W523" i="37"/>
  <c r="X523" i="37"/>
  <c r="Z523" i="37" s="1"/>
  <c r="U523" i="37"/>
  <c r="AA523" i="37"/>
  <c r="T523" i="37"/>
  <c r="V523" i="37" s="1"/>
  <c r="AG523" i="37"/>
  <c r="AE523" i="37"/>
  <c r="R523" i="37"/>
  <c r="Y523" i="37"/>
  <c r="F524" i="37"/>
  <c r="AB524" i="37" l="1"/>
  <c r="F525" i="37"/>
  <c r="AI524" i="37"/>
  <c r="G524" i="37"/>
  <c r="AH524" i="37"/>
  <c r="R524" i="37"/>
  <c r="X524" i="37"/>
  <c r="Y524" i="37"/>
  <c r="W524" i="37"/>
  <c r="AA524" i="37"/>
  <c r="T524" i="37"/>
  <c r="V524" i="37" s="1"/>
  <c r="U524" i="37"/>
  <c r="AG524" i="37"/>
  <c r="AE524" i="37"/>
  <c r="AD523" i="37"/>
  <c r="AF523" i="37"/>
  <c r="AK523" i="37"/>
  <c r="AL523" i="37" s="1"/>
  <c r="AM523" i="37"/>
  <c r="AN523" i="37" s="1"/>
  <c r="AJ523" i="37"/>
  <c r="J523" i="37"/>
  <c r="I523" i="37"/>
  <c r="H523" i="37"/>
  <c r="AD524" i="37" l="1"/>
  <c r="AF524" i="37"/>
  <c r="AK524" i="37"/>
  <c r="AL524" i="37" s="1"/>
  <c r="AM524" i="37"/>
  <c r="AN524" i="37" s="1"/>
  <c r="AJ524" i="37"/>
  <c r="J524" i="37"/>
  <c r="H524" i="37"/>
  <c r="I524" i="37"/>
  <c r="Z524" i="37"/>
  <c r="U525" i="37"/>
  <c r="AA525" i="37"/>
  <c r="X525" i="37"/>
  <c r="Z525" i="37" s="1"/>
  <c r="Y525" i="37"/>
  <c r="W525" i="37"/>
  <c r="R525" i="37"/>
  <c r="F526" i="37"/>
  <c r="AB525" i="37"/>
  <c r="AC525" i="37" s="1"/>
  <c r="G525" i="37"/>
  <c r="AI525" i="37"/>
  <c r="AH525" i="37"/>
  <c r="T525" i="37"/>
  <c r="AG525" i="37"/>
  <c r="AE525" i="37"/>
  <c r="AC524" i="37"/>
  <c r="AD525" i="37" l="1"/>
  <c r="AK525" i="37"/>
  <c r="AL525" i="37" s="1"/>
  <c r="AJ525" i="37"/>
  <c r="AM525" i="37"/>
  <c r="AN525" i="37" s="1"/>
  <c r="AF525" i="37"/>
  <c r="J525" i="37"/>
  <c r="H525" i="37"/>
  <c r="I525" i="37"/>
  <c r="AI526" i="37"/>
  <c r="F527" i="37"/>
  <c r="AA526" i="37"/>
  <c r="W526" i="37"/>
  <c r="AH526" i="37"/>
  <c r="G526" i="37"/>
  <c r="U526" i="37"/>
  <c r="R526" i="37"/>
  <c r="Y526" i="37"/>
  <c r="AG526" i="37"/>
  <c r="X526" i="37"/>
  <c r="Z526" i="37" s="1"/>
  <c r="T526" i="37"/>
  <c r="V526" i="37" s="1"/>
  <c r="AE526" i="37"/>
  <c r="AB526" i="37"/>
  <c r="AC526" i="37" s="1"/>
  <c r="V525" i="37"/>
  <c r="J526" i="37" l="1"/>
  <c r="H526" i="37"/>
  <c r="I526" i="37"/>
  <c r="R527" i="37"/>
  <c r="AB527" i="37"/>
  <c r="AC527" i="37" s="1"/>
  <c r="F528" i="37"/>
  <c r="AH527" i="37"/>
  <c r="G527" i="37"/>
  <c r="AI527" i="37"/>
  <c r="U527" i="37"/>
  <c r="AA527" i="37"/>
  <c r="W527" i="37"/>
  <c r="X527" i="37"/>
  <c r="Z527" i="37" s="1"/>
  <c r="T527" i="37"/>
  <c r="V527" i="37" s="1"/>
  <c r="Y527" i="37"/>
  <c r="AG527" i="37"/>
  <c r="AE527" i="37"/>
  <c r="AD526" i="37"/>
  <c r="AF526" i="37"/>
  <c r="AM526" i="37"/>
  <c r="AN526" i="37" s="1"/>
  <c r="AK526" i="37"/>
  <c r="AL526" i="37" s="1"/>
  <c r="AJ526" i="37"/>
  <c r="J527" i="37" l="1"/>
  <c r="H527" i="37"/>
  <c r="I527" i="37"/>
  <c r="AD527" i="37"/>
  <c r="AK527" i="37"/>
  <c r="AL527" i="37" s="1"/>
  <c r="AM527" i="37"/>
  <c r="AN527" i="37" s="1"/>
  <c r="AF527" i="37"/>
  <c r="AJ527" i="37"/>
  <c r="AB528" i="37"/>
  <c r="AC528" i="37" s="1"/>
  <c r="AI528" i="37"/>
  <c r="AH528" i="37"/>
  <c r="R528" i="37"/>
  <c r="X528" i="37"/>
  <c r="Z528" i="37" s="1"/>
  <c r="F529" i="37"/>
  <c r="Y528" i="37"/>
  <c r="G528" i="37"/>
  <c r="AA528" i="37"/>
  <c r="W528" i="37"/>
  <c r="U528" i="37"/>
  <c r="AG528" i="37"/>
  <c r="T528" i="37"/>
  <c r="V528" i="37" s="1"/>
  <c r="AE528" i="37"/>
  <c r="AD528" i="37" l="1"/>
  <c r="AM528" i="37"/>
  <c r="AN528" i="37" s="1"/>
  <c r="AJ528" i="37"/>
  <c r="AF528" i="37"/>
  <c r="AK528" i="37"/>
  <c r="AL528" i="37" s="1"/>
  <c r="AI529" i="37"/>
  <c r="AH529" i="37"/>
  <c r="AA529" i="37"/>
  <c r="X529" i="37"/>
  <c r="Z529" i="37" s="1"/>
  <c r="F530" i="37"/>
  <c r="G529" i="37"/>
  <c r="AB529" i="37"/>
  <c r="AC529" i="37" s="1"/>
  <c r="Y529" i="37"/>
  <c r="T529" i="37"/>
  <c r="V529" i="37" s="1"/>
  <c r="U529" i="37"/>
  <c r="AG529" i="37"/>
  <c r="W529" i="37"/>
  <c r="R529" i="37"/>
  <c r="AE529" i="37"/>
  <c r="J528" i="37"/>
  <c r="H528" i="37"/>
  <c r="I528" i="37"/>
  <c r="AD529" i="37" l="1"/>
  <c r="AJ529" i="37"/>
  <c r="AF529" i="37"/>
  <c r="AM529" i="37"/>
  <c r="AN529" i="37" s="1"/>
  <c r="AK529" i="37"/>
  <c r="AL529" i="37" s="1"/>
  <c r="J529" i="37"/>
  <c r="I529" i="37"/>
  <c r="H529" i="37"/>
  <c r="AI530" i="37"/>
  <c r="AG530" i="37"/>
  <c r="AH530" i="37"/>
  <c r="R530" i="37"/>
  <c r="AA530" i="37"/>
  <c r="Y530" i="37"/>
  <c r="X530" i="37"/>
  <c r="G530" i="37"/>
  <c r="F531" i="37"/>
  <c r="W530" i="37"/>
  <c r="T530" i="37"/>
  <c r="U530" i="37"/>
  <c r="AE530" i="37"/>
  <c r="AB530" i="37"/>
  <c r="AC530" i="37" l="1"/>
  <c r="AD530" i="37"/>
  <c r="AM530" i="37"/>
  <c r="AN530" i="37" s="1"/>
  <c r="AK530" i="37"/>
  <c r="AL530" i="37" s="1"/>
  <c r="AJ530" i="37"/>
  <c r="AF530" i="37"/>
  <c r="V530" i="37"/>
  <c r="AI531" i="37"/>
  <c r="X531" i="37"/>
  <c r="T531" i="37"/>
  <c r="U531" i="37"/>
  <c r="AE531" i="37"/>
  <c r="R531" i="37"/>
  <c r="Y531" i="37"/>
  <c r="W531" i="37"/>
  <c r="AA531" i="37"/>
  <c r="AG531" i="37"/>
  <c r="AB531" i="37"/>
  <c r="G531" i="37"/>
  <c r="AH531" i="37"/>
  <c r="F532" i="37"/>
  <c r="I530" i="37"/>
  <c r="J530" i="37"/>
  <c r="H530" i="37"/>
  <c r="Z530" i="37"/>
  <c r="Z531" i="37" l="1"/>
  <c r="AI532" i="37"/>
  <c r="AH532" i="37"/>
  <c r="X532" i="37"/>
  <c r="T532" i="37"/>
  <c r="Y532" i="37"/>
  <c r="U532" i="37"/>
  <c r="W532" i="37"/>
  <c r="G532" i="37"/>
  <c r="F533" i="37"/>
  <c r="AB532" i="37"/>
  <c r="AA532" i="37"/>
  <c r="R532" i="37"/>
  <c r="AE532" i="37"/>
  <c r="AG532" i="37"/>
  <c r="AD531" i="37"/>
  <c r="AM531" i="37"/>
  <c r="AN531" i="37" s="1"/>
  <c r="AF531" i="37"/>
  <c r="AK531" i="37"/>
  <c r="AL531" i="37" s="1"/>
  <c r="AJ531" i="37"/>
  <c r="I531" i="37"/>
  <c r="H531" i="37"/>
  <c r="J531" i="37"/>
  <c r="AC531" i="37"/>
  <c r="V531" i="37"/>
  <c r="AD532" i="37" l="1"/>
  <c r="AM532" i="37"/>
  <c r="AN532" i="37" s="1"/>
  <c r="AF532" i="37"/>
  <c r="AJ532" i="37"/>
  <c r="AK532" i="37"/>
  <c r="AL532" i="37" s="1"/>
  <c r="V532" i="37"/>
  <c r="Z532" i="37"/>
  <c r="AC532" i="37"/>
  <c r="AB533" i="37"/>
  <c r="AC533" i="37" s="1"/>
  <c r="G533" i="37"/>
  <c r="AI533" i="37"/>
  <c r="F534" i="37"/>
  <c r="AG533" i="37"/>
  <c r="AH533" i="37"/>
  <c r="R533" i="37"/>
  <c r="X533" i="37"/>
  <c r="AE533" i="37"/>
  <c r="W533" i="37"/>
  <c r="T533" i="37"/>
  <c r="AA533" i="37"/>
  <c r="Y533" i="37"/>
  <c r="U533" i="37"/>
  <c r="I532" i="37"/>
  <c r="J532" i="37"/>
  <c r="H532" i="37"/>
  <c r="AB534" i="37" l="1"/>
  <c r="AC534" i="37" s="1"/>
  <c r="AH534" i="37"/>
  <c r="F535" i="37"/>
  <c r="R534" i="37"/>
  <c r="AI534" i="37"/>
  <c r="G534" i="37"/>
  <c r="U534" i="37"/>
  <c r="W534" i="37"/>
  <c r="AA534" i="37"/>
  <c r="X534" i="37"/>
  <c r="Y534" i="37"/>
  <c r="T534" i="37"/>
  <c r="V534" i="37" s="1"/>
  <c r="AE534" i="37"/>
  <c r="AG534" i="37"/>
  <c r="AD533" i="37"/>
  <c r="AM533" i="37"/>
  <c r="AN533" i="37" s="1"/>
  <c r="AF533" i="37"/>
  <c r="AK533" i="37"/>
  <c r="AL533" i="37" s="1"/>
  <c r="AJ533" i="37"/>
  <c r="J533" i="37"/>
  <c r="I533" i="37"/>
  <c r="H533" i="37"/>
  <c r="Z533" i="37"/>
  <c r="V533" i="37"/>
  <c r="AD534" i="37" l="1"/>
  <c r="AK534" i="37"/>
  <c r="AL534" i="37" s="1"/>
  <c r="AF534" i="37"/>
  <c r="AM534" i="37"/>
  <c r="AN534" i="37" s="1"/>
  <c r="AJ534" i="37"/>
  <c r="J534" i="37"/>
  <c r="H534" i="37"/>
  <c r="I534" i="37"/>
  <c r="Z534" i="37"/>
  <c r="F536" i="37"/>
  <c r="AB535" i="37"/>
  <c r="AC535" i="37" s="1"/>
  <c r="R535" i="37"/>
  <c r="AH535" i="37"/>
  <c r="G535" i="37"/>
  <c r="W535" i="37"/>
  <c r="AG535" i="37"/>
  <c r="AI535" i="37"/>
  <c r="X535" i="37"/>
  <c r="U535" i="37"/>
  <c r="AA535" i="37"/>
  <c r="T535" i="37"/>
  <c r="V535" i="37" s="1"/>
  <c r="Y535" i="37"/>
  <c r="AE535" i="37"/>
  <c r="Z535" i="37" l="1"/>
  <c r="AB536" i="37"/>
  <c r="W536" i="37"/>
  <c r="G536" i="37"/>
  <c r="Y536" i="37"/>
  <c r="AH536" i="37"/>
  <c r="X536" i="37"/>
  <c r="Z536" i="37" s="1"/>
  <c r="AI536" i="37"/>
  <c r="F537" i="37"/>
  <c r="U536" i="37"/>
  <c r="R536" i="37"/>
  <c r="T536" i="37"/>
  <c r="V536" i="37" s="1"/>
  <c r="AA536" i="37"/>
  <c r="AG536" i="37"/>
  <c r="AE536" i="37"/>
  <c r="J535" i="37"/>
  <c r="H535" i="37"/>
  <c r="I535" i="37"/>
  <c r="AD535" i="37"/>
  <c r="AF535" i="37"/>
  <c r="AK535" i="37"/>
  <c r="AL535" i="37" s="1"/>
  <c r="AM535" i="37"/>
  <c r="AN535" i="37" s="1"/>
  <c r="AJ535" i="37"/>
  <c r="AI537" i="37" l="1"/>
  <c r="AA537" i="37"/>
  <c r="G537" i="37"/>
  <c r="T537" i="37"/>
  <c r="Y537" i="37"/>
  <c r="AB537" i="37"/>
  <c r="AC537" i="37" s="1"/>
  <c r="AH537" i="37"/>
  <c r="R537" i="37"/>
  <c r="W537" i="37"/>
  <c r="F538" i="37"/>
  <c r="U537" i="37"/>
  <c r="X537" i="37"/>
  <c r="Z537" i="37" s="1"/>
  <c r="AE537" i="37"/>
  <c r="AG537" i="37"/>
  <c r="H536" i="37"/>
  <c r="I536" i="37"/>
  <c r="J536" i="37"/>
  <c r="AC536" i="37"/>
  <c r="AD536" i="37"/>
  <c r="AM536" i="37"/>
  <c r="AN536" i="37" s="1"/>
  <c r="AK536" i="37"/>
  <c r="AL536" i="37" s="1"/>
  <c r="AF536" i="37"/>
  <c r="AJ536" i="37"/>
  <c r="V537" i="37" l="1"/>
  <c r="AB538" i="37"/>
  <c r="G538" i="37"/>
  <c r="X538" i="37"/>
  <c r="T538" i="37"/>
  <c r="AH538" i="37"/>
  <c r="F539" i="37"/>
  <c r="AI538" i="37"/>
  <c r="R538" i="37"/>
  <c r="AE538" i="37"/>
  <c r="AA538" i="37"/>
  <c r="W538" i="37"/>
  <c r="Y538" i="37"/>
  <c r="U538" i="37"/>
  <c r="AG538" i="37"/>
  <c r="H537" i="37"/>
  <c r="J537" i="37"/>
  <c r="I537" i="37"/>
  <c r="AD537" i="37"/>
  <c r="AF537" i="37"/>
  <c r="AK537" i="37"/>
  <c r="AL537" i="37" s="1"/>
  <c r="AM537" i="37"/>
  <c r="AN537" i="37" s="1"/>
  <c r="AJ537" i="37"/>
  <c r="AD538" i="37" l="1"/>
  <c r="AJ538" i="37"/>
  <c r="AM538" i="37"/>
  <c r="AN538" i="37" s="1"/>
  <c r="AK538" i="37"/>
  <c r="AL538" i="37" s="1"/>
  <c r="AF538" i="37"/>
  <c r="AB539" i="37"/>
  <c r="AI539" i="37"/>
  <c r="T539" i="37"/>
  <c r="V539" i="37" s="1"/>
  <c r="AA539" i="37"/>
  <c r="AH539" i="37"/>
  <c r="R539" i="37"/>
  <c r="W539" i="37"/>
  <c r="G539" i="37"/>
  <c r="Y539" i="37"/>
  <c r="F540" i="37"/>
  <c r="X539" i="37"/>
  <c r="U539" i="37"/>
  <c r="AG539" i="37"/>
  <c r="AE539" i="37"/>
  <c r="Z538" i="37"/>
  <c r="V538" i="37"/>
  <c r="I538" i="37"/>
  <c r="H538" i="37"/>
  <c r="J538" i="37"/>
  <c r="AC538" i="37"/>
  <c r="H539" i="37" l="1"/>
  <c r="I539" i="37"/>
  <c r="J539" i="37"/>
  <c r="AC539" i="37"/>
  <c r="AD539" i="37"/>
  <c r="AJ539" i="37"/>
  <c r="AK539" i="37"/>
  <c r="AL539" i="37" s="1"/>
  <c r="AM539" i="37"/>
  <c r="AN539" i="37" s="1"/>
  <c r="AF539" i="37"/>
  <c r="Z539" i="37"/>
  <c r="AB540" i="37"/>
  <c r="AC540" i="37" s="1"/>
  <c r="F541" i="37"/>
  <c r="AI540" i="37"/>
  <c r="U540" i="37"/>
  <c r="AG540" i="37"/>
  <c r="G540" i="37"/>
  <c r="W540" i="37"/>
  <c r="AE540" i="37"/>
  <c r="AH540" i="37"/>
  <c r="AA540" i="37"/>
  <c r="Y540" i="37"/>
  <c r="X540" i="37"/>
  <c r="Z540" i="37" s="1"/>
  <c r="T540" i="37"/>
  <c r="R540" i="37"/>
  <c r="F542" i="37" l="1"/>
  <c r="G541" i="37"/>
  <c r="AB541" i="37"/>
  <c r="AC541" i="37" s="1"/>
  <c r="R541" i="37"/>
  <c r="Y541" i="37"/>
  <c r="T541" i="37"/>
  <c r="AI541" i="37"/>
  <c r="AH541" i="37"/>
  <c r="X541" i="37"/>
  <c r="Z541" i="37" s="1"/>
  <c r="W541" i="37"/>
  <c r="AA541" i="37"/>
  <c r="AG541" i="37"/>
  <c r="AE541" i="37"/>
  <c r="U541" i="37"/>
  <c r="AD540" i="37"/>
  <c r="AF540" i="37"/>
  <c r="AK540" i="37"/>
  <c r="AL540" i="37" s="1"/>
  <c r="AJ540" i="37"/>
  <c r="AM540" i="37"/>
  <c r="AN540" i="37" s="1"/>
  <c r="V540" i="37"/>
  <c r="I540" i="37"/>
  <c r="J540" i="37"/>
  <c r="H540" i="37"/>
  <c r="AD541" i="37" l="1"/>
  <c r="AF541" i="37"/>
  <c r="AJ541" i="37"/>
  <c r="AK541" i="37"/>
  <c r="AL541" i="37" s="1"/>
  <c r="AM541" i="37"/>
  <c r="AN541" i="37" s="1"/>
  <c r="V541" i="37"/>
  <c r="J541" i="37"/>
  <c r="H541" i="37"/>
  <c r="I541" i="37"/>
  <c r="R542" i="37"/>
  <c r="AA542" i="37"/>
  <c r="AB542" i="37"/>
  <c r="AC542" i="37" s="1"/>
  <c r="F543" i="37"/>
  <c r="AI542" i="37"/>
  <c r="G542" i="37"/>
  <c r="AH542" i="37"/>
  <c r="X542" i="37"/>
  <c r="W542" i="37"/>
  <c r="U542" i="37"/>
  <c r="AG542" i="37"/>
  <c r="AE542" i="37"/>
  <c r="Y542" i="37"/>
  <c r="T542" i="37"/>
  <c r="V542" i="37" s="1"/>
  <c r="AD542" i="37" l="1"/>
  <c r="AF542" i="37"/>
  <c r="AK542" i="37"/>
  <c r="AL542" i="37" s="1"/>
  <c r="AM542" i="37"/>
  <c r="AN542" i="37" s="1"/>
  <c r="AJ542" i="37"/>
  <c r="AH543" i="37"/>
  <c r="G543" i="37"/>
  <c r="U543" i="37"/>
  <c r="F544" i="37"/>
  <c r="AA543" i="37"/>
  <c r="AI543" i="37"/>
  <c r="AB543" i="37"/>
  <c r="AC543" i="37" s="1"/>
  <c r="Y543" i="37"/>
  <c r="R543" i="37"/>
  <c r="X543" i="37"/>
  <c r="T543" i="37"/>
  <c r="W543" i="37"/>
  <c r="AE543" i="37"/>
  <c r="AG543" i="37"/>
  <c r="Z542" i="37"/>
  <c r="J542" i="37"/>
  <c r="I542" i="37"/>
  <c r="H542" i="37"/>
  <c r="AB544" i="37" l="1"/>
  <c r="AI544" i="37"/>
  <c r="AH544" i="37"/>
  <c r="X544" i="37"/>
  <c r="U544" i="37"/>
  <c r="R544" i="37"/>
  <c r="F545" i="37"/>
  <c r="W544" i="37"/>
  <c r="G544" i="37"/>
  <c r="AA544" i="37"/>
  <c r="Y544" i="37"/>
  <c r="T544" i="37"/>
  <c r="V544" i="37" s="1"/>
  <c r="AE544" i="37"/>
  <c r="AG544" i="37"/>
  <c r="J543" i="37"/>
  <c r="I543" i="37"/>
  <c r="H543" i="37"/>
  <c r="AD543" i="37"/>
  <c r="AM543" i="37"/>
  <c r="AN543" i="37" s="1"/>
  <c r="AK543" i="37"/>
  <c r="AL543" i="37" s="1"/>
  <c r="AF543" i="37"/>
  <c r="AJ543" i="37"/>
  <c r="V543" i="37"/>
  <c r="Z543" i="37"/>
  <c r="AD544" i="37" l="1"/>
  <c r="AK544" i="37"/>
  <c r="AL544" i="37" s="1"/>
  <c r="AM544" i="37"/>
  <c r="AN544" i="37" s="1"/>
  <c r="AF544" i="37"/>
  <c r="AJ544" i="37"/>
  <c r="Z544" i="37"/>
  <c r="J544" i="37"/>
  <c r="H544" i="37"/>
  <c r="I544" i="37"/>
  <c r="AB545" i="37"/>
  <c r="AC545" i="37" s="1"/>
  <c r="G545" i="37"/>
  <c r="AI545" i="37"/>
  <c r="F546" i="37"/>
  <c r="AH545" i="37"/>
  <c r="Y545" i="37"/>
  <c r="U545" i="37"/>
  <c r="AE545" i="37"/>
  <c r="T545" i="37"/>
  <c r="V545" i="37" s="1"/>
  <c r="AA545" i="37"/>
  <c r="W545" i="37"/>
  <c r="X545" i="37"/>
  <c r="Z545" i="37" s="1"/>
  <c r="AG545" i="37"/>
  <c r="R545" i="37"/>
  <c r="AC544" i="37"/>
  <c r="I545" i="37" l="1"/>
  <c r="J545" i="37"/>
  <c r="H545" i="37"/>
  <c r="AA546" i="37"/>
  <c r="T546" i="37"/>
  <c r="V546" i="37" s="1"/>
  <c r="AG546" i="37"/>
  <c r="AE546" i="37"/>
  <c r="AB546" i="37"/>
  <c r="AC546" i="37" s="1"/>
  <c r="R546" i="37"/>
  <c r="AI546" i="37"/>
  <c r="G546" i="37"/>
  <c r="AH546" i="37"/>
  <c r="F547" i="37"/>
  <c r="Y546" i="37"/>
  <c r="U546" i="37"/>
  <c r="X546" i="37"/>
  <c r="W546" i="37"/>
  <c r="AD545" i="37"/>
  <c r="AF545" i="37"/>
  <c r="AM545" i="37"/>
  <c r="AN545" i="37" s="1"/>
  <c r="AJ545" i="37"/>
  <c r="AK545" i="37"/>
  <c r="AL545" i="37" s="1"/>
  <c r="AD546" i="37" l="1"/>
  <c r="AF546" i="37"/>
  <c r="AM546" i="37"/>
  <c r="AN546" i="37" s="1"/>
  <c r="AK546" i="37"/>
  <c r="AL546" i="37" s="1"/>
  <c r="AJ546" i="37"/>
  <c r="F548" i="37"/>
  <c r="AB547" i="37"/>
  <c r="AC547" i="37" s="1"/>
  <c r="W547" i="37"/>
  <c r="AI547" i="37"/>
  <c r="AH547" i="37"/>
  <c r="X547" i="37"/>
  <c r="Y547" i="37"/>
  <c r="AA547" i="37"/>
  <c r="AE547" i="37"/>
  <c r="G547" i="37"/>
  <c r="U547" i="37"/>
  <c r="T547" i="37"/>
  <c r="V547" i="37" s="1"/>
  <c r="R547" i="37"/>
  <c r="AG547" i="37"/>
  <c r="J546" i="37"/>
  <c r="I546" i="37"/>
  <c r="H546" i="37"/>
  <c r="Z546" i="37"/>
  <c r="Z547" i="37" l="1"/>
  <c r="AD547" i="37"/>
  <c r="AM547" i="37"/>
  <c r="AN547" i="37" s="1"/>
  <c r="AK547" i="37"/>
  <c r="AL547" i="37" s="1"/>
  <c r="AJ547" i="37"/>
  <c r="AF547" i="37"/>
  <c r="AI548" i="37"/>
  <c r="AH548" i="37"/>
  <c r="Y548" i="37"/>
  <c r="AA548" i="37"/>
  <c r="T548" i="37"/>
  <c r="V548" i="37" s="1"/>
  <c r="X548" i="37"/>
  <c r="Z548" i="37" s="1"/>
  <c r="R548" i="37"/>
  <c r="AB548" i="37"/>
  <c r="AC548" i="37" s="1"/>
  <c r="U548" i="37"/>
  <c r="W548" i="37"/>
  <c r="AE548" i="37"/>
  <c r="F549" i="37"/>
  <c r="G548" i="37"/>
  <c r="AG548" i="37"/>
  <c r="H547" i="37"/>
  <c r="J547" i="37"/>
  <c r="I547" i="37"/>
  <c r="J548" i="37" l="1"/>
  <c r="H548" i="37"/>
  <c r="I548" i="37"/>
  <c r="AB549" i="37"/>
  <c r="AI549" i="37"/>
  <c r="AH549" i="37"/>
  <c r="F550" i="37"/>
  <c r="Y549" i="37"/>
  <c r="R549" i="37"/>
  <c r="W549" i="37"/>
  <c r="T549" i="37"/>
  <c r="G549" i="37"/>
  <c r="U549" i="37"/>
  <c r="AA549" i="37"/>
  <c r="AE549" i="37"/>
  <c r="X549" i="37"/>
  <c r="AG549" i="37"/>
  <c r="AD548" i="37"/>
  <c r="AM548" i="37"/>
  <c r="AN548" i="37" s="1"/>
  <c r="AK548" i="37"/>
  <c r="AL548" i="37" s="1"/>
  <c r="AJ548" i="37"/>
  <c r="AF548" i="37"/>
  <c r="H549" i="37" l="1"/>
  <c r="I549" i="37"/>
  <c r="J549" i="37"/>
  <c r="AH550" i="37"/>
  <c r="W550" i="37"/>
  <c r="T550" i="37"/>
  <c r="V550" i="37" s="1"/>
  <c r="AG550" i="37"/>
  <c r="AE550" i="37"/>
  <c r="X550" i="37"/>
  <c r="AA550" i="37"/>
  <c r="Y550" i="37"/>
  <c r="R550" i="37"/>
  <c r="G550" i="37"/>
  <c r="F551" i="37"/>
  <c r="AB550" i="37"/>
  <c r="AI550" i="37"/>
  <c r="U550" i="37"/>
  <c r="AC549" i="37"/>
  <c r="V549" i="37"/>
  <c r="Z549" i="37"/>
  <c r="AD549" i="37"/>
  <c r="AM549" i="37"/>
  <c r="AN549" i="37" s="1"/>
  <c r="AJ549" i="37"/>
  <c r="AF549" i="37"/>
  <c r="AK549" i="37"/>
  <c r="AL549" i="37" s="1"/>
  <c r="Z550" i="37" l="1"/>
  <c r="AI551" i="37"/>
  <c r="G551" i="37"/>
  <c r="AH551" i="37"/>
  <c r="R551" i="37"/>
  <c r="Y551" i="37"/>
  <c r="AA551" i="37"/>
  <c r="U551" i="37"/>
  <c r="T551" i="37"/>
  <c r="V551" i="37" s="1"/>
  <c r="AG551" i="37"/>
  <c r="AE551" i="37"/>
  <c r="X551" i="37"/>
  <c r="Z551" i="37" s="1"/>
  <c r="W551" i="37"/>
  <c r="F552" i="37"/>
  <c r="AB551" i="37"/>
  <c r="J550" i="37"/>
  <c r="I550" i="37"/>
  <c r="H550" i="37"/>
  <c r="AD550" i="37"/>
  <c r="AK550" i="37"/>
  <c r="AL550" i="37" s="1"/>
  <c r="AM550" i="37"/>
  <c r="AN550" i="37" s="1"/>
  <c r="AJ550" i="37"/>
  <c r="AF550" i="37"/>
  <c r="AC550" i="37"/>
  <c r="AB552" i="37" l="1"/>
  <c r="AI552" i="37"/>
  <c r="R552" i="37"/>
  <c r="G552" i="37"/>
  <c r="F553" i="37"/>
  <c r="AG552" i="37"/>
  <c r="AH552" i="37"/>
  <c r="Y552" i="37"/>
  <c r="AE552" i="37"/>
  <c r="X552" i="37"/>
  <c r="Z552" i="37" s="1"/>
  <c r="W552" i="37"/>
  <c r="U552" i="37"/>
  <c r="AA552" i="37"/>
  <c r="T552" i="37"/>
  <c r="V552" i="37" s="1"/>
  <c r="AD551" i="37"/>
  <c r="AF551" i="37"/>
  <c r="AM551" i="37"/>
  <c r="AN551" i="37" s="1"/>
  <c r="AJ551" i="37"/>
  <c r="AK551" i="37"/>
  <c r="AL551" i="37" s="1"/>
  <c r="I551" i="37"/>
  <c r="J551" i="37"/>
  <c r="H551" i="37"/>
  <c r="AC551" i="37"/>
  <c r="J552" i="37" l="1"/>
  <c r="H552" i="37"/>
  <c r="I552" i="37"/>
  <c r="AD552" i="37"/>
  <c r="AF552" i="37"/>
  <c r="AK552" i="37"/>
  <c r="AL552" i="37" s="1"/>
  <c r="AM552" i="37"/>
  <c r="AN552" i="37" s="1"/>
  <c r="AJ552" i="37"/>
  <c r="R553" i="37"/>
  <c r="AB553" i="37"/>
  <c r="AC553" i="37" s="1"/>
  <c r="Y553" i="37"/>
  <c r="AI553" i="37"/>
  <c r="AH553" i="37"/>
  <c r="U553" i="37"/>
  <c r="X553" i="37"/>
  <c r="AA553" i="37"/>
  <c r="G553" i="37"/>
  <c r="F554" i="37"/>
  <c r="AG553" i="37"/>
  <c r="T553" i="37"/>
  <c r="W553" i="37"/>
  <c r="AE553" i="37"/>
  <c r="AC552" i="37"/>
  <c r="AD553" i="37" l="1"/>
  <c r="AJ553" i="37"/>
  <c r="AM553" i="37"/>
  <c r="AN553" i="37" s="1"/>
  <c r="AK553" i="37"/>
  <c r="AL553" i="37" s="1"/>
  <c r="AF553" i="37"/>
  <c r="AB554" i="37"/>
  <c r="AC554" i="37" s="1"/>
  <c r="G554" i="37"/>
  <c r="F555" i="37"/>
  <c r="Y554" i="37"/>
  <c r="T554" i="37"/>
  <c r="V554" i="37" s="1"/>
  <c r="AI554" i="37"/>
  <c r="AH554" i="37"/>
  <c r="X554" i="37"/>
  <c r="Z554" i="37" s="1"/>
  <c r="AA554" i="37"/>
  <c r="AE554" i="37"/>
  <c r="W554" i="37"/>
  <c r="U554" i="37"/>
  <c r="AG554" i="37"/>
  <c r="R554" i="37"/>
  <c r="V553" i="37"/>
  <c r="H553" i="37"/>
  <c r="J553" i="37"/>
  <c r="I553" i="37"/>
  <c r="Z553" i="37"/>
  <c r="AB555" i="37" l="1"/>
  <c r="AI555" i="37"/>
  <c r="AH555" i="37"/>
  <c r="X555" i="37"/>
  <c r="W555" i="37"/>
  <c r="T555" i="37"/>
  <c r="AA555" i="37"/>
  <c r="U555" i="37"/>
  <c r="G555" i="37"/>
  <c r="Y555" i="37"/>
  <c r="AG555" i="37"/>
  <c r="R555" i="37"/>
  <c r="F556" i="37"/>
  <c r="AE555" i="37"/>
  <c r="I554" i="37"/>
  <c r="J554" i="37"/>
  <c r="H554" i="37"/>
  <c r="AD554" i="37"/>
  <c r="AM554" i="37"/>
  <c r="AN554" i="37" s="1"/>
  <c r="AK554" i="37"/>
  <c r="AL554" i="37" s="1"/>
  <c r="AF554" i="37"/>
  <c r="AJ554" i="37"/>
  <c r="AB556" i="37" l="1"/>
  <c r="AI556" i="37"/>
  <c r="AH556" i="37"/>
  <c r="G556" i="37"/>
  <c r="F557" i="37"/>
  <c r="W556" i="37"/>
  <c r="Y556" i="37"/>
  <c r="U556" i="37"/>
  <c r="T556" i="37"/>
  <c r="V556" i="37" s="1"/>
  <c r="AA556" i="37"/>
  <c r="R556" i="37"/>
  <c r="X556" i="37"/>
  <c r="Z556" i="37" s="1"/>
  <c r="AE556" i="37"/>
  <c r="AG556" i="37"/>
  <c r="AD555" i="37"/>
  <c r="AF555" i="37"/>
  <c r="AK555" i="37"/>
  <c r="AL555" i="37" s="1"/>
  <c r="AJ555" i="37"/>
  <c r="AM555" i="37"/>
  <c r="AN555" i="37" s="1"/>
  <c r="V555" i="37"/>
  <c r="Z555" i="37"/>
  <c r="I555" i="37"/>
  <c r="H555" i="37"/>
  <c r="J555" i="37"/>
  <c r="AC555" i="37"/>
  <c r="AD556" i="37" l="1"/>
  <c r="AJ556" i="37"/>
  <c r="AF556" i="37"/>
  <c r="AK556" i="37"/>
  <c r="AL556" i="37" s="1"/>
  <c r="AM556" i="37"/>
  <c r="AN556" i="37" s="1"/>
  <c r="AI557" i="37"/>
  <c r="AH557" i="37"/>
  <c r="U557" i="37"/>
  <c r="Y557" i="37"/>
  <c r="X557" i="37"/>
  <c r="AA557" i="37"/>
  <c r="AG557" i="37"/>
  <c r="AB557" i="37"/>
  <c r="AC557" i="37" s="1"/>
  <c r="W557" i="37"/>
  <c r="T557" i="37"/>
  <c r="G557" i="37"/>
  <c r="F558" i="37"/>
  <c r="AE557" i="37"/>
  <c r="R557" i="37"/>
  <c r="H556" i="37"/>
  <c r="J556" i="37"/>
  <c r="I556" i="37"/>
  <c r="AC556" i="37"/>
  <c r="Z557" i="37" l="1"/>
  <c r="AB558" i="37"/>
  <c r="G558" i="37"/>
  <c r="W558" i="37"/>
  <c r="R558" i="37"/>
  <c r="U558" i="37"/>
  <c r="AH558" i="37"/>
  <c r="F559" i="37"/>
  <c r="AA558" i="37"/>
  <c r="AI558" i="37"/>
  <c r="T558" i="37"/>
  <c r="V558" i="37" s="1"/>
  <c r="Y558" i="37"/>
  <c r="X558" i="37"/>
  <c r="Z558" i="37" s="1"/>
  <c r="AE558" i="37"/>
  <c r="AG558" i="37"/>
  <c r="AD557" i="37"/>
  <c r="AK557" i="37"/>
  <c r="AL557" i="37" s="1"/>
  <c r="AF557" i="37"/>
  <c r="AJ557" i="37"/>
  <c r="AM557" i="37"/>
  <c r="AN557" i="37" s="1"/>
  <c r="J557" i="37"/>
  <c r="I557" i="37"/>
  <c r="H557" i="37"/>
  <c r="V557" i="37"/>
  <c r="AD558" i="37" l="1"/>
  <c r="AK558" i="37"/>
  <c r="AL558" i="37" s="1"/>
  <c r="AM558" i="37"/>
  <c r="AN558" i="37" s="1"/>
  <c r="AF558" i="37"/>
  <c r="AJ558" i="37"/>
  <c r="AI559" i="37"/>
  <c r="AH559" i="37"/>
  <c r="R559" i="37"/>
  <c r="U559" i="37"/>
  <c r="G559" i="37"/>
  <c r="Y559" i="37"/>
  <c r="F560" i="37"/>
  <c r="AB559" i="37"/>
  <c r="AC559" i="37" s="1"/>
  <c r="W559" i="37"/>
  <c r="AA559" i="37"/>
  <c r="X559" i="37"/>
  <c r="T559" i="37"/>
  <c r="AE559" i="37"/>
  <c r="AG559" i="37"/>
  <c r="I558" i="37"/>
  <c r="H558" i="37"/>
  <c r="J558" i="37"/>
  <c r="AC558" i="37"/>
  <c r="H559" i="37" l="1"/>
  <c r="J559" i="37"/>
  <c r="I559" i="37"/>
  <c r="G560" i="37"/>
  <c r="T560" i="37"/>
  <c r="V560" i="37" s="1"/>
  <c r="AE560" i="37"/>
  <c r="AB560" i="37"/>
  <c r="Y560" i="37"/>
  <c r="AI560" i="37"/>
  <c r="AH560" i="37"/>
  <c r="X560" i="37"/>
  <c r="Z560" i="37" s="1"/>
  <c r="AG560" i="37"/>
  <c r="R560" i="37"/>
  <c r="F561" i="37"/>
  <c r="AA560" i="37"/>
  <c r="U560" i="37"/>
  <c r="W560" i="37"/>
  <c r="AD559" i="37"/>
  <c r="AF559" i="37"/>
  <c r="AK559" i="37"/>
  <c r="AL559" i="37" s="1"/>
  <c r="AM559" i="37"/>
  <c r="AN559" i="37" s="1"/>
  <c r="AJ559" i="37"/>
  <c r="V559" i="37"/>
  <c r="Z559" i="37"/>
  <c r="AC560" i="37" l="1"/>
  <c r="AB561" i="37"/>
  <c r="AH561" i="37"/>
  <c r="AI561" i="37"/>
  <c r="R561" i="37"/>
  <c r="AA561" i="37"/>
  <c r="G561" i="37"/>
  <c r="W561" i="37"/>
  <c r="F562" i="37"/>
  <c r="X561" i="37"/>
  <c r="Z561" i="37" s="1"/>
  <c r="U561" i="37"/>
  <c r="AG561" i="37"/>
  <c r="Y561" i="37"/>
  <c r="T561" i="37"/>
  <c r="AE561" i="37"/>
  <c r="AD560" i="37"/>
  <c r="AF560" i="37"/>
  <c r="AM560" i="37"/>
  <c r="AN560" i="37" s="1"/>
  <c r="AK560" i="37"/>
  <c r="AL560" i="37" s="1"/>
  <c r="AJ560" i="37"/>
  <c r="J560" i="37"/>
  <c r="H560" i="37"/>
  <c r="I560" i="37"/>
  <c r="I561" i="37" l="1"/>
  <c r="J561" i="37"/>
  <c r="H561" i="37"/>
  <c r="AB562" i="37"/>
  <c r="R562" i="37"/>
  <c r="AI562" i="37"/>
  <c r="G562" i="37"/>
  <c r="AA562" i="37"/>
  <c r="AH562" i="37"/>
  <c r="F563" i="37"/>
  <c r="X562" i="37"/>
  <c r="Y562" i="37"/>
  <c r="T562" i="37"/>
  <c r="V562" i="37" s="1"/>
  <c r="U562" i="37"/>
  <c r="W562" i="37"/>
  <c r="AE562" i="37"/>
  <c r="AG562" i="37"/>
  <c r="V561" i="37"/>
  <c r="AC561" i="37"/>
  <c r="AD561" i="37"/>
  <c r="AF561" i="37"/>
  <c r="AM561" i="37"/>
  <c r="AN561" i="37" s="1"/>
  <c r="AK561" i="37"/>
  <c r="AL561" i="37" s="1"/>
  <c r="AJ561" i="37"/>
  <c r="AB563" i="37" l="1"/>
  <c r="F564" i="37"/>
  <c r="G563" i="37"/>
  <c r="AA563" i="37"/>
  <c r="R563" i="37"/>
  <c r="X563" i="37"/>
  <c r="W563" i="37"/>
  <c r="AG563" i="37"/>
  <c r="AI563" i="37"/>
  <c r="AH563" i="37"/>
  <c r="Y563" i="37"/>
  <c r="T563" i="37"/>
  <c r="V563" i="37" s="1"/>
  <c r="AE563" i="37"/>
  <c r="U563" i="37"/>
  <c r="Z562" i="37"/>
  <c r="AC562" i="37"/>
  <c r="H562" i="37"/>
  <c r="J562" i="37"/>
  <c r="I562" i="37"/>
  <c r="AD562" i="37"/>
  <c r="AJ562" i="37"/>
  <c r="AK562" i="37"/>
  <c r="AL562" i="37" s="1"/>
  <c r="AM562" i="37"/>
  <c r="AN562" i="37" s="1"/>
  <c r="AF562" i="37"/>
  <c r="AD563" i="37" l="1"/>
  <c r="AF563" i="37"/>
  <c r="AJ563" i="37"/>
  <c r="AM563" i="37"/>
  <c r="AN563" i="37" s="1"/>
  <c r="AK563" i="37"/>
  <c r="AL563" i="37" s="1"/>
  <c r="I563" i="37"/>
  <c r="H563" i="37"/>
  <c r="J563" i="37"/>
  <c r="AB564" i="37"/>
  <c r="R564" i="37"/>
  <c r="F565" i="37"/>
  <c r="AG564" i="37"/>
  <c r="AI564" i="37"/>
  <c r="G564" i="37"/>
  <c r="AH564" i="37"/>
  <c r="X564" i="37"/>
  <c r="W564" i="37"/>
  <c r="U564" i="37"/>
  <c r="T564" i="37"/>
  <c r="V564" i="37" s="1"/>
  <c r="AA564" i="37"/>
  <c r="Y564" i="37"/>
  <c r="AE564" i="37"/>
  <c r="Z563" i="37"/>
  <c r="AC563" i="37"/>
  <c r="I564" i="37" l="1"/>
  <c r="J564" i="37"/>
  <c r="H564" i="37"/>
  <c r="AC564" i="37"/>
  <c r="AD564" i="37"/>
  <c r="AF564" i="37"/>
  <c r="AK564" i="37"/>
  <c r="AL564" i="37" s="1"/>
  <c r="AM564" i="37"/>
  <c r="AN564" i="37" s="1"/>
  <c r="AJ564" i="37"/>
  <c r="W565" i="37"/>
  <c r="G565" i="37"/>
  <c r="AB565" i="37"/>
  <c r="AC565" i="37" s="1"/>
  <c r="AI565" i="37"/>
  <c r="R565" i="37"/>
  <c r="AH565" i="37"/>
  <c r="F566" i="37"/>
  <c r="X565" i="37"/>
  <c r="AA565" i="37"/>
  <c r="Y565" i="37"/>
  <c r="T565" i="37"/>
  <c r="U565" i="37"/>
  <c r="AE565" i="37"/>
  <c r="AG565" i="37"/>
  <c r="Z564" i="37"/>
  <c r="J565" i="37" l="1"/>
  <c r="H565" i="37"/>
  <c r="I565" i="37"/>
  <c r="AD565" i="37"/>
  <c r="AF565" i="37"/>
  <c r="AK565" i="37"/>
  <c r="AL565" i="37" s="1"/>
  <c r="AM565" i="37"/>
  <c r="AN565" i="37" s="1"/>
  <c r="AJ565" i="37"/>
  <c r="Z565" i="37"/>
  <c r="AB566" i="37"/>
  <c r="AC566" i="37" s="1"/>
  <c r="F567" i="37"/>
  <c r="AI566" i="37"/>
  <c r="G566" i="37"/>
  <c r="AH566" i="37"/>
  <c r="R566" i="37"/>
  <c r="W566" i="37"/>
  <c r="Y566" i="37"/>
  <c r="U566" i="37"/>
  <c r="AA566" i="37"/>
  <c r="T566" i="37"/>
  <c r="V566" i="37" s="1"/>
  <c r="AG566" i="37"/>
  <c r="AE566" i="37"/>
  <c r="X566" i="37"/>
  <c r="Z566" i="37" s="1"/>
  <c r="V565" i="37"/>
  <c r="AD566" i="37" l="1"/>
  <c r="AK566" i="37"/>
  <c r="AL566" i="37" s="1"/>
  <c r="AF566" i="37"/>
  <c r="AM566" i="37"/>
  <c r="AN566" i="37" s="1"/>
  <c r="AJ566" i="37"/>
  <c r="I566" i="37"/>
  <c r="H566" i="37"/>
  <c r="J566" i="37"/>
  <c r="AB567" i="37"/>
  <c r="AA567" i="37"/>
  <c r="F568" i="37"/>
  <c r="AH567" i="37"/>
  <c r="AI567" i="37"/>
  <c r="R567" i="37"/>
  <c r="G567" i="37"/>
  <c r="Y567" i="37"/>
  <c r="T567" i="37"/>
  <c r="X567" i="37"/>
  <c r="Z567" i="37" s="1"/>
  <c r="U567" i="37"/>
  <c r="W567" i="37"/>
  <c r="AG567" i="37"/>
  <c r="AE567" i="37"/>
  <c r="AC567" i="37" l="1"/>
  <c r="G568" i="37"/>
  <c r="F569" i="37"/>
  <c r="R568" i="37"/>
  <c r="AB568" i="37"/>
  <c r="AC568" i="37" s="1"/>
  <c r="AI568" i="37"/>
  <c r="AH568" i="37"/>
  <c r="T568" i="37"/>
  <c r="X568" i="37"/>
  <c r="Y568" i="37"/>
  <c r="AE568" i="37"/>
  <c r="AA568" i="37"/>
  <c r="W568" i="37"/>
  <c r="U568" i="37"/>
  <c r="AG568" i="37"/>
  <c r="AD567" i="37"/>
  <c r="AF567" i="37"/>
  <c r="AJ567" i="37"/>
  <c r="AK567" i="37"/>
  <c r="AL567" i="37" s="1"/>
  <c r="AM567" i="37"/>
  <c r="AN567" i="37" s="1"/>
  <c r="V567" i="37"/>
  <c r="I567" i="37"/>
  <c r="H567" i="37"/>
  <c r="J567" i="37"/>
  <c r="V568" i="37" l="1"/>
  <c r="AD568" i="37"/>
  <c r="AK568" i="37"/>
  <c r="AL568" i="37" s="1"/>
  <c r="AF568" i="37"/>
  <c r="AM568" i="37"/>
  <c r="AN568" i="37" s="1"/>
  <c r="AJ568" i="37"/>
  <c r="Z568" i="37"/>
  <c r="AI569" i="37"/>
  <c r="AH569" i="37"/>
  <c r="R569" i="37"/>
  <c r="AA569" i="37"/>
  <c r="G569" i="37"/>
  <c r="Y569" i="37"/>
  <c r="F570" i="37"/>
  <c r="X569" i="37"/>
  <c r="W569" i="37"/>
  <c r="U569" i="37"/>
  <c r="T569" i="37"/>
  <c r="AG569" i="37"/>
  <c r="AE569" i="37"/>
  <c r="AB569" i="37"/>
  <c r="J568" i="37"/>
  <c r="I568" i="37"/>
  <c r="H568" i="37"/>
  <c r="I569" i="37" l="1"/>
  <c r="J569" i="37"/>
  <c r="H569" i="37"/>
  <c r="AC569" i="37"/>
  <c r="AD569" i="37"/>
  <c r="AF569" i="37"/>
  <c r="AK569" i="37"/>
  <c r="AL569" i="37" s="1"/>
  <c r="AM569" i="37"/>
  <c r="AN569" i="37" s="1"/>
  <c r="AJ569" i="37"/>
  <c r="V569" i="37"/>
  <c r="R570" i="37"/>
  <c r="W570" i="37"/>
  <c r="AE570" i="37"/>
  <c r="AB570" i="37"/>
  <c r="AC570" i="37" s="1"/>
  <c r="AH570" i="37"/>
  <c r="AA570" i="37"/>
  <c r="X570" i="37"/>
  <c r="AG570" i="37"/>
  <c r="AI570" i="37"/>
  <c r="F571" i="37"/>
  <c r="G570" i="37"/>
  <c r="U570" i="37"/>
  <c r="T570" i="37"/>
  <c r="Y570" i="37"/>
  <c r="Z569" i="37"/>
  <c r="AB571" i="37" l="1"/>
  <c r="AH571" i="37"/>
  <c r="AI571" i="37"/>
  <c r="R571" i="37"/>
  <c r="Y571" i="37"/>
  <c r="AE571" i="37"/>
  <c r="AA571" i="37"/>
  <c r="F572" i="37"/>
  <c r="X571" i="37"/>
  <c r="Z571" i="37" s="1"/>
  <c r="G571" i="37"/>
  <c r="T571" i="37"/>
  <c r="V571" i="37" s="1"/>
  <c r="U571" i="37"/>
  <c r="AG571" i="37"/>
  <c r="W571" i="37"/>
  <c r="V570" i="37"/>
  <c r="H570" i="37"/>
  <c r="J570" i="37"/>
  <c r="I570" i="37"/>
  <c r="Z570" i="37"/>
  <c r="AD570" i="37"/>
  <c r="AF570" i="37"/>
  <c r="AM570" i="37"/>
  <c r="AN570" i="37" s="1"/>
  <c r="AJ570" i="37"/>
  <c r="AK570" i="37"/>
  <c r="AL570" i="37" s="1"/>
  <c r="I571" i="37" l="1"/>
  <c r="J571" i="37"/>
  <c r="H571" i="37"/>
  <c r="AD571" i="37"/>
  <c r="AK571" i="37"/>
  <c r="AL571" i="37" s="1"/>
  <c r="AF571" i="37"/>
  <c r="AJ571" i="37"/>
  <c r="AM571" i="37"/>
  <c r="AN571" i="37" s="1"/>
  <c r="AB572" i="37"/>
  <c r="AI572" i="37"/>
  <c r="T572" i="37"/>
  <c r="V572" i="37" s="1"/>
  <c r="AG572" i="37"/>
  <c r="G572" i="37"/>
  <c r="R572" i="37"/>
  <c r="F573" i="37"/>
  <c r="AH572" i="37"/>
  <c r="X572" i="37"/>
  <c r="W572" i="37"/>
  <c r="AA572" i="37"/>
  <c r="Y572" i="37"/>
  <c r="AE572" i="37"/>
  <c r="U572" i="37"/>
  <c r="AC571" i="37"/>
  <c r="AC572" i="37" l="1"/>
  <c r="AD572" i="37"/>
  <c r="AF572" i="37"/>
  <c r="AM572" i="37"/>
  <c r="AN572" i="37" s="1"/>
  <c r="AK572" i="37"/>
  <c r="AL572" i="37" s="1"/>
  <c r="AJ572" i="37"/>
  <c r="J572" i="37"/>
  <c r="I572" i="37"/>
  <c r="H572" i="37"/>
  <c r="Z572" i="37"/>
  <c r="AB573" i="37"/>
  <c r="AC573" i="37" s="1"/>
  <c r="F574" i="37"/>
  <c r="T573" i="37"/>
  <c r="U573" i="37"/>
  <c r="AE573" i="37"/>
  <c r="AI573" i="37"/>
  <c r="R573" i="37"/>
  <c r="Y573" i="37"/>
  <c r="AH573" i="37"/>
  <c r="G573" i="37"/>
  <c r="W573" i="37"/>
  <c r="AG573" i="37"/>
  <c r="AA573" i="37"/>
  <c r="X573" i="37"/>
  <c r="Z573" i="37" s="1"/>
  <c r="V573" i="37" l="1"/>
  <c r="AB574" i="37"/>
  <c r="AI574" i="37"/>
  <c r="AH574" i="37"/>
  <c r="AA574" i="37"/>
  <c r="G574" i="37"/>
  <c r="W574" i="37"/>
  <c r="U574" i="37"/>
  <c r="T574" i="37"/>
  <c r="V574" i="37" s="1"/>
  <c r="Y574" i="37"/>
  <c r="AE574" i="37"/>
  <c r="X574" i="37"/>
  <c r="Z574" i="37" s="1"/>
  <c r="AG574" i="37"/>
  <c r="R574" i="37"/>
  <c r="F575" i="37"/>
  <c r="I573" i="37"/>
  <c r="J573" i="37"/>
  <c r="H573" i="37"/>
  <c r="AD573" i="37"/>
  <c r="AM573" i="37"/>
  <c r="AN573" i="37" s="1"/>
  <c r="AK573" i="37"/>
  <c r="AL573" i="37" s="1"/>
  <c r="AF573" i="37"/>
  <c r="AJ573" i="37"/>
  <c r="AD574" i="37" l="1"/>
  <c r="AF574" i="37"/>
  <c r="AM574" i="37"/>
  <c r="AN574" i="37" s="1"/>
  <c r="AK574" i="37"/>
  <c r="AL574" i="37" s="1"/>
  <c r="AJ574" i="37"/>
  <c r="J574" i="37"/>
  <c r="I574" i="37"/>
  <c r="H574" i="37"/>
  <c r="AC574" i="37"/>
  <c r="F576" i="37"/>
  <c r="AB575" i="37"/>
  <c r="AC575" i="37" s="1"/>
  <c r="AH575" i="37"/>
  <c r="AI575" i="37"/>
  <c r="X575" i="37"/>
  <c r="Z575" i="37" s="1"/>
  <c r="T575" i="37"/>
  <c r="G575" i="37"/>
  <c r="Y575" i="37"/>
  <c r="U575" i="37"/>
  <c r="AE575" i="37"/>
  <c r="AG575" i="37"/>
  <c r="W575" i="37"/>
  <c r="AA575" i="37"/>
  <c r="R575" i="37"/>
  <c r="AD575" i="37" l="1"/>
  <c r="AM575" i="37"/>
  <c r="AN575" i="37" s="1"/>
  <c r="AK575" i="37"/>
  <c r="AL575" i="37" s="1"/>
  <c r="AJ575" i="37"/>
  <c r="AF575" i="37"/>
  <c r="AB576" i="37"/>
  <c r="AC576" i="37" s="1"/>
  <c r="AI576" i="37"/>
  <c r="AH576" i="37"/>
  <c r="AA576" i="37"/>
  <c r="X576" i="37"/>
  <c r="U576" i="37"/>
  <c r="T576" i="37"/>
  <c r="Y576" i="37"/>
  <c r="W576" i="37"/>
  <c r="AG576" i="37"/>
  <c r="AE576" i="37"/>
  <c r="R576" i="37"/>
  <c r="F577" i="37"/>
  <c r="G576" i="37"/>
  <c r="H575" i="37"/>
  <c r="J575" i="37"/>
  <c r="I575" i="37"/>
  <c r="V575" i="37"/>
  <c r="Z576" i="37" l="1"/>
  <c r="J576" i="37"/>
  <c r="I576" i="37"/>
  <c r="H576" i="37"/>
  <c r="AI577" i="37"/>
  <c r="AH577" i="37"/>
  <c r="R577" i="37"/>
  <c r="X577" i="37"/>
  <c r="Z577" i="37" s="1"/>
  <c r="G577" i="37"/>
  <c r="W577" i="37"/>
  <c r="F578" i="37"/>
  <c r="T577" i="37"/>
  <c r="V577" i="37" s="1"/>
  <c r="AA577" i="37"/>
  <c r="U577" i="37"/>
  <c r="AB577" i="37"/>
  <c r="AG577" i="37"/>
  <c r="Y577" i="37"/>
  <c r="AE577" i="37"/>
  <c r="V576" i="37"/>
  <c r="AD576" i="37"/>
  <c r="AK576" i="37"/>
  <c r="AL576" i="37" s="1"/>
  <c r="AM576" i="37"/>
  <c r="AN576" i="37" s="1"/>
  <c r="AF576" i="37"/>
  <c r="AJ576" i="37"/>
  <c r="AB578" i="37" l="1"/>
  <c r="AH578" i="37"/>
  <c r="AE578" i="37"/>
  <c r="AI578" i="37"/>
  <c r="T578" i="37"/>
  <c r="AA578" i="37"/>
  <c r="X578" i="37"/>
  <c r="W578" i="37"/>
  <c r="Y578" i="37"/>
  <c r="U578" i="37"/>
  <c r="AG578" i="37"/>
  <c r="R578" i="37"/>
  <c r="F579" i="37"/>
  <c r="G578" i="37"/>
  <c r="AD577" i="37"/>
  <c r="AM577" i="37"/>
  <c r="AN577" i="37" s="1"/>
  <c r="AK577" i="37"/>
  <c r="AL577" i="37" s="1"/>
  <c r="AJ577" i="37"/>
  <c r="AF577" i="37"/>
  <c r="J577" i="37"/>
  <c r="H577" i="37"/>
  <c r="I577" i="37"/>
  <c r="AC577" i="37"/>
  <c r="AB579" i="37" l="1"/>
  <c r="AI579" i="37"/>
  <c r="G579" i="37"/>
  <c r="AH579" i="37"/>
  <c r="F580" i="37"/>
  <c r="W579" i="37"/>
  <c r="R579" i="37"/>
  <c r="T579" i="37"/>
  <c r="AE579" i="37"/>
  <c r="AG579" i="37"/>
  <c r="Y579" i="37"/>
  <c r="U579" i="37"/>
  <c r="AA579" i="37"/>
  <c r="X579" i="37"/>
  <c r="Z579" i="37" s="1"/>
  <c r="H578" i="37"/>
  <c r="I578" i="37"/>
  <c r="J578" i="37"/>
  <c r="Z578" i="37"/>
  <c r="V578" i="37"/>
  <c r="AD578" i="37"/>
  <c r="AF578" i="37"/>
  <c r="AK578" i="37"/>
  <c r="AL578" i="37" s="1"/>
  <c r="AJ578" i="37"/>
  <c r="AM578" i="37"/>
  <c r="AN578" i="37" s="1"/>
  <c r="AC578" i="37"/>
  <c r="V579" i="37" l="1"/>
  <c r="AB580" i="37"/>
  <c r="AI580" i="37"/>
  <c r="W580" i="37"/>
  <c r="Y580" i="37"/>
  <c r="AH580" i="37"/>
  <c r="AA580" i="37"/>
  <c r="X580" i="37"/>
  <c r="Z580" i="37" s="1"/>
  <c r="U580" i="37"/>
  <c r="AE580" i="37"/>
  <c r="F581" i="37"/>
  <c r="R580" i="37"/>
  <c r="T580" i="37"/>
  <c r="V580" i="37" s="1"/>
  <c r="AG580" i="37"/>
  <c r="G580" i="37"/>
  <c r="J579" i="37"/>
  <c r="I579" i="37"/>
  <c r="H579" i="37"/>
  <c r="AD579" i="37"/>
  <c r="AM579" i="37"/>
  <c r="AN579" i="37" s="1"/>
  <c r="AK579" i="37"/>
  <c r="AL579" i="37" s="1"/>
  <c r="AJ579" i="37"/>
  <c r="AF579" i="37"/>
  <c r="AC579" i="37"/>
  <c r="AH581" i="37" l="1"/>
  <c r="G581" i="37"/>
  <c r="R581" i="37"/>
  <c r="T581" i="37"/>
  <c r="Y581" i="37"/>
  <c r="AB581" i="37"/>
  <c r="AC581" i="37" s="1"/>
  <c r="F582" i="37"/>
  <c r="AI581" i="37"/>
  <c r="AA581" i="37"/>
  <c r="U581" i="37"/>
  <c r="W581" i="37"/>
  <c r="AG581" i="37"/>
  <c r="AE581" i="37"/>
  <c r="X581" i="37"/>
  <c r="Z581" i="37" s="1"/>
  <c r="AD580" i="37"/>
  <c r="AM580" i="37"/>
  <c r="AN580" i="37" s="1"/>
  <c r="AF580" i="37"/>
  <c r="AK580" i="37"/>
  <c r="AL580" i="37" s="1"/>
  <c r="AJ580" i="37"/>
  <c r="AC580" i="37"/>
  <c r="J580" i="37"/>
  <c r="I580" i="37"/>
  <c r="H580" i="37"/>
  <c r="AD581" i="37" l="1"/>
  <c r="AF581" i="37"/>
  <c r="AM581" i="37"/>
  <c r="AN581" i="37" s="1"/>
  <c r="AK581" i="37"/>
  <c r="AL581" i="37" s="1"/>
  <c r="AJ581" i="37"/>
  <c r="F583" i="37"/>
  <c r="AB582" i="37"/>
  <c r="AC582" i="37" s="1"/>
  <c r="AI582" i="37"/>
  <c r="AH582" i="37"/>
  <c r="AA582" i="37"/>
  <c r="Y582" i="37"/>
  <c r="X582" i="37"/>
  <c r="Z582" i="37" s="1"/>
  <c r="T582" i="37"/>
  <c r="V582" i="37" s="1"/>
  <c r="AG582" i="37"/>
  <c r="U582" i="37"/>
  <c r="R582" i="37"/>
  <c r="W582" i="37"/>
  <c r="AE582" i="37"/>
  <c r="G582" i="37"/>
  <c r="V581" i="37"/>
  <c r="I581" i="37"/>
  <c r="H581" i="37"/>
  <c r="J581" i="37"/>
  <c r="AB583" i="37" l="1"/>
  <c r="AI583" i="37"/>
  <c r="G583" i="37"/>
  <c r="AH583" i="37"/>
  <c r="R583" i="37"/>
  <c r="X583" i="37"/>
  <c r="AA583" i="37"/>
  <c r="T583" i="37"/>
  <c r="U583" i="37"/>
  <c r="AE583" i="37"/>
  <c r="Y583" i="37"/>
  <c r="F584" i="37"/>
  <c r="W583" i="37"/>
  <c r="AG583" i="37"/>
  <c r="J582" i="37"/>
  <c r="H582" i="37"/>
  <c r="I582" i="37"/>
  <c r="AD582" i="37"/>
  <c r="AK582" i="37"/>
  <c r="AL582" i="37" s="1"/>
  <c r="AJ582" i="37"/>
  <c r="AM582" i="37"/>
  <c r="AN582" i="37" s="1"/>
  <c r="AF582" i="37"/>
  <c r="V583" i="37" l="1"/>
  <c r="AH584" i="37"/>
  <c r="AI584" i="37"/>
  <c r="AE584" i="37"/>
  <c r="Y584" i="37"/>
  <c r="AA584" i="37"/>
  <c r="X584" i="37"/>
  <c r="Z584" i="37" s="1"/>
  <c r="W584" i="37"/>
  <c r="T584" i="37"/>
  <c r="V584" i="37" s="1"/>
  <c r="U584" i="37"/>
  <c r="F585" i="37"/>
  <c r="G584" i="37"/>
  <c r="AB584" i="37"/>
  <c r="AC584" i="37" s="1"/>
  <c r="AG584" i="37"/>
  <c r="R584" i="37"/>
  <c r="AD583" i="37"/>
  <c r="AM583" i="37"/>
  <c r="AN583" i="37" s="1"/>
  <c r="AK583" i="37"/>
  <c r="AL583" i="37" s="1"/>
  <c r="AF583" i="37"/>
  <c r="AJ583" i="37"/>
  <c r="I583" i="37"/>
  <c r="H583" i="37"/>
  <c r="J583" i="37"/>
  <c r="Z583" i="37"/>
  <c r="AC583" i="37"/>
  <c r="H584" i="37" l="1"/>
  <c r="I584" i="37"/>
  <c r="J584" i="37"/>
  <c r="AH585" i="37"/>
  <c r="AA585" i="37"/>
  <c r="Y585" i="37"/>
  <c r="X585" i="37"/>
  <c r="Z585" i="37" s="1"/>
  <c r="W585" i="37"/>
  <c r="U585" i="37"/>
  <c r="AG585" i="37"/>
  <c r="AI585" i="37"/>
  <c r="T585" i="37"/>
  <c r="V585" i="37" s="1"/>
  <c r="AE585" i="37"/>
  <c r="F586" i="37"/>
  <c r="R585" i="37"/>
  <c r="AB585" i="37"/>
  <c r="AC585" i="37" s="1"/>
  <c r="G585" i="37"/>
  <c r="AD584" i="37"/>
  <c r="AF584" i="37"/>
  <c r="AJ584" i="37"/>
  <c r="AK584" i="37"/>
  <c r="AL584" i="37" s="1"/>
  <c r="AM584" i="37"/>
  <c r="AN584" i="37" s="1"/>
  <c r="F587" i="37" l="1"/>
  <c r="AB586" i="37"/>
  <c r="AC586" i="37" s="1"/>
  <c r="R586" i="37"/>
  <c r="AI586" i="37"/>
  <c r="G586" i="37"/>
  <c r="AH586" i="37"/>
  <c r="AA586" i="37"/>
  <c r="W586" i="37"/>
  <c r="T586" i="37"/>
  <c r="V586" i="37" s="1"/>
  <c r="X586" i="37"/>
  <c r="U586" i="37"/>
  <c r="AG586" i="37"/>
  <c r="Y586" i="37"/>
  <c r="AE586" i="37"/>
  <c r="J585" i="37"/>
  <c r="I585" i="37"/>
  <c r="H585" i="37"/>
  <c r="AD585" i="37"/>
  <c r="AK585" i="37"/>
  <c r="AL585" i="37" s="1"/>
  <c r="AF585" i="37"/>
  <c r="AM585" i="37"/>
  <c r="AN585" i="37" s="1"/>
  <c r="AJ585" i="37"/>
  <c r="AD586" i="37" l="1"/>
  <c r="AK586" i="37"/>
  <c r="AL586" i="37" s="1"/>
  <c r="AM586" i="37"/>
  <c r="AN586" i="37" s="1"/>
  <c r="AJ586" i="37"/>
  <c r="AF586" i="37"/>
  <c r="Z586" i="37"/>
  <c r="H586" i="37"/>
  <c r="J586" i="37"/>
  <c r="I586" i="37"/>
  <c r="AI587" i="37"/>
  <c r="F588" i="37"/>
  <c r="AH587" i="37"/>
  <c r="G587" i="37"/>
  <c r="U587" i="37"/>
  <c r="X587" i="37"/>
  <c r="W587" i="37"/>
  <c r="Y587" i="37"/>
  <c r="T587" i="37"/>
  <c r="AB587" i="37"/>
  <c r="AC587" i="37" s="1"/>
  <c r="R587" i="37"/>
  <c r="AE587" i="37"/>
  <c r="AA587" i="37"/>
  <c r="AG587" i="37"/>
  <c r="H587" i="37" l="1"/>
  <c r="J587" i="37"/>
  <c r="I587" i="37"/>
  <c r="AD587" i="37"/>
  <c r="AK587" i="37"/>
  <c r="AL587" i="37" s="1"/>
  <c r="AM587" i="37"/>
  <c r="AN587" i="37" s="1"/>
  <c r="AJ587" i="37"/>
  <c r="AF587" i="37"/>
  <c r="AH588" i="37"/>
  <c r="AI588" i="37"/>
  <c r="W588" i="37"/>
  <c r="U588" i="37"/>
  <c r="AA588" i="37"/>
  <c r="Y588" i="37"/>
  <c r="T588" i="37"/>
  <c r="R588" i="37"/>
  <c r="AB588" i="37"/>
  <c r="AC588" i="37" s="1"/>
  <c r="X588" i="37"/>
  <c r="AG588" i="37"/>
  <c r="AE588" i="37"/>
  <c r="G588" i="37"/>
  <c r="F589" i="37"/>
  <c r="V587" i="37"/>
  <c r="Z587" i="37"/>
  <c r="Z588" i="37" l="1"/>
  <c r="AH589" i="37"/>
  <c r="AI589" i="37"/>
  <c r="U589" i="37"/>
  <c r="F590" i="37"/>
  <c r="W589" i="37"/>
  <c r="X589" i="37"/>
  <c r="AB589" i="37"/>
  <c r="AC589" i="37" s="1"/>
  <c r="T589" i="37"/>
  <c r="V589" i="37" s="1"/>
  <c r="AA589" i="37"/>
  <c r="Y589" i="37"/>
  <c r="AG589" i="37"/>
  <c r="AE589" i="37"/>
  <c r="G589" i="37"/>
  <c r="R589" i="37"/>
  <c r="J588" i="37"/>
  <c r="H588" i="37"/>
  <c r="I588" i="37"/>
  <c r="AD588" i="37"/>
  <c r="AM588" i="37"/>
  <c r="AN588" i="37" s="1"/>
  <c r="AK588" i="37"/>
  <c r="AL588" i="37" s="1"/>
  <c r="AF588" i="37"/>
  <c r="AJ588" i="37"/>
  <c r="V588" i="37"/>
  <c r="AD589" i="37" l="1"/>
  <c r="AJ589" i="37"/>
  <c r="AF589" i="37"/>
  <c r="AK589" i="37"/>
  <c r="AL589" i="37" s="1"/>
  <c r="AM589" i="37"/>
  <c r="AN589" i="37" s="1"/>
  <c r="I589" i="37"/>
  <c r="H589" i="37"/>
  <c r="J589" i="37"/>
  <c r="Z589" i="37"/>
  <c r="AI590" i="37"/>
  <c r="AE590" i="37"/>
  <c r="AH590" i="37"/>
  <c r="U590" i="37"/>
  <c r="X590" i="37"/>
  <c r="Z590" i="37" s="1"/>
  <c r="Y590" i="37"/>
  <c r="AA590" i="37"/>
  <c r="AG590" i="37"/>
  <c r="W590" i="37"/>
  <c r="AB590" i="37"/>
  <c r="T590" i="37"/>
  <c r="R590" i="37"/>
  <c r="F591" i="37"/>
  <c r="G590" i="37"/>
  <c r="I590" i="37" l="1"/>
  <c r="J590" i="37"/>
  <c r="H590" i="37"/>
  <c r="V590" i="37"/>
  <c r="AC590" i="37"/>
  <c r="AD590" i="37"/>
  <c r="AF590" i="37"/>
  <c r="AJ590" i="37"/>
  <c r="AM590" i="37"/>
  <c r="AN590" i="37" s="1"/>
  <c r="AK590" i="37"/>
  <c r="AL590" i="37" s="1"/>
  <c r="G591" i="37"/>
  <c r="AB591" i="37"/>
  <c r="AC591" i="37" s="1"/>
  <c r="AI591" i="37"/>
  <c r="AH591" i="37"/>
  <c r="X591" i="37"/>
  <c r="AG591" i="37"/>
  <c r="AA591" i="37"/>
  <c r="U591" i="37"/>
  <c r="W591" i="37"/>
  <c r="Y591" i="37"/>
  <c r="T591" i="37"/>
  <c r="V591" i="37" s="1"/>
  <c r="R591" i="37"/>
  <c r="F592" i="37"/>
  <c r="AE591" i="37"/>
  <c r="AD591" i="37" l="1"/>
  <c r="AJ591" i="37"/>
  <c r="AF591" i="37"/>
  <c r="AM591" i="37"/>
  <c r="AN591" i="37" s="1"/>
  <c r="AK591" i="37"/>
  <c r="AL591" i="37" s="1"/>
  <c r="AB592" i="37"/>
  <c r="AI592" i="37"/>
  <c r="R592" i="37"/>
  <c r="T592" i="37"/>
  <c r="AE592" i="37"/>
  <c r="AG592" i="37"/>
  <c r="AH592" i="37"/>
  <c r="G592" i="37"/>
  <c r="U592" i="37"/>
  <c r="F593" i="37"/>
  <c r="Y592" i="37"/>
  <c r="W592" i="37"/>
  <c r="AA592" i="37"/>
  <c r="X592" i="37"/>
  <c r="Z592" i="37" s="1"/>
  <c r="J591" i="37"/>
  <c r="I591" i="37"/>
  <c r="H591" i="37"/>
  <c r="Z591" i="37"/>
  <c r="I592" i="37" l="1"/>
  <c r="H592" i="37"/>
  <c r="J592" i="37"/>
  <c r="AD592" i="37"/>
  <c r="AF592" i="37"/>
  <c r="AJ592" i="37"/>
  <c r="AK592" i="37"/>
  <c r="AL592" i="37" s="1"/>
  <c r="AM592" i="37"/>
  <c r="AN592" i="37" s="1"/>
  <c r="V592" i="37"/>
  <c r="AC592" i="37"/>
  <c r="R593" i="37"/>
  <c r="X593" i="37"/>
  <c r="Z593" i="37" s="1"/>
  <c r="AB593" i="37"/>
  <c r="AC593" i="37" s="1"/>
  <c r="G593" i="37"/>
  <c r="AI593" i="37"/>
  <c r="F594" i="37"/>
  <c r="AH593" i="37"/>
  <c r="Y593" i="37"/>
  <c r="AA593" i="37"/>
  <c r="U593" i="37"/>
  <c r="W593" i="37"/>
  <c r="AG593" i="37"/>
  <c r="T593" i="37"/>
  <c r="V593" i="37" s="1"/>
  <c r="AE593" i="37"/>
  <c r="I593" i="37" l="1"/>
  <c r="H593" i="37"/>
  <c r="J593" i="37"/>
  <c r="AB594" i="37"/>
  <c r="AI594" i="37"/>
  <c r="AH594" i="37"/>
  <c r="X594" i="37"/>
  <c r="Z594" i="37" s="1"/>
  <c r="R594" i="37"/>
  <c r="F595" i="37"/>
  <c r="G594" i="37"/>
  <c r="AA594" i="37"/>
  <c r="T594" i="37"/>
  <c r="V594" i="37" s="1"/>
  <c r="AE594" i="37"/>
  <c r="AG594" i="37"/>
  <c r="Y594" i="37"/>
  <c r="W594" i="37"/>
  <c r="U594" i="37"/>
  <c r="AD593" i="37"/>
  <c r="AM593" i="37"/>
  <c r="AN593" i="37" s="1"/>
  <c r="AF593" i="37"/>
  <c r="AK593" i="37"/>
  <c r="AL593" i="37" s="1"/>
  <c r="AJ593" i="37"/>
  <c r="X595" i="37" l="1"/>
  <c r="AA595" i="37"/>
  <c r="U595" i="37"/>
  <c r="AB595" i="37"/>
  <c r="R595" i="37"/>
  <c r="AI595" i="37"/>
  <c r="F596" i="37"/>
  <c r="AH595" i="37"/>
  <c r="G595" i="37"/>
  <c r="Y595" i="37"/>
  <c r="T595" i="37"/>
  <c r="V595" i="37" s="1"/>
  <c r="AG595" i="37"/>
  <c r="W595" i="37"/>
  <c r="AE595" i="37"/>
  <c r="H594" i="37"/>
  <c r="J594" i="37"/>
  <c r="I594" i="37"/>
  <c r="AD594" i="37"/>
  <c r="AF594" i="37"/>
  <c r="AM594" i="37"/>
  <c r="AN594" i="37" s="1"/>
  <c r="AK594" i="37"/>
  <c r="AL594" i="37" s="1"/>
  <c r="AJ594" i="37"/>
  <c r="AC594" i="37"/>
  <c r="I595" i="37" l="1"/>
  <c r="H595" i="37"/>
  <c r="J595" i="37"/>
  <c r="AD595" i="37"/>
  <c r="AK595" i="37"/>
  <c r="AL595" i="37" s="1"/>
  <c r="AM595" i="37"/>
  <c r="AN595" i="37" s="1"/>
  <c r="AF595" i="37"/>
  <c r="AJ595" i="37"/>
  <c r="AI596" i="37"/>
  <c r="G596" i="37"/>
  <c r="AH596" i="37"/>
  <c r="F597" i="37"/>
  <c r="X596" i="37"/>
  <c r="Y596" i="37"/>
  <c r="AA596" i="37"/>
  <c r="T596" i="37"/>
  <c r="W596" i="37"/>
  <c r="U596" i="37"/>
  <c r="AE596" i="37"/>
  <c r="AG596" i="37"/>
  <c r="AB596" i="37"/>
  <c r="AC596" i="37" s="1"/>
  <c r="R596" i="37"/>
  <c r="AC595" i="37"/>
  <c r="Z595" i="37"/>
  <c r="H596" i="37" l="1"/>
  <c r="I596" i="37"/>
  <c r="J596" i="37"/>
  <c r="AI597" i="37"/>
  <c r="R597" i="37"/>
  <c r="X597" i="37"/>
  <c r="G597" i="37"/>
  <c r="W597" i="37"/>
  <c r="F598" i="37"/>
  <c r="U597" i="37"/>
  <c r="T597" i="37"/>
  <c r="V597" i="37" s="1"/>
  <c r="AA597" i="37"/>
  <c r="Y597" i="37"/>
  <c r="AG597" i="37"/>
  <c r="AE597" i="37"/>
  <c r="AB597" i="37"/>
  <c r="AH597" i="37"/>
  <c r="AD596" i="37"/>
  <c r="AJ596" i="37"/>
  <c r="AM596" i="37"/>
  <c r="AN596" i="37" s="1"/>
  <c r="AK596" i="37"/>
  <c r="AL596" i="37" s="1"/>
  <c r="AF596" i="37"/>
  <c r="V596" i="37"/>
  <c r="Z596" i="37"/>
  <c r="H597" i="37" l="1"/>
  <c r="J597" i="37"/>
  <c r="I597" i="37"/>
  <c r="Z597" i="37"/>
  <c r="G598" i="37"/>
  <c r="AB598" i="37"/>
  <c r="AI598" i="37"/>
  <c r="AH598" i="37"/>
  <c r="AA598" i="37"/>
  <c r="AE598" i="37"/>
  <c r="R598" i="37"/>
  <c r="Y598" i="37"/>
  <c r="X598" i="37"/>
  <c r="Z598" i="37" s="1"/>
  <c r="AG598" i="37"/>
  <c r="W598" i="37"/>
  <c r="T598" i="37"/>
  <c r="U598" i="37"/>
  <c r="F599" i="37"/>
  <c r="AC597" i="37"/>
  <c r="AD597" i="37"/>
  <c r="AF597" i="37"/>
  <c r="AK597" i="37"/>
  <c r="AL597" i="37" s="1"/>
  <c r="AJ597" i="37"/>
  <c r="AM597" i="37"/>
  <c r="AN597" i="37" s="1"/>
  <c r="AD598" i="37" l="1"/>
  <c r="AM598" i="37"/>
  <c r="AN598" i="37" s="1"/>
  <c r="AK598" i="37"/>
  <c r="AL598" i="37" s="1"/>
  <c r="AF598" i="37"/>
  <c r="AJ598" i="37"/>
  <c r="AC598" i="37"/>
  <c r="I598" i="37"/>
  <c r="J598" i="37"/>
  <c r="H598" i="37"/>
  <c r="AB599" i="37"/>
  <c r="AC599" i="37" s="1"/>
  <c r="AI599" i="37"/>
  <c r="R599" i="37"/>
  <c r="AH599" i="37"/>
  <c r="F600" i="37"/>
  <c r="G599" i="37"/>
  <c r="AA599" i="37"/>
  <c r="X599" i="37"/>
  <c r="W599" i="37"/>
  <c r="Y599" i="37"/>
  <c r="T599" i="37"/>
  <c r="U599" i="37"/>
  <c r="AE599" i="37"/>
  <c r="AG599" i="37"/>
  <c r="V598" i="37"/>
  <c r="G600" i="37" l="1"/>
  <c r="AB600" i="37"/>
  <c r="AC600" i="37" s="1"/>
  <c r="R600" i="37"/>
  <c r="AI600" i="37"/>
  <c r="AH600" i="37"/>
  <c r="Y600" i="37"/>
  <c r="T600" i="37"/>
  <c r="F601" i="37"/>
  <c r="X600" i="37"/>
  <c r="Z600" i="37" s="1"/>
  <c r="AA600" i="37"/>
  <c r="W600" i="37"/>
  <c r="AG600" i="37"/>
  <c r="AE600" i="37"/>
  <c r="U600" i="37"/>
  <c r="AD599" i="37"/>
  <c r="AF599" i="37"/>
  <c r="AJ599" i="37"/>
  <c r="AM599" i="37"/>
  <c r="AN599" i="37" s="1"/>
  <c r="AK599" i="37"/>
  <c r="AL599" i="37" s="1"/>
  <c r="V599" i="37"/>
  <c r="Z599" i="37"/>
  <c r="J599" i="37"/>
  <c r="I599" i="37"/>
  <c r="H599" i="37"/>
  <c r="AD600" i="37" l="1"/>
  <c r="AF600" i="37"/>
  <c r="AJ600" i="37"/>
  <c r="AM600" i="37"/>
  <c r="AN600" i="37" s="1"/>
  <c r="AK600" i="37"/>
  <c r="AL600" i="37" s="1"/>
  <c r="R601" i="37"/>
  <c r="U601" i="37"/>
  <c r="AB601" i="37"/>
  <c r="AC601" i="37" s="1"/>
  <c r="G601" i="37"/>
  <c r="T601" i="37"/>
  <c r="V601" i="37" s="1"/>
  <c r="AI601" i="37"/>
  <c r="F602" i="37"/>
  <c r="AH601" i="37"/>
  <c r="AA601" i="37"/>
  <c r="Y601" i="37"/>
  <c r="X601" i="37"/>
  <c r="Z601" i="37" s="1"/>
  <c r="AE601" i="37"/>
  <c r="W601" i="37"/>
  <c r="AG601" i="37"/>
  <c r="V600" i="37"/>
  <c r="I600" i="37"/>
  <c r="H600" i="37"/>
  <c r="J600" i="37"/>
  <c r="AB602" i="37" l="1"/>
  <c r="AC602" i="37" s="1"/>
  <c r="F603" i="37"/>
  <c r="R602" i="37"/>
  <c r="X602" i="37"/>
  <c r="W602" i="37"/>
  <c r="AI602" i="37"/>
  <c r="AH602" i="37"/>
  <c r="G602" i="37"/>
  <c r="T602" i="37"/>
  <c r="Y602" i="37"/>
  <c r="AG602" i="37"/>
  <c r="AE602" i="37"/>
  <c r="AA602" i="37"/>
  <c r="U602" i="37"/>
  <c r="I601" i="37"/>
  <c r="J601" i="37"/>
  <c r="H601" i="37"/>
  <c r="AD601" i="37"/>
  <c r="AF601" i="37"/>
  <c r="AK601" i="37"/>
  <c r="AL601" i="37" s="1"/>
  <c r="AM601" i="37"/>
  <c r="AN601" i="37" s="1"/>
  <c r="AJ601" i="37"/>
  <c r="V602" i="37" l="1"/>
  <c r="J602" i="37"/>
  <c r="I602" i="37"/>
  <c r="H602" i="37"/>
  <c r="Z602" i="37"/>
  <c r="AD602" i="37"/>
  <c r="AJ602" i="37"/>
  <c r="AM602" i="37"/>
  <c r="AN602" i="37" s="1"/>
  <c r="AF602" i="37"/>
  <c r="AK602" i="37"/>
  <c r="AL602" i="37" s="1"/>
  <c r="AB603" i="37"/>
  <c r="AC603" i="37" s="1"/>
  <c r="AI603" i="37"/>
  <c r="AH603" i="37"/>
  <c r="G603" i="37"/>
  <c r="X603" i="37"/>
  <c r="R603" i="37"/>
  <c r="U603" i="37"/>
  <c r="AG603" i="37"/>
  <c r="T603" i="37"/>
  <c r="V603" i="37" s="1"/>
  <c r="F604" i="37"/>
  <c r="Y603" i="37"/>
  <c r="W603" i="37"/>
  <c r="AA603" i="37"/>
  <c r="AE603" i="37"/>
  <c r="AI604" i="37" l="1"/>
  <c r="U604" i="37"/>
  <c r="AH604" i="37"/>
  <c r="F605" i="37"/>
  <c r="X604" i="37"/>
  <c r="W604" i="37"/>
  <c r="AE604" i="37"/>
  <c r="AA604" i="37"/>
  <c r="G604" i="37"/>
  <c r="Y604" i="37"/>
  <c r="R604" i="37"/>
  <c r="T604" i="37"/>
  <c r="V604" i="37" s="1"/>
  <c r="AG604" i="37"/>
  <c r="AB604" i="37"/>
  <c r="AC604" i="37" s="1"/>
  <c r="AD603" i="37"/>
  <c r="AM603" i="37"/>
  <c r="AN603" i="37" s="1"/>
  <c r="AJ603" i="37"/>
  <c r="AF603" i="37"/>
  <c r="AK603" i="37"/>
  <c r="AL603" i="37" s="1"/>
  <c r="H603" i="37"/>
  <c r="J603" i="37"/>
  <c r="I603" i="37"/>
  <c r="Z603" i="37"/>
  <c r="AD604" i="37" l="1"/>
  <c r="AF604" i="37"/>
  <c r="AJ604" i="37"/>
  <c r="AK604" i="37"/>
  <c r="AL604" i="37" s="1"/>
  <c r="AM604" i="37"/>
  <c r="AN604" i="37" s="1"/>
  <c r="J604" i="37"/>
  <c r="I604" i="37"/>
  <c r="H604" i="37"/>
  <c r="Z604" i="37"/>
  <c r="R605" i="37"/>
  <c r="AG605" i="37"/>
  <c r="AB605" i="37"/>
  <c r="AC605" i="37" s="1"/>
  <c r="AI605" i="37"/>
  <c r="AH605" i="37"/>
  <c r="AA605" i="37"/>
  <c r="Y605" i="37"/>
  <c r="U605" i="37"/>
  <c r="W605" i="37"/>
  <c r="F606" i="37"/>
  <c r="G605" i="37"/>
  <c r="X605" i="37"/>
  <c r="Z605" i="37" s="1"/>
  <c r="T605" i="37"/>
  <c r="V605" i="37" s="1"/>
  <c r="AE605" i="37"/>
  <c r="AD605" i="37" l="1"/>
  <c r="AK605" i="37"/>
  <c r="AL605" i="37" s="1"/>
  <c r="AF605" i="37"/>
  <c r="AM605" i="37"/>
  <c r="AN605" i="37" s="1"/>
  <c r="AJ605" i="37"/>
  <c r="I605" i="37"/>
  <c r="J605" i="37"/>
  <c r="H605" i="37"/>
  <c r="AB606" i="37"/>
  <c r="AI606" i="37"/>
  <c r="AH606" i="37"/>
  <c r="G606" i="37"/>
  <c r="X606" i="37"/>
  <c r="Z606" i="37" s="1"/>
  <c r="R606" i="37"/>
  <c r="W606" i="37"/>
  <c r="AA606" i="37"/>
  <c r="Y606" i="37"/>
  <c r="F607" i="37"/>
  <c r="AG606" i="37"/>
  <c r="U606" i="37"/>
  <c r="AE606" i="37"/>
  <c r="T606" i="37"/>
  <c r="V606" i="37" s="1"/>
  <c r="AD606" i="37" l="1"/>
  <c r="AK606" i="37"/>
  <c r="AL606" i="37" s="1"/>
  <c r="AF606" i="37"/>
  <c r="AM606" i="37"/>
  <c r="AN606" i="37" s="1"/>
  <c r="AJ606" i="37"/>
  <c r="J606" i="37"/>
  <c r="I606" i="37"/>
  <c r="H606" i="37"/>
  <c r="AC606" i="37"/>
  <c r="AB607" i="37"/>
  <c r="AH607" i="37"/>
  <c r="AA607" i="37"/>
  <c r="R607" i="37"/>
  <c r="G607" i="37"/>
  <c r="F608" i="37"/>
  <c r="AI607" i="37"/>
  <c r="Y607" i="37"/>
  <c r="X607" i="37"/>
  <c r="Z607" i="37" s="1"/>
  <c r="W607" i="37"/>
  <c r="T607" i="37"/>
  <c r="U607" i="37"/>
  <c r="AE607" i="37"/>
  <c r="AG607" i="37"/>
  <c r="AC607" i="37" l="1"/>
  <c r="AD607" i="37"/>
  <c r="AK607" i="37"/>
  <c r="AL607" i="37" s="1"/>
  <c r="AM607" i="37"/>
  <c r="AN607" i="37" s="1"/>
  <c r="AF607" i="37"/>
  <c r="AJ607" i="37"/>
  <c r="J607" i="37"/>
  <c r="H607" i="37"/>
  <c r="I607" i="37"/>
  <c r="V607" i="37"/>
  <c r="AI608" i="37"/>
  <c r="AH608" i="37"/>
  <c r="X608" i="37"/>
  <c r="Z608" i="37" s="1"/>
  <c r="W608" i="37"/>
  <c r="AA608" i="37"/>
  <c r="T608" i="37"/>
  <c r="U608" i="37"/>
  <c r="Y608" i="37"/>
  <c r="R608" i="37"/>
  <c r="AB608" i="37"/>
  <c r="AC608" i="37" s="1"/>
  <c r="AE608" i="37"/>
  <c r="AG608" i="37"/>
  <c r="G608" i="37"/>
  <c r="F609" i="37"/>
  <c r="AI609" i="37" l="1"/>
  <c r="AH609" i="37"/>
  <c r="AA609" i="37"/>
  <c r="W609" i="37"/>
  <c r="T609" i="37"/>
  <c r="AG609" i="37"/>
  <c r="AE609" i="37"/>
  <c r="F610" i="37"/>
  <c r="R609" i="37"/>
  <c r="AB609" i="37"/>
  <c r="AC609" i="37" s="1"/>
  <c r="G609" i="37"/>
  <c r="Y609" i="37"/>
  <c r="X609" i="37"/>
  <c r="U609" i="37"/>
  <c r="J608" i="37"/>
  <c r="H608" i="37"/>
  <c r="I608" i="37"/>
  <c r="AD608" i="37"/>
  <c r="AF608" i="37"/>
  <c r="AK608" i="37"/>
  <c r="AL608" i="37" s="1"/>
  <c r="AM608" i="37"/>
  <c r="AN608" i="37" s="1"/>
  <c r="AJ608" i="37"/>
  <c r="V608" i="37"/>
  <c r="H609" i="37" l="1"/>
  <c r="J609" i="37"/>
  <c r="I609" i="37"/>
  <c r="G610" i="37"/>
  <c r="AB610" i="37"/>
  <c r="AC610" i="37" s="1"/>
  <c r="AI610" i="37"/>
  <c r="AH610" i="37"/>
  <c r="Y610" i="37"/>
  <c r="X610" i="37"/>
  <c r="Z610" i="37" s="1"/>
  <c r="U610" i="37"/>
  <c r="AA610" i="37"/>
  <c r="T610" i="37"/>
  <c r="V610" i="37" s="1"/>
  <c r="AE610" i="37"/>
  <c r="AG610" i="37"/>
  <c r="W610" i="37"/>
  <c r="R610" i="37"/>
  <c r="F611" i="37"/>
  <c r="AD609" i="37"/>
  <c r="AF609" i="37"/>
  <c r="AM609" i="37"/>
  <c r="AN609" i="37" s="1"/>
  <c r="AK609" i="37"/>
  <c r="AL609" i="37" s="1"/>
  <c r="AJ609" i="37"/>
  <c r="V609" i="37"/>
  <c r="Z609" i="37"/>
  <c r="AD610" i="37" l="1"/>
  <c r="AJ610" i="37"/>
  <c r="AK610" i="37"/>
  <c r="AL610" i="37" s="1"/>
  <c r="AF610" i="37"/>
  <c r="AM610" i="37"/>
  <c r="AN610" i="37" s="1"/>
  <c r="H610" i="37"/>
  <c r="I610" i="37"/>
  <c r="J610" i="37"/>
  <c r="AB611" i="37"/>
  <c r="AC611" i="37" s="1"/>
  <c r="G611" i="37"/>
  <c r="AI611" i="37"/>
  <c r="F612" i="37"/>
  <c r="AH611" i="37"/>
  <c r="Y611" i="37"/>
  <c r="AA611" i="37"/>
  <c r="R611" i="37"/>
  <c r="T611" i="37"/>
  <c r="V611" i="37" s="1"/>
  <c r="U611" i="37"/>
  <c r="W611" i="37"/>
  <c r="AE611" i="37"/>
  <c r="AG611" i="37"/>
  <c r="X611" i="37"/>
  <c r="AB612" i="37" l="1"/>
  <c r="G612" i="37"/>
  <c r="AI612" i="37"/>
  <c r="F613" i="37"/>
  <c r="X612" i="37"/>
  <c r="U612" i="37"/>
  <c r="AH612" i="37"/>
  <c r="Y612" i="37"/>
  <c r="AA612" i="37"/>
  <c r="AE612" i="37"/>
  <c r="AG612" i="37"/>
  <c r="T612" i="37"/>
  <c r="V612" i="37" s="1"/>
  <c r="W612" i="37"/>
  <c r="R612" i="37"/>
  <c r="J611" i="37"/>
  <c r="H611" i="37"/>
  <c r="I611" i="37"/>
  <c r="Z611" i="37"/>
  <c r="AD611" i="37"/>
  <c r="AK611" i="37"/>
  <c r="AL611" i="37" s="1"/>
  <c r="AJ611" i="37"/>
  <c r="AM611" i="37"/>
  <c r="AN611" i="37" s="1"/>
  <c r="AF611" i="37"/>
  <c r="AD612" i="37" l="1"/>
  <c r="AM612" i="37"/>
  <c r="AN612" i="37" s="1"/>
  <c r="AF612" i="37"/>
  <c r="AK612" i="37"/>
  <c r="AL612" i="37" s="1"/>
  <c r="AJ612" i="37"/>
  <c r="AI613" i="37"/>
  <c r="AB613" i="37"/>
  <c r="AH613" i="37"/>
  <c r="R613" i="37"/>
  <c r="T613" i="37"/>
  <c r="V613" i="37" s="1"/>
  <c r="F614" i="37"/>
  <c r="Y613" i="37"/>
  <c r="G613" i="37"/>
  <c r="X613" i="37"/>
  <c r="Z613" i="37" s="1"/>
  <c r="U613" i="37"/>
  <c r="AG613" i="37"/>
  <c r="W613" i="37"/>
  <c r="AA613" i="37"/>
  <c r="AE613" i="37"/>
  <c r="Z612" i="37"/>
  <c r="J612" i="37"/>
  <c r="H612" i="37"/>
  <c r="I612" i="37"/>
  <c r="AC612" i="37"/>
  <c r="J613" i="37" l="1"/>
  <c r="I613" i="37"/>
  <c r="H613" i="37"/>
  <c r="AB614" i="37"/>
  <c r="W614" i="37"/>
  <c r="AI614" i="37"/>
  <c r="AH614" i="37"/>
  <c r="R614" i="37"/>
  <c r="AA614" i="37"/>
  <c r="G614" i="37"/>
  <c r="U614" i="37"/>
  <c r="T614" i="37"/>
  <c r="V614" i="37" s="1"/>
  <c r="F615" i="37"/>
  <c r="Y614" i="37"/>
  <c r="X614" i="37"/>
  <c r="AE614" i="37"/>
  <c r="AG614" i="37"/>
  <c r="AC613" i="37"/>
  <c r="AD613" i="37"/>
  <c r="AM613" i="37"/>
  <c r="AN613" i="37" s="1"/>
  <c r="AK613" i="37"/>
  <c r="AL613" i="37" s="1"/>
  <c r="AJ613" i="37"/>
  <c r="AF613" i="37"/>
  <c r="AB615" i="37" l="1"/>
  <c r="AI615" i="37"/>
  <c r="G615" i="37"/>
  <c r="AH615" i="37"/>
  <c r="F616" i="37"/>
  <c r="Y615" i="37"/>
  <c r="R615" i="37"/>
  <c r="X615" i="37"/>
  <c r="Z615" i="37" s="1"/>
  <c r="AE615" i="37"/>
  <c r="T615" i="37"/>
  <c r="AG615" i="37"/>
  <c r="AA615" i="37"/>
  <c r="U615" i="37"/>
  <c r="W615" i="37"/>
  <c r="J614" i="37"/>
  <c r="H614" i="37"/>
  <c r="I614" i="37"/>
  <c r="AC614" i="37"/>
  <c r="AD614" i="37"/>
  <c r="AM614" i="37"/>
  <c r="AN614" i="37" s="1"/>
  <c r="AK614" i="37"/>
  <c r="AL614" i="37" s="1"/>
  <c r="AF614" i="37"/>
  <c r="AJ614" i="37"/>
  <c r="Z614" i="37"/>
  <c r="V615" i="37" l="1"/>
  <c r="AH616" i="37"/>
  <c r="AI616" i="37"/>
  <c r="W616" i="37"/>
  <c r="Y616" i="37"/>
  <c r="X616" i="37"/>
  <c r="Z616" i="37" s="1"/>
  <c r="AE616" i="37"/>
  <c r="AA616" i="37"/>
  <c r="T616" i="37"/>
  <c r="U616" i="37"/>
  <c r="AG616" i="37"/>
  <c r="AB616" i="37"/>
  <c r="AC616" i="37" s="1"/>
  <c r="G616" i="37"/>
  <c r="R616" i="37"/>
  <c r="F617" i="37"/>
  <c r="H615" i="37"/>
  <c r="I615" i="37"/>
  <c r="J615" i="37"/>
  <c r="AD615" i="37"/>
  <c r="AK615" i="37"/>
  <c r="AL615" i="37" s="1"/>
  <c r="AM615" i="37"/>
  <c r="AN615" i="37" s="1"/>
  <c r="AF615" i="37"/>
  <c r="AJ615" i="37"/>
  <c r="AC615" i="37"/>
  <c r="H616" i="37" l="1"/>
  <c r="J616" i="37"/>
  <c r="I616" i="37"/>
  <c r="V616" i="37"/>
  <c r="AD616" i="37"/>
  <c r="AF616" i="37"/>
  <c r="AJ616" i="37"/>
  <c r="AK616" i="37"/>
  <c r="AL616" i="37" s="1"/>
  <c r="AM616" i="37"/>
  <c r="AN616" i="37" s="1"/>
  <c r="AB617" i="37"/>
  <c r="AC617" i="37" s="1"/>
  <c r="AH617" i="37"/>
  <c r="AA617" i="37"/>
  <c r="Y617" i="37"/>
  <c r="W617" i="37"/>
  <c r="T617" i="37"/>
  <c r="AI617" i="37"/>
  <c r="F618" i="37"/>
  <c r="G617" i="37"/>
  <c r="U617" i="37"/>
  <c r="X617" i="37"/>
  <c r="R617" i="37"/>
  <c r="AE617" i="37"/>
  <c r="AG617" i="37"/>
  <c r="AD617" i="37" l="1"/>
  <c r="AF617" i="37"/>
  <c r="AJ617" i="37"/>
  <c r="AK617" i="37"/>
  <c r="AL617" i="37" s="1"/>
  <c r="AM617" i="37"/>
  <c r="AN617" i="37" s="1"/>
  <c r="I617" i="37"/>
  <c r="H617" i="37"/>
  <c r="J617" i="37"/>
  <c r="R618" i="37"/>
  <c r="AB618" i="37"/>
  <c r="AC618" i="37" s="1"/>
  <c r="F619" i="37"/>
  <c r="AH618" i="37"/>
  <c r="G618" i="37"/>
  <c r="W618" i="37"/>
  <c r="AI618" i="37"/>
  <c r="AA618" i="37"/>
  <c r="Y618" i="37"/>
  <c r="T618" i="37"/>
  <c r="U618" i="37"/>
  <c r="AE618" i="37"/>
  <c r="AG618" i="37"/>
  <c r="X618" i="37"/>
  <c r="Z618" i="37" s="1"/>
  <c r="Z617" i="37"/>
  <c r="V617" i="37"/>
  <c r="I618" i="37" l="1"/>
  <c r="J618" i="37"/>
  <c r="H618" i="37"/>
  <c r="AD618" i="37"/>
  <c r="AF618" i="37"/>
  <c r="AJ618" i="37"/>
  <c r="AM618" i="37"/>
  <c r="AN618" i="37" s="1"/>
  <c r="AK618" i="37"/>
  <c r="AL618" i="37" s="1"/>
  <c r="AH619" i="37"/>
  <c r="F620" i="37"/>
  <c r="W619" i="37"/>
  <c r="G619" i="37"/>
  <c r="Y619" i="37"/>
  <c r="R619" i="37"/>
  <c r="AA619" i="37"/>
  <c r="X619" i="37"/>
  <c r="T619" i="37"/>
  <c r="V619" i="37" s="1"/>
  <c r="U619" i="37"/>
  <c r="AB619" i="37"/>
  <c r="AI619" i="37"/>
  <c r="AG619" i="37"/>
  <c r="AE619" i="37"/>
  <c r="V618" i="37"/>
  <c r="AB620" i="37" l="1"/>
  <c r="X620" i="37"/>
  <c r="T620" i="37"/>
  <c r="Y620" i="37"/>
  <c r="U620" i="37"/>
  <c r="AG620" i="37"/>
  <c r="AH620" i="37"/>
  <c r="AI620" i="37"/>
  <c r="F621" i="37"/>
  <c r="W620" i="37"/>
  <c r="R620" i="37"/>
  <c r="AA620" i="37"/>
  <c r="G620" i="37"/>
  <c r="AE620" i="37"/>
  <c r="H619" i="37"/>
  <c r="I619" i="37"/>
  <c r="J619" i="37"/>
  <c r="AD619" i="37"/>
  <c r="AF619" i="37"/>
  <c r="AM619" i="37"/>
  <c r="AN619" i="37" s="1"/>
  <c r="AK619" i="37"/>
  <c r="AL619" i="37" s="1"/>
  <c r="AJ619" i="37"/>
  <c r="AC619" i="37"/>
  <c r="Z619" i="37"/>
  <c r="AD620" i="37" l="1"/>
  <c r="AM620" i="37"/>
  <c r="AN620" i="37" s="1"/>
  <c r="AJ620" i="37"/>
  <c r="AK620" i="37"/>
  <c r="AL620" i="37" s="1"/>
  <c r="AF620" i="37"/>
  <c r="AB621" i="37"/>
  <c r="AC621" i="37" s="1"/>
  <c r="F622" i="37"/>
  <c r="AI621" i="37"/>
  <c r="G621" i="37"/>
  <c r="AH621" i="37"/>
  <c r="AA621" i="37"/>
  <c r="Y621" i="37"/>
  <c r="X621" i="37"/>
  <c r="W621" i="37"/>
  <c r="T621" i="37"/>
  <c r="AG621" i="37"/>
  <c r="U621" i="37"/>
  <c r="AE621" i="37"/>
  <c r="R621" i="37"/>
  <c r="V620" i="37"/>
  <c r="H620" i="37"/>
  <c r="J620" i="37"/>
  <c r="I620" i="37"/>
  <c r="Z620" i="37"/>
  <c r="AC620" i="37"/>
  <c r="J621" i="37" l="1"/>
  <c r="H621" i="37"/>
  <c r="I621" i="37"/>
  <c r="Z621" i="37"/>
  <c r="AD621" i="37"/>
  <c r="AF621" i="37"/>
  <c r="AK621" i="37"/>
  <c r="AL621" i="37" s="1"/>
  <c r="AM621" i="37"/>
  <c r="AN621" i="37" s="1"/>
  <c r="AJ621" i="37"/>
  <c r="AB622" i="37"/>
  <c r="AC622" i="37" s="1"/>
  <c r="AI622" i="37"/>
  <c r="AH622" i="37"/>
  <c r="R622" i="37"/>
  <c r="G622" i="37"/>
  <c r="AE622" i="37"/>
  <c r="X622" i="37"/>
  <c r="F623" i="37"/>
  <c r="U622" i="37"/>
  <c r="T622" i="37"/>
  <c r="Y622" i="37"/>
  <c r="AA622" i="37"/>
  <c r="W622" i="37"/>
  <c r="AG622" i="37"/>
  <c r="V621" i="37"/>
  <c r="I622" i="37" l="1"/>
  <c r="H622" i="37"/>
  <c r="J622" i="37"/>
  <c r="AB623" i="37"/>
  <c r="AI623" i="37"/>
  <c r="AH623" i="37"/>
  <c r="G623" i="37"/>
  <c r="U623" i="37"/>
  <c r="AE623" i="37"/>
  <c r="F624" i="37"/>
  <c r="T623" i="37"/>
  <c r="V623" i="37" s="1"/>
  <c r="R623" i="37"/>
  <c r="X623" i="37"/>
  <c r="Z623" i="37" s="1"/>
  <c r="AA623" i="37"/>
  <c r="W623" i="37"/>
  <c r="AG623" i="37"/>
  <c r="Y623" i="37"/>
  <c r="Z622" i="37"/>
  <c r="V622" i="37"/>
  <c r="AD622" i="37"/>
  <c r="AF622" i="37"/>
  <c r="AM622" i="37"/>
  <c r="AN622" i="37" s="1"/>
  <c r="AK622" i="37"/>
  <c r="AL622" i="37" s="1"/>
  <c r="AJ622" i="37"/>
  <c r="J623" i="37" l="1"/>
  <c r="I623" i="37"/>
  <c r="H623" i="37"/>
  <c r="R624" i="37"/>
  <c r="AB624" i="37"/>
  <c r="AC624" i="37" s="1"/>
  <c r="AI624" i="37"/>
  <c r="AH624" i="37"/>
  <c r="F625" i="37"/>
  <c r="AG624" i="37"/>
  <c r="Y624" i="37"/>
  <c r="G624" i="37"/>
  <c r="U624" i="37"/>
  <c r="W624" i="37"/>
  <c r="X624" i="37"/>
  <c r="Z624" i="37" s="1"/>
  <c r="T624" i="37"/>
  <c r="AA624" i="37"/>
  <c r="AE624" i="37"/>
  <c r="AD623" i="37"/>
  <c r="AF623" i="37"/>
  <c r="AM623" i="37"/>
  <c r="AN623" i="37" s="1"/>
  <c r="AK623" i="37"/>
  <c r="AL623" i="37" s="1"/>
  <c r="AJ623" i="37"/>
  <c r="AC623" i="37"/>
  <c r="H624" i="37" l="1"/>
  <c r="I624" i="37"/>
  <c r="J624" i="37"/>
  <c r="AB625" i="37"/>
  <c r="AI625" i="37"/>
  <c r="AH625" i="37"/>
  <c r="R625" i="37"/>
  <c r="AA625" i="37"/>
  <c r="F626" i="37"/>
  <c r="Y625" i="37"/>
  <c r="W625" i="37"/>
  <c r="G625" i="37"/>
  <c r="U625" i="37"/>
  <c r="T625" i="37"/>
  <c r="V625" i="37" s="1"/>
  <c r="AE625" i="37"/>
  <c r="X625" i="37"/>
  <c r="AG625" i="37"/>
  <c r="AD624" i="37"/>
  <c r="AF624" i="37"/>
  <c r="AJ624" i="37"/>
  <c r="AK624" i="37"/>
  <c r="AL624" i="37" s="1"/>
  <c r="AM624" i="37"/>
  <c r="AN624" i="37" s="1"/>
  <c r="V624" i="37"/>
  <c r="H625" i="37" l="1"/>
  <c r="J625" i="37"/>
  <c r="I625" i="37"/>
  <c r="AC625" i="37"/>
  <c r="AB626" i="37"/>
  <c r="AI626" i="37"/>
  <c r="T626" i="37"/>
  <c r="AH626" i="37"/>
  <c r="R626" i="37"/>
  <c r="U626" i="37"/>
  <c r="G626" i="37"/>
  <c r="AA626" i="37"/>
  <c r="X626" i="37"/>
  <c r="Z626" i="37" s="1"/>
  <c r="F627" i="37"/>
  <c r="Y626" i="37"/>
  <c r="W626" i="37"/>
  <c r="AG626" i="37"/>
  <c r="AE626" i="37"/>
  <c r="Z625" i="37"/>
  <c r="AD625" i="37"/>
  <c r="AJ625" i="37"/>
  <c r="AF625" i="37"/>
  <c r="AK625" i="37"/>
  <c r="AL625" i="37" s="1"/>
  <c r="AM625" i="37"/>
  <c r="AN625" i="37" s="1"/>
  <c r="V626" i="37" l="1"/>
  <c r="AC626" i="37"/>
  <c r="I626" i="37"/>
  <c r="J626" i="37"/>
  <c r="H626" i="37"/>
  <c r="AD626" i="37"/>
  <c r="AM626" i="37"/>
  <c r="AN626" i="37" s="1"/>
  <c r="AJ626" i="37"/>
  <c r="AK626" i="37"/>
  <c r="AL626" i="37" s="1"/>
  <c r="AF626" i="37"/>
  <c r="AB627" i="37"/>
  <c r="AC627" i="37" s="1"/>
  <c r="AH627" i="37"/>
  <c r="R627" i="37"/>
  <c r="AI627" i="37"/>
  <c r="F628" i="37"/>
  <c r="Y627" i="37"/>
  <c r="G627" i="37"/>
  <c r="AA627" i="37"/>
  <c r="U627" i="37"/>
  <c r="W627" i="37"/>
  <c r="AG627" i="37"/>
  <c r="T627" i="37"/>
  <c r="V627" i="37" s="1"/>
  <c r="AE627" i="37"/>
  <c r="X627" i="37"/>
  <c r="Z627" i="37" s="1"/>
  <c r="AD627" i="37" l="1"/>
  <c r="AF627" i="37"/>
  <c r="AM627" i="37"/>
  <c r="AN627" i="37" s="1"/>
  <c r="AJ627" i="37"/>
  <c r="AK627" i="37"/>
  <c r="AL627" i="37" s="1"/>
  <c r="I627" i="37"/>
  <c r="H627" i="37"/>
  <c r="J627" i="37"/>
  <c r="AB628" i="37"/>
  <c r="AC628" i="37" s="1"/>
  <c r="R628" i="37"/>
  <c r="AG628" i="37"/>
  <c r="AI628" i="37"/>
  <c r="G628" i="37"/>
  <c r="F629" i="37"/>
  <c r="X628" i="37"/>
  <c r="T628" i="37"/>
  <c r="AE628" i="37"/>
  <c r="AH628" i="37"/>
  <c r="Y628" i="37"/>
  <c r="AA628" i="37"/>
  <c r="U628" i="37"/>
  <c r="W628" i="37"/>
  <c r="AD628" i="37" l="1"/>
  <c r="AF628" i="37"/>
  <c r="AK628" i="37"/>
  <c r="AL628" i="37" s="1"/>
  <c r="AM628" i="37"/>
  <c r="AN628" i="37" s="1"/>
  <c r="AJ628" i="37"/>
  <c r="V628" i="37"/>
  <c r="F630" i="37"/>
  <c r="AB629" i="37"/>
  <c r="AC629" i="37" s="1"/>
  <c r="AI629" i="37"/>
  <c r="AG629" i="37"/>
  <c r="AE629" i="37"/>
  <c r="G629" i="37"/>
  <c r="AH629" i="37"/>
  <c r="X629" i="37"/>
  <c r="Z629" i="37" s="1"/>
  <c r="U629" i="37"/>
  <c r="AA629" i="37"/>
  <c r="Y629" i="37"/>
  <c r="T629" i="37"/>
  <c r="V629" i="37" s="1"/>
  <c r="R629" i="37"/>
  <c r="W629" i="37"/>
  <c r="I628" i="37"/>
  <c r="H628" i="37"/>
  <c r="J628" i="37"/>
  <c r="Z628" i="37"/>
  <c r="AH630" i="37" l="1"/>
  <c r="R630" i="37"/>
  <c r="AB630" i="37"/>
  <c r="AC630" i="37" s="1"/>
  <c r="F631" i="37"/>
  <c r="AI630" i="37"/>
  <c r="G630" i="37"/>
  <c r="X630" i="37"/>
  <c r="T630" i="37"/>
  <c r="W630" i="37"/>
  <c r="Y630" i="37"/>
  <c r="AA630" i="37"/>
  <c r="U630" i="37"/>
  <c r="AG630" i="37"/>
  <c r="AE630" i="37"/>
  <c r="AD629" i="37"/>
  <c r="AF629" i="37"/>
  <c r="AK629" i="37"/>
  <c r="AL629" i="37" s="1"/>
  <c r="AJ629" i="37"/>
  <c r="AM629" i="37"/>
  <c r="AN629" i="37" s="1"/>
  <c r="H629" i="37"/>
  <c r="J629" i="37"/>
  <c r="I629" i="37"/>
  <c r="AD630" i="37" l="1"/>
  <c r="AF630" i="37"/>
  <c r="AM630" i="37"/>
  <c r="AN630" i="37" s="1"/>
  <c r="AK630" i="37"/>
  <c r="AL630" i="37" s="1"/>
  <c r="AJ630" i="37"/>
  <c r="AB631" i="37"/>
  <c r="AI631" i="37"/>
  <c r="AH631" i="37"/>
  <c r="R631" i="37"/>
  <c r="AA631" i="37"/>
  <c r="AE631" i="37"/>
  <c r="X631" i="37"/>
  <c r="F632" i="37"/>
  <c r="Y631" i="37"/>
  <c r="G631" i="37"/>
  <c r="W631" i="37"/>
  <c r="T631" i="37"/>
  <c r="U631" i="37"/>
  <c r="AG631" i="37"/>
  <c r="Z630" i="37"/>
  <c r="V630" i="37"/>
  <c r="J630" i="37"/>
  <c r="H630" i="37"/>
  <c r="I630" i="37"/>
  <c r="AH632" i="37" l="1"/>
  <c r="X632" i="37"/>
  <c r="W632" i="37"/>
  <c r="AI632" i="37"/>
  <c r="AA632" i="37"/>
  <c r="U632" i="37"/>
  <c r="T632" i="37"/>
  <c r="V632" i="37" s="1"/>
  <c r="Y632" i="37"/>
  <c r="AG632" i="37"/>
  <c r="F633" i="37"/>
  <c r="R632" i="37"/>
  <c r="G632" i="37"/>
  <c r="AB632" i="37"/>
  <c r="AC632" i="37" s="1"/>
  <c r="AE632" i="37"/>
  <c r="AD631" i="37"/>
  <c r="AK631" i="37"/>
  <c r="AL631" i="37" s="1"/>
  <c r="AF631" i="37"/>
  <c r="AJ631" i="37"/>
  <c r="AM631" i="37"/>
  <c r="AN631" i="37" s="1"/>
  <c r="Z631" i="37"/>
  <c r="AC631" i="37"/>
  <c r="V631" i="37"/>
  <c r="I631" i="37"/>
  <c r="J631" i="37"/>
  <c r="H631" i="37"/>
  <c r="AB633" i="37" l="1"/>
  <c r="AC633" i="37" s="1"/>
  <c r="R633" i="37"/>
  <c r="AI633" i="37"/>
  <c r="G633" i="37"/>
  <c r="AH633" i="37"/>
  <c r="F634" i="37"/>
  <c r="AA633" i="37"/>
  <c r="X633" i="37"/>
  <c r="Y633" i="37"/>
  <c r="W633" i="37"/>
  <c r="T633" i="37"/>
  <c r="V633" i="37" s="1"/>
  <c r="AE633" i="37"/>
  <c r="AG633" i="37"/>
  <c r="U633" i="37"/>
  <c r="AD632" i="37"/>
  <c r="AF632" i="37"/>
  <c r="AK632" i="37"/>
  <c r="AL632" i="37" s="1"/>
  <c r="AM632" i="37"/>
  <c r="AN632" i="37" s="1"/>
  <c r="AJ632" i="37"/>
  <c r="I632" i="37"/>
  <c r="H632" i="37"/>
  <c r="J632" i="37"/>
  <c r="Z632" i="37"/>
  <c r="AD633" i="37" l="1"/>
  <c r="AF633" i="37"/>
  <c r="AM633" i="37"/>
  <c r="AN633" i="37" s="1"/>
  <c r="AJ633" i="37"/>
  <c r="AK633" i="37"/>
  <c r="AL633" i="37" s="1"/>
  <c r="H633" i="37"/>
  <c r="I633" i="37"/>
  <c r="J633" i="37"/>
  <c r="Z633" i="37"/>
  <c r="AB634" i="37"/>
  <c r="AC634" i="37" s="1"/>
  <c r="AI634" i="37"/>
  <c r="R634" i="37"/>
  <c r="U634" i="37"/>
  <c r="T634" i="37"/>
  <c r="V634" i="37" s="1"/>
  <c r="AH634" i="37"/>
  <c r="AA634" i="37"/>
  <c r="G634" i="37"/>
  <c r="Y634" i="37"/>
  <c r="F635" i="37"/>
  <c r="X634" i="37"/>
  <c r="Z634" i="37" s="1"/>
  <c r="AG634" i="37"/>
  <c r="W634" i="37"/>
  <c r="AE634" i="37"/>
  <c r="AD634" i="37" l="1"/>
  <c r="AJ634" i="37"/>
  <c r="AM634" i="37"/>
  <c r="AN634" i="37" s="1"/>
  <c r="AK634" i="37"/>
  <c r="AL634" i="37" s="1"/>
  <c r="AF634" i="37"/>
  <c r="I634" i="37"/>
  <c r="H634" i="37"/>
  <c r="J634" i="37"/>
  <c r="AB635" i="37"/>
  <c r="AC635" i="37" s="1"/>
  <c r="F636" i="37"/>
  <c r="U635" i="37"/>
  <c r="AH635" i="37"/>
  <c r="G635" i="37"/>
  <c r="AI635" i="37"/>
  <c r="W635" i="37"/>
  <c r="AA635" i="37"/>
  <c r="Y635" i="37"/>
  <c r="X635" i="37"/>
  <c r="Z635" i="37" s="1"/>
  <c r="AG635" i="37"/>
  <c r="AE635" i="37"/>
  <c r="T635" i="37"/>
  <c r="R635" i="37"/>
  <c r="V635" i="37" l="1"/>
  <c r="AD635" i="37"/>
  <c r="AF635" i="37"/>
  <c r="AJ635" i="37"/>
  <c r="AK635" i="37"/>
  <c r="AL635" i="37" s="1"/>
  <c r="AM635" i="37"/>
  <c r="AN635" i="37" s="1"/>
  <c r="AH636" i="37"/>
  <c r="AI636" i="37"/>
  <c r="R636" i="37"/>
  <c r="AB636" i="37"/>
  <c r="AC636" i="37" s="1"/>
  <c r="F637" i="37"/>
  <c r="AA636" i="37"/>
  <c r="G636" i="37"/>
  <c r="Y636" i="37"/>
  <c r="X636" i="37"/>
  <c r="W636" i="37"/>
  <c r="AG636" i="37"/>
  <c r="U636" i="37"/>
  <c r="T636" i="37"/>
  <c r="V636" i="37" s="1"/>
  <c r="AE636" i="37"/>
  <c r="I635" i="37"/>
  <c r="H635" i="37"/>
  <c r="J635" i="37"/>
  <c r="I636" i="37" l="1"/>
  <c r="J636" i="37"/>
  <c r="H636" i="37"/>
  <c r="AD636" i="37"/>
  <c r="AK636" i="37"/>
  <c r="AL636" i="37" s="1"/>
  <c r="AF636" i="37"/>
  <c r="AJ636" i="37"/>
  <c r="AM636" i="37"/>
  <c r="AN636" i="37" s="1"/>
  <c r="AI637" i="37"/>
  <c r="F638" i="37"/>
  <c r="T637" i="37"/>
  <c r="V637" i="37" s="1"/>
  <c r="AE637" i="37"/>
  <c r="AH637" i="37"/>
  <c r="R637" i="37"/>
  <c r="AA637" i="37"/>
  <c r="G637" i="37"/>
  <c r="Y637" i="37"/>
  <c r="X637" i="37"/>
  <c r="Z637" i="37" s="1"/>
  <c r="W637" i="37"/>
  <c r="AB637" i="37"/>
  <c r="U637" i="37"/>
  <c r="AG637" i="37"/>
  <c r="Z636" i="37"/>
  <c r="AB638" i="37" l="1"/>
  <c r="F639" i="37"/>
  <c r="AI638" i="37"/>
  <c r="R638" i="37"/>
  <c r="AH638" i="37"/>
  <c r="G638" i="37"/>
  <c r="AA638" i="37"/>
  <c r="Y638" i="37"/>
  <c r="U638" i="37"/>
  <c r="T638" i="37"/>
  <c r="V638" i="37" s="1"/>
  <c r="AG638" i="37"/>
  <c r="W638" i="37"/>
  <c r="AE638" i="37"/>
  <c r="X638" i="37"/>
  <c r="Z638" i="37" s="1"/>
  <c r="AC637" i="37"/>
  <c r="AD637" i="37"/>
  <c r="AK637" i="37"/>
  <c r="AL637" i="37" s="1"/>
  <c r="AM637" i="37"/>
  <c r="AN637" i="37" s="1"/>
  <c r="AF637" i="37"/>
  <c r="AJ637" i="37"/>
  <c r="I637" i="37"/>
  <c r="H637" i="37"/>
  <c r="J637" i="37"/>
  <c r="AD638" i="37" l="1"/>
  <c r="AJ638" i="37"/>
  <c r="AM638" i="37"/>
  <c r="AN638" i="37" s="1"/>
  <c r="AF638" i="37"/>
  <c r="AK638" i="37"/>
  <c r="AL638" i="37" s="1"/>
  <c r="J638" i="37"/>
  <c r="H638" i="37"/>
  <c r="I638" i="37"/>
  <c r="AB639" i="37"/>
  <c r="G639" i="37"/>
  <c r="AH639" i="37"/>
  <c r="R639" i="37"/>
  <c r="AI639" i="37"/>
  <c r="Y639" i="37"/>
  <c r="X639" i="37"/>
  <c r="U639" i="37"/>
  <c r="AG639" i="37"/>
  <c r="T639" i="37"/>
  <c r="V639" i="37" s="1"/>
  <c r="F640" i="37"/>
  <c r="W639" i="37"/>
  <c r="AA639" i="37"/>
  <c r="AE639" i="37"/>
  <c r="AC638" i="37"/>
  <c r="H639" i="37" l="1"/>
  <c r="I639" i="37"/>
  <c r="J639" i="37"/>
  <c r="AC639" i="37"/>
  <c r="AH640" i="37"/>
  <c r="X640" i="37"/>
  <c r="F641" i="37"/>
  <c r="AG640" i="37"/>
  <c r="AI640" i="37"/>
  <c r="R640" i="37"/>
  <c r="Y640" i="37"/>
  <c r="G640" i="37"/>
  <c r="AE640" i="37"/>
  <c r="T640" i="37"/>
  <c r="V640" i="37" s="1"/>
  <c r="W640" i="37"/>
  <c r="U640" i="37"/>
  <c r="AA640" i="37"/>
  <c r="AB640" i="37"/>
  <c r="AD639" i="37"/>
  <c r="AF639" i="37"/>
  <c r="AK639" i="37"/>
  <c r="AL639" i="37" s="1"/>
  <c r="AM639" i="37"/>
  <c r="AN639" i="37" s="1"/>
  <c r="AJ639" i="37"/>
  <c r="Z639" i="37"/>
  <c r="I640" i="37" l="1"/>
  <c r="H640" i="37"/>
  <c r="J640" i="37"/>
  <c r="AD640" i="37"/>
  <c r="AM640" i="37"/>
  <c r="AN640" i="37" s="1"/>
  <c r="AK640" i="37"/>
  <c r="AL640" i="37" s="1"/>
  <c r="AF640" i="37"/>
  <c r="AJ640" i="37"/>
  <c r="AB641" i="37"/>
  <c r="AI641" i="37"/>
  <c r="AH641" i="37"/>
  <c r="G641" i="37"/>
  <c r="W641" i="37"/>
  <c r="R641" i="37"/>
  <c r="AA641" i="37"/>
  <c r="T641" i="37"/>
  <c r="F642" i="37"/>
  <c r="Y641" i="37"/>
  <c r="X641" i="37"/>
  <c r="Z641" i="37" s="1"/>
  <c r="U641" i="37"/>
  <c r="AE641" i="37"/>
  <c r="AG641" i="37"/>
  <c r="Z640" i="37"/>
  <c r="AC640" i="37"/>
  <c r="AC641" i="37" l="1"/>
  <c r="AD641" i="37"/>
  <c r="AF641" i="37"/>
  <c r="AM641" i="37"/>
  <c r="AN641" i="37" s="1"/>
  <c r="AJ641" i="37"/>
  <c r="AK641" i="37"/>
  <c r="AL641" i="37" s="1"/>
  <c r="J641" i="37"/>
  <c r="H641" i="37"/>
  <c r="I641" i="37"/>
  <c r="AI642" i="37"/>
  <c r="AH642" i="37"/>
  <c r="G642" i="37"/>
  <c r="AA642" i="37"/>
  <c r="F643" i="37"/>
  <c r="W642" i="37"/>
  <c r="R642" i="37"/>
  <c r="T642" i="37"/>
  <c r="Y642" i="37"/>
  <c r="X642" i="37"/>
  <c r="Z642" i="37" s="1"/>
  <c r="U642" i="37"/>
  <c r="AG642" i="37"/>
  <c r="AE642" i="37"/>
  <c r="AB642" i="37"/>
  <c r="AC642" i="37" s="1"/>
  <c r="V641" i="37"/>
  <c r="H642" i="37" l="1"/>
  <c r="I642" i="37"/>
  <c r="J642" i="37"/>
  <c r="AD642" i="37"/>
  <c r="AF642" i="37"/>
  <c r="AM642" i="37"/>
  <c r="AN642" i="37" s="1"/>
  <c r="AK642" i="37"/>
  <c r="AL642" i="37" s="1"/>
  <c r="AJ642" i="37"/>
  <c r="AB643" i="37"/>
  <c r="R643" i="37"/>
  <c r="AI643" i="37"/>
  <c r="F644" i="37"/>
  <c r="T643" i="37"/>
  <c r="V643" i="37" s="1"/>
  <c r="AH643" i="37"/>
  <c r="G643" i="37"/>
  <c r="W643" i="37"/>
  <c r="Y643" i="37"/>
  <c r="X643" i="37"/>
  <c r="Z643" i="37" s="1"/>
  <c r="AG643" i="37"/>
  <c r="U643" i="37"/>
  <c r="AE643" i="37"/>
  <c r="AA643" i="37"/>
  <c r="V642" i="37"/>
  <c r="AC643" i="37" l="1"/>
  <c r="AD643" i="37"/>
  <c r="AF643" i="37"/>
  <c r="AM643" i="37"/>
  <c r="AN643" i="37" s="1"/>
  <c r="AK643" i="37"/>
  <c r="AL643" i="37" s="1"/>
  <c r="AJ643" i="37"/>
  <c r="AB644" i="37"/>
  <c r="AC644" i="37" s="1"/>
  <c r="AI644" i="37"/>
  <c r="R644" i="37"/>
  <c r="AH644" i="37"/>
  <c r="F645" i="37"/>
  <c r="G644" i="37"/>
  <c r="AA644" i="37"/>
  <c r="W644" i="37"/>
  <c r="T644" i="37"/>
  <c r="Y644" i="37"/>
  <c r="AE644" i="37"/>
  <c r="U644" i="37"/>
  <c r="AG644" i="37"/>
  <c r="X644" i="37"/>
  <c r="Z644" i="37" s="1"/>
  <c r="I643" i="37"/>
  <c r="H643" i="37"/>
  <c r="J643" i="37"/>
  <c r="J644" i="37" l="1"/>
  <c r="H644" i="37"/>
  <c r="I644" i="37"/>
  <c r="AB645" i="37"/>
  <c r="R645" i="37"/>
  <c r="AI645" i="37"/>
  <c r="G645" i="37"/>
  <c r="AH645" i="37"/>
  <c r="F646" i="37"/>
  <c r="Y645" i="37"/>
  <c r="X645" i="37"/>
  <c r="Z645" i="37" s="1"/>
  <c r="T645" i="37"/>
  <c r="V645" i="37" s="1"/>
  <c r="W645" i="37"/>
  <c r="AA645" i="37"/>
  <c r="U645" i="37"/>
  <c r="AG645" i="37"/>
  <c r="AE645" i="37"/>
  <c r="AD644" i="37"/>
  <c r="AF644" i="37"/>
  <c r="AM644" i="37"/>
  <c r="AN644" i="37" s="1"/>
  <c r="AK644" i="37"/>
  <c r="AL644" i="37" s="1"/>
  <c r="AJ644" i="37"/>
  <c r="V644" i="37"/>
  <c r="AI646" i="37" l="1"/>
  <c r="G646" i="37"/>
  <c r="AH646" i="37"/>
  <c r="F647" i="37"/>
  <c r="AA646" i="37"/>
  <c r="W646" i="37"/>
  <c r="Y646" i="37"/>
  <c r="T646" i="37"/>
  <c r="V646" i="37" s="1"/>
  <c r="U646" i="37"/>
  <c r="AB646" i="37"/>
  <c r="AC646" i="37" s="1"/>
  <c r="R646" i="37"/>
  <c r="X646" i="37"/>
  <c r="Z646" i="37" s="1"/>
  <c r="AG646" i="37"/>
  <c r="AE646" i="37"/>
  <c r="I645" i="37"/>
  <c r="J645" i="37"/>
  <c r="H645" i="37"/>
  <c r="AC645" i="37"/>
  <c r="AD645" i="37"/>
  <c r="AM645" i="37"/>
  <c r="AN645" i="37" s="1"/>
  <c r="AK645" i="37"/>
  <c r="AL645" i="37" s="1"/>
  <c r="AF645" i="37"/>
  <c r="AJ645" i="37"/>
  <c r="AD646" i="37" l="1"/>
  <c r="AK646" i="37"/>
  <c r="AL646" i="37" s="1"/>
  <c r="AM646" i="37"/>
  <c r="AN646" i="37" s="1"/>
  <c r="AF646" i="37"/>
  <c r="AJ646" i="37"/>
  <c r="AI647" i="37"/>
  <c r="AH647" i="37"/>
  <c r="Y647" i="37"/>
  <c r="X647" i="37"/>
  <c r="W647" i="37"/>
  <c r="AA647" i="37"/>
  <c r="F648" i="37"/>
  <c r="AG647" i="37"/>
  <c r="U647" i="37"/>
  <c r="T647" i="37"/>
  <c r="R647" i="37"/>
  <c r="AB647" i="37"/>
  <c r="AC647" i="37" s="1"/>
  <c r="AE647" i="37"/>
  <c r="G647" i="37"/>
  <c r="J646" i="37"/>
  <c r="H646" i="37"/>
  <c r="I646" i="37"/>
  <c r="Z647" i="37" l="1"/>
  <c r="AD647" i="37"/>
  <c r="AK647" i="37"/>
  <c r="AL647" i="37" s="1"/>
  <c r="AF647" i="37"/>
  <c r="AJ647" i="37"/>
  <c r="AM647" i="37"/>
  <c r="AN647" i="37" s="1"/>
  <c r="AB648" i="37"/>
  <c r="AC648" i="37" s="1"/>
  <c r="F649" i="37"/>
  <c r="AI648" i="37"/>
  <c r="AH648" i="37"/>
  <c r="AA648" i="37"/>
  <c r="T648" i="37"/>
  <c r="V648" i="37" s="1"/>
  <c r="Y648" i="37"/>
  <c r="W648" i="37"/>
  <c r="U648" i="37"/>
  <c r="AE648" i="37"/>
  <c r="X648" i="37"/>
  <c r="G648" i="37"/>
  <c r="AG648" i="37"/>
  <c r="R648" i="37"/>
  <c r="J647" i="37"/>
  <c r="I647" i="37"/>
  <c r="H647" i="37"/>
  <c r="V647" i="37"/>
  <c r="X649" i="37" l="1"/>
  <c r="AA649" i="37"/>
  <c r="U649" i="37"/>
  <c r="AI649" i="37"/>
  <c r="AH649" i="37"/>
  <c r="Y649" i="37"/>
  <c r="R649" i="37"/>
  <c r="W649" i="37"/>
  <c r="T649" i="37"/>
  <c r="V649" i="37" s="1"/>
  <c r="AE649" i="37"/>
  <c r="AG649" i="37"/>
  <c r="F650" i="37"/>
  <c r="AB649" i="37"/>
  <c r="AC649" i="37" s="1"/>
  <c r="G649" i="37"/>
  <c r="I648" i="37"/>
  <c r="H648" i="37"/>
  <c r="J648" i="37"/>
  <c r="Z648" i="37"/>
  <c r="AD648" i="37"/>
  <c r="AF648" i="37"/>
  <c r="AM648" i="37"/>
  <c r="AN648" i="37" s="1"/>
  <c r="AK648" i="37"/>
  <c r="AL648" i="37" s="1"/>
  <c r="AJ648" i="37"/>
  <c r="AD649" i="37" l="1"/>
  <c r="AK649" i="37"/>
  <c r="AL649" i="37" s="1"/>
  <c r="AM649" i="37"/>
  <c r="AN649" i="37" s="1"/>
  <c r="AF649" i="37"/>
  <c r="AJ649" i="37"/>
  <c r="AI650" i="37"/>
  <c r="AH650" i="37"/>
  <c r="W650" i="37"/>
  <c r="G650" i="37"/>
  <c r="F651" i="37"/>
  <c r="R650" i="37"/>
  <c r="X650" i="37"/>
  <c r="Z650" i="37" s="1"/>
  <c r="U650" i="37"/>
  <c r="Y650" i="37"/>
  <c r="T650" i="37"/>
  <c r="AE650" i="37"/>
  <c r="AA650" i="37"/>
  <c r="AG650" i="37"/>
  <c r="AB650" i="37"/>
  <c r="H649" i="37"/>
  <c r="J649" i="37"/>
  <c r="I649" i="37"/>
  <c r="Z649" i="37"/>
  <c r="I650" i="37" l="1"/>
  <c r="H650" i="37"/>
  <c r="J650" i="37"/>
  <c r="AB651" i="37"/>
  <c r="AI651" i="37"/>
  <c r="AH651" i="37"/>
  <c r="R651" i="37"/>
  <c r="W651" i="37"/>
  <c r="F652" i="37"/>
  <c r="AA651" i="37"/>
  <c r="G651" i="37"/>
  <c r="Y651" i="37"/>
  <c r="X651" i="37"/>
  <c r="Z651" i="37" s="1"/>
  <c r="U651" i="37"/>
  <c r="AE651" i="37"/>
  <c r="AG651" i="37"/>
  <c r="T651" i="37"/>
  <c r="AC650" i="37"/>
  <c r="AD650" i="37"/>
  <c r="AM650" i="37"/>
  <c r="AN650" i="37" s="1"/>
  <c r="AJ650" i="37"/>
  <c r="AK650" i="37"/>
  <c r="AL650" i="37" s="1"/>
  <c r="AF650" i="37"/>
  <c r="V650" i="37"/>
  <c r="I651" i="37" l="1"/>
  <c r="J651" i="37"/>
  <c r="H651" i="37"/>
  <c r="AH652" i="37"/>
  <c r="G652" i="37"/>
  <c r="AI652" i="37"/>
  <c r="F653" i="37"/>
  <c r="Y652" i="37"/>
  <c r="AB652" i="37"/>
  <c r="AC652" i="37" s="1"/>
  <c r="W652" i="37"/>
  <c r="X652" i="37"/>
  <c r="Z652" i="37" s="1"/>
  <c r="T652" i="37"/>
  <c r="V652" i="37" s="1"/>
  <c r="U652" i="37"/>
  <c r="AA652" i="37"/>
  <c r="AE652" i="37"/>
  <c r="AG652" i="37"/>
  <c r="R652" i="37"/>
  <c r="AC651" i="37"/>
  <c r="V651" i="37"/>
  <c r="AD651" i="37"/>
  <c r="AJ651" i="37"/>
  <c r="AF651" i="37"/>
  <c r="AK651" i="37"/>
  <c r="AL651" i="37" s="1"/>
  <c r="AM651" i="37"/>
  <c r="AN651" i="37" s="1"/>
  <c r="R653" i="37" l="1"/>
  <c r="AB653" i="37"/>
  <c r="AC653" i="37" s="1"/>
  <c r="AH653" i="37"/>
  <c r="Y653" i="37"/>
  <c r="U653" i="37"/>
  <c r="T653" i="37"/>
  <c r="V653" i="37" s="1"/>
  <c r="AI653" i="37"/>
  <c r="X653" i="37"/>
  <c r="Z653" i="37" s="1"/>
  <c r="AA653" i="37"/>
  <c r="AE653" i="37"/>
  <c r="AG653" i="37"/>
  <c r="G653" i="37"/>
  <c r="F654" i="37"/>
  <c r="W653" i="37"/>
  <c r="H652" i="37"/>
  <c r="J652" i="37"/>
  <c r="I652" i="37"/>
  <c r="AD652" i="37"/>
  <c r="AF652" i="37"/>
  <c r="AM652" i="37"/>
  <c r="AN652" i="37" s="1"/>
  <c r="AK652" i="37"/>
  <c r="AL652" i="37" s="1"/>
  <c r="AJ652" i="37"/>
  <c r="AB654" i="37" l="1"/>
  <c r="AC654" i="37" s="1"/>
  <c r="AH654" i="37"/>
  <c r="R654" i="37"/>
  <c r="Y654" i="37"/>
  <c r="F655" i="37"/>
  <c r="U654" i="37"/>
  <c r="G654" i="37"/>
  <c r="W654" i="37"/>
  <c r="AI654" i="37"/>
  <c r="T654" i="37"/>
  <c r="V654" i="37" s="1"/>
  <c r="X654" i="37"/>
  <c r="Z654" i="37" s="1"/>
  <c r="AG654" i="37"/>
  <c r="AE654" i="37"/>
  <c r="AA654" i="37"/>
  <c r="I653" i="37"/>
  <c r="J653" i="37"/>
  <c r="H653" i="37"/>
  <c r="AD653" i="37"/>
  <c r="AF653" i="37"/>
  <c r="AJ653" i="37"/>
  <c r="AM653" i="37"/>
  <c r="AN653" i="37" s="1"/>
  <c r="AK653" i="37"/>
  <c r="AL653" i="37" s="1"/>
  <c r="AD654" i="37" l="1"/>
  <c r="AK654" i="37"/>
  <c r="AL654" i="37" s="1"/>
  <c r="AF654" i="37"/>
  <c r="AM654" i="37"/>
  <c r="AN654" i="37" s="1"/>
  <c r="AJ654" i="37"/>
  <c r="I654" i="37"/>
  <c r="J654" i="37"/>
  <c r="H654" i="37"/>
  <c r="AI655" i="37"/>
  <c r="AH655" i="37"/>
  <c r="U655" i="37"/>
  <c r="Y655" i="37"/>
  <c r="T655" i="37"/>
  <c r="X655" i="37"/>
  <c r="Z655" i="37" s="1"/>
  <c r="W655" i="37"/>
  <c r="F656" i="37"/>
  <c r="AG655" i="37"/>
  <c r="AE655" i="37"/>
  <c r="AB655" i="37"/>
  <c r="AC655" i="37" s="1"/>
  <c r="AA655" i="37"/>
  <c r="R655" i="37"/>
  <c r="G655" i="37"/>
  <c r="V655" i="37" l="1"/>
  <c r="I655" i="37"/>
  <c r="H655" i="37"/>
  <c r="J655" i="37"/>
  <c r="AD655" i="37"/>
  <c r="AK655" i="37"/>
  <c r="AL655" i="37" s="1"/>
  <c r="AM655" i="37"/>
  <c r="AN655" i="37" s="1"/>
  <c r="AF655" i="37"/>
  <c r="AJ655" i="37"/>
  <c r="AH656" i="37"/>
  <c r="W656" i="37"/>
  <c r="AI656" i="37"/>
  <c r="R656" i="37"/>
  <c r="AA656" i="37"/>
  <c r="F657" i="37"/>
  <c r="Y656" i="37"/>
  <c r="G656" i="37"/>
  <c r="X656" i="37"/>
  <c r="Z656" i="37" s="1"/>
  <c r="T656" i="37"/>
  <c r="U656" i="37"/>
  <c r="AG656" i="37"/>
  <c r="AE656" i="37"/>
  <c r="AB656" i="37"/>
  <c r="AC656" i="37" l="1"/>
  <c r="AD656" i="37"/>
  <c r="AF656" i="37"/>
  <c r="AJ656" i="37"/>
  <c r="AK656" i="37"/>
  <c r="AL656" i="37" s="1"/>
  <c r="AM656" i="37"/>
  <c r="AN656" i="37" s="1"/>
  <c r="V656" i="37"/>
  <c r="J656" i="37"/>
  <c r="I656" i="37"/>
  <c r="H656" i="37"/>
  <c r="AA657" i="37"/>
  <c r="W657" i="37"/>
  <c r="AE657" i="37"/>
  <c r="R657" i="37"/>
  <c r="G657" i="37"/>
  <c r="Y657" i="37"/>
  <c r="X657" i="37"/>
  <c r="U657" i="37"/>
  <c r="T657" i="37"/>
  <c r="V657" i="37" s="1"/>
  <c r="AB657" i="37"/>
  <c r="F658" i="37"/>
  <c r="AG657" i="37"/>
  <c r="AI657" i="37"/>
  <c r="AH657" i="37"/>
  <c r="AD657" i="37" l="1"/>
  <c r="AF657" i="37"/>
  <c r="AK657" i="37"/>
  <c r="AL657" i="37" s="1"/>
  <c r="AJ657" i="37"/>
  <c r="AM657" i="37"/>
  <c r="AN657" i="37" s="1"/>
  <c r="AH658" i="37"/>
  <c r="F659" i="37"/>
  <c r="AI658" i="37"/>
  <c r="R658" i="37"/>
  <c r="Y658" i="37"/>
  <c r="X658" i="37"/>
  <c r="Z658" i="37" s="1"/>
  <c r="AG658" i="37"/>
  <c r="G658" i="37"/>
  <c r="W658" i="37"/>
  <c r="AE658" i="37"/>
  <c r="AA658" i="37"/>
  <c r="T658" i="37"/>
  <c r="AB658" i="37"/>
  <c r="U658" i="37"/>
  <c r="AC657" i="37"/>
  <c r="Z657" i="37"/>
  <c r="I657" i="37"/>
  <c r="J657" i="37"/>
  <c r="H657" i="37"/>
  <c r="J658" i="37" l="1"/>
  <c r="H658" i="37"/>
  <c r="I658" i="37"/>
  <c r="AB659" i="37"/>
  <c r="F660" i="37"/>
  <c r="AI659" i="37"/>
  <c r="R659" i="37"/>
  <c r="G659" i="37"/>
  <c r="AH659" i="37"/>
  <c r="W659" i="37"/>
  <c r="X659" i="37"/>
  <c r="Z659" i="37" s="1"/>
  <c r="AA659" i="37"/>
  <c r="U659" i="37"/>
  <c r="T659" i="37"/>
  <c r="AG659" i="37"/>
  <c r="Y659" i="37"/>
  <c r="AE659" i="37"/>
  <c r="AC658" i="37"/>
  <c r="V658" i="37"/>
  <c r="AD658" i="37"/>
  <c r="AF658" i="37"/>
  <c r="AK658" i="37"/>
  <c r="AL658" i="37" s="1"/>
  <c r="AM658" i="37"/>
  <c r="AN658" i="37" s="1"/>
  <c r="AJ658" i="37"/>
  <c r="I659" i="37" l="1"/>
  <c r="H659" i="37"/>
  <c r="J659" i="37"/>
  <c r="AC659" i="37"/>
  <c r="F661" i="37"/>
  <c r="AB660" i="37"/>
  <c r="AI660" i="37"/>
  <c r="AH660" i="37"/>
  <c r="R660" i="37"/>
  <c r="G660" i="37"/>
  <c r="Y660" i="37"/>
  <c r="U660" i="37"/>
  <c r="X660" i="37"/>
  <c r="Z660" i="37" s="1"/>
  <c r="AA660" i="37"/>
  <c r="AG660" i="37"/>
  <c r="T660" i="37"/>
  <c r="W660" i="37"/>
  <c r="AE660" i="37"/>
  <c r="AD659" i="37"/>
  <c r="AF659" i="37"/>
  <c r="AK659" i="37"/>
  <c r="AL659" i="37" s="1"/>
  <c r="AM659" i="37"/>
  <c r="AN659" i="37" s="1"/>
  <c r="AJ659" i="37"/>
  <c r="V659" i="37"/>
  <c r="H660" i="37" l="1"/>
  <c r="J660" i="37"/>
  <c r="I660" i="37"/>
  <c r="AB661" i="37"/>
  <c r="F662" i="37"/>
  <c r="AI661" i="37"/>
  <c r="AH661" i="37"/>
  <c r="R661" i="37"/>
  <c r="Y661" i="37"/>
  <c r="X661" i="37"/>
  <c r="AE661" i="37"/>
  <c r="AA661" i="37"/>
  <c r="U661" i="37"/>
  <c r="T661" i="37"/>
  <c r="V661" i="37" s="1"/>
  <c r="W661" i="37"/>
  <c r="AG661" i="37"/>
  <c r="G661" i="37"/>
  <c r="AD660" i="37"/>
  <c r="AF660" i="37"/>
  <c r="AM660" i="37"/>
  <c r="AN660" i="37" s="1"/>
  <c r="AJ660" i="37"/>
  <c r="AK660" i="37"/>
  <c r="AL660" i="37" s="1"/>
  <c r="V660" i="37"/>
  <c r="AC660" i="37"/>
  <c r="AD661" i="37" l="1"/>
  <c r="AF661" i="37"/>
  <c r="AK661" i="37"/>
  <c r="AL661" i="37" s="1"/>
  <c r="AJ661" i="37"/>
  <c r="AM661" i="37"/>
  <c r="AN661" i="37" s="1"/>
  <c r="AC661" i="37"/>
  <c r="Z661" i="37"/>
  <c r="AB662" i="37"/>
  <c r="AC662" i="37" s="1"/>
  <c r="R662" i="37"/>
  <c r="AI662" i="37"/>
  <c r="F663" i="37"/>
  <c r="AH662" i="37"/>
  <c r="G662" i="37"/>
  <c r="Y662" i="37"/>
  <c r="W662" i="37"/>
  <c r="AE662" i="37"/>
  <c r="X662" i="37"/>
  <c r="U662" i="37"/>
  <c r="AG662" i="37"/>
  <c r="T662" i="37"/>
  <c r="V662" i="37" s="1"/>
  <c r="AA662" i="37"/>
  <c r="J661" i="37"/>
  <c r="H661" i="37"/>
  <c r="I661" i="37"/>
  <c r="AI663" i="37" l="1"/>
  <c r="R663" i="37"/>
  <c r="AG663" i="37"/>
  <c r="AH663" i="37"/>
  <c r="G663" i="37"/>
  <c r="F664" i="37"/>
  <c r="U663" i="37"/>
  <c r="X663" i="37"/>
  <c r="T663" i="37"/>
  <c r="AA663" i="37"/>
  <c r="Y663" i="37"/>
  <c r="W663" i="37"/>
  <c r="AE663" i="37"/>
  <c r="AB663" i="37"/>
  <c r="AC663" i="37" s="1"/>
  <c r="H662" i="37"/>
  <c r="J662" i="37"/>
  <c r="I662" i="37"/>
  <c r="Z662" i="37"/>
  <c r="AD662" i="37"/>
  <c r="AJ662" i="37"/>
  <c r="AF662" i="37"/>
  <c r="AK662" i="37"/>
  <c r="AL662" i="37" s="1"/>
  <c r="AM662" i="37"/>
  <c r="AN662" i="37" s="1"/>
  <c r="V663" i="37" l="1"/>
  <c r="AD663" i="37"/>
  <c r="AF663" i="37"/>
  <c r="AK663" i="37"/>
  <c r="AL663" i="37" s="1"/>
  <c r="AM663" i="37"/>
  <c r="AN663" i="37" s="1"/>
  <c r="AJ663" i="37"/>
  <c r="Z663" i="37"/>
  <c r="F665" i="37"/>
  <c r="AB664" i="37"/>
  <c r="G664" i="37"/>
  <c r="AI664" i="37"/>
  <c r="R664" i="37"/>
  <c r="AH664" i="37"/>
  <c r="Y664" i="37"/>
  <c r="AG664" i="37"/>
  <c r="AA664" i="37"/>
  <c r="X664" i="37"/>
  <c r="T664" i="37"/>
  <c r="W664" i="37"/>
  <c r="AE664" i="37"/>
  <c r="U664" i="37"/>
  <c r="H663" i="37"/>
  <c r="I663" i="37"/>
  <c r="J663" i="37"/>
  <c r="AC664" i="37" l="1"/>
  <c r="AI665" i="37"/>
  <c r="R665" i="37"/>
  <c r="U665" i="37"/>
  <c r="AH665" i="37"/>
  <c r="F666" i="37"/>
  <c r="G665" i="37"/>
  <c r="Y665" i="37"/>
  <c r="AA665" i="37"/>
  <c r="W665" i="37"/>
  <c r="T665" i="37"/>
  <c r="V665" i="37" s="1"/>
  <c r="AE665" i="37"/>
  <c r="X665" i="37"/>
  <c r="Z665" i="37" s="1"/>
  <c r="AG665" i="37"/>
  <c r="AB665" i="37"/>
  <c r="AC665" i="37" s="1"/>
  <c r="V664" i="37"/>
  <c r="Z664" i="37"/>
  <c r="J664" i="37"/>
  <c r="I664" i="37"/>
  <c r="H664" i="37"/>
  <c r="AD664" i="37"/>
  <c r="AK664" i="37"/>
  <c r="AL664" i="37" s="1"/>
  <c r="AF664" i="37"/>
  <c r="AM664" i="37"/>
  <c r="AN664" i="37" s="1"/>
  <c r="AJ664" i="37"/>
  <c r="AD665" i="37" l="1"/>
  <c r="AF665" i="37"/>
  <c r="AM665" i="37"/>
  <c r="AN665" i="37" s="1"/>
  <c r="AJ665" i="37"/>
  <c r="AK665" i="37"/>
  <c r="AL665" i="37" s="1"/>
  <c r="I665" i="37"/>
  <c r="H665" i="37"/>
  <c r="J665" i="37"/>
  <c r="AB666" i="37"/>
  <c r="AH666" i="37"/>
  <c r="G666" i="37"/>
  <c r="AI666" i="37"/>
  <c r="R666" i="37"/>
  <c r="F667" i="37"/>
  <c r="X666" i="37"/>
  <c r="T666" i="37"/>
  <c r="AE666" i="37"/>
  <c r="W666" i="37"/>
  <c r="U666" i="37"/>
  <c r="Y666" i="37"/>
  <c r="AA666" i="37"/>
  <c r="AG666" i="37"/>
  <c r="AI667" i="37" l="1"/>
  <c r="AA667" i="37"/>
  <c r="R667" i="37"/>
  <c r="G667" i="37"/>
  <c r="T667" i="37"/>
  <c r="AG667" i="37"/>
  <c r="AE667" i="37"/>
  <c r="AB667" i="37"/>
  <c r="AC667" i="37" s="1"/>
  <c r="AH667" i="37"/>
  <c r="X667" i="37"/>
  <c r="F668" i="37"/>
  <c r="W667" i="37"/>
  <c r="Y667" i="37"/>
  <c r="U667" i="37"/>
  <c r="J666" i="37"/>
  <c r="H666" i="37"/>
  <c r="I666" i="37"/>
  <c r="AD666" i="37"/>
  <c r="AK666" i="37"/>
  <c r="AL666" i="37" s="1"/>
  <c r="AF666" i="37"/>
  <c r="AM666" i="37"/>
  <c r="AN666" i="37" s="1"/>
  <c r="AJ666" i="37"/>
  <c r="V666" i="37"/>
  <c r="AC666" i="37"/>
  <c r="Z666" i="37"/>
  <c r="Z667" i="37" l="1"/>
  <c r="AI668" i="37"/>
  <c r="AH668" i="37"/>
  <c r="U668" i="37"/>
  <c r="T668" i="37"/>
  <c r="V668" i="37" s="1"/>
  <c r="F669" i="37"/>
  <c r="G668" i="37"/>
  <c r="AA668" i="37"/>
  <c r="Y668" i="37"/>
  <c r="X668" i="37"/>
  <c r="Z668" i="37" s="1"/>
  <c r="W668" i="37"/>
  <c r="AE668" i="37"/>
  <c r="AG668" i="37"/>
  <c r="AB668" i="37"/>
  <c r="AC668" i="37" s="1"/>
  <c r="R668" i="37"/>
  <c r="J667" i="37"/>
  <c r="H667" i="37"/>
  <c r="I667" i="37"/>
  <c r="AD667" i="37"/>
  <c r="AK667" i="37"/>
  <c r="AL667" i="37" s="1"/>
  <c r="AM667" i="37"/>
  <c r="AN667" i="37" s="1"/>
  <c r="AJ667" i="37"/>
  <c r="AF667" i="37"/>
  <c r="V667" i="37"/>
  <c r="AD668" i="37" l="1"/>
  <c r="AK668" i="37"/>
  <c r="AL668" i="37" s="1"/>
  <c r="AF668" i="37"/>
  <c r="AJ668" i="37"/>
  <c r="AM668" i="37"/>
  <c r="AN668" i="37" s="1"/>
  <c r="I668" i="37"/>
  <c r="J668" i="37"/>
  <c r="H668" i="37"/>
  <c r="AB669" i="37"/>
  <c r="AC669" i="37" s="1"/>
  <c r="R669" i="37"/>
  <c r="AI669" i="37"/>
  <c r="AA669" i="37"/>
  <c r="W669" i="37"/>
  <c r="AH669" i="37"/>
  <c r="F670" i="37"/>
  <c r="G669" i="37"/>
  <c r="T669" i="37"/>
  <c r="AG669" i="37"/>
  <c r="X669" i="37"/>
  <c r="Y669" i="37"/>
  <c r="U669" i="37"/>
  <c r="AE669" i="37"/>
  <c r="AD669" i="37" l="1"/>
  <c r="AF669" i="37"/>
  <c r="AM669" i="37"/>
  <c r="AN669" i="37" s="1"/>
  <c r="AK669" i="37"/>
  <c r="AL669" i="37" s="1"/>
  <c r="AJ669" i="37"/>
  <c r="Z669" i="37"/>
  <c r="V669" i="37"/>
  <c r="J669" i="37"/>
  <c r="H669" i="37"/>
  <c r="I669" i="37"/>
  <c r="AB670" i="37"/>
  <c r="G670" i="37"/>
  <c r="AI670" i="37"/>
  <c r="R670" i="37"/>
  <c r="AH670" i="37"/>
  <c r="F671" i="37"/>
  <c r="U670" i="37"/>
  <c r="AA670" i="37"/>
  <c r="X670" i="37"/>
  <c r="W670" i="37"/>
  <c r="Y670" i="37"/>
  <c r="T670" i="37"/>
  <c r="V670" i="37" s="1"/>
  <c r="AE670" i="37"/>
  <c r="AG670" i="37"/>
  <c r="AC670" i="37" l="1"/>
  <c r="AD670" i="37"/>
  <c r="AK670" i="37"/>
  <c r="AL670" i="37" s="1"/>
  <c r="AM670" i="37"/>
  <c r="AN670" i="37" s="1"/>
  <c r="AJ670" i="37"/>
  <c r="AF670" i="37"/>
  <c r="H670" i="37"/>
  <c r="J670" i="37"/>
  <c r="I670" i="37"/>
  <c r="Z670" i="37"/>
  <c r="AH671" i="37"/>
  <c r="AI671" i="37"/>
  <c r="U671" i="37"/>
  <c r="AA671" i="37"/>
  <c r="T671" i="37"/>
  <c r="AG671" i="37"/>
  <c r="AE671" i="37"/>
  <c r="X671" i="37"/>
  <c r="W671" i="37"/>
  <c r="Y671" i="37"/>
  <c r="R671" i="37"/>
  <c r="F672" i="37"/>
  <c r="G671" i="37"/>
  <c r="AB671" i="37"/>
  <c r="AC671" i="37" s="1"/>
  <c r="I671" i="37" l="1"/>
  <c r="H671" i="37"/>
  <c r="J671" i="37"/>
  <c r="Z671" i="37"/>
  <c r="AD671" i="37"/>
  <c r="AF671" i="37"/>
  <c r="AM671" i="37"/>
  <c r="AN671" i="37" s="1"/>
  <c r="AK671" i="37"/>
  <c r="AL671" i="37" s="1"/>
  <c r="AJ671" i="37"/>
  <c r="F673" i="37"/>
  <c r="AI672" i="37"/>
  <c r="X672" i="37"/>
  <c r="Z672" i="37" s="1"/>
  <c r="AB672" i="37"/>
  <c r="AC672" i="37" s="1"/>
  <c r="AH672" i="37"/>
  <c r="AG672" i="37"/>
  <c r="G672" i="37"/>
  <c r="AA672" i="37"/>
  <c r="W672" i="37"/>
  <c r="U672" i="37"/>
  <c r="Y672" i="37"/>
  <c r="R672" i="37"/>
  <c r="T672" i="37"/>
  <c r="V672" i="37" s="1"/>
  <c r="AE672" i="37"/>
  <c r="V671" i="37"/>
  <c r="AD672" i="37" l="1"/>
  <c r="AF672" i="37"/>
  <c r="AJ672" i="37"/>
  <c r="AK672" i="37"/>
  <c r="AL672" i="37" s="1"/>
  <c r="AM672" i="37"/>
  <c r="AN672" i="37" s="1"/>
  <c r="F674" i="37"/>
  <c r="R673" i="37"/>
  <c r="AB673" i="37"/>
  <c r="AC673" i="37" s="1"/>
  <c r="G673" i="37"/>
  <c r="Y673" i="37"/>
  <c r="X673" i="37"/>
  <c r="Z673" i="37" s="1"/>
  <c r="AE673" i="37"/>
  <c r="AI673" i="37"/>
  <c r="AH673" i="37"/>
  <c r="AA673" i="37"/>
  <c r="U673" i="37"/>
  <c r="T673" i="37"/>
  <c r="V673" i="37" s="1"/>
  <c r="AG673" i="37"/>
  <c r="W673" i="37"/>
  <c r="J672" i="37"/>
  <c r="H672" i="37"/>
  <c r="I672" i="37"/>
  <c r="J673" i="37" l="1"/>
  <c r="I673" i="37"/>
  <c r="H673" i="37"/>
  <c r="AB674" i="37"/>
  <c r="R674" i="37"/>
  <c r="F675" i="37"/>
  <c r="AH674" i="37"/>
  <c r="AI674" i="37"/>
  <c r="X674" i="37"/>
  <c r="Z674" i="37" s="1"/>
  <c r="G674" i="37"/>
  <c r="W674" i="37"/>
  <c r="AE674" i="37"/>
  <c r="AG674" i="37"/>
  <c r="U674" i="37"/>
  <c r="AA674" i="37"/>
  <c r="Y674" i="37"/>
  <c r="T674" i="37"/>
  <c r="AD673" i="37"/>
  <c r="AF673" i="37"/>
  <c r="AK673" i="37"/>
  <c r="AL673" i="37" s="1"/>
  <c r="AM673" i="37"/>
  <c r="AN673" i="37" s="1"/>
  <c r="AJ673" i="37"/>
  <c r="AD674" i="37" l="1"/>
  <c r="AK674" i="37"/>
  <c r="AL674" i="37" s="1"/>
  <c r="AM674" i="37"/>
  <c r="AN674" i="37" s="1"/>
  <c r="AJ674" i="37"/>
  <c r="AF674" i="37"/>
  <c r="J674" i="37"/>
  <c r="H674" i="37"/>
  <c r="I674" i="37"/>
  <c r="AI675" i="37"/>
  <c r="AH675" i="37"/>
  <c r="G675" i="37"/>
  <c r="AA675" i="37"/>
  <c r="F676" i="37"/>
  <c r="Y675" i="37"/>
  <c r="R675" i="37"/>
  <c r="X675" i="37"/>
  <c r="AB675" i="37"/>
  <c r="AC675" i="37" s="1"/>
  <c r="T675" i="37"/>
  <c r="W675" i="37"/>
  <c r="U675" i="37"/>
  <c r="AE675" i="37"/>
  <c r="AG675" i="37"/>
  <c r="AC674" i="37"/>
  <c r="V674" i="37"/>
  <c r="AD675" i="37" l="1"/>
  <c r="AF675" i="37"/>
  <c r="AK675" i="37"/>
  <c r="AL675" i="37" s="1"/>
  <c r="AM675" i="37"/>
  <c r="AN675" i="37" s="1"/>
  <c r="AJ675" i="37"/>
  <c r="AH676" i="37"/>
  <c r="Y676" i="37"/>
  <c r="AI676" i="37"/>
  <c r="T676" i="37"/>
  <c r="W676" i="37"/>
  <c r="AA676" i="37"/>
  <c r="X676" i="37"/>
  <c r="Z676" i="37" s="1"/>
  <c r="U676" i="37"/>
  <c r="AG676" i="37"/>
  <c r="AE676" i="37"/>
  <c r="R676" i="37"/>
  <c r="AB676" i="37"/>
  <c r="AC676" i="37" s="1"/>
  <c r="G676" i="37"/>
  <c r="F677" i="37"/>
  <c r="V675" i="37"/>
  <c r="J675" i="37"/>
  <c r="H675" i="37"/>
  <c r="I675" i="37"/>
  <c r="Z675" i="37"/>
  <c r="V676" i="37" l="1"/>
  <c r="AB677" i="37"/>
  <c r="AI677" i="37"/>
  <c r="AH677" i="37"/>
  <c r="F678" i="37"/>
  <c r="R677" i="37"/>
  <c r="AA677" i="37"/>
  <c r="T677" i="37"/>
  <c r="G677" i="37"/>
  <c r="W677" i="37"/>
  <c r="AE677" i="37"/>
  <c r="U677" i="37"/>
  <c r="Y677" i="37"/>
  <c r="X677" i="37"/>
  <c r="AG677" i="37"/>
  <c r="I676" i="37"/>
  <c r="J676" i="37"/>
  <c r="H676" i="37"/>
  <c r="AD676" i="37"/>
  <c r="AF676" i="37"/>
  <c r="AJ676" i="37"/>
  <c r="AK676" i="37"/>
  <c r="AL676" i="37" s="1"/>
  <c r="AM676" i="37"/>
  <c r="AN676" i="37" s="1"/>
  <c r="J677" i="37" l="1"/>
  <c r="I677" i="37"/>
  <c r="H677" i="37"/>
  <c r="V677" i="37"/>
  <c r="Z677" i="37"/>
  <c r="R678" i="37"/>
  <c r="AB678" i="37"/>
  <c r="AC678" i="37" s="1"/>
  <c r="G678" i="37"/>
  <c r="AH678" i="37"/>
  <c r="F679" i="37"/>
  <c r="AE678" i="37"/>
  <c r="Y678" i="37"/>
  <c r="AI678" i="37"/>
  <c r="AA678" i="37"/>
  <c r="W678" i="37"/>
  <c r="T678" i="37"/>
  <c r="U678" i="37"/>
  <c r="X678" i="37"/>
  <c r="AG678" i="37"/>
  <c r="AC677" i="37"/>
  <c r="AD677" i="37"/>
  <c r="AF677" i="37"/>
  <c r="AJ677" i="37"/>
  <c r="AM677" i="37"/>
  <c r="AN677" i="37" s="1"/>
  <c r="AK677" i="37"/>
  <c r="AL677" i="37" s="1"/>
  <c r="AD678" i="37" l="1"/>
  <c r="AM678" i="37"/>
  <c r="AN678" i="37" s="1"/>
  <c r="AK678" i="37"/>
  <c r="AL678" i="37" s="1"/>
  <c r="AJ678" i="37"/>
  <c r="AF678" i="37"/>
  <c r="AB679" i="37"/>
  <c r="AC679" i="37" s="1"/>
  <c r="AA679" i="37"/>
  <c r="U679" i="37"/>
  <c r="AI679" i="37"/>
  <c r="AH679" i="37"/>
  <c r="Y679" i="37"/>
  <c r="W679" i="37"/>
  <c r="T679" i="37"/>
  <c r="V679" i="37" s="1"/>
  <c r="G679" i="37"/>
  <c r="F680" i="37"/>
  <c r="X679" i="37"/>
  <c r="AE679" i="37"/>
  <c r="AG679" i="37"/>
  <c r="R679" i="37"/>
  <c r="I678" i="37"/>
  <c r="H678" i="37"/>
  <c r="J678" i="37"/>
  <c r="Z678" i="37"/>
  <c r="V678" i="37"/>
  <c r="I679" i="37" l="1"/>
  <c r="H679" i="37"/>
  <c r="J679" i="37"/>
  <c r="AD679" i="37"/>
  <c r="AK679" i="37"/>
  <c r="AL679" i="37" s="1"/>
  <c r="AF679" i="37"/>
  <c r="AJ679" i="37"/>
  <c r="AM679" i="37"/>
  <c r="AN679" i="37" s="1"/>
  <c r="Z679" i="37"/>
  <c r="F681" i="37"/>
  <c r="AB680" i="37"/>
  <c r="AC680" i="37" s="1"/>
  <c r="R680" i="37"/>
  <c r="AI680" i="37"/>
  <c r="G680" i="37"/>
  <c r="AH680" i="37"/>
  <c r="Y680" i="37"/>
  <c r="AG680" i="37"/>
  <c r="AA680" i="37"/>
  <c r="U680" i="37"/>
  <c r="AE680" i="37"/>
  <c r="X680" i="37"/>
  <c r="Z680" i="37" s="1"/>
  <c r="W680" i="37"/>
  <c r="T680" i="37"/>
  <c r="V680" i="37" s="1"/>
  <c r="G681" i="37" l="1"/>
  <c r="F682" i="37"/>
  <c r="AB681" i="37"/>
  <c r="AH681" i="37"/>
  <c r="AI681" i="37"/>
  <c r="Y681" i="37"/>
  <c r="X681" i="37"/>
  <c r="Z681" i="37" s="1"/>
  <c r="W681" i="37"/>
  <c r="AA681" i="37"/>
  <c r="AG681" i="37"/>
  <c r="AE681" i="37"/>
  <c r="U681" i="37"/>
  <c r="T681" i="37"/>
  <c r="V681" i="37" s="1"/>
  <c r="R681" i="37"/>
  <c r="AD680" i="37"/>
  <c r="AF680" i="37"/>
  <c r="AM680" i="37"/>
  <c r="AN680" i="37" s="1"/>
  <c r="AK680" i="37"/>
  <c r="AL680" i="37" s="1"/>
  <c r="AJ680" i="37"/>
  <c r="I680" i="37"/>
  <c r="H680" i="37"/>
  <c r="J680" i="37"/>
  <c r="AD681" i="37" l="1"/>
  <c r="AM681" i="37"/>
  <c r="AN681" i="37" s="1"/>
  <c r="AK681" i="37"/>
  <c r="AL681" i="37" s="1"/>
  <c r="AF681" i="37"/>
  <c r="AJ681" i="37"/>
  <c r="AC681" i="37"/>
  <c r="AB682" i="37"/>
  <c r="AI682" i="37"/>
  <c r="AA682" i="37"/>
  <c r="X682" i="37"/>
  <c r="Z682" i="37" s="1"/>
  <c r="U682" i="37"/>
  <c r="AG682" i="37"/>
  <c r="R682" i="37"/>
  <c r="G682" i="37"/>
  <c r="AH682" i="37"/>
  <c r="W682" i="37"/>
  <c r="Y682" i="37"/>
  <c r="F683" i="37"/>
  <c r="AE682" i="37"/>
  <c r="T682" i="37"/>
  <c r="J681" i="37"/>
  <c r="H681" i="37"/>
  <c r="I681" i="37"/>
  <c r="H682" i="37" l="1"/>
  <c r="J682" i="37"/>
  <c r="I682" i="37"/>
  <c r="V682" i="37"/>
  <c r="AD682" i="37"/>
  <c r="AM682" i="37"/>
  <c r="AN682" i="37" s="1"/>
  <c r="AK682" i="37"/>
  <c r="AL682" i="37" s="1"/>
  <c r="AF682" i="37"/>
  <c r="AJ682" i="37"/>
  <c r="AI683" i="37"/>
  <c r="F684" i="37"/>
  <c r="AH683" i="37"/>
  <c r="R683" i="37"/>
  <c r="X683" i="37"/>
  <c r="Z683" i="37" s="1"/>
  <c r="Y683" i="37"/>
  <c r="W683" i="37"/>
  <c r="G683" i="37"/>
  <c r="AB683" i="37"/>
  <c r="T683" i="37"/>
  <c r="AE683" i="37"/>
  <c r="AG683" i="37"/>
  <c r="U683" i="37"/>
  <c r="AA683" i="37"/>
  <c r="AC682" i="37"/>
  <c r="AB684" i="37" l="1"/>
  <c r="AI684" i="37"/>
  <c r="AH684" i="37"/>
  <c r="F685" i="37"/>
  <c r="Y684" i="37"/>
  <c r="R684" i="37"/>
  <c r="U684" i="37"/>
  <c r="AG684" i="37"/>
  <c r="W684" i="37"/>
  <c r="G684" i="37"/>
  <c r="AA684" i="37"/>
  <c r="X684" i="37"/>
  <c r="Z684" i="37" s="1"/>
  <c r="T684" i="37"/>
  <c r="V684" i="37" s="1"/>
  <c r="AE684" i="37"/>
  <c r="AD683" i="37"/>
  <c r="AM683" i="37"/>
  <c r="AN683" i="37" s="1"/>
  <c r="AK683" i="37"/>
  <c r="AL683" i="37" s="1"/>
  <c r="AJ683" i="37"/>
  <c r="AF683" i="37"/>
  <c r="AC683" i="37"/>
  <c r="V683" i="37"/>
  <c r="J683" i="37"/>
  <c r="H683" i="37"/>
  <c r="I683" i="37"/>
  <c r="H684" i="37" l="1"/>
  <c r="J684" i="37"/>
  <c r="I684" i="37"/>
  <c r="G685" i="37"/>
  <c r="AB685" i="37"/>
  <c r="F686" i="37"/>
  <c r="AI685" i="37"/>
  <c r="R685" i="37"/>
  <c r="AH685" i="37"/>
  <c r="U685" i="37"/>
  <c r="AA685" i="37"/>
  <c r="AG685" i="37"/>
  <c r="T685" i="37"/>
  <c r="V685" i="37" s="1"/>
  <c r="X685" i="37"/>
  <c r="Z685" i="37" s="1"/>
  <c r="Y685" i="37"/>
  <c r="W685" i="37"/>
  <c r="AE685" i="37"/>
  <c r="AD684" i="37"/>
  <c r="AF684" i="37"/>
  <c r="AJ684" i="37"/>
  <c r="AK684" i="37"/>
  <c r="AL684" i="37" s="1"/>
  <c r="AM684" i="37"/>
  <c r="AN684" i="37" s="1"/>
  <c r="AC684" i="37"/>
  <c r="AC685" i="37" l="1"/>
  <c r="I685" i="37"/>
  <c r="H685" i="37"/>
  <c r="J685" i="37"/>
  <c r="AB686" i="37"/>
  <c r="F687" i="37"/>
  <c r="AI686" i="37"/>
  <c r="AH686" i="37"/>
  <c r="W686" i="37"/>
  <c r="R686" i="37"/>
  <c r="G686" i="37"/>
  <c r="U686" i="37"/>
  <c r="AA686" i="37"/>
  <c r="X686" i="37"/>
  <c r="Z686" i="37" s="1"/>
  <c r="AG686" i="37"/>
  <c r="T686" i="37"/>
  <c r="Y686" i="37"/>
  <c r="AE686" i="37"/>
  <c r="AD685" i="37"/>
  <c r="AM685" i="37"/>
  <c r="AN685" i="37" s="1"/>
  <c r="AJ685" i="37"/>
  <c r="AK685" i="37"/>
  <c r="AL685" i="37" s="1"/>
  <c r="AF685" i="37"/>
  <c r="AI687" i="37" l="1"/>
  <c r="F688" i="37"/>
  <c r="AH687" i="37"/>
  <c r="R687" i="37"/>
  <c r="AB687" i="37"/>
  <c r="AC687" i="37" s="1"/>
  <c r="W687" i="37"/>
  <c r="X687" i="37"/>
  <c r="AE687" i="37"/>
  <c r="U687" i="37"/>
  <c r="AA687" i="37"/>
  <c r="T687" i="37"/>
  <c r="V687" i="37" s="1"/>
  <c r="Y687" i="37"/>
  <c r="G687" i="37"/>
  <c r="AG687" i="37"/>
  <c r="I686" i="37"/>
  <c r="H686" i="37"/>
  <c r="J686" i="37"/>
  <c r="AD686" i="37"/>
  <c r="AF686" i="37"/>
  <c r="AJ686" i="37"/>
  <c r="AK686" i="37"/>
  <c r="AL686" i="37" s="1"/>
  <c r="AM686" i="37"/>
  <c r="AN686" i="37" s="1"/>
  <c r="V686" i="37"/>
  <c r="AC686" i="37"/>
  <c r="I687" i="37" l="1"/>
  <c r="H687" i="37"/>
  <c r="J687" i="37"/>
  <c r="AD687" i="37"/>
  <c r="AM687" i="37"/>
  <c r="AN687" i="37" s="1"/>
  <c r="AK687" i="37"/>
  <c r="AL687" i="37" s="1"/>
  <c r="AJ687" i="37"/>
  <c r="AF687" i="37"/>
  <c r="Z687" i="37"/>
  <c r="AB688" i="37"/>
  <c r="AC688" i="37" s="1"/>
  <c r="AI688" i="37"/>
  <c r="AH688" i="37"/>
  <c r="AA688" i="37"/>
  <c r="Y688" i="37"/>
  <c r="X688" i="37"/>
  <c r="W688" i="37"/>
  <c r="AG688" i="37"/>
  <c r="G688" i="37"/>
  <c r="R688" i="37"/>
  <c r="T688" i="37"/>
  <c r="AE688" i="37"/>
  <c r="U688" i="37"/>
  <c r="F689" i="37"/>
  <c r="R689" i="37" l="1"/>
  <c r="AB689" i="37"/>
  <c r="AC689" i="37" s="1"/>
  <c r="AH689" i="37"/>
  <c r="U689" i="37"/>
  <c r="Y689" i="37"/>
  <c r="AI689" i="37"/>
  <c r="AA689" i="37"/>
  <c r="W689" i="37"/>
  <c r="X689" i="37"/>
  <c r="Z689" i="37" s="1"/>
  <c r="T689" i="37"/>
  <c r="V689" i="37" s="1"/>
  <c r="AE689" i="37"/>
  <c r="AG689" i="37"/>
  <c r="F690" i="37"/>
  <c r="G689" i="37"/>
  <c r="AD688" i="37"/>
  <c r="AF688" i="37"/>
  <c r="AM688" i="37"/>
  <c r="AN688" i="37" s="1"/>
  <c r="AK688" i="37"/>
  <c r="AL688" i="37" s="1"/>
  <c r="AJ688" i="37"/>
  <c r="J688" i="37"/>
  <c r="I688" i="37"/>
  <c r="H688" i="37"/>
  <c r="V688" i="37"/>
  <c r="Z688" i="37"/>
  <c r="AD689" i="37" l="1"/>
  <c r="AK689" i="37"/>
  <c r="AL689" i="37" s="1"/>
  <c r="AM689" i="37"/>
  <c r="AN689" i="37" s="1"/>
  <c r="AF689" i="37"/>
  <c r="AJ689" i="37"/>
  <c r="H689" i="37"/>
  <c r="I689" i="37"/>
  <c r="J689" i="37"/>
  <c r="AB690" i="37"/>
  <c r="AC690" i="37" s="1"/>
  <c r="AH690" i="37"/>
  <c r="F691" i="37"/>
  <c r="AI690" i="37"/>
  <c r="X690" i="37"/>
  <c r="Y690" i="37"/>
  <c r="W690" i="37"/>
  <c r="G690" i="37"/>
  <c r="T690" i="37"/>
  <c r="AA690" i="37"/>
  <c r="AE690" i="37"/>
  <c r="U690" i="37"/>
  <c r="R690" i="37"/>
  <c r="AG690" i="37"/>
  <c r="Z690" i="37" l="1"/>
  <c r="AB691" i="37"/>
  <c r="AC691" i="37" s="1"/>
  <c r="R691" i="37"/>
  <c r="X691" i="37"/>
  <c r="AA691" i="37"/>
  <c r="AH691" i="37"/>
  <c r="G691" i="37"/>
  <c r="AI691" i="37"/>
  <c r="F692" i="37"/>
  <c r="W691" i="37"/>
  <c r="U691" i="37"/>
  <c r="AG691" i="37"/>
  <c r="Y691" i="37"/>
  <c r="T691" i="37"/>
  <c r="V691" i="37" s="1"/>
  <c r="AE691" i="37"/>
  <c r="AD690" i="37"/>
  <c r="AF690" i="37"/>
  <c r="AJ690" i="37"/>
  <c r="AK690" i="37"/>
  <c r="AL690" i="37" s="1"/>
  <c r="AM690" i="37"/>
  <c r="AN690" i="37" s="1"/>
  <c r="V690" i="37"/>
  <c r="I690" i="37"/>
  <c r="J690" i="37"/>
  <c r="H690" i="37"/>
  <c r="AH692" i="37" l="1"/>
  <c r="F693" i="37"/>
  <c r="G692" i="37"/>
  <c r="AA692" i="37"/>
  <c r="Y692" i="37"/>
  <c r="U692" i="37"/>
  <c r="AB692" i="37"/>
  <c r="AI692" i="37"/>
  <c r="R692" i="37"/>
  <c r="X692" i="37"/>
  <c r="Z692" i="37" s="1"/>
  <c r="T692" i="37"/>
  <c r="V692" i="37" s="1"/>
  <c r="AE692" i="37"/>
  <c r="W692" i="37"/>
  <c r="AG692" i="37"/>
  <c r="J691" i="37"/>
  <c r="I691" i="37"/>
  <c r="H691" i="37"/>
  <c r="Z691" i="37"/>
  <c r="AD691" i="37"/>
  <c r="AF691" i="37"/>
  <c r="AJ691" i="37"/>
  <c r="AK691" i="37"/>
  <c r="AL691" i="37" s="1"/>
  <c r="AM691" i="37"/>
  <c r="AN691" i="37" s="1"/>
  <c r="AD692" i="37" l="1"/>
  <c r="AF692" i="37"/>
  <c r="AM692" i="37"/>
  <c r="AN692" i="37" s="1"/>
  <c r="AJ692" i="37"/>
  <c r="AK692" i="37"/>
  <c r="AL692" i="37" s="1"/>
  <c r="AC692" i="37"/>
  <c r="I692" i="37"/>
  <c r="H692" i="37"/>
  <c r="J692" i="37"/>
  <c r="F694" i="37"/>
  <c r="AB693" i="37"/>
  <c r="AC693" i="37" s="1"/>
  <c r="G693" i="37"/>
  <c r="AH693" i="37"/>
  <c r="X693" i="37"/>
  <c r="Z693" i="37" s="1"/>
  <c r="Y693" i="37"/>
  <c r="T693" i="37"/>
  <c r="U693" i="37"/>
  <c r="AI693" i="37"/>
  <c r="AA693" i="37"/>
  <c r="W693" i="37"/>
  <c r="AE693" i="37"/>
  <c r="AG693" i="37"/>
  <c r="R693" i="37"/>
  <c r="AI694" i="37" l="1"/>
  <c r="AH694" i="37"/>
  <c r="R694" i="37"/>
  <c r="AA694" i="37"/>
  <c r="F695" i="37"/>
  <c r="Y694" i="37"/>
  <c r="G694" i="37"/>
  <c r="X694" i="37"/>
  <c r="Z694" i="37" s="1"/>
  <c r="AE694" i="37"/>
  <c r="U694" i="37"/>
  <c r="W694" i="37"/>
  <c r="T694" i="37"/>
  <c r="V694" i="37" s="1"/>
  <c r="AG694" i="37"/>
  <c r="AB694" i="37"/>
  <c r="AC694" i="37" s="1"/>
  <c r="AD693" i="37"/>
  <c r="AF693" i="37"/>
  <c r="AK693" i="37"/>
  <c r="AL693" i="37" s="1"/>
  <c r="AJ693" i="37"/>
  <c r="AM693" i="37"/>
  <c r="AN693" i="37" s="1"/>
  <c r="J693" i="37"/>
  <c r="I693" i="37"/>
  <c r="H693" i="37"/>
  <c r="V693" i="37"/>
  <c r="J694" i="37" l="1"/>
  <c r="H694" i="37"/>
  <c r="I694" i="37"/>
  <c r="AD694" i="37"/>
  <c r="AF694" i="37"/>
  <c r="AJ694" i="37"/>
  <c r="AM694" i="37"/>
  <c r="AN694" i="37" s="1"/>
  <c r="AK694" i="37"/>
  <c r="AL694" i="37" s="1"/>
  <c r="AI695" i="37"/>
  <c r="G695" i="37"/>
  <c r="AH695" i="37"/>
  <c r="AE695" i="37"/>
  <c r="F696" i="37"/>
  <c r="AA695" i="37"/>
  <c r="W695" i="37"/>
  <c r="U695" i="37"/>
  <c r="X695" i="37"/>
  <c r="Z695" i="37" s="1"/>
  <c r="Y695" i="37"/>
  <c r="AG695" i="37"/>
  <c r="T695" i="37"/>
  <c r="V695" i="37" s="1"/>
  <c r="R695" i="37"/>
  <c r="AB695" i="37"/>
  <c r="AC695" i="37" s="1"/>
  <c r="H695" i="37" l="1"/>
  <c r="J695" i="37"/>
  <c r="I695" i="37"/>
  <c r="AD695" i="37"/>
  <c r="AM695" i="37"/>
  <c r="AN695" i="37" s="1"/>
  <c r="AK695" i="37"/>
  <c r="AL695" i="37" s="1"/>
  <c r="AJ695" i="37"/>
  <c r="AF695" i="37"/>
  <c r="AB696" i="37"/>
  <c r="AC696" i="37" s="1"/>
  <c r="AI696" i="37"/>
  <c r="U696" i="37"/>
  <c r="G696" i="37"/>
  <c r="X696" i="37"/>
  <c r="Z696" i="37" s="1"/>
  <c r="AH696" i="37"/>
  <c r="R696" i="37"/>
  <c r="W696" i="37"/>
  <c r="F697" i="37"/>
  <c r="AA696" i="37"/>
  <c r="Y696" i="37"/>
  <c r="AG696" i="37"/>
  <c r="T696" i="37"/>
  <c r="AE696" i="37"/>
  <c r="AD696" i="37" l="1"/>
  <c r="AF696" i="37"/>
  <c r="AK696" i="37"/>
  <c r="AL696" i="37" s="1"/>
  <c r="AJ696" i="37"/>
  <c r="AM696" i="37"/>
  <c r="AN696" i="37" s="1"/>
  <c r="V696" i="37"/>
  <c r="I696" i="37"/>
  <c r="J696" i="37"/>
  <c r="H696" i="37"/>
  <c r="AH697" i="37"/>
  <c r="G697" i="37"/>
  <c r="R697" i="37"/>
  <c r="Y697" i="37"/>
  <c r="F698" i="37"/>
  <c r="AB697" i="37"/>
  <c r="AI697" i="37"/>
  <c r="W697" i="37"/>
  <c r="U697" i="37"/>
  <c r="AA697" i="37"/>
  <c r="X697" i="37"/>
  <c r="T697" i="37"/>
  <c r="V697" i="37" s="1"/>
  <c r="AE697" i="37"/>
  <c r="AG697" i="37"/>
  <c r="H697" i="37" l="1"/>
  <c r="I697" i="37"/>
  <c r="J697" i="37"/>
  <c r="AH698" i="37"/>
  <c r="AI698" i="37"/>
  <c r="Y698" i="37"/>
  <c r="AA698" i="37"/>
  <c r="X698" i="37"/>
  <c r="Z698" i="37" s="1"/>
  <c r="G698" i="37"/>
  <c r="F699" i="37"/>
  <c r="U698" i="37"/>
  <c r="AG698" i="37"/>
  <c r="AE698" i="37"/>
  <c r="T698" i="37"/>
  <c r="V698" i="37" s="1"/>
  <c r="W698" i="37"/>
  <c r="AB698" i="37"/>
  <c r="AC698" i="37" s="1"/>
  <c r="R698" i="37"/>
  <c r="AD697" i="37"/>
  <c r="AM697" i="37"/>
  <c r="AN697" i="37" s="1"/>
  <c r="AJ697" i="37"/>
  <c r="AF697" i="37"/>
  <c r="AK697" i="37"/>
  <c r="AL697" i="37" s="1"/>
  <c r="Z697" i="37"/>
  <c r="AC697" i="37"/>
  <c r="AB699" i="37" l="1"/>
  <c r="AH699" i="37"/>
  <c r="AI699" i="37"/>
  <c r="AA699" i="37"/>
  <c r="Y699" i="37"/>
  <c r="T699" i="37"/>
  <c r="W699" i="37"/>
  <c r="X699" i="37"/>
  <c r="Z699" i="37" s="1"/>
  <c r="AE699" i="37"/>
  <c r="F700" i="37"/>
  <c r="U699" i="37"/>
  <c r="AG699" i="37"/>
  <c r="R699" i="37"/>
  <c r="G699" i="37"/>
  <c r="I698" i="37"/>
  <c r="J698" i="37"/>
  <c r="H698" i="37"/>
  <c r="AD698" i="37"/>
  <c r="AK698" i="37"/>
  <c r="AL698" i="37" s="1"/>
  <c r="AM698" i="37"/>
  <c r="AN698" i="37" s="1"/>
  <c r="AF698" i="37"/>
  <c r="AJ698" i="37"/>
  <c r="AD699" i="37" l="1"/>
  <c r="AF699" i="37"/>
  <c r="AJ699" i="37"/>
  <c r="AK699" i="37"/>
  <c r="AL699" i="37" s="1"/>
  <c r="AM699" i="37"/>
  <c r="AN699" i="37" s="1"/>
  <c r="I699" i="37"/>
  <c r="H699" i="37"/>
  <c r="J699" i="37"/>
  <c r="V699" i="37"/>
  <c r="AB700" i="37"/>
  <c r="AC700" i="37" s="1"/>
  <c r="R700" i="37"/>
  <c r="AG700" i="37"/>
  <c r="AI700" i="37"/>
  <c r="F701" i="37"/>
  <c r="AH700" i="37"/>
  <c r="G700" i="37"/>
  <c r="Y700" i="37"/>
  <c r="T700" i="37"/>
  <c r="AA700" i="37"/>
  <c r="X700" i="37"/>
  <c r="Z700" i="37" s="1"/>
  <c r="W700" i="37"/>
  <c r="AE700" i="37"/>
  <c r="U700" i="37"/>
  <c r="AC699" i="37"/>
  <c r="AD700" i="37" l="1"/>
  <c r="AM700" i="37"/>
  <c r="AN700" i="37" s="1"/>
  <c r="AF700" i="37"/>
  <c r="AK700" i="37"/>
  <c r="AL700" i="37" s="1"/>
  <c r="AJ700" i="37"/>
  <c r="V700" i="37"/>
  <c r="AI701" i="37"/>
  <c r="AH701" i="37"/>
  <c r="AA701" i="37"/>
  <c r="U701" i="37"/>
  <c r="W701" i="37"/>
  <c r="AG701" i="37"/>
  <c r="F702" i="37"/>
  <c r="G701" i="37"/>
  <c r="AB701" i="37"/>
  <c r="Y701" i="37"/>
  <c r="T701" i="37"/>
  <c r="X701" i="37"/>
  <c r="Z701" i="37" s="1"/>
  <c r="AE701" i="37"/>
  <c r="R701" i="37"/>
  <c r="J700" i="37"/>
  <c r="I700" i="37"/>
  <c r="H700" i="37"/>
  <c r="AB702" i="37" l="1"/>
  <c r="AC702" i="37" s="1"/>
  <c r="R702" i="37"/>
  <c r="AI702" i="37"/>
  <c r="G702" i="37"/>
  <c r="AH702" i="37"/>
  <c r="F703" i="37"/>
  <c r="X702" i="37"/>
  <c r="W702" i="37"/>
  <c r="Y702" i="37"/>
  <c r="AG702" i="37"/>
  <c r="T702" i="37"/>
  <c r="U702" i="37"/>
  <c r="AA702" i="37"/>
  <c r="AE702" i="37"/>
  <c r="AD701" i="37"/>
  <c r="AF701" i="37"/>
  <c r="AK701" i="37"/>
  <c r="AL701" i="37" s="1"/>
  <c r="AJ701" i="37"/>
  <c r="AM701" i="37"/>
  <c r="AN701" i="37" s="1"/>
  <c r="V701" i="37"/>
  <c r="I701" i="37"/>
  <c r="J701" i="37"/>
  <c r="H701" i="37"/>
  <c r="AC701" i="37"/>
  <c r="V702" i="37" l="1"/>
  <c r="AD702" i="37"/>
  <c r="AM702" i="37"/>
  <c r="AN702" i="37" s="1"/>
  <c r="AK702" i="37"/>
  <c r="AL702" i="37" s="1"/>
  <c r="AF702" i="37"/>
  <c r="AJ702" i="37"/>
  <c r="Z702" i="37"/>
  <c r="I702" i="37"/>
  <c r="J702" i="37"/>
  <c r="H702" i="37"/>
  <c r="AB703" i="37"/>
  <c r="AC703" i="37" s="1"/>
  <c r="AI703" i="37"/>
  <c r="AH703" i="37"/>
  <c r="Y703" i="37"/>
  <c r="T703" i="37"/>
  <c r="W703" i="37"/>
  <c r="AA703" i="37"/>
  <c r="R703" i="37"/>
  <c r="X703" i="37"/>
  <c r="U703" i="37"/>
  <c r="AE703" i="37"/>
  <c r="F704" i="37"/>
  <c r="AG703" i="37"/>
  <c r="G703" i="37"/>
  <c r="J703" i="37" l="1"/>
  <c r="I703" i="37"/>
  <c r="H703" i="37"/>
  <c r="AA704" i="37"/>
  <c r="F705" i="37"/>
  <c r="W704" i="37"/>
  <c r="AB704" i="37"/>
  <c r="AI704" i="37"/>
  <c r="G704" i="37"/>
  <c r="T704" i="37"/>
  <c r="V704" i="37" s="1"/>
  <c r="AG704" i="37"/>
  <c r="AH704" i="37"/>
  <c r="R704" i="37"/>
  <c r="Y704" i="37"/>
  <c r="X704" i="37"/>
  <c r="U704" i="37"/>
  <c r="AE704" i="37"/>
  <c r="AD703" i="37"/>
  <c r="AF703" i="37"/>
  <c r="AJ703" i="37"/>
  <c r="AK703" i="37"/>
  <c r="AL703" i="37" s="1"/>
  <c r="AM703" i="37"/>
  <c r="AN703" i="37" s="1"/>
  <c r="Z703" i="37"/>
  <c r="V703" i="37"/>
  <c r="H704" i="37" l="1"/>
  <c r="I704" i="37"/>
  <c r="J704" i="37"/>
  <c r="AC704" i="37"/>
  <c r="F706" i="37"/>
  <c r="AB705" i="37"/>
  <c r="AC705" i="37" s="1"/>
  <c r="R705" i="37"/>
  <c r="G705" i="37"/>
  <c r="AI705" i="37"/>
  <c r="AH705" i="37"/>
  <c r="AA705" i="37"/>
  <c r="Y705" i="37"/>
  <c r="W705" i="37"/>
  <c r="X705" i="37"/>
  <c r="Z705" i="37" s="1"/>
  <c r="T705" i="37"/>
  <c r="U705" i="37"/>
  <c r="AG705" i="37"/>
  <c r="AE705" i="37"/>
  <c r="AD704" i="37"/>
  <c r="AF704" i="37"/>
  <c r="AK704" i="37"/>
  <c r="AL704" i="37" s="1"/>
  <c r="AM704" i="37"/>
  <c r="AN704" i="37" s="1"/>
  <c r="AJ704" i="37"/>
  <c r="Z704" i="37"/>
  <c r="J705" i="37" l="1"/>
  <c r="I705" i="37"/>
  <c r="H705" i="37"/>
  <c r="F707" i="37"/>
  <c r="AB706" i="37"/>
  <c r="AC706" i="37" s="1"/>
  <c r="G706" i="37"/>
  <c r="AI706" i="37"/>
  <c r="AH706" i="37"/>
  <c r="U706" i="37"/>
  <c r="AA706" i="37"/>
  <c r="X706" i="37"/>
  <c r="W706" i="37"/>
  <c r="T706" i="37"/>
  <c r="V706" i="37" s="1"/>
  <c r="Y706" i="37"/>
  <c r="R706" i="37"/>
  <c r="AG706" i="37"/>
  <c r="AE706" i="37"/>
  <c r="AD705" i="37"/>
  <c r="AF705" i="37"/>
  <c r="AK705" i="37"/>
  <c r="AL705" i="37" s="1"/>
  <c r="AJ705" i="37"/>
  <c r="AM705" i="37"/>
  <c r="AN705" i="37" s="1"/>
  <c r="V705" i="37"/>
  <c r="Z706" i="37" l="1"/>
  <c r="H706" i="37"/>
  <c r="I706" i="37"/>
  <c r="J706" i="37"/>
  <c r="AH707" i="37"/>
  <c r="F708" i="37"/>
  <c r="AA707" i="37"/>
  <c r="G707" i="37"/>
  <c r="Y707" i="37"/>
  <c r="U707" i="37"/>
  <c r="W707" i="37"/>
  <c r="X707" i="37"/>
  <c r="Z707" i="37" s="1"/>
  <c r="R707" i="37"/>
  <c r="AB707" i="37"/>
  <c r="AC707" i="37" s="1"/>
  <c r="AI707" i="37"/>
  <c r="AE707" i="37"/>
  <c r="T707" i="37"/>
  <c r="AG707" i="37"/>
  <c r="AD706" i="37"/>
  <c r="AM706" i="37"/>
  <c r="AN706" i="37" s="1"/>
  <c r="AF706" i="37"/>
  <c r="AJ706" i="37"/>
  <c r="AK706" i="37"/>
  <c r="AL706" i="37" s="1"/>
  <c r="J707" i="37" l="1"/>
  <c r="I707" i="37"/>
  <c r="H707" i="37"/>
  <c r="AB708" i="37"/>
  <c r="AI708" i="37"/>
  <c r="AH708" i="37"/>
  <c r="F709" i="37"/>
  <c r="U708" i="37"/>
  <c r="G708" i="37"/>
  <c r="R708" i="37"/>
  <c r="T708" i="37"/>
  <c r="V708" i="37" s="1"/>
  <c r="AA708" i="37"/>
  <c r="W708" i="37"/>
  <c r="Y708" i="37"/>
  <c r="X708" i="37"/>
  <c r="AE708" i="37"/>
  <c r="AG708" i="37"/>
  <c r="V707" i="37"/>
  <c r="AD707" i="37"/>
  <c r="AJ707" i="37"/>
  <c r="AF707" i="37"/>
  <c r="AK707" i="37"/>
  <c r="AL707" i="37" s="1"/>
  <c r="AM707" i="37"/>
  <c r="AN707" i="37" s="1"/>
  <c r="AB709" i="37" l="1"/>
  <c r="G709" i="37"/>
  <c r="AI709" i="37"/>
  <c r="R709" i="37"/>
  <c r="AH709" i="37"/>
  <c r="T709" i="37"/>
  <c r="Y709" i="37"/>
  <c r="X709" i="37"/>
  <c r="Z709" i="37" s="1"/>
  <c r="AA709" i="37"/>
  <c r="AG709" i="37"/>
  <c r="AE709" i="37"/>
  <c r="F710" i="37"/>
  <c r="W709" i="37"/>
  <c r="U709" i="37"/>
  <c r="AC708" i="37"/>
  <c r="J708" i="37"/>
  <c r="I708" i="37"/>
  <c r="H708" i="37"/>
  <c r="AD708" i="37"/>
  <c r="AJ708" i="37"/>
  <c r="AK708" i="37"/>
  <c r="AL708" i="37" s="1"/>
  <c r="AM708" i="37"/>
  <c r="AN708" i="37" s="1"/>
  <c r="AF708" i="37"/>
  <c r="Z708" i="37"/>
  <c r="AD709" i="37" l="1"/>
  <c r="AF709" i="37"/>
  <c r="AK709" i="37"/>
  <c r="AL709" i="37" s="1"/>
  <c r="AJ709" i="37"/>
  <c r="AM709" i="37"/>
  <c r="AN709" i="37" s="1"/>
  <c r="AB710" i="37"/>
  <c r="AC710" i="37" s="1"/>
  <c r="G710" i="37"/>
  <c r="AI710" i="37"/>
  <c r="F711" i="37"/>
  <c r="AH710" i="37"/>
  <c r="Y710" i="37"/>
  <c r="AA710" i="37"/>
  <c r="X710" i="37"/>
  <c r="Z710" i="37" s="1"/>
  <c r="T710" i="37"/>
  <c r="V710" i="37" s="1"/>
  <c r="AE710" i="37"/>
  <c r="AG710" i="37"/>
  <c r="W710" i="37"/>
  <c r="U710" i="37"/>
  <c r="R710" i="37"/>
  <c r="J709" i="37"/>
  <c r="H709" i="37"/>
  <c r="I709" i="37"/>
  <c r="V709" i="37"/>
  <c r="AC709" i="37"/>
  <c r="R711" i="37" l="1"/>
  <c r="AB711" i="37"/>
  <c r="AC711" i="37" s="1"/>
  <c r="AI711" i="37"/>
  <c r="AH711" i="37"/>
  <c r="T711" i="37"/>
  <c r="X711" i="37"/>
  <c r="Y711" i="37"/>
  <c r="AA711" i="37"/>
  <c r="AG711" i="37"/>
  <c r="W711" i="37"/>
  <c r="G711" i="37"/>
  <c r="U711" i="37"/>
  <c r="AE711" i="37"/>
  <c r="F712" i="37"/>
  <c r="I710" i="37"/>
  <c r="H710" i="37"/>
  <c r="J710" i="37"/>
  <c r="AD710" i="37"/>
  <c r="AF710" i="37"/>
  <c r="AM710" i="37"/>
  <c r="AN710" i="37" s="1"/>
  <c r="AK710" i="37"/>
  <c r="AL710" i="37" s="1"/>
  <c r="AJ710" i="37"/>
  <c r="AD711" i="37" l="1"/>
  <c r="AF711" i="37"/>
  <c r="AM711" i="37"/>
  <c r="AN711" i="37" s="1"/>
  <c r="AK711" i="37"/>
  <c r="AL711" i="37" s="1"/>
  <c r="AJ711" i="37"/>
  <c r="J711" i="37"/>
  <c r="H711" i="37"/>
  <c r="I711" i="37"/>
  <c r="G712" i="37"/>
  <c r="AB712" i="37"/>
  <c r="AC712" i="37" s="1"/>
  <c r="F713" i="37"/>
  <c r="AI712" i="37"/>
  <c r="R712" i="37"/>
  <c r="AH712" i="37"/>
  <c r="W712" i="37"/>
  <c r="X712" i="37"/>
  <c r="U712" i="37"/>
  <c r="AG712" i="37"/>
  <c r="AE712" i="37"/>
  <c r="T712" i="37"/>
  <c r="V712" i="37" s="1"/>
  <c r="AA712" i="37"/>
  <c r="Y712" i="37"/>
  <c r="Z711" i="37"/>
  <c r="V711" i="37"/>
  <c r="I712" i="37" l="1"/>
  <c r="H712" i="37"/>
  <c r="J712" i="37"/>
  <c r="AH713" i="37"/>
  <c r="AI713" i="37"/>
  <c r="AA713" i="37"/>
  <c r="Y713" i="37"/>
  <c r="W713" i="37"/>
  <c r="U713" i="37"/>
  <c r="T713" i="37"/>
  <c r="V713" i="37" s="1"/>
  <c r="F714" i="37"/>
  <c r="G713" i="37"/>
  <c r="AB713" i="37"/>
  <c r="AC713" i="37" s="1"/>
  <c r="X713" i="37"/>
  <c r="Z713" i="37" s="1"/>
  <c r="R713" i="37"/>
  <c r="AE713" i="37"/>
  <c r="AG713" i="37"/>
  <c r="AD712" i="37"/>
  <c r="AM712" i="37"/>
  <c r="AN712" i="37" s="1"/>
  <c r="AK712" i="37"/>
  <c r="AL712" i="37" s="1"/>
  <c r="AF712" i="37"/>
  <c r="AJ712" i="37"/>
  <c r="Z712" i="37"/>
  <c r="F715" i="37" l="1"/>
  <c r="R714" i="37"/>
  <c r="AB714" i="37"/>
  <c r="AC714" i="37" s="1"/>
  <c r="G714" i="37"/>
  <c r="AH714" i="37"/>
  <c r="T714" i="37"/>
  <c r="AI714" i="37"/>
  <c r="X714" i="37"/>
  <c r="W714" i="37"/>
  <c r="U714" i="37"/>
  <c r="Y714" i="37"/>
  <c r="AE714" i="37"/>
  <c r="AA714" i="37"/>
  <c r="AG714" i="37"/>
  <c r="J713" i="37"/>
  <c r="I713" i="37"/>
  <c r="H713" i="37"/>
  <c r="AD713" i="37"/>
  <c r="AF713" i="37"/>
  <c r="AJ713" i="37"/>
  <c r="AK713" i="37"/>
  <c r="AL713" i="37" s="1"/>
  <c r="AM713" i="37"/>
  <c r="AN713" i="37" s="1"/>
  <c r="AD714" i="37" l="1"/>
  <c r="AK714" i="37"/>
  <c r="AL714" i="37" s="1"/>
  <c r="AJ714" i="37"/>
  <c r="AM714" i="37"/>
  <c r="AN714" i="37" s="1"/>
  <c r="AF714" i="37"/>
  <c r="V714" i="37"/>
  <c r="H714" i="37"/>
  <c r="J714" i="37"/>
  <c r="I714" i="37"/>
  <c r="Z714" i="37"/>
  <c r="AB715" i="37"/>
  <c r="AC715" i="37" s="1"/>
  <c r="AI715" i="37"/>
  <c r="R715" i="37"/>
  <c r="AH715" i="37"/>
  <c r="F716" i="37"/>
  <c r="W715" i="37"/>
  <c r="G715" i="37"/>
  <c r="Y715" i="37"/>
  <c r="X715" i="37"/>
  <c r="Z715" i="37" s="1"/>
  <c r="AG715" i="37"/>
  <c r="AA715" i="37"/>
  <c r="T715" i="37"/>
  <c r="U715" i="37"/>
  <c r="AE715" i="37"/>
  <c r="AD715" i="37" l="1"/>
  <c r="AF715" i="37"/>
  <c r="AK715" i="37"/>
  <c r="AL715" i="37" s="1"/>
  <c r="AM715" i="37"/>
  <c r="AN715" i="37" s="1"/>
  <c r="AJ715" i="37"/>
  <c r="V715" i="37"/>
  <c r="H715" i="37"/>
  <c r="I715" i="37"/>
  <c r="J715" i="37"/>
  <c r="AI716" i="37"/>
  <c r="F717" i="37"/>
  <c r="X716" i="37"/>
  <c r="Z716" i="37" s="1"/>
  <c r="AA716" i="37"/>
  <c r="W716" i="37"/>
  <c r="G716" i="37"/>
  <c r="U716" i="37"/>
  <c r="Y716" i="37"/>
  <c r="R716" i="37"/>
  <c r="AG716" i="37"/>
  <c r="AE716" i="37"/>
  <c r="AH716" i="37"/>
  <c r="T716" i="37"/>
  <c r="V716" i="37" s="1"/>
  <c r="AB716" i="37"/>
  <c r="AC716" i="37" s="1"/>
  <c r="AB717" i="37" l="1"/>
  <c r="AC717" i="37" s="1"/>
  <c r="R717" i="37"/>
  <c r="AH717" i="37"/>
  <c r="G717" i="37"/>
  <c r="AE717" i="37"/>
  <c r="AI717" i="37"/>
  <c r="F718" i="37"/>
  <c r="AG717" i="37"/>
  <c r="W717" i="37"/>
  <c r="U717" i="37"/>
  <c r="AA717" i="37"/>
  <c r="Y717" i="37"/>
  <c r="X717" i="37"/>
  <c r="T717" i="37"/>
  <c r="V717" i="37" s="1"/>
  <c r="AD716" i="37"/>
  <c r="AF716" i="37"/>
  <c r="AJ716" i="37"/>
  <c r="AM716" i="37"/>
  <c r="AN716" i="37" s="1"/>
  <c r="AK716" i="37"/>
  <c r="AL716" i="37" s="1"/>
  <c r="I716" i="37"/>
  <c r="J716" i="37"/>
  <c r="H716" i="37"/>
  <c r="AB718" i="37" l="1"/>
  <c r="AI718" i="37"/>
  <c r="AH718" i="37"/>
  <c r="X718" i="37"/>
  <c r="G718" i="37"/>
  <c r="AA718" i="37"/>
  <c r="Y718" i="37"/>
  <c r="AE718" i="37"/>
  <c r="U718" i="37"/>
  <c r="T718" i="37"/>
  <c r="V718" i="37" s="1"/>
  <c r="AG718" i="37"/>
  <c r="R718" i="37"/>
  <c r="F719" i="37"/>
  <c r="W718" i="37"/>
  <c r="Z717" i="37"/>
  <c r="AD717" i="37"/>
  <c r="AM717" i="37"/>
  <c r="AN717" i="37" s="1"/>
  <c r="AK717" i="37"/>
  <c r="AL717" i="37" s="1"/>
  <c r="AJ717" i="37"/>
  <c r="AF717" i="37"/>
  <c r="J717" i="37"/>
  <c r="I717" i="37"/>
  <c r="H717" i="37"/>
  <c r="AD718" i="37" l="1"/>
  <c r="AM718" i="37"/>
  <c r="AN718" i="37" s="1"/>
  <c r="AF718" i="37"/>
  <c r="AJ718" i="37"/>
  <c r="AK718" i="37"/>
  <c r="AL718" i="37" s="1"/>
  <c r="AH719" i="37"/>
  <c r="AB719" i="37"/>
  <c r="AI719" i="37"/>
  <c r="R719" i="37"/>
  <c r="X719" i="37"/>
  <c r="Z719" i="37" s="1"/>
  <c r="F720" i="37"/>
  <c r="AE719" i="37"/>
  <c r="W719" i="37"/>
  <c r="T719" i="37"/>
  <c r="V719" i="37" s="1"/>
  <c r="U719" i="37"/>
  <c r="G719" i="37"/>
  <c r="AA719" i="37"/>
  <c r="AG719" i="37"/>
  <c r="Y719" i="37"/>
  <c r="Z718" i="37"/>
  <c r="J718" i="37"/>
  <c r="I718" i="37"/>
  <c r="H718" i="37"/>
  <c r="AC718" i="37"/>
  <c r="AD719" i="37" l="1"/>
  <c r="AF719" i="37"/>
  <c r="AJ719" i="37"/>
  <c r="AM719" i="37"/>
  <c r="AN719" i="37" s="1"/>
  <c r="AK719" i="37"/>
  <c r="AL719" i="37" s="1"/>
  <c r="AC719" i="37"/>
  <c r="AI720" i="37"/>
  <c r="AH720" i="37"/>
  <c r="Y720" i="37"/>
  <c r="AE720" i="37"/>
  <c r="R720" i="37"/>
  <c r="AA720" i="37"/>
  <c r="G720" i="37"/>
  <c r="F721" i="37"/>
  <c r="X720" i="37"/>
  <c r="W720" i="37"/>
  <c r="T720" i="37"/>
  <c r="AG720" i="37"/>
  <c r="U720" i="37"/>
  <c r="AB720" i="37"/>
  <c r="J719" i="37"/>
  <c r="I719" i="37"/>
  <c r="H719" i="37"/>
  <c r="AB721" i="37" l="1"/>
  <c r="AC721" i="37" s="1"/>
  <c r="R721" i="37"/>
  <c r="AI721" i="37"/>
  <c r="AH721" i="37"/>
  <c r="Y721" i="37"/>
  <c r="X721" i="37"/>
  <c r="Z721" i="37" s="1"/>
  <c r="AA721" i="37"/>
  <c r="U721" i="37"/>
  <c r="G721" i="37"/>
  <c r="W721" i="37"/>
  <c r="T721" i="37"/>
  <c r="V721" i="37" s="1"/>
  <c r="AE721" i="37"/>
  <c r="AG721" i="37"/>
  <c r="F722" i="37"/>
  <c r="J720" i="37"/>
  <c r="I720" i="37"/>
  <c r="H720" i="37"/>
  <c r="AD720" i="37"/>
  <c r="AK720" i="37"/>
  <c r="AL720" i="37" s="1"/>
  <c r="AJ720" i="37"/>
  <c r="AM720" i="37"/>
  <c r="AN720" i="37" s="1"/>
  <c r="AF720" i="37"/>
  <c r="AC720" i="37"/>
  <c r="V720" i="37"/>
  <c r="Z720" i="37"/>
  <c r="AB722" i="37" l="1"/>
  <c r="F723" i="37"/>
  <c r="AI722" i="37"/>
  <c r="G722" i="37"/>
  <c r="AH722" i="37"/>
  <c r="R722" i="37"/>
  <c r="X722" i="37"/>
  <c r="Y722" i="37"/>
  <c r="W722" i="37"/>
  <c r="U722" i="37"/>
  <c r="AA722" i="37"/>
  <c r="T722" i="37"/>
  <c r="V722" i="37" s="1"/>
  <c r="AE722" i="37"/>
  <c r="AG722" i="37"/>
  <c r="AD721" i="37"/>
  <c r="AK721" i="37"/>
  <c r="AL721" i="37" s="1"/>
  <c r="AM721" i="37"/>
  <c r="AN721" i="37" s="1"/>
  <c r="AF721" i="37"/>
  <c r="AJ721" i="37"/>
  <c r="H721" i="37"/>
  <c r="I721" i="37"/>
  <c r="J721" i="37"/>
  <c r="AD722" i="37" l="1"/>
  <c r="AF722" i="37"/>
  <c r="AK722" i="37"/>
  <c r="AL722" i="37" s="1"/>
  <c r="AM722" i="37"/>
  <c r="AN722" i="37" s="1"/>
  <c r="AJ722" i="37"/>
  <c r="I722" i="37"/>
  <c r="H722" i="37"/>
  <c r="J722" i="37"/>
  <c r="R723" i="37"/>
  <c r="F724" i="37"/>
  <c r="AB723" i="37"/>
  <c r="AC723" i="37" s="1"/>
  <c r="AH723" i="37"/>
  <c r="AI723" i="37"/>
  <c r="AA723" i="37"/>
  <c r="Y723" i="37"/>
  <c r="T723" i="37"/>
  <c r="AE723" i="37"/>
  <c r="W723" i="37"/>
  <c r="X723" i="37"/>
  <c r="Z723" i="37" s="1"/>
  <c r="U723" i="37"/>
  <c r="AG723" i="37"/>
  <c r="G723" i="37"/>
  <c r="Z722" i="37"/>
  <c r="AC722" i="37"/>
  <c r="AI724" i="37" l="1"/>
  <c r="R724" i="37"/>
  <c r="AA724" i="37"/>
  <c r="T724" i="37"/>
  <c r="AH724" i="37"/>
  <c r="X724" i="37"/>
  <c r="W724" i="37"/>
  <c r="Y724" i="37"/>
  <c r="AG724" i="37"/>
  <c r="U724" i="37"/>
  <c r="AE724" i="37"/>
  <c r="G724" i="37"/>
  <c r="AB724" i="37"/>
  <c r="AC724" i="37" s="1"/>
  <c r="F725" i="37"/>
  <c r="I723" i="37"/>
  <c r="H723" i="37"/>
  <c r="J723" i="37"/>
  <c r="AD723" i="37"/>
  <c r="AJ723" i="37"/>
  <c r="AK723" i="37"/>
  <c r="AL723" i="37" s="1"/>
  <c r="AM723" i="37"/>
  <c r="AN723" i="37" s="1"/>
  <c r="AF723" i="37"/>
  <c r="V723" i="37"/>
  <c r="AD724" i="37" l="1"/>
  <c r="AF724" i="37"/>
  <c r="AM724" i="37"/>
  <c r="AN724" i="37" s="1"/>
  <c r="AK724" i="37"/>
  <c r="AL724" i="37" s="1"/>
  <c r="AJ724" i="37"/>
  <c r="V724" i="37"/>
  <c r="F726" i="37"/>
  <c r="AB725" i="37"/>
  <c r="AC725" i="37" s="1"/>
  <c r="G725" i="37"/>
  <c r="AI725" i="37"/>
  <c r="AH725" i="37"/>
  <c r="AA725" i="37"/>
  <c r="Y725" i="37"/>
  <c r="X725" i="37"/>
  <c r="Z725" i="37" s="1"/>
  <c r="AG725" i="37"/>
  <c r="R725" i="37"/>
  <c r="T725" i="37"/>
  <c r="W725" i="37"/>
  <c r="AE725" i="37"/>
  <c r="U725" i="37"/>
  <c r="I724" i="37"/>
  <c r="J724" i="37"/>
  <c r="H724" i="37"/>
  <c r="Z724" i="37"/>
  <c r="J725" i="37" l="1"/>
  <c r="I725" i="37"/>
  <c r="H725" i="37"/>
  <c r="AB726" i="37"/>
  <c r="AA726" i="37"/>
  <c r="AI726" i="37"/>
  <c r="AH726" i="37"/>
  <c r="X726" i="37"/>
  <c r="Z726" i="37" s="1"/>
  <c r="T726" i="37"/>
  <c r="V726" i="37" s="1"/>
  <c r="Y726" i="37"/>
  <c r="W726" i="37"/>
  <c r="AG726" i="37"/>
  <c r="R726" i="37"/>
  <c r="F727" i="37"/>
  <c r="AE726" i="37"/>
  <c r="U726" i="37"/>
  <c r="G726" i="37"/>
  <c r="V725" i="37"/>
  <c r="AD725" i="37"/>
  <c r="AM725" i="37"/>
  <c r="AN725" i="37" s="1"/>
  <c r="AK725" i="37"/>
  <c r="AL725" i="37" s="1"/>
  <c r="AJ725" i="37"/>
  <c r="AF725" i="37"/>
  <c r="T727" i="37" l="1"/>
  <c r="AB727" i="37"/>
  <c r="AC727" i="37" s="1"/>
  <c r="R727" i="37"/>
  <c r="AI727" i="37"/>
  <c r="F728" i="37"/>
  <c r="AH727" i="37"/>
  <c r="G727" i="37"/>
  <c r="AA727" i="37"/>
  <c r="W727" i="37"/>
  <c r="U727" i="37"/>
  <c r="Y727" i="37"/>
  <c r="X727" i="37"/>
  <c r="Z727" i="37" s="1"/>
  <c r="AE727" i="37"/>
  <c r="AG727" i="37"/>
  <c r="AC726" i="37"/>
  <c r="J726" i="37"/>
  <c r="I726" i="37"/>
  <c r="H726" i="37"/>
  <c r="AD726" i="37"/>
  <c r="AF726" i="37"/>
  <c r="AK726" i="37"/>
  <c r="AL726" i="37" s="1"/>
  <c r="AM726" i="37"/>
  <c r="AN726" i="37" s="1"/>
  <c r="AJ726" i="37"/>
  <c r="AD727" i="37" l="1"/>
  <c r="AJ727" i="37"/>
  <c r="AK727" i="37"/>
  <c r="AL727" i="37" s="1"/>
  <c r="AM727" i="37"/>
  <c r="AN727" i="37" s="1"/>
  <c r="AF727" i="37"/>
  <c r="AB728" i="37"/>
  <c r="AH728" i="37"/>
  <c r="AA728" i="37"/>
  <c r="R728" i="37"/>
  <c r="AI728" i="37"/>
  <c r="F729" i="37"/>
  <c r="U728" i="37"/>
  <c r="G728" i="37"/>
  <c r="Y728" i="37"/>
  <c r="X728" i="37"/>
  <c r="T728" i="37"/>
  <c r="AE728" i="37"/>
  <c r="W728" i="37"/>
  <c r="AG728" i="37"/>
  <c r="H727" i="37"/>
  <c r="J727" i="37"/>
  <c r="I727" i="37"/>
  <c r="V727" i="37"/>
  <c r="J728" i="37" l="1"/>
  <c r="H728" i="37"/>
  <c r="I728" i="37"/>
  <c r="AH729" i="37"/>
  <c r="AA729" i="37"/>
  <c r="U729" i="37"/>
  <c r="AE729" i="37"/>
  <c r="AI729" i="37"/>
  <c r="G729" i="37"/>
  <c r="Y729" i="37"/>
  <c r="F730" i="37"/>
  <c r="W729" i="37"/>
  <c r="AG729" i="37"/>
  <c r="R729" i="37"/>
  <c r="X729" i="37"/>
  <c r="T729" i="37"/>
  <c r="AB729" i="37"/>
  <c r="AC728" i="37"/>
  <c r="AD728" i="37"/>
  <c r="AJ728" i="37"/>
  <c r="AK728" i="37"/>
  <c r="AL728" i="37" s="1"/>
  <c r="AM728" i="37"/>
  <c r="AN728" i="37" s="1"/>
  <c r="AF728" i="37"/>
  <c r="V728" i="37"/>
  <c r="Z728" i="37"/>
  <c r="AB730" i="37" l="1"/>
  <c r="F731" i="37"/>
  <c r="AH730" i="37"/>
  <c r="R730" i="37"/>
  <c r="AI730" i="37"/>
  <c r="AA730" i="37"/>
  <c r="U730" i="37"/>
  <c r="W730" i="37"/>
  <c r="X730" i="37"/>
  <c r="T730" i="37"/>
  <c r="V730" i="37" s="1"/>
  <c r="Y730" i="37"/>
  <c r="AG730" i="37"/>
  <c r="G730" i="37"/>
  <c r="AE730" i="37"/>
  <c r="J729" i="37"/>
  <c r="I729" i="37"/>
  <c r="H729" i="37"/>
  <c r="AD729" i="37"/>
  <c r="AM729" i="37"/>
  <c r="AN729" i="37" s="1"/>
  <c r="AJ729" i="37"/>
  <c r="AK729" i="37"/>
  <c r="AL729" i="37" s="1"/>
  <c r="AF729" i="37"/>
  <c r="AC729" i="37"/>
  <c r="V729" i="37"/>
  <c r="Z729" i="37"/>
  <c r="AD730" i="37" l="1"/>
  <c r="AF730" i="37"/>
  <c r="AM730" i="37"/>
  <c r="AN730" i="37" s="1"/>
  <c r="AK730" i="37"/>
  <c r="AL730" i="37" s="1"/>
  <c r="AJ730" i="37"/>
  <c r="H730" i="37"/>
  <c r="I730" i="37"/>
  <c r="J730" i="37"/>
  <c r="Z730" i="37"/>
  <c r="F732" i="37"/>
  <c r="G731" i="37"/>
  <c r="AE731" i="37"/>
  <c r="AB731" i="37"/>
  <c r="AC731" i="37" s="1"/>
  <c r="AH731" i="37"/>
  <c r="AA731" i="37"/>
  <c r="U731" i="37"/>
  <c r="AI731" i="37"/>
  <c r="Y731" i="37"/>
  <c r="T731" i="37"/>
  <c r="V731" i="37" s="1"/>
  <c r="AG731" i="37"/>
  <c r="R731" i="37"/>
  <c r="W731" i="37"/>
  <c r="X731" i="37"/>
  <c r="Z731" i="37" s="1"/>
  <c r="AC730" i="37"/>
  <c r="R732" i="37" l="1"/>
  <c r="AH732" i="37"/>
  <c r="F733" i="37"/>
  <c r="AB732" i="37"/>
  <c r="AC732" i="37" s="1"/>
  <c r="AI732" i="37"/>
  <c r="U732" i="37"/>
  <c r="T732" i="37"/>
  <c r="V732" i="37" s="1"/>
  <c r="W732" i="37"/>
  <c r="AA732" i="37"/>
  <c r="X732" i="37"/>
  <c r="AG732" i="37"/>
  <c r="G732" i="37"/>
  <c r="Y732" i="37"/>
  <c r="AE732" i="37"/>
  <c r="AD731" i="37"/>
  <c r="AF731" i="37"/>
  <c r="AK731" i="37"/>
  <c r="AL731" i="37" s="1"/>
  <c r="AM731" i="37"/>
  <c r="AN731" i="37" s="1"/>
  <c r="AJ731" i="37"/>
  <c r="H731" i="37"/>
  <c r="I731" i="37"/>
  <c r="J731" i="37"/>
  <c r="AD732" i="37" l="1"/>
  <c r="AF732" i="37"/>
  <c r="AJ732" i="37"/>
  <c r="AM732" i="37"/>
  <c r="AN732" i="37" s="1"/>
  <c r="AK732" i="37"/>
  <c r="AL732" i="37" s="1"/>
  <c r="H732" i="37"/>
  <c r="J732" i="37"/>
  <c r="I732" i="37"/>
  <c r="AB733" i="37"/>
  <c r="AI733" i="37"/>
  <c r="AH733" i="37"/>
  <c r="R733" i="37"/>
  <c r="Y733" i="37"/>
  <c r="G733" i="37"/>
  <c r="X733" i="37"/>
  <c r="F734" i="37"/>
  <c r="AA733" i="37"/>
  <c r="U733" i="37"/>
  <c r="T733" i="37"/>
  <c r="V733" i="37" s="1"/>
  <c r="W733" i="37"/>
  <c r="AG733" i="37"/>
  <c r="AE733" i="37"/>
  <c r="Z732" i="37"/>
  <c r="H733" i="37" l="1"/>
  <c r="I733" i="37"/>
  <c r="J733" i="37"/>
  <c r="AC733" i="37"/>
  <c r="AI734" i="37"/>
  <c r="AH734" i="37"/>
  <c r="W734" i="37"/>
  <c r="X734" i="37"/>
  <c r="AA734" i="37"/>
  <c r="U734" i="37"/>
  <c r="AG734" i="37"/>
  <c r="Y734" i="37"/>
  <c r="T734" i="37"/>
  <c r="V734" i="37" s="1"/>
  <c r="R734" i="37"/>
  <c r="F735" i="37"/>
  <c r="AE734" i="37"/>
  <c r="AB734" i="37"/>
  <c r="G734" i="37"/>
  <c r="AD733" i="37"/>
  <c r="AK733" i="37"/>
  <c r="AL733" i="37" s="1"/>
  <c r="AM733" i="37"/>
  <c r="AN733" i="37" s="1"/>
  <c r="AJ733" i="37"/>
  <c r="AF733" i="37"/>
  <c r="Z733" i="37"/>
  <c r="Z734" i="37" l="1"/>
  <c r="J734" i="37"/>
  <c r="H734" i="37"/>
  <c r="I734" i="37"/>
  <c r="AC734" i="37"/>
  <c r="AD734" i="37"/>
  <c r="AF734" i="37"/>
  <c r="AK734" i="37"/>
  <c r="AL734" i="37" s="1"/>
  <c r="AM734" i="37"/>
  <c r="AN734" i="37" s="1"/>
  <c r="AJ734" i="37"/>
  <c r="AH735" i="37"/>
  <c r="G735" i="37"/>
  <c r="U735" i="37"/>
  <c r="AI735" i="37"/>
  <c r="F736" i="37"/>
  <c r="R735" i="37"/>
  <c r="W735" i="37"/>
  <c r="AA735" i="37"/>
  <c r="X735" i="37"/>
  <c r="AB735" i="37"/>
  <c r="AC735" i="37" s="1"/>
  <c r="Y735" i="37"/>
  <c r="AG735" i="37"/>
  <c r="T735" i="37"/>
  <c r="AE735" i="37"/>
  <c r="AD735" i="37" l="1"/>
  <c r="AF735" i="37"/>
  <c r="AK735" i="37"/>
  <c r="AL735" i="37" s="1"/>
  <c r="AM735" i="37"/>
  <c r="AN735" i="37" s="1"/>
  <c r="AJ735" i="37"/>
  <c r="V735" i="37"/>
  <c r="Z735" i="37"/>
  <c r="J735" i="37"/>
  <c r="I735" i="37"/>
  <c r="H735" i="37"/>
  <c r="F737" i="37"/>
  <c r="AB736" i="37"/>
  <c r="AC736" i="37" s="1"/>
  <c r="AI736" i="37"/>
  <c r="AA736" i="37"/>
  <c r="Y736" i="37"/>
  <c r="X736" i="37"/>
  <c r="Z736" i="37" s="1"/>
  <c r="U736" i="37"/>
  <c r="T736" i="37"/>
  <c r="V736" i="37" s="1"/>
  <c r="AH736" i="37"/>
  <c r="W736" i="37"/>
  <c r="AE736" i="37"/>
  <c r="AG736" i="37"/>
  <c r="R736" i="37"/>
  <c r="G736" i="37"/>
  <c r="I736" i="37" l="1"/>
  <c r="H736" i="37"/>
  <c r="J736" i="37"/>
  <c r="AD736" i="37"/>
  <c r="AF736" i="37"/>
  <c r="AJ736" i="37"/>
  <c r="AM736" i="37"/>
  <c r="AN736" i="37" s="1"/>
  <c r="AK736" i="37"/>
  <c r="AL736" i="37" s="1"/>
  <c r="R737" i="37"/>
  <c r="AB737" i="37"/>
  <c r="AC737" i="37" s="1"/>
  <c r="G737" i="37"/>
  <c r="AI737" i="37"/>
  <c r="F738" i="37"/>
  <c r="AH737" i="37"/>
  <c r="AA737" i="37"/>
  <c r="Y737" i="37"/>
  <c r="T737" i="37"/>
  <c r="AG737" i="37"/>
  <c r="AE737" i="37"/>
  <c r="X737" i="37"/>
  <c r="Z737" i="37" s="1"/>
  <c r="W737" i="37"/>
  <c r="U737" i="37"/>
  <c r="J737" i="37" l="1"/>
  <c r="H737" i="37"/>
  <c r="I737" i="37"/>
  <c r="R738" i="37"/>
  <c r="AB738" i="37"/>
  <c r="AC738" i="37" s="1"/>
  <c r="G738" i="37"/>
  <c r="AI738" i="37"/>
  <c r="F739" i="37"/>
  <c r="AH738" i="37"/>
  <c r="T738" i="37"/>
  <c r="V738" i="37" s="1"/>
  <c r="AE738" i="37"/>
  <c r="W738" i="37"/>
  <c r="X738" i="37"/>
  <c r="Z738" i="37" s="1"/>
  <c r="AA738" i="37"/>
  <c r="Y738" i="37"/>
  <c r="AG738" i="37"/>
  <c r="U738" i="37"/>
  <c r="AD737" i="37"/>
  <c r="AF737" i="37"/>
  <c r="AK737" i="37"/>
  <c r="AL737" i="37" s="1"/>
  <c r="AM737" i="37"/>
  <c r="AN737" i="37" s="1"/>
  <c r="AJ737" i="37"/>
  <c r="V737" i="37"/>
  <c r="AH739" i="37" l="1"/>
  <c r="W739" i="37"/>
  <c r="F740" i="37"/>
  <c r="AI739" i="37"/>
  <c r="U739" i="37"/>
  <c r="G739" i="37"/>
  <c r="AA739" i="37"/>
  <c r="Y739" i="37"/>
  <c r="X739" i="37"/>
  <c r="Z739" i="37" s="1"/>
  <c r="T739" i="37"/>
  <c r="V739" i="37" s="1"/>
  <c r="AE739" i="37"/>
  <c r="AG739" i="37"/>
  <c r="R739" i="37"/>
  <c r="AB739" i="37"/>
  <c r="AC739" i="37" s="1"/>
  <c r="J738" i="37"/>
  <c r="H738" i="37"/>
  <c r="I738" i="37"/>
  <c r="AD738" i="37"/>
  <c r="AF738" i="37"/>
  <c r="AM738" i="37"/>
  <c r="AN738" i="37" s="1"/>
  <c r="AK738" i="37"/>
  <c r="AL738" i="37" s="1"/>
  <c r="AJ738" i="37"/>
  <c r="AD739" i="37" l="1"/>
  <c r="AJ739" i="37"/>
  <c r="AK739" i="37"/>
  <c r="AL739" i="37" s="1"/>
  <c r="AM739" i="37"/>
  <c r="AN739" i="37" s="1"/>
  <c r="AF739" i="37"/>
  <c r="H739" i="37"/>
  <c r="J739" i="37"/>
  <c r="I739" i="37"/>
  <c r="AB740" i="37"/>
  <c r="AH740" i="37"/>
  <c r="AI740" i="37"/>
  <c r="G740" i="37"/>
  <c r="X740" i="37"/>
  <c r="Z740" i="37" s="1"/>
  <c r="R740" i="37"/>
  <c r="AA740" i="37"/>
  <c r="W740" i="37"/>
  <c r="F741" i="37"/>
  <c r="T740" i="37"/>
  <c r="U740" i="37"/>
  <c r="Y740" i="37"/>
  <c r="AG740" i="37"/>
  <c r="AE740" i="37"/>
  <c r="H740" i="37" l="1"/>
  <c r="J740" i="37"/>
  <c r="I740" i="37"/>
  <c r="AC740" i="37"/>
  <c r="AD740" i="37"/>
  <c r="AJ740" i="37"/>
  <c r="AM740" i="37"/>
  <c r="AN740" i="37" s="1"/>
  <c r="AK740" i="37"/>
  <c r="AL740" i="37" s="1"/>
  <c r="AF740" i="37"/>
  <c r="V740" i="37"/>
  <c r="AI741" i="37"/>
  <c r="F742" i="37"/>
  <c r="AH741" i="37"/>
  <c r="U741" i="37"/>
  <c r="T741" i="37"/>
  <c r="AA741" i="37"/>
  <c r="Y741" i="37"/>
  <c r="X741" i="37"/>
  <c r="Z741" i="37" s="1"/>
  <c r="AG741" i="37"/>
  <c r="W741" i="37"/>
  <c r="AE741" i="37"/>
  <c r="R741" i="37"/>
  <c r="AB741" i="37"/>
  <c r="AC741" i="37" s="1"/>
  <c r="G741" i="37"/>
  <c r="J741" i="37" l="1"/>
  <c r="I741" i="37"/>
  <c r="H741" i="37"/>
  <c r="AI742" i="37"/>
  <c r="AH742" i="37"/>
  <c r="U742" i="37"/>
  <c r="AG742" i="37"/>
  <c r="R742" i="37"/>
  <c r="G742" i="37"/>
  <c r="AA742" i="37"/>
  <c r="Y742" i="37"/>
  <c r="X742" i="37"/>
  <c r="Z742" i="37" s="1"/>
  <c r="T742" i="37"/>
  <c r="V742" i="37" s="1"/>
  <c r="AE742" i="37"/>
  <c r="W742" i="37"/>
  <c r="F743" i="37"/>
  <c r="AB742" i="37"/>
  <c r="AD741" i="37"/>
  <c r="AM741" i="37"/>
  <c r="AN741" i="37" s="1"/>
  <c r="AK741" i="37"/>
  <c r="AL741" i="37" s="1"/>
  <c r="AJ741" i="37"/>
  <c r="AF741" i="37"/>
  <c r="V741" i="37"/>
  <c r="AD742" i="37" l="1"/>
  <c r="AF742" i="37"/>
  <c r="AJ742" i="37"/>
  <c r="AM742" i="37"/>
  <c r="AN742" i="37" s="1"/>
  <c r="AK742" i="37"/>
  <c r="AL742" i="37" s="1"/>
  <c r="J742" i="37"/>
  <c r="I742" i="37"/>
  <c r="H742" i="37"/>
  <c r="AC742" i="37"/>
  <c r="G743" i="37"/>
  <c r="AB743" i="37"/>
  <c r="AC743" i="37" s="1"/>
  <c r="AI743" i="37"/>
  <c r="AH743" i="37"/>
  <c r="F744" i="37"/>
  <c r="R743" i="37"/>
  <c r="Y743" i="37"/>
  <c r="X743" i="37"/>
  <c r="Z743" i="37" s="1"/>
  <c r="AA743" i="37"/>
  <c r="AE743" i="37"/>
  <c r="AG743" i="37"/>
  <c r="W743" i="37"/>
  <c r="U743" i="37"/>
  <c r="T743" i="37"/>
  <c r="V743" i="37" l="1"/>
  <c r="I743" i="37"/>
  <c r="H743" i="37"/>
  <c r="J743" i="37"/>
  <c r="AD743" i="37"/>
  <c r="AM743" i="37"/>
  <c r="AN743" i="37" s="1"/>
  <c r="AJ743" i="37"/>
  <c r="AK743" i="37"/>
  <c r="AL743" i="37" s="1"/>
  <c r="AF743" i="37"/>
  <c r="AI744" i="37"/>
  <c r="R744" i="37"/>
  <c r="T744" i="37"/>
  <c r="V744" i="37" s="1"/>
  <c r="AH744" i="37"/>
  <c r="F745" i="37"/>
  <c r="X744" i="37"/>
  <c r="G744" i="37"/>
  <c r="U744" i="37"/>
  <c r="AE744" i="37"/>
  <c r="W744" i="37"/>
  <c r="Y744" i="37"/>
  <c r="AA744" i="37"/>
  <c r="AG744" i="37"/>
  <c r="AB744" i="37"/>
  <c r="AC744" i="37" s="1"/>
  <c r="AB745" i="37" l="1"/>
  <c r="AI745" i="37"/>
  <c r="AH745" i="37"/>
  <c r="F746" i="37"/>
  <c r="G745" i="37"/>
  <c r="AA745" i="37"/>
  <c r="AG745" i="37"/>
  <c r="X745" i="37"/>
  <c r="R745" i="37"/>
  <c r="T745" i="37"/>
  <c r="U745" i="37"/>
  <c r="W745" i="37"/>
  <c r="Y745" i="37"/>
  <c r="AE745" i="37"/>
  <c r="AD744" i="37"/>
  <c r="AK744" i="37"/>
  <c r="AL744" i="37" s="1"/>
  <c r="AM744" i="37"/>
  <c r="AN744" i="37" s="1"/>
  <c r="AF744" i="37"/>
  <c r="AJ744" i="37"/>
  <c r="I744" i="37"/>
  <c r="H744" i="37"/>
  <c r="J744" i="37"/>
  <c r="Z744" i="37"/>
  <c r="AD745" i="37" l="1"/>
  <c r="AJ745" i="37"/>
  <c r="AF745" i="37"/>
  <c r="AM745" i="37"/>
  <c r="AN745" i="37" s="1"/>
  <c r="AK745" i="37"/>
  <c r="AL745" i="37" s="1"/>
  <c r="Z745" i="37"/>
  <c r="J745" i="37"/>
  <c r="I745" i="37"/>
  <c r="H745" i="37"/>
  <c r="AB746" i="37"/>
  <c r="AC746" i="37" s="1"/>
  <c r="R746" i="37"/>
  <c r="AG746" i="37"/>
  <c r="AE746" i="37"/>
  <c r="AI746" i="37"/>
  <c r="G746" i="37"/>
  <c r="AH746" i="37"/>
  <c r="F747" i="37"/>
  <c r="Y746" i="37"/>
  <c r="X746" i="37"/>
  <c r="Z746" i="37" s="1"/>
  <c r="W746" i="37"/>
  <c r="T746" i="37"/>
  <c r="AA746" i="37"/>
  <c r="U746" i="37"/>
  <c r="V745" i="37"/>
  <c r="AC745" i="37"/>
  <c r="AD746" i="37" l="1"/>
  <c r="AK746" i="37"/>
  <c r="AL746" i="37" s="1"/>
  <c r="AM746" i="37"/>
  <c r="AN746" i="37" s="1"/>
  <c r="AJ746" i="37"/>
  <c r="AF746" i="37"/>
  <c r="V746" i="37"/>
  <c r="AB747" i="37"/>
  <c r="AC747" i="37" s="1"/>
  <c r="AI747" i="37"/>
  <c r="Y747" i="37"/>
  <c r="AG747" i="37"/>
  <c r="AE747" i="37"/>
  <c r="AH747" i="37"/>
  <c r="W747" i="37"/>
  <c r="AA747" i="37"/>
  <c r="T747" i="37"/>
  <c r="X747" i="37"/>
  <c r="U747" i="37"/>
  <c r="F748" i="37"/>
  <c r="G747" i="37"/>
  <c r="R747" i="37"/>
  <c r="I746" i="37"/>
  <c r="J746" i="37"/>
  <c r="H746" i="37"/>
  <c r="AD747" i="37" l="1"/>
  <c r="AK747" i="37"/>
  <c r="AL747" i="37" s="1"/>
  <c r="AF747" i="37"/>
  <c r="AJ747" i="37"/>
  <c r="AM747" i="37"/>
  <c r="AN747" i="37" s="1"/>
  <c r="I747" i="37"/>
  <c r="J747" i="37"/>
  <c r="H747" i="37"/>
  <c r="AB748" i="37"/>
  <c r="AE748" i="37"/>
  <c r="AI748" i="37"/>
  <c r="AH748" i="37"/>
  <c r="R748" i="37"/>
  <c r="W748" i="37"/>
  <c r="G748" i="37"/>
  <c r="U748" i="37"/>
  <c r="F749" i="37"/>
  <c r="AA748" i="37"/>
  <c r="Y748" i="37"/>
  <c r="X748" i="37"/>
  <c r="Z748" i="37" s="1"/>
  <c r="T748" i="37"/>
  <c r="V748" i="37" s="1"/>
  <c r="AG748" i="37"/>
  <c r="Z747" i="37"/>
  <c r="V747" i="37"/>
  <c r="AC748" i="37" l="1"/>
  <c r="AD748" i="37"/>
  <c r="AM748" i="37"/>
  <c r="AN748" i="37" s="1"/>
  <c r="AK748" i="37"/>
  <c r="AL748" i="37" s="1"/>
  <c r="AF748" i="37"/>
  <c r="AJ748" i="37"/>
  <c r="AH749" i="37"/>
  <c r="AI749" i="37"/>
  <c r="AA749" i="37"/>
  <c r="Y749" i="37"/>
  <c r="X749" i="37"/>
  <c r="Z749" i="37" s="1"/>
  <c r="T749" i="37"/>
  <c r="AE749" i="37"/>
  <c r="U749" i="37"/>
  <c r="W749" i="37"/>
  <c r="G749" i="37"/>
  <c r="AB749" i="37"/>
  <c r="AC749" i="37" s="1"/>
  <c r="R749" i="37"/>
  <c r="F750" i="37"/>
  <c r="AG749" i="37"/>
  <c r="I748" i="37"/>
  <c r="H748" i="37"/>
  <c r="J748" i="37"/>
  <c r="V749" i="37" l="1"/>
  <c r="AB750" i="37"/>
  <c r="AI750" i="37"/>
  <c r="AH750" i="37"/>
  <c r="G750" i="37"/>
  <c r="X750" i="37"/>
  <c r="F751" i="37"/>
  <c r="U750" i="37"/>
  <c r="R750" i="37"/>
  <c r="W750" i="37"/>
  <c r="AA750" i="37"/>
  <c r="Y750" i="37"/>
  <c r="AG750" i="37"/>
  <c r="AE750" i="37"/>
  <c r="T750" i="37"/>
  <c r="AD749" i="37"/>
  <c r="AF749" i="37"/>
  <c r="AJ749" i="37"/>
  <c r="AK749" i="37"/>
  <c r="AL749" i="37" s="1"/>
  <c r="AM749" i="37"/>
  <c r="AN749" i="37" s="1"/>
  <c r="I749" i="37"/>
  <c r="H749" i="37"/>
  <c r="J749" i="37"/>
  <c r="AD750" i="37" l="1"/>
  <c r="AJ750" i="37"/>
  <c r="AM750" i="37"/>
  <c r="AN750" i="37" s="1"/>
  <c r="AK750" i="37"/>
  <c r="AL750" i="37" s="1"/>
  <c r="AF750" i="37"/>
  <c r="Z750" i="37"/>
  <c r="AH751" i="37"/>
  <c r="F752" i="37"/>
  <c r="AG751" i="37"/>
  <c r="AE751" i="37"/>
  <c r="G751" i="37"/>
  <c r="R751" i="37"/>
  <c r="AI751" i="37"/>
  <c r="AA751" i="37"/>
  <c r="U751" i="37"/>
  <c r="W751" i="37"/>
  <c r="X751" i="37"/>
  <c r="T751" i="37"/>
  <c r="V751" i="37" s="1"/>
  <c r="Y751" i="37"/>
  <c r="AB751" i="37"/>
  <c r="J750" i="37"/>
  <c r="H750" i="37"/>
  <c r="I750" i="37"/>
  <c r="AC750" i="37"/>
  <c r="V750" i="37"/>
  <c r="J751" i="37" l="1"/>
  <c r="I751" i="37"/>
  <c r="H751" i="37"/>
  <c r="AI752" i="37"/>
  <c r="T752" i="37"/>
  <c r="AH752" i="37"/>
  <c r="X752" i="37"/>
  <c r="AE752" i="37"/>
  <c r="AA752" i="37"/>
  <c r="W752" i="37"/>
  <c r="Y752" i="37"/>
  <c r="U752" i="37"/>
  <c r="AG752" i="37"/>
  <c r="G752" i="37"/>
  <c r="F753" i="37"/>
  <c r="R752" i="37"/>
  <c r="AB752" i="37"/>
  <c r="AC752" i="37" s="1"/>
  <c r="AD751" i="37"/>
  <c r="AK751" i="37"/>
  <c r="AL751" i="37" s="1"/>
  <c r="AJ751" i="37"/>
  <c r="AF751" i="37"/>
  <c r="AM751" i="37"/>
  <c r="AN751" i="37" s="1"/>
  <c r="AC751" i="37"/>
  <c r="Z751" i="37"/>
  <c r="J752" i="37" l="1"/>
  <c r="I752" i="37"/>
  <c r="H752" i="37"/>
  <c r="AD752" i="37"/>
  <c r="AM752" i="37"/>
  <c r="AN752" i="37" s="1"/>
  <c r="AF752" i="37"/>
  <c r="AJ752" i="37"/>
  <c r="AK752" i="37"/>
  <c r="AL752" i="37" s="1"/>
  <c r="V752" i="37"/>
  <c r="Z752" i="37"/>
  <c r="AE753" i="37"/>
  <c r="AB753" i="37"/>
  <c r="AC753" i="37" s="1"/>
  <c r="AI753" i="37"/>
  <c r="AH753" i="37"/>
  <c r="R753" i="37"/>
  <c r="AA753" i="37"/>
  <c r="F754" i="37"/>
  <c r="Y753" i="37"/>
  <c r="G753" i="37"/>
  <c r="W753" i="37"/>
  <c r="X753" i="37"/>
  <c r="Z753" i="37" s="1"/>
  <c r="U753" i="37"/>
  <c r="T753" i="37"/>
  <c r="AG753" i="37"/>
  <c r="AD753" i="37" l="1"/>
  <c r="AF753" i="37"/>
  <c r="AM753" i="37"/>
  <c r="AN753" i="37" s="1"/>
  <c r="AK753" i="37"/>
  <c r="AL753" i="37" s="1"/>
  <c r="AJ753" i="37"/>
  <c r="V753" i="37"/>
  <c r="H753" i="37"/>
  <c r="I753" i="37"/>
  <c r="J753" i="37"/>
  <c r="F755" i="37"/>
  <c r="AB754" i="37"/>
  <c r="AC754" i="37" s="1"/>
  <c r="G754" i="37"/>
  <c r="Y754" i="37"/>
  <c r="X754" i="37"/>
  <c r="AI754" i="37"/>
  <c r="R754" i="37"/>
  <c r="AH754" i="37"/>
  <c r="W754" i="37"/>
  <c r="AE754" i="37"/>
  <c r="AG754" i="37"/>
  <c r="AA754" i="37"/>
  <c r="U754" i="37"/>
  <c r="T754" i="37"/>
  <c r="V754" i="37" s="1"/>
  <c r="H754" i="37" l="1"/>
  <c r="I754" i="37"/>
  <c r="J754" i="37"/>
  <c r="AD754" i="37"/>
  <c r="AK754" i="37"/>
  <c r="AL754" i="37" s="1"/>
  <c r="AM754" i="37"/>
  <c r="AN754" i="37" s="1"/>
  <c r="AF754" i="37"/>
  <c r="AJ754" i="37"/>
  <c r="AB755" i="37"/>
  <c r="AC755" i="37" s="1"/>
  <c r="G755" i="37"/>
  <c r="AI755" i="37"/>
  <c r="AH755" i="37"/>
  <c r="AE755" i="37"/>
  <c r="AA755" i="37"/>
  <c r="U755" i="37"/>
  <c r="X755" i="37"/>
  <c r="Y755" i="37"/>
  <c r="AG755" i="37"/>
  <c r="R755" i="37"/>
  <c r="T755" i="37"/>
  <c r="V755" i="37" s="1"/>
  <c r="W755" i="37"/>
  <c r="F756" i="37"/>
  <c r="Z754" i="37"/>
  <c r="AB756" i="37" l="1"/>
  <c r="G756" i="37"/>
  <c r="Y756" i="37"/>
  <c r="AE756" i="37"/>
  <c r="AI756" i="37"/>
  <c r="R756" i="37"/>
  <c r="AH756" i="37"/>
  <c r="W756" i="37"/>
  <c r="T756" i="37"/>
  <c r="AA756" i="37"/>
  <c r="X756" i="37"/>
  <c r="Z756" i="37" s="1"/>
  <c r="U756" i="37"/>
  <c r="AG756" i="37"/>
  <c r="F757" i="37"/>
  <c r="H755" i="37"/>
  <c r="J755" i="37"/>
  <c r="I755" i="37"/>
  <c r="AD755" i="37"/>
  <c r="AJ755" i="37"/>
  <c r="AM755" i="37"/>
  <c r="AN755" i="37" s="1"/>
  <c r="AK755" i="37"/>
  <c r="AL755" i="37" s="1"/>
  <c r="AF755" i="37"/>
  <c r="Z755" i="37"/>
  <c r="AI757" i="37" l="1"/>
  <c r="AH757" i="37"/>
  <c r="R757" i="37"/>
  <c r="Y757" i="37"/>
  <c r="F758" i="37"/>
  <c r="U757" i="37"/>
  <c r="G757" i="37"/>
  <c r="T757" i="37"/>
  <c r="V757" i="37" s="1"/>
  <c r="W757" i="37"/>
  <c r="AG757" i="37"/>
  <c r="AA757" i="37"/>
  <c r="X757" i="37"/>
  <c r="Z757" i="37" s="1"/>
  <c r="AE757" i="37"/>
  <c r="AB757" i="37"/>
  <c r="AC757" i="37" s="1"/>
  <c r="AD756" i="37"/>
  <c r="AF756" i="37"/>
  <c r="AK756" i="37"/>
  <c r="AL756" i="37" s="1"/>
  <c r="AM756" i="37"/>
  <c r="AN756" i="37" s="1"/>
  <c r="AJ756" i="37"/>
  <c r="V756" i="37"/>
  <c r="H756" i="37"/>
  <c r="I756" i="37"/>
  <c r="J756" i="37"/>
  <c r="AC756" i="37"/>
  <c r="AD757" i="37" l="1"/>
  <c r="AM757" i="37"/>
  <c r="AN757" i="37" s="1"/>
  <c r="AK757" i="37"/>
  <c r="AL757" i="37" s="1"/>
  <c r="AF757" i="37"/>
  <c r="AJ757" i="37"/>
  <c r="J757" i="37"/>
  <c r="I757" i="37"/>
  <c r="H757" i="37"/>
  <c r="AB758" i="37"/>
  <c r="AC758" i="37" s="1"/>
  <c r="R758" i="37"/>
  <c r="U758" i="37"/>
  <c r="AI758" i="37"/>
  <c r="F759" i="37"/>
  <c r="AH758" i="37"/>
  <c r="G758" i="37"/>
  <c r="AA758" i="37"/>
  <c r="W758" i="37"/>
  <c r="Y758" i="37"/>
  <c r="AE758" i="37"/>
  <c r="T758" i="37"/>
  <c r="X758" i="37"/>
  <c r="Z758" i="37" s="1"/>
  <c r="AG758" i="37"/>
  <c r="AI759" i="37" l="1"/>
  <c r="G759" i="37"/>
  <c r="Y759" i="37"/>
  <c r="AB759" i="37"/>
  <c r="R759" i="37"/>
  <c r="U759" i="37"/>
  <c r="AH759" i="37"/>
  <c r="F760" i="37"/>
  <c r="X759" i="37"/>
  <c r="Z759" i="37" s="1"/>
  <c r="AA759" i="37"/>
  <c r="AE759" i="37"/>
  <c r="W759" i="37"/>
  <c r="AG759" i="37"/>
  <c r="T759" i="37"/>
  <c r="V759" i="37" s="1"/>
  <c r="V758" i="37"/>
  <c r="AD758" i="37"/>
  <c r="AF758" i="37"/>
  <c r="AK758" i="37"/>
  <c r="AL758" i="37" s="1"/>
  <c r="AM758" i="37"/>
  <c r="AN758" i="37" s="1"/>
  <c r="AJ758" i="37"/>
  <c r="J758" i="37"/>
  <c r="H758" i="37"/>
  <c r="I758" i="37"/>
  <c r="AD759" i="37" l="1"/>
  <c r="AM759" i="37"/>
  <c r="AN759" i="37" s="1"/>
  <c r="AF759" i="37"/>
  <c r="AK759" i="37"/>
  <c r="AL759" i="37" s="1"/>
  <c r="AJ759" i="37"/>
  <c r="AI760" i="37"/>
  <c r="AE760" i="37"/>
  <c r="AH760" i="37"/>
  <c r="R760" i="37"/>
  <c r="W760" i="37"/>
  <c r="F761" i="37"/>
  <c r="AA760" i="37"/>
  <c r="G760" i="37"/>
  <c r="X760" i="37"/>
  <c r="Z760" i="37" s="1"/>
  <c r="U760" i="37"/>
  <c r="Y760" i="37"/>
  <c r="T760" i="37"/>
  <c r="V760" i="37" s="1"/>
  <c r="AG760" i="37"/>
  <c r="AB760" i="37"/>
  <c r="AC759" i="37"/>
  <c r="J759" i="37"/>
  <c r="I759" i="37"/>
  <c r="H759" i="37"/>
  <c r="H760" i="37" l="1"/>
  <c r="I760" i="37"/>
  <c r="J760" i="37"/>
  <c r="AD760" i="37"/>
  <c r="AF760" i="37"/>
  <c r="AK760" i="37"/>
  <c r="AL760" i="37" s="1"/>
  <c r="AM760" i="37"/>
  <c r="AN760" i="37" s="1"/>
  <c r="AJ760" i="37"/>
  <c r="AC760" i="37"/>
  <c r="AB761" i="37"/>
  <c r="AI761" i="37"/>
  <c r="AH761" i="37"/>
  <c r="R761" i="37"/>
  <c r="AA761" i="37"/>
  <c r="F762" i="37"/>
  <c r="G761" i="37"/>
  <c r="X761" i="37"/>
  <c r="W761" i="37"/>
  <c r="U761" i="37"/>
  <c r="AE761" i="37"/>
  <c r="Y761" i="37"/>
  <c r="T761" i="37"/>
  <c r="V761" i="37" s="1"/>
  <c r="AG761" i="37"/>
  <c r="AC761" i="37" l="1"/>
  <c r="AD761" i="37"/>
  <c r="AF761" i="37"/>
  <c r="AJ761" i="37"/>
  <c r="AK761" i="37"/>
  <c r="AL761" i="37" s="1"/>
  <c r="AM761" i="37"/>
  <c r="AN761" i="37" s="1"/>
  <c r="Z761" i="37"/>
  <c r="H761" i="37"/>
  <c r="J761" i="37"/>
  <c r="I761" i="37"/>
  <c r="AB762" i="37"/>
  <c r="AC762" i="37" s="1"/>
  <c r="AH762" i="37"/>
  <c r="AI762" i="37"/>
  <c r="G762" i="37"/>
  <c r="X762" i="37"/>
  <c r="F763" i="37"/>
  <c r="T762" i="37"/>
  <c r="R762" i="37"/>
  <c r="AA762" i="37"/>
  <c r="U762" i="37"/>
  <c r="W762" i="37"/>
  <c r="Y762" i="37"/>
  <c r="AE762" i="37"/>
  <c r="AG762" i="37"/>
  <c r="H762" i="37" l="1"/>
  <c r="I762" i="37"/>
  <c r="J762" i="37"/>
  <c r="AD762" i="37"/>
  <c r="AF762" i="37"/>
  <c r="AK762" i="37"/>
  <c r="AL762" i="37" s="1"/>
  <c r="AM762" i="37"/>
  <c r="AN762" i="37" s="1"/>
  <c r="AJ762" i="37"/>
  <c r="V762" i="37"/>
  <c r="AH763" i="37"/>
  <c r="R763" i="37"/>
  <c r="AI763" i="37"/>
  <c r="F764" i="37"/>
  <c r="Y763" i="37"/>
  <c r="U763" i="37"/>
  <c r="AB763" i="37"/>
  <c r="G763" i="37"/>
  <c r="AA763" i="37"/>
  <c r="X763" i="37"/>
  <c r="T763" i="37"/>
  <c r="V763" i="37" s="1"/>
  <c r="W763" i="37"/>
  <c r="AG763" i="37"/>
  <c r="AE763" i="37"/>
  <c r="Z762" i="37"/>
  <c r="AG764" i="37" l="1"/>
  <c r="AE764" i="37"/>
  <c r="AB764" i="37"/>
  <c r="AI764" i="37"/>
  <c r="AH764" i="37"/>
  <c r="G764" i="37"/>
  <c r="AA764" i="37"/>
  <c r="F765" i="37"/>
  <c r="R764" i="37"/>
  <c r="X764" i="37"/>
  <c r="Z764" i="37" s="1"/>
  <c r="Y764" i="37"/>
  <c r="T764" i="37"/>
  <c r="V764" i="37" s="1"/>
  <c r="U764" i="37"/>
  <c r="W764" i="37"/>
  <c r="AD763" i="37"/>
  <c r="AF763" i="37"/>
  <c r="AJ763" i="37"/>
  <c r="AM763" i="37"/>
  <c r="AN763" i="37" s="1"/>
  <c r="AK763" i="37"/>
  <c r="AL763" i="37" s="1"/>
  <c r="Z763" i="37"/>
  <c r="H763" i="37"/>
  <c r="J763" i="37"/>
  <c r="I763" i="37"/>
  <c r="AC763" i="37"/>
  <c r="F766" i="37" l="1"/>
  <c r="AB765" i="37"/>
  <c r="AI765" i="37"/>
  <c r="AH765" i="37"/>
  <c r="R765" i="37"/>
  <c r="G765" i="37"/>
  <c r="U765" i="37"/>
  <c r="X765" i="37"/>
  <c r="Z765" i="37" s="1"/>
  <c r="AA765" i="37"/>
  <c r="Y765" i="37"/>
  <c r="W765" i="37"/>
  <c r="T765" i="37"/>
  <c r="V765" i="37" s="1"/>
  <c r="AG765" i="37"/>
  <c r="AE765" i="37"/>
  <c r="AC764" i="37"/>
  <c r="AD764" i="37"/>
  <c r="AF764" i="37"/>
  <c r="AM764" i="37"/>
  <c r="AN764" i="37" s="1"/>
  <c r="AK764" i="37"/>
  <c r="AL764" i="37" s="1"/>
  <c r="AJ764" i="37"/>
  <c r="J764" i="37"/>
  <c r="I764" i="37"/>
  <c r="H764" i="37"/>
  <c r="AD765" i="37" l="1"/>
  <c r="AF765" i="37"/>
  <c r="AM765" i="37"/>
  <c r="AN765" i="37" s="1"/>
  <c r="AK765" i="37"/>
  <c r="AL765" i="37" s="1"/>
  <c r="AJ765" i="37"/>
  <c r="I765" i="37"/>
  <c r="H765" i="37"/>
  <c r="J765" i="37"/>
  <c r="AC765" i="37"/>
  <c r="AB766" i="37"/>
  <c r="AC766" i="37" s="1"/>
  <c r="G766" i="37"/>
  <c r="F767" i="37"/>
  <c r="U766" i="37"/>
  <c r="AI766" i="37"/>
  <c r="AH766" i="37"/>
  <c r="R766" i="37"/>
  <c r="X766" i="37"/>
  <c r="W766" i="37"/>
  <c r="AA766" i="37"/>
  <c r="AG766" i="37"/>
  <c r="AE766" i="37"/>
  <c r="T766" i="37"/>
  <c r="Y766" i="37"/>
  <c r="AH767" i="37" l="1"/>
  <c r="AI767" i="37"/>
  <c r="U767" i="37"/>
  <c r="AA767" i="37"/>
  <c r="W767" i="37"/>
  <c r="T767" i="37"/>
  <c r="V767" i="37" s="1"/>
  <c r="AG767" i="37"/>
  <c r="R767" i="37"/>
  <c r="G767" i="37"/>
  <c r="AB767" i="37"/>
  <c r="AC767" i="37" s="1"/>
  <c r="F768" i="37"/>
  <c r="Y767" i="37"/>
  <c r="AE767" i="37"/>
  <c r="X767" i="37"/>
  <c r="Z767" i="37" s="1"/>
  <c r="H766" i="37"/>
  <c r="J766" i="37"/>
  <c r="I766" i="37"/>
  <c r="V766" i="37"/>
  <c r="Z766" i="37"/>
  <c r="AD766" i="37"/>
  <c r="AM766" i="37"/>
  <c r="AN766" i="37" s="1"/>
  <c r="AK766" i="37"/>
  <c r="AL766" i="37" s="1"/>
  <c r="AF766" i="37"/>
  <c r="AJ766" i="37"/>
  <c r="I767" i="37" l="1"/>
  <c r="J767" i="37"/>
  <c r="H767" i="37"/>
  <c r="AD767" i="37"/>
  <c r="AM767" i="37"/>
  <c r="AN767" i="37" s="1"/>
  <c r="AK767" i="37"/>
  <c r="AL767" i="37" s="1"/>
  <c r="AF767" i="37"/>
  <c r="AJ767" i="37"/>
  <c r="AB768" i="37"/>
  <c r="G768" i="37"/>
  <c r="Y768" i="37"/>
  <c r="X768" i="37"/>
  <c r="Z768" i="37" s="1"/>
  <c r="R768" i="37"/>
  <c r="AH768" i="37"/>
  <c r="F769" i="37"/>
  <c r="AI768" i="37"/>
  <c r="AA768" i="37"/>
  <c r="U768" i="37"/>
  <c r="W768" i="37"/>
  <c r="T768" i="37"/>
  <c r="V768" i="37" s="1"/>
  <c r="AG768" i="37"/>
  <c r="AE768" i="37"/>
  <c r="I768" i="37" l="1"/>
  <c r="J768" i="37"/>
  <c r="H768" i="37"/>
  <c r="AD768" i="37"/>
  <c r="AF768" i="37"/>
  <c r="AK768" i="37"/>
  <c r="AL768" i="37" s="1"/>
  <c r="AM768" i="37"/>
  <c r="AN768" i="37" s="1"/>
  <c r="AJ768" i="37"/>
  <c r="AC768" i="37"/>
  <c r="R769" i="37"/>
  <c r="AA769" i="37"/>
  <c r="X769" i="37"/>
  <c r="Z769" i="37" s="1"/>
  <c r="AG769" i="37"/>
  <c r="AB769" i="37"/>
  <c r="AC769" i="37" s="1"/>
  <c r="F770" i="37"/>
  <c r="AI769" i="37"/>
  <c r="G769" i="37"/>
  <c r="AH769" i="37"/>
  <c r="U769" i="37"/>
  <c r="W769" i="37"/>
  <c r="AE769" i="37"/>
  <c r="T769" i="37"/>
  <c r="V769" i="37" s="1"/>
  <c r="Y769" i="37"/>
  <c r="AD769" i="37" l="1"/>
  <c r="AK769" i="37"/>
  <c r="AL769" i="37" s="1"/>
  <c r="AM769" i="37"/>
  <c r="AN769" i="37" s="1"/>
  <c r="AF769" i="37"/>
  <c r="AJ769" i="37"/>
  <c r="H769" i="37"/>
  <c r="I769" i="37"/>
  <c r="J769" i="37"/>
  <c r="AI770" i="37"/>
  <c r="G770" i="37"/>
  <c r="AH770" i="37"/>
  <c r="R770" i="37"/>
  <c r="U770" i="37"/>
  <c r="W770" i="37"/>
  <c r="T770" i="37"/>
  <c r="Y770" i="37"/>
  <c r="AB770" i="37"/>
  <c r="F771" i="37"/>
  <c r="X770" i="37"/>
  <c r="Z770" i="37" s="1"/>
  <c r="AA770" i="37"/>
  <c r="AE770" i="37"/>
  <c r="AG770" i="37"/>
  <c r="I770" i="37" l="1"/>
  <c r="H770" i="37"/>
  <c r="J770" i="37"/>
  <c r="AD770" i="37"/>
  <c r="AJ770" i="37"/>
  <c r="AK770" i="37"/>
  <c r="AL770" i="37" s="1"/>
  <c r="AM770" i="37"/>
  <c r="AN770" i="37" s="1"/>
  <c r="AF770" i="37"/>
  <c r="AB771" i="37"/>
  <c r="AI771" i="37"/>
  <c r="AH771" i="37"/>
  <c r="R771" i="37"/>
  <c r="AA771" i="37"/>
  <c r="F772" i="37"/>
  <c r="W771" i="37"/>
  <c r="G771" i="37"/>
  <c r="Y771" i="37"/>
  <c r="AG771" i="37"/>
  <c r="X771" i="37"/>
  <c r="Z771" i="37" s="1"/>
  <c r="T771" i="37"/>
  <c r="U771" i="37"/>
  <c r="AE771" i="37"/>
  <c r="AC770" i="37"/>
  <c r="V770" i="37"/>
  <c r="AD771" i="37" l="1"/>
  <c r="AJ771" i="37"/>
  <c r="AK771" i="37"/>
  <c r="AL771" i="37" s="1"/>
  <c r="AM771" i="37"/>
  <c r="AN771" i="37" s="1"/>
  <c r="AF771" i="37"/>
  <c r="AI772" i="37"/>
  <c r="AB772" i="37"/>
  <c r="AH772" i="37"/>
  <c r="G772" i="37"/>
  <c r="Y772" i="37"/>
  <c r="R772" i="37"/>
  <c r="U772" i="37"/>
  <c r="AA772" i="37"/>
  <c r="T772" i="37"/>
  <c r="X772" i="37"/>
  <c r="F773" i="37"/>
  <c r="W772" i="37"/>
  <c r="AG772" i="37"/>
  <c r="AE772" i="37"/>
  <c r="AC771" i="37"/>
  <c r="V771" i="37"/>
  <c r="I771" i="37"/>
  <c r="J771" i="37"/>
  <c r="H771" i="37"/>
  <c r="I772" i="37" l="1"/>
  <c r="H772" i="37"/>
  <c r="J772" i="37"/>
  <c r="AC772" i="37"/>
  <c r="AD772" i="37"/>
  <c r="AK772" i="37"/>
  <c r="AL772" i="37" s="1"/>
  <c r="AM772" i="37"/>
  <c r="AN772" i="37" s="1"/>
  <c r="AJ772" i="37"/>
  <c r="AF772" i="37"/>
  <c r="AB773" i="37"/>
  <c r="AC773" i="37" s="1"/>
  <c r="F774" i="37"/>
  <c r="AI773" i="37"/>
  <c r="G773" i="37"/>
  <c r="AH773" i="37"/>
  <c r="R773" i="37"/>
  <c r="Y773" i="37"/>
  <c r="AA773" i="37"/>
  <c r="T773" i="37"/>
  <c r="AG773" i="37"/>
  <c r="W773" i="37"/>
  <c r="X773" i="37"/>
  <c r="Z773" i="37" s="1"/>
  <c r="AE773" i="37"/>
  <c r="U773" i="37"/>
  <c r="V772" i="37"/>
  <c r="Z772" i="37"/>
  <c r="AD773" i="37" l="1"/>
  <c r="AF773" i="37"/>
  <c r="AM773" i="37"/>
  <c r="AN773" i="37" s="1"/>
  <c r="AJ773" i="37"/>
  <c r="AK773" i="37"/>
  <c r="AL773" i="37" s="1"/>
  <c r="I773" i="37"/>
  <c r="J773" i="37"/>
  <c r="H773" i="37"/>
  <c r="AB774" i="37"/>
  <c r="AI774" i="37"/>
  <c r="AH774" i="37"/>
  <c r="R774" i="37"/>
  <c r="Y774" i="37"/>
  <c r="G774" i="37"/>
  <c r="W774" i="37"/>
  <c r="AE774" i="37"/>
  <c r="AG774" i="37"/>
  <c r="AA774" i="37"/>
  <c r="F775" i="37"/>
  <c r="X774" i="37"/>
  <c r="T774" i="37"/>
  <c r="U774" i="37"/>
  <c r="V773" i="37"/>
  <c r="Z774" i="37" l="1"/>
  <c r="V774" i="37"/>
  <c r="I774" i="37"/>
  <c r="J774" i="37"/>
  <c r="H774" i="37"/>
  <c r="AC774" i="37"/>
  <c r="AB775" i="37"/>
  <c r="AC775" i="37" s="1"/>
  <c r="T775" i="37"/>
  <c r="V775" i="37" s="1"/>
  <c r="AG775" i="37"/>
  <c r="AE775" i="37"/>
  <c r="AI775" i="37"/>
  <c r="Y775" i="37"/>
  <c r="X775" i="37"/>
  <c r="Z775" i="37" s="1"/>
  <c r="F776" i="37"/>
  <c r="AA775" i="37"/>
  <c r="W775" i="37"/>
  <c r="U775" i="37"/>
  <c r="AH775" i="37"/>
  <c r="G775" i="37"/>
  <c r="R775" i="37"/>
  <c r="AD774" i="37"/>
  <c r="AM774" i="37"/>
  <c r="AN774" i="37" s="1"/>
  <c r="AF774" i="37"/>
  <c r="AK774" i="37"/>
  <c r="AL774" i="37" s="1"/>
  <c r="AJ774" i="37"/>
  <c r="AB776" i="37" l="1"/>
  <c r="AC776" i="37" s="1"/>
  <c r="R776" i="37"/>
  <c r="AI776" i="37"/>
  <c r="G776" i="37"/>
  <c r="AH776" i="37"/>
  <c r="F777" i="37"/>
  <c r="AA776" i="37"/>
  <c r="X776" i="37"/>
  <c r="W776" i="37"/>
  <c r="Y776" i="37"/>
  <c r="U776" i="37"/>
  <c r="T776" i="37"/>
  <c r="V776" i="37" s="1"/>
  <c r="AE776" i="37"/>
  <c r="AG776" i="37"/>
  <c r="AD775" i="37"/>
  <c r="AF775" i="37"/>
  <c r="AM775" i="37"/>
  <c r="AN775" i="37" s="1"/>
  <c r="AK775" i="37"/>
  <c r="AL775" i="37" s="1"/>
  <c r="AJ775" i="37"/>
  <c r="J775" i="37"/>
  <c r="H775" i="37"/>
  <c r="I775" i="37"/>
  <c r="AD776" i="37" l="1"/>
  <c r="AF776" i="37"/>
  <c r="AM776" i="37"/>
  <c r="AN776" i="37" s="1"/>
  <c r="AK776" i="37"/>
  <c r="AL776" i="37" s="1"/>
  <c r="AJ776" i="37"/>
  <c r="I776" i="37"/>
  <c r="H776" i="37"/>
  <c r="J776" i="37"/>
  <c r="Z776" i="37"/>
  <c r="AB777" i="37"/>
  <c r="AC777" i="37" s="1"/>
  <c r="R777" i="37"/>
  <c r="W777" i="37"/>
  <c r="AI777" i="37"/>
  <c r="F778" i="37"/>
  <c r="AH777" i="37"/>
  <c r="G777" i="37"/>
  <c r="T777" i="37"/>
  <c r="Y777" i="37"/>
  <c r="X777" i="37"/>
  <c r="Z777" i="37" s="1"/>
  <c r="AA777" i="37"/>
  <c r="AE777" i="37"/>
  <c r="AG777" i="37"/>
  <c r="U777" i="37"/>
  <c r="AI778" i="37" l="1"/>
  <c r="F779" i="37"/>
  <c r="X778" i="37"/>
  <c r="AA778" i="37"/>
  <c r="AH778" i="37"/>
  <c r="G778" i="37"/>
  <c r="W778" i="37"/>
  <c r="T778" i="37"/>
  <c r="Y778" i="37"/>
  <c r="U778" i="37"/>
  <c r="AE778" i="37"/>
  <c r="AG778" i="37"/>
  <c r="AB778" i="37"/>
  <c r="AC778" i="37" s="1"/>
  <c r="R778" i="37"/>
  <c r="AD777" i="37"/>
  <c r="AK777" i="37"/>
  <c r="AL777" i="37" s="1"/>
  <c r="AF777" i="37"/>
  <c r="AM777" i="37"/>
  <c r="AN777" i="37" s="1"/>
  <c r="AJ777" i="37"/>
  <c r="V777" i="37"/>
  <c r="H777" i="37"/>
  <c r="J777" i="37"/>
  <c r="I777" i="37"/>
  <c r="AD778" i="37" l="1"/>
  <c r="AK778" i="37"/>
  <c r="AL778" i="37" s="1"/>
  <c r="AM778" i="37"/>
  <c r="AN778" i="37" s="1"/>
  <c r="AF778" i="37"/>
  <c r="AJ778" i="37"/>
  <c r="H778" i="37"/>
  <c r="I778" i="37"/>
  <c r="J778" i="37"/>
  <c r="V778" i="37"/>
  <c r="Z778" i="37"/>
  <c r="AB779" i="37"/>
  <c r="AC779" i="37" s="1"/>
  <c r="F780" i="37"/>
  <c r="AI779" i="37"/>
  <c r="G779" i="37"/>
  <c r="AH779" i="37"/>
  <c r="W779" i="37"/>
  <c r="X779" i="37"/>
  <c r="AE779" i="37"/>
  <c r="AA779" i="37"/>
  <c r="T779" i="37"/>
  <c r="Y779" i="37"/>
  <c r="U779" i="37"/>
  <c r="R779" i="37"/>
  <c r="AG779" i="37"/>
  <c r="AB780" i="37" l="1"/>
  <c r="T780" i="37"/>
  <c r="AI780" i="37"/>
  <c r="F781" i="37"/>
  <c r="AH780" i="37"/>
  <c r="G780" i="37"/>
  <c r="W780" i="37"/>
  <c r="R780" i="37"/>
  <c r="AA780" i="37"/>
  <c r="Y780" i="37"/>
  <c r="U780" i="37"/>
  <c r="X780" i="37"/>
  <c r="Z780" i="37" s="1"/>
  <c r="AE780" i="37"/>
  <c r="AG780" i="37"/>
  <c r="V779" i="37"/>
  <c r="AD779" i="37"/>
  <c r="AM779" i="37"/>
  <c r="AN779" i="37" s="1"/>
  <c r="AJ779" i="37"/>
  <c r="AK779" i="37"/>
  <c r="AL779" i="37" s="1"/>
  <c r="AF779" i="37"/>
  <c r="J779" i="37"/>
  <c r="I779" i="37"/>
  <c r="H779" i="37"/>
  <c r="Z779" i="37"/>
  <c r="AD780" i="37" l="1"/>
  <c r="AF780" i="37"/>
  <c r="AK780" i="37"/>
  <c r="AL780" i="37" s="1"/>
  <c r="AM780" i="37"/>
  <c r="AN780" i="37" s="1"/>
  <c r="AJ780" i="37"/>
  <c r="AB781" i="37"/>
  <c r="AH781" i="37"/>
  <c r="AI781" i="37"/>
  <c r="G781" i="37"/>
  <c r="U781" i="37"/>
  <c r="R781" i="37"/>
  <c r="AA781" i="37"/>
  <c r="F782" i="37"/>
  <c r="T781" i="37"/>
  <c r="V781" i="37" s="1"/>
  <c r="X781" i="37"/>
  <c r="W781" i="37"/>
  <c r="Y781" i="37"/>
  <c r="AE781" i="37"/>
  <c r="AG781" i="37"/>
  <c r="V780" i="37"/>
  <c r="H780" i="37"/>
  <c r="J780" i="37"/>
  <c r="I780" i="37"/>
  <c r="AC780" i="37"/>
  <c r="J781" i="37" l="1"/>
  <c r="H781" i="37"/>
  <c r="I781" i="37"/>
  <c r="AC781" i="37"/>
  <c r="AD781" i="37"/>
  <c r="AJ781" i="37"/>
  <c r="AK781" i="37"/>
  <c r="AL781" i="37" s="1"/>
  <c r="AF781" i="37"/>
  <c r="AM781" i="37"/>
  <c r="AN781" i="37" s="1"/>
  <c r="AB782" i="37"/>
  <c r="AI782" i="37"/>
  <c r="AH782" i="37"/>
  <c r="R782" i="37"/>
  <c r="F783" i="37"/>
  <c r="AG782" i="37"/>
  <c r="G782" i="37"/>
  <c r="T782" i="37"/>
  <c r="Y782" i="37"/>
  <c r="AA782" i="37"/>
  <c r="U782" i="37"/>
  <c r="AE782" i="37"/>
  <c r="W782" i="37"/>
  <c r="X782" i="37"/>
  <c r="Z782" i="37" s="1"/>
  <c r="Z781" i="37"/>
  <c r="AC782" i="37" l="1"/>
  <c r="AD782" i="37"/>
  <c r="AF782" i="37"/>
  <c r="AK782" i="37"/>
  <c r="AL782" i="37" s="1"/>
  <c r="AM782" i="37"/>
  <c r="AN782" i="37" s="1"/>
  <c r="AJ782" i="37"/>
  <c r="V782" i="37"/>
  <c r="AB783" i="37"/>
  <c r="AC783" i="37" s="1"/>
  <c r="AI783" i="37"/>
  <c r="AH783" i="37"/>
  <c r="F784" i="37"/>
  <c r="AA783" i="37"/>
  <c r="G783" i="37"/>
  <c r="U783" i="37"/>
  <c r="Y783" i="37"/>
  <c r="W783" i="37"/>
  <c r="R783" i="37"/>
  <c r="X783" i="37"/>
  <c r="Z783" i="37" s="1"/>
  <c r="T783" i="37"/>
  <c r="AG783" i="37"/>
  <c r="AE783" i="37"/>
  <c r="I782" i="37"/>
  <c r="J782" i="37"/>
  <c r="H782" i="37"/>
  <c r="H783" i="37" l="1"/>
  <c r="J783" i="37"/>
  <c r="I783" i="37"/>
  <c r="AD783" i="37"/>
  <c r="AF783" i="37"/>
  <c r="AM783" i="37"/>
  <c r="AN783" i="37" s="1"/>
  <c r="AJ783" i="37"/>
  <c r="AK783" i="37"/>
  <c r="AL783" i="37" s="1"/>
  <c r="V783" i="37"/>
  <c r="AA784" i="37"/>
  <c r="AB784" i="37"/>
  <c r="AC784" i="37" s="1"/>
  <c r="R784" i="37"/>
  <c r="AH784" i="37"/>
  <c r="F785" i="37"/>
  <c r="AI784" i="37"/>
  <c r="G784" i="37"/>
  <c r="AG784" i="37"/>
  <c r="AE784" i="37"/>
  <c r="W784" i="37"/>
  <c r="U784" i="37"/>
  <c r="Y784" i="37"/>
  <c r="X784" i="37"/>
  <c r="Z784" i="37" s="1"/>
  <c r="T784" i="37"/>
  <c r="V784" i="37" s="1"/>
  <c r="AB785" i="37" l="1"/>
  <c r="U785" i="37"/>
  <c r="AH785" i="37"/>
  <c r="R785" i="37"/>
  <c r="AI785" i="37"/>
  <c r="F786" i="37"/>
  <c r="AA785" i="37"/>
  <c r="G785" i="37"/>
  <c r="Y785" i="37"/>
  <c r="AE785" i="37"/>
  <c r="AG785" i="37"/>
  <c r="X785" i="37"/>
  <c r="Z785" i="37" s="1"/>
  <c r="W785" i="37"/>
  <c r="T785" i="37"/>
  <c r="V785" i="37" s="1"/>
  <c r="AD784" i="37"/>
  <c r="AF784" i="37"/>
  <c r="AM784" i="37"/>
  <c r="AN784" i="37" s="1"/>
  <c r="AK784" i="37"/>
  <c r="AL784" i="37" s="1"/>
  <c r="AJ784" i="37"/>
  <c r="H784" i="37"/>
  <c r="J784" i="37"/>
  <c r="I784" i="37"/>
  <c r="AD785" i="37" l="1"/>
  <c r="AK785" i="37"/>
  <c r="AL785" i="37" s="1"/>
  <c r="AM785" i="37"/>
  <c r="AN785" i="37" s="1"/>
  <c r="AF785" i="37"/>
  <c r="AJ785" i="37"/>
  <c r="I785" i="37"/>
  <c r="H785" i="37"/>
  <c r="J785" i="37"/>
  <c r="AB786" i="37"/>
  <c r="AC786" i="37" s="1"/>
  <c r="R786" i="37"/>
  <c r="Y786" i="37"/>
  <c r="W786" i="37"/>
  <c r="U786" i="37"/>
  <c r="AI786" i="37"/>
  <c r="G786" i="37"/>
  <c r="AH786" i="37"/>
  <c r="F787" i="37"/>
  <c r="X786" i="37"/>
  <c r="AA786" i="37"/>
  <c r="AE786" i="37"/>
  <c r="T786" i="37"/>
  <c r="AG786" i="37"/>
  <c r="AC785" i="37"/>
  <c r="Z786" i="37" l="1"/>
  <c r="V786" i="37"/>
  <c r="AI787" i="37"/>
  <c r="AH787" i="37"/>
  <c r="Y787" i="37"/>
  <c r="W787" i="37"/>
  <c r="X787" i="37"/>
  <c r="Z787" i="37" s="1"/>
  <c r="AA787" i="37"/>
  <c r="U787" i="37"/>
  <c r="T787" i="37"/>
  <c r="V787" i="37" s="1"/>
  <c r="AE787" i="37"/>
  <c r="AG787" i="37"/>
  <c r="R787" i="37"/>
  <c r="G787" i="37"/>
  <c r="F788" i="37"/>
  <c r="AB787" i="37"/>
  <c r="AD786" i="37"/>
  <c r="AK786" i="37"/>
  <c r="AL786" i="37" s="1"/>
  <c r="AM786" i="37"/>
  <c r="AN786" i="37" s="1"/>
  <c r="AJ786" i="37"/>
  <c r="AF786" i="37"/>
  <c r="J786" i="37"/>
  <c r="H786" i="37"/>
  <c r="I786" i="37"/>
  <c r="AD787" i="37" l="1"/>
  <c r="AJ787" i="37"/>
  <c r="AM787" i="37"/>
  <c r="AN787" i="37" s="1"/>
  <c r="AK787" i="37"/>
  <c r="AL787" i="37" s="1"/>
  <c r="AF787" i="37"/>
  <c r="I787" i="37"/>
  <c r="J787" i="37"/>
  <c r="H787" i="37"/>
  <c r="AC787" i="37"/>
  <c r="AB788" i="37"/>
  <c r="AC788" i="37" s="1"/>
  <c r="R788" i="37"/>
  <c r="T788" i="37"/>
  <c r="V788" i="37" s="1"/>
  <c r="U788" i="37"/>
  <c r="AI788" i="37"/>
  <c r="G788" i="37"/>
  <c r="AA788" i="37"/>
  <c r="Y788" i="37"/>
  <c r="X788" i="37"/>
  <c r="Z788" i="37" s="1"/>
  <c r="AH788" i="37"/>
  <c r="F789" i="37"/>
  <c r="AE788" i="37"/>
  <c r="AG788" i="37"/>
  <c r="W788" i="37"/>
  <c r="AD788" i="37" l="1"/>
  <c r="AF788" i="37"/>
  <c r="AJ788" i="37"/>
  <c r="AM788" i="37"/>
  <c r="AN788" i="37" s="1"/>
  <c r="AK788" i="37"/>
  <c r="AL788" i="37" s="1"/>
  <c r="R789" i="37"/>
  <c r="AB789" i="37"/>
  <c r="AC789" i="37" s="1"/>
  <c r="G789" i="37"/>
  <c r="AI789" i="37"/>
  <c r="F790" i="37"/>
  <c r="AH789" i="37"/>
  <c r="U789" i="37"/>
  <c r="X789" i="37"/>
  <c r="Z789" i="37" s="1"/>
  <c r="T789" i="37"/>
  <c r="AA789" i="37"/>
  <c r="W789" i="37"/>
  <c r="AG789" i="37"/>
  <c r="AE789" i="37"/>
  <c r="Y789" i="37"/>
  <c r="J788" i="37"/>
  <c r="H788" i="37"/>
  <c r="I788" i="37"/>
  <c r="H789" i="37" l="1"/>
  <c r="I789" i="37"/>
  <c r="J789" i="37"/>
  <c r="AD789" i="37"/>
  <c r="AJ789" i="37"/>
  <c r="AF789" i="37"/>
  <c r="AM789" i="37"/>
  <c r="AN789" i="37" s="1"/>
  <c r="AK789" i="37"/>
  <c r="AL789" i="37" s="1"/>
  <c r="V789" i="37"/>
  <c r="AB790" i="37"/>
  <c r="AC790" i="37" s="1"/>
  <c r="R790" i="37"/>
  <c r="G790" i="37"/>
  <c r="F791" i="37"/>
  <c r="AI790" i="37"/>
  <c r="AH790" i="37"/>
  <c r="W790" i="37"/>
  <c r="T790" i="37"/>
  <c r="AA790" i="37"/>
  <c r="AG790" i="37"/>
  <c r="X790" i="37"/>
  <c r="Y790" i="37"/>
  <c r="U790" i="37"/>
  <c r="AE790" i="37"/>
  <c r="AH791" i="37" l="1"/>
  <c r="AB791" i="37"/>
  <c r="Y791" i="37"/>
  <c r="W791" i="37"/>
  <c r="T791" i="37"/>
  <c r="U791" i="37"/>
  <c r="AE791" i="37"/>
  <c r="AA791" i="37"/>
  <c r="R791" i="37"/>
  <c r="G791" i="37"/>
  <c r="AI791" i="37"/>
  <c r="F792" i="37"/>
  <c r="X791" i="37"/>
  <c r="Z791" i="37" s="1"/>
  <c r="AG791" i="37"/>
  <c r="H790" i="37"/>
  <c r="J790" i="37"/>
  <c r="I790" i="37"/>
  <c r="Z790" i="37"/>
  <c r="V790" i="37"/>
  <c r="AD790" i="37"/>
  <c r="AF790" i="37"/>
  <c r="AK790" i="37"/>
  <c r="AL790" i="37" s="1"/>
  <c r="AJ790" i="37"/>
  <c r="AM790" i="37"/>
  <c r="AN790" i="37" s="1"/>
  <c r="J791" i="37" l="1"/>
  <c r="I791" i="37"/>
  <c r="H791" i="37"/>
  <c r="AB792" i="37"/>
  <c r="AC792" i="37" s="1"/>
  <c r="AH792" i="37"/>
  <c r="AI792" i="37"/>
  <c r="X792" i="37"/>
  <c r="T792" i="37"/>
  <c r="G792" i="37"/>
  <c r="F793" i="37"/>
  <c r="AA792" i="37"/>
  <c r="W792" i="37"/>
  <c r="Y792" i="37"/>
  <c r="U792" i="37"/>
  <c r="AG792" i="37"/>
  <c r="AE792" i="37"/>
  <c r="R792" i="37"/>
  <c r="AD791" i="37"/>
  <c r="AM791" i="37"/>
  <c r="AN791" i="37" s="1"/>
  <c r="AF791" i="37"/>
  <c r="AK791" i="37"/>
  <c r="AL791" i="37" s="1"/>
  <c r="AJ791" i="37"/>
  <c r="V791" i="37"/>
  <c r="AC791" i="37"/>
  <c r="AH793" i="37" l="1"/>
  <c r="F794" i="37"/>
  <c r="Y793" i="37"/>
  <c r="R793" i="37"/>
  <c r="AB793" i="37"/>
  <c r="AC793" i="37" s="1"/>
  <c r="AI793" i="37"/>
  <c r="X793" i="37"/>
  <c r="Z793" i="37" s="1"/>
  <c r="G793" i="37"/>
  <c r="T793" i="37"/>
  <c r="AG793" i="37"/>
  <c r="AE793" i="37"/>
  <c r="W793" i="37"/>
  <c r="AA793" i="37"/>
  <c r="U793" i="37"/>
  <c r="H792" i="37"/>
  <c r="J792" i="37"/>
  <c r="I792" i="37"/>
  <c r="Z792" i="37"/>
  <c r="AD792" i="37"/>
  <c r="AF792" i="37"/>
  <c r="AM792" i="37"/>
  <c r="AN792" i="37" s="1"/>
  <c r="AK792" i="37"/>
  <c r="AL792" i="37" s="1"/>
  <c r="AJ792" i="37"/>
  <c r="V792" i="37"/>
  <c r="V793" i="37" l="1"/>
  <c r="AD793" i="37"/>
  <c r="AF793" i="37"/>
  <c r="AK793" i="37"/>
  <c r="AL793" i="37" s="1"/>
  <c r="AM793" i="37"/>
  <c r="AN793" i="37" s="1"/>
  <c r="AJ793" i="37"/>
  <c r="I793" i="37"/>
  <c r="H793" i="37"/>
  <c r="J793" i="37"/>
  <c r="AB794" i="37"/>
  <c r="AC794" i="37" s="1"/>
  <c r="R794" i="37"/>
  <c r="W794" i="37"/>
  <c r="AA794" i="37"/>
  <c r="Y794" i="37"/>
  <c r="AI794" i="37"/>
  <c r="G794" i="37"/>
  <c r="AH794" i="37"/>
  <c r="F795" i="37"/>
  <c r="X794" i="37"/>
  <c r="AG794" i="37"/>
  <c r="AE794" i="37"/>
  <c r="T794" i="37"/>
  <c r="V794" i="37" s="1"/>
  <c r="U794" i="37"/>
  <c r="Z794" i="37" l="1"/>
  <c r="AD794" i="37"/>
  <c r="AF794" i="37"/>
  <c r="AM794" i="37"/>
  <c r="AN794" i="37" s="1"/>
  <c r="AK794" i="37"/>
  <c r="AL794" i="37" s="1"/>
  <c r="AJ794" i="37"/>
  <c r="F796" i="37"/>
  <c r="Y795" i="37"/>
  <c r="AB795" i="37"/>
  <c r="AC795" i="37" s="1"/>
  <c r="AI795" i="37"/>
  <c r="W795" i="37"/>
  <c r="T795" i="37"/>
  <c r="V795" i="37" s="1"/>
  <c r="AH795" i="37"/>
  <c r="AA795" i="37"/>
  <c r="U795" i="37"/>
  <c r="X795" i="37"/>
  <c r="AG795" i="37"/>
  <c r="G795" i="37"/>
  <c r="R795" i="37"/>
  <c r="AE795" i="37"/>
  <c r="J794" i="37"/>
  <c r="I794" i="37"/>
  <c r="H794" i="37"/>
  <c r="AB796" i="37" l="1"/>
  <c r="AC796" i="37" s="1"/>
  <c r="R796" i="37"/>
  <c r="AI796" i="37"/>
  <c r="F797" i="37"/>
  <c r="AH796" i="37"/>
  <c r="AA796" i="37"/>
  <c r="Y796" i="37"/>
  <c r="X796" i="37"/>
  <c r="Z796" i="37" s="1"/>
  <c r="U796" i="37"/>
  <c r="T796" i="37"/>
  <c r="W796" i="37"/>
  <c r="AG796" i="37"/>
  <c r="AE796" i="37"/>
  <c r="G796" i="37"/>
  <c r="AD795" i="37"/>
  <c r="AF795" i="37"/>
  <c r="AJ795" i="37"/>
  <c r="AM795" i="37"/>
  <c r="AN795" i="37" s="1"/>
  <c r="AK795" i="37"/>
  <c r="AL795" i="37" s="1"/>
  <c r="I795" i="37"/>
  <c r="J795" i="37"/>
  <c r="H795" i="37"/>
  <c r="Z795" i="37"/>
  <c r="H796" i="37" l="1"/>
  <c r="J796" i="37"/>
  <c r="I796" i="37"/>
  <c r="AH797" i="37"/>
  <c r="AI797" i="37"/>
  <c r="G797" i="37"/>
  <c r="T797" i="37"/>
  <c r="X797" i="37"/>
  <c r="R797" i="37"/>
  <c r="F798" i="37"/>
  <c r="U797" i="37"/>
  <c r="W797" i="37"/>
  <c r="AA797" i="37"/>
  <c r="Y797" i="37"/>
  <c r="AG797" i="37"/>
  <c r="AE797" i="37"/>
  <c r="AB797" i="37"/>
  <c r="V796" i="37"/>
  <c r="AD796" i="37"/>
  <c r="AK796" i="37"/>
  <c r="AL796" i="37" s="1"/>
  <c r="AF796" i="37"/>
  <c r="AJ796" i="37"/>
  <c r="AM796" i="37"/>
  <c r="AN796" i="37" s="1"/>
  <c r="AB798" i="37" l="1"/>
  <c r="W798" i="37"/>
  <c r="AI798" i="37"/>
  <c r="AH798" i="37"/>
  <c r="AA798" i="37"/>
  <c r="R798" i="37"/>
  <c r="X798" i="37"/>
  <c r="Z798" i="37" s="1"/>
  <c r="Y798" i="37"/>
  <c r="U798" i="37"/>
  <c r="T798" i="37"/>
  <c r="V798" i="37" s="1"/>
  <c r="AG798" i="37"/>
  <c r="AE798" i="37"/>
  <c r="G798" i="37"/>
  <c r="F799" i="37"/>
  <c r="Z797" i="37"/>
  <c r="AC797" i="37"/>
  <c r="V797" i="37"/>
  <c r="H797" i="37"/>
  <c r="I797" i="37"/>
  <c r="J797" i="37"/>
  <c r="AD797" i="37"/>
  <c r="AM797" i="37"/>
  <c r="AN797" i="37" s="1"/>
  <c r="AK797" i="37"/>
  <c r="AL797" i="37" s="1"/>
  <c r="AJ797" i="37"/>
  <c r="AF797" i="37"/>
  <c r="AB799" i="37" l="1"/>
  <c r="AH799" i="37"/>
  <c r="Y799" i="37"/>
  <c r="W799" i="37"/>
  <c r="AE799" i="37"/>
  <c r="AI799" i="37"/>
  <c r="X799" i="37"/>
  <c r="Z799" i="37" s="1"/>
  <c r="T799" i="37"/>
  <c r="U799" i="37"/>
  <c r="AG799" i="37"/>
  <c r="F800" i="37"/>
  <c r="G799" i="37"/>
  <c r="R799" i="37"/>
  <c r="AA799" i="37"/>
  <c r="I798" i="37"/>
  <c r="J798" i="37"/>
  <c r="H798" i="37"/>
  <c r="AD798" i="37"/>
  <c r="AK798" i="37"/>
  <c r="AL798" i="37" s="1"/>
  <c r="AM798" i="37"/>
  <c r="AN798" i="37" s="1"/>
  <c r="AJ798" i="37"/>
  <c r="AF798" i="37"/>
  <c r="AC798" i="37"/>
  <c r="J799" i="37" l="1"/>
  <c r="H799" i="37"/>
  <c r="I799" i="37"/>
  <c r="Y800" i="37"/>
  <c r="R800" i="37"/>
  <c r="AB800" i="37"/>
  <c r="AC800" i="37" s="1"/>
  <c r="AI800" i="37"/>
  <c r="AH800" i="37"/>
  <c r="F801" i="37"/>
  <c r="AA800" i="37"/>
  <c r="G800" i="37"/>
  <c r="W800" i="37"/>
  <c r="X800" i="37"/>
  <c r="Z800" i="37" s="1"/>
  <c r="U800" i="37"/>
  <c r="T800" i="37"/>
  <c r="AE800" i="37"/>
  <c r="AG800" i="37"/>
  <c r="V799" i="37"/>
  <c r="AD799" i="37"/>
  <c r="AF799" i="37"/>
  <c r="AK799" i="37"/>
  <c r="AL799" i="37" s="1"/>
  <c r="AM799" i="37"/>
  <c r="AN799" i="37" s="1"/>
  <c r="AJ799" i="37"/>
  <c r="AC799" i="37"/>
  <c r="AB801" i="37" l="1"/>
  <c r="AI801" i="37"/>
  <c r="AH801" i="37"/>
  <c r="AA801" i="37"/>
  <c r="X801" i="37"/>
  <c r="U801" i="37"/>
  <c r="Y801" i="37"/>
  <c r="R801" i="37"/>
  <c r="W801" i="37"/>
  <c r="T801" i="37"/>
  <c r="V801" i="37" s="1"/>
  <c r="AE801" i="37"/>
  <c r="AG801" i="37"/>
  <c r="F802" i="37"/>
  <c r="G801" i="37"/>
  <c r="H800" i="37"/>
  <c r="I800" i="37"/>
  <c r="J800" i="37"/>
  <c r="AD800" i="37"/>
  <c r="AM800" i="37"/>
  <c r="AN800" i="37" s="1"/>
  <c r="AK800" i="37"/>
  <c r="AL800" i="37" s="1"/>
  <c r="AF800" i="37"/>
  <c r="AJ800" i="37"/>
  <c r="V800" i="37"/>
  <c r="AD801" i="37" l="1"/>
  <c r="AK801" i="37"/>
  <c r="AL801" i="37" s="1"/>
  <c r="AF801" i="37"/>
  <c r="AJ801" i="37"/>
  <c r="AM801" i="37"/>
  <c r="AN801" i="37" s="1"/>
  <c r="AB802" i="37"/>
  <c r="AC802" i="37" s="1"/>
  <c r="F803" i="37"/>
  <c r="AI802" i="37"/>
  <c r="AH802" i="37"/>
  <c r="Y802" i="37"/>
  <c r="T802" i="37"/>
  <c r="U802" i="37"/>
  <c r="AA802" i="37"/>
  <c r="X802" i="37"/>
  <c r="Z802" i="37" s="1"/>
  <c r="AE802" i="37"/>
  <c r="AG802" i="37"/>
  <c r="W802" i="37"/>
  <c r="R802" i="37"/>
  <c r="G802" i="37"/>
  <c r="J801" i="37"/>
  <c r="I801" i="37"/>
  <c r="H801" i="37"/>
  <c r="Z801" i="37"/>
  <c r="AC801" i="37"/>
  <c r="V802" i="37" l="1"/>
  <c r="AB803" i="37"/>
  <c r="AI803" i="37"/>
  <c r="AH803" i="37"/>
  <c r="AA803" i="37"/>
  <c r="U803" i="37"/>
  <c r="W803" i="37"/>
  <c r="AE803" i="37"/>
  <c r="AG803" i="37"/>
  <c r="Y803" i="37"/>
  <c r="X803" i="37"/>
  <c r="Z803" i="37" s="1"/>
  <c r="T803" i="37"/>
  <c r="V803" i="37" s="1"/>
  <c r="R803" i="37"/>
  <c r="G803" i="37"/>
  <c r="F804" i="37"/>
  <c r="I802" i="37"/>
  <c r="H802" i="37"/>
  <c r="J802" i="37"/>
  <c r="AD802" i="37"/>
  <c r="AK802" i="37"/>
  <c r="AL802" i="37" s="1"/>
  <c r="AM802" i="37"/>
  <c r="AN802" i="37" s="1"/>
  <c r="AJ802" i="37"/>
  <c r="AF802" i="37"/>
  <c r="AD803" i="37" l="1"/>
  <c r="AF803" i="37"/>
  <c r="AM803" i="37"/>
  <c r="AN803" i="37" s="1"/>
  <c r="AK803" i="37"/>
  <c r="AL803" i="37" s="1"/>
  <c r="AJ803" i="37"/>
  <c r="J803" i="37"/>
  <c r="I803" i="37"/>
  <c r="H803" i="37"/>
  <c r="AC803" i="37"/>
  <c r="G804" i="37"/>
  <c r="AB804" i="37"/>
  <c r="AC804" i="37" s="1"/>
  <c r="AI804" i="37"/>
  <c r="X804" i="37"/>
  <c r="Z804" i="37" s="1"/>
  <c r="AA804" i="37"/>
  <c r="T804" i="37"/>
  <c r="AE804" i="37"/>
  <c r="U804" i="37"/>
  <c r="W804" i="37"/>
  <c r="AG804" i="37"/>
  <c r="AH804" i="37"/>
  <c r="R804" i="37"/>
  <c r="F805" i="37"/>
  <c r="Y804" i="37"/>
  <c r="J804" i="37" l="1"/>
  <c r="H804" i="37"/>
  <c r="I804" i="37"/>
  <c r="AB805" i="37"/>
  <c r="R805" i="37"/>
  <c r="AI805" i="37"/>
  <c r="F806" i="37"/>
  <c r="AH805" i="37"/>
  <c r="G805" i="37"/>
  <c r="T805" i="37"/>
  <c r="V805" i="37" s="1"/>
  <c r="Y805" i="37"/>
  <c r="U805" i="37"/>
  <c r="X805" i="37"/>
  <c r="Z805" i="37" s="1"/>
  <c r="AA805" i="37"/>
  <c r="AE805" i="37"/>
  <c r="AG805" i="37"/>
  <c r="W805" i="37"/>
  <c r="AD804" i="37"/>
  <c r="AJ804" i="37"/>
  <c r="AM804" i="37"/>
  <c r="AN804" i="37" s="1"/>
  <c r="AF804" i="37"/>
  <c r="AK804" i="37"/>
  <c r="AL804" i="37" s="1"/>
  <c r="V804" i="37"/>
  <c r="J805" i="37" l="1"/>
  <c r="H805" i="37"/>
  <c r="I805" i="37"/>
  <c r="AI806" i="37"/>
  <c r="AH806" i="37"/>
  <c r="R806" i="37"/>
  <c r="AA806" i="37"/>
  <c r="G806" i="37"/>
  <c r="Y806" i="37"/>
  <c r="W806" i="37"/>
  <c r="AG806" i="37"/>
  <c r="U806" i="37"/>
  <c r="X806" i="37"/>
  <c r="Z806" i="37" s="1"/>
  <c r="AE806" i="37"/>
  <c r="T806" i="37"/>
  <c r="AB806" i="37"/>
  <c r="AC805" i="37"/>
  <c r="AD805" i="37"/>
  <c r="AK805" i="37"/>
  <c r="AL805" i="37" s="1"/>
  <c r="AJ805" i="37"/>
  <c r="AF805" i="37"/>
  <c r="AM805" i="37"/>
  <c r="AN805" i="37" s="1"/>
  <c r="AC180" i="37"/>
  <c r="H806" i="37" l="1"/>
  <c r="J806" i="37"/>
  <c r="I806" i="37"/>
  <c r="AD806" i="37"/>
  <c r="AM806" i="37"/>
  <c r="AN806" i="37" s="1"/>
  <c r="AK806" i="37"/>
  <c r="AL806" i="37" s="1"/>
  <c r="AF806" i="37"/>
  <c r="AJ806" i="37"/>
  <c r="AC806" i="37"/>
  <c r="V806" i="37"/>
  <c r="AC87" i="37"/>
  <c r="AC167" i="37" l="1"/>
  <c r="AC109" i="37" l="1"/>
  <c r="AC238" i="37" l="1"/>
  <c r="AM109" i="37" l="1"/>
  <c r="AN109" i="37" s="1"/>
  <c r="AM167" i="37"/>
  <c r="AN167" i="37" s="1"/>
  <c r="AK167" i="37"/>
  <c r="AL167" i="37" s="1"/>
  <c r="AJ238" i="37"/>
  <c r="AM238" i="37"/>
  <c r="AN238" i="37" s="1"/>
  <c r="AK238" i="37"/>
  <c r="AL238" i="37" s="1"/>
  <c r="AJ109" i="37"/>
  <c r="AJ167" i="37"/>
  <c r="AK180" i="37"/>
  <c r="AL180" i="37" s="1"/>
  <c r="AK109" i="37"/>
  <c r="AL109" i="37" s="1"/>
  <c r="AM180" i="37"/>
  <c r="AN180" i="37" s="1"/>
  <c r="AJ180" i="37"/>
  <c r="AK41" i="37" l="1"/>
  <c r="AL41" i="37" s="1"/>
  <c r="AM87" i="37"/>
  <c r="AN87" i="37" s="1"/>
  <c r="AK87" i="37"/>
  <c r="AL87" i="37" s="1"/>
  <c r="AM41" i="37"/>
  <c r="AN41" i="37" s="1"/>
  <c r="AJ41" i="37"/>
  <c r="AJ87" i="37"/>
  <c r="AC41" i="37" l="1"/>
  <c r="AC453" i="37" l="1"/>
  <c r="AC268" i="37" l="1"/>
  <c r="AC420" i="37" l="1"/>
  <c r="AC228" i="37" l="1"/>
  <c r="AJ134" i="37"/>
  <c r="AM134" i="37"/>
  <c r="AN134" i="37" s="1"/>
  <c r="AJ190" i="37"/>
  <c r="AJ268" i="37"/>
  <c r="AM313" i="37"/>
  <c r="AN313" i="37" s="1"/>
  <c r="AJ420" i="37"/>
  <c r="AM420" i="37"/>
  <c r="AN420" i="37" s="1"/>
  <c r="AJ453" i="37"/>
  <c r="AM190" i="37" l="1"/>
  <c r="AN190" i="37" s="1"/>
  <c r="AK420" i="37"/>
  <c r="AL420" i="37" s="1"/>
  <c r="AK134" i="37"/>
  <c r="AL134" i="37" s="1"/>
  <c r="AK190" i="37"/>
  <c r="AL190" i="37" s="1"/>
  <c r="AM453" i="37"/>
  <c r="AN453" i="37" s="1"/>
  <c r="AK453" i="37"/>
  <c r="AL453" i="37" s="1"/>
  <c r="AM268" i="37"/>
  <c r="AN268" i="37" s="1"/>
  <c r="AJ313" i="37"/>
  <c r="AK268" i="37"/>
  <c r="AL268" i="37" s="1"/>
  <c r="AK313" i="37"/>
  <c r="AL313" i="37" s="1"/>
  <c r="AJ228" i="37"/>
  <c r="AK228" i="37"/>
  <c r="AL228" i="37" s="1"/>
  <c r="AM228" i="37"/>
  <c r="AN228" i="37" s="1"/>
  <c r="AJ342" i="37"/>
  <c r="AK342" i="37"/>
  <c r="AL342" i="37" s="1"/>
  <c r="AM342" i="37"/>
  <c r="AN342" i="37" s="1"/>
  <c r="AC134" i="37"/>
  <c r="AC190" i="37"/>
  <c r="AC342" i="37"/>
  <c r="AC313" i="37" l="1"/>
  <c r="AC61" i="37" l="1"/>
  <c r="AC37" i="37" l="1"/>
  <c r="AC71" i="37" l="1"/>
  <c r="AM71" i="37" l="1"/>
  <c r="AN71" i="37" s="1"/>
  <c r="AJ71" i="37"/>
  <c r="AK71" i="37"/>
  <c r="AL71" i="37" s="1"/>
  <c r="AM61" i="37"/>
  <c r="AN61" i="37" s="1"/>
  <c r="AM37" i="37"/>
  <c r="AN37" i="37" s="1"/>
  <c r="AK37" i="37"/>
  <c r="AL37" i="37" s="1"/>
  <c r="AK61" i="37"/>
  <c r="AL61" i="37" s="1"/>
  <c r="AJ37" i="37"/>
  <c r="AJ61" i="37"/>
  <c r="AC182" i="37" l="1"/>
  <c r="AJ39" i="37" l="1"/>
  <c r="AM182" i="37"/>
  <c r="AN182" i="37" s="1"/>
  <c r="AK182" i="37"/>
  <c r="AL182" i="37" s="1"/>
  <c r="AJ210" i="37"/>
  <c r="AM39" i="37"/>
  <c r="AN39" i="37" s="1"/>
  <c r="AK39" i="37"/>
  <c r="AL39" i="37" s="1"/>
  <c r="AJ130" i="37"/>
  <c r="AM210" i="37"/>
  <c r="AN210" i="37" s="1"/>
  <c r="AK210" i="37"/>
  <c r="AL210" i="37" s="1"/>
  <c r="AK130" i="37"/>
  <c r="AL130" i="37" s="1"/>
  <c r="AM130" i="37"/>
  <c r="AN130" i="37" s="1"/>
  <c r="AJ182" i="37"/>
  <c r="AC105" i="37"/>
  <c r="AC39" i="37"/>
  <c r="AC130" i="37"/>
  <c r="AC259" i="37"/>
  <c r="AC163" i="37"/>
  <c r="AC144" i="37"/>
  <c r="AC118" i="37"/>
  <c r="AJ144" i="37" l="1"/>
  <c r="AK144" i="37"/>
  <c r="AL144" i="37" s="1"/>
  <c r="AM163" i="37"/>
  <c r="AN163" i="37" s="1"/>
  <c r="AM144" i="37"/>
  <c r="AN144" i="37" s="1"/>
  <c r="AK163" i="37"/>
  <c r="AL163" i="37" s="1"/>
  <c r="AC210" i="37"/>
  <c r="AK229" i="37"/>
  <c r="AL229" i="37" s="1"/>
  <c r="AM197" i="37"/>
  <c r="AN197" i="37" s="1"/>
  <c r="AM229" i="37"/>
  <c r="AN229" i="37" s="1"/>
  <c r="AK197" i="37"/>
  <c r="AL197" i="37" s="1"/>
  <c r="AJ229" i="37"/>
  <c r="AJ197" i="37"/>
  <c r="AC229" i="37"/>
  <c r="AJ163" i="37"/>
  <c r="AM259" i="37"/>
  <c r="AN259" i="37" s="1"/>
  <c r="AK118" i="37"/>
  <c r="AL118" i="37" s="1"/>
  <c r="AJ118" i="37"/>
  <c r="AM118" i="37"/>
  <c r="AN118" i="37" s="1"/>
  <c r="AK259" i="37"/>
  <c r="AL259" i="37" s="1"/>
  <c r="AJ259" i="37"/>
  <c r="AC197" i="37" l="1"/>
  <c r="AJ66" i="37" l="1"/>
  <c r="AM105" i="37"/>
  <c r="AN105" i="37" s="1"/>
  <c r="AK105" i="37"/>
  <c r="AL105" i="37" s="1"/>
  <c r="AC46" i="37"/>
  <c r="AJ105" i="37"/>
  <c r="AM66" i="37"/>
  <c r="AN66" i="37" s="1"/>
  <c r="AK66" i="37"/>
  <c r="AL66" i="37" s="1"/>
  <c r="AJ46" i="37"/>
  <c r="AK46" i="37"/>
  <c r="AL46" i="37" s="1"/>
  <c r="AM46" i="37"/>
  <c r="AN46" i="37" s="1"/>
  <c r="AJ138" i="37"/>
  <c r="AK138" i="37"/>
  <c r="AL138" i="37" s="1"/>
  <c r="AM138" i="37"/>
  <c r="AN138" i="37" s="1"/>
  <c r="AC66" i="37" l="1"/>
  <c r="AC138" i="37" l="1"/>
  <c r="AC100" i="37" l="1"/>
  <c r="AC188" i="37" l="1"/>
  <c r="AJ149" i="37" l="1"/>
  <c r="AM131" i="37"/>
  <c r="AN131" i="37" s="1"/>
  <c r="AJ131" i="37"/>
  <c r="AK188" i="37"/>
  <c r="AL188" i="37" s="1"/>
  <c r="AK131" i="37"/>
  <c r="AL131" i="37" s="1"/>
  <c r="AM100" i="37"/>
  <c r="AN100" i="37" s="1"/>
  <c r="AK100" i="37"/>
  <c r="AL100" i="37" s="1"/>
  <c r="AM188" i="37"/>
  <c r="AN188" i="37" s="1"/>
  <c r="AM255" i="37"/>
  <c r="AN255" i="37" s="1"/>
  <c r="AK255" i="37"/>
  <c r="AL255" i="37" s="1"/>
  <c r="AJ100" i="37"/>
  <c r="AJ255" i="37"/>
  <c r="AJ188" i="37"/>
  <c r="AC214" i="37"/>
  <c r="AM149" i="37"/>
  <c r="AN149" i="37" s="1"/>
  <c r="AC124" i="37"/>
  <c r="AK149" i="37"/>
  <c r="AL149" i="37" s="1"/>
  <c r="AC131" i="37" l="1"/>
  <c r="AC255" i="37" l="1"/>
  <c r="AC242" i="37"/>
  <c r="AC142" i="37"/>
  <c r="AC149" i="37" l="1"/>
  <c r="AJ242" i="37" l="1"/>
  <c r="AM156" i="37"/>
  <c r="AN156" i="37" s="1"/>
  <c r="AM214" i="37"/>
  <c r="AN214" i="37" s="1"/>
  <c r="AK242" i="37"/>
  <c r="AL242" i="37" s="1"/>
  <c r="AJ156" i="37"/>
  <c r="AJ214" i="37"/>
  <c r="AM242" i="37"/>
  <c r="AN242" i="37" s="1"/>
  <c r="AK156" i="37"/>
  <c r="AL156" i="37" s="1"/>
  <c r="AK214" i="37"/>
  <c r="AL214" i="37" s="1"/>
  <c r="AC155" i="37"/>
  <c r="AC154" i="37" l="1"/>
  <c r="AC156" i="37"/>
  <c r="AM155" i="37" l="1"/>
  <c r="AN155" i="37" s="1"/>
  <c r="AM241" i="37"/>
  <c r="AN241" i="37" s="1"/>
  <c r="AJ178" i="37"/>
  <c r="AM213" i="37"/>
  <c r="AN213" i="37" s="1"/>
  <c r="AJ155" i="37"/>
  <c r="AK241" i="37"/>
  <c r="AL241" i="37" s="1"/>
  <c r="AK178" i="37"/>
  <c r="AL178" i="37" s="1"/>
  <c r="AJ213" i="37"/>
  <c r="AJ241" i="37"/>
  <c r="AM178" i="37"/>
  <c r="AN178" i="37" s="1"/>
  <c r="AK213" i="37"/>
  <c r="AL213" i="37" s="1"/>
  <c r="AK155" i="37"/>
  <c r="AL155" i="37" s="1"/>
  <c r="AC177" i="37" l="1"/>
  <c r="AC178" i="37"/>
  <c r="AC145" i="37" l="1"/>
  <c r="AC212" i="37" l="1"/>
  <c r="AC213" i="37"/>
  <c r="AC85" i="37" l="1"/>
  <c r="AC179" i="37"/>
  <c r="AC241" i="37"/>
  <c r="AM124" i="37" l="1"/>
  <c r="AN124" i="37" s="1"/>
  <c r="AM177" i="37"/>
  <c r="AN177" i="37" s="1"/>
  <c r="AK212" i="37"/>
  <c r="AL212" i="37" s="1"/>
  <c r="AK177" i="37"/>
  <c r="AL177" i="37" s="1"/>
  <c r="AJ177" i="37"/>
  <c r="AM212" i="37"/>
  <c r="AN212" i="37" s="1"/>
  <c r="AM142" i="37"/>
  <c r="AN142" i="37" s="1"/>
  <c r="AK142" i="37"/>
  <c r="AL142" i="37" s="1"/>
  <c r="AJ14" i="37"/>
  <c r="AK124" i="37"/>
  <c r="AL124" i="37" s="1"/>
  <c r="AJ124" i="37"/>
  <c r="AJ212" i="37"/>
  <c r="AC240" i="37"/>
  <c r="AM240" i="37"/>
  <c r="AN240" i="37" s="1"/>
  <c r="AK240" i="37"/>
  <c r="AL240" i="37" s="1"/>
  <c r="AJ240" i="37"/>
  <c r="AM154" i="37"/>
  <c r="AN154" i="37" s="1"/>
  <c r="AK14" i="37"/>
  <c r="AL14" i="37" s="1"/>
  <c r="AM14" i="37"/>
  <c r="AN14" i="37" s="1"/>
  <c r="AK154" i="37"/>
  <c r="AL154" i="37" s="1"/>
  <c r="AJ154" i="37"/>
  <c r="AJ142" i="37"/>
  <c r="AC199" i="37" l="1"/>
  <c r="AC14" i="37" l="1"/>
  <c r="AC261" i="37" l="1"/>
  <c r="AC42" i="37" l="1"/>
  <c r="AC16" i="37"/>
  <c r="AC77" i="37"/>
  <c r="AC29" i="37" l="1"/>
  <c r="AC119" i="37"/>
  <c r="AC164" i="37" l="1"/>
  <c r="AC231" i="37" l="1"/>
  <c r="AM164" i="37" l="1"/>
  <c r="AN164" i="37" s="1"/>
  <c r="AK164" i="37"/>
  <c r="AL164" i="37" s="1"/>
  <c r="AK231" i="37"/>
  <c r="AL231" i="37" s="1"/>
  <c r="AM231" i="37"/>
  <c r="AN231" i="37" s="1"/>
  <c r="AK119" i="37"/>
  <c r="AL119" i="37" s="1"/>
  <c r="AK261" i="37"/>
  <c r="AL261" i="37" s="1"/>
  <c r="AM261" i="37"/>
  <c r="AN261" i="37" s="1"/>
  <c r="AM145" i="37"/>
  <c r="AN145" i="37" s="1"/>
  <c r="AM77" i="37"/>
  <c r="AN77" i="37" s="1"/>
  <c r="AJ199" i="37"/>
  <c r="AJ261" i="37"/>
  <c r="AM199" i="37"/>
  <c r="AN199" i="37" s="1"/>
  <c r="AK199" i="37"/>
  <c r="AL199" i="37" s="1"/>
  <c r="AJ77" i="37"/>
  <c r="AJ119" i="37"/>
  <c r="AK145" i="37"/>
  <c r="AL145" i="37" s="1"/>
  <c r="AJ145" i="37"/>
  <c r="AK179" i="37"/>
  <c r="AL179" i="37" s="1"/>
  <c r="AJ231" i="37"/>
  <c r="AJ179" i="37"/>
  <c r="AM179" i="37"/>
  <c r="AN179" i="37" s="1"/>
  <c r="AK77" i="37"/>
  <c r="AL77" i="37" s="1"/>
  <c r="AJ164" i="37"/>
  <c r="AM119" i="37"/>
  <c r="AN119" i="37" s="1"/>
  <c r="AK112" i="37" l="1"/>
  <c r="AL112" i="37" s="1"/>
  <c r="AK42" i="37"/>
  <c r="AL42" i="37" s="1"/>
  <c r="AJ42" i="37"/>
  <c r="AM112" i="37"/>
  <c r="AN112" i="37" s="1"/>
  <c r="AM85" i="37"/>
  <c r="AN85" i="37" s="1"/>
  <c r="AJ85" i="37"/>
  <c r="AK85" i="37"/>
  <c r="AL85" i="37" s="1"/>
  <c r="AM42" i="37"/>
  <c r="AN42" i="37" s="1"/>
  <c r="AJ112" i="37"/>
  <c r="AM29" i="37" l="1"/>
  <c r="AN29" i="37" s="1"/>
  <c r="AJ29" i="37"/>
  <c r="AK29" i="37"/>
  <c r="AL29" i="37" s="1"/>
  <c r="AM16" i="37"/>
  <c r="AN16" i="37" s="1"/>
  <c r="AK16" i="37"/>
  <c r="AL16" i="37" s="1"/>
  <c r="AJ16" i="37"/>
  <c r="AC10" i="37"/>
  <c r="AJ10" i="37" l="1"/>
  <c r="AM10" i="37"/>
  <c r="AN10" i="37" s="1"/>
  <c r="AK10" i="37"/>
  <c r="AL10" i="37" s="1"/>
  <c r="AC112" i="37" l="1"/>
  <c r="AC101" i="37" l="1"/>
  <c r="AC70" i="37" l="1"/>
  <c r="AC67" i="37"/>
  <c r="AC107" i="37"/>
  <c r="AC114" i="37" l="1"/>
  <c r="AC133" i="37" l="1"/>
  <c r="AM101" i="37" l="1"/>
  <c r="AN101" i="37" s="1"/>
  <c r="AK101" i="37"/>
  <c r="AL101" i="37" s="1"/>
  <c r="AJ101" i="37"/>
  <c r="AM159" i="37"/>
  <c r="AN159" i="37" s="1"/>
  <c r="AM133" i="37"/>
  <c r="AN133" i="37" s="1"/>
  <c r="AK133" i="37"/>
  <c r="AL133" i="37" s="1"/>
  <c r="AK159" i="37"/>
  <c r="AL159" i="37" s="1"/>
  <c r="AM114" i="37"/>
  <c r="AN114" i="37" s="1"/>
  <c r="AJ114" i="37"/>
  <c r="AK114" i="37"/>
  <c r="AL114" i="37" s="1"/>
  <c r="AJ133" i="37"/>
  <c r="AJ159" i="37"/>
  <c r="AC159" i="37" l="1"/>
  <c r="AC27" i="37" l="1"/>
  <c r="AC76" i="37" l="1"/>
  <c r="AC32" i="37"/>
  <c r="AC23" i="37" l="1"/>
  <c r="AM27" i="37" l="1"/>
  <c r="AN27" i="37" s="1"/>
  <c r="AK27" i="37"/>
  <c r="AL27" i="37" s="1"/>
  <c r="AK23" i="37"/>
  <c r="AL23" i="37" s="1"/>
  <c r="AJ27" i="37"/>
  <c r="AJ23" i="37"/>
  <c r="AM23" i="37"/>
  <c r="AN23" i="37" s="1"/>
  <c r="AJ32" i="37"/>
  <c r="AM32" i="37"/>
  <c r="AN32" i="37" s="1"/>
  <c r="AK32" i="37"/>
  <c r="AL32" i="37" s="1"/>
  <c r="AC139" i="37" l="1"/>
  <c r="AC22" i="37" l="1"/>
  <c r="AC21" i="37"/>
  <c r="AC25" i="37"/>
  <c r="AC60" i="37" l="1"/>
  <c r="AC35" i="37" l="1"/>
  <c r="AC34" i="37" l="1"/>
  <c r="AC86" i="37"/>
  <c r="AC40" i="37" l="1"/>
  <c r="AC165" i="37"/>
  <c r="AC88" i="37"/>
  <c r="AC51" i="37" l="1"/>
  <c r="AC93" i="37" l="1"/>
  <c r="AC57" i="37"/>
  <c r="AC11" i="37"/>
  <c r="AC68" i="37"/>
  <c r="AC256" i="37"/>
  <c r="AC81" i="37"/>
  <c r="AC64" i="37" l="1"/>
  <c r="AC97" i="37"/>
  <c r="AC336" i="37"/>
  <c r="AC82" i="37"/>
  <c r="AC120" i="37"/>
  <c r="AC73" i="37" l="1"/>
  <c r="AC19" i="37"/>
  <c r="AC75" i="37" l="1"/>
  <c r="AC227" i="37"/>
  <c r="AC26" i="37" l="1"/>
  <c r="AC8" i="37"/>
  <c r="AJ107" i="37" l="1"/>
  <c r="AK107" i="37"/>
  <c r="AL107" i="37" s="1"/>
  <c r="AM107" i="37"/>
  <c r="AN107" i="37" s="1"/>
  <c r="AM93" i="37"/>
  <c r="AN93" i="37" s="1"/>
  <c r="AJ93" i="37"/>
  <c r="AK93" i="37"/>
  <c r="AL93" i="37" s="1"/>
  <c r="AM25" i="37"/>
  <c r="AN25" i="37" s="1"/>
  <c r="AM165" i="37"/>
  <c r="AN165" i="37" s="1"/>
  <c r="AK139" i="37"/>
  <c r="AL139" i="37" s="1"/>
  <c r="AK25" i="37"/>
  <c r="AL25" i="37" s="1"/>
  <c r="AM139" i="37"/>
  <c r="AN139" i="37" s="1"/>
  <c r="AJ139" i="37"/>
  <c r="AK165" i="37"/>
  <c r="AL165" i="37" s="1"/>
  <c r="AJ120" i="37"/>
  <c r="AM81" i="37"/>
  <c r="AN81" i="37" s="1"/>
  <c r="AJ81" i="37"/>
  <c r="AJ165" i="37"/>
  <c r="AJ25" i="37"/>
  <c r="AM120" i="37"/>
  <c r="AN120" i="37" s="1"/>
  <c r="AK120" i="37"/>
  <c r="AL120" i="37" s="1"/>
  <c r="AK81" i="37" l="1"/>
  <c r="AL81" i="37" s="1"/>
  <c r="AK70" i="37" l="1"/>
  <c r="AL70" i="37" s="1"/>
  <c r="AK68" i="37"/>
  <c r="AL68" i="37" s="1"/>
  <c r="AM60" i="37"/>
  <c r="AN60" i="37" s="1"/>
  <c r="AM22" i="37"/>
  <c r="AN22" i="37" s="1"/>
  <c r="AJ22" i="37"/>
  <c r="AK60" i="37"/>
  <c r="AL60" i="37" s="1"/>
  <c r="AJ60" i="37"/>
  <c r="AJ70" i="37"/>
  <c r="AJ35" i="37"/>
  <c r="AK22" i="37"/>
  <c r="AL22" i="37" s="1"/>
  <c r="AM68" i="37"/>
  <c r="AN68" i="37" s="1"/>
  <c r="AM35" i="37"/>
  <c r="AN35" i="37" s="1"/>
  <c r="AM76" i="37"/>
  <c r="AN76" i="37" s="1"/>
  <c r="AK76" i="37"/>
  <c r="AL76" i="37" s="1"/>
  <c r="AJ76" i="37"/>
  <c r="AK35" i="37"/>
  <c r="AL35" i="37" s="1"/>
  <c r="AJ51" i="37"/>
  <c r="AK51" i="37"/>
  <c r="AL51" i="37" s="1"/>
  <c r="AM51" i="37"/>
  <c r="AN51" i="37" s="1"/>
  <c r="AJ68" i="37"/>
  <c r="AJ86" i="37"/>
  <c r="AK86" i="37"/>
  <c r="AL86" i="37" s="1"/>
  <c r="AM86" i="37"/>
  <c r="AN86" i="37" s="1"/>
  <c r="AM70" i="37"/>
  <c r="AN70" i="37" s="1"/>
  <c r="AM8" i="37" l="1"/>
  <c r="AN8" i="37" s="1"/>
  <c r="AK8" i="37"/>
  <c r="AL8" i="37" s="1"/>
  <c r="AJ8" i="37"/>
  <c r="AK88" i="37" l="1"/>
  <c r="AL88" i="37" s="1"/>
  <c r="AM57" i="37"/>
  <c r="AN57" i="37" s="1"/>
  <c r="AM34" i="37"/>
  <c r="AN34" i="37" s="1"/>
  <c r="AJ34" i="37"/>
  <c r="AK50" i="37"/>
  <c r="AL50" i="37" s="1"/>
  <c r="AM73" i="37"/>
  <c r="AN73" i="37" s="1"/>
  <c r="AM83" i="37"/>
  <c r="AN83" i="37" s="1"/>
  <c r="AJ83" i="37"/>
  <c r="AM65" i="37"/>
  <c r="AN65" i="37" s="1"/>
  <c r="AM50" i="37"/>
  <c r="AN50" i="37" s="1"/>
  <c r="AJ73" i="37"/>
  <c r="AK34" i="37"/>
  <c r="AL34" i="37" s="1"/>
  <c r="AK83" i="37"/>
  <c r="AL83" i="37" s="1"/>
  <c r="AK65" i="37"/>
  <c r="AL65" i="37" s="1"/>
  <c r="AK57" i="37"/>
  <c r="AL57" i="37" s="1"/>
  <c r="AK73" i="37"/>
  <c r="AL73" i="37" s="1"/>
  <c r="AJ57" i="37"/>
  <c r="AJ65" i="37"/>
  <c r="AJ50" i="37"/>
  <c r="AJ67" i="37"/>
  <c r="AM88" i="37"/>
  <c r="AN88" i="37" s="1"/>
  <c r="AM21" i="37"/>
  <c r="AN21" i="37" s="1"/>
  <c r="AK67" i="37"/>
  <c r="AL67" i="37" s="1"/>
  <c r="AK21" i="37"/>
  <c r="AL21" i="37" s="1"/>
  <c r="AJ88" i="37"/>
  <c r="AJ21" i="37"/>
  <c r="AM67" i="37"/>
  <c r="AN67" i="37" s="1"/>
  <c r="AK11" i="37" l="1"/>
  <c r="AL11" i="37" s="1"/>
  <c r="AM19" i="37"/>
  <c r="AN19" i="37" s="1"/>
  <c r="AM13" i="37"/>
  <c r="AN13" i="37" s="1"/>
  <c r="AK13" i="37"/>
  <c r="AL13" i="37" s="1"/>
  <c r="AK19" i="37"/>
  <c r="AL19" i="37" s="1"/>
  <c r="AM11" i="37"/>
  <c r="AN11" i="37" s="1"/>
  <c r="AJ11" i="37"/>
  <c r="AJ13" i="37"/>
  <c r="AJ19" i="37"/>
  <c r="AC83" i="37"/>
  <c r="AC304" i="37"/>
  <c r="AC17" i="37"/>
  <c r="AC65" i="37"/>
  <c r="AC209" i="37"/>
  <c r="AC56" i="37"/>
  <c r="AC146" i="37"/>
  <c r="AC72" i="37"/>
  <c r="AK17" i="37" l="1"/>
  <c r="AL17" i="37" s="1"/>
  <c r="AJ17" i="37"/>
  <c r="AM75" i="37"/>
  <c r="AN75" i="37" s="1"/>
  <c r="AK75" i="37"/>
  <c r="AL75" i="37" s="1"/>
  <c r="AJ75" i="37"/>
  <c r="AM64" i="37"/>
  <c r="AN64" i="37" s="1"/>
  <c r="AM17" i="37"/>
  <c r="AN17" i="37" s="1"/>
  <c r="AM97" i="37"/>
  <c r="AN97" i="37" s="1"/>
  <c r="AK72" i="37"/>
  <c r="AL72" i="37" s="1"/>
  <c r="AK26" i="37"/>
  <c r="AL26" i="37" s="1"/>
  <c r="AK64" i="37"/>
  <c r="AL64" i="37" s="1"/>
  <c r="AC92" i="37"/>
  <c r="AM26" i="37"/>
  <c r="AN26" i="37" s="1"/>
  <c r="AC50" i="37"/>
  <c r="AK97" i="37"/>
  <c r="AL97" i="37" s="1"/>
  <c r="AM56" i="37"/>
  <c r="AN56" i="37" s="1"/>
  <c r="AC13" i="37"/>
  <c r="AM92" i="37"/>
  <c r="AN92" i="37" s="1"/>
  <c r="AK56" i="37"/>
  <c r="AL56" i="37" s="1"/>
  <c r="AJ40" i="37"/>
  <c r="AJ92" i="37"/>
  <c r="AK92" i="37"/>
  <c r="AL92" i="37" s="1"/>
  <c r="AM72" i="37"/>
  <c r="AN72" i="37" s="1"/>
  <c r="AJ72" i="37"/>
  <c r="AJ56" i="37"/>
  <c r="AJ97" i="37"/>
  <c r="AJ26" i="37"/>
  <c r="AC91" i="37"/>
  <c r="AJ64" i="37"/>
  <c r="AM82" i="37"/>
  <c r="AN82" i="37" s="1"/>
  <c r="AK82" i="37"/>
  <c r="AL82" i="37" s="1"/>
  <c r="AJ82" i="37"/>
  <c r="AM40" i="37"/>
  <c r="AN40" i="37" s="1"/>
  <c r="AK40" i="37"/>
  <c r="AL40" i="37" s="1"/>
  <c r="AC24" i="37" l="1"/>
  <c r="AC15" i="37" l="1"/>
  <c r="AC184" i="37" l="1"/>
  <c r="AC44" i="37" l="1"/>
  <c r="AC52" i="37"/>
  <c r="AK15" i="37" l="1"/>
  <c r="AL15" i="37" s="1"/>
  <c r="AJ15" i="37"/>
  <c r="AM15" i="37"/>
  <c r="AN15" i="37" s="1"/>
  <c r="AJ44" i="37" l="1"/>
  <c r="AM44" i="37"/>
  <c r="AN44" i="37" s="1"/>
  <c r="AK44" i="37"/>
  <c r="AL44" i="37" s="1"/>
  <c r="AK52" i="37"/>
  <c r="AL52" i="37" s="1"/>
  <c r="AK91" i="37"/>
  <c r="AL91" i="37" s="1"/>
  <c r="AJ91" i="37"/>
  <c r="AK146" i="37"/>
  <c r="AL146" i="37" s="1"/>
  <c r="AK256" i="37"/>
  <c r="AL256" i="37" s="1"/>
  <c r="AM52" i="37" l="1"/>
  <c r="AN52" i="37" s="1"/>
  <c r="AM256" i="37"/>
  <c r="AN256" i="37" s="1"/>
  <c r="AJ256" i="37"/>
  <c r="AJ146" i="37"/>
  <c r="AM146" i="37"/>
  <c r="AN146" i="37" s="1"/>
  <c r="AJ52" i="37"/>
  <c r="AM91" i="37"/>
  <c r="AN91" i="37" s="1"/>
  <c r="AJ209" i="37"/>
  <c r="AM336" i="37"/>
  <c r="AN336" i="37" s="1"/>
  <c r="AM209" i="37"/>
  <c r="AN209" i="37" s="1"/>
  <c r="AK209" i="37"/>
  <c r="AL209" i="37" s="1"/>
  <c r="AK304" i="37"/>
  <c r="AL304" i="37" s="1"/>
  <c r="AM304" i="37"/>
  <c r="AN304" i="37" s="1"/>
  <c r="AJ304" i="37"/>
  <c r="AM24" i="37"/>
  <c r="AN24" i="37" s="1"/>
  <c r="AK24" i="37"/>
  <c r="AL24" i="37" s="1"/>
  <c r="AJ24" i="37"/>
  <c r="AM227" i="37"/>
  <c r="AN227" i="37" s="1"/>
  <c r="AK227" i="37"/>
  <c r="AL227" i="37" s="1"/>
  <c r="AJ184" i="37"/>
  <c r="AJ227" i="37"/>
  <c r="AM184" i="37"/>
  <c r="AN184" i="37" s="1"/>
  <c r="AK336" i="37"/>
  <c r="AL336" i="37" s="1"/>
  <c r="AK184" i="37"/>
  <c r="AL184" i="37" s="1"/>
  <c r="AJ336" i="3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<sst xmlns="http://schemas.openxmlformats.org/spreadsheetml/2006/main" count="2379" uniqueCount="666">
  <si>
    <t>Yr Built</t>
  </si>
  <si>
    <t># Units</t>
  </si>
  <si>
    <t>Stories</t>
  </si>
  <si>
    <t>Quality</t>
  </si>
  <si>
    <t>Rent Comps</t>
  </si>
  <si>
    <t>Property</t>
  </si>
  <si>
    <t>Similarity</t>
  </si>
  <si>
    <t>Studio</t>
  </si>
  <si>
    <t>--</t>
  </si>
  <si>
    <t>Property Name</t>
  </si>
  <si>
    <t>Address</t>
  </si>
  <si>
    <t>Beds</t>
  </si>
  <si>
    <t>Baths</t>
  </si>
  <si>
    <t>First Listed</t>
  </si>
  <si>
    <t>Sqft</t>
  </si>
  <si>
    <t>Financial Analysis</t>
  </si>
  <si>
    <t>Per Unit Values</t>
  </si>
  <si>
    <t>Income</t>
  </si>
  <si>
    <t>Low</t>
  </si>
  <si>
    <t>Median</t>
  </si>
  <si>
    <t>High</t>
  </si>
  <si>
    <t>% of GPR</t>
  </si>
  <si>
    <t>% of EGI</t>
  </si>
  <si>
    <t>% of NOI</t>
  </si>
  <si>
    <t>Gross Potential Rent (GPR)</t>
  </si>
  <si>
    <t>Vacancy Loss</t>
  </si>
  <si>
    <t>Other Income</t>
  </si>
  <si>
    <t>Parking Income</t>
  </si>
  <si>
    <t>Effective Gross Income (EGI)</t>
  </si>
  <si>
    <t>Operating Expenses</t>
  </si>
  <si>
    <t>Real Estate Taxes</t>
  </si>
  <si>
    <t>Property Insurance</t>
  </si>
  <si>
    <t>Utilities</t>
  </si>
  <si>
    <t>Repair and Maintenance</t>
  </si>
  <si>
    <t>Management Fees</t>
  </si>
  <si>
    <t>Payroll and Benefits</t>
  </si>
  <si>
    <t>Marketing</t>
  </si>
  <si>
    <t>Professional Fees</t>
  </si>
  <si>
    <t>General and Administrative</t>
  </si>
  <si>
    <t>Other Expenses</t>
  </si>
  <si>
    <t>Total Operating Expenses</t>
  </si>
  <si>
    <t>Net Operating Income (NOI)</t>
  </si>
  <si>
    <t>Finishes</t>
  </si>
  <si>
    <t>Unit Interiors</t>
  </si>
  <si>
    <t>Kitchens</t>
  </si>
  <si>
    <t>Bathrooms</t>
  </si>
  <si>
    <t>Living Rooms</t>
  </si>
  <si>
    <t>Dining Rooms</t>
  </si>
  <si>
    <t>Bedrooms</t>
  </si>
  <si>
    <t>Walk-in Closets</t>
  </si>
  <si>
    <t>Common Areas</t>
  </si>
  <si>
    <t>Fitness Center</t>
  </si>
  <si>
    <t>Swimming Pool</t>
  </si>
  <si>
    <t>Laundry Room</t>
  </si>
  <si>
    <t>Other Common Areas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</si>
  <si>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</si>
  <si>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</si>
  <si>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</si>
  <si>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</si>
  <si>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</si>
  <si>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</si>
  <si>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</si>
  <si>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</si>
  <si>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</si>
  <si>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</si>
  <si>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</si>
  <si>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</si>
  <si>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</si>
  <si>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</si>
  <si>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</si>
  <si>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</si>
  <si>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</si>
  <si>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</si>
  <si>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</si>
  <si>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</si>
  <si>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</si>
  <si>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</si>
  <si>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</si>
  <si>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</si>
  <si>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</si>
  <si>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</si>
  <si>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</si>
  <si>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</si>
  <si>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</si>
  <si>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</si>
  <si>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</si>
  <si>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</si>
  <si>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</si>
  <si>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</si>
  <si>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</si>
  <si>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</si>
  <si>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</si>
  <si>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</si>
  <si>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</si>
  <si>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</si>
  <si>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</si>
  <si>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</si>
  <si>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</si>
  <si>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</si>
  <si>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</si>
  <si>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</si>
  <si>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</si>
  <si>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</si>
  <si>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</si>
  <si>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</si>
  <si>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</si>
  <si>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</si>
  <si>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Pet Fees</t>
  </si>
  <si>
    <t>Dogs: Monthly Rent</t>
  </si>
  <si>
    <t>Cats: Monthly Rent</t>
  </si>
  <si>
    <t>Dogs: One-Time Fee</t>
  </si>
  <si>
    <t>Cats: One-Time Fee</t>
  </si>
  <si>
    <t>Dogs: Deposit</t>
  </si>
  <si>
    <t>Cats: Deposit</t>
  </si>
  <si>
    <t>Floorplan Name</t>
  </si>
  <si>
    <t>1BR</t>
  </si>
  <si>
    <t>2BR</t>
  </si>
  <si>
    <t>3BR</t>
  </si>
  <si>
    <t>Unit #</t>
  </si>
  <si>
    <t>Covered Parking</t>
  </si>
  <si>
    <t>Garage Parking</t>
  </si>
  <si>
    <t>Surface Lot Parking</t>
  </si>
  <si>
    <t>Parking Fees</t>
  </si>
  <si>
    <t>Days on Mkt</t>
  </si>
  <si>
    <t>Asking Rent</t>
  </si>
  <si>
    <t>Floor #</t>
  </si>
  <si>
    <t>Dist. (mi)</t>
  </si>
  <si>
    <t>Active Listing?</t>
  </si>
  <si>
    <t>Exposure %</t>
  </si>
  <si>
    <t>Grand Total</t>
  </si>
  <si>
    <t>Report Filters</t>
  </si>
  <si>
    <t>2023</t>
  </si>
  <si>
    <t>2025</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</si>
  <si>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</si>
  <si>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</si>
  <si>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</si>
  <si>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</si>
  <si>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</si>
  <si>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</si>
  <si>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</si>
  <si>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</si>
  <si>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</si>
  <si>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</si>
  <si>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</si>
  <si>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</si>
  <si>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</si>
  <si>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</si>
  <si>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</si>
  <si>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</si>
  <si>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</si>
  <si>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</si>
  <si>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</si>
  <si>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</si>
  <si>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</si>
  <si>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</si>
  <si>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</si>
  <si>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</si>
  <si>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</si>
  <si>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</si>
  <si>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</si>
  <si>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</si>
  <si>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</si>
  <si>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</si>
  <si>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</si>
  <si>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</si>
  <si>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</si>
  <si>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</si>
  <si>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</si>
  <si>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</si>
  <si>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Avg Days on Mkt</t>
  </si>
  <si>
    <t>4BR</t>
  </si>
  <si>
    <t>Leased Date</t>
  </si>
  <si>
    <t>Click "Enable Editing" to update.</t>
  </si>
  <si>
    <t>4BR Asking vs Effective</t>
  </si>
  <si>
    <t>5BR Asking vs Effective</t>
  </si>
  <si>
    <t>5BR</t>
  </si>
  <si>
    <t xml:space="preserve"> 4BR </t>
  </si>
  <si>
    <t xml:space="preserve"> Exposure %</t>
  </si>
  <si>
    <t>2024</t>
  </si>
  <si>
    <t>Jun</t>
  </si>
  <si>
    <t>Jul</t>
  </si>
  <si>
    <t>Aug</t>
  </si>
  <si>
    <t>Sep</t>
  </si>
  <si>
    <t>Oct</t>
  </si>
  <si>
    <t>Nov</t>
  </si>
  <si>
    <t>Dec</t>
  </si>
  <si>
    <t>Apr</t>
  </si>
  <si>
    <t>May</t>
  </si>
  <si>
    <t>Jan</t>
  </si>
  <si>
    <t>Feb</t>
  </si>
  <si>
    <t>Mar</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</si>
  <si>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</si>
  <si>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</si>
  <si>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</si>
  <si>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</si>
  <si>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</si>
  <si>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</si>
  <si>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</si>
  <si>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</si>
  <si>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</si>
  <si>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</si>
  <si>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</si>
  <si>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</si>
  <si>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</si>
  <si>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</si>
  <si>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</si>
  <si>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</si>
  <si>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</si>
  <si>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</si>
  <si>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</si>
  <si>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</si>
  <si>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</si>
  <si>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</si>
  <si>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</si>
  <si>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</si>
  <si>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</si>
  <si>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</si>
  <si>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</si>
  <si>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</si>
  <si>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</si>
  <si>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</si>
  <si>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</si>
  <si>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</si>
  <si>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</si>
  <si>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</si>
  <si>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</si>
  <si>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</si>
  <si>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</si>
  <si>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</si>
  <si>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</si>
  <si>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</si>
  <si>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</si>
  <si>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</si>
  <si>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</si>
  <si>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</si>
  <si>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</si>
  <si>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</si>
  <si>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</si>
  <si>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</si>
  <si>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</si>
  <si>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</si>
  <si>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</si>
  <si>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</si>
  <si>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</si>
  <si>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</si>
  <si>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</si>
  <si>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</si>
  <si>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</si>
  <si>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</si>
  <si>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</si>
  <si>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</si>
  <si>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</si>
  <si>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</si>
  <si>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</si>
  <si>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</si>
  <si>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</si>
  <si>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</si>
  <si>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</si>
  <si>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</si>
  <si>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</si>
  <si>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</si>
  <si>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</si>
  <si>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</si>
  <si>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</si>
  <si>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</si>
  <si>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</si>
  <si>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</si>
  <si>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</si>
  <si>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</si>
  <si>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</si>
  <si>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</si>
  <si>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</si>
  <si>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</si>
  <si>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</si>
  <si>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</si>
  <si>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</si>
  <si>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</si>
  <si>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</si>
  <si>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</si>
  <si>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</si>
  <si>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</si>
  <si>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</si>
  <si>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</si>
  <si>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</si>
  <si>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</si>
  <si>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</si>
  <si>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</si>
  <si>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</si>
  <si>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</si>
  <si>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</si>
  <si>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</si>
  <si>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</si>
  <si>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</si>
  <si>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</si>
  <si>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</si>
  <si>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Specials</t>
  </si>
  <si>
    <t>Specials Text</t>
  </si>
  <si>
    <t>From Date</t>
  </si>
  <si>
    <t>To Date</t>
  </si>
  <si>
    <t>Rent</t>
  </si>
  <si>
    <t>NER</t>
  </si>
  <si>
    <t>NER PSF</t>
  </si>
  <si>
    <t>Unit Mix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</si>
  <si>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</si>
  <si>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</si>
  <si>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</si>
  <si>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</si>
  <si>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</si>
  <si>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</si>
  <si>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</si>
  <si>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</si>
  <si>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</si>
  <si>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</si>
  <si>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</si>
  <si>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</si>
  <si>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Comps Avg</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</si>
  <si>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</si>
  <si>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</si>
  <si>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</si>
  <si>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</si>
  <si>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</si>
  <si>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</si>
  <si>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</si>
  <si>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</si>
  <si>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</si>
  <si>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</si>
  <si>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</si>
  <si>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</si>
  <si>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</si>
  <si>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</si>
  <si>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</si>
  <si>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</si>
  <si>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</si>
  <si>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</si>
  <si>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</si>
  <si>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</si>
  <si>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</si>
  <si>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</si>
  <si>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</si>
  <si>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</si>
  <si>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</si>
  <si>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Deadline</t>
  </si>
  <si>
    <t>Status</t>
  </si>
  <si>
    <t>Lookup Value</t>
  </si>
  <si>
    <t>Unit Mix</t>
  </si>
  <si>
    <t>Average of Leased %</t>
  </si>
  <si>
    <t>Average of Exposure %</t>
  </si>
  <si>
    <t>Studio Rents PSF</t>
  </si>
  <si>
    <t>Studio Effective Rents PSF</t>
  </si>
  <si>
    <t>1BR Rents PSF</t>
  </si>
  <si>
    <t>1BR Effective Rents PSF</t>
  </si>
  <si>
    <t>2BR Rents PSF</t>
  </si>
  <si>
    <t>2BR Effective Rents PSF</t>
  </si>
  <si>
    <t>3BR Rents PSF</t>
  </si>
  <si>
    <t>3BR Effective Rents PSF</t>
  </si>
  <si>
    <t>4BR Rents PSF</t>
  </si>
  <si>
    <t>4BR Effective Rents PSF</t>
  </si>
  <si>
    <t>Note: Figures and charts on the Data Analysis tab only utilize data from closed listings.</t>
  </si>
  <si>
    <t>Studio PSF</t>
  </si>
  <si>
    <t>1BR PSF</t>
  </si>
  <si>
    <t>2BR PSF</t>
  </si>
  <si>
    <t>3BR PSF</t>
  </si>
  <si>
    <t>4BR PSF</t>
  </si>
  <si>
    <t xml:space="preserve">4BR PSF </t>
  </si>
  <si>
    <t xml:space="preserve">3BR PSF </t>
  </si>
  <si>
    <t xml:space="preserve">2BR PSF </t>
  </si>
  <si>
    <t xml:space="preserve">1BR PSF </t>
  </si>
  <si>
    <t xml:space="preserve">Studio PSF </t>
  </si>
  <si>
    <t>30-Day Avg Rents</t>
  </si>
  <si>
    <r>
      <t xml:space="preserve">30-Day Avg </t>
    </r>
    <r>
      <rPr>
        <b/>
        <u/>
        <sz val="16"/>
        <rFont val="Calibri"/>
        <family val="2"/>
        <scheme val="minor"/>
      </rPr>
      <t>Net Effective</t>
    </r>
    <r>
      <rPr>
        <b/>
        <sz val="16"/>
        <rFont val="Calibri"/>
        <family val="2"/>
        <scheme val="minor"/>
      </rPr>
      <t xml:space="preserve"> Rents</t>
    </r>
  </si>
  <si>
    <t>90-Day Avg Rents</t>
  </si>
  <si>
    <t>60-Day Avg Rents</t>
  </si>
  <si>
    <t>Net Effective Rents</t>
  </si>
  <si>
    <t>Avg Rents</t>
  </si>
  <si>
    <t>Note: Unit-Level Data includes ALL listings surveyed at the subject property and across the selected comps since June 2023.</t>
  </si>
  <si>
    <r>
      <t xml:space="preserve">60-Day Avg </t>
    </r>
    <r>
      <rPr>
        <b/>
        <u/>
        <sz val="16"/>
        <rFont val="Calibri"/>
        <family val="2"/>
        <scheme val="minor"/>
      </rPr>
      <t>Net Effective</t>
    </r>
    <r>
      <rPr>
        <b/>
        <sz val="16"/>
        <rFont val="Calibri"/>
        <family val="2"/>
        <scheme val="minor"/>
      </rPr>
      <t xml:space="preserve"> Rents</t>
    </r>
  </si>
  <si>
    <r>
      <t xml:space="preserve">90-Day Avg </t>
    </r>
    <r>
      <rPr>
        <b/>
        <u/>
        <sz val="16"/>
        <rFont val="Calibri"/>
        <family val="2"/>
        <scheme val="minor"/>
      </rPr>
      <t>Net Effective</t>
    </r>
    <r>
      <rPr>
        <b/>
        <sz val="16"/>
        <rFont val="Calibri"/>
        <family val="2"/>
        <scheme val="minor"/>
      </rPr>
      <t xml:space="preserve"> Rents</t>
    </r>
  </si>
  <si>
    <t>5BR PSF</t>
  </si>
  <si>
    <t xml:space="preserve">5BR </t>
  </si>
  <si>
    <t xml:space="preserve">5BR PSF </t>
  </si>
  <si>
    <t>Column Labels</t>
  </si>
  <si>
    <t xml:space="preserve"> Avg Effective Rent</t>
  </si>
  <si>
    <t>30-Day Avg Asking Rents</t>
  </si>
  <si>
    <t>Advertised Unit Amenities</t>
  </si>
  <si>
    <t>Detected Unit Amenities</t>
  </si>
  <si>
    <t>1 BR</t>
  </si>
  <si>
    <t>2 BR</t>
  </si>
  <si>
    <t>3 BR</t>
  </si>
  <si>
    <t>Report Date:</t>
  </si>
  <si>
    <t># Leased</t>
  </si>
  <si>
    <t># New</t>
  </si>
  <si>
    <t>Leased Rents</t>
  </si>
  <si>
    <t>△</t>
  </si>
  <si>
    <t>New Listing Rents</t>
  </si>
  <si>
    <t># Active</t>
  </si>
  <si>
    <t xml:space="preserve">  Active Concessions</t>
  </si>
  <si>
    <t>Weekly Market Updates</t>
  </si>
  <si>
    <t>Note: Delta (△) figures show change from previous 7-day period.</t>
  </si>
  <si>
    <t>Leased Rent</t>
  </si>
  <si>
    <t>PSF</t>
  </si>
  <si>
    <t>Leased Rents (Rent Roll)</t>
  </si>
  <si>
    <t>Partial Baths</t>
  </si>
  <si>
    <t>Timeframe</t>
  </si>
  <si>
    <t>[Select Amenity]</t>
  </si>
  <si>
    <t>Metric</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</si>
  <si>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</si>
  <si>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</si>
  <si>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Value-Add Amenity Analysis</t>
  </si>
  <si>
    <t>Fees &amp; Amenities</t>
  </si>
  <si>
    <t>Chunk Rent</t>
  </si>
  <si>
    <t>Amenity</t>
  </si>
  <si>
    <t>Active Listings</t>
  </si>
  <si>
    <t xml:space="preserve">  Day Leased Rents</t>
  </si>
  <si>
    <t>Half Baths</t>
  </si>
  <si>
    <t># Listings</t>
  </si>
  <si>
    <t>Leasing Trends by Property</t>
  </si>
  <si>
    <t>Leasing Trends</t>
  </si>
  <si>
    <t>Note: Figures only utilize data from closed listings. Click pivot table to edit variables.</t>
  </si>
  <si>
    <t>Year 1 COC</t>
  </si>
  <si>
    <t>Price Per Unit</t>
  </si>
  <si>
    <t>Rent Comparison Table</t>
  </si>
  <si>
    <t>This spreadsheet and its contents are proprietary and confidential. Unauthorized reproduction, distribution, or use of this template, including for the development of competing software products or services, is strictly prohibited.</t>
  </si>
  <si>
    <t>© 2025 Hello Data, Inc. All rights reserved.</t>
  </si>
  <si>
    <t>Table of Contents</t>
  </si>
  <si>
    <t>Comp Average</t>
  </si>
  <si>
    <t># of Reviews</t>
  </si>
  <si>
    <t>Location</t>
  </si>
  <si>
    <t>Value</t>
  </si>
  <si>
    <t>Amenities</t>
  </si>
  <si>
    <t>Maintenance</t>
  </si>
  <si>
    <t>Staff</t>
  </si>
  <si>
    <t>Access to shops, restaurants, schools, transit, highways, and neighborhood safety.</t>
  </si>
  <si>
    <t>Quality of amenities (gym, pool, parking), apartment layout and size, storage, and noise levels.</t>
  </si>
  <si>
    <t>Responsiveness to maintenance requests, staff professionalism, and overall property management.</t>
  </si>
  <si>
    <t>Cleanliness, pest control, and maintenance quality.</t>
  </si>
  <si>
    <t>Affordability, pricing compared to nearby properties, and cost of extras like utilities and laundry.</t>
  </si>
  <si>
    <t>Reviews Analysis</t>
  </si>
  <si>
    <t>Average Score (%)</t>
  </si>
  <si>
    <t>Review Analysis (Positive vs Negative Mentions)</t>
  </si>
  <si>
    <t>Total Reviews</t>
  </si>
  <si>
    <t>Category</t>
  </si>
  <si>
    <r>
      <t xml:space="preserve">Reviews: Sentiment Analysis
</t>
    </r>
    <r>
      <rPr>
        <b/>
        <sz val="8"/>
        <color theme="1" tint="0.34998626667073579"/>
        <rFont val="Calibri"/>
        <family val="2"/>
        <scheme val="minor"/>
      </rPr>
      <t>Based on Google &amp; ILS reviews. Expand rows for +/- values.</t>
    </r>
  </si>
  <si>
    <t>Overall Finish Quality</t>
  </si>
  <si>
    <t>Average Review Score (%)</t>
  </si>
  <si>
    <t>Using Revenue Management?</t>
  </si>
  <si>
    <t>Price Update Frequency (days)</t>
  </si>
  <si>
    <t>Avg Price Change (first to last price)</t>
  </si>
  <si>
    <t>*Note: Each category is separately color coded from highest net number of positive reviews (green) to lowest (red). A positive net rating may still be red if the comps' net ratings are more positive.</t>
  </si>
  <si>
    <t>Leasing Data Analysis</t>
  </si>
  <si>
    <t>Note: Figures and charts on the 30-Day Trends tab include active listings and listings that closed in the last 30-Days.</t>
  </si>
  <si>
    <t>30-Day Rent Trend Analysis</t>
  </si>
  <si>
    <t>Fee &amp; Amenity Analysis</t>
  </si>
  <si>
    <t>Average Rents by Floorplan</t>
  </si>
  <si>
    <t>Mix %</t>
  </si>
  <si>
    <t>Rents by Unit Type</t>
  </si>
  <si>
    <t>Trend Analysis:</t>
  </si>
  <si>
    <t>Historical Specials - Subject &amp; Comps</t>
  </si>
  <si>
    <t>Conc. %</t>
  </si>
  <si>
    <t>Min</t>
  </si>
  <si>
    <t>Max</t>
  </si>
  <si>
    <t>Sqft (label)</t>
  </si>
  <si>
    <t>Dist.</t>
  </si>
  <si>
    <t>% of Listings</t>
  </si>
  <si>
    <t>Slicer in Use</t>
  </si>
  <si>
    <t>Week Ending:</t>
  </si>
  <si>
    <t>Asking Rents</t>
  </si>
  <si>
    <t>Type</t>
  </si>
  <si>
    <t>Current Asking Rents</t>
  </si>
  <si>
    <t>Current Effective Rents</t>
  </si>
  <si>
    <t>Leases</t>
  </si>
  <si>
    <t>Day Trailing Leased Rents</t>
  </si>
  <si>
    <t>Avail.</t>
  </si>
  <si>
    <t>Note: Use slicers on left to filter by property or unit type. Lookback periods for trailing leased rents are editable.</t>
  </si>
  <si>
    <t>Note: Leased Rents in the Estimated Rent Roll / Unit Mix include rent data from June 2023 to present.</t>
  </si>
  <si>
    <t>1681 Rodeo Way, Delta, CO 81416</t>
  </si>
  <si>
    <t>211 Rich Street, Delta, CO 81416</t>
  </si>
  <si>
    <t>920 East 7th Street, Delta, CO 81416</t>
  </si>
  <si>
    <t>217 Rich Street, Delta, CO 81416</t>
  </si>
  <si>
    <t>240 Meeker Street, Delta, CO 81416</t>
  </si>
  <si>
    <t>https://areabest.net</t>
  </si>
  <si>
    <t>260 Meeker Street, Delta, CO 81416</t>
  </si>
  <si>
    <t>816 Dodge Street, Delta, CO 81416</t>
  </si>
  <si>
    <t>215 Rich Street, Delta, CO 81416</t>
  </si>
  <si>
    <t>1311 Bluff Street, Delta, CO 81416</t>
  </si>
  <si>
    <t>1381 East 3rd Street, Delta, CO 81416</t>
  </si>
  <si>
    <t>316 East 10th Street, Delta, CO 81416</t>
  </si>
  <si>
    <t>240 West 4th Street, Delta, CO 81416</t>
  </si>
  <si>
    <t>1776 Clearview Drive, Delta, CO 81416</t>
  </si>
  <si>
    <t>1304 Howard Street, Delta, CO 81416</t>
  </si>
  <si>
    <t>210 East 5th Street, Delta, CO 81416</t>
  </si>
  <si>
    <t>625 A Street, Delta, CO 81416</t>
  </si>
  <si>
    <t>476 East 13th Street, Delta, CO 81416</t>
  </si>
  <si>
    <t>525 Hastings Street, Delta, CO 81416</t>
  </si>
  <si>
    <t>845 Palmer Street, Delta, CO 81416</t>
  </si>
  <si>
    <t>340 Main Street, Delta, CO 81416</t>
  </si>
  <si>
    <t>535 Hastings Street, Delta, CO 81416</t>
  </si>
  <si>
    <t>Grand Mesa Flats</t>
  </si>
  <si>
    <t>816 Dodge St, Delta CO</t>
  </si>
  <si>
    <t>625 A Street - 4 (29-4)</t>
  </si>
  <si>
    <t>(B) 535 Hastings Street - 4 (29-27)</t>
  </si>
  <si>
    <t>Alta Vista De La Montana</t>
  </si>
  <si>
    <t>480 High Garnet Lane, Delta, CO 81416</t>
  </si>
  <si>
    <t>234 Eaton Avenue, Delta, CO 81416</t>
  </si>
  <si>
    <t>208 East 5th Street, Delta, CO 81416</t>
  </si>
  <si>
    <t>7108 Highway 50, Delta, CO 81416</t>
  </si>
  <si>
    <t>Community Resources &amp; Housing Development Corporation</t>
  </si>
  <si>
    <t>211 Rich Street</t>
  </si>
  <si>
    <t>920 East 7th Street</t>
  </si>
  <si>
    <t>217 Rich Street</t>
  </si>
  <si>
    <t>240 Meeker Street</t>
  </si>
  <si>
    <t>260 Meeker Street</t>
  </si>
  <si>
    <t>816 Dodge Street</t>
  </si>
  <si>
    <t>215 Rich Street</t>
  </si>
  <si>
    <t>1311 Bluff Street</t>
  </si>
  <si>
    <t>1381 East 3rd Street</t>
  </si>
  <si>
    <t>316 East 10th Street</t>
  </si>
  <si>
    <t>240 West 4th Street</t>
  </si>
  <si>
    <t>1776 Clearview Drive</t>
  </si>
  <si>
    <t>1304 Howard Street</t>
  </si>
  <si>
    <t>210 East 5th Street</t>
  </si>
  <si>
    <t>625 A Street</t>
  </si>
  <si>
    <t>476 East 13th Street</t>
  </si>
  <si>
    <t>525 Hastings Street</t>
  </si>
  <si>
    <t>845 Palmer Street</t>
  </si>
  <si>
    <t>340 Main Street</t>
  </si>
  <si>
    <t>535 Hastings Street</t>
  </si>
  <si>
    <t>480 High Garnet Lane</t>
  </si>
  <si>
    <t>234 Eaton Avenue</t>
  </si>
  <si>
    <t>208 East 5th Street</t>
  </si>
  <si>
    <t>1681 Rodeo Way</t>
  </si>
  <si>
    <t>240 Meeker Street - 19 (2...</t>
  </si>
  <si>
    <t>240 Meeker Street - 3 (27-3)</t>
  </si>
  <si>
    <t>240 Meeker Street - 22 (2...</t>
  </si>
  <si>
    <t>240 Meeker Street - 15 (2...</t>
  </si>
  <si>
    <t>240 Meeker Street - 4 (27...</t>
  </si>
  <si>
    <t>240 Meeker Street - 24 (2...</t>
  </si>
  <si>
    <t>260 Meeker Street - 11 (2...</t>
  </si>
  <si>
    <t>260 Meeker Street - 9 (28...</t>
  </si>
  <si>
    <t>260 Meeker Street - 12 (2...</t>
  </si>
  <si>
    <t>260 Meeker Street - 7 (28...</t>
  </si>
  <si>
    <t>$1,500 - 2 Bedroom 1.5 Bathroom House In Delta, CO</t>
  </si>
  <si>
    <t>1381 East 3rd Street - 3 (28...</t>
  </si>
  <si>
    <t>1381 East 3rd Street - 6 (28...</t>
  </si>
  <si>
    <t>625 A Street - 3 (29-3)</t>
  </si>
  <si>
    <t>476 East 13th Street - 1 (27-25)</t>
  </si>
  <si>
    <t>476 East 13th Street - 1 (27...</t>
  </si>
  <si>
    <t>476 East 13th Street - 6 (27...</t>
  </si>
  <si>
    <t>2 Bed 1.5 Batch</t>
  </si>
  <si>
    <t>B</t>
  </si>
  <si>
    <t>NA</t>
  </si>
  <si>
    <t>2</t>
  </si>
  <si>
    <t>6</t>
  </si>
  <si>
    <t>15187958</t>
  </si>
  <si>
    <t>3</t>
  </si>
  <si>
    <t>15032355</t>
  </si>
  <si>
    <t>1</t>
  </si>
  <si>
    <t>15427608</t>
  </si>
  <si>
    <t>14920815</t>
  </si>
  <si>
    <t>4</t>
  </si>
  <si>
    <t>7</t>
  </si>
  <si>
    <t>17695970</t>
  </si>
  <si>
    <t>17696054</t>
  </si>
  <si>
    <t>DUPLEX</t>
  </si>
  <si>
    <t>A</t>
  </si>
  <si>
    <t>11425419</t>
  </si>
  <si>
    <t>11328311</t>
  </si>
  <si>
    <t>18076928</t>
  </si>
  <si>
    <t>17640692</t>
  </si>
  <si>
    <t>D</t>
  </si>
  <si>
    <t>5</t>
  </si>
  <si>
    <t>1697-202</t>
  </si>
  <si>
    <t>1691-202</t>
  </si>
  <si>
    <t>1693-202</t>
  </si>
  <si>
    <t>1698-202</t>
  </si>
  <si>
    <t>1698-203</t>
  </si>
  <si>
    <t>1679-101</t>
  </si>
  <si>
    <t>1697-103</t>
  </si>
  <si>
    <t>1699-202</t>
  </si>
  <si>
    <t>1695-104</t>
  </si>
  <si>
    <t>1691-102</t>
  </si>
  <si>
    <t>1690-202</t>
  </si>
  <si>
    <t>1690-102</t>
  </si>
  <si>
    <t>1679-204</t>
  </si>
  <si>
    <t>1699-104</t>
  </si>
  <si>
    <t>1698-103</t>
  </si>
  <si>
    <t>1677-201</t>
  </si>
  <si>
    <t>1695-103</t>
  </si>
  <si>
    <t>1699-101</t>
  </si>
  <si>
    <t>1693-203</t>
  </si>
  <si>
    <t>1691-201</t>
  </si>
  <si>
    <t>1679-104</t>
  </si>
  <si>
    <t>1693-201</t>
  </si>
  <si>
    <t>1695-102</t>
  </si>
  <si>
    <t>1697-101</t>
  </si>
  <si>
    <t>1698-102</t>
  </si>
  <si>
    <t>1677-203</t>
  </si>
  <si>
    <t>1677-102</t>
  </si>
  <si>
    <t>1677-202</t>
  </si>
  <si>
    <t>1695-201</t>
  </si>
  <si>
    <t>1698-101</t>
  </si>
  <si>
    <t>1691-101</t>
  </si>
  <si>
    <t>1693-101</t>
  </si>
  <si>
    <t>1697-104</t>
  </si>
  <si>
    <t>1677-104</t>
  </si>
  <si>
    <t>1690-104</t>
  </si>
  <si>
    <t>1697-204</t>
  </si>
  <si>
    <t>1693-102</t>
  </si>
  <si>
    <t>1690-101</t>
  </si>
  <si>
    <t>1691-103</t>
  </si>
  <si>
    <t>1679-102</t>
  </si>
  <si>
    <t>1695-202</t>
  </si>
  <si>
    <t>[]</t>
  </si>
  <si>
    <t>[laundry_room dogs_allowed detached_garage ada_compliant parking_garage cats_allowed non_smoking pets_allowed]</t>
  </si>
  <si>
    <t>[additional_storage_space_outside_unit carport]</t>
  </si>
  <si>
    <t>[secured_covered_bike_storage parking_garage attached_garage non_smoking pets_allowed one_car_garage laundry_room dogs_allowed cats_allowed]</t>
  </si>
  <si>
    <t>[additional_storage_space_outside_unit laundry_room carport]</t>
  </si>
  <si>
    <t>[carport parking_garage]</t>
  </si>
  <si>
    <t>[dogs_allowed carport additional_storage_space_outside_unit reserved_parking non_smoking]</t>
  </si>
  <si>
    <t>[cats_allowed dogs_allowed pets_allowed]</t>
  </si>
  <si>
    <t>[non_smoking]</t>
  </si>
  <si>
    <t>[community_pet_washing_station]</t>
  </si>
  <si>
    <t>[cats_allowed dogs_allowed reserved_parking parking_garage]</t>
  </si>
  <si>
    <t>[cats_allowed dogs_allowed secured_covered_bike_storage pets_allowed]</t>
  </si>
  <si>
    <t>[non_smoking community_pet_washing_station]</t>
  </si>
  <si>
    <t>[laundry_room parking_garage additional_storage_space_outside_unit laundry_service]</t>
  </si>
  <si>
    <t>[business_center laundry_room non_smoking laundry_service]</t>
  </si>
  <si>
    <t>[laundry_room non_smoking laundry_service]</t>
  </si>
  <si>
    <t>[non_smoking parking_garage]</t>
  </si>
  <si>
    <t>[basketball_court ada_compliant playground bilingual on_site_maintenance]</t>
  </si>
  <si>
    <t>[patio_or_balcony central_air_conditioning stainless_steel_appliances dishwasher refrigerator washer_dryer_in_unit water_included internet_included sewer_included carpet living_room vinyl_floor range microwave central_heat trash_service_included]</t>
  </si>
  <si>
    <t>[patio_or_balcony living_room stove dishwasher refrigerator washer_dryer_in_unit]</t>
  </si>
  <si>
    <t>[air_conditioning garbage_disposal basement stainless_steel_appliances ceiling_fan dishwasher refrigerator washer_dryer_in_unit living_room eat_in_kitchen hardwood_floor window_covering bath_tub oven yard range]</t>
  </si>
  <si>
    <t>[faux_wood_floor patio_or_balcony stove dishwasher refrigerator water_included washer_dryer_in_unit recently_renovated living_room vinyl_floor]</t>
  </si>
  <si>
    <t>[air_conditioning range central_heat water_included]</t>
  </si>
  <si>
    <t>[washer_dryer_hookups water_included]</t>
  </si>
  <si>
    <t>[patio_or_balcony stove dishwasher refrigerator washer_dryer_in_unit recently_renovated hardwood_floor living_room smart_doorbell washer_dryer_hookups yard]</t>
  </si>
  <si>
    <t>[dishwasher refrigerator washer_dryer_in_unit water_included all_appliances_included central_air_conditioning oven microwave central_heat trash_service_included]</t>
  </si>
  <si>
    <t>[washer_dryer_hookups refrigerator]</t>
  </si>
  <si>
    <t>[tile_floor patio_or_balcony refrigerator water_included recently_renovated washer_dryer_in_unit hardwood_floor central_air_conditioning oven carpet microwave washer_dryer_hookups central_heat]</t>
  </si>
  <si>
    <t>[washer_dryer_hookups washer_dryer_in_unit]</t>
  </si>
  <si>
    <t>[hardwood_floor large_closets dishwasher yard washer_dryer_in_unit walk_in_closet]</t>
  </si>
  <si>
    <t>[porch ceiling_fan refrigerator dishwasher washer_dryer_in_unit high_ceilings living_room all_appliances_included concrete_floor central_air_conditioning oven microwave central_heat]</t>
  </si>
  <si>
    <t>[hardwood_floor yard washer_dryer_in_unit]</t>
  </si>
  <si>
    <t>[washer_dryer_hookups]</t>
  </si>
  <si>
    <t>[heat_included refrigerator water_included furnished all_utilities_included electricity_included oven microwave trash_service_included]</t>
  </si>
  <si>
    <t>[air_conditioning open_floor_plan stove porch dishwasher refrigerator washer_dryer_in_unit microwave yard view]</t>
  </si>
  <si>
    <t>[refrigerator water_included sewer_included hardwood_floor oven central_heat trash_service_included]</t>
  </si>
  <si>
    <t>[heat_included electricity_included central_heat water_included]</t>
  </si>
  <si>
    <t>[patio_or_balcony stove basement refrigerator water_included]</t>
  </si>
  <si>
    <t>[heat_included]</t>
  </si>
  <si>
    <t>[hardwood_floor bath_tub oven refrigerator yard washer_dryer_in_unit]</t>
  </si>
  <si>
    <t>[range living_room]</t>
  </si>
  <si>
    <t>6/10</t>
  </si>
  <si>
    <t>5/10</t>
  </si>
  <si>
    <t>3/10</t>
  </si>
  <si>
    <t>-</t>
  </si>
  <si>
    <t>4/10</t>
  </si>
  <si>
    <t>2/10</t>
  </si>
  <si>
    <t>1/10</t>
  </si>
  <si>
    <t>500 S. Park Ave. - 20Montrose, CO 814012 Bed | 1 Bath | 750 sqft2 Bedroom 
1 Bath 
Owner pays all Utilities
Upstairs
Laminate flooring through out$1,300available August 1</t>
  </si>
  <si>
    <t>2024-08-13</t>
  </si>
  <si>
    <t>2024-08-14</t>
  </si>
  <si>
    <t>2025-11-16</t>
  </si>
  <si>
    <t>2025-11-11</t>
  </si>
  <si>
    <t>2025-03-15</t>
  </si>
  <si>
    <t>2025-11-10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</si>
</sst>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 numFmtId="174" formatCode="\+0;\-0;0"/>
    <numFmt numFmtId="175" formatCode="\+0.0%;\-0.0%;0.0%"/>
  </numFmts>
  <fonts count="85" x14ac:knownFonts="1">
    <font>
      <sz val="11"/>
      <color theme="1"/>
      <name val="Calibri"/>
      <family val="2"/>
      <scheme val="minor"/>
    </font>
    <font>
      <sz val="11"/>
      <color theme="1"/>
      <name val="Calibri"/>
      <family val="2"/>
      <scheme val="minor"/>
    </font>
    <font>
      <i/>
      <sz val="11"/>
      <color rgb="FF7F7F7F"/>
      <name val="Calibri"/>
      <family val="2"/>
      <scheme val="minor"/>
    </font>
    <font>
      <sz val="10"/>
      <color theme="1"/>
      <name val="Calibri"/>
      <family val="2"/>
      <scheme val="minor"/>
    </font>
    <font>
      <b/>
      <sz val="10"/>
      <color theme="0"/>
      <name val="Calibri"/>
      <family val="2"/>
      <scheme val="minor"/>
    </font>
    <font>
      <sz val="10"/>
      <name val="Calibri"/>
      <family val="2"/>
      <scheme val="minor"/>
    </font>
    <font>
      <b/>
      <sz val="10"/>
      <color theme="0"/>
      <name val="Calibri"/>
      <family val="2"/>
    </font>
    <font>
      <sz val="10"/>
      <color theme="1"/>
      <name val="Calibri"/>
      <family val="2"/>
    </font>
    <font>
      <sz val="10"/>
      <color rgb="FF000000"/>
      <name val="Calibri"/>
      <family val="2"/>
    </font>
    <font>
      <b/>
      <sz val="10"/>
      <name val="Calibri"/>
      <family val="2"/>
      <scheme val="minor"/>
    </font>
    <font>
      <sz val="10"/>
      <color theme="0"/>
      <name val="Calibri"/>
      <family val="2"/>
      <scheme val="minor"/>
    </font>
    <font>
      <sz val="10"/>
      <name val="Calibri"/>
      <family val="2"/>
    </font>
    <font>
      <b/>
      <sz val="16"/>
      <name val="Calibri"/>
      <family val="2"/>
      <scheme val="minor"/>
    </font>
    <font>
      <sz val="16"/>
      <name val="Calibri"/>
      <family val="2"/>
      <scheme val="minor"/>
    </font>
    <font>
      <sz val="18"/>
      <color theme="1"/>
      <name val="Calibri"/>
      <family val="2"/>
      <scheme val="minor"/>
    </font>
    <font>
      <b/>
      <sz val="18"/>
      <color theme="1"/>
      <name val="Calibri"/>
      <family val="2"/>
      <scheme val="minor"/>
    </font>
    <font>
      <b/>
      <sz val="11"/>
      <color theme="0"/>
      <name val="Calibri"/>
      <family val="2"/>
      <scheme val="minor"/>
    </font>
    <font>
      <b/>
      <sz val="11"/>
      <color theme="1"/>
      <name val="Calibri"/>
      <family val="2"/>
      <scheme val="minor"/>
    </font>
    <font>
      <sz val="16"/>
      <color theme="1"/>
      <name val="Calibri"/>
      <family val="2"/>
      <scheme val="minor"/>
    </font>
    <font>
      <sz val="24"/>
      <color rgb="FF4438CA"/>
      <name val="Calibri"/>
      <family val="2"/>
      <scheme val="minor"/>
    </font>
    <font>
      <sz val="24"/>
      <color theme="1" tint="0.34998626667073579"/>
      <name val="Calibri"/>
      <family val="2"/>
      <scheme val="minor"/>
    </font>
    <font>
      <sz val="18"/>
      <color rgb="FF4438CA"/>
      <name val="Calibri"/>
      <family val="2"/>
      <scheme val="minor"/>
    </font>
    <font>
      <sz val="12"/>
      <color theme="1" tint="0.499984740745262"/>
      <name val="Calibri"/>
      <family val="2"/>
      <scheme val="minor"/>
    </font>
    <font>
      <b/>
      <sz val="24"/>
      <color rgb="FF4438CA"/>
      <name val="Calibri"/>
      <family val="2"/>
      <scheme val="minor"/>
    </font>
    <font>
      <b/>
      <sz val="11"/>
      <color rgb="FF4438CA"/>
      <name val="Calibri"/>
      <family val="2"/>
      <scheme val="minor"/>
    </font>
    <font>
      <sz val="11"/>
      <color rgb="FF4438CA"/>
      <name val="Calibri"/>
      <family val="2"/>
      <scheme val="minor"/>
    </font>
    <font>
      <sz val="11"/>
      <color theme="0"/>
      <name val="Calibri"/>
      <family val="2"/>
      <scheme val="minor"/>
    </font>
    <font>
      <b/>
      <sz val="20"/>
      <color rgb="FF4438CA"/>
      <name val="Calibri"/>
      <family val="2"/>
      <scheme val="minor"/>
    </font>
    <font>
      <b/>
      <sz val="14"/>
      <color rgb="FF4438CA"/>
      <name val="Calibri"/>
      <family val="2"/>
      <scheme val="minor"/>
    </font>
    <font>
      <sz val="14"/>
      <color theme="1"/>
      <name val="Calibri"/>
      <family val="2"/>
      <scheme val="minor"/>
    </font>
    <font>
      <u/>
      <sz val="11"/>
      <color theme="10"/>
      <name val="Calibri"/>
      <family val="2"/>
      <scheme val="minor"/>
    </font>
    <font>
      <b/>
      <sz val="14"/>
      <color theme="0"/>
      <name val="Calibri"/>
      <family val="2"/>
    </font>
    <font>
      <sz val="10"/>
      <name val="Arial"/>
      <family val="2"/>
    </font>
    <font>
      <sz val="8"/>
      <name val="Calibri"/>
      <family val="2"/>
      <scheme val="minor"/>
    </font>
    <font>
      <b/>
      <sz val="10"/>
      <color rgb="FF0070C0"/>
      <name val="Calibri"/>
      <family val="2"/>
      <scheme val="minor"/>
    </font>
    <font>
      <b/>
      <sz val="10"/>
      <color theme="1"/>
      <name val="Calibri"/>
      <family val="2"/>
      <scheme val="minor"/>
    </font>
    <font>
      <i/>
      <sz val="10"/>
      <name val="Calibri"/>
      <family val="2"/>
      <scheme val="minor"/>
    </font>
    <font>
      <sz val="10"/>
      <color rgb="FF394B61"/>
      <name val="Calibri"/>
      <family val="2"/>
      <scheme val="minor"/>
    </font>
    <font>
      <sz val="10"/>
      <color indexed="12"/>
      <name val="Calibri"/>
      <family val="2"/>
      <scheme val="minor"/>
    </font>
    <font>
      <b/>
      <u/>
      <sz val="10"/>
      <color theme="1"/>
      <name val="Calibri"/>
      <family val="2"/>
      <scheme val="minor"/>
    </font>
    <font>
      <b/>
      <i/>
      <sz val="10"/>
      <name val="Calibri"/>
      <family val="2"/>
      <scheme val="minor"/>
    </font>
    <font>
      <b/>
      <sz val="16"/>
      <color rgb="FF4438CA"/>
      <name val="Calibri"/>
      <family val="2"/>
      <scheme val="minor"/>
    </font>
    <font>
      <b/>
      <sz val="14"/>
      <name val="Calibri"/>
      <family val="2"/>
      <scheme val="minor"/>
    </font>
    <font>
      <b/>
      <sz val="10"/>
      <color rgb="FF4438CA"/>
      <name val="Calibri"/>
      <family val="2"/>
      <scheme val="minor"/>
    </font>
    <font>
      <i/>
      <sz val="8"/>
      <color theme="1"/>
      <name val="Calibri"/>
      <family val="2"/>
      <scheme val="minor"/>
    </font>
    <font>
      <sz val="8"/>
      <color theme="1"/>
      <name val="Calibri"/>
      <family val="2"/>
      <scheme val="minor"/>
    </font>
    <font>
      <sz val="9"/>
      <color theme="1"/>
      <name val="Calibri"/>
      <family val="2"/>
      <scheme val="minor"/>
    </font>
    <font>
      <b/>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u/>
      <sz val="16"/>
      <name val="Calibri"/>
      <family val="2"/>
      <scheme val="minor"/>
    </font>
    <font>
      <b/>
      <sz val="11"/>
      <color theme="0"/>
      <name val="Calibri"/>
      <family val="2"/>
    </font>
    <font>
      <b/>
      <sz val="14"/>
      <color rgb="FF3B33CA"/>
      <name val="Calibri"/>
      <family val="2"/>
      <scheme val="minor"/>
    </font>
    <font>
      <sz val="14"/>
      <color rgb="FF3B33CA"/>
      <name val="Calibri"/>
      <family val="2"/>
      <scheme val="minor"/>
    </font>
    <font>
      <u/>
      <sz val="14"/>
      <color rgb="FF3B33CA"/>
      <name val="Calibri"/>
      <family val="2"/>
      <scheme val="minor"/>
    </font>
    <font>
      <b/>
      <sz val="16"/>
      <color rgb="FF3B33CA"/>
      <name val="Calibri"/>
      <family val="2"/>
      <scheme val="minor"/>
    </font>
    <font>
      <b/>
      <sz val="18"/>
      <color rgb="FF3B33CA"/>
      <name val="Calibri"/>
      <family val="2"/>
      <scheme val="minor"/>
    </font>
    <font>
      <b/>
      <sz val="10"/>
      <color rgb="FF3B33CA"/>
      <name val="Calibri"/>
      <family val="2"/>
      <scheme val="minor"/>
    </font>
    <font>
      <b/>
      <sz val="10"/>
      <color theme="1" tint="0.249977111117893"/>
      <name val="Calibri"/>
      <family val="2"/>
      <scheme val="minor"/>
    </font>
    <font>
      <b/>
      <sz val="10"/>
      <color rgb="FFFFFFF1"/>
      <name val="Calibri"/>
      <family val="2"/>
      <scheme val="minor"/>
    </font>
    <font>
      <b/>
      <sz val="12"/>
      <color rgb="FF0070C0"/>
      <name val="Calibri"/>
      <family val="2"/>
      <scheme val="minor"/>
    </font>
    <font>
      <b/>
      <sz val="12"/>
      <name val="Calibri"/>
      <family val="2"/>
      <scheme val="minor"/>
    </font>
    <font>
      <b/>
      <sz val="12"/>
      <color theme="1"/>
      <name val="Calibri"/>
      <family val="2"/>
      <scheme val="minor"/>
    </font>
    <font>
      <sz val="7"/>
      <color theme="1"/>
      <name val="Calibri"/>
      <family val="2"/>
      <scheme val="minor"/>
    </font>
    <font>
      <u/>
      <sz val="11"/>
      <color theme="1"/>
      <name val="Calibri"/>
      <family val="2"/>
      <scheme val="minor"/>
    </font>
    <font>
      <u/>
      <sz val="14"/>
      <color theme="1"/>
      <name val="Calibri"/>
      <family val="2"/>
      <scheme val="minor"/>
    </font>
    <font>
      <b/>
      <sz val="10"/>
      <name val="Calibri"/>
      <family val="2"/>
    </font>
    <font>
      <b/>
      <sz val="9"/>
      <color theme="0"/>
      <name val="Calibri"/>
      <family val="2"/>
      <scheme val="minor"/>
    </font>
    <font>
      <sz val="10"/>
      <color rgb="FFEE0000"/>
      <name val="Calibri"/>
      <family val="2"/>
      <scheme val="minor"/>
    </font>
    <font>
      <b/>
      <sz val="10"/>
      <color rgb="FFEE0000"/>
      <name val="Calibri"/>
      <family val="2"/>
      <scheme val="minor"/>
    </font>
    <font>
      <sz val="10"/>
      <color rgb="FF00B050"/>
      <name val="Calibri"/>
      <family val="2"/>
      <scheme val="minor"/>
    </font>
    <font>
      <b/>
      <sz val="10"/>
      <color rgb="FF00B050"/>
      <name val="Calibri"/>
      <family val="2"/>
      <scheme val="minor"/>
    </font>
    <font>
      <b/>
      <sz val="10"/>
      <color theme="9" tint="-0.249977111117893"/>
      <name val="Calibri"/>
      <family val="2"/>
    </font>
    <font>
      <b/>
      <sz val="10"/>
      <color rgb="FF3B33CA"/>
      <name val="Calibri"/>
      <family val="2"/>
    </font>
    <font>
      <b/>
      <sz val="8"/>
      <color theme="1" tint="0.34998626667073579"/>
      <name val="Calibri"/>
      <family val="2"/>
      <scheme val="minor"/>
    </font>
    <font>
      <b/>
      <sz val="12"/>
      <color rgb="FF3B33CA"/>
      <name val="Calibri"/>
      <family val="2"/>
      <scheme val="minor"/>
    </font>
    <font>
      <b/>
      <sz val="12"/>
      <color theme="1" tint="0.34998626667073579"/>
      <name val="Calibri"/>
      <family val="2"/>
      <scheme val="minor"/>
    </font>
    <font>
      <b/>
      <sz val="10"/>
      <color theme="9" tint="-0.499984740745262"/>
      <name val="Calibri"/>
      <family val="2"/>
      <scheme val="minor"/>
    </font>
    <font>
      <b/>
      <sz val="12"/>
      <color rgb="FF4438CA"/>
      <name val="Calibri"/>
      <family val="2"/>
      <scheme val="minor"/>
    </font>
    <font>
      <b/>
      <sz val="10"/>
      <color rgb="FF000001"/>
      <name val="Calibri"/>
      <family val="2"/>
      <scheme val="minor"/>
    </font>
    <font>
      <sz val="10"/>
      <color rgb="FF000001"/>
      <name val="Calibri"/>
      <family val="2"/>
      <scheme val="minor"/>
    </font>
    <font>
      <u/>
      <sz val="10"/>
      <color rgb="FF0070C0"/>
      <name val="Calibri"/>
      <family val="2"/>
      <scheme val="minor"/>
    </font>
    <font>
      <u/>
      <sz val="10"/>
      <name val="Calibri"/>
      <family val="2"/>
      <scheme val="minor"/>
    </font>
  </fonts>
  <fills count="38">
    <fill>
      <patternFill patternType="none"/>
    </fill>
    <fill>
      <patternFill patternType="gray125"/>
    </fill>
    <fill>
      <patternFill patternType="solid">
        <fgColor theme="0"/>
        <bgColor indexed="64"/>
      </patternFill>
    </fill>
    <fill>
      <patternFill patternType="solid">
        <fgColor theme="8" tint="0.79998168889431442"/>
        <bgColor rgb="FFE2EFD9"/>
      </patternFill>
    </fill>
    <fill>
      <patternFill patternType="solid">
        <fgColor theme="8" tint="0.79998168889431442"/>
        <bgColor indexed="64"/>
      </patternFill>
    </fill>
    <fill>
      <patternFill patternType="solid">
        <fgColor theme="0" tint="-0.14999847407452621"/>
        <bgColor indexed="64"/>
      </patternFill>
    </fill>
    <fill>
      <patternFill patternType="solid">
        <fgColor rgb="FF4438CA"/>
        <bgColor indexed="64"/>
      </patternFill>
    </fill>
    <fill>
      <patternFill patternType="solid">
        <fgColor theme="0" tint="-4.9989318521683403E-2"/>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theme="7" tint="0.79998168889431442"/>
        <bgColor indexed="64"/>
      </patternFill>
    </fill>
    <fill>
      <patternFill patternType="solid">
        <fgColor theme="7" tint="0.79998168889431442"/>
        <bgColor rgb="FF4438CA"/>
      </patternFill>
    </fill>
    <fill>
      <patternFill patternType="solid">
        <fgColor theme="9" tint="0.79998168889431442"/>
        <bgColor indexed="64"/>
      </patternFill>
    </fill>
    <fill>
      <patternFill patternType="solid">
        <fgColor rgb="FF6466E9"/>
        <bgColor indexed="64"/>
      </patternFill>
    </fill>
    <fill>
      <patternFill patternType="solid">
        <fgColor theme="9" tint="-0.249977111117893"/>
        <bgColor rgb="FF6466E9"/>
      </patternFill>
    </fill>
    <fill>
      <patternFill patternType="solid">
        <fgColor theme="1" tint="0.499984740745262"/>
        <bgColor rgb="FF6466E9"/>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249977111117893"/>
        <bgColor rgb="FF6466E9"/>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249977111117893"/>
        <bgColor rgb="FF6466E9"/>
      </patternFill>
    </fill>
  </fills>
  <borders count="73">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dotted">
        <color theme="1" tint="0.499984740745262"/>
      </right>
      <top style="thin">
        <color indexed="64"/>
      </top>
      <bottom style="thin">
        <color indexed="64"/>
      </bottom>
      <diagonal/>
    </border>
    <border>
      <left style="thin">
        <color indexed="64"/>
      </left>
      <right style="dotted">
        <color theme="1" tint="0.499984740745262"/>
      </right>
      <top style="thin">
        <color indexed="64"/>
      </top>
      <bottom style="thin">
        <color indexed="64"/>
      </bottom>
      <diagonal/>
    </border>
    <border>
      <left style="dotted">
        <color theme="1" tint="0.499984740745262"/>
      </left>
      <right style="dotted">
        <color theme="1" tint="0.499984740745262"/>
      </right>
      <top/>
      <bottom/>
      <diagonal/>
    </border>
    <border>
      <left/>
      <right style="dotted">
        <color theme="1" tint="0.499984740745262"/>
      </right>
      <top/>
      <bottom/>
      <diagonal/>
    </border>
    <border>
      <left style="thin">
        <color indexed="64"/>
      </left>
      <right style="dotted">
        <color theme="1" tint="0.499984740745262"/>
      </right>
      <top/>
      <bottom style="thin">
        <color indexed="64"/>
      </bottom>
      <diagonal/>
    </border>
    <border>
      <left style="dotted">
        <color theme="1" tint="0.499984740745262"/>
      </left>
      <right style="dotted">
        <color theme="1" tint="0.499984740745262"/>
      </right>
      <top/>
      <bottom style="thin">
        <color indexed="64"/>
      </bottom>
      <diagonal/>
    </border>
    <border>
      <left/>
      <right style="dotted">
        <color theme="1" tint="0.499984740745262"/>
      </right>
      <top/>
      <bottom style="thin">
        <color indexed="64"/>
      </bottom>
      <diagonal/>
    </border>
    <border>
      <left style="thin">
        <color indexed="64"/>
      </left>
      <right style="dotted">
        <color theme="1" tint="0.499984740745262"/>
      </right>
      <top style="thin">
        <color indexed="64"/>
      </top>
      <bottom/>
      <diagonal/>
    </border>
    <border>
      <left style="dotted">
        <color theme="1" tint="0.499984740745262"/>
      </left>
      <right style="dotted">
        <color theme="1" tint="0.499984740745262"/>
      </right>
      <top style="thin">
        <color indexed="64"/>
      </top>
      <bottom/>
      <diagonal/>
    </border>
    <border>
      <left style="thin">
        <color indexed="64"/>
      </left>
      <right style="medium">
        <color indexed="64"/>
      </right>
      <top style="medium">
        <color indexed="64"/>
      </top>
      <bottom style="dotted">
        <color indexed="64"/>
      </bottom>
      <diagonal/>
    </border>
    <border>
      <left style="thin">
        <color indexed="64"/>
      </left>
      <right/>
      <top style="medium">
        <color indexed="64"/>
      </top>
      <bottom style="dotted">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right style="medium">
        <color indexed="64"/>
      </right>
      <top style="medium">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style="dotted">
        <color indexed="64"/>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right style="medium">
        <color indexed="64"/>
      </right>
      <top/>
      <bottom style="dotted">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s>
  <cellStyleXfs count="6">
    <xf numFmtId="0" fontId="0" fillId="0" borderId="0"/>
    <xf numFmtId="0" fontId="1" fillId="0" borderId="0"/>
    <xf numFmtId="0" fontId="2" fillId="0" borderId="0"/>
    <xf numFmtId="0" fontId="30" fillId="0" borderId="0" applyNumberFormat="0" applyFill="0" applyBorder="0" applyAlignment="0" applyProtection="0"/>
    <xf numFmtId="0" fontId="32" fillId="0" borderId="0"/>
    <xf numFmtId="0" fontId="1" fillId="0" borderId="0"/>
  </cellStyleXfs>
  <cellXfs count="940">
    <xf numFmtId="0" fontId="0" fillId="0" borderId="0" xfId="0"/>
    <xf numFmtId="0" fontId="3" fillId="0" borderId="0" xfId="0" applyFont="1" applyAlignment="1">
      <alignment vertical="center"/>
    </xf>
    <xf numFmtId="9" fontId="3" fillId="0" borderId="0" xfId="0" applyNumberFormat="1" applyFont="1" applyAlignment="1">
      <alignment horizontal="center" vertical="center"/>
    </xf>
    <xf numFmtId="0" fontId="3" fillId="0" borderId="0" xfId="0" applyFont="1" applyAlignment="1">
      <alignment horizontal="center" vertical="center"/>
    </xf>
    <xf numFmtId="3" fontId="3" fillId="0" borderId="0" xfId="0" applyNumberFormat="1" applyFont="1" applyAlignment="1">
      <alignment horizontal="center" vertical="center"/>
    </xf>
    <xf numFmtId="165"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3" fillId="0" borderId="0" xfId="0" applyFont="1"/>
    <xf numFmtId="0" fontId="3" fillId="2" borderId="0" xfId="0" applyFont="1" applyFill="1" applyAlignment="1">
      <alignment vertical="center"/>
    </xf>
    <xf numFmtId="0" fontId="3" fillId="2" borderId="0" xfId="0" applyFont="1" applyFill="1" applyAlignment="1">
      <alignment horizontal="center" vertical="center"/>
    </xf>
    <xf numFmtId="165" fontId="3" fillId="2" borderId="0" xfId="0" applyNumberFormat="1" applyFont="1" applyFill="1" applyAlignment="1">
      <alignment horizontal="center" vertical="center"/>
    </xf>
    <xf numFmtId="0" fontId="9" fillId="2" borderId="0" xfId="0" applyFont="1" applyFill="1" applyAlignment="1">
      <alignment horizontal="left" vertical="center"/>
    </xf>
    <xf numFmtId="0" fontId="5" fillId="2" borderId="0" xfId="0" applyFont="1" applyFill="1" applyAlignment="1">
      <alignment horizontal="left" vertical="center"/>
    </xf>
    <xf numFmtId="0" fontId="3" fillId="0" borderId="0" xfId="0" applyFont="1" applyAlignment="1">
      <alignment horizontal="left" vertical="center"/>
    </xf>
    <xf numFmtId="0" fontId="4" fillId="0" borderId="0" xfId="0" applyFont="1" applyAlignment="1">
      <alignment vertical="center"/>
    </xf>
    <xf numFmtId="0" fontId="4" fillId="2" borderId="0" xfId="0" applyFont="1" applyFill="1" applyAlignment="1">
      <alignment vertical="center"/>
    </xf>
    <xf numFmtId="0" fontId="3" fillId="2" borderId="0" xfId="0" applyFont="1" applyFill="1" applyAlignment="1">
      <alignment horizontal="left" vertical="center"/>
    </xf>
    <xf numFmtId="4" fontId="3" fillId="0" borderId="0" xfId="0" applyNumberFormat="1" applyFont="1" applyAlignment="1">
      <alignment horizontal="center" vertical="center"/>
    </xf>
    <xf numFmtId="0" fontId="11" fillId="2" borderId="0" xfId="0" applyFont="1" applyFill="1" applyAlignment="1">
      <alignment horizontal="left" vertical="center"/>
    </xf>
    <xf numFmtId="9" fontId="11" fillId="2" borderId="0" xfId="0" applyNumberFormat="1" applyFont="1" applyFill="1" applyAlignment="1">
      <alignment horizontal="left" vertical="center"/>
    </xf>
    <xf numFmtId="0" fontId="12" fillId="8" borderId="0" xfId="0" applyFont="1" applyFill="1" applyAlignment="1">
      <alignment horizontal="left" vertical="center"/>
    </xf>
    <xf numFmtId="0" fontId="13" fillId="8" borderId="0" xfId="0" applyFont="1" applyFill="1" applyAlignment="1">
      <alignment horizontal="center" vertical="center"/>
    </xf>
    <xf numFmtId="0" fontId="6" fillId="9" borderId="0" xfId="0" applyFont="1" applyFill="1" applyAlignment="1">
      <alignment vertical="center"/>
    </xf>
    <xf numFmtId="0" fontId="6" fillId="9" borderId="0" xfId="0" applyFont="1" applyFill="1" applyAlignment="1">
      <alignment horizontal="center" vertical="center"/>
    </xf>
    <xf numFmtId="164" fontId="6" fillId="9" borderId="0" xfId="0" applyNumberFormat="1" applyFont="1" applyFill="1" applyAlignment="1">
      <alignment horizontal="center" vertical="center"/>
    </xf>
    <xf numFmtId="0" fontId="3" fillId="0" borderId="1" xfId="0" applyFont="1" applyBorder="1"/>
    <xf numFmtId="0" fontId="4" fillId="9" borderId="0" xfId="0" applyFont="1" applyFill="1" applyAlignment="1">
      <alignment vertical="center"/>
    </xf>
    <xf numFmtId="166" fontId="3" fillId="0" borderId="0" xfId="0" applyNumberFormat="1" applyFont="1" applyAlignment="1">
      <alignment horizontal="center" vertical="center"/>
    </xf>
    <xf numFmtId="0" fontId="10" fillId="6" borderId="3" xfId="0" applyFont="1" applyFill="1" applyBorder="1" applyAlignment="1">
      <alignment vertical="center"/>
    </xf>
    <xf numFmtId="0" fontId="16" fillId="6" borderId="3" xfId="0" applyFont="1" applyFill="1" applyBorder="1" applyAlignment="1">
      <alignment horizontal="center"/>
    </xf>
    <xf numFmtId="0" fontId="17" fillId="6" borderId="0" xfId="0" applyFont="1" applyFill="1"/>
    <xf numFmtId="0" fontId="0" fillId="0" borderId="0" xfId="0" applyAlignment="1">
      <alignment vertical="center"/>
    </xf>
    <xf numFmtId="0" fontId="13" fillId="0" borderId="3" xfId="0" applyFont="1" applyBorder="1" applyAlignment="1">
      <alignment horizontal="center" vertical="center"/>
    </xf>
    <xf numFmtId="0" fontId="9" fillId="0" borderId="3" xfId="0" applyFont="1" applyBorder="1" applyAlignment="1">
      <alignment horizontal="center" vertical="center"/>
    </xf>
    <xf numFmtId="0" fontId="5" fillId="0" borderId="0" xfId="0" applyFont="1" applyAlignment="1">
      <alignment horizontal="center" vertical="center"/>
    </xf>
    <xf numFmtId="165" fontId="19" fillId="0" borderId="0" xfId="0" applyNumberFormat="1" applyFont="1" applyAlignment="1">
      <alignment horizontal="center"/>
    </xf>
    <xf numFmtId="164" fontId="19" fillId="0" borderId="0" xfId="0" applyNumberFormat="1" applyFont="1" applyAlignment="1">
      <alignment horizontal="center"/>
    </xf>
    <xf numFmtId="165" fontId="20" fillId="0" borderId="3" xfId="0" applyNumberFormat="1" applyFont="1" applyBorder="1" applyAlignment="1">
      <alignment horizontal="center"/>
    </xf>
    <xf numFmtId="164" fontId="20" fillId="0" borderId="3" xfId="0" applyNumberFormat="1" applyFont="1" applyBorder="1" applyAlignment="1">
      <alignment horizontal="center"/>
    </xf>
    <xf numFmtId="0" fontId="22" fillId="0" borderId="0" xfId="0" applyFont="1" applyAlignment="1">
      <alignment horizontal="right" vertical="center"/>
    </xf>
    <xf numFmtId="164" fontId="18" fillId="0" borderId="0" xfId="0" applyNumberFormat="1" applyFont="1" applyAlignment="1">
      <alignment horizontal="center" vertical="center"/>
    </xf>
    <xf numFmtId="0" fontId="21" fillId="0" borderId="0" xfId="0" applyFont="1" applyAlignment="1">
      <alignment horizontal="center" vertical="center"/>
    </xf>
    <xf numFmtId="0" fontId="26" fillId="6" borderId="0" xfId="0" applyFont="1" applyFill="1"/>
    <xf numFmtId="0" fontId="26" fillId="6" borderId="0" xfId="0" applyFont="1" applyFill="1" applyAlignment="1">
      <alignment horizontal="center"/>
    </xf>
    <xf numFmtId="0" fontId="0" fillId="0" borderId="0" xfId="0" applyAlignment="1">
      <alignment horizontal="center" vertical="center"/>
    </xf>
    <xf numFmtId="3" fontId="0" fillId="0" borderId="0" xfId="0" applyNumberFormat="1" applyAlignment="1">
      <alignment vertical="center"/>
    </xf>
    <xf numFmtId="0" fontId="23" fillId="0" borderId="3" xfId="0" applyFont="1" applyBorder="1" applyAlignment="1">
      <alignment vertical="center"/>
    </xf>
    <xf numFmtId="3" fontId="21" fillId="0" borderId="3" xfId="0" applyNumberFormat="1" applyFont="1" applyBorder="1" applyAlignment="1">
      <alignment horizontal="center" vertical="center"/>
    </xf>
    <xf numFmtId="0" fontId="21" fillId="0" borderId="3" xfId="0" applyFont="1" applyBorder="1" applyAlignment="1">
      <alignment horizontal="center" vertical="center"/>
    </xf>
    <xf numFmtId="0" fontId="0" fillId="0" borderId="3" xfId="0" applyBorder="1" applyAlignment="1">
      <alignment vertical="center"/>
    </xf>
    <xf numFmtId="0" fontId="0" fillId="6" borderId="0" xfId="0" applyFill="1"/>
    <xf numFmtId="0" fontId="16" fillId="6" borderId="3" xfId="0" applyFont="1" applyFill="1" applyBorder="1" applyAlignment="1">
      <alignment horizontal="center" vertical="center"/>
    </xf>
    <xf numFmtId="0" fontId="28" fillId="0" borderId="0" xfId="0" applyFont="1" applyAlignment="1">
      <alignment vertical="center"/>
    </xf>
    <xf numFmtId="0" fontId="5" fillId="0" borderId="0" xfId="0" applyFont="1" applyAlignment="1">
      <alignment vertical="center"/>
    </xf>
    <xf numFmtId="0" fontId="29" fillId="0" borderId="0" xfId="0" applyFont="1" applyAlignment="1">
      <alignment vertical="center"/>
    </xf>
    <xf numFmtId="3" fontId="13" fillId="8" borderId="0" xfId="0" applyNumberFormat="1" applyFont="1" applyFill="1" applyAlignment="1">
      <alignment horizontal="center" vertical="center"/>
    </xf>
    <xf numFmtId="3" fontId="6" fillId="9" borderId="0" xfId="0" applyNumberFormat="1" applyFont="1" applyFill="1" applyAlignment="1">
      <alignment horizontal="center" vertical="center"/>
    </xf>
    <xf numFmtId="164" fontId="3" fillId="2" borderId="0" xfId="0" applyNumberFormat="1" applyFont="1" applyFill="1" applyAlignment="1">
      <alignment horizontal="center" vertical="center"/>
    </xf>
    <xf numFmtId="165" fontId="13" fillId="8" borderId="0" xfId="0" applyNumberFormat="1" applyFont="1" applyFill="1" applyAlignment="1">
      <alignment horizontal="center" vertical="center"/>
    </xf>
    <xf numFmtId="10" fontId="18" fillId="0" borderId="0" xfId="0" applyNumberFormat="1" applyFont="1" applyAlignment="1">
      <alignment horizontal="center" vertical="center"/>
    </xf>
    <xf numFmtId="165" fontId="3" fillId="0" borderId="0" xfId="0" applyNumberFormat="1" applyFont="1" applyAlignment="1">
      <alignment horizontal="right"/>
    </xf>
    <xf numFmtId="166" fontId="3" fillId="0" borderId="0" xfId="0" applyNumberFormat="1" applyFont="1" applyAlignment="1">
      <alignment horizontal="right"/>
    </xf>
    <xf numFmtId="0" fontId="31" fillId="9" borderId="0" xfId="0" applyFont="1" applyFill="1" applyAlignment="1">
      <alignment vertical="center"/>
    </xf>
    <xf numFmtId="0" fontId="31" fillId="9" borderId="0" xfId="0" applyFont="1" applyFill="1" applyAlignment="1">
      <alignment horizontal="right" vertical="center"/>
    </xf>
    <xf numFmtId="166" fontId="31" fillId="9" borderId="0" xfId="0" applyNumberFormat="1" applyFont="1" applyFill="1" applyAlignment="1">
      <alignment horizontal="right" vertical="center"/>
    </xf>
    <xf numFmtId="0" fontId="17" fillId="7" borderId="0" xfId="0" applyFont="1" applyFill="1" applyAlignment="1">
      <alignment vertical="center"/>
    </xf>
    <xf numFmtId="165" fontId="17" fillId="7" borderId="0" xfId="0" applyNumberFormat="1" applyFont="1" applyFill="1" applyAlignment="1">
      <alignment horizontal="right" vertical="center"/>
    </xf>
    <xf numFmtId="166" fontId="17" fillId="7" borderId="0" xfId="0" applyNumberFormat="1" applyFont="1" applyFill="1" applyAlignment="1">
      <alignment horizontal="right" vertical="center"/>
    </xf>
    <xf numFmtId="0" fontId="0" fillId="0" borderId="0" xfId="0" applyAlignment="1">
      <alignment horizontal="left" vertical="center" indent="1"/>
    </xf>
    <xf numFmtId="165" fontId="0" fillId="0" borderId="0" xfId="0" applyNumberFormat="1" applyAlignment="1">
      <alignment horizontal="right" vertical="center"/>
    </xf>
    <xf numFmtId="166" fontId="0" fillId="0" borderId="0" xfId="0" applyNumberFormat="1" applyAlignment="1">
      <alignment horizontal="right" vertical="center"/>
    </xf>
    <xf numFmtId="0" fontId="17" fillId="5" borderId="0" xfId="0" applyFont="1" applyFill="1" applyAlignment="1">
      <alignment vertical="center"/>
    </xf>
    <xf numFmtId="165" fontId="17" fillId="5" borderId="0" xfId="0" applyNumberFormat="1" applyFont="1" applyFill="1" applyAlignment="1">
      <alignment horizontal="right" vertical="center"/>
    </xf>
    <xf numFmtId="166" fontId="17" fillId="5" borderId="0" xfId="0" applyNumberFormat="1" applyFont="1" applyFill="1" applyAlignment="1">
      <alignment horizontal="right" vertical="center"/>
    </xf>
    <xf numFmtId="166" fontId="19" fillId="0" borderId="0" xfId="0" applyNumberFormat="1" applyFont="1" applyAlignment="1">
      <alignment horizontal="center"/>
    </xf>
    <xf numFmtId="3" fontId="19" fillId="0" borderId="0" xfId="0" applyNumberFormat="1" applyFont="1" applyAlignment="1">
      <alignment horizontal="center"/>
    </xf>
    <xf numFmtId="14" fontId="3" fillId="2" borderId="0" xfId="0" applyNumberFormat="1" applyFont="1" applyFill="1" applyAlignment="1">
      <alignment horizontal="center" vertical="center"/>
    </xf>
    <xf numFmtId="14" fontId="13" fillId="8" borderId="0" xfId="0" applyNumberFormat="1" applyFont="1" applyFill="1" applyAlignment="1">
      <alignment horizontal="center" vertical="center"/>
    </xf>
    <xf numFmtId="14" fontId="6" fillId="9" borderId="0" xfId="0" applyNumberFormat="1" applyFont="1" applyFill="1" applyAlignment="1">
      <alignment horizontal="center" vertical="center"/>
    </xf>
    <xf numFmtId="0" fontId="6" fillId="9" borderId="0" xfId="0" applyFont="1" applyFill="1" applyAlignment="1">
      <alignment horizontal="left" vertical="center"/>
    </xf>
    <xf numFmtId="0" fontId="28" fillId="2" borderId="0" xfId="0" applyFont="1" applyFill="1" applyAlignment="1">
      <alignment vertical="center"/>
    </xf>
    <xf numFmtId="3" fontId="25" fillId="2" borderId="0" xfId="0" applyNumberFormat="1" applyFont="1" applyFill="1" applyAlignment="1">
      <alignment horizontal="center" vertical="center"/>
    </xf>
    <xf numFmtId="0" fontId="25" fillId="2" borderId="0" xfId="0" applyFont="1" applyFill="1" applyAlignment="1">
      <alignment horizontal="center" vertical="center"/>
    </xf>
    <xf numFmtId="14" fontId="24" fillId="2" borderId="0" xfId="0" applyNumberFormat="1" applyFont="1" applyFill="1" applyAlignment="1">
      <alignment vertical="center"/>
    </xf>
    <xf numFmtId="0" fontId="27" fillId="0" borderId="3" xfId="0" applyFont="1" applyBorder="1" applyAlignment="1">
      <alignment vertical="center"/>
    </xf>
    <xf numFmtId="0" fontId="21" fillId="0" borderId="3" xfId="0" applyFont="1" applyBorder="1" applyAlignment="1">
      <alignment vertical="center"/>
    </xf>
    <xf numFmtId="9" fontId="21" fillId="0" borderId="3" xfId="0" applyNumberFormat="1" applyFont="1" applyBorder="1" applyAlignment="1">
      <alignment horizontal="center" vertical="center"/>
    </xf>
    <xf numFmtId="164" fontId="21" fillId="0" borderId="3" xfId="0" applyNumberFormat="1" applyFont="1" applyBorder="1" applyAlignment="1">
      <alignment horizontal="center" vertical="center"/>
    </xf>
    <xf numFmtId="165" fontId="3" fillId="0" borderId="3" xfId="0" applyNumberFormat="1" applyFont="1" applyBorder="1" applyAlignment="1">
      <alignment horizontal="center" vertical="center"/>
    </xf>
    <xf numFmtId="164" fontId="3" fillId="0" borderId="3" xfId="0" applyNumberFormat="1" applyFont="1" applyBorder="1" applyAlignment="1">
      <alignment horizontal="center" vertical="center"/>
    </xf>
    <xf numFmtId="0" fontId="0" fillId="0" borderId="0" xfId="0" applyAlignment="1">
      <alignment horizontal="left"/>
    </xf>
    <xf numFmtId="3" fontId="0" fillId="0" borderId="0" xfId="0" applyNumberFormat="1" applyAlignment="1">
      <alignment horizontal="center"/>
    </xf>
    <xf numFmtId="0" fontId="15" fillId="0" borderId="0" xfId="0" applyFont="1"/>
    <xf numFmtId="4" fontId="0" fillId="0" borderId="0" xfId="0" applyNumberFormat="1"/>
    <xf numFmtId="0" fontId="0" fillId="0" borderId="0" xfId="0" applyAlignment="1">
      <alignment horizontal="right"/>
    </xf>
    <xf numFmtId="10" fontId="0" fillId="0" borderId="0" xfId="0" applyNumberFormat="1"/>
    <xf numFmtId="0" fontId="17" fillId="0" borderId="0" xfId="0" applyFont="1"/>
    <xf numFmtId="4" fontId="17" fillId="0" borderId="0" xfId="0" applyNumberFormat="1" applyFont="1"/>
    <xf numFmtId="0" fontId="17" fillId="0" borderId="0" xfId="0" applyFont="1" applyAlignment="1">
      <alignment horizontal="right"/>
    </xf>
    <xf numFmtId="10" fontId="17" fillId="0" borderId="0" xfId="0" applyNumberFormat="1" applyFont="1"/>
    <xf numFmtId="0" fontId="0" fillId="0" borderId="0" xfId="0" applyAlignment="1">
      <alignment horizontal="center"/>
    </xf>
    <xf numFmtId="3" fontId="0" fillId="0" borderId="0" xfId="0" applyNumberFormat="1"/>
    <xf numFmtId="169" fontId="5" fillId="2" borderId="0" xfId="0" applyNumberFormat="1" applyFont="1" applyFill="1" applyAlignment="1">
      <alignment horizontal="center" vertical="center"/>
    </xf>
    <xf numFmtId="0" fontId="5" fillId="2" borderId="10" xfId="1" applyFont="1" applyFill="1" applyBorder="1" applyAlignment="1">
      <alignment vertical="center"/>
    </xf>
    <xf numFmtId="0" fontId="5" fillId="2" borderId="6" xfId="1" applyFont="1" applyFill="1" applyBorder="1" applyAlignment="1">
      <alignment horizontal="left" vertical="center"/>
    </xf>
    <xf numFmtId="3" fontId="4" fillId="6" borderId="3" xfId="4" applyNumberFormat="1" applyFont="1" applyFill="1" applyBorder="1" applyAlignment="1">
      <alignment horizontal="left" vertical="center"/>
    </xf>
    <xf numFmtId="0" fontId="35" fillId="2" borderId="0" xfId="0" applyFont="1" applyFill="1" applyAlignment="1">
      <alignment vertical="center"/>
    </xf>
    <xf numFmtId="3" fontId="34" fillId="11" borderId="3" xfId="0" applyNumberFormat="1" applyFont="1" applyFill="1" applyBorder="1" applyAlignment="1">
      <alignment horizontal="center" vertical="center"/>
    </xf>
    <xf numFmtId="4" fontId="34" fillId="11" borderId="3" xfId="0" applyNumberFormat="1" applyFont="1" applyFill="1" applyBorder="1" applyAlignment="1">
      <alignment horizontal="center" vertical="center"/>
    </xf>
    <xf numFmtId="3" fontId="5" fillId="0" borderId="3" xfId="0" applyNumberFormat="1" applyFont="1" applyBorder="1" applyAlignment="1">
      <alignment horizontal="center" vertical="center"/>
    </xf>
    <xf numFmtId="165" fontId="3" fillId="0" borderId="0" xfId="0" applyNumberFormat="1" applyFont="1" applyAlignment="1">
      <alignment vertical="center"/>
    </xf>
    <xf numFmtId="3" fontId="3" fillId="2" borderId="0" xfId="0" applyNumberFormat="1" applyFont="1" applyFill="1" applyAlignment="1">
      <alignment vertical="center"/>
    </xf>
    <xf numFmtId="167" fontId="4" fillId="6" borderId="3" xfId="0" applyNumberFormat="1" applyFont="1" applyFill="1" applyBorder="1" applyAlignment="1">
      <alignment horizontal="right" vertical="center"/>
    </xf>
    <xf numFmtId="0" fontId="9" fillId="0" borderId="0" xfId="1" applyFont="1" applyAlignment="1">
      <alignment vertical="center"/>
    </xf>
    <xf numFmtId="165" fontId="35" fillId="0" borderId="0" xfId="0" applyNumberFormat="1" applyFont="1" applyAlignment="1">
      <alignment vertical="center"/>
    </xf>
    <xf numFmtId="0" fontId="5" fillId="0" borderId="0" xfId="1" applyFont="1" applyAlignment="1">
      <alignment horizontal="left" vertical="center" indent="1"/>
    </xf>
    <xf numFmtId="0" fontId="5" fillId="0" borderId="0" xfId="1" applyFont="1" applyAlignment="1">
      <alignment horizontal="left" vertical="center"/>
    </xf>
    <xf numFmtId="166" fontId="34" fillId="0" borderId="0" xfId="1" applyNumberFormat="1" applyFont="1" applyAlignment="1">
      <alignment horizontal="center" vertical="center"/>
    </xf>
    <xf numFmtId="0" fontId="5" fillId="0" borderId="3" xfId="1" applyFont="1" applyBorder="1" applyAlignment="1">
      <alignment horizontal="left" vertical="center" indent="1"/>
    </xf>
    <xf numFmtId="0" fontId="5" fillId="0" borderId="3" xfId="1" applyFont="1" applyBorder="1" applyAlignment="1">
      <alignment horizontal="left" vertical="center"/>
    </xf>
    <xf numFmtId="166" fontId="34" fillId="0" borderId="3" xfId="1" applyNumberFormat="1" applyFont="1" applyBorder="1" applyAlignment="1">
      <alignment horizontal="center" vertical="center"/>
    </xf>
    <xf numFmtId="0" fontId="9" fillId="0" borderId="8" xfId="1" applyFont="1" applyBorder="1" applyAlignment="1">
      <alignment horizontal="left" vertical="center"/>
    </xf>
    <xf numFmtId="165" fontId="35" fillId="0" borderId="8" xfId="0" applyNumberFormat="1" applyFont="1" applyBorder="1" applyAlignment="1">
      <alignment vertical="center"/>
    </xf>
    <xf numFmtId="165" fontId="3" fillId="0" borderId="3" xfId="0" applyNumberFormat="1" applyFont="1" applyBorder="1" applyAlignment="1">
      <alignment vertical="center"/>
    </xf>
    <xf numFmtId="0" fontId="9" fillId="0" borderId="0" xfId="0" applyFont="1" applyAlignment="1">
      <alignment vertical="center"/>
    </xf>
    <xf numFmtId="0" fontId="3" fillId="6" borderId="3" xfId="0" applyFont="1" applyFill="1" applyBorder="1" applyAlignment="1">
      <alignment vertical="center"/>
    </xf>
    <xf numFmtId="0" fontId="3" fillId="0" borderId="0" xfId="0" applyFont="1" applyAlignment="1">
      <alignment horizontal="left" vertical="center" indent="1"/>
    </xf>
    <xf numFmtId="0" fontId="5" fillId="0" borderId="0" xfId="1" applyFont="1" applyAlignment="1">
      <alignment vertical="center"/>
    </xf>
    <xf numFmtId="0" fontId="9" fillId="0" borderId="8" xfId="0" applyFont="1" applyBorder="1" applyAlignment="1">
      <alignment vertical="center"/>
    </xf>
    <xf numFmtId="0" fontId="36" fillId="0" borderId="0" xfId="1" applyFont="1" applyAlignment="1">
      <alignment vertical="center"/>
    </xf>
    <xf numFmtId="166" fontId="36" fillId="0" borderId="0" xfId="0" applyNumberFormat="1" applyFont="1" applyAlignment="1">
      <alignment vertical="center"/>
    </xf>
    <xf numFmtId="0" fontId="37" fillId="0" borderId="0" xfId="1" applyFont="1" applyAlignment="1">
      <alignment vertical="center"/>
    </xf>
    <xf numFmtId="10" fontId="3" fillId="0" borderId="0" xfId="0" applyNumberFormat="1" applyFont="1" applyAlignment="1">
      <alignment vertical="center"/>
    </xf>
    <xf numFmtId="0" fontId="4" fillId="13" borderId="0" xfId="0" applyFont="1" applyFill="1" applyAlignment="1">
      <alignment vertical="center"/>
    </xf>
    <xf numFmtId="0" fontId="4" fillId="13" borderId="0" xfId="0" applyFont="1" applyFill="1" applyAlignment="1">
      <alignment horizontal="right" vertical="center"/>
    </xf>
    <xf numFmtId="0" fontId="5" fillId="12" borderId="0" xfId="0" applyFont="1" applyFill="1" applyAlignment="1">
      <alignment vertical="center"/>
    </xf>
    <xf numFmtId="0" fontId="9" fillId="12" borderId="0" xfId="0" applyFont="1" applyFill="1" applyAlignment="1">
      <alignment vertical="center"/>
    </xf>
    <xf numFmtId="165" fontId="9" fillId="12" borderId="0" xfId="0" applyNumberFormat="1" applyFont="1" applyFill="1" applyAlignment="1">
      <alignment horizontal="right" vertical="center"/>
    </xf>
    <xf numFmtId="0" fontId="5" fillId="2" borderId="0" xfId="0" applyFont="1" applyFill="1" applyAlignment="1">
      <alignment vertical="center"/>
    </xf>
    <xf numFmtId="9" fontId="38" fillId="2" borderId="0" xfId="0" applyNumberFormat="1" applyFont="1" applyFill="1" applyAlignment="1">
      <alignment horizontal="right" vertical="center"/>
    </xf>
    <xf numFmtId="9" fontId="5" fillId="2" borderId="0" xfId="0" applyNumberFormat="1" applyFont="1" applyFill="1" applyAlignment="1">
      <alignment horizontal="right" vertical="center"/>
    </xf>
    <xf numFmtId="0" fontId="39" fillId="2" borderId="0" xfId="0" applyFont="1" applyFill="1" applyAlignment="1">
      <alignment horizontal="left" vertical="center" indent="1"/>
    </xf>
    <xf numFmtId="166" fontId="3" fillId="2" borderId="0" xfId="0" applyNumberFormat="1" applyFont="1" applyFill="1" applyAlignment="1">
      <alignment vertical="center"/>
    </xf>
    <xf numFmtId="166" fontId="34" fillId="2" borderId="0" xfId="0" applyNumberFormat="1" applyFont="1" applyFill="1" applyAlignment="1">
      <alignment horizontal="right" vertical="center"/>
    </xf>
    <xf numFmtId="0" fontId="3" fillId="2" borderId="0" xfId="0" applyFont="1" applyFill="1" applyAlignment="1">
      <alignment horizontal="right" vertical="center"/>
    </xf>
    <xf numFmtId="0" fontId="4" fillId="13" borderId="0" xfId="0" applyFont="1" applyFill="1" applyAlignment="1">
      <alignment horizontal="right" vertical="center" wrapText="1"/>
    </xf>
    <xf numFmtId="166" fontId="3" fillId="2" borderId="0" xfId="0" applyNumberFormat="1" applyFont="1" applyFill="1" applyAlignment="1">
      <alignment horizontal="right" vertical="center"/>
    </xf>
    <xf numFmtId="10" fontId="34" fillId="2" borderId="0" xfId="0" applyNumberFormat="1" applyFont="1" applyFill="1" applyAlignment="1">
      <alignment horizontal="right" vertical="center"/>
    </xf>
    <xf numFmtId="165" fontId="3" fillId="2" borderId="0" xfId="0" applyNumberFormat="1" applyFont="1" applyFill="1" applyAlignment="1">
      <alignment vertical="center"/>
    </xf>
    <xf numFmtId="165" fontId="35" fillId="2" borderId="0" xfId="0" applyNumberFormat="1" applyFont="1" applyFill="1" applyAlignment="1">
      <alignment vertical="center"/>
    </xf>
    <xf numFmtId="6" fontId="35" fillId="0" borderId="3" xfId="0" applyNumberFormat="1" applyFont="1" applyBorder="1" applyAlignment="1">
      <alignment horizontal="center"/>
    </xf>
    <xf numFmtId="0" fontId="5" fillId="0" borderId="3" xfId="0" applyFont="1" applyBorder="1" applyAlignment="1">
      <alignment vertical="center"/>
    </xf>
    <xf numFmtId="0" fontId="3" fillId="0" borderId="3" xfId="0" applyFont="1" applyBorder="1"/>
    <xf numFmtId="0" fontId="3" fillId="0" borderId="3" xfId="0" applyFont="1" applyBorder="1" applyAlignment="1">
      <alignment horizontal="right"/>
    </xf>
    <xf numFmtId="165" fontId="3" fillId="0" borderId="0" xfId="0" applyNumberFormat="1" applyFont="1" applyAlignment="1">
      <alignment horizontal="right" vertical="center"/>
    </xf>
    <xf numFmtId="165" fontId="3" fillId="0" borderId="3" xfId="0" applyNumberFormat="1" applyFont="1" applyBorder="1" applyAlignment="1">
      <alignment horizontal="right" vertical="center"/>
    </xf>
    <xf numFmtId="165" fontId="5" fillId="0" borderId="0" xfId="0" applyNumberFormat="1" applyFont="1" applyAlignment="1">
      <alignment horizontal="right" vertical="center"/>
    </xf>
    <xf numFmtId="165" fontId="5" fillId="0" borderId="3" xfId="0" applyNumberFormat="1" applyFont="1" applyBorder="1" applyAlignment="1">
      <alignment horizontal="right" vertical="center"/>
    </xf>
    <xf numFmtId="165" fontId="34" fillId="11" borderId="8" xfId="0" applyNumberFormat="1" applyFont="1" applyFill="1" applyBorder="1" applyAlignment="1">
      <alignment horizontal="center" vertical="center"/>
    </xf>
    <xf numFmtId="165" fontId="3" fillId="0" borderId="0" xfId="0" applyNumberFormat="1" applyFont="1"/>
    <xf numFmtId="164" fontId="3" fillId="0" borderId="0" xfId="0" applyNumberFormat="1" applyFont="1"/>
    <xf numFmtId="170" fontId="5" fillId="0" borderId="0" xfId="0" applyNumberFormat="1" applyFont="1" applyAlignment="1">
      <alignment horizontal="center" vertical="center"/>
    </xf>
    <xf numFmtId="165" fontId="5" fillId="0" borderId="0" xfId="0" applyNumberFormat="1" applyFont="1" applyAlignment="1">
      <alignment vertical="center"/>
    </xf>
    <xf numFmtId="165" fontId="5" fillId="0" borderId="3" xfId="0" applyNumberFormat="1" applyFont="1" applyBorder="1" applyAlignment="1">
      <alignment vertical="center"/>
    </xf>
    <xf numFmtId="170" fontId="5" fillId="0" borderId="13" xfId="0" applyNumberFormat="1" applyFont="1" applyBorder="1" applyAlignment="1">
      <alignment horizontal="center" vertical="center"/>
    </xf>
    <xf numFmtId="10" fontId="3" fillId="0" borderId="13" xfId="0" applyNumberFormat="1" applyFont="1" applyBorder="1" applyAlignment="1">
      <alignment horizontal="center"/>
    </xf>
    <xf numFmtId="166" fontId="34" fillId="0" borderId="3" xfId="0" applyNumberFormat="1" applyFont="1" applyBorder="1" applyAlignment="1">
      <alignment horizontal="center"/>
    </xf>
    <xf numFmtId="165" fontId="5" fillId="12" borderId="0" xfId="0" applyNumberFormat="1" applyFont="1" applyFill="1" applyAlignment="1">
      <alignment vertical="center"/>
    </xf>
    <xf numFmtId="165" fontId="5" fillId="12" borderId="3" xfId="0" applyNumberFormat="1" applyFont="1" applyFill="1" applyBorder="1" applyAlignment="1">
      <alignment horizontal="right" vertical="center"/>
    </xf>
    <xf numFmtId="0" fontId="34" fillId="12" borderId="0" xfId="0" applyFont="1" applyFill="1" applyAlignment="1">
      <alignment horizontal="center" vertical="center"/>
    </xf>
    <xf numFmtId="0" fontId="3" fillId="2" borderId="3" xfId="0" applyFont="1" applyFill="1" applyBorder="1" applyAlignment="1">
      <alignment vertical="center"/>
    </xf>
    <xf numFmtId="165" fontId="3" fillId="2" borderId="3" xfId="0" applyNumberFormat="1" applyFont="1" applyFill="1" applyBorder="1" applyAlignment="1">
      <alignment vertical="center"/>
    </xf>
    <xf numFmtId="9" fontId="3" fillId="2" borderId="3" xfId="0" applyNumberFormat="1" applyFont="1" applyFill="1" applyBorder="1" applyAlignment="1">
      <alignment vertical="center"/>
    </xf>
    <xf numFmtId="167" fontId="4" fillId="13" borderId="3" xfId="0" applyNumberFormat="1" applyFont="1" applyFill="1" applyBorder="1" applyAlignment="1">
      <alignment horizontal="right" vertical="center"/>
    </xf>
    <xf numFmtId="0" fontId="3" fillId="0" borderId="5" xfId="0" applyFont="1" applyBorder="1"/>
    <xf numFmtId="0" fontId="35" fillId="0" borderId="14" xfId="0" applyFont="1" applyBorder="1" applyAlignment="1">
      <alignment horizontal="right"/>
    </xf>
    <xf numFmtId="0" fontId="35" fillId="0" borderId="13" xfId="0" applyFont="1" applyBorder="1" applyAlignment="1">
      <alignment horizontal="right"/>
    </xf>
    <xf numFmtId="0" fontId="35" fillId="0" borderId="0" xfId="0" applyFont="1" applyAlignment="1">
      <alignment horizontal="right"/>
    </xf>
    <xf numFmtId="10" fontId="3" fillId="0" borderId="0" xfId="0" applyNumberFormat="1" applyFont="1" applyAlignment="1">
      <alignment horizontal="center"/>
    </xf>
    <xf numFmtId="0" fontId="9" fillId="0" borderId="15" xfId="0" applyFont="1" applyBorder="1" applyAlignment="1">
      <alignment vertical="center"/>
    </xf>
    <xf numFmtId="0" fontId="9" fillId="0" borderId="16" xfId="0" applyFont="1" applyBorder="1" applyAlignment="1">
      <alignment vertical="center"/>
    </xf>
    <xf numFmtId="165" fontId="35" fillId="0" borderId="16" xfId="0" applyNumberFormat="1" applyFont="1" applyBorder="1" applyAlignment="1">
      <alignment vertical="center"/>
    </xf>
    <xf numFmtId="165" fontId="35" fillId="0" borderId="17" xfId="0" applyNumberFormat="1" applyFont="1" applyBorder="1" applyAlignment="1">
      <alignment vertical="center"/>
    </xf>
    <xf numFmtId="0" fontId="42" fillId="0" borderId="0" xfId="0" applyFont="1" applyAlignment="1">
      <alignment vertical="center"/>
    </xf>
    <xf numFmtId="10" fontId="34" fillId="2" borderId="0" xfId="0" applyNumberFormat="1" applyFont="1" applyFill="1" applyAlignment="1">
      <alignment vertical="center"/>
    </xf>
    <xf numFmtId="0" fontId="43" fillId="0" borderId="0" xfId="0" applyFont="1" applyAlignment="1">
      <alignment vertical="center"/>
    </xf>
    <xf numFmtId="0" fontId="44" fillId="2" borderId="0" xfId="0" applyFont="1" applyFill="1" applyAlignment="1">
      <alignment horizontal="left" vertical="center" indent="1"/>
    </xf>
    <xf numFmtId="0" fontId="44" fillId="2" borderId="0" xfId="0" applyFont="1" applyFill="1" applyAlignment="1">
      <alignment horizontal="left" vertical="center"/>
    </xf>
    <xf numFmtId="168" fontId="45" fillId="2" borderId="0" xfId="0" applyNumberFormat="1" applyFont="1" applyFill="1" applyAlignment="1">
      <alignment vertical="center"/>
    </xf>
    <xf numFmtId="0" fontId="3" fillId="2" borderId="8" xfId="0" applyFont="1" applyFill="1" applyBorder="1" applyAlignment="1">
      <alignment vertical="center"/>
    </xf>
    <xf numFmtId="165" fontId="3" fillId="2" borderId="8" xfId="0" applyNumberFormat="1" applyFont="1" applyFill="1" applyBorder="1" applyAlignment="1">
      <alignment vertical="center"/>
    </xf>
    <xf numFmtId="0" fontId="5" fillId="12" borderId="3" xfId="0" quotePrefix="1" applyFont="1" applyFill="1" applyBorder="1" applyAlignment="1">
      <alignment horizontal="left" vertical="center"/>
    </xf>
    <xf numFmtId="165" fontId="3" fillId="0" borderId="3" xfId="0" applyNumberFormat="1" applyFont="1" applyBorder="1"/>
    <xf numFmtId="10" fontId="34" fillId="2" borderId="0" xfId="1" applyNumberFormat="1" applyFont="1" applyFill="1" applyAlignment="1">
      <alignment horizontal="center" vertical="center"/>
    </xf>
    <xf numFmtId="3" fontId="4" fillId="6" borderId="10" xfId="4" applyNumberFormat="1" applyFont="1" applyFill="1" applyBorder="1" applyAlignment="1">
      <alignment horizontal="left" vertical="center"/>
    </xf>
    <xf numFmtId="0" fontId="5" fillId="2" borderId="1" xfId="1" applyFont="1" applyFill="1" applyBorder="1" applyAlignment="1">
      <alignment horizontal="left" vertical="center"/>
    </xf>
    <xf numFmtId="3" fontId="4" fillId="6" borderId="1" xfId="4" applyNumberFormat="1" applyFont="1" applyFill="1" applyBorder="1" applyAlignment="1">
      <alignment horizontal="left" vertical="center"/>
    </xf>
    <xf numFmtId="3" fontId="4" fillId="6" borderId="7" xfId="4" applyNumberFormat="1" applyFont="1" applyFill="1" applyBorder="1" applyAlignment="1">
      <alignment horizontal="left" vertical="center"/>
    </xf>
    <xf numFmtId="3" fontId="4" fillId="6" borderId="8" xfId="4" applyNumberFormat="1" applyFont="1" applyFill="1" applyBorder="1" applyAlignment="1">
      <alignment horizontal="center" vertical="center"/>
    </xf>
    <xf numFmtId="3" fontId="34" fillId="11" borderId="0" xfId="0" applyNumberFormat="1" applyFont="1" applyFill="1" applyAlignment="1">
      <alignment horizontal="center" vertical="center"/>
    </xf>
    <xf numFmtId="166" fontId="34" fillId="11" borderId="0" xfId="0" applyNumberFormat="1" applyFont="1" applyFill="1" applyAlignment="1">
      <alignment horizontal="center" vertical="center"/>
    </xf>
    <xf numFmtId="3" fontId="5" fillId="11" borderId="0" xfId="0" applyNumberFormat="1" applyFont="1" applyFill="1" applyAlignment="1">
      <alignment horizontal="center" vertical="center"/>
    </xf>
    <xf numFmtId="0" fontId="9" fillId="2" borderId="7" xfId="1" applyFont="1" applyFill="1" applyBorder="1" applyAlignment="1">
      <alignment horizontal="left" vertical="center"/>
    </xf>
    <xf numFmtId="0" fontId="5" fillId="2" borderId="1" xfId="1" applyFont="1" applyFill="1" applyBorder="1" applyAlignment="1">
      <alignment vertical="center"/>
    </xf>
    <xf numFmtId="6" fontId="3" fillId="0" borderId="0" xfId="0" applyNumberFormat="1" applyFont="1" applyAlignment="1">
      <alignment horizontal="center"/>
    </xf>
    <xf numFmtId="166" fontId="34" fillId="0" borderId="0" xfId="0" applyNumberFormat="1" applyFont="1" applyAlignment="1">
      <alignment horizontal="center"/>
    </xf>
    <xf numFmtId="0" fontId="9" fillId="2" borderId="6" xfId="1" applyFont="1" applyFill="1" applyBorder="1" applyAlignment="1">
      <alignment horizontal="left" vertical="center"/>
    </xf>
    <xf numFmtId="165" fontId="3" fillId="0" borderId="3" xfId="0" applyNumberFormat="1" applyFont="1" applyBorder="1" applyAlignment="1">
      <alignment horizontal="center"/>
    </xf>
    <xf numFmtId="3" fontId="4" fillId="6" borderId="7" xfId="4" applyNumberFormat="1" applyFont="1" applyFill="1" applyBorder="1" applyAlignment="1">
      <alignment horizontal="right" vertical="center"/>
    </xf>
    <xf numFmtId="3" fontId="4" fillId="6" borderId="13" xfId="4" applyNumberFormat="1" applyFont="1" applyFill="1" applyBorder="1" applyAlignment="1">
      <alignment horizontal="right" vertical="center"/>
    </xf>
    <xf numFmtId="10" fontId="34" fillId="2" borderId="0" xfId="1" applyNumberFormat="1" applyFont="1" applyFill="1" applyAlignment="1">
      <alignment horizontal="right" vertical="center"/>
    </xf>
    <xf numFmtId="10" fontId="34" fillId="2" borderId="2" xfId="1" applyNumberFormat="1" applyFont="1" applyFill="1" applyBorder="1" applyAlignment="1">
      <alignment horizontal="right" vertical="center"/>
    </xf>
    <xf numFmtId="3" fontId="34" fillId="11" borderId="0" xfId="0" applyNumberFormat="1" applyFont="1" applyFill="1" applyAlignment="1">
      <alignment horizontal="right" vertical="center"/>
    </xf>
    <xf numFmtId="3" fontId="34" fillId="11" borderId="2" xfId="0" applyNumberFormat="1" applyFont="1" applyFill="1" applyBorder="1" applyAlignment="1">
      <alignment horizontal="right" vertical="center"/>
    </xf>
    <xf numFmtId="3" fontId="34" fillId="0" borderId="0" xfId="0" applyNumberFormat="1" applyFont="1" applyAlignment="1">
      <alignment horizontal="right" vertical="center"/>
    </xf>
    <xf numFmtId="3" fontId="34" fillId="0" borderId="2" xfId="0" applyNumberFormat="1" applyFont="1" applyBorder="1" applyAlignment="1">
      <alignment horizontal="right" vertical="center"/>
    </xf>
    <xf numFmtId="3" fontId="34" fillId="11" borderId="3" xfId="0" applyNumberFormat="1" applyFont="1" applyFill="1" applyBorder="1" applyAlignment="1">
      <alignment horizontal="right" vertical="center"/>
    </xf>
    <xf numFmtId="3" fontId="34" fillId="11" borderId="5" xfId="0" applyNumberFormat="1" applyFont="1" applyFill="1" applyBorder="1" applyAlignment="1">
      <alignment horizontal="right" vertical="center"/>
    </xf>
    <xf numFmtId="166" fontId="34" fillId="11" borderId="0" xfId="0" applyNumberFormat="1" applyFont="1" applyFill="1" applyAlignment="1">
      <alignment horizontal="right" vertical="center"/>
    </xf>
    <xf numFmtId="166" fontId="34" fillId="11" borderId="2" xfId="0" applyNumberFormat="1" applyFont="1" applyFill="1" applyBorder="1" applyAlignment="1">
      <alignment horizontal="right" vertical="center"/>
    </xf>
    <xf numFmtId="4" fontId="34" fillId="11" borderId="3" xfId="0" applyNumberFormat="1" applyFont="1" applyFill="1" applyBorder="1" applyAlignment="1">
      <alignment horizontal="right" vertical="center"/>
    </xf>
    <xf numFmtId="4" fontId="34" fillId="11" borderId="5" xfId="0" applyNumberFormat="1" applyFont="1" applyFill="1" applyBorder="1" applyAlignment="1">
      <alignment horizontal="right" vertical="center"/>
    </xf>
    <xf numFmtId="165" fontId="34" fillId="11" borderId="8" xfId="0" applyNumberFormat="1" applyFont="1" applyFill="1" applyBorder="1" applyAlignment="1">
      <alignment horizontal="right" vertical="center"/>
    </xf>
    <xf numFmtId="165" fontId="3" fillId="0" borderId="2" xfId="0" applyNumberFormat="1" applyFont="1" applyBorder="1" applyAlignment="1">
      <alignment horizontal="right"/>
    </xf>
    <xf numFmtId="165" fontId="3" fillId="0" borderId="3" xfId="0" applyNumberFormat="1" applyFont="1" applyBorder="1" applyAlignment="1">
      <alignment horizontal="right"/>
    </xf>
    <xf numFmtId="165" fontId="3" fillId="0" borderId="5" xfId="0" applyNumberFormat="1" applyFont="1" applyBorder="1" applyAlignment="1">
      <alignment horizontal="right"/>
    </xf>
    <xf numFmtId="165" fontId="35" fillId="0" borderId="3" xfId="0" applyNumberFormat="1" applyFont="1" applyBorder="1" applyAlignment="1">
      <alignment horizontal="right"/>
    </xf>
    <xf numFmtId="165" fontId="35" fillId="0" borderId="5" xfId="0" applyNumberFormat="1" applyFont="1" applyBorder="1" applyAlignment="1">
      <alignment horizontal="right"/>
    </xf>
    <xf numFmtId="3" fontId="4" fillId="6" borderId="11" xfId="4" applyNumberFormat="1" applyFont="1" applyFill="1" applyBorder="1" applyAlignment="1">
      <alignment horizontal="right" vertical="center"/>
    </xf>
    <xf numFmtId="3" fontId="4" fillId="6" borderId="12" xfId="4" applyNumberFormat="1" applyFont="1" applyFill="1" applyBorder="1" applyAlignment="1">
      <alignment horizontal="right" vertical="center"/>
    </xf>
    <xf numFmtId="165" fontId="34" fillId="2" borderId="2" xfId="1" applyNumberFormat="1" applyFont="1" applyFill="1" applyBorder="1" applyAlignment="1">
      <alignment horizontal="right" vertical="center"/>
    </xf>
    <xf numFmtId="3" fontId="4" fillId="6" borderId="0" xfId="4" applyNumberFormat="1" applyFont="1" applyFill="1" applyAlignment="1">
      <alignment horizontal="right" vertical="center"/>
    </xf>
    <xf numFmtId="3" fontId="4" fillId="6" borderId="5" xfId="4" applyNumberFormat="1" applyFont="1" applyFill="1" applyBorder="1" applyAlignment="1">
      <alignment horizontal="right" vertical="center"/>
    </xf>
    <xf numFmtId="165" fontId="34" fillId="2" borderId="2" xfId="0" applyNumberFormat="1" applyFont="1" applyFill="1" applyBorder="1" applyAlignment="1">
      <alignment horizontal="right" vertical="center"/>
    </xf>
    <xf numFmtId="3" fontId="3" fillId="0" borderId="0" xfId="0" applyNumberFormat="1" applyFont="1" applyAlignment="1">
      <alignment horizontal="right"/>
    </xf>
    <xf numFmtId="9" fontId="34" fillId="2" borderId="2" xfId="1" applyNumberFormat="1" applyFont="1" applyFill="1" applyBorder="1" applyAlignment="1">
      <alignment horizontal="right" vertical="center"/>
    </xf>
    <xf numFmtId="167" fontId="5" fillId="2" borderId="0" xfId="0" applyNumberFormat="1" applyFont="1" applyFill="1" applyAlignment="1">
      <alignment horizontal="right" vertical="center"/>
    </xf>
    <xf numFmtId="3" fontId="34" fillId="0" borderId="12" xfId="0" applyNumberFormat="1" applyFont="1" applyBorder="1" applyAlignment="1">
      <alignment horizontal="right" vertical="center"/>
    </xf>
    <xf numFmtId="3" fontId="34" fillId="0" borderId="3" xfId="0" applyNumberFormat="1" applyFont="1" applyBorder="1" applyAlignment="1">
      <alignment horizontal="right" vertical="center"/>
    </xf>
    <xf numFmtId="3" fontId="34" fillId="0" borderId="5" xfId="0" applyNumberFormat="1" applyFont="1" applyBorder="1" applyAlignment="1">
      <alignment horizontal="right" vertical="center"/>
    </xf>
    <xf numFmtId="0" fontId="34" fillId="0" borderId="6" xfId="0" applyFont="1" applyBorder="1"/>
    <xf numFmtId="0" fontId="35" fillId="0" borderId="1" xfId="0" applyFont="1" applyBorder="1"/>
    <xf numFmtId="0" fontId="35" fillId="0" borderId="6" xfId="0" quotePrefix="1" applyFont="1" applyBorder="1"/>
    <xf numFmtId="0" fontId="4" fillId="13" borderId="3" xfId="0" applyFont="1" applyFill="1" applyBorder="1" applyAlignment="1">
      <alignment vertical="center"/>
    </xf>
    <xf numFmtId="0" fontId="34" fillId="0" borderId="0" xfId="1" applyFont="1" applyAlignment="1">
      <alignment horizontal="left" vertical="center" indent="1"/>
    </xf>
    <xf numFmtId="0" fontId="34" fillId="0" borderId="0" xfId="1" applyFont="1" applyAlignment="1">
      <alignment vertical="center"/>
    </xf>
    <xf numFmtId="0" fontId="34" fillId="0" borderId="3" xfId="1" applyFont="1" applyBorder="1" applyAlignment="1">
      <alignment horizontal="left" vertical="center" indent="1"/>
    </xf>
    <xf numFmtId="0" fontId="34" fillId="0" borderId="3" xfId="1" applyFont="1" applyBorder="1" applyAlignment="1">
      <alignment vertical="center"/>
    </xf>
    <xf numFmtId="0" fontId="34" fillId="0" borderId="0" xfId="1" applyFont="1" applyAlignment="1">
      <alignment horizontal="left" vertical="center"/>
    </xf>
    <xf numFmtId="0" fontId="34" fillId="0" borderId="3" xfId="1" applyFont="1" applyBorder="1" applyAlignment="1">
      <alignment horizontal="left" vertical="center"/>
    </xf>
    <xf numFmtId="10" fontId="3" fillId="2" borderId="0" xfId="0" applyNumberFormat="1" applyFont="1" applyFill="1" applyAlignment="1">
      <alignment horizontal="center" vertical="center"/>
    </xf>
    <xf numFmtId="0" fontId="4" fillId="13" borderId="3" xfId="0" applyFont="1" applyFill="1" applyBorder="1" applyAlignment="1">
      <alignment horizontal="center" vertical="center"/>
    </xf>
    <xf numFmtId="0" fontId="4" fillId="13" borderId="3" xfId="0" applyFont="1" applyFill="1" applyBorder="1" applyAlignment="1">
      <alignment horizontal="right" vertical="center"/>
    </xf>
    <xf numFmtId="165" fontId="34" fillId="0" borderId="9" xfId="0" applyNumberFormat="1" applyFont="1" applyBorder="1" applyAlignment="1">
      <alignment horizontal="right"/>
    </xf>
    <xf numFmtId="165" fontId="5" fillId="11" borderId="0" xfId="0" applyNumberFormat="1" applyFont="1" applyFill="1" applyAlignment="1">
      <alignment horizontal="right" vertical="center"/>
    </xf>
    <xf numFmtId="165" fontId="5" fillId="11" borderId="2" xfId="0" applyNumberFormat="1" applyFont="1" applyFill="1" applyBorder="1" applyAlignment="1">
      <alignment horizontal="right" vertical="center"/>
    </xf>
    <xf numFmtId="165" fontId="5" fillId="0" borderId="5" xfId="0" applyNumberFormat="1" applyFont="1" applyBorder="1" applyAlignment="1">
      <alignment horizontal="right" vertical="center"/>
    </xf>
    <xf numFmtId="0" fontId="4" fillId="13" borderId="13" xfId="0" applyFont="1" applyFill="1" applyBorder="1" applyAlignment="1">
      <alignment horizontal="center"/>
    </xf>
    <xf numFmtId="0" fontId="0" fillId="0" borderId="0" xfId="0" applyAlignment="1">
      <alignment vertical="center" wrapText="1"/>
    </xf>
    <xf numFmtId="3" fontId="3" fillId="0" borderId="0" xfId="0" applyNumberFormat="1" applyFont="1" applyAlignment="1">
      <alignment horizontal="left" vertical="center"/>
    </xf>
    <xf numFmtId="14" fontId="0" fillId="0" borderId="0" xfId="0" applyNumberFormat="1" applyAlignment="1">
      <alignment vertical="center"/>
    </xf>
    <xf numFmtId="0" fontId="46" fillId="0" borderId="0" xfId="0" applyFont="1" applyAlignment="1">
      <alignment vertical="center"/>
    </xf>
    <xf numFmtId="3" fontId="5" fillId="0" borderId="0" xfId="0" applyNumberFormat="1" applyFont="1" applyAlignment="1">
      <alignment horizontal="center" vertical="center"/>
    </xf>
    <xf numFmtId="4" fontId="3" fillId="0" borderId="0" xfId="0" applyNumberFormat="1" applyFont="1" applyAlignment="1">
      <alignment vertical="center"/>
    </xf>
    <xf numFmtId="9" fontId="3" fillId="0" borderId="0" xfId="0" applyNumberFormat="1" applyFont="1" applyAlignment="1">
      <alignment vertical="center"/>
    </xf>
    <xf numFmtId="3" fontId="3" fillId="0" borderId="0" xfId="0" applyNumberFormat="1" applyFont="1" applyAlignment="1">
      <alignment vertical="center"/>
    </xf>
    <xf numFmtId="166" fontId="3" fillId="0" borderId="0" xfId="0" applyNumberFormat="1" applyFont="1" applyAlignment="1">
      <alignment vertical="center"/>
    </xf>
    <xf numFmtId="164" fontId="3" fillId="0" borderId="0" xfId="0" applyNumberFormat="1" applyFont="1" applyAlignment="1">
      <alignment vertical="center"/>
    </xf>
    <xf numFmtId="166" fontId="8" fillId="0" borderId="1" xfId="0" applyNumberFormat="1" applyFont="1" applyBorder="1" applyAlignment="1">
      <alignment horizontal="center" vertical="center"/>
    </xf>
    <xf numFmtId="166" fontId="10" fillId="6" borderId="1" xfId="0" applyNumberFormat="1" applyFont="1" applyFill="1" applyBorder="1" applyAlignment="1">
      <alignment horizontal="center" vertical="center"/>
    </xf>
    <xf numFmtId="166" fontId="10" fillId="14" borderId="1" xfId="0" applyNumberFormat="1" applyFont="1" applyFill="1" applyBorder="1" applyAlignment="1">
      <alignment horizontal="center" vertical="center"/>
    </xf>
    <xf numFmtId="166" fontId="10" fillId="15" borderId="1" xfId="0" applyNumberFormat="1" applyFont="1" applyFill="1" applyBorder="1" applyAlignment="1">
      <alignment horizontal="center" vertical="center"/>
    </xf>
    <xf numFmtId="166" fontId="3" fillId="15" borderId="1" xfId="0" applyNumberFormat="1" applyFont="1" applyFill="1" applyBorder="1" applyAlignment="1">
      <alignment horizontal="center" vertical="center"/>
    </xf>
    <xf numFmtId="166" fontId="10" fillId="16" borderId="1" xfId="0" applyNumberFormat="1" applyFont="1" applyFill="1" applyBorder="1" applyAlignment="1">
      <alignment horizontal="center" vertical="center"/>
    </xf>
    <xf numFmtId="166" fontId="3" fillId="16" borderId="1" xfId="0" applyNumberFormat="1" applyFont="1" applyFill="1" applyBorder="1" applyAlignment="1">
      <alignment horizontal="center" vertical="center"/>
    </xf>
    <xf numFmtId="166" fontId="10" fillId="18" borderId="1" xfId="0" applyNumberFormat="1" applyFont="1" applyFill="1" applyBorder="1" applyAlignment="1">
      <alignment horizontal="center" vertical="center"/>
    </xf>
    <xf numFmtId="166" fontId="3" fillId="18" borderId="1" xfId="0" applyNumberFormat="1" applyFont="1" applyFill="1" applyBorder="1" applyAlignment="1">
      <alignment horizontal="center" vertical="center"/>
    </xf>
    <xf numFmtId="166" fontId="10" fillId="17" borderId="1" xfId="0" applyNumberFormat="1" applyFont="1" applyFill="1" applyBorder="1" applyAlignment="1">
      <alignment horizontal="center" vertical="center"/>
    </xf>
    <xf numFmtId="166" fontId="3" fillId="17" borderId="1" xfId="0" applyNumberFormat="1" applyFont="1" applyFill="1" applyBorder="1" applyAlignment="1">
      <alignment horizontal="center" vertical="center"/>
    </xf>
    <xf numFmtId="165" fontId="10" fillId="6" borderId="1" xfId="0" applyNumberFormat="1" applyFont="1" applyFill="1" applyBorder="1" applyAlignment="1">
      <alignment horizontal="center" vertical="center"/>
    </xf>
    <xf numFmtId="165" fontId="10" fillId="14" borderId="1" xfId="0" applyNumberFormat="1" applyFont="1" applyFill="1" applyBorder="1" applyAlignment="1">
      <alignment horizontal="center" vertical="center"/>
    </xf>
    <xf numFmtId="165" fontId="10" fillId="15" borderId="1" xfId="0" applyNumberFormat="1" applyFont="1" applyFill="1" applyBorder="1" applyAlignment="1">
      <alignment horizontal="center" vertical="center"/>
    </xf>
    <xf numFmtId="165" fontId="3" fillId="15" borderId="1" xfId="0" applyNumberFormat="1" applyFont="1" applyFill="1" applyBorder="1" applyAlignment="1">
      <alignment horizontal="center" vertical="center"/>
    </xf>
    <xf numFmtId="165" fontId="10" fillId="16" borderId="1" xfId="0" applyNumberFormat="1" applyFont="1" applyFill="1" applyBorder="1" applyAlignment="1">
      <alignment horizontal="center" vertical="center"/>
    </xf>
    <xf numFmtId="165" fontId="3" fillId="16" borderId="1" xfId="0" applyNumberFormat="1" applyFont="1" applyFill="1" applyBorder="1" applyAlignment="1">
      <alignment horizontal="center" vertical="center"/>
    </xf>
    <xf numFmtId="165" fontId="10" fillId="18" borderId="1" xfId="0" applyNumberFormat="1" applyFont="1" applyFill="1" applyBorder="1" applyAlignment="1">
      <alignment horizontal="center" vertical="center"/>
    </xf>
    <xf numFmtId="165" fontId="3" fillId="18" borderId="1" xfId="0" applyNumberFormat="1" applyFont="1" applyFill="1" applyBorder="1" applyAlignment="1">
      <alignment horizontal="center" vertical="center"/>
    </xf>
    <xf numFmtId="165" fontId="10" fillId="17" borderId="1" xfId="0" applyNumberFormat="1" applyFont="1" applyFill="1" applyBorder="1" applyAlignment="1">
      <alignment horizontal="center" vertical="center"/>
    </xf>
    <xf numFmtId="165" fontId="3" fillId="17" borderId="1" xfId="0" applyNumberFormat="1" applyFont="1" applyFill="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4" fontId="10" fillId="6" borderId="1" xfId="0" applyNumberFormat="1" applyFont="1" applyFill="1" applyBorder="1" applyAlignment="1">
      <alignment horizontal="center" vertical="center"/>
    </xf>
    <xf numFmtId="165" fontId="3" fillId="0" borderId="1" xfId="0" applyNumberFormat="1" applyFont="1" applyBorder="1" applyAlignment="1">
      <alignment horizontal="center" vertical="center"/>
    </xf>
    <xf numFmtId="165" fontId="10" fillId="6" borderId="2" xfId="0" applyNumberFormat="1" applyFont="1" applyFill="1" applyBorder="1" applyAlignment="1">
      <alignment horizontal="center" vertical="center"/>
    </xf>
    <xf numFmtId="165" fontId="10" fillId="14" borderId="2" xfId="0" applyNumberFormat="1" applyFont="1" applyFill="1" applyBorder="1" applyAlignment="1">
      <alignment horizontal="center" vertical="center"/>
    </xf>
    <xf numFmtId="165" fontId="10" fillId="15" borderId="2" xfId="0" applyNumberFormat="1" applyFont="1" applyFill="1" applyBorder="1" applyAlignment="1">
      <alignment horizontal="center" vertical="center"/>
    </xf>
    <xf numFmtId="165" fontId="3" fillId="15" borderId="2" xfId="0" applyNumberFormat="1" applyFont="1" applyFill="1" applyBorder="1" applyAlignment="1">
      <alignment horizontal="center" vertical="center"/>
    </xf>
    <xf numFmtId="165" fontId="10" fillId="16" borderId="2" xfId="0" applyNumberFormat="1" applyFont="1" applyFill="1" applyBorder="1" applyAlignment="1">
      <alignment horizontal="center" vertical="center"/>
    </xf>
    <xf numFmtId="165" fontId="3" fillId="16" borderId="2" xfId="0" applyNumberFormat="1" applyFont="1" applyFill="1" applyBorder="1" applyAlignment="1">
      <alignment horizontal="center" vertical="center"/>
    </xf>
    <xf numFmtId="165" fontId="10" fillId="18" borderId="2" xfId="0" applyNumberFormat="1" applyFont="1" applyFill="1" applyBorder="1" applyAlignment="1">
      <alignment horizontal="center" vertical="center"/>
    </xf>
    <xf numFmtId="165" fontId="3" fillId="18" borderId="2" xfId="0" applyNumberFormat="1" applyFont="1" applyFill="1" applyBorder="1" applyAlignment="1">
      <alignment horizontal="center" vertical="center"/>
    </xf>
    <xf numFmtId="165" fontId="10" fillId="17" borderId="2" xfId="0" applyNumberFormat="1" applyFont="1" applyFill="1" applyBorder="1" applyAlignment="1">
      <alignment horizontal="center" vertical="center"/>
    </xf>
    <xf numFmtId="165" fontId="3" fillId="17" borderId="2" xfId="0" applyNumberFormat="1" applyFont="1" applyFill="1" applyBorder="1" applyAlignment="1">
      <alignment horizontal="center" vertical="center"/>
    </xf>
    <xf numFmtId="4" fontId="3" fillId="0" borderId="18" xfId="0" quotePrefix="1" applyNumberFormat="1" applyFont="1" applyBorder="1" applyAlignment="1">
      <alignment horizontal="center" vertical="center"/>
    </xf>
    <xf numFmtId="9" fontId="3" fillId="0" borderId="18" xfId="0" quotePrefix="1" applyNumberFormat="1" applyFont="1" applyBorder="1" applyAlignment="1">
      <alignment horizontal="center" vertical="center"/>
    </xf>
    <xf numFmtId="0" fontId="8" fillId="0" borderId="18" xfId="0" applyFont="1" applyBorder="1" applyAlignment="1">
      <alignment horizontal="center" vertical="center"/>
    </xf>
    <xf numFmtId="3" fontId="8" fillId="0" borderId="18" xfId="0" applyNumberFormat="1" applyFont="1" applyBorder="1" applyAlignment="1">
      <alignment horizontal="center" vertical="center"/>
    </xf>
    <xf numFmtId="166" fontId="7" fillId="0" borderId="18" xfId="0" applyNumberFormat="1" applyFont="1" applyBorder="1" applyAlignment="1">
      <alignment horizontal="center" vertical="center"/>
    </xf>
    <xf numFmtId="166" fontId="8" fillId="0" borderId="18" xfId="0" applyNumberFormat="1" applyFont="1" applyBorder="1" applyAlignment="1">
      <alignment horizontal="center" vertical="center"/>
    </xf>
    <xf numFmtId="6" fontId="10" fillId="6" borderId="18" xfId="0" applyNumberFormat="1" applyFont="1" applyFill="1" applyBorder="1" applyAlignment="1">
      <alignment horizontal="center" vertical="center"/>
    </xf>
    <xf numFmtId="165" fontId="7" fillId="0" borderId="18" xfId="0" applyNumberFormat="1" applyFont="1" applyBorder="1" applyAlignment="1">
      <alignment horizontal="center" vertical="center"/>
    </xf>
    <xf numFmtId="165" fontId="10" fillId="6" borderId="18" xfId="0" applyNumberFormat="1" applyFont="1" applyFill="1" applyBorder="1" applyAlignment="1">
      <alignment horizontal="center" vertical="center"/>
    </xf>
    <xf numFmtId="164" fontId="7" fillId="0" borderId="18" xfId="0" applyNumberFormat="1" applyFont="1" applyBorder="1" applyAlignment="1">
      <alignment horizontal="center" vertical="center"/>
    </xf>
    <xf numFmtId="165" fontId="10" fillId="14" borderId="18" xfId="0" applyNumberFormat="1" applyFont="1" applyFill="1" applyBorder="1" applyAlignment="1">
      <alignment horizontal="center" vertical="center"/>
    </xf>
    <xf numFmtId="165" fontId="10" fillId="15" borderId="18" xfId="0" applyNumberFormat="1" applyFont="1" applyFill="1" applyBorder="1" applyAlignment="1">
      <alignment horizontal="center" vertical="center"/>
    </xf>
    <xf numFmtId="165" fontId="3" fillId="15" borderId="18" xfId="0" applyNumberFormat="1" applyFont="1" applyFill="1" applyBorder="1" applyAlignment="1">
      <alignment horizontal="center" vertical="center"/>
    </xf>
    <xf numFmtId="165" fontId="10" fillId="16" borderId="18" xfId="0" applyNumberFormat="1" applyFont="1" applyFill="1" applyBorder="1" applyAlignment="1">
      <alignment horizontal="center" vertical="center"/>
    </xf>
    <xf numFmtId="165" fontId="3" fillId="16" borderId="18" xfId="0" applyNumberFormat="1" applyFont="1" applyFill="1" applyBorder="1" applyAlignment="1">
      <alignment horizontal="center" vertical="center"/>
    </xf>
    <xf numFmtId="165" fontId="10" fillId="18" borderId="18" xfId="0" applyNumberFormat="1" applyFont="1" applyFill="1" applyBorder="1" applyAlignment="1">
      <alignment horizontal="center" vertical="center"/>
    </xf>
    <xf numFmtId="165" fontId="3" fillId="18" borderId="18" xfId="0" applyNumberFormat="1" applyFont="1" applyFill="1" applyBorder="1" applyAlignment="1">
      <alignment horizontal="center" vertical="center"/>
    </xf>
    <xf numFmtId="165" fontId="10" fillId="17" borderId="18" xfId="0" applyNumberFormat="1" applyFont="1" applyFill="1" applyBorder="1" applyAlignment="1">
      <alignment horizontal="center" vertical="center"/>
    </xf>
    <xf numFmtId="165" fontId="3" fillId="17" borderId="18" xfId="0" applyNumberFormat="1" applyFont="1" applyFill="1" applyBorder="1" applyAlignment="1">
      <alignment horizontal="center" vertical="center"/>
    </xf>
    <xf numFmtId="165" fontId="7" fillId="0" borderId="20" xfId="0" applyNumberFormat="1" applyFont="1" applyBorder="1" applyAlignment="1">
      <alignment horizontal="center" vertical="center"/>
    </xf>
    <xf numFmtId="165" fontId="8" fillId="0" borderId="2" xfId="0" applyNumberFormat="1" applyFont="1" applyBorder="1" applyAlignment="1">
      <alignment horizontal="center" vertical="center"/>
    </xf>
    <xf numFmtId="164" fontId="8" fillId="0" borderId="2" xfId="0" applyNumberFormat="1" applyFont="1" applyBorder="1" applyAlignment="1">
      <alignment horizontal="center" vertical="center"/>
    </xf>
    <xf numFmtId="164" fontId="10" fillId="6" borderId="2" xfId="0" applyNumberFormat="1" applyFont="1" applyFill="1" applyBorder="1" applyAlignment="1">
      <alignment horizontal="center" vertical="center"/>
    </xf>
    <xf numFmtId="9" fontId="3" fillId="4" borderId="18" xfId="0" quotePrefix="1" applyNumberFormat="1" applyFont="1" applyFill="1" applyBorder="1" applyAlignment="1">
      <alignment horizontal="center" vertical="center"/>
    </xf>
    <xf numFmtId="0" fontId="7" fillId="4" borderId="18" xfId="0" applyFont="1" applyFill="1" applyBorder="1" applyAlignment="1">
      <alignment horizontal="center" vertical="center"/>
    </xf>
    <xf numFmtId="3" fontId="7" fillId="4" borderId="18" xfId="0" applyNumberFormat="1" applyFont="1" applyFill="1" applyBorder="1" applyAlignment="1">
      <alignment horizontal="center" vertical="center"/>
    </xf>
    <xf numFmtId="166" fontId="7" fillId="4" borderId="18" xfId="0" applyNumberFormat="1" applyFont="1" applyFill="1" applyBorder="1" applyAlignment="1">
      <alignment horizontal="center" vertical="center"/>
    </xf>
    <xf numFmtId="165" fontId="7" fillId="4" borderId="18" xfId="0" applyNumberFormat="1" applyFont="1" applyFill="1" applyBorder="1" applyAlignment="1">
      <alignment horizontal="center" vertical="center"/>
    </xf>
    <xf numFmtId="164" fontId="7" fillId="4" borderId="18" xfId="0" applyNumberFormat="1" applyFont="1" applyFill="1" applyBorder="1" applyAlignment="1">
      <alignment horizontal="center" vertical="center"/>
    </xf>
    <xf numFmtId="165" fontId="7" fillId="4" borderId="20" xfId="0" applyNumberFormat="1" applyFont="1" applyFill="1" applyBorder="1" applyAlignment="1">
      <alignment horizontal="center" vertical="center"/>
    </xf>
    <xf numFmtId="166" fontId="8" fillId="0" borderId="2" xfId="0" applyNumberFormat="1" applyFont="1" applyBorder="1" applyAlignment="1">
      <alignment horizontal="center" vertical="center"/>
    </xf>
    <xf numFmtId="3" fontId="8" fillId="0" borderId="2" xfId="0" applyNumberFormat="1" applyFont="1" applyBorder="1" applyAlignment="1">
      <alignment horizontal="center" vertical="center"/>
    </xf>
    <xf numFmtId="165" fontId="0" fillId="0" borderId="0" xfId="0" applyNumberFormat="1" applyAlignment="1">
      <alignment horizontal="right"/>
    </xf>
    <xf numFmtId="164" fontId="0" fillId="0" borderId="0" xfId="0" applyNumberFormat="1" applyAlignment="1">
      <alignment horizontal="right"/>
    </xf>
    <xf numFmtId="0" fontId="3" fillId="0" borderId="0" xfId="0" applyFont="1" applyAlignment="1">
      <alignment vertical="center" wrapText="1"/>
    </xf>
    <xf numFmtId="4" fontId="7" fillId="2" borderId="21" xfId="0" applyNumberFormat="1" applyFont="1" applyFill="1" applyBorder="1" applyAlignment="1">
      <alignment horizontal="center" vertical="center"/>
    </xf>
    <xf numFmtId="9" fontId="3" fillId="0" borderId="21" xfId="0" applyNumberFormat="1" applyFont="1" applyBorder="1" applyAlignment="1">
      <alignment horizontal="center" vertical="center"/>
    </xf>
    <xf numFmtId="0" fontId="7" fillId="2" borderId="21" xfId="0" applyFont="1" applyFill="1" applyBorder="1" applyAlignment="1">
      <alignment horizontal="center" vertical="center"/>
    </xf>
    <xf numFmtId="3" fontId="7" fillId="2" borderId="21" xfId="0" applyNumberFormat="1" applyFont="1" applyFill="1" applyBorder="1" applyAlignment="1">
      <alignment horizontal="center" vertical="center"/>
    </xf>
    <xf numFmtId="166" fontId="7" fillId="2" borderId="21" xfId="0" applyNumberFormat="1" applyFont="1" applyFill="1" applyBorder="1" applyAlignment="1">
      <alignment horizontal="center" vertical="center"/>
    </xf>
    <xf numFmtId="166" fontId="10" fillId="6" borderId="21" xfId="0" applyNumberFormat="1" applyFont="1" applyFill="1" applyBorder="1" applyAlignment="1">
      <alignment horizontal="center" vertical="center"/>
    </xf>
    <xf numFmtId="165" fontId="7" fillId="0" borderId="21" xfId="0" applyNumberFormat="1" applyFont="1" applyBorder="1" applyAlignment="1">
      <alignment horizontal="center" vertical="center"/>
    </xf>
    <xf numFmtId="165" fontId="10" fillId="6" borderId="21" xfId="0" applyNumberFormat="1" applyFont="1" applyFill="1" applyBorder="1" applyAlignment="1">
      <alignment horizontal="center" vertical="center"/>
    </xf>
    <xf numFmtId="164" fontId="7" fillId="0" borderId="21" xfId="0" applyNumberFormat="1" applyFont="1" applyBorder="1" applyAlignment="1">
      <alignment horizontal="center" vertical="center"/>
    </xf>
    <xf numFmtId="165" fontId="10" fillId="14" borderId="21" xfId="0" applyNumberFormat="1" applyFont="1" applyFill="1" applyBorder="1" applyAlignment="1">
      <alignment horizontal="center" vertical="center"/>
    </xf>
    <xf numFmtId="165" fontId="10" fillId="15" borderId="21" xfId="0" applyNumberFormat="1" applyFont="1" applyFill="1" applyBorder="1" applyAlignment="1">
      <alignment horizontal="center" vertical="center"/>
    </xf>
    <xf numFmtId="165" fontId="3" fillId="15" borderId="21" xfId="0" applyNumberFormat="1" applyFont="1" applyFill="1" applyBorder="1" applyAlignment="1">
      <alignment horizontal="center" vertical="center"/>
    </xf>
    <xf numFmtId="165" fontId="10" fillId="16" borderId="21" xfId="0" applyNumberFormat="1" applyFont="1" applyFill="1" applyBorder="1" applyAlignment="1">
      <alignment horizontal="center" vertical="center"/>
    </xf>
    <xf numFmtId="165" fontId="3" fillId="16" borderId="21" xfId="0" applyNumberFormat="1" applyFont="1" applyFill="1" applyBorder="1" applyAlignment="1">
      <alignment horizontal="center" vertical="center"/>
    </xf>
    <xf numFmtId="165" fontId="10" fillId="18" borderId="21" xfId="0" applyNumberFormat="1" applyFont="1" applyFill="1" applyBorder="1" applyAlignment="1">
      <alignment horizontal="center" vertical="center"/>
    </xf>
    <xf numFmtId="165" fontId="3" fillId="18" borderId="21" xfId="0" applyNumberFormat="1" applyFont="1" applyFill="1" applyBorder="1" applyAlignment="1">
      <alignment horizontal="center" vertical="center"/>
    </xf>
    <xf numFmtId="165" fontId="10" fillId="17" borderId="21" xfId="0" applyNumberFormat="1" applyFont="1" applyFill="1" applyBorder="1" applyAlignment="1">
      <alignment horizontal="center" vertical="center"/>
    </xf>
    <xf numFmtId="165" fontId="3" fillId="17" borderId="21" xfId="0" applyNumberFormat="1" applyFont="1" applyFill="1" applyBorder="1" applyAlignment="1">
      <alignment horizontal="center" vertical="center"/>
    </xf>
    <xf numFmtId="165" fontId="7" fillId="0" borderId="14" xfId="0" applyNumberFormat="1" applyFont="1" applyBorder="1" applyAlignment="1">
      <alignment horizontal="center" vertical="center"/>
    </xf>
    <xf numFmtId="0" fontId="3" fillId="0" borderId="23" xfId="0" applyFont="1" applyBorder="1" applyAlignment="1">
      <alignment vertical="center"/>
    </xf>
    <xf numFmtId="3" fontId="3" fillId="0" borderId="23" xfId="0" applyNumberFormat="1" applyFont="1" applyBorder="1" applyAlignment="1">
      <alignment vertical="center"/>
    </xf>
    <xf numFmtId="166" fontId="3" fillId="0" borderId="23" xfId="0" applyNumberFormat="1" applyFont="1" applyBorder="1" applyAlignment="1">
      <alignment vertical="center"/>
    </xf>
    <xf numFmtId="0" fontId="4" fillId="6" borderId="23" xfId="0" applyFont="1" applyFill="1" applyBorder="1" applyAlignment="1">
      <alignment vertical="center"/>
    </xf>
    <xf numFmtId="165" fontId="3" fillId="0" borderId="23" xfId="0" applyNumberFormat="1" applyFont="1" applyBorder="1" applyAlignment="1">
      <alignment vertical="center"/>
    </xf>
    <xf numFmtId="164" fontId="3" fillId="0" borderId="23" xfId="0" applyNumberFormat="1" applyFont="1" applyBorder="1" applyAlignment="1">
      <alignment vertical="center"/>
    </xf>
    <xf numFmtId="0" fontId="4" fillId="14" borderId="23" xfId="0" applyFont="1" applyFill="1" applyBorder="1" applyAlignment="1">
      <alignment vertical="center"/>
    </xf>
    <xf numFmtId="0" fontId="4" fillId="15" borderId="23" xfId="0" applyFont="1" applyFill="1" applyBorder="1" applyAlignment="1">
      <alignment vertical="center"/>
    </xf>
    <xf numFmtId="0" fontId="4" fillId="16" borderId="23" xfId="0" applyFont="1" applyFill="1" applyBorder="1" applyAlignment="1">
      <alignment vertical="center"/>
    </xf>
    <xf numFmtId="0" fontId="4" fillId="18" borderId="23" xfId="0" applyFont="1" applyFill="1" applyBorder="1" applyAlignment="1">
      <alignment vertical="center"/>
    </xf>
    <xf numFmtId="0" fontId="4" fillId="17" borderId="23" xfId="0" applyFont="1" applyFill="1" applyBorder="1" applyAlignment="1">
      <alignment vertical="center"/>
    </xf>
    <xf numFmtId="165" fontId="3" fillId="0" borderId="24" xfId="0" applyNumberFormat="1" applyFont="1" applyBorder="1" applyAlignment="1">
      <alignment vertical="center"/>
    </xf>
    <xf numFmtId="164" fontId="0" fillId="0" borderId="0" xfId="0" applyNumberFormat="1" applyAlignment="1">
      <alignment vertical="center"/>
    </xf>
    <xf numFmtId="165" fontId="0" fillId="0" borderId="0" xfId="0" applyNumberFormat="1" applyAlignment="1">
      <alignment horizontal="center" vertical="center"/>
    </xf>
    <xf numFmtId="165" fontId="0" fillId="0" borderId="0" xfId="0" applyNumberFormat="1" applyAlignment="1">
      <alignment vertical="center"/>
    </xf>
    <xf numFmtId="3" fontId="0" fillId="0" borderId="0" xfId="0" applyNumberFormat="1" applyAlignment="1">
      <alignment horizontal="center" vertical="center"/>
    </xf>
    <xf numFmtId="0" fontId="47" fillId="2" borderId="0" xfId="0" applyFont="1" applyFill="1" applyAlignment="1">
      <alignment vertical="center"/>
    </xf>
    <xf numFmtId="0" fontId="14" fillId="0" borderId="0" xfId="0" applyFont="1" applyAlignment="1">
      <alignment vertical="center"/>
    </xf>
    <xf numFmtId="164" fontId="26" fillId="6" borderId="0" xfId="0" applyNumberFormat="1" applyFont="1" applyFill="1" applyAlignment="1">
      <alignment horizontal="center"/>
    </xf>
    <xf numFmtId="165" fontId="26" fillId="6" borderId="0" xfId="0" applyNumberFormat="1" applyFont="1" applyFill="1" applyAlignment="1">
      <alignment horizontal="center"/>
    </xf>
    <xf numFmtId="0" fontId="9" fillId="12" borderId="8" xfId="0" applyFont="1" applyFill="1" applyBorder="1" applyAlignment="1">
      <alignment vertical="center"/>
    </xf>
    <xf numFmtId="165" fontId="9" fillId="12" borderId="8" xfId="0" applyNumberFormat="1" applyFont="1" applyFill="1" applyBorder="1" applyAlignment="1">
      <alignment horizontal="right" vertical="center"/>
    </xf>
    <xf numFmtId="167" fontId="4" fillId="13" borderId="6" xfId="0" applyNumberFormat="1" applyFont="1" applyFill="1" applyBorder="1" applyAlignment="1">
      <alignment horizontal="right" vertical="center"/>
    </xf>
    <xf numFmtId="165" fontId="3" fillId="2" borderId="7" xfId="0" applyNumberFormat="1" applyFont="1" applyFill="1" applyBorder="1" applyAlignment="1">
      <alignment vertical="center"/>
    </xf>
    <xf numFmtId="165" fontId="9" fillId="12" borderId="7" xfId="0" applyNumberFormat="1" applyFont="1" applyFill="1" applyBorder="1" applyAlignment="1">
      <alignment horizontal="right" vertical="center"/>
    </xf>
    <xf numFmtId="165" fontId="3" fillId="0" borderId="1" xfId="0" applyNumberFormat="1" applyFont="1" applyBorder="1" applyAlignment="1">
      <alignment vertical="center"/>
    </xf>
    <xf numFmtId="165" fontId="3" fillId="2" borderId="6" xfId="0" applyNumberFormat="1" applyFont="1" applyFill="1" applyBorder="1" applyAlignment="1">
      <alignment vertical="center"/>
    </xf>
    <xf numFmtId="165" fontId="3" fillId="2" borderId="1" xfId="0" applyNumberFormat="1" applyFont="1" applyFill="1" applyBorder="1" applyAlignment="1">
      <alignment vertical="center"/>
    </xf>
    <xf numFmtId="0" fontId="4" fillId="13" borderId="6" xfId="0" applyFont="1" applyFill="1" applyBorder="1" applyAlignment="1">
      <alignment horizontal="right" vertical="center"/>
    </xf>
    <xf numFmtId="165" fontId="35" fillId="2" borderId="1" xfId="0" applyNumberFormat="1" applyFont="1" applyFill="1" applyBorder="1" applyAlignment="1">
      <alignment vertical="center"/>
    </xf>
    <xf numFmtId="165" fontId="5" fillId="12" borderId="1" xfId="0" applyNumberFormat="1" applyFont="1" applyFill="1" applyBorder="1" applyAlignment="1">
      <alignment vertical="center"/>
    </xf>
    <xf numFmtId="165" fontId="5" fillId="0" borderId="1" xfId="0" applyNumberFormat="1" applyFont="1" applyBorder="1" applyAlignment="1">
      <alignment horizontal="right" vertical="center"/>
    </xf>
    <xf numFmtId="165" fontId="5" fillId="12" borderId="6" xfId="0" applyNumberFormat="1" applyFont="1" applyFill="1" applyBorder="1" applyAlignment="1">
      <alignment horizontal="right" vertical="center"/>
    </xf>
    <xf numFmtId="165" fontId="9" fillId="12" borderId="1" xfId="0" applyNumberFormat="1" applyFont="1" applyFill="1" applyBorder="1" applyAlignment="1">
      <alignment horizontal="right" vertical="center"/>
    </xf>
    <xf numFmtId="167" fontId="4" fillId="6" borderId="6" xfId="0" applyNumberFormat="1" applyFont="1" applyFill="1" applyBorder="1" applyAlignment="1">
      <alignment horizontal="right" vertical="center"/>
    </xf>
    <xf numFmtId="165" fontId="5" fillId="0" borderId="1" xfId="0" applyNumberFormat="1" applyFont="1" applyBorder="1" applyAlignment="1">
      <alignment vertical="center"/>
    </xf>
    <xf numFmtId="165" fontId="5" fillId="0" borderId="6" xfId="0" applyNumberFormat="1" applyFont="1" applyBorder="1" applyAlignment="1">
      <alignment vertical="center"/>
    </xf>
    <xf numFmtId="0" fontId="3" fillId="6" borderId="6" xfId="0" applyFont="1" applyFill="1" applyBorder="1" applyAlignment="1">
      <alignment vertical="center"/>
    </xf>
    <xf numFmtId="165" fontId="3" fillId="0" borderId="1" xfId="0" applyNumberFormat="1" applyFont="1" applyBorder="1" applyAlignment="1">
      <alignment horizontal="right" vertical="center"/>
    </xf>
    <xf numFmtId="165" fontId="3" fillId="0" borderId="6" xfId="0" applyNumberFormat="1" applyFont="1" applyBorder="1" applyAlignment="1">
      <alignment horizontal="right" vertical="center"/>
    </xf>
    <xf numFmtId="165" fontId="9" fillId="0" borderId="8" xfId="0" applyNumberFormat="1" applyFont="1" applyBorder="1" applyAlignment="1">
      <alignment vertical="center"/>
    </xf>
    <xf numFmtId="165" fontId="9" fillId="0" borderId="7" xfId="0" applyNumberFormat="1" applyFont="1" applyBorder="1" applyAlignment="1">
      <alignment vertical="center"/>
    </xf>
    <xf numFmtId="165" fontId="9" fillId="0" borderId="8" xfId="0" applyNumberFormat="1" applyFont="1" applyBorder="1" applyAlignment="1">
      <alignment horizontal="right" vertical="center"/>
    </xf>
    <xf numFmtId="165" fontId="9" fillId="0" borderId="7" xfId="0" applyNumberFormat="1" applyFont="1" applyBorder="1" applyAlignment="1">
      <alignment horizontal="right" vertical="center"/>
    </xf>
    <xf numFmtId="0" fontId="36" fillId="0" borderId="0" xfId="0" applyFont="1" applyAlignment="1">
      <alignment vertical="center"/>
    </xf>
    <xf numFmtId="0" fontId="40" fillId="0" borderId="0" xfId="0" applyFont="1" applyAlignment="1">
      <alignment vertical="center"/>
    </xf>
    <xf numFmtId="170" fontId="36" fillId="0" borderId="0" xfId="0" applyNumberFormat="1" applyFont="1" applyAlignment="1">
      <alignment horizontal="right" vertical="center"/>
    </xf>
    <xf numFmtId="10" fontId="34" fillId="2" borderId="1" xfId="0" applyNumberFormat="1" applyFont="1" applyFill="1" applyBorder="1" applyAlignment="1">
      <alignment vertical="center"/>
    </xf>
    <xf numFmtId="165" fontId="35" fillId="0" borderId="1" xfId="0" applyNumberFormat="1" applyFont="1" applyBorder="1" applyAlignment="1">
      <alignment vertical="center"/>
    </xf>
    <xf numFmtId="165" fontId="35" fillId="0" borderId="7" xfId="0" applyNumberFormat="1" applyFont="1" applyBorder="1" applyAlignment="1">
      <alignment vertical="center"/>
    </xf>
    <xf numFmtId="165" fontId="34" fillId="0" borderId="1" xfId="0" applyNumberFormat="1" applyFont="1" applyBorder="1" applyAlignment="1">
      <alignment vertical="center"/>
    </xf>
    <xf numFmtId="165" fontId="34" fillId="0" borderId="6" xfId="0" applyNumberFormat="1" applyFont="1" applyBorder="1" applyAlignment="1">
      <alignment vertical="center"/>
    </xf>
    <xf numFmtId="165" fontId="35" fillId="0" borderId="25" xfId="0" applyNumberFormat="1" applyFont="1" applyBorder="1" applyAlignment="1">
      <alignment vertical="center"/>
    </xf>
    <xf numFmtId="0" fontId="3" fillId="0" borderId="10" xfId="0" applyFont="1" applyBorder="1"/>
    <xf numFmtId="165" fontId="3" fillId="0" borderId="1" xfId="0" applyNumberFormat="1" applyFont="1" applyBorder="1" applyAlignment="1">
      <alignment horizontal="left"/>
    </xf>
    <xf numFmtId="0" fontId="3" fillId="0" borderId="6" xfId="0" applyFont="1" applyBorder="1"/>
    <xf numFmtId="0" fontId="9" fillId="0" borderId="8" xfId="1" applyFont="1" applyBorder="1" applyAlignment="1">
      <alignment vertical="center"/>
    </xf>
    <xf numFmtId="3" fontId="4" fillId="6" borderId="3" xfId="4" applyNumberFormat="1" applyFont="1" applyFill="1" applyBorder="1" applyAlignment="1">
      <alignment horizontal="center" vertical="center"/>
    </xf>
    <xf numFmtId="10" fontId="34" fillId="2" borderId="3" xfId="1" applyNumberFormat="1" applyFont="1" applyFill="1" applyBorder="1" applyAlignment="1">
      <alignment horizontal="right" vertical="center"/>
    </xf>
    <xf numFmtId="10" fontId="34" fillId="2" borderId="5" xfId="1" applyNumberFormat="1" applyFont="1" applyFill="1" applyBorder="1" applyAlignment="1">
      <alignment horizontal="right" vertical="center"/>
    </xf>
    <xf numFmtId="165" fontId="48" fillId="0" borderId="0" xfId="0" applyNumberFormat="1" applyFont="1" applyAlignment="1">
      <alignment horizontal="center" vertical="center"/>
    </xf>
    <xf numFmtId="164" fontId="48" fillId="0" borderId="0" xfId="0" applyNumberFormat="1" applyFont="1" applyAlignment="1">
      <alignment horizontal="center" vertical="center"/>
    </xf>
    <xf numFmtId="10" fontId="48" fillId="0" borderId="0" xfId="0" applyNumberFormat="1" applyFont="1" applyAlignment="1">
      <alignment horizontal="center" vertical="center"/>
    </xf>
    <xf numFmtId="3" fontId="48" fillId="0" borderId="0" xfId="0" applyNumberFormat="1" applyFont="1" applyAlignment="1">
      <alignment horizontal="center" vertical="center"/>
    </xf>
    <xf numFmtId="165" fontId="8" fillId="0" borderId="26" xfId="0" applyNumberFormat="1" applyFont="1" applyBorder="1" applyAlignment="1">
      <alignment horizontal="center" vertical="center"/>
    </xf>
    <xf numFmtId="166" fontId="8" fillId="0" borderId="6" xfId="0" applyNumberFormat="1" applyFont="1" applyBorder="1" applyAlignment="1">
      <alignment horizontal="center" vertical="center"/>
    </xf>
    <xf numFmtId="0" fontId="3" fillId="0" borderId="19" xfId="0" applyFont="1" applyBorder="1" applyAlignment="1">
      <alignment vertical="center" wrapText="1"/>
    </xf>
    <xf numFmtId="0" fontId="45" fillId="0" borderId="19" xfId="0" applyFont="1" applyBorder="1" applyAlignment="1">
      <alignment horizontal="center" vertical="center" wrapText="1"/>
    </xf>
    <xf numFmtId="0" fontId="45" fillId="4" borderId="19" xfId="0" applyFont="1" applyFill="1" applyBorder="1" applyAlignment="1">
      <alignment horizontal="center" vertical="center" wrapText="1"/>
    </xf>
    <xf numFmtId="0" fontId="45" fillId="0" borderId="6" xfId="0" applyFont="1" applyBorder="1" applyAlignment="1">
      <alignment horizontal="center" vertical="center" wrapText="1"/>
    </xf>
    <xf numFmtId="166" fontId="45" fillId="0" borderId="14" xfId="0" applyNumberFormat="1" applyFont="1" applyBorder="1" applyAlignment="1">
      <alignment horizontal="center" vertical="center" wrapText="1"/>
    </xf>
    <xf numFmtId="0" fontId="49" fillId="4" borderId="19" xfId="0" applyFont="1" applyFill="1" applyBorder="1" applyAlignment="1">
      <alignment horizontal="center" vertical="center" wrapText="1"/>
    </xf>
    <xf numFmtId="0" fontId="49" fillId="0" borderId="6" xfId="0" applyFont="1" applyBorder="1" applyAlignment="1">
      <alignment horizontal="center" vertical="center" wrapText="1"/>
    </xf>
    <xf numFmtId="166" fontId="49" fillId="0" borderId="14" xfId="0" applyNumberFormat="1" applyFont="1" applyBorder="1" applyAlignment="1">
      <alignment horizontal="center" vertical="center" wrapText="1"/>
    </xf>
    <xf numFmtId="166" fontId="50" fillId="0" borderId="14" xfId="3" applyNumberFormat="1" applyFont="1" applyBorder="1" applyAlignment="1">
      <alignment horizontal="center" vertical="center" wrapText="1"/>
    </xf>
    <xf numFmtId="4" fontId="3" fillId="0" borderId="18" xfId="0" applyNumberFormat="1" applyFont="1" applyBorder="1" applyAlignment="1">
      <alignment vertical="center"/>
    </xf>
    <xf numFmtId="4" fontId="5" fillId="0" borderId="1" xfId="0" quotePrefix="1" applyNumberFormat="1" applyFont="1" applyBorder="1" applyAlignment="1">
      <alignment horizontal="center" vertical="center"/>
    </xf>
    <xf numFmtId="9" fontId="3" fillId="0" borderId="18" xfId="0" applyNumberFormat="1" applyFont="1" applyBorder="1" applyAlignment="1">
      <alignment vertical="center"/>
    </xf>
    <xf numFmtId="3" fontId="4" fillId="9" borderId="0" xfId="0" applyNumberFormat="1" applyFont="1" applyFill="1" applyAlignment="1">
      <alignment horizontal="left" vertical="center"/>
    </xf>
    <xf numFmtId="14" fontId="4" fillId="9" borderId="0" xfId="0" applyNumberFormat="1" applyFont="1" applyFill="1" applyAlignment="1">
      <alignment horizontal="center" vertical="center"/>
    </xf>
    <xf numFmtId="166" fontId="0" fillId="0" borderId="0" xfId="0" applyNumberFormat="1" applyAlignment="1">
      <alignment horizontal="center"/>
    </xf>
    <xf numFmtId="0" fontId="51" fillId="10" borderId="0" xfId="0" applyFont="1" applyFill="1" applyAlignment="1">
      <alignment vertical="center"/>
    </xf>
    <xf numFmtId="166" fontId="17" fillId="0" borderId="0" xfId="0" applyNumberFormat="1" applyFont="1" applyAlignment="1">
      <alignment horizontal="center"/>
    </xf>
    <xf numFmtId="3" fontId="20" fillId="0" borderId="3" xfId="0" applyNumberFormat="1" applyFont="1" applyBorder="1" applyAlignment="1">
      <alignment horizontal="center"/>
    </xf>
    <xf numFmtId="10" fontId="20" fillId="0" borderId="3" xfId="0" applyNumberFormat="1" applyFont="1" applyBorder="1" applyAlignment="1">
      <alignment horizontal="center"/>
    </xf>
    <xf numFmtId="166" fontId="20" fillId="0" borderId="3" xfId="0" applyNumberFormat="1" applyFont="1" applyBorder="1" applyAlignment="1">
      <alignment horizontal="center"/>
    </xf>
    <xf numFmtId="166" fontId="13" fillId="0" borderId="3" xfId="0" applyNumberFormat="1" applyFont="1" applyBorder="1" applyAlignment="1">
      <alignment horizontal="center" vertical="center"/>
    </xf>
    <xf numFmtId="4" fontId="13" fillId="0" borderId="3" xfId="0" applyNumberFormat="1" applyFont="1" applyBorder="1" applyAlignment="1">
      <alignment horizontal="center" vertical="center"/>
    </xf>
    <xf numFmtId="3" fontId="13" fillId="0" borderId="3" xfId="0" applyNumberFormat="1" applyFont="1" applyBorder="1" applyAlignment="1">
      <alignment horizontal="center" vertical="center"/>
    </xf>
    <xf numFmtId="166" fontId="6" fillId="0" borderId="3" xfId="0" applyNumberFormat="1" applyFont="1" applyBorder="1" applyAlignment="1">
      <alignment horizontal="center" vertical="center"/>
    </xf>
    <xf numFmtId="0" fontId="11" fillId="0" borderId="0" xfId="0" applyFont="1" applyAlignment="1">
      <alignment vertical="center"/>
    </xf>
    <xf numFmtId="0" fontId="11" fillId="0" borderId="0" xfId="0" applyFont="1" applyAlignment="1">
      <alignment horizontal="left" vertical="center"/>
    </xf>
    <xf numFmtId="166" fontId="11" fillId="0" borderId="0" xfId="0" applyNumberFormat="1" applyFont="1" applyAlignment="1">
      <alignment horizontal="center" vertical="center"/>
    </xf>
    <xf numFmtId="4" fontId="11" fillId="0" borderId="0" xfId="0" applyNumberFormat="1" applyFont="1" applyAlignment="1">
      <alignment horizontal="center" vertical="center"/>
    </xf>
    <xf numFmtId="9" fontId="11" fillId="0" borderId="0" xfId="0" applyNumberFormat="1" applyFont="1" applyAlignment="1">
      <alignment horizontal="center" vertical="center"/>
    </xf>
    <xf numFmtId="164" fontId="11" fillId="0" borderId="2" xfId="0" applyNumberFormat="1" applyFont="1" applyBorder="1" applyAlignment="1">
      <alignment horizontal="center" vertical="center"/>
    </xf>
    <xf numFmtId="165" fontId="6" fillId="14" borderId="13" xfId="0" applyNumberFormat="1" applyFont="1" applyFill="1" applyBorder="1" applyAlignment="1">
      <alignment horizontal="center" vertical="center"/>
    </xf>
    <xf numFmtId="165" fontId="6" fillId="15" borderId="13" xfId="0" applyNumberFormat="1" applyFont="1" applyFill="1" applyBorder="1" applyAlignment="1">
      <alignment horizontal="center" vertical="center"/>
    </xf>
    <xf numFmtId="165" fontId="6" fillId="16" borderId="13" xfId="0" applyNumberFormat="1" applyFont="1" applyFill="1" applyBorder="1" applyAlignment="1">
      <alignment horizontal="center" vertical="center"/>
    </xf>
    <xf numFmtId="165" fontId="6" fillId="18" borderId="13" xfId="0" applyNumberFormat="1" applyFont="1" applyFill="1" applyBorder="1" applyAlignment="1">
      <alignment horizontal="center" vertical="center"/>
    </xf>
    <xf numFmtId="165" fontId="6" fillId="17" borderId="13" xfId="0" applyNumberFormat="1" applyFont="1" applyFill="1" applyBorder="1" applyAlignment="1">
      <alignment horizontal="center" vertical="center"/>
    </xf>
    <xf numFmtId="165" fontId="6" fillId="14" borderId="27" xfId="0" applyNumberFormat="1" applyFont="1" applyFill="1" applyBorder="1" applyAlignment="1">
      <alignment horizontal="center" vertical="center"/>
    </xf>
    <xf numFmtId="164" fontId="11" fillId="0" borderId="29" xfId="0" applyNumberFormat="1" applyFont="1" applyBorder="1" applyAlignment="1">
      <alignment horizontal="center" vertical="center"/>
    </xf>
    <xf numFmtId="165" fontId="6" fillId="6" borderId="13" xfId="0" applyNumberFormat="1" applyFont="1" applyFill="1" applyBorder="1" applyAlignment="1">
      <alignment horizontal="center" vertical="center"/>
    </xf>
    <xf numFmtId="164" fontId="6" fillId="6" borderId="28" xfId="0" applyNumberFormat="1" applyFont="1" applyFill="1" applyBorder="1" applyAlignment="1">
      <alignment horizontal="center" vertical="center"/>
    </xf>
    <xf numFmtId="164" fontId="11" fillId="0" borderId="0" xfId="0" applyNumberFormat="1" applyFont="1" applyAlignment="1">
      <alignment horizontal="center" vertical="center"/>
    </xf>
    <xf numFmtId="164" fontId="6" fillId="6" borderId="7" xfId="0" applyNumberFormat="1" applyFont="1" applyFill="1" applyBorder="1" applyAlignment="1">
      <alignment horizontal="center" vertical="center"/>
    </xf>
    <xf numFmtId="14" fontId="24" fillId="0" borderId="0" xfId="0" applyNumberFormat="1" applyFont="1" applyAlignment="1">
      <alignment horizontal="right" vertical="center"/>
    </xf>
    <xf numFmtId="164" fontId="6" fillId="14" borderId="13" xfId="0" applyNumberFormat="1" applyFont="1" applyFill="1" applyBorder="1" applyAlignment="1">
      <alignment horizontal="center" vertical="center"/>
    </xf>
    <xf numFmtId="164" fontId="6" fillId="15" borderId="13" xfId="0" applyNumberFormat="1" applyFont="1" applyFill="1" applyBorder="1" applyAlignment="1">
      <alignment horizontal="center" vertical="center"/>
    </xf>
    <xf numFmtId="164" fontId="6" fillId="16" borderId="13" xfId="0" applyNumberFormat="1" applyFont="1" applyFill="1" applyBorder="1" applyAlignment="1">
      <alignment horizontal="center" vertical="center"/>
    </xf>
    <xf numFmtId="164" fontId="6" fillId="18" borderId="13" xfId="0" applyNumberFormat="1" applyFont="1" applyFill="1" applyBorder="1" applyAlignment="1">
      <alignment horizontal="center" vertical="center"/>
    </xf>
    <xf numFmtId="164" fontId="6" fillId="17" borderId="13" xfId="0" applyNumberFormat="1" applyFont="1" applyFill="1" applyBorder="1" applyAlignment="1">
      <alignment horizontal="center" vertical="center"/>
    </xf>
    <xf numFmtId="10" fontId="19" fillId="0" borderId="0" xfId="0" applyNumberFormat="1" applyFont="1" applyAlignment="1">
      <alignment horizontal="center"/>
    </xf>
    <xf numFmtId="165" fontId="11" fillId="0" borderId="30" xfId="0" applyNumberFormat="1" applyFont="1" applyBorder="1" applyAlignment="1">
      <alignment horizontal="center" vertical="center"/>
    </xf>
    <xf numFmtId="165" fontId="11" fillId="0" borderId="31" xfId="0" applyNumberFormat="1" applyFont="1" applyBorder="1" applyAlignment="1">
      <alignment horizontal="center" vertical="center"/>
    </xf>
    <xf numFmtId="164" fontId="6" fillId="19" borderId="13" xfId="0" applyNumberFormat="1" applyFont="1" applyFill="1" applyBorder="1" applyAlignment="1">
      <alignment horizontal="center" vertical="center"/>
    </xf>
    <xf numFmtId="4" fontId="13" fillId="8" borderId="0" xfId="0" applyNumberFormat="1" applyFont="1" applyFill="1" applyAlignment="1">
      <alignment horizontal="center" vertical="center"/>
    </xf>
    <xf numFmtId="166" fontId="13" fillId="8" borderId="0" xfId="0" applyNumberFormat="1" applyFont="1" applyFill="1" applyAlignment="1">
      <alignment horizontal="center" vertical="center"/>
    </xf>
    <xf numFmtId="0" fontId="6" fillId="9" borderId="13" xfId="0" applyFont="1" applyFill="1" applyBorder="1" applyAlignment="1">
      <alignment vertical="center"/>
    </xf>
    <xf numFmtId="4" fontId="6" fillId="9" borderId="13" xfId="0" applyNumberFormat="1" applyFont="1" applyFill="1" applyBorder="1" applyAlignment="1">
      <alignment horizontal="center" vertical="center"/>
    </xf>
    <xf numFmtId="9" fontId="6" fillId="9" borderId="13" xfId="0" applyNumberFormat="1" applyFont="1" applyFill="1" applyBorder="1" applyAlignment="1">
      <alignment horizontal="center" vertical="center"/>
    </xf>
    <xf numFmtId="0" fontId="6" fillId="9" borderId="13" xfId="0" applyFont="1" applyFill="1" applyBorder="1" applyAlignment="1">
      <alignment horizontal="center" vertical="center"/>
    </xf>
    <xf numFmtId="3" fontId="6" fillId="9" borderId="13" xfId="0" applyNumberFormat="1" applyFont="1" applyFill="1" applyBorder="1" applyAlignment="1">
      <alignment horizontal="center" vertical="center"/>
    </xf>
    <xf numFmtId="166" fontId="6" fillId="9" borderId="13" xfId="0" applyNumberFormat="1" applyFont="1" applyFill="1" applyBorder="1" applyAlignment="1">
      <alignment horizontal="center" vertical="center"/>
    </xf>
    <xf numFmtId="165" fontId="6" fillId="9" borderId="13" xfId="0" applyNumberFormat="1" applyFont="1" applyFill="1" applyBorder="1" applyAlignment="1">
      <alignment horizontal="center" vertical="center"/>
    </xf>
    <xf numFmtId="0" fontId="7" fillId="3" borderId="13" xfId="0" applyFont="1" applyFill="1" applyBorder="1" applyAlignment="1">
      <alignment vertical="center"/>
    </xf>
    <xf numFmtId="4" fontId="7" fillId="3" borderId="13" xfId="0" applyNumberFormat="1" applyFont="1" applyFill="1" applyBorder="1" applyAlignment="1">
      <alignment horizontal="center" vertical="center"/>
    </xf>
    <xf numFmtId="9" fontId="8" fillId="3" borderId="13" xfId="0" applyNumberFormat="1" applyFont="1" applyFill="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vertical="center"/>
    </xf>
    <xf numFmtId="3" fontId="7" fillId="3" borderId="13" xfId="0" applyNumberFormat="1" applyFont="1" applyFill="1" applyBorder="1" applyAlignment="1">
      <alignment horizontal="center" vertical="center"/>
    </xf>
    <xf numFmtId="166" fontId="7" fillId="3" borderId="13" xfId="0" applyNumberFormat="1" applyFont="1" applyFill="1" applyBorder="1" applyAlignment="1">
      <alignment horizontal="center" vertical="center"/>
    </xf>
    <xf numFmtId="165" fontId="7" fillId="3" borderId="13" xfId="0" applyNumberFormat="1" applyFont="1" applyFill="1" applyBorder="1" applyAlignment="1">
      <alignment horizontal="center" vertical="center"/>
    </xf>
    <xf numFmtId="0" fontId="7" fillId="2" borderId="13" xfId="0" applyFont="1" applyFill="1" applyBorder="1" applyAlignment="1">
      <alignment vertical="center"/>
    </xf>
    <xf numFmtId="4" fontId="7" fillId="2" borderId="13" xfId="0" applyNumberFormat="1" applyFont="1" applyFill="1" applyBorder="1" applyAlignment="1">
      <alignment horizontal="center" vertical="center"/>
    </xf>
    <xf numFmtId="9" fontId="7" fillId="2" borderId="13" xfId="0" applyNumberFormat="1" applyFont="1" applyFill="1" applyBorder="1" applyAlignment="1">
      <alignment horizontal="center" vertical="center"/>
    </xf>
    <xf numFmtId="0" fontId="7" fillId="2" borderId="13" xfId="0" applyFont="1" applyFill="1" applyBorder="1" applyAlignment="1">
      <alignment horizontal="center" vertical="center"/>
    </xf>
    <xf numFmtId="3" fontId="7" fillId="2" borderId="13" xfId="0" applyNumberFormat="1" applyFont="1" applyFill="1" applyBorder="1" applyAlignment="1">
      <alignment horizontal="center" vertical="center"/>
    </xf>
    <xf numFmtId="166" fontId="7" fillId="2" borderId="13" xfId="0" applyNumberFormat="1" applyFont="1" applyFill="1" applyBorder="1" applyAlignment="1">
      <alignment horizontal="center" vertical="center"/>
    </xf>
    <xf numFmtId="165" fontId="7" fillId="2" borderId="13" xfId="0" applyNumberFormat="1" applyFont="1" applyFill="1" applyBorder="1" applyAlignment="1">
      <alignment horizontal="center" vertical="center"/>
    </xf>
    <xf numFmtId="0" fontId="3" fillId="0" borderId="13" xfId="0" applyFont="1" applyBorder="1" applyAlignment="1">
      <alignment horizontal="left" vertical="center" wrapText="1"/>
    </xf>
    <xf numFmtId="0" fontId="0" fillId="0" borderId="13" xfId="0" applyBorder="1" applyAlignment="1">
      <alignment horizontal="center" vertical="center"/>
    </xf>
    <xf numFmtId="0" fontId="17" fillId="0" borderId="0" xfId="0" applyFont="1" applyAlignment="1">
      <alignment vertical="center" wrapText="1"/>
    </xf>
    <xf numFmtId="0" fontId="16" fillId="21" borderId="22" xfId="0" applyFont="1" applyFill="1" applyBorder="1" applyAlignment="1">
      <alignment vertical="center" wrapText="1"/>
    </xf>
    <xf numFmtId="0" fontId="53" fillId="21" borderId="22" xfId="0" applyFont="1" applyFill="1" applyBorder="1" applyAlignment="1">
      <alignment horizontal="center" vertical="center" wrapText="1"/>
    </xf>
    <xf numFmtId="0" fontId="53" fillId="21" borderId="15" xfId="0" applyFont="1" applyFill="1" applyBorder="1" applyAlignment="1">
      <alignment horizontal="center" vertical="center" wrapText="1"/>
    </xf>
    <xf numFmtId="0" fontId="53" fillId="21" borderId="25" xfId="0" applyFont="1" applyFill="1" applyBorder="1" applyAlignment="1">
      <alignment horizontal="center" vertical="center" wrapText="1"/>
    </xf>
    <xf numFmtId="0" fontId="53" fillId="21" borderId="38" xfId="0" applyFont="1" applyFill="1" applyBorder="1" applyAlignment="1">
      <alignment horizontal="center" vertical="center" wrapText="1"/>
    </xf>
    <xf numFmtId="14" fontId="28" fillId="0" borderId="3" xfId="0" applyNumberFormat="1" applyFont="1" applyBorder="1" applyAlignment="1">
      <alignment horizontal="right" vertical="center"/>
    </xf>
    <xf numFmtId="0" fontId="55" fillId="0" borderId="0" xfId="0" applyFont="1" applyAlignment="1">
      <alignment horizontal="center" vertical="center"/>
    </xf>
    <xf numFmtId="0" fontId="56" fillId="0" borderId="0" xfId="3" applyFont="1" applyAlignment="1">
      <alignment vertical="center"/>
    </xf>
    <xf numFmtId="0" fontId="54" fillId="10" borderId="0" xfId="0" applyFont="1" applyFill="1" applyAlignment="1">
      <alignment horizontal="left" vertical="center" indent="1"/>
    </xf>
    <xf numFmtId="14" fontId="24" fillId="0" borderId="3" xfId="0" applyNumberFormat="1" applyFont="1" applyBorder="1" applyAlignment="1">
      <alignment vertical="center"/>
    </xf>
    <xf numFmtId="3" fontId="0" fillId="2" borderId="0" xfId="0" applyNumberFormat="1" applyFill="1" applyAlignment="1">
      <alignment vertical="center"/>
    </xf>
    <xf numFmtId="14" fontId="24" fillId="0" borderId="0" xfId="0" applyNumberFormat="1" applyFont="1" applyAlignment="1">
      <alignment horizontal="right" vertical="top"/>
    </xf>
    <xf numFmtId="0" fontId="57" fillId="8" borderId="0" xfId="0" applyFont="1" applyFill="1" applyAlignment="1">
      <alignment horizontal="left" vertical="center"/>
    </xf>
    <xf numFmtId="0" fontId="57" fillId="8" borderId="3" xfId="0" applyFont="1" applyFill="1" applyBorder="1" applyAlignment="1">
      <alignment horizontal="left" vertical="center"/>
    </xf>
    <xf numFmtId="0" fontId="57" fillId="0" borderId="0" xfId="0" applyFont="1" applyAlignment="1">
      <alignment horizontal="left" vertical="center"/>
    </xf>
    <xf numFmtId="0" fontId="58" fillId="8" borderId="0" xfId="0" applyFont="1" applyFill="1" applyAlignment="1">
      <alignment horizontal="left" vertical="center"/>
    </xf>
    <xf numFmtId="14" fontId="24" fillId="0" borderId="0" xfId="0" applyNumberFormat="1" applyFont="1" applyAlignment="1">
      <alignment horizontal="left" vertical="top"/>
    </xf>
    <xf numFmtId="0" fontId="58" fillId="0" borderId="3" xfId="0" applyFont="1" applyBorder="1" applyAlignment="1">
      <alignment horizontal="left" vertical="center"/>
    </xf>
    <xf numFmtId="0" fontId="47" fillId="0" borderId="3" xfId="0" applyFont="1" applyBorder="1" applyAlignment="1">
      <alignment vertical="center"/>
    </xf>
    <xf numFmtId="0" fontId="47" fillId="0" borderId="3" xfId="0" applyFont="1" applyBorder="1" applyAlignment="1">
      <alignment horizontal="left" vertical="center"/>
    </xf>
    <xf numFmtId="0" fontId="3" fillId="0" borderId="0" xfId="0" applyFont="1" applyAlignment="1">
      <alignment horizontal="left"/>
    </xf>
    <xf numFmtId="165" fontId="34" fillId="0" borderId="8" xfId="1" applyNumberFormat="1" applyFont="1" applyBorder="1" applyAlignment="1">
      <alignment horizontal="center" vertical="center"/>
    </xf>
    <xf numFmtId="0" fontId="34" fillId="0" borderId="0" xfId="0" applyFont="1" applyAlignment="1">
      <alignment vertical="center"/>
    </xf>
    <xf numFmtId="0" fontId="4" fillId="21" borderId="13" xfId="0" applyFont="1" applyFill="1" applyBorder="1" applyAlignment="1">
      <alignment horizontal="center" vertical="center"/>
    </xf>
    <xf numFmtId="171" fontId="5" fillId="0" borderId="0" xfId="0" applyNumberFormat="1" applyFont="1" applyAlignment="1">
      <alignment horizontal="center" vertical="center"/>
    </xf>
    <xf numFmtId="172" fontId="5" fillId="0" borderId="0" xfId="0" applyNumberFormat="1" applyFont="1" applyAlignment="1">
      <alignment horizontal="center" vertical="center"/>
    </xf>
    <xf numFmtId="171" fontId="5" fillId="0" borderId="1" xfId="0" applyNumberFormat="1" applyFont="1" applyBorder="1" applyAlignment="1">
      <alignment horizontal="center" vertical="center"/>
    </xf>
    <xf numFmtId="0" fontId="60" fillId="0" borderId="1" xfId="0" applyFont="1" applyBorder="1" applyAlignment="1">
      <alignment horizontal="center" vertical="center"/>
    </xf>
    <xf numFmtId="0" fontId="4" fillId="0" borderId="1" xfId="0" applyFont="1" applyBorder="1" applyAlignment="1">
      <alignment horizontal="center" vertical="center"/>
    </xf>
    <xf numFmtId="172" fontId="3" fillId="0" borderId="1" xfId="0" applyNumberFormat="1" applyFont="1" applyBorder="1" applyAlignment="1">
      <alignment horizontal="center" vertical="center"/>
    </xf>
    <xf numFmtId="173" fontId="3" fillId="0" borderId="21" xfId="0" applyNumberFormat="1" applyFont="1" applyBorder="1" applyAlignment="1">
      <alignment horizontal="center" vertical="center"/>
    </xf>
    <xf numFmtId="0" fontId="4" fillId="20" borderId="13" xfId="0" applyFont="1" applyFill="1" applyBorder="1" applyAlignment="1">
      <alignment horizontal="center" vertical="center"/>
    </xf>
    <xf numFmtId="14" fontId="43" fillId="0" borderId="0" xfId="0" applyNumberFormat="1" applyFont="1" applyAlignment="1">
      <alignment horizontal="right" vertical="center"/>
    </xf>
    <xf numFmtId="3" fontId="5" fillId="8" borderId="0" xfId="0" applyNumberFormat="1" applyFont="1" applyFill="1" applyAlignment="1">
      <alignment horizontal="center" vertical="center"/>
    </xf>
    <xf numFmtId="0" fontId="61" fillId="21" borderId="13" xfId="0" applyFont="1" applyFill="1" applyBorder="1" applyAlignment="1">
      <alignment horizontal="center" vertical="center" wrapText="1"/>
    </xf>
    <xf numFmtId="166" fontId="61" fillId="21" borderId="13" xfId="0" applyNumberFormat="1" applyFont="1" applyFill="1" applyBorder="1" applyAlignment="1">
      <alignment horizontal="center" vertical="center" wrapText="1"/>
    </xf>
    <xf numFmtId="164" fontId="3" fillId="0" borderId="2" xfId="0" applyNumberFormat="1" applyFont="1" applyBorder="1" applyAlignment="1">
      <alignment horizontal="center" vertical="center"/>
    </xf>
    <xf numFmtId="0" fontId="58" fillId="8" borderId="3" xfId="0" applyFont="1" applyFill="1" applyBorder="1" applyAlignment="1">
      <alignment horizontal="left" vertical="center"/>
    </xf>
    <xf numFmtId="0" fontId="3" fillId="0" borderId="3" xfId="0" applyFont="1" applyBorder="1" applyAlignment="1">
      <alignment vertical="center"/>
    </xf>
    <xf numFmtId="3" fontId="3" fillId="0" borderId="3" xfId="0" applyNumberFormat="1" applyFont="1" applyBorder="1" applyAlignment="1">
      <alignment horizontal="center" vertical="center"/>
    </xf>
    <xf numFmtId="0" fontId="9" fillId="0" borderId="14" xfId="0" applyFont="1" applyBorder="1" applyAlignment="1">
      <alignment horizontal="center" vertical="center"/>
    </xf>
    <xf numFmtId="0" fontId="9" fillId="0" borderId="13" xfId="0" applyFont="1" applyBorder="1" applyAlignment="1">
      <alignment horizontal="center" vertical="center"/>
    </xf>
    <xf numFmtId="165" fontId="63" fillId="8" borderId="8" xfId="0" applyNumberFormat="1" applyFont="1" applyFill="1" applyBorder="1" applyAlignment="1">
      <alignment horizontal="center" vertical="center"/>
    </xf>
    <xf numFmtId="165" fontId="62" fillId="8" borderId="8" xfId="0" applyNumberFormat="1" applyFont="1" applyFill="1" applyBorder="1" applyAlignment="1">
      <alignment horizontal="center" vertical="center"/>
    </xf>
    <xf numFmtId="0" fontId="34" fillId="26" borderId="14" xfId="0" applyFont="1" applyFill="1" applyBorder="1" applyAlignment="1">
      <alignment horizontal="center" vertical="center"/>
    </xf>
    <xf numFmtId="0" fontId="34" fillId="26" borderId="13" xfId="0" applyFont="1" applyFill="1" applyBorder="1" applyAlignment="1">
      <alignment horizontal="center" vertical="center"/>
    </xf>
    <xf numFmtId="1" fontId="62" fillId="27" borderId="13" xfId="0" applyNumberFormat="1" applyFont="1" applyFill="1" applyBorder="1" applyAlignment="1">
      <alignment horizontal="center" vertical="center"/>
    </xf>
    <xf numFmtId="164" fontId="59" fillId="8" borderId="8" xfId="0" quotePrefix="1" applyNumberFormat="1" applyFont="1" applyFill="1" applyBorder="1" applyAlignment="1">
      <alignment horizontal="left" vertical="center"/>
    </xf>
    <xf numFmtId="165" fontId="9" fillId="0" borderId="21" xfId="0" quotePrefix="1" applyNumberFormat="1" applyFont="1" applyBorder="1" applyAlignment="1">
      <alignment horizontal="center" vertical="center"/>
    </xf>
    <xf numFmtId="165" fontId="6" fillId="0" borderId="21" xfId="0" applyNumberFormat="1" applyFont="1" applyBorder="1" applyAlignment="1">
      <alignment horizontal="center" vertical="center"/>
    </xf>
    <xf numFmtId="172" fontId="3" fillId="0" borderId="0" xfId="0" applyNumberFormat="1" applyFont="1" applyAlignment="1">
      <alignment horizontal="center" vertical="center"/>
    </xf>
    <xf numFmtId="164" fontId="3" fillId="0" borderId="21" xfId="0" applyNumberFormat="1" applyFont="1" applyBorder="1" applyAlignment="1">
      <alignment horizontal="center" vertical="center"/>
    </xf>
    <xf numFmtId="165" fontId="6" fillId="25" borderId="13" xfId="0" applyNumberFormat="1" applyFont="1" applyFill="1" applyBorder="1" applyAlignment="1">
      <alignment horizontal="center" vertical="center"/>
    </xf>
    <xf numFmtId="164" fontId="6" fillId="25" borderId="13" xfId="0" applyNumberFormat="1" applyFont="1" applyFill="1" applyBorder="1" applyAlignment="1">
      <alignment horizontal="center" vertical="center"/>
    </xf>
    <xf numFmtId="14" fontId="43" fillId="0" borderId="0" xfId="0" applyNumberFormat="1" applyFont="1" applyAlignment="1">
      <alignment horizontal="left" vertical="center"/>
    </xf>
    <xf numFmtId="0" fontId="3" fillId="0" borderId="1" xfId="0" applyFont="1" applyBorder="1" applyAlignment="1">
      <alignment vertical="center"/>
    </xf>
    <xf numFmtId="0" fontId="5" fillId="0" borderId="1" xfId="0" applyFont="1" applyBorder="1" applyAlignment="1">
      <alignment vertical="center"/>
    </xf>
    <xf numFmtId="164" fontId="6" fillId="6" borderId="13" xfId="0" applyNumberFormat="1" applyFont="1" applyFill="1" applyBorder="1" applyAlignment="1">
      <alignment horizontal="center" vertical="center"/>
    </xf>
    <xf numFmtId="14" fontId="24" fillId="0" borderId="0" xfId="0" applyNumberFormat="1" applyFont="1" applyAlignment="1">
      <alignment horizontal="left" vertical="center"/>
    </xf>
    <xf numFmtId="0" fontId="0" fillId="0" borderId="3" xfId="0" applyBorder="1" applyAlignment="1">
      <alignment horizontal="center" vertical="center"/>
    </xf>
    <xf numFmtId="165" fontId="0" fillId="0" borderId="0" xfId="0" applyNumberFormat="1"/>
    <xf numFmtId="3" fontId="0" fillId="0" borderId="0" xfId="0" applyNumberFormat="1" applyAlignment="1">
      <alignment horizontal="right"/>
    </xf>
    <xf numFmtId="0" fontId="41" fillId="0" borderId="0" xfId="0" applyFont="1" applyAlignment="1">
      <alignment vertical="center"/>
    </xf>
    <xf numFmtId="0" fontId="4" fillId="13" borderId="1" xfId="0" applyFont="1" applyFill="1" applyBorder="1" applyAlignment="1">
      <alignment horizontal="center"/>
    </xf>
    <xf numFmtId="0" fontId="11" fillId="2" borderId="0" xfId="0" applyFont="1" applyFill="1" applyAlignment="1">
      <alignment vertical="center"/>
    </xf>
    <xf numFmtId="0" fontId="3" fillId="0" borderId="2" xfId="0" applyFont="1" applyBorder="1"/>
    <xf numFmtId="165" fontId="34" fillId="2" borderId="0" xfId="1" applyNumberFormat="1" applyFont="1" applyFill="1" applyAlignment="1">
      <alignment horizontal="right" vertical="center"/>
    </xf>
    <xf numFmtId="0" fontId="3" fillId="0" borderId="1" xfId="0" applyFont="1" applyBorder="1" applyAlignment="1">
      <alignment horizontal="left" indent="1"/>
    </xf>
    <xf numFmtId="0" fontId="3" fillId="0" borderId="6" xfId="0" applyFont="1" applyBorder="1" applyAlignment="1">
      <alignment horizontal="left" indent="1"/>
    </xf>
    <xf numFmtId="3" fontId="3" fillId="0" borderId="5" xfId="0" applyNumberFormat="1" applyFont="1" applyBorder="1"/>
    <xf numFmtId="0" fontId="5" fillId="2" borderId="7" xfId="1" applyFont="1" applyFill="1" applyBorder="1" applyAlignment="1">
      <alignment horizontal="left" vertical="center"/>
    </xf>
    <xf numFmtId="169" fontId="5" fillId="2" borderId="8" xfId="0" applyNumberFormat="1" applyFont="1" applyFill="1" applyBorder="1" applyAlignment="1">
      <alignment horizontal="right" vertical="center"/>
    </xf>
    <xf numFmtId="165" fontId="34" fillId="2" borderId="9" xfId="1" applyNumberFormat="1" applyFont="1" applyFill="1" applyBorder="1" applyAlignment="1">
      <alignment horizontal="right" vertical="center"/>
    </xf>
    <xf numFmtId="0" fontId="65" fillId="0" borderId="0" xfId="0" applyFont="1" applyAlignment="1">
      <alignment vertical="center"/>
    </xf>
    <xf numFmtId="0" fontId="54" fillId="0" borderId="3" xfId="0" applyFont="1" applyBorder="1" applyAlignment="1">
      <alignment vertical="center"/>
    </xf>
    <xf numFmtId="0" fontId="66" fillId="0" borderId="0" xfId="0" applyFont="1" applyAlignment="1">
      <alignment vertical="center"/>
    </xf>
    <xf numFmtId="0" fontId="67" fillId="0" borderId="0" xfId="0" applyFont="1" applyAlignment="1">
      <alignment vertical="center"/>
    </xf>
    <xf numFmtId="165" fontId="4" fillId="6" borderId="11" xfId="4" applyNumberFormat="1" applyFont="1" applyFill="1" applyBorder="1" applyAlignment="1">
      <alignment horizontal="right" vertical="center"/>
    </xf>
    <xf numFmtId="165" fontId="35" fillId="0" borderId="0" xfId="0" applyNumberFormat="1" applyFont="1" applyAlignment="1">
      <alignment horizontal="right"/>
    </xf>
    <xf numFmtId="165" fontId="35" fillId="0" borderId="2" xfId="0" applyNumberFormat="1" applyFont="1" applyBorder="1" applyAlignment="1">
      <alignment horizontal="right"/>
    </xf>
    <xf numFmtId="165" fontId="4" fillId="6" borderId="0" xfId="4" applyNumberFormat="1" applyFont="1" applyFill="1" applyAlignment="1">
      <alignment horizontal="right" vertical="center"/>
    </xf>
    <xf numFmtId="3" fontId="4" fillId="6" borderId="2" xfId="4" applyNumberFormat="1" applyFont="1" applyFill="1" applyBorder="1" applyAlignment="1">
      <alignment horizontal="right" vertical="center"/>
    </xf>
    <xf numFmtId="165" fontId="3" fillId="0" borderId="11" xfId="0" applyNumberFormat="1" applyFont="1" applyBorder="1" applyAlignment="1">
      <alignment horizontal="right"/>
    </xf>
    <xf numFmtId="165" fontId="3" fillId="0" borderId="12" xfId="0" applyNumberFormat="1" applyFont="1" applyBorder="1" applyAlignment="1">
      <alignment horizontal="right"/>
    </xf>
    <xf numFmtId="1" fontId="11" fillId="0" borderId="0" xfId="0" applyNumberFormat="1" applyFont="1" applyAlignment="1">
      <alignment horizontal="center" vertical="center"/>
    </xf>
    <xf numFmtId="0" fontId="68" fillId="28" borderId="8" xfId="0" applyFont="1" applyFill="1" applyBorder="1" applyAlignment="1">
      <alignment vertical="center"/>
    </xf>
    <xf numFmtId="0" fontId="68" fillId="28" borderId="8" xfId="0" quotePrefix="1" applyFont="1" applyFill="1" applyBorder="1" applyAlignment="1">
      <alignment horizontal="left" vertical="center"/>
    </xf>
    <xf numFmtId="166" fontId="68" fillId="28" borderId="8" xfId="0" applyNumberFormat="1" applyFont="1" applyFill="1" applyBorder="1" applyAlignment="1">
      <alignment horizontal="center" vertical="center"/>
    </xf>
    <xf numFmtId="4" fontId="68" fillId="28" borderId="8" xfId="0" applyNumberFormat="1" applyFont="1" applyFill="1" applyBorder="1" applyAlignment="1">
      <alignment horizontal="center" vertical="center"/>
    </xf>
    <xf numFmtId="9" fontId="68" fillId="28" borderId="8" xfId="0" applyNumberFormat="1" applyFont="1" applyFill="1" applyBorder="1" applyAlignment="1">
      <alignment horizontal="center" vertical="center"/>
    </xf>
    <xf numFmtId="1" fontId="68" fillId="28" borderId="8" xfId="0" applyNumberFormat="1" applyFont="1" applyFill="1" applyBorder="1" applyAlignment="1">
      <alignment horizontal="center" vertical="center"/>
    </xf>
    <xf numFmtId="165" fontId="68" fillId="28" borderId="43" xfId="0" applyNumberFormat="1" applyFont="1" applyFill="1" applyBorder="1" applyAlignment="1">
      <alignment horizontal="center" vertical="center"/>
    </xf>
    <xf numFmtId="164" fontId="68" fillId="28" borderId="9" xfId="0" applyNumberFormat="1" applyFont="1" applyFill="1" applyBorder="1" applyAlignment="1">
      <alignment horizontal="center" vertical="center"/>
    </xf>
    <xf numFmtId="165" fontId="68" fillId="28" borderId="44" xfId="0" applyNumberFormat="1" applyFont="1" applyFill="1" applyBorder="1" applyAlignment="1">
      <alignment horizontal="center" vertical="center"/>
    </xf>
    <xf numFmtId="164" fontId="68" fillId="28" borderId="8" xfId="0" applyNumberFormat="1" applyFont="1" applyFill="1" applyBorder="1" applyAlignment="1">
      <alignment horizontal="center" vertical="center"/>
    </xf>
    <xf numFmtId="164" fontId="68" fillId="28" borderId="42" xfId="0" applyNumberFormat="1" applyFont="1" applyFill="1" applyBorder="1" applyAlignment="1">
      <alignment horizontal="center" vertical="center"/>
    </xf>
    <xf numFmtId="0" fontId="68" fillId="4" borderId="0" xfId="0" applyFont="1" applyFill="1" applyAlignment="1">
      <alignment vertical="center"/>
    </xf>
    <xf numFmtId="0" fontId="68" fillId="4" borderId="0" xfId="0" applyFont="1" applyFill="1" applyAlignment="1">
      <alignment horizontal="left" vertical="center"/>
    </xf>
    <xf numFmtId="166" fontId="68" fillId="4" borderId="0" xfId="0" applyNumberFormat="1" applyFont="1" applyFill="1" applyAlignment="1">
      <alignment horizontal="center" vertical="center"/>
    </xf>
    <xf numFmtId="4" fontId="68" fillId="4" borderId="0" xfId="0" applyNumberFormat="1" applyFont="1" applyFill="1" applyAlignment="1">
      <alignment horizontal="center" vertical="center"/>
    </xf>
    <xf numFmtId="9" fontId="68" fillId="4" borderId="0" xfId="0" applyNumberFormat="1" applyFont="1" applyFill="1" applyAlignment="1">
      <alignment horizontal="center" vertical="center"/>
    </xf>
    <xf numFmtId="1" fontId="68" fillId="4" borderId="0" xfId="0" applyNumberFormat="1" applyFont="1" applyFill="1" applyAlignment="1">
      <alignment horizontal="center" vertical="center"/>
    </xf>
    <xf numFmtId="165" fontId="68" fillId="4" borderId="30" xfId="0" applyNumberFormat="1" applyFont="1" applyFill="1" applyBorder="1" applyAlignment="1">
      <alignment horizontal="center" vertical="center"/>
    </xf>
    <xf numFmtId="164" fontId="68" fillId="4" borderId="2" xfId="0" applyNumberFormat="1" applyFont="1" applyFill="1" applyBorder="1" applyAlignment="1">
      <alignment horizontal="center" vertical="center"/>
    </xf>
    <xf numFmtId="165" fontId="68" fillId="4" borderId="31" xfId="0" applyNumberFormat="1" applyFont="1" applyFill="1" applyBorder="1" applyAlignment="1">
      <alignment horizontal="center" vertical="center"/>
    </xf>
    <xf numFmtId="164" fontId="68" fillId="4" borderId="0" xfId="0" applyNumberFormat="1" applyFont="1" applyFill="1" applyAlignment="1">
      <alignment horizontal="center" vertical="center"/>
    </xf>
    <xf numFmtId="164" fontId="68" fillId="4" borderId="29" xfId="0" applyNumberFormat="1" applyFont="1" applyFill="1" applyBorder="1" applyAlignment="1">
      <alignment horizontal="center" vertical="center"/>
    </xf>
    <xf numFmtId="0" fontId="3" fillId="0" borderId="0" xfId="0" applyFont="1" applyAlignment="1">
      <alignment horizontal="center"/>
    </xf>
    <xf numFmtId="165" fontId="34" fillId="0" borderId="5" xfId="0" applyNumberFormat="1" applyFont="1" applyBorder="1" applyAlignment="1">
      <alignment horizontal="right"/>
    </xf>
    <xf numFmtId="165" fontId="5" fillId="0" borderId="3" xfId="0" applyNumberFormat="1" applyFont="1" applyBorder="1" applyAlignment="1">
      <alignment horizontal="right"/>
    </xf>
    <xf numFmtId="0" fontId="45" fillId="0" borderId="0" xfId="0" applyFont="1" applyAlignment="1">
      <alignment horizontal="left" vertical="center"/>
    </xf>
    <xf numFmtId="174" fontId="3" fillId="0" borderId="0" xfId="0" applyNumberFormat="1" applyFont="1" applyAlignment="1">
      <alignment horizontal="center" vertical="center"/>
    </xf>
    <xf numFmtId="174" fontId="35" fillId="28" borderId="13" xfId="0" applyNumberFormat="1" applyFont="1" applyFill="1" applyBorder="1" applyAlignment="1">
      <alignment horizontal="center" vertical="center"/>
    </xf>
    <xf numFmtId="174" fontId="9" fillId="4" borderId="7" xfId="0" applyNumberFormat="1" applyFont="1" applyFill="1" applyBorder="1" applyAlignment="1">
      <alignment horizontal="center" vertical="center"/>
    </xf>
    <xf numFmtId="3" fontId="70" fillId="0" borderId="0" xfId="0" applyNumberFormat="1" applyFont="1" applyAlignment="1">
      <alignment horizontal="center" vertical="center"/>
    </xf>
    <xf numFmtId="3" fontId="71" fillId="28" borderId="13" xfId="0" applyNumberFormat="1" applyFont="1" applyFill="1" applyBorder="1" applyAlignment="1">
      <alignment horizontal="center" vertical="center"/>
    </xf>
    <xf numFmtId="3" fontId="71" fillId="4" borderId="13" xfId="0" applyNumberFormat="1" applyFont="1" applyFill="1" applyBorder="1" applyAlignment="1">
      <alignment horizontal="center" vertical="center"/>
    </xf>
    <xf numFmtId="3" fontId="72" fillId="0" borderId="0" xfId="0" applyNumberFormat="1" applyFont="1" applyAlignment="1">
      <alignment horizontal="center" vertical="center"/>
    </xf>
    <xf numFmtId="3" fontId="73" fillId="28" borderId="13" xfId="0" applyNumberFormat="1" applyFont="1" applyFill="1" applyBorder="1" applyAlignment="1">
      <alignment horizontal="center" vertical="center"/>
    </xf>
    <xf numFmtId="3" fontId="73" fillId="4" borderId="13" xfId="0" applyNumberFormat="1" applyFont="1" applyFill="1" applyBorder="1" applyAlignment="1">
      <alignment horizontal="center" vertical="center"/>
    </xf>
    <xf numFmtId="3" fontId="35" fillId="2" borderId="0" xfId="0" applyNumberFormat="1" applyFont="1" applyFill="1" applyAlignment="1">
      <alignment horizontal="center" vertical="center"/>
    </xf>
    <xf numFmtId="3" fontId="9" fillId="28" borderId="13" xfId="0" applyNumberFormat="1" applyFont="1" applyFill="1" applyBorder="1" applyAlignment="1">
      <alignment horizontal="center" vertical="center"/>
    </xf>
    <xf numFmtId="3" fontId="9" fillId="4" borderId="13" xfId="0" applyNumberFormat="1" applyFont="1" applyFill="1" applyBorder="1" applyAlignment="1">
      <alignment horizontal="center" vertical="center"/>
    </xf>
    <xf numFmtId="0" fontId="4" fillId="29" borderId="13" xfId="0" applyFont="1" applyFill="1" applyBorder="1" applyAlignment="1">
      <alignment horizontal="center" vertical="center"/>
    </xf>
    <xf numFmtId="9" fontId="9" fillId="2" borderId="0" xfId="0" applyNumberFormat="1" applyFont="1" applyFill="1" applyAlignment="1">
      <alignment horizontal="center" vertical="center"/>
    </xf>
    <xf numFmtId="9" fontId="9" fillId="28" borderId="13" xfId="0" applyNumberFormat="1" applyFont="1" applyFill="1" applyBorder="1" applyAlignment="1">
      <alignment horizontal="center" vertical="center"/>
    </xf>
    <xf numFmtId="9" fontId="68" fillId="4" borderId="13" xfId="0" applyNumberFormat="1" applyFont="1" applyFill="1" applyBorder="1" applyAlignment="1">
      <alignment horizontal="center" vertical="center"/>
    </xf>
    <xf numFmtId="0" fontId="68" fillId="2" borderId="0" xfId="0" applyFont="1" applyFill="1" applyAlignment="1">
      <alignment horizontal="center" vertical="center" textRotation="45"/>
    </xf>
    <xf numFmtId="0" fontId="74" fillId="28" borderId="0" xfId="0" applyFont="1" applyFill="1" applyAlignment="1">
      <alignment horizontal="center" vertical="center" textRotation="45"/>
    </xf>
    <xf numFmtId="0" fontId="75" fillId="4" borderId="0" xfId="0" applyFont="1" applyFill="1" applyAlignment="1">
      <alignment horizontal="center" vertical="center" textRotation="45"/>
    </xf>
    <xf numFmtId="0" fontId="9" fillId="0" borderId="0" xfId="0" applyFont="1" applyAlignment="1">
      <alignment horizontal="left" vertical="center"/>
    </xf>
    <xf numFmtId="0" fontId="6" fillId="21" borderId="0" xfId="0" applyFont="1" applyFill="1" applyAlignment="1">
      <alignment horizontal="left" vertical="center"/>
    </xf>
    <xf numFmtId="165" fontId="9" fillId="2" borderId="0" xfId="0" applyNumberFormat="1" applyFont="1" applyFill="1" applyAlignment="1">
      <alignment horizontal="center" vertical="center" textRotation="45"/>
    </xf>
    <xf numFmtId="165" fontId="9" fillId="4" borderId="0" xfId="0" applyNumberFormat="1" applyFont="1" applyFill="1" applyAlignment="1">
      <alignment horizontal="center" vertical="center" textRotation="45"/>
    </xf>
    <xf numFmtId="3" fontId="7" fillId="0" borderId="18" xfId="0" applyNumberFormat="1" applyFont="1" applyBorder="1" applyAlignment="1">
      <alignment horizontal="center" vertical="center"/>
    </xf>
    <xf numFmtId="0" fontId="7" fillId="0" borderId="18" xfId="0" applyFont="1" applyBorder="1" applyAlignment="1">
      <alignment horizontal="center" vertical="center"/>
    </xf>
    <xf numFmtId="166" fontId="3" fillId="0" borderId="23" xfId="0" applyNumberFormat="1" applyFont="1" applyBorder="1" applyAlignment="1">
      <alignment vertical="center" wrapText="1"/>
    </xf>
    <xf numFmtId="3" fontId="8" fillId="0" borderId="1" xfId="0" applyNumberFormat="1" applyFont="1" applyBorder="1" applyAlignment="1">
      <alignment horizontal="center" vertical="center"/>
    </xf>
    <xf numFmtId="0" fontId="7" fillId="4" borderId="18" xfId="0" quotePrefix="1" applyFont="1" applyFill="1" applyBorder="1" applyAlignment="1">
      <alignment horizontal="center" vertical="center"/>
    </xf>
    <xf numFmtId="0" fontId="8" fillId="0" borderId="2" xfId="0" quotePrefix="1" applyFont="1" applyBorder="1" applyAlignment="1">
      <alignment horizontal="center" vertical="center"/>
    </xf>
    <xf numFmtId="0" fontId="8" fillId="0" borderId="1" xfId="0" quotePrefix="1" applyFont="1" applyBorder="1" applyAlignment="1">
      <alignment horizontal="center" vertical="center"/>
    </xf>
    <xf numFmtId="4" fontId="7" fillId="4" borderId="18" xfId="0" quotePrefix="1" applyNumberFormat="1" applyFont="1" applyFill="1" applyBorder="1" applyAlignment="1">
      <alignment horizontal="center" vertical="center"/>
    </xf>
    <xf numFmtId="165" fontId="9" fillId="2" borderId="46" xfId="0" applyNumberFormat="1" applyFont="1" applyFill="1" applyBorder="1" applyAlignment="1">
      <alignment horizontal="center" vertical="center" textRotation="45"/>
    </xf>
    <xf numFmtId="0" fontId="9" fillId="2" borderId="48" xfId="0" applyFont="1" applyFill="1" applyBorder="1" applyAlignment="1">
      <alignment horizontal="center" vertical="center" textRotation="90"/>
    </xf>
    <xf numFmtId="0" fontId="9" fillId="2" borderId="49" xfId="0" applyFont="1" applyFill="1" applyBorder="1" applyAlignment="1">
      <alignment horizontal="center" vertical="center" textRotation="90"/>
    </xf>
    <xf numFmtId="165" fontId="11" fillId="2" borderId="51" xfId="0" applyNumberFormat="1" applyFont="1" applyFill="1" applyBorder="1" applyAlignment="1">
      <alignment horizontal="center" vertical="center"/>
    </xf>
    <xf numFmtId="165" fontId="11" fillId="2" borderId="45" xfId="0" applyNumberFormat="1" applyFont="1" applyFill="1" applyBorder="1" applyAlignment="1">
      <alignment horizontal="center" vertical="center"/>
    </xf>
    <xf numFmtId="165" fontId="3" fillId="21" borderId="1" xfId="0" applyNumberFormat="1" applyFont="1" applyFill="1" applyBorder="1" applyAlignment="1">
      <alignment horizontal="center" vertical="center"/>
    </xf>
    <xf numFmtId="165" fontId="3" fillId="2" borderId="45" xfId="0" applyNumberFormat="1" applyFont="1" applyFill="1" applyBorder="1" applyAlignment="1">
      <alignment horizontal="center" vertical="center"/>
    </xf>
    <xf numFmtId="0" fontId="3" fillId="0" borderId="45" xfId="0" applyFont="1" applyBorder="1" applyAlignment="1">
      <alignment vertical="center"/>
    </xf>
    <xf numFmtId="0" fontId="3" fillId="4" borderId="1" xfId="0" applyFont="1" applyFill="1" applyBorder="1" applyAlignment="1">
      <alignment horizontal="center" vertical="center"/>
    </xf>
    <xf numFmtId="0" fontId="3" fillId="2" borderId="45" xfId="0" applyFont="1" applyFill="1" applyBorder="1" applyAlignment="1">
      <alignment horizontal="center" vertical="center"/>
    </xf>
    <xf numFmtId="0" fontId="4" fillId="9" borderId="1" xfId="0" applyFont="1" applyFill="1" applyBorder="1" applyAlignment="1">
      <alignment horizontal="center" vertical="center"/>
    </xf>
    <xf numFmtId="165" fontId="3" fillId="2" borderId="48" xfId="0" applyNumberFormat="1" applyFont="1" applyFill="1" applyBorder="1" applyAlignment="1">
      <alignment horizontal="center" vertical="center"/>
    </xf>
    <xf numFmtId="9" fontId="35" fillId="2" borderId="45" xfId="0" applyNumberFormat="1" applyFont="1" applyFill="1" applyBorder="1" applyAlignment="1">
      <alignment horizontal="center" vertical="center"/>
    </xf>
    <xf numFmtId="165" fontId="9" fillId="4" borderId="31" xfId="0" applyNumberFormat="1" applyFont="1" applyFill="1" applyBorder="1" applyAlignment="1">
      <alignment horizontal="center" vertical="center" textRotation="45"/>
    </xf>
    <xf numFmtId="0" fontId="9" fillId="4" borderId="47" xfId="0" applyFont="1" applyFill="1" applyBorder="1" applyAlignment="1">
      <alignment horizontal="center" vertical="center" textRotation="90"/>
    </xf>
    <xf numFmtId="165" fontId="11" fillId="4" borderId="50" xfId="0" applyNumberFormat="1" applyFont="1" applyFill="1" applyBorder="1" applyAlignment="1">
      <alignment horizontal="center" vertical="center"/>
    </xf>
    <xf numFmtId="165" fontId="11" fillId="4" borderId="31" xfId="0" applyNumberFormat="1" applyFont="1" applyFill="1" applyBorder="1" applyAlignment="1">
      <alignment horizontal="center" vertical="center"/>
    </xf>
    <xf numFmtId="165" fontId="3" fillId="4" borderId="31" xfId="0" applyNumberFormat="1" applyFont="1" applyFill="1" applyBorder="1" applyAlignment="1">
      <alignment horizontal="center" vertical="center"/>
    </xf>
    <xf numFmtId="0" fontId="3" fillId="4" borderId="31" xfId="0" applyFont="1" applyFill="1" applyBorder="1" applyAlignment="1">
      <alignment vertical="center"/>
    </xf>
    <xf numFmtId="0" fontId="3" fillId="4" borderId="31" xfId="0" applyFont="1" applyFill="1" applyBorder="1" applyAlignment="1">
      <alignment horizontal="center" vertical="center"/>
    </xf>
    <xf numFmtId="165" fontId="3" fillId="4" borderId="47" xfId="0" applyNumberFormat="1" applyFont="1" applyFill="1" applyBorder="1" applyAlignment="1">
      <alignment horizontal="center" vertical="center"/>
    </xf>
    <xf numFmtId="9" fontId="35" fillId="4" borderId="31" xfId="0" applyNumberFormat="1" applyFont="1" applyFill="1" applyBorder="1" applyAlignment="1">
      <alignment horizontal="center" vertical="center"/>
    </xf>
    <xf numFmtId="3" fontId="18" fillId="0" borderId="0" xfId="0" applyNumberFormat="1" applyFont="1" applyAlignment="1">
      <alignment horizontal="center" vertical="center"/>
    </xf>
    <xf numFmtId="0" fontId="77" fillId="0" borderId="0" xfId="0" applyFont="1" applyAlignment="1">
      <alignment horizontal="right" vertical="center"/>
    </xf>
    <xf numFmtId="165" fontId="18" fillId="0" borderId="0" xfId="0" applyNumberFormat="1" applyFont="1" applyAlignment="1">
      <alignment horizontal="center" vertical="center"/>
    </xf>
    <xf numFmtId="0" fontId="78" fillId="0" borderId="3" xfId="0" applyFont="1" applyBorder="1" applyAlignment="1">
      <alignment horizontal="right" vertical="center"/>
    </xf>
    <xf numFmtId="166" fontId="3" fillId="0" borderId="29" xfId="0" applyNumberFormat="1" applyFont="1" applyBorder="1" applyAlignment="1">
      <alignment horizontal="center" vertical="center"/>
    </xf>
    <xf numFmtId="6" fontId="10" fillId="6" borderId="0" xfId="0" applyNumberFormat="1" applyFont="1" applyFill="1" applyAlignment="1">
      <alignment horizontal="center" vertical="center"/>
    </xf>
    <xf numFmtId="6" fontId="10" fillId="6" borderId="29" xfId="0" applyNumberFormat="1" applyFont="1" applyFill="1" applyBorder="1" applyAlignment="1">
      <alignment horizontal="center" vertical="center"/>
    </xf>
    <xf numFmtId="165" fontId="10" fillId="6" borderId="0" xfId="0" applyNumberFormat="1" applyFont="1" applyFill="1" applyAlignment="1">
      <alignment horizontal="center" vertical="center"/>
    </xf>
    <xf numFmtId="165" fontId="10" fillId="6" borderId="29" xfId="0" applyNumberFormat="1" applyFont="1" applyFill="1" applyBorder="1" applyAlignment="1">
      <alignment horizontal="center" vertical="center"/>
    </xf>
    <xf numFmtId="165" fontId="10" fillId="14" borderId="0" xfId="0" applyNumberFormat="1" applyFont="1" applyFill="1" applyAlignment="1">
      <alignment horizontal="center" vertical="center"/>
    </xf>
    <xf numFmtId="165" fontId="10" fillId="14" borderId="29" xfId="0" applyNumberFormat="1" applyFont="1" applyFill="1" applyBorder="1" applyAlignment="1">
      <alignment horizontal="center" vertical="center"/>
    </xf>
    <xf numFmtId="165" fontId="10" fillId="15" borderId="0" xfId="0" applyNumberFormat="1" applyFont="1" applyFill="1" applyAlignment="1">
      <alignment horizontal="center" vertical="center"/>
    </xf>
    <xf numFmtId="165" fontId="10" fillId="15" borderId="29" xfId="0" applyNumberFormat="1" applyFont="1" applyFill="1" applyBorder="1" applyAlignment="1">
      <alignment horizontal="center" vertical="center"/>
    </xf>
    <xf numFmtId="165" fontId="3" fillId="15" borderId="0" xfId="0" applyNumberFormat="1" applyFont="1" applyFill="1" applyAlignment="1">
      <alignment horizontal="center" vertical="center"/>
    </xf>
    <xf numFmtId="165" fontId="3" fillId="15" borderId="29" xfId="0" applyNumberFormat="1" applyFont="1" applyFill="1" applyBorder="1" applyAlignment="1">
      <alignment horizontal="center" vertical="center"/>
    </xf>
    <xf numFmtId="165" fontId="10" fillId="16" borderId="0" xfId="0" applyNumberFormat="1" applyFont="1" applyFill="1" applyAlignment="1">
      <alignment horizontal="center" vertical="center"/>
    </xf>
    <xf numFmtId="165" fontId="10" fillId="16" borderId="29" xfId="0" applyNumberFormat="1" applyFont="1" applyFill="1" applyBorder="1" applyAlignment="1">
      <alignment horizontal="center" vertical="center"/>
    </xf>
    <xf numFmtId="165" fontId="3" fillId="16" borderId="0" xfId="0" applyNumberFormat="1" applyFont="1" applyFill="1" applyAlignment="1">
      <alignment horizontal="center" vertical="center"/>
    </xf>
    <xf numFmtId="165" fontId="3" fillId="16" borderId="29" xfId="0" applyNumberFormat="1" applyFont="1" applyFill="1" applyBorder="1" applyAlignment="1">
      <alignment horizontal="center" vertical="center"/>
    </xf>
    <xf numFmtId="165" fontId="10" fillId="18" borderId="0" xfId="0" applyNumberFormat="1" applyFont="1" applyFill="1" applyAlignment="1">
      <alignment horizontal="center" vertical="center"/>
    </xf>
    <xf numFmtId="165" fontId="10" fillId="18" borderId="29" xfId="0" applyNumberFormat="1" applyFont="1" applyFill="1" applyBorder="1" applyAlignment="1">
      <alignment horizontal="center" vertical="center"/>
    </xf>
    <xf numFmtId="165" fontId="3" fillId="18" borderId="0" xfId="0" applyNumberFormat="1" applyFont="1" applyFill="1" applyAlignment="1">
      <alignment horizontal="center" vertical="center"/>
    </xf>
    <xf numFmtId="165" fontId="3" fillId="18" borderId="29" xfId="0" applyNumberFormat="1" applyFont="1" applyFill="1" applyBorder="1" applyAlignment="1">
      <alignment horizontal="center" vertical="center"/>
    </xf>
    <xf numFmtId="165" fontId="10" fillId="17" borderId="0" xfId="0" applyNumberFormat="1" applyFont="1" applyFill="1" applyAlignment="1">
      <alignment horizontal="center" vertical="center"/>
    </xf>
    <xf numFmtId="165" fontId="10" fillId="17" borderId="29" xfId="0" applyNumberFormat="1" applyFont="1" applyFill="1" applyBorder="1" applyAlignment="1">
      <alignment horizontal="center" vertical="center"/>
    </xf>
    <xf numFmtId="165" fontId="3" fillId="17" borderId="0" xfId="0" applyNumberFormat="1" applyFont="1" applyFill="1" applyAlignment="1">
      <alignment horizontal="center" vertical="center"/>
    </xf>
    <xf numFmtId="165" fontId="3" fillId="17" borderId="29" xfId="0" applyNumberFormat="1" applyFont="1" applyFill="1" applyBorder="1" applyAlignment="1">
      <alignment horizontal="center" vertical="center"/>
    </xf>
    <xf numFmtId="164" fontId="3" fillId="0" borderId="24" xfId="0" applyNumberFormat="1" applyFont="1" applyBorder="1" applyAlignment="1">
      <alignment vertical="center"/>
    </xf>
    <xf numFmtId="164" fontId="7" fillId="0" borderId="20" xfId="0" applyNumberFormat="1" applyFont="1" applyBorder="1" applyAlignment="1">
      <alignment horizontal="center" vertical="center"/>
    </xf>
    <xf numFmtId="164" fontId="7" fillId="4" borderId="20" xfId="0" applyNumberFormat="1" applyFont="1" applyFill="1" applyBorder="1" applyAlignment="1">
      <alignment horizontal="center" vertical="center"/>
    </xf>
    <xf numFmtId="164" fontId="8" fillId="0" borderId="71" xfId="0" applyNumberFormat="1" applyFont="1" applyBorder="1" applyAlignment="1">
      <alignment horizontal="center" vertical="center"/>
    </xf>
    <xf numFmtId="166" fontId="8" fillId="0" borderId="40" xfId="0" applyNumberFormat="1" applyFont="1" applyBorder="1" applyAlignment="1">
      <alignment horizontal="center" vertical="center"/>
    </xf>
    <xf numFmtId="164" fontId="7" fillId="0" borderId="63" xfId="0" applyNumberFormat="1" applyFont="1" applyBorder="1" applyAlignment="1">
      <alignment horizontal="center" vertical="center"/>
    </xf>
    <xf numFmtId="4" fontId="3" fillId="2" borderId="0" xfId="0" applyNumberFormat="1" applyFont="1" applyFill="1" applyAlignment="1">
      <alignment horizontal="center" vertical="center"/>
    </xf>
    <xf numFmtId="4" fontId="6" fillId="9" borderId="0" xfId="0" applyNumberFormat="1" applyFont="1" applyFill="1" applyAlignment="1">
      <alignment horizontal="center" vertical="center"/>
    </xf>
    <xf numFmtId="165" fontId="6" fillId="30" borderId="13" xfId="0" applyNumberFormat="1" applyFont="1" applyFill="1" applyBorder="1" applyAlignment="1">
      <alignment horizontal="center" vertical="center"/>
    </xf>
    <xf numFmtId="165" fontId="6" fillId="31" borderId="13" xfId="0" applyNumberFormat="1" applyFont="1" applyFill="1" applyBorder="1" applyAlignment="1">
      <alignment horizontal="center" vertical="center"/>
    </xf>
    <xf numFmtId="14" fontId="43" fillId="0" borderId="0" xfId="0" applyNumberFormat="1" applyFont="1" applyAlignment="1">
      <alignment horizontal="center" vertical="center"/>
    </xf>
    <xf numFmtId="4" fontId="43" fillId="0" borderId="0" xfId="0" applyNumberFormat="1" applyFont="1" applyAlignment="1">
      <alignment horizontal="center" vertical="center"/>
    </xf>
    <xf numFmtId="14" fontId="3" fillId="0" borderId="0" xfId="0" applyNumberFormat="1" applyFont="1" applyAlignment="1">
      <alignment horizontal="center" vertical="center"/>
    </xf>
    <xf numFmtId="0" fontId="59" fillId="0" borderId="3" xfId="0" applyFont="1" applyBorder="1" applyAlignment="1">
      <alignment horizontal="left" vertical="center"/>
    </xf>
    <xf numFmtId="4" fontId="59" fillId="0" borderId="3" xfId="0" applyNumberFormat="1" applyFont="1" applyBorder="1" applyAlignment="1">
      <alignment horizontal="center" vertical="center"/>
    </xf>
    <xf numFmtId="0" fontId="59" fillId="0" borderId="3" xfId="0" applyFont="1" applyBorder="1" applyAlignment="1">
      <alignment horizontal="center" vertical="center"/>
    </xf>
    <xf numFmtId="0" fontId="3" fillId="0" borderId="3" xfId="0" applyFont="1" applyBorder="1" applyAlignment="1">
      <alignment horizontal="center" vertical="center"/>
    </xf>
    <xf numFmtId="1" fontId="34" fillId="27" borderId="72" xfId="0" applyNumberFormat="1" applyFont="1" applyFill="1" applyBorder="1" applyAlignment="1">
      <alignment horizontal="center" vertical="center"/>
    </xf>
    <xf numFmtId="0" fontId="61" fillId="21" borderId="13" xfId="0" applyFont="1" applyFill="1" applyBorder="1" applyAlignment="1">
      <alignment horizontal="left" vertical="center" wrapText="1"/>
    </xf>
    <xf numFmtId="4" fontId="61" fillId="21" borderId="13" xfId="0" applyNumberFormat="1" applyFont="1" applyFill="1" applyBorder="1" applyAlignment="1">
      <alignment horizontal="center" vertical="center" wrapText="1"/>
    </xf>
    <xf numFmtId="0" fontId="35" fillId="0" borderId="0" xfId="0" applyFont="1" applyAlignment="1">
      <alignment vertical="center"/>
    </xf>
    <xf numFmtId="175" fontId="3" fillId="0" borderId="0" xfId="0" applyNumberFormat="1" applyFont="1" applyAlignment="1">
      <alignment horizontal="center" vertical="center"/>
    </xf>
    <xf numFmtId="165" fontId="6" fillId="34" borderId="13" xfId="0" applyNumberFormat="1" applyFont="1" applyFill="1" applyBorder="1" applyAlignment="1">
      <alignment horizontal="center" vertical="center"/>
    </xf>
    <xf numFmtId="175" fontId="3" fillId="0" borderId="2" xfId="0" applyNumberFormat="1" applyFont="1" applyBorder="1" applyAlignment="1">
      <alignment horizontal="center" vertical="center"/>
    </xf>
    <xf numFmtId="4" fontId="3" fillId="0" borderId="3" xfId="0" applyNumberFormat="1" applyFont="1" applyBorder="1" applyAlignment="1">
      <alignment horizontal="center" vertical="center"/>
    </xf>
    <xf numFmtId="165" fontId="6" fillId="30" borderId="7" xfId="0" applyNumberFormat="1" applyFont="1" applyFill="1" applyBorder="1" applyAlignment="1">
      <alignment horizontal="center" vertical="center"/>
    </xf>
    <xf numFmtId="0" fontId="3" fillId="35" borderId="0" xfId="0" applyFont="1" applyFill="1" applyAlignment="1">
      <alignment vertical="center"/>
    </xf>
    <xf numFmtId="0" fontId="0" fillId="0" borderId="0" xfId="0" applyAlignment="1">
      <alignment horizontal="left" vertical="center"/>
    </xf>
    <xf numFmtId="0" fontId="6" fillId="0" borderId="13" xfId="0" applyFont="1" applyBorder="1" applyAlignment="1">
      <alignment vertical="center"/>
    </xf>
    <xf numFmtId="0" fontId="6" fillId="0" borderId="13" xfId="0" applyFont="1" applyBorder="1" applyAlignment="1">
      <alignment horizontal="left" vertical="center"/>
    </xf>
    <xf numFmtId="166" fontId="6" fillId="0" borderId="13" xfId="0" applyNumberFormat="1" applyFont="1" applyBorder="1" applyAlignment="1">
      <alignment horizontal="center" vertical="center"/>
    </xf>
    <xf numFmtId="4" fontId="6" fillId="0" borderId="13" xfId="0" applyNumberFormat="1" applyFont="1" applyBorder="1" applyAlignment="1">
      <alignment horizontal="center" vertical="center"/>
    </xf>
    <xf numFmtId="9" fontId="6" fillId="0" borderId="13" xfId="0" applyNumberFormat="1" applyFont="1" applyBorder="1" applyAlignment="1">
      <alignment horizontal="center" vertical="center"/>
    </xf>
    <xf numFmtId="0" fontId="6" fillId="0" borderId="13" xfId="0" applyFont="1" applyBorder="1" applyAlignment="1">
      <alignment horizontal="center" vertical="center"/>
    </xf>
    <xf numFmtId="3" fontId="6" fillId="0" borderId="13" xfId="0" applyNumberFormat="1" applyFont="1" applyBorder="1" applyAlignment="1">
      <alignment horizontal="center" vertical="center"/>
    </xf>
    <xf numFmtId="166" fontId="24" fillId="0" borderId="0" xfId="0" applyNumberFormat="1" applyFont="1" applyAlignment="1">
      <alignment horizontal="right" vertical="center"/>
    </xf>
    <xf numFmtId="166" fontId="34" fillId="0" borderId="0" xfId="0" applyNumberFormat="1" applyFont="1" applyAlignment="1">
      <alignment vertical="center"/>
    </xf>
    <xf numFmtId="166" fontId="6" fillId="30" borderId="13" xfId="0" applyNumberFormat="1" applyFont="1" applyFill="1" applyBorder="1" applyAlignment="1">
      <alignment horizontal="center" vertical="center"/>
    </xf>
    <xf numFmtId="3" fontId="24" fillId="0" borderId="0" xfId="0" applyNumberFormat="1" applyFont="1" applyAlignment="1">
      <alignment horizontal="right" vertical="center"/>
    </xf>
    <xf numFmtId="3" fontId="34" fillId="0" borderId="0" xfId="0" applyNumberFormat="1" applyFont="1" applyAlignment="1">
      <alignment vertical="center"/>
    </xf>
    <xf numFmtId="3" fontId="6" fillId="30" borderId="13" xfId="0" applyNumberFormat="1" applyFont="1" applyFill="1" applyBorder="1" applyAlignment="1">
      <alignment horizontal="center" vertical="center"/>
    </xf>
    <xf numFmtId="3" fontId="68" fillId="28" borderId="8" xfId="0" applyNumberFormat="1" applyFont="1" applyFill="1" applyBorder="1" applyAlignment="1">
      <alignment horizontal="center" vertical="center"/>
    </xf>
    <xf numFmtId="0" fontId="9" fillId="0" borderId="0" xfId="0" applyFont="1" applyAlignment="1">
      <alignment horizontal="center" vertical="center"/>
    </xf>
    <xf numFmtId="0" fontId="3" fillId="35" borderId="0" xfId="0" applyFont="1" applyFill="1" applyAlignment="1">
      <alignment horizontal="center" vertical="center"/>
    </xf>
    <xf numFmtId="0" fontId="9" fillId="0" borderId="0" xfId="0" applyFont="1" applyAlignment="1">
      <alignment horizontal="right" vertical="center" indent="1"/>
    </xf>
    <xf numFmtId="0" fontId="59" fillId="0" borderId="0" xfId="0" applyFont="1" applyAlignment="1">
      <alignment horizontal="left" vertical="center"/>
    </xf>
    <xf numFmtId="14" fontId="28" fillId="0" borderId="0" xfId="0" applyNumberFormat="1" applyFont="1" applyAlignment="1">
      <alignment horizontal="right" vertical="center"/>
    </xf>
    <xf numFmtId="166" fontId="3" fillId="0" borderId="0" xfId="0" applyNumberFormat="1" applyFont="1"/>
    <xf numFmtId="0" fontId="61" fillId="22" borderId="15" xfId="0" applyFont="1" applyFill="1" applyBorder="1" applyAlignment="1">
      <alignment horizontal="left" vertical="center" wrapText="1"/>
    </xf>
    <xf numFmtId="0" fontId="61" fillId="22" borderId="25" xfId="0" applyFont="1" applyFill="1" applyBorder="1" applyAlignment="1">
      <alignment horizontal="center" vertical="center" wrapText="1"/>
    </xf>
    <xf numFmtId="0" fontId="61" fillId="22" borderId="16" xfId="0" applyFont="1" applyFill="1" applyBorder="1" applyAlignment="1">
      <alignment horizontal="center" vertical="center" wrapText="1"/>
    </xf>
    <xf numFmtId="0" fontId="61" fillId="22" borderId="41" xfId="0" applyFont="1" applyFill="1" applyBorder="1" applyAlignment="1">
      <alignment horizontal="center" vertical="center" wrapText="1"/>
    </xf>
    <xf numFmtId="0" fontId="61" fillId="22" borderId="38" xfId="0" applyFont="1" applyFill="1" applyBorder="1" applyAlignment="1">
      <alignment horizontal="center" vertical="center" wrapText="1"/>
    </xf>
    <xf numFmtId="166" fontId="61" fillId="22" borderId="39" xfId="0" applyNumberFormat="1" applyFont="1" applyFill="1" applyBorder="1" applyAlignment="1">
      <alignment horizontal="center" vertical="center" wrapText="1"/>
    </xf>
    <xf numFmtId="0" fontId="61" fillId="22" borderId="15" xfId="0" applyFont="1" applyFill="1" applyBorder="1" applyAlignment="1">
      <alignment horizontal="center" vertical="center" wrapText="1"/>
    </xf>
    <xf numFmtId="0" fontId="61" fillId="22" borderId="39" xfId="0" applyFont="1" applyFill="1" applyBorder="1" applyAlignment="1">
      <alignment horizontal="center" vertical="center" wrapText="1"/>
    </xf>
    <xf numFmtId="166" fontId="61" fillId="22" borderId="17" xfId="0" applyNumberFormat="1" applyFont="1" applyFill="1" applyBorder="1" applyAlignment="1">
      <alignment horizontal="center" vertical="center" wrapText="1"/>
    </xf>
    <xf numFmtId="0" fontId="81" fillId="23" borderId="23" xfId="0" applyFont="1" applyFill="1" applyBorder="1" applyAlignment="1">
      <alignment horizontal="left" vertical="center"/>
    </xf>
    <xf numFmtId="0" fontId="5" fillId="23" borderId="0" xfId="0" applyFont="1" applyFill="1" applyAlignment="1">
      <alignment horizontal="left" vertical="center" wrapText="1" indent="1"/>
    </xf>
    <xf numFmtId="0" fontId="3" fillId="23" borderId="53" xfId="0" applyFont="1" applyFill="1" applyBorder="1" applyAlignment="1">
      <alignment horizontal="center" vertical="center" wrapText="1"/>
    </xf>
    <xf numFmtId="3" fontId="3" fillId="23" borderId="54" xfId="0" applyNumberFormat="1" applyFont="1" applyFill="1" applyBorder="1" applyAlignment="1">
      <alignment horizontal="center" vertical="center" wrapText="1"/>
    </xf>
    <xf numFmtId="171" fontId="3" fillId="23" borderId="55" xfId="0" applyNumberFormat="1" applyFont="1" applyFill="1" applyBorder="1" applyAlignment="1">
      <alignment horizontal="center" vertical="center" wrapText="1"/>
    </xf>
    <xf numFmtId="165" fontId="3" fillId="23" borderId="55" xfId="0" applyNumberFormat="1" applyFont="1" applyFill="1" applyBorder="1" applyAlignment="1">
      <alignment horizontal="center" vertical="center" wrapText="1"/>
    </xf>
    <xf numFmtId="172" fontId="3" fillId="23" borderId="55" xfId="0" applyNumberFormat="1" applyFont="1" applyFill="1" applyBorder="1" applyAlignment="1">
      <alignment horizontal="center" vertical="center" wrapText="1"/>
    </xf>
    <xf numFmtId="173" fontId="3" fillId="23" borderId="52" xfId="0" applyNumberFormat="1" applyFont="1" applyFill="1" applyBorder="1" applyAlignment="1">
      <alignment horizontal="center" vertical="center" wrapText="1"/>
    </xf>
    <xf numFmtId="165" fontId="3" fillId="23" borderId="52" xfId="0" applyNumberFormat="1" applyFont="1" applyFill="1" applyBorder="1" applyAlignment="1">
      <alignment horizontal="center" vertical="center" wrapText="1"/>
    </xf>
    <xf numFmtId="171" fontId="3" fillId="23" borderId="54" xfId="0" applyNumberFormat="1" applyFont="1" applyFill="1" applyBorder="1" applyAlignment="1">
      <alignment horizontal="center" vertical="center" wrapText="1"/>
    </xf>
    <xf numFmtId="166" fontId="3" fillId="23" borderId="56" xfId="0" applyNumberFormat="1" applyFont="1" applyFill="1" applyBorder="1" applyAlignment="1">
      <alignment horizontal="center" vertical="center" wrapText="1"/>
    </xf>
    <xf numFmtId="0" fontId="82" fillId="23" borderId="23" xfId="0" applyFont="1" applyFill="1" applyBorder="1" applyAlignment="1">
      <alignment horizontal="left" vertical="center"/>
    </xf>
    <xf numFmtId="0" fontId="3" fillId="23" borderId="66" xfId="0" applyFont="1" applyFill="1" applyBorder="1" applyAlignment="1">
      <alignment horizontal="center" vertical="center" wrapText="1"/>
    </xf>
    <xf numFmtId="3" fontId="3" fillId="23" borderId="67" xfId="0" applyNumberFormat="1" applyFont="1" applyFill="1" applyBorder="1" applyAlignment="1">
      <alignment horizontal="center" vertical="center" wrapText="1"/>
    </xf>
    <xf numFmtId="171" fontId="3" fillId="23" borderId="68" xfId="0" applyNumberFormat="1" applyFont="1" applyFill="1" applyBorder="1" applyAlignment="1">
      <alignment horizontal="center" vertical="center" wrapText="1"/>
    </xf>
    <xf numFmtId="165" fontId="3" fillId="23" borderId="68" xfId="0" applyNumberFormat="1" applyFont="1" applyFill="1" applyBorder="1" applyAlignment="1">
      <alignment horizontal="center" vertical="center" wrapText="1"/>
    </xf>
    <xf numFmtId="172" fontId="3" fillId="23" borderId="68" xfId="0" applyNumberFormat="1" applyFont="1" applyFill="1" applyBorder="1" applyAlignment="1">
      <alignment horizontal="center" vertical="center" wrapText="1"/>
    </xf>
    <xf numFmtId="173" fontId="3" fillId="23" borderId="69" xfId="0" applyNumberFormat="1" applyFont="1" applyFill="1" applyBorder="1" applyAlignment="1">
      <alignment horizontal="center" vertical="center" wrapText="1"/>
    </xf>
    <xf numFmtId="165" fontId="3" fillId="23" borderId="69" xfId="0" applyNumberFormat="1" applyFont="1" applyFill="1" applyBorder="1" applyAlignment="1">
      <alignment horizontal="center" vertical="center" wrapText="1"/>
    </xf>
    <xf numFmtId="171" fontId="3" fillId="23" borderId="67" xfId="0" applyNumberFormat="1" applyFont="1" applyFill="1" applyBorder="1" applyAlignment="1">
      <alignment horizontal="center" vertical="center" wrapText="1"/>
    </xf>
    <xf numFmtId="166" fontId="3" fillId="23" borderId="70" xfId="0" applyNumberFormat="1" applyFont="1" applyFill="1" applyBorder="1" applyAlignment="1">
      <alignment horizontal="center" vertical="center" wrapText="1"/>
    </xf>
    <xf numFmtId="0" fontId="83" fillId="23" borderId="24" xfId="0" applyFont="1" applyFill="1" applyBorder="1" applyAlignment="1">
      <alignment horizontal="left" vertical="center"/>
    </xf>
    <xf numFmtId="0" fontId="5" fillId="23" borderId="4" xfId="0" applyFont="1" applyFill="1" applyBorder="1" applyAlignment="1">
      <alignment horizontal="left" vertical="center" wrapText="1" indent="1"/>
    </xf>
    <xf numFmtId="0" fontId="3" fillId="23" borderId="40" xfId="0" applyFont="1" applyFill="1" applyBorder="1" applyAlignment="1">
      <alignment horizontal="center" vertical="center" wrapText="1"/>
    </xf>
    <xf numFmtId="3" fontId="3" fillId="23" borderId="62" xfId="0" applyNumberFormat="1" applyFont="1" applyFill="1" applyBorder="1" applyAlignment="1">
      <alignment horizontal="center" vertical="center" wrapText="1"/>
    </xf>
    <xf numFmtId="171" fontId="3" fillId="23" borderId="63" xfId="0" applyNumberFormat="1" applyFont="1" applyFill="1" applyBorder="1" applyAlignment="1">
      <alignment horizontal="center" vertical="center" wrapText="1"/>
    </xf>
    <xf numFmtId="165" fontId="3" fillId="23" borderId="63" xfId="0" applyNumberFormat="1" applyFont="1" applyFill="1" applyBorder="1" applyAlignment="1">
      <alignment horizontal="center" vertical="center" wrapText="1"/>
    </xf>
    <xf numFmtId="172" fontId="3" fillId="23" borderId="63" xfId="0" applyNumberFormat="1" applyFont="1" applyFill="1" applyBorder="1" applyAlignment="1">
      <alignment horizontal="center" vertical="center" wrapText="1"/>
    </xf>
    <xf numFmtId="173" fontId="3" fillId="23" borderId="64" xfId="0" applyNumberFormat="1" applyFont="1" applyFill="1" applyBorder="1" applyAlignment="1">
      <alignment horizontal="center" vertical="center" wrapText="1"/>
    </xf>
    <xf numFmtId="165" fontId="3" fillId="23" borderId="64" xfId="0" applyNumberFormat="1" applyFont="1" applyFill="1" applyBorder="1" applyAlignment="1">
      <alignment horizontal="center" vertical="center" wrapText="1"/>
    </xf>
    <xf numFmtId="171" fontId="3" fillId="23" borderId="62" xfId="0" applyNumberFormat="1" applyFont="1" applyFill="1" applyBorder="1" applyAlignment="1">
      <alignment horizontal="center" vertical="center" wrapText="1"/>
    </xf>
    <xf numFmtId="166" fontId="3" fillId="23" borderId="65" xfId="0" applyNumberFormat="1" applyFont="1" applyFill="1" applyBorder="1" applyAlignment="1">
      <alignment horizontal="center" vertical="center" wrapText="1"/>
    </xf>
    <xf numFmtId="0" fontId="35" fillId="0" borderId="33" xfId="0" applyFont="1" applyBorder="1" applyAlignment="1">
      <alignment horizontal="left"/>
    </xf>
    <xf numFmtId="0" fontId="84" fillId="24" borderId="34" xfId="3" applyFont="1" applyFill="1" applyBorder="1" applyAlignment="1">
      <alignment horizontal="left" vertical="center" wrapText="1" indent="1"/>
    </xf>
    <xf numFmtId="0" fontId="3" fillId="24" borderId="53" xfId="0" applyFont="1" applyFill="1" applyBorder="1" applyAlignment="1">
      <alignment horizontal="center" vertical="center" wrapText="1"/>
    </xf>
    <xf numFmtId="3" fontId="3" fillId="0" borderId="54" xfId="0" applyNumberFormat="1" applyFont="1" applyBorder="1" applyAlignment="1">
      <alignment horizontal="center" vertical="center" wrapText="1"/>
    </xf>
    <xf numFmtId="171" fontId="3" fillId="0" borderId="55" xfId="0" applyNumberFormat="1" applyFont="1" applyBorder="1" applyAlignment="1">
      <alignment horizontal="center" vertical="center" wrapText="1"/>
    </xf>
    <xf numFmtId="165" fontId="3" fillId="24" borderId="55" xfId="0" applyNumberFormat="1" applyFont="1" applyFill="1" applyBorder="1" applyAlignment="1">
      <alignment horizontal="center" vertical="center" wrapText="1"/>
    </xf>
    <xf numFmtId="172" fontId="3" fillId="24" borderId="55" xfId="0" applyNumberFormat="1" applyFont="1" applyFill="1" applyBorder="1" applyAlignment="1">
      <alignment horizontal="center" vertical="center" wrapText="1"/>
    </xf>
    <xf numFmtId="173" fontId="3" fillId="24" borderId="52" xfId="0" applyNumberFormat="1" applyFont="1" applyFill="1" applyBorder="1" applyAlignment="1">
      <alignment horizontal="center" vertical="center" wrapText="1"/>
    </xf>
    <xf numFmtId="3" fontId="3" fillId="24" borderId="54" xfId="0" applyNumberFormat="1" applyFont="1" applyFill="1" applyBorder="1" applyAlignment="1">
      <alignment horizontal="center" vertical="center" wrapText="1"/>
    </xf>
    <xf numFmtId="171" fontId="3" fillId="24" borderId="55" xfId="0" applyNumberFormat="1" applyFont="1" applyFill="1" applyBorder="1" applyAlignment="1">
      <alignment horizontal="center" vertical="center" wrapText="1"/>
    </xf>
    <xf numFmtId="165" fontId="3" fillId="24" borderId="52" xfId="0" applyNumberFormat="1" applyFont="1" applyFill="1" applyBorder="1" applyAlignment="1">
      <alignment horizontal="center" vertical="center" wrapText="1"/>
    </xf>
    <xf numFmtId="171" fontId="3" fillId="24" borderId="54" xfId="0" applyNumberFormat="1" applyFont="1" applyFill="1" applyBorder="1" applyAlignment="1">
      <alignment horizontal="center" vertical="center" wrapText="1"/>
    </xf>
    <xf numFmtId="166" fontId="3" fillId="24" borderId="56" xfId="0" applyNumberFormat="1" applyFont="1" applyFill="1" applyBorder="1" applyAlignment="1">
      <alignment horizontal="center" vertical="center" wrapText="1"/>
    </xf>
    <xf numFmtId="0" fontId="82" fillId="24" borderId="23" xfId="0" applyFont="1" applyFill="1" applyBorder="1" applyAlignment="1">
      <alignment horizontal="left" vertical="center"/>
    </xf>
    <xf numFmtId="0" fontId="84" fillId="24" borderId="0" xfId="3" applyFont="1" applyFill="1" applyBorder="1" applyAlignment="1">
      <alignment horizontal="left" vertical="center" wrapText="1" indent="1"/>
    </xf>
    <xf numFmtId="0" fontId="3" fillId="24" borderId="58" xfId="0" applyFont="1" applyFill="1" applyBorder="1" applyAlignment="1">
      <alignment horizontal="center" vertical="center" wrapText="1"/>
    </xf>
    <xf numFmtId="3" fontId="3" fillId="0" borderId="67" xfId="0" applyNumberFormat="1" applyFont="1" applyBorder="1" applyAlignment="1">
      <alignment horizontal="center" vertical="center" wrapText="1"/>
    </xf>
    <xf numFmtId="171" fontId="3" fillId="0" borderId="68" xfId="0" applyNumberFormat="1" applyFont="1" applyBorder="1" applyAlignment="1">
      <alignment horizontal="center" vertical="center" wrapText="1"/>
    </xf>
    <xf numFmtId="165" fontId="3" fillId="24" borderId="60" xfId="0" applyNumberFormat="1" applyFont="1" applyFill="1" applyBorder="1" applyAlignment="1">
      <alignment horizontal="center" vertical="center" wrapText="1"/>
    </xf>
    <xf numFmtId="172" fontId="3" fillId="24" borderId="60" xfId="0" applyNumberFormat="1" applyFont="1" applyFill="1" applyBorder="1" applyAlignment="1">
      <alignment horizontal="center" vertical="center" wrapText="1"/>
    </xf>
    <xf numFmtId="173" fontId="3" fillId="24" borderId="57" xfId="0" applyNumberFormat="1" applyFont="1" applyFill="1" applyBorder="1" applyAlignment="1">
      <alignment horizontal="center" vertical="center" wrapText="1"/>
    </xf>
    <xf numFmtId="3" fontId="3" fillId="24" borderId="59" xfId="0" applyNumberFormat="1" applyFont="1" applyFill="1" applyBorder="1" applyAlignment="1">
      <alignment horizontal="center" vertical="center" wrapText="1"/>
    </xf>
    <xf numFmtId="171" fontId="3" fillId="24" borderId="60" xfId="0" applyNumberFormat="1" applyFont="1" applyFill="1" applyBorder="1" applyAlignment="1">
      <alignment horizontal="center" vertical="center" wrapText="1"/>
    </xf>
    <xf numFmtId="165" fontId="3" fillId="24" borderId="57" xfId="0" applyNumberFormat="1" applyFont="1" applyFill="1" applyBorder="1" applyAlignment="1">
      <alignment horizontal="center" vertical="center" wrapText="1"/>
    </xf>
    <xf numFmtId="171" fontId="3" fillId="24" borderId="59" xfId="0" applyNumberFormat="1" applyFont="1" applyFill="1" applyBorder="1" applyAlignment="1">
      <alignment horizontal="center" vertical="center" wrapText="1"/>
    </xf>
    <xf numFmtId="166" fontId="3" fillId="24" borderId="61" xfId="0" applyNumberFormat="1" applyFont="1" applyFill="1" applyBorder="1" applyAlignment="1">
      <alignment horizontal="center" vertical="center" wrapText="1"/>
    </xf>
    <xf numFmtId="0" fontId="83" fillId="24" borderId="24" xfId="0" applyFont="1" applyFill="1" applyBorder="1" applyAlignment="1">
      <alignment horizontal="left" vertical="center"/>
    </xf>
    <xf numFmtId="0" fontId="84" fillId="24" borderId="4" xfId="3" applyFont="1" applyFill="1" applyBorder="1" applyAlignment="1">
      <alignment horizontal="left" vertical="center" wrapText="1" indent="1"/>
    </xf>
    <xf numFmtId="0" fontId="3" fillId="24" borderId="40" xfId="0" applyFont="1" applyFill="1" applyBorder="1" applyAlignment="1">
      <alignment horizontal="center" vertical="center" wrapText="1"/>
    </xf>
    <xf numFmtId="3" fontId="3" fillId="0" borderId="62" xfId="0" applyNumberFormat="1" applyFont="1" applyBorder="1" applyAlignment="1">
      <alignment horizontal="center" vertical="center" wrapText="1"/>
    </xf>
    <xf numFmtId="171" fontId="3" fillId="0" borderId="63" xfId="0" applyNumberFormat="1" applyFont="1" applyBorder="1" applyAlignment="1">
      <alignment horizontal="center" vertical="center" wrapText="1"/>
    </xf>
    <xf numFmtId="165" fontId="3" fillId="24" borderId="63" xfId="0" applyNumberFormat="1" applyFont="1" applyFill="1" applyBorder="1" applyAlignment="1">
      <alignment horizontal="center" vertical="center" wrapText="1"/>
    </xf>
    <xf numFmtId="172" fontId="3" fillId="24" borderId="63" xfId="0" applyNumberFormat="1" applyFont="1" applyFill="1" applyBorder="1" applyAlignment="1">
      <alignment horizontal="center" vertical="center" wrapText="1"/>
    </xf>
    <xf numFmtId="173" fontId="3" fillId="24" borderId="64" xfId="0" applyNumberFormat="1" applyFont="1" applyFill="1" applyBorder="1" applyAlignment="1">
      <alignment horizontal="center" vertical="center" wrapText="1"/>
    </xf>
    <xf numFmtId="3" fontId="3" fillId="24" borderId="62" xfId="0" applyNumberFormat="1" applyFont="1" applyFill="1" applyBorder="1" applyAlignment="1">
      <alignment horizontal="center" vertical="center" wrapText="1"/>
    </xf>
    <xf numFmtId="171" fontId="3" fillId="24" borderId="63" xfId="0" applyNumberFormat="1" applyFont="1" applyFill="1" applyBorder="1" applyAlignment="1">
      <alignment horizontal="center" vertical="center" wrapText="1"/>
    </xf>
    <xf numFmtId="165" fontId="3" fillId="24" borderId="64" xfId="0" applyNumberFormat="1" applyFont="1" applyFill="1" applyBorder="1" applyAlignment="1">
      <alignment horizontal="center" vertical="center" wrapText="1"/>
    </xf>
    <xf numFmtId="171" fontId="3" fillId="24" borderId="62" xfId="0" applyNumberFormat="1" applyFont="1" applyFill="1" applyBorder="1" applyAlignment="1">
      <alignment horizontal="center" vertical="center" wrapText="1"/>
    </xf>
    <xf numFmtId="166" fontId="3" fillId="24" borderId="65" xfId="0" applyNumberFormat="1" applyFont="1" applyFill="1" applyBorder="1" applyAlignment="1">
      <alignment horizontal="center" vertical="center" wrapText="1"/>
    </xf>
    <xf numFmtId="0" fontId="57" fillId="0" borderId="0" xfId="0" applyFont="1"/>
    <xf numFmtId="165" fontId="6" fillId="37" borderId="13" xfId="0" applyNumberFormat="1" applyFont="1" applyFill="1" applyBorder="1" applyAlignment="1">
      <alignment horizontal="center" vertical="center"/>
    </xf>
    <xf numFmtId="165" fontId="6" fillId="25" borderId="7" xfId="0" applyNumberFormat="1" applyFont="1" applyFill="1" applyBorder="1" applyAlignment="1">
      <alignment horizontal="center" vertical="center"/>
    </xf>
    <xf numFmtId="166" fontId="3" fillId="0" borderId="2" xfId="0" applyNumberFormat="1" applyFont="1" applyBorder="1" applyAlignment="1">
      <alignment horizontal="center" vertical="center"/>
    </xf>
    <xf numFmtId="166" fontId="61" fillId="21" borderId="7" xfId="0" applyNumberFormat="1" applyFont="1" applyFill="1" applyBorder="1" applyAlignment="1">
      <alignment horizontal="center" vertical="center" wrapText="1"/>
    </xf>
    <xf numFmtId="3" fontId="77" fillId="0" borderId="3" xfId="0" applyNumberFormat="1" applyFont="1" applyBorder="1" applyAlignment="1">
      <alignment horizontal="right" vertical="center"/>
    </xf>
    <xf numFmtId="0" fontId="59" fillId="0" borderId="3" xfId="0" applyFont="1" applyBorder="1" applyAlignment="1">
      <alignment horizontal="right" vertical="center"/>
    </xf>
    <xf numFmtId="0" fontId="65" fillId="0" borderId="0" xfId="0" applyFont="1" applyAlignment="1">
      <alignment horizontal="left" vertical="top" wrapText="1"/>
    </xf>
    <xf numFmtId="0" fontId="5" fillId="2" borderId="35" xfId="0" applyFont="1" applyFill="1" applyBorder="1" applyAlignment="1">
      <alignment horizontal="left" vertical="center" wrapText="1" indent="1"/>
    </xf>
    <xf numFmtId="0" fontId="5" fillId="2" borderId="1" xfId="0" applyFont="1" applyFill="1" applyBorder="1" applyAlignment="1">
      <alignment horizontal="left" vertical="center" wrapText="1" indent="1"/>
    </xf>
    <xf numFmtId="0" fontId="5" fillId="2" borderId="40" xfId="0" applyFont="1" applyFill="1" applyBorder="1" applyAlignment="1">
      <alignment horizontal="left" vertical="center" wrapText="1" indent="1"/>
    </xf>
    <xf numFmtId="0" fontId="3" fillId="0" borderId="0" xfId="0" applyFont="1" applyAlignment="1">
      <alignment horizontal="center"/>
    </xf>
    <xf numFmtId="0" fontId="5" fillId="23" borderId="35" xfId="0" applyFont="1" applyFill="1" applyBorder="1" applyAlignment="1">
      <alignment horizontal="left" vertical="center" wrapText="1" indent="1"/>
    </xf>
    <xf numFmtId="0" fontId="5" fillId="23" borderId="1" xfId="0" applyFont="1" applyFill="1" applyBorder="1" applyAlignment="1">
      <alignment horizontal="left" vertical="center" wrapText="1" indent="1"/>
    </xf>
    <xf numFmtId="0" fontId="5" fillId="23" borderId="40" xfId="0" applyFont="1" applyFill="1" applyBorder="1" applyAlignment="1">
      <alignment horizontal="left" vertical="center" wrapText="1" indent="1"/>
    </xf>
    <xf numFmtId="0" fontId="80" fillId="0" borderId="0" xfId="0" applyFont="1" applyAlignment="1">
      <alignment horizontal="center" vertical="center" textRotation="90"/>
    </xf>
    <xf numFmtId="0" fontId="12" fillId="0" borderId="35" xfId="0" applyFont="1" applyBorder="1" applyAlignment="1">
      <alignment horizontal="center" vertical="center"/>
    </xf>
    <xf numFmtId="0" fontId="12" fillId="0" borderId="34" xfId="0" applyFont="1" applyBorder="1" applyAlignment="1">
      <alignment horizontal="center" vertical="center"/>
    </xf>
    <xf numFmtId="0" fontId="12" fillId="0" borderId="32"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3" xfId="0" applyFont="1" applyBorder="1" applyAlignment="1">
      <alignment horizontal="center" vertical="center"/>
    </xf>
    <xf numFmtId="14" fontId="80" fillId="0" borderId="3" xfId="0" applyNumberFormat="1" applyFont="1" applyBorder="1" applyAlignment="1">
      <alignment horizontal="right" vertical="center"/>
    </xf>
    <xf numFmtId="0" fontId="34" fillId="26" borderId="14" xfId="0" applyFont="1" applyFill="1" applyBorder="1" applyAlignment="1">
      <alignment horizontal="center" vertical="center"/>
    </xf>
    <xf numFmtId="165" fontId="9" fillId="33" borderId="72" xfId="0" applyNumberFormat="1" applyFont="1" applyFill="1" applyBorder="1" applyAlignment="1">
      <alignment horizontal="center" vertical="center"/>
    </xf>
    <xf numFmtId="165" fontId="9" fillId="33" borderId="10" xfId="0" applyNumberFormat="1" applyFont="1" applyFill="1" applyBorder="1" applyAlignment="1">
      <alignment horizontal="center" vertical="center"/>
    </xf>
    <xf numFmtId="164" fontId="59" fillId="8" borderId="10" xfId="0" quotePrefix="1" applyNumberFormat="1" applyFont="1" applyFill="1" applyBorder="1" applyAlignment="1">
      <alignment horizontal="center" vertical="center"/>
    </xf>
    <xf numFmtId="164" fontId="59" fillId="8" borderId="11" xfId="0" quotePrefix="1" applyNumberFormat="1" applyFont="1" applyFill="1" applyBorder="1" applyAlignment="1">
      <alignment horizontal="center" vertical="center"/>
    </xf>
    <xf numFmtId="164" fontId="59" fillId="8" borderId="12" xfId="0" quotePrefix="1" applyNumberFormat="1" applyFont="1" applyFill="1" applyBorder="1" applyAlignment="1">
      <alignment horizontal="center" vertical="center"/>
    </xf>
    <xf numFmtId="3" fontId="9" fillId="32" borderId="7" xfId="0" applyNumberFormat="1" applyFont="1" applyFill="1" applyBorder="1" applyAlignment="1">
      <alignment horizontal="center" vertical="center"/>
    </xf>
    <xf numFmtId="3" fontId="9" fillId="32" borderId="8" xfId="0" applyNumberFormat="1" applyFont="1" applyFill="1" applyBorder="1" applyAlignment="1">
      <alignment horizontal="center" vertical="center"/>
    </xf>
    <xf numFmtId="3" fontId="9" fillId="36" borderId="7" xfId="0" applyNumberFormat="1" applyFont="1" applyFill="1" applyBorder="1" applyAlignment="1">
      <alignment horizontal="center" vertical="center"/>
    </xf>
    <xf numFmtId="3" fontId="9" fillId="36" borderId="8" xfId="0" applyNumberFormat="1" applyFont="1" applyFill="1" applyBorder="1" applyAlignment="1">
      <alignment horizontal="center" vertical="center"/>
    </xf>
    <xf numFmtId="3" fontId="9" fillId="36" borderId="9" xfId="0" applyNumberFormat="1" applyFont="1" applyFill="1" applyBorder="1" applyAlignment="1">
      <alignment horizontal="center" vertical="center"/>
    </xf>
    <xf numFmtId="0" fontId="60" fillId="0" borderId="7" xfId="0" applyFont="1" applyBorder="1" applyAlignment="1">
      <alignment horizontal="center" vertical="center"/>
    </xf>
    <xf numFmtId="0" fontId="60" fillId="0" borderId="8" xfId="0" applyFont="1" applyBorder="1" applyAlignment="1">
      <alignment horizontal="center" vertical="center"/>
    </xf>
    <xf numFmtId="165" fontId="60" fillId="8" borderId="7" xfId="0" applyNumberFormat="1" applyFont="1" applyFill="1" applyBorder="1" applyAlignment="1">
      <alignment horizontal="center" vertical="center"/>
    </xf>
    <xf numFmtId="165" fontId="60" fillId="8" borderId="8" xfId="0" applyNumberFormat="1" applyFont="1" applyFill="1" applyBorder="1" applyAlignment="1">
      <alignment horizontal="center" vertical="center"/>
    </xf>
    <xf numFmtId="14" fontId="43" fillId="0" borderId="3" xfId="0" applyNumberFormat="1" applyFont="1" applyBorder="1" applyAlignment="1">
      <alignment horizontal="right" vertical="center"/>
    </xf>
    <xf numFmtId="0" fontId="59" fillId="0" borderId="7" xfId="0" applyFont="1" applyBorder="1" applyAlignment="1">
      <alignment horizontal="center" vertical="center"/>
    </xf>
    <xf numFmtId="0" fontId="59" fillId="0" borderId="8" xfId="0" applyFont="1" applyBorder="1" applyAlignment="1">
      <alignment horizontal="center" vertical="center"/>
    </xf>
    <xf numFmtId="0" fontId="34" fillId="26" borderId="13" xfId="0" applyFont="1" applyFill="1" applyBorder="1" applyAlignment="1">
      <alignment horizontal="center" vertical="center"/>
    </xf>
    <xf numFmtId="165" fontId="79" fillId="8" borderId="7" xfId="0" applyNumberFormat="1" applyFont="1" applyFill="1" applyBorder="1" applyAlignment="1">
      <alignment horizontal="center" vertical="center"/>
    </xf>
    <xf numFmtId="165" fontId="79" fillId="8" borderId="8" xfId="0" applyNumberFormat="1" applyFont="1" applyFill="1" applyBorder="1" applyAlignment="1">
      <alignment horizontal="center" vertical="center"/>
    </xf>
    <xf numFmtId="0" fontId="9" fillId="2" borderId="13" xfId="0" applyFont="1" applyFill="1" applyBorder="1" applyAlignment="1">
      <alignment horizontal="center" vertical="center"/>
    </xf>
    <xf numFmtId="0" fontId="45" fillId="0" borderId="13" xfId="0" applyFont="1" applyBorder="1" applyAlignment="1">
      <alignment horizontal="center" vertical="center" wrapText="1"/>
    </xf>
    <xf numFmtId="0" fontId="69" fillId="21" borderId="13" xfId="0" applyFont="1" applyFill="1" applyBorder="1" applyAlignment="1">
      <alignment horizontal="center" vertical="center" textRotation="90"/>
    </xf>
    <xf numFmtId="0" fontId="58" fillId="0" borderId="0" xfId="0" applyFont="1" applyAlignment="1">
      <alignment horizontal="left" vertical="center" wrapText="1"/>
    </xf>
    <xf numFmtId="0" fontId="58" fillId="0" borderId="0" xfId="0" applyFont="1" applyAlignment="1">
      <alignment horizontal="left" vertical="center"/>
    </xf>
    <xf numFmtId="0" fontId="57" fillId="0" borderId="0" xfId="0" applyFont="1" applyAlignment="1">
      <alignment horizontal="center" vertical="center"/>
    </xf>
    <xf numFmtId="0" fontId="45" fillId="0" borderId="0" xfId="0" applyFont="1" applyAlignment="1">
      <alignment horizontal="left" vertical="center" wrapText="1"/>
    </xf>
    <xf numFmtId="0" fontId="41" fillId="0" borderId="0" xfId="0" applyFont="1" applyAlignment="1">
      <alignment horizontal="left" vertical="center"/>
    </xf>
    <xf numFmtId="0" fontId="12" fillId="8" borderId="10" xfId="0" applyFont="1" applyFill="1" applyBorder="1" applyAlignment="1">
      <alignment horizontal="center" vertical="center"/>
    </xf>
    <xf numFmtId="0" fontId="12" fillId="8" borderId="11" xfId="0" applyFont="1" applyFill="1" applyBorder="1" applyAlignment="1">
      <alignment horizontal="center" vertical="center"/>
    </xf>
    <xf numFmtId="0" fontId="7" fillId="2" borderId="13" xfId="0" applyFont="1" applyFill="1" applyBorder="1" applyAlignment="1">
      <alignment vertical="center"/>
    </xf>
    <xf numFmtId="4" fontId="7" fillId="2" borderId="13" xfId="0" applyNumberFormat="1" applyFont="1" applyFill="1" applyBorder="1" applyAlignment="1">
      <alignment horizontal="center" vertical="center"/>
    </xf>
    <xf numFmtId="9" fontId="7" fillId="2" borderId="13" xfId="0" applyNumberFormat="1" applyFont="1" applyFill="1" applyBorder="1" applyAlignment="1">
      <alignment horizontal="center" vertical="center"/>
    </xf>
    <xf numFmtId="0" fontId="7" fillId="2" borderId="13" xfId="0" applyFont="1" applyFill="1" applyBorder="1" applyAlignment="1">
      <alignment horizontal="center" vertical="center"/>
    </xf>
    <xf numFmtId="3" fontId="7" fillId="2" borderId="13" xfId="0" applyNumberFormat="1" applyFont="1" applyFill="1" applyBorder="1" applyAlignment="1">
      <alignment horizontal="center" vertical="center"/>
    </xf>
    <xf numFmtId="0" fontId="0" fillId="0" borderId="0" xfId="0" applyFill="1"/>
    <xf numFmtId="0" fontId="0" fillId="0" borderId="0" xfId="0" applyFill="1" applyAlignment="1">
      <alignment horizontal="center"/>
    </xf>
    <xf numFmtId="0" fontId="0" fillId="0" borderId="0" xfId="0" applyFill="1" applyAlignment="1">
      <alignment horizontal="left"/>
    </xf>
    <xf numFmtId="3" fontId="0" fillId="0" borderId="0" xfId="0" applyNumberFormat="1" applyFill="1" applyAlignment="1">
      <alignment horizontal="center"/>
    </xf>
    <xf numFmtId="10" fontId="0" fillId="0" borderId="0" xfId="0" applyNumberFormat="1" applyFill="1" applyAlignment="1">
      <alignment horizontal="center"/>
    </xf>
    <xf numFmtId="0" fontId="0" fillId="0" borderId="0" xfId="0" applyFill="1" applyAlignment="1">
      <alignment horizontal="right"/>
    </xf>
    <xf numFmtId="164" fontId="0" fillId="0" borderId="0" xfId="0" applyNumberFormat="1" applyFill="1" applyAlignment="1">
      <alignment horizontal="right"/>
    </xf>
    <xf numFmtId="0" fontId="0" fillId="0" borderId="0" xfId="0" applyFill="1" applyAlignment="1">
      <alignment horizontal="left" indent="1"/>
    </xf>
    <xf numFmtId="0" fontId="0" fillId="0" borderId="0" xfId="0" applyFont="1" applyFill="1" applyAlignment="1">
      <alignment horizontal="right"/>
    </xf>
    <xf numFmtId="0" fontId="0" fillId="0" borderId="0" xfId="0" applyFont="1" applyFill="1"/>
    <xf numFmtId="164" fontId="0" fillId="0" borderId="0" xfId="0" applyNumberFormat="1" applyFont="1" applyFill="1" applyAlignment="1">
      <alignment horizontal="right"/>
    </xf>
    <xf numFmtId="0" fontId="0" fillId="0" borderId="0" xfId="0" applyFont="1" applyFill="1" applyAlignment="1">
      <alignment horizontal="left" indent="1"/>
    </xf>
    <xf numFmtId="0" fontId="0" fillId="0" borderId="0" xfId="0" applyFont="1" applyFill="1" applyAlignment="1">
      <alignment horizontal="left"/>
    </xf>
    <xf numFmtId="165" fontId="0" fillId="0" borderId="0" xfId="0" applyNumberFormat="1" applyFill="1" applyAlignment="1">
      <alignment horizontal="right"/>
    </xf>
    <xf numFmtId="165" fontId="0" fillId="0" borderId="0" xfId="0" applyNumberFormat="1" applyFont="1" applyFill="1" applyAlignment="1">
      <alignment horizontal="right"/>
    </xf>
    <xf numFmtId="3" fontId="0" fillId="0" borderId="0" xfId="0" applyNumberFormat="1" applyFont="1" applyFill="1" applyAlignment="1">
      <alignment horizontal="right"/>
    </xf>
    <xf numFmtId="0" fontId="0" fillId="0" borderId="0" xfId="0" applyFill="1" applyAlignment="1">
      <alignment horizontal="left" indent="2"/>
    </xf>
    <xf numFmtId="166" fontId="0" fillId="0" borderId="0" xfId="0" applyNumberFormat="1" applyFill="1" applyAlignment="1">
      <alignment horizontal="center"/>
    </xf>
    <xf numFmtId="164" fontId="0" fillId="0" borderId="0" xfId="0" applyNumberFormat="1" applyFill="1" applyAlignment="1">
      <alignment horizontal="center"/>
    </xf>
    <xf numFmtId="165" fontId="0" fillId="0" borderId="0" xfId="0" applyNumberFormat="1" applyFill="1" applyAlignment="1">
      <alignment horizontal="center"/>
    </xf>
    <xf numFmtId="3" fontId="0" fillId="0" borderId="72" xfId="0" applyNumberFormat="1" applyFill="1" applyBorder="1" applyAlignment="1">
      <alignment horizontal="center" vertical="center"/>
    </xf>
    <xf numFmtId="3" fontId="0" fillId="0" borderId="14" xfId="0" applyNumberFormat="1" applyFill="1" applyBorder="1" applyAlignment="1">
      <alignment horizontal="center" vertical="center"/>
    </xf>
    <xf numFmtId="0" fontId="0" fillId="0" borderId="13" xfId="0" applyFill="1" applyBorder="1" applyAlignment="1">
      <alignment horizontal="center" vertical="center"/>
    </xf>
    <xf numFmtId="3" fontId="0" fillId="0" borderId="13" xfId="0" applyNumberFormat="1" applyFill="1" applyBorder="1" applyAlignment="1">
      <alignment horizontal="center" vertical="center"/>
    </xf>
    <xf numFmtId="0" fontId="0" fillId="0" borderId="7" xfId="0" applyFill="1" applyBorder="1" applyAlignment="1">
      <alignment horizontal="center" vertical="center"/>
    </xf>
    <xf numFmtId="3" fontId="0" fillId="0" borderId="7" xfId="0" applyNumberFormat="1" applyFill="1" applyBorder="1" applyAlignment="1">
      <alignment horizontal="center" vertical="center"/>
    </xf>
    <xf numFmtId="0" fontId="0" fillId="0" borderId="9" xfId="0" applyFill="1" applyBorder="1" applyAlignment="1">
      <alignment horizontal="center" vertical="center" indent="1"/>
    </xf>
    <xf numFmtId="0" fontId="0" fillId="0" borderId="12" xfId="0" applyFill="1" applyBorder="1" applyAlignment="1">
      <alignment horizontal="center" vertical="center" indent="1"/>
    </xf>
    <xf numFmtId="3" fontId="0" fillId="0" borderId="10" xfId="0" applyNumberFormat="1" applyFill="1" applyBorder="1" applyAlignment="1">
      <alignment horizontal="center" vertical="center"/>
    </xf>
    <xf numFmtId="3" fontId="0" fillId="0" borderId="5" xfId="0" applyNumberFormat="1" applyFill="1" applyBorder="1" applyAlignment="1">
      <alignment horizontal="center" vertical="center"/>
    </xf>
    <xf numFmtId="3" fontId="0" fillId="0" borderId="6" xfId="0" applyNumberFormat="1" applyFill="1" applyBorder="1" applyAlignment="1">
      <alignment horizontal="center" vertical="center"/>
    </xf>
    <xf numFmtId="3" fontId="0" fillId="0" borderId="9" xfId="0" applyNumberFormat="1" applyFill="1" applyBorder="1" applyAlignment="1">
      <alignment horizontal="center" vertical="center"/>
    </xf>
    <xf numFmtId="3" fontId="0" fillId="0" borderId="12" xfId="0" applyNumberFormat="1" applyFill="1" applyBorder="1" applyAlignment="1">
      <alignment horizontal="center" vertical="center"/>
    </xf>
    <xf numFmtId="0" fontId="0" fillId="0" borderId="3" xfId="0" applyFill="1" applyBorder="1" applyAlignment="1">
      <alignment horizontal="center" vertical="center"/>
    </xf>
    <xf numFmtId="0" fontId="0" fillId="0" borderId="11" xfId="0" applyFill="1" applyBorder="1" applyAlignment="1">
      <alignment horizontal="center" vertical="center"/>
    </xf>
    <xf numFmtId="0" fontId="17"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21"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indent="1"/>
    </xf>
    <xf numFmtId="0" fontId="0" fillId="0" borderId="11" xfId="0" applyFill="1" applyBorder="1" applyAlignment="1">
      <alignment horizontal="center" vertical="center" indent="1"/>
    </xf>
    <xf numFmtId="0" fontId="0" fillId="0" borderId="8" xfId="0" applyFill="1" applyBorder="1" applyAlignment="1">
      <alignment horizontal="center" vertical="center" indent="1"/>
    </xf>
    <xf numFmtId="0" fontId="64" fillId="0" borderId="2" xfId="0" applyFont="1" applyFill="1" applyBorder="1" applyAlignment="1">
      <alignment horizontal="left" vertical="center"/>
    </xf>
    <xf numFmtId="0" fontId="64" fillId="0" borderId="21" xfId="0" applyFont="1" applyFill="1" applyBorder="1" applyAlignment="1">
      <alignment horizontal="left" vertical="center"/>
    </xf>
    <xf numFmtId="0" fontId="64" fillId="0" borderId="1" xfId="0" applyFont="1" applyFill="1" applyBorder="1" applyAlignment="1">
      <alignment horizontal="left" vertical="center"/>
    </xf>
    <xf numFmtId="0" fontId="4" fillId="0" borderId="8" xfId="0" applyFont="1" applyFill="1" applyBorder="1" applyAlignment="1">
      <alignment vertical="center"/>
    </xf>
    <xf numFmtId="3" fontId="4" fillId="0" borderId="8" xfId="0" applyNumberFormat="1" applyFont="1" applyFill="1" applyBorder="1" applyAlignment="1">
      <alignment horizontal="center" vertical="center"/>
    </xf>
    <xf numFmtId="0" fontId="4" fillId="0" borderId="8" xfId="0" applyFont="1" applyFill="1" applyBorder="1" applyAlignment="1">
      <alignment horizontal="center" vertical="center"/>
    </xf>
    <xf numFmtId="3" fontId="10" fillId="0" borderId="8" xfId="0" applyNumberFormat="1" applyFont="1" applyFill="1" applyBorder="1" applyAlignment="1">
      <alignment horizontal="center" vertical="center"/>
    </xf>
    <xf numFmtId="0" fontId="10" fillId="0" borderId="8" xfId="0" applyFont="1" applyFill="1" applyBorder="1" applyAlignment="1">
      <alignment horizontal="center" vertical="center"/>
    </xf>
    <xf numFmtId="3" fontId="3" fillId="0" borderId="0" xfId="0" applyNumberFormat="1" applyFont="1" applyFill="1" applyBorder="1" applyAlignment="1">
      <alignment horizontal="center" vertical="center"/>
    </xf>
    <xf numFmtId="0" fontId="3" fillId="0" borderId="0" xfId="0" applyFont="1" applyFill="1" applyBorder="1" applyAlignment="1">
      <alignment vertical="center"/>
    </xf>
    <xf numFmtId="0" fontId="3" fillId="0" borderId="1" xfId="0" applyFont="1" applyFill="1" applyBorder="1" applyAlignment="1">
      <alignment horizontal="center" vertical="center"/>
    </xf>
    <xf numFmtId="0" fontId="3" fillId="0" borderId="0" xfId="0" applyFont="1" applyFill="1" applyBorder="1" applyAlignment="1">
      <alignment horizontal="center" vertical="center"/>
    </xf>
    <xf numFmtId="166" fontId="3" fillId="0" borderId="0" xfId="0" applyNumberFormat="1" applyFont="1" applyFill="1" applyBorder="1" applyAlignment="1">
      <alignment horizontal="center" vertical="center"/>
    </xf>
    <xf numFmtId="166" fontId="10" fillId="0" borderId="8" xfId="0" applyNumberFormat="1" applyFont="1" applyFill="1" applyBorder="1" applyAlignment="1">
      <alignment horizontal="center" vertical="center"/>
    </xf>
    <xf numFmtId="165" fontId="0" fillId="0" borderId="0" xfId="0" applyNumberFormat="1" applyFill="1"/>
    <xf numFmtId="164" fontId="0" fillId="0" borderId="0" xfId="0" applyNumberFormat="1" applyFill="1"/>
    <xf numFmtId="10" fontId="0" fillId="0" borderId="0" xfId="0" applyNumberFormat="1" applyFill="1" applyAlignment="1">
      <alignment horizontal="right"/>
    </xf>
  </cellXfs>
  <cellStyles count="6">
    <cellStyle name="Explanatory Text 2" xfId="2" xr:uid="{00000000-0005-0000-0000-000000000000}"/>
    <cellStyle name="Hyperlink" xfId="3" builtinId="8"/>
    <cellStyle name="Normal" xfId="0" builtinId="0"/>
    <cellStyle name="Normal 2 2" xfId="5" xr:uid="{00000000-0005-0000-0000-000003000000}"/>
    <cellStyle name="Normal 2 3" xfId="1" xr:uid="{00000000-0005-0000-0000-000004000000}"/>
    <cellStyle name="Normal 3" xfId="4" xr:uid="{00000000-0005-0000-0000-000005000000}"/>
  </cellStyles>
  <dxfs count="3205">
    <dxf>
      <numFmt numFmtId="3" formatCode="#,##0"/>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0.0%"/>
    </dxf>
    <dxf>
      <numFmt numFmtId="166" formatCode="0.0%"/>
    </dxf>
    <dxf>
      <alignment horizontal="center"/>
    </dxf>
    <dxf>
      <alignment horizontal="center"/>
    </dxf>
    <dxf>
      <numFmt numFmtId="3" formatCode="#,##0"/>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right"/>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numFmt numFmtId="3" formatCode="#,##0"/>
    </dxf>
    <dxf>
      <alignment horizontal="right"/>
    </dxf>
    <dxf>
      <alignment horizontal="right"/>
    </dxf>
    <dxf>
      <numFmt numFmtId="14" formatCode="0.00%"/>
    </dxf>
    <dxf>
      <numFmt numFmtId="14" formatCode="0.00%"/>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numFmt numFmtId="3" formatCode="#,##0"/>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numFmt numFmtId="3" formatCode="#,##0"/>
    </dxf>
    <dxf>
      <alignment horizontal="right"/>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numFmt numFmtId="3" formatCode="#,##0"/>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right"/>
    </dxf>
    <dxf>
      <numFmt numFmtId="4" formatCode="#,##0.00"/>
    </dxf>
    <dxf>
      <numFmt numFmtId="164" formatCode="&quot;$&quot;#,##0.00"/>
    </dxf>
    <dxf>
      <numFmt numFmtId="164" formatCode="&quot;$&quot;#,##0.00"/>
    </dxf>
    <dxf>
      <alignment horizontal="right"/>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numFmt numFmtId="3" formatCode="#,##0"/>
    </dxf>
    <dxf>
      <alignment horizontal="right"/>
    </dxf>
    <dxf>
      <alignment horizontal="right"/>
    </dxf>
    <dxf>
      <numFmt numFmtId="165" formatCode="&quot;$&quot;#,##0"/>
    </dxf>
    <dxf>
      <alignment horizontal="right"/>
    </dxf>
    <dxf>
      <alignment horizontal="right"/>
    </dxf>
    <dxf>
      <numFmt numFmtId="164" formatCode="&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right"/>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3" formatCode="#,##0"/>
    </dxf>
    <dxf>
      <numFmt numFmtId="3" formatCode="#,##0"/>
    </dxf>
    <dxf>
      <numFmt numFmtId="3" formatCode="#,##0"/>
    </dxf>
    <dxf>
      <alignment horizontal="center"/>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font>
        <b/>
      </font>
    </dxf>
    <dxf>
      <font>
        <b/>
      </font>
    </dxf>
    <dxf>
      <font>
        <b/>
      </font>
    </dxf>
    <dxf>
      <fill>
        <patternFill patternType="solid">
          <bgColor rgb="FF3B33CA"/>
        </patternFill>
      </fill>
    </dxf>
    <dxf>
      <fill>
        <patternFill patternType="solid">
          <bgColor rgb="FF3B33CA"/>
        </patternFill>
      </fill>
    </dxf>
    <dxf>
      <fill>
        <patternFill patternType="solid">
          <bgColor rgb="FF3B33CA"/>
        </patternFill>
      </fill>
    </dxf>
    <dxf>
      <fill>
        <patternFill patternType="solid">
          <bgColor rgb="FF3B33CA"/>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solid">
          <bgColor rgb="FF3B33CA"/>
        </patternFill>
      </fill>
    </dxf>
    <dxf>
      <fill>
        <patternFill patternType="solid">
          <bgColor rgb="FF3B33CA"/>
        </patternFill>
      </fill>
    </dxf>
    <dxf>
      <fill>
        <patternFill patternType="solid">
          <bgColor rgb="FF3B33CA"/>
        </patternFill>
      </fill>
    </dxf>
    <dxf>
      <fill>
        <patternFill patternType="solid">
          <bgColor rgb="FF3B33CA"/>
        </patternFill>
      </fill>
    </dxf>
    <dxf>
      <font>
        <color theme="0"/>
      </font>
    </dxf>
    <dxf>
      <font>
        <color theme="0"/>
      </font>
    </dxf>
    <dxf>
      <font>
        <color theme="0"/>
      </font>
    </dxf>
    <dxf>
      <font>
        <color theme="0"/>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border>
        <bottom style="thin">
          <color indexed="64"/>
        </bottom>
      </border>
    </dxf>
    <dxf>
      <border>
        <bottom style="thin">
          <color indexed="64"/>
        </bottom>
      </border>
    </dxf>
    <dxf>
      <border>
        <bottom style="thin">
          <color indexed="64"/>
        </bottom>
      </border>
    </dxf>
    <dxf>
      <font>
        <b/>
      </font>
    </dxf>
    <dxf>
      <alignment horizontal="center"/>
    </dxf>
    <dxf>
      <alignment horizontal="center"/>
    </dxf>
    <dxf>
      <font>
        <b/>
      </font>
    </dxf>
    <dxf>
      <font>
        <b/>
      </font>
    </dxf>
    <dxf>
      <border>
        <bottom style="thin">
          <color indexed="64"/>
        </bottom>
      </border>
    </dxf>
    <dxf>
      <font>
        <color auto="1"/>
      </font>
    </dxf>
    <dxf>
      <font>
        <color auto="1"/>
      </font>
    </dxf>
    <dxf>
      <font>
        <color auto="1"/>
      </font>
    </dxf>
    <dxf>
      <font>
        <b/>
      </font>
    </dxf>
    <dxf>
      <font>
        <b/>
      </font>
    </dxf>
    <dxf>
      <font>
        <b/>
      </font>
    </dxf>
    <dxf>
      <font>
        <b/>
      </font>
    </dxf>
    <dxf>
      <alignment horizontal="cent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top/>
        <bottom/>
      </bord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border>
        <left/>
        <right/>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0"/>
      </font>
    </dxf>
    <dxf>
      <font>
        <b val="0"/>
      </font>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color theme="0"/>
      </font>
    </dxf>
    <dxf>
      <alignment horizontal="cent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14" formatCode="0.00%"/>
    </dxf>
    <dxf>
      <font>
        <color theme="0"/>
      </font>
    </dxf>
    <dxf>
      <border>
        <top style="thin">
          <color indexed="64"/>
        </top>
        <bottom style="thin">
          <color indexed="64"/>
        </bottom>
        <horizontal style="thin">
          <color indexed="64"/>
        </horizontal>
      </border>
    </dxf>
    <dxf>
      <alignment horizontal="center"/>
    </dxf>
    <dxf>
      <font>
        <color theme="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6" formatCode="0.0%"/>
    </dxf>
    <dxf>
      <numFmt numFmtId="166" formatCode="0.0%"/>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numFmt numFmtId="3" formatCode="#,##0"/>
    </dxf>
    <dxf>
      <fill>
        <patternFill patternType="solid">
          <bgColor rgb="FF4438CA"/>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2" tint="-9.9978637043366805E-2"/>
        </patternFill>
      </fill>
    </dxf>
    <dxf>
      <fill>
        <patternFill patternType="solid">
          <bgColor theme="0" tint="-4.9989318521683403E-2"/>
        </patternFill>
      </fill>
    </dxf>
    <dxf>
      <fill>
        <patternFill>
          <bgColor theme="1"/>
        </patternFill>
      </fill>
    </dxf>
    <dxf>
      <fill>
        <patternFill>
          <bgColor theme="1" tint="0.34998626667073579"/>
        </patternFill>
      </fill>
    </dxf>
    <dxf>
      <alignment horizontal="center"/>
    </dxf>
    <dxf>
      <alignment horizontal="center"/>
    </dxf>
    <dxf>
      <alignment horizontal="center"/>
    </dxf>
    <dxf>
      <alignment horizontal="center"/>
    </dxf>
    <dxf>
      <alignment horizontal="center"/>
    </dxf>
    <dxf>
      <border>
        <bottom style="thin">
          <color indexed="64"/>
        </bottom>
      </border>
    </dxf>
    <dxf>
      <font>
        <b/>
      </font>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relativeIndent="1"/>
    </dxf>
    <dxf>
      <border>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alignment relativeInden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font>
    </dxf>
    <dxf>
      <font>
        <b/>
      </font>
    </dxf>
    <dxf>
      <font>
        <b/>
      </font>
    </dxf>
    <dxf>
      <alignment horizontal="left"/>
    </dxf>
    <dxf>
      <border>
        <left style="thin">
          <color indexed="64"/>
        </left>
      </border>
    </dxf>
    <dxf>
      <font>
        <b/>
      </font>
    </dxf>
    <dxf>
      <font>
        <sz val="12"/>
      </font>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numFmt numFmtId="3" formatCode="#,##0"/>
    </dxf>
    <dxf>
      <alignment horizontal="center"/>
    </dxf>
    <dxf>
      <alignment horizontal="center"/>
    </dxf>
    <dxf>
      <numFmt numFmtId="3" formatCode="#,##0"/>
    </dxf>
    <dxf>
      <alignment horizontal="center"/>
    </dxf>
    <dxf>
      <numFmt numFmtId="4" formatCode="#,##0.00"/>
    </dxf>
    <dxf>
      <numFmt numFmtId="3" formatCode="#,##0"/>
    </dxf>
    <dxf>
      <alignment horizontal="center"/>
    </dxf>
    <dxf>
      <fill>
        <patternFill patternType="solid">
          <bgColor rgb="FF4438CA"/>
        </patternFill>
      </fill>
    </dxf>
    <dxf>
      <fill>
        <patternFill patternType="solid">
          <bgColor rgb="FF4438CA"/>
        </patternFill>
      </fill>
    </dxf>
    <dxf>
      <font>
        <color theme="0"/>
      </font>
    </dxf>
    <dxf>
      <font>
        <color theme="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4438CA"/>
        </patternFill>
      </fill>
    </dxf>
    <dxf>
      <fill>
        <patternFill patternType="solid">
          <bgColor rgb="FF4438CA"/>
        </patternFill>
      </fill>
    </dxf>
    <dxf>
      <font>
        <color theme="0"/>
      </font>
      <fill>
        <patternFill patternType="solid">
          <fgColor indexed="64"/>
          <bgColor rgb="FF4438CA"/>
        </patternFill>
      </fill>
      <alignment horizontal="center"/>
    </dxf>
    <dxf>
      <numFmt numFmtId="164" formatCode="&quot;$&quot;#,##0.00"/>
    </dxf>
    <dxf>
      <numFmt numFmtId="165" formatCode="&quot;$&quot;#,##0"/>
    </dxf>
    <dxf>
      <numFmt numFmtId="166" formatCode="0.0%"/>
    </dxf>
    <dxf>
      <numFmt numFmtId="3" formatCode="#,##0"/>
    </dxf>
    <dxf>
      <font>
        <color theme="0"/>
      </font>
      <numFmt numFmtId="165" formatCode="&quot;$&quot;#,##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numFmt numFmtId="3" formatCode="#,##0"/>
    </dxf>
    <dxf>
      <font>
        <color theme="0"/>
      </font>
      <fill>
        <patternFill patternType="solid">
          <fgColor indexed="64"/>
          <bgColor rgb="FF4438CA"/>
        </patternFill>
      </fill>
      <alignment horizontal="center"/>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3" formatCode="#,##0"/>
    </dxf>
    <dxf>
      <numFmt numFmtId="3" formatCode="#,##0"/>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val="0"/>
      </font>
    </dxf>
    <dxf>
      <font>
        <b val="0"/>
      </font>
    </dxf>
    <dxf>
      <font>
        <b val="0"/>
      </font>
    </dxf>
    <dxf>
      <numFmt numFmtId="3" formatCode="#,##0"/>
    </dxf>
    <dxf>
      <alignment horizontal="center"/>
    </dxf>
    <dxf>
      <alignment horizontal="center"/>
    </dxf>
    <dxf>
      <numFmt numFmtId="3" formatCode="#,##0"/>
    </dxf>
    <dxf>
      <alignment horizontal="center"/>
    </dxf>
    <dxf>
      <numFmt numFmtId="164" formatCode="&quot;$&quot;#,##0.00"/>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val="0"/>
      </font>
    </dxf>
    <dxf>
      <font>
        <b val="0"/>
      </font>
    </dxf>
    <dxf>
      <font>
        <b val="0"/>
      </font>
    </dxf>
    <dxf>
      <numFmt numFmtId="3" formatCode="#,##0"/>
    </dxf>
    <dxf>
      <alignment horizontal="center"/>
    </dxf>
    <dxf>
      <alignment horizontal="right"/>
    </dxf>
    <dxf>
      <alignment horizontal="right"/>
    </dxf>
    <dxf>
      <alignment horizontal="right"/>
    </dxf>
    <dxf>
      <alignment horizontal="right"/>
    </dxf>
    <dxf>
      <alignment horizontal="righ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 formatCode="#,##0"/>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center"/>
    </dxf>
    <dxf>
      <numFmt numFmtId="3" formatCode="#,##0"/>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center"/>
    </dxf>
    <dxf>
      <numFmt numFmtId="3" formatCode="#,##0"/>
    </dxf>
    <dxf>
      <alignment horizontal="center"/>
    </dxf>
    <dxf>
      <numFmt numFmtId="164" formatCode="&quot;$&quot;#,##0.00"/>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center"/>
    </dxf>
    <dxf>
      <numFmt numFmtId="3" formatCode="#,##0"/>
    </dxf>
    <dxf>
      <alignment horizontal="center"/>
    </dxf>
    <dxf>
      <numFmt numFmtId="165" formatCode="&quot;$&quot;#,##0"/>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numFmt numFmtId="4" formatCode="#,##0.00"/>
    </dxf>
    <dxf>
      <numFmt numFmtId="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alignment horizontal="right"/>
    </dxf>
    <dxf>
      <numFmt numFmtId="164" formatCode="&quot;$&quot;#,##0.00"/>
    </dxf>
    <dxf>
      <numFmt numFmtId="164" formatCode="&quot;$&quot;#,##0.00"/>
    </dxf>
    <dxf>
      <numFmt numFmtId="165" formatCode="&quot;$&quot;#,##0"/>
    </dxf>
    <dxf>
      <numFmt numFmtId="165"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val="0"/>
      </font>
    </dxf>
    <dxf>
      <font>
        <b val="0"/>
      </font>
    </dxf>
    <dxf>
      <font>
        <b val="0"/>
      </font>
    </dxf>
    <dxf>
      <numFmt numFmtId="3" formatCode="#,##0"/>
    </dxf>
    <dxf>
      <alignment horizontal="center"/>
    </dxf>
    <dxf>
      <alignment horizontal="center"/>
    </dxf>
    <dxf>
      <numFmt numFmtId="3" formatCode="#,##0"/>
    </dxf>
    <dxf>
      <alignment horizontal="center"/>
    </dxf>
    <dxf>
      <numFmt numFmtId="165" formatCode="&quot;$&quot;#,##0"/>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numFmt numFmtId="4" formatCode="#,##0.00"/>
    </dxf>
    <dxf>
      <numFmt numFmtId="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val="0"/>
      </font>
    </dxf>
    <dxf>
      <font>
        <b val="0"/>
      </font>
    </dxf>
    <dxf>
      <font>
        <b val="0"/>
      </font>
    </dxf>
    <dxf>
      <alignment horizontal="right"/>
    </dxf>
    <dxf>
      <alignment horizontal="right"/>
    </dxf>
    <dxf>
      <numFmt numFmtId="3" formatCode="#,##0"/>
    </dxf>
    <dxf>
      <alignment horizontal="center"/>
    </dxf>
    <dxf>
      <alignment horizontal="center"/>
    </dxf>
    <dxf>
      <numFmt numFmtId="3" formatCode="#,##0"/>
    </dxf>
    <dxf>
      <alignment horizontal="center"/>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alignment horizontal="center"/>
    </dxf>
    <dxf>
      <alignment horizontal="center"/>
    </dxf>
    <dxf>
      <numFmt numFmtId="3" formatCode="#,##0"/>
    </dxf>
    <dxf>
      <alignment horizontal="center"/>
    </dxf>
    <dxf>
      <numFmt numFmtId="14" formatCode="0.00%"/>
    </dxf>
    <dxf>
      <numFmt numFmtId="3" formatCode="#,##0"/>
    </dxf>
    <dxf>
      <numFmt numFmtId="3" formatCode="#,##0"/>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border>
        <left style="thin">
          <color auto="1"/>
        </left>
        <right style="thin">
          <color auto="1"/>
        </right>
        <vertical/>
        <horizontal/>
      </border>
    </dxf>
    <dxf>
      <font>
        <color rgb="FF006100"/>
      </font>
      <fill>
        <patternFill>
          <bgColor rgb="FFC6EFCE"/>
        </patternFill>
      </fill>
    </dxf>
    <dxf>
      <font>
        <color rgb="FF9C0006"/>
      </font>
      <fill>
        <patternFill>
          <bgColor rgb="FFFFC7CE"/>
        </patternFill>
      </fill>
    </dxf>
    <dxf>
      <numFmt numFmtId="178" formatCode="&quot;$&quot;#,##0.00;\-&quot;$&quot;#,##0.00;;"/>
    </dxf>
    <dxf>
      <font>
        <color theme="0"/>
      </font>
    </dxf>
    <dxf>
      <numFmt numFmtId="178" formatCode="&quot;$&quot;#,##0.00;\-&quot;$&quot;#,##0.00;;"/>
    </dxf>
    <dxf>
      <numFmt numFmtId="178" formatCode="&quot;$&quot;#,##0.00;\-&quot;$&quot;#,##0.00;;"/>
    </dxf>
    <dxf>
      <numFmt numFmtId="178" formatCode="&quot;$&quot;#,##0.00;\-&quot;$&quot;#,##0.00;;"/>
    </dxf>
    <dxf>
      <numFmt numFmtId="178" formatCode="&quot;$&quot;#,##0.00;\-&quot;$&quot;#,##0.00;;"/>
    </dxf>
    <dxf>
      <font>
        <color rgb="FF00B050"/>
      </font>
    </dxf>
    <dxf>
      <font>
        <color rgb="FFFF0000"/>
      </font>
    </dxf>
    <dxf>
      <numFmt numFmtId="164" formatCode="&quot;$&quot;#,##0.00"/>
    </dxf>
    <dxf>
      <font>
        <color theme="0"/>
      </font>
    </dxf>
    <dxf>
      <font>
        <color theme="0"/>
      </font>
    </dxf>
    <dxf>
      <numFmt numFmtId="178" formatCode="&quot;$&quot;#,##0.00;\-&quot;$&quot;#,##0.00;;"/>
    </dxf>
    <dxf>
      <numFmt numFmtId="178" formatCode="&quot;$&quot;#,##0.00;\-&quot;$&quot;#,##0.00;;"/>
    </dxf>
    <dxf>
      <font>
        <b/>
        <i val="0"/>
      </font>
      <fill>
        <patternFill>
          <bgColor theme="8" tint="0.79998168889431442"/>
        </patternFill>
      </fill>
      <border>
        <top style="thin">
          <color rgb="FF6466E9"/>
        </top>
        <bottom style="thin">
          <color rgb="FF6466E9"/>
        </bottom>
        <vertical/>
        <horizontal/>
      </border>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numFmt numFmtId="166" formatCode="0.0%"/>
    </dxf>
    <dxf>
      <numFmt numFmtId="166" formatCode="0.0%"/>
    </dxf>
    <dxf>
      <alignment horizontal="left"/>
    </dxf>
    <dxf>
      <font>
        <color theme="0"/>
      </font>
    </dxf>
    <dxf>
      <alignment horizontal="center"/>
    </dxf>
    <dxf>
      <border>
        <top style="thin">
          <color indexed="64"/>
        </top>
        <bottom style="thin">
          <color indexed="64"/>
        </bottom>
        <horizontal style="thin">
          <color indexed="64"/>
        </horizontal>
      </border>
    </dxf>
    <dxf>
      <font>
        <color theme="0"/>
      </font>
    </dxf>
    <dxf>
      <numFmt numFmtId="14" formatCode="0.00%"/>
    </dxf>
    <dxf>
      <font>
        <sz val="10"/>
      </font>
    </dxf>
    <dxf>
      <font>
        <sz val="10"/>
      </font>
    </dxf>
    <dxf>
      <font>
        <sz val="10"/>
      </font>
    </dxf>
    <dxf>
      <font>
        <sz val="10"/>
      </font>
    </dxf>
    <dxf>
      <font>
        <sz val="10"/>
      </font>
    </dxf>
    <dxf>
      <font>
        <sz val="10"/>
      </font>
    </dxf>
    <dxf>
      <font>
        <sz val="10"/>
      </font>
    </dxf>
    <dxf>
      <font>
        <sz val="10"/>
      </font>
    </dxf>
    <dxf>
      <font>
        <sz val="10"/>
      </font>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alignment horizontal="center"/>
    </dxf>
    <dxf>
      <font>
        <color theme="0"/>
      </font>
    </dxf>
    <dxf>
      <numFmt numFmtId="3" formatCode="#,##0"/>
    </dxf>
    <dxf>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font>
        <color theme="0"/>
      </font>
    </dxf>
    <dxf>
      <font>
        <b val="0"/>
      </font>
    </dxf>
    <dxf>
      <font>
        <b val="0"/>
      </font>
    </dxf>
    <dxf>
      <font>
        <b val="0"/>
      </font>
    </dxf>
    <dxf>
      <font>
        <color theme="0"/>
      </font>
    </dxf>
    <dxf>
      <alignment horizontal="center"/>
    </dxf>
    <dxf>
      <border>
        <left/>
        <right/>
        <bottom/>
      </border>
    </dxf>
    <dxf>
      <border>
        <left/>
        <right/>
        <bottom/>
      </border>
    </dxf>
    <dxf>
      <border>
        <left/>
        <right/>
        <bottom/>
      </border>
    </dxf>
    <dxf>
      <border>
        <left style="thin">
          <color indexed="64"/>
        </left>
      </border>
    </dxf>
    <dxf>
      <alignment horizontal="center"/>
    </dxf>
    <dxf>
      <alignment horizontal="center"/>
    </dxf>
    <dxf>
      <alignment horizontal="cent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border>
        <left/>
        <bottom/>
      </border>
    </dxf>
    <dxf>
      <border>
        <left/>
        <bottom/>
      </border>
    </dxf>
    <dxf>
      <border>
        <left/>
        <bottom/>
      </border>
    </dxf>
    <dxf>
      <border>
        <left/>
        <top/>
        <bottom/>
      </border>
    </dxf>
    <dxf>
      <border>
        <left/>
        <top/>
        <bottom/>
      </border>
    </dxf>
    <dxf>
      <border>
        <left/>
        <top/>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border>
        <lef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border>
        <left/>
        <top/>
        <bottom/>
      </border>
    </dxf>
    <dxf>
      <border>
        <left/>
        <top/>
        <bottom/>
      </border>
    </dxf>
    <dxf>
      <border>
        <left/>
        <top/>
        <bottom/>
      </border>
    </dxf>
    <dxf>
      <alignment horizontal="center"/>
    </dxf>
    <dxf>
      <font>
        <b/>
      </font>
    </dxf>
    <dxf>
      <font>
        <b/>
      </font>
    </dxf>
    <dxf>
      <font>
        <b/>
      </font>
    </dxf>
    <dxf>
      <font>
        <b/>
      </font>
    </dxf>
    <dxf>
      <alignment horizontal="center"/>
    </dxf>
    <dxf>
      <alignment horizontal="center"/>
    </dxf>
    <dxf>
      <font>
        <b val="0"/>
      </font>
    </dxf>
    <dxf>
      <font>
        <b val="0"/>
      </font>
    </dxf>
    <dxf>
      <font>
        <b val="0"/>
      </font>
    </dxf>
    <dxf>
      <border>
        <left/>
        <right/>
        <top/>
        <bottom/>
      </border>
    </dxf>
    <dxf>
      <border>
        <left/>
        <right/>
        <top/>
        <bottom/>
      </border>
    </dxf>
    <dxf>
      <border>
        <left/>
        <right/>
        <top/>
        <bottom/>
      </bord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ill>
        <patternFill patternType="solid">
          <bgColor rgb="FF3B33CA"/>
        </patternFill>
      </fill>
    </dxf>
    <dxf>
      <fill>
        <patternFill patternType="solid">
          <bgColor rgb="FF3B33CA"/>
        </patternFill>
      </fill>
    </dxf>
    <dxf>
      <fill>
        <patternFill patternType="solid">
          <bgColor rgb="FF3B33CA"/>
        </patternFill>
      </fill>
    </dxf>
    <dxf>
      <fill>
        <patternFill patternType="solid">
          <bgColor rgb="FF3B33CA"/>
        </patternFill>
      </fill>
    </dxf>
    <dxf>
      <font>
        <color auto="1"/>
      </font>
    </dxf>
    <dxf>
      <font>
        <color auto="1"/>
      </font>
    </dxf>
    <dxf>
      <font>
        <color auto="1"/>
      </font>
    </dxf>
    <dxf>
      <font>
        <color auto="1"/>
      </font>
    </dxf>
    <dxf>
      <border>
        <left/>
        <right/>
        <top/>
        <bottom/>
      </border>
    </dxf>
    <dxf>
      <border>
        <left/>
        <right/>
        <top/>
        <bottom/>
      </border>
    </dxf>
    <dxf>
      <border>
        <left/>
        <right/>
        <top/>
        <bottom/>
      </border>
    </dxf>
    <dxf>
      <border>
        <left/>
        <righ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ill>
        <patternFill patternType="solid">
          <bgColor rgb="FF3B33CA"/>
        </patternFill>
      </fill>
    </dxf>
    <dxf>
      <fill>
        <patternFill patternType="solid">
          <bgColor rgb="FF3B33CA"/>
        </patternFill>
      </fill>
    </dxf>
    <dxf>
      <fill>
        <patternFill patternType="solid">
          <bgColor rgb="FF3B33CA"/>
        </patternFill>
      </fill>
    </dxf>
    <dxf>
      <fill>
        <patternFill patternType="solid">
          <bgColor rgb="FF3B33CA"/>
        </patternFill>
      </fill>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0" formatCode="General"/>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font>
        <sz val="12"/>
      </font>
    </dxf>
    <dxf>
      <font>
        <b/>
      </font>
    </dxf>
    <dxf>
      <border>
        <left style="thin">
          <color indexed="64"/>
        </left>
      </border>
    </dxf>
    <dxf>
      <alignment horizontal="lef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bottom style="thin">
          <color indexed="64"/>
        </bottom>
      </border>
    </dxf>
    <dxf>
      <alignment relativeIndent="1"/>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font>
        <b/>
      </font>
    </dxf>
    <dxf>
      <border>
        <bottom style="thin">
          <color indexed="64"/>
        </bottom>
      </border>
    </dxf>
    <dxf>
      <alignment horizontal="center"/>
    </dxf>
    <dxf>
      <alignment horizontal="center"/>
    </dxf>
    <dxf>
      <alignment horizontal="center"/>
    </dxf>
    <dxf>
      <alignment horizontal="center"/>
    </dxf>
    <dxf>
      <alignment horizontal="center"/>
    </dxf>
    <dxf>
      <fill>
        <patternFill>
          <bgColor theme="1" tint="0.34998626667073579"/>
        </patternFill>
      </fill>
    </dxf>
    <dxf>
      <fill>
        <patternFill>
          <bgColor theme="1"/>
        </patternFill>
      </fill>
    </dxf>
    <dxf>
      <fill>
        <patternFill patternType="solid">
          <bgColor theme="0" tint="-4.9989318521683403E-2"/>
        </patternFill>
      </fill>
    </dxf>
    <dxf>
      <fill>
        <patternFill patternType="solid">
          <bgColor theme="2" tint="-9.9978637043366805E-2"/>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numFmt numFmtId="3" formatCode="#,##0"/>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alignment horizontal="right"/>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alignment horizontal="center"/>
    </dxf>
    <dxf>
      <numFmt numFmtId="3" formatCode="#,##0"/>
    </dxf>
    <dxf>
      <alignment horizontal="center"/>
    </dxf>
    <dxf>
      <alignment horizontal="center"/>
    </dxf>
    <dxf>
      <numFmt numFmtId="3" formatCode="#,##0"/>
    </dxf>
    <dxf>
      <alignment horizontal="righ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numFmt numFmtId="3" formatCode="#,##0"/>
    </dxf>
    <dxf>
      <font>
        <b/>
        <color theme="1"/>
      </font>
    </dxf>
    <dxf>
      <font>
        <b/>
        <color theme="1"/>
      </font>
      <fill>
        <patternFill patternType="solid">
          <fgColor theme="6" tint="0.79998168889431442"/>
          <bgColor theme="6" tint="0.79998168889431442"/>
        </patternFill>
      </fill>
      <border>
        <bottom style="thin">
          <color theme="0"/>
        </bottom>
      </border>
    </dxf>
    <dxf>
      <border>
        <top style="thin">
          <color theme="6" tint="0.79998168889431442"/>
        </top>
      </border>
    </dxf>
    <dxf>
      <border>
        <top style="thin">
          <color theme="6" tint="0.79998168889431442"/>
        </top>
      </border>
    </dxf>
    <dxf>
      <font>
        <b/>
        <color theme="1"/>
      </font>
    </dxf>
    <dxf>
      <font>
        <b/>
        <color theme="1"/>
      </font>
      <fill>
        <patternFill patternType="solid">
          <fgColor theme="6" tint="0.79998168889431442"/>
          <bgColor theme="6" tint="0.79998168889431442"/>
        </patternFill>
      </fill>
      <border>
        <top style="thin">
          <color theme="6" tint="0.59999389629810485"/>
        </top>
        <bottom style="thin">
          <color theme="6" tint="0.59999389629810485"/>
        </bottom>
      </border>
    </dxf>
    <dxf>
      <border>
        <left style="thin">
          <color auto="1"/>
        </left>
        <right style="thin">
          <color auto="1"/>
        </right>
        <top style="thin">
          <color auto="1"/>
        </top>
        <bottom style="thin">
          <color auto="1"/>
        </bottom>
      </border>
    </dxf>
    <dxf>
      <border>
        <left/>
        <right style="thin">
          <color theme="6"/>
        </right>
        <top/>
        <bottom style="thin">
          <color theme="6"/>
        </bottom>
      </border>
    </dxf>
    <dxf>
      <border>
        <left style="thin">
          <color theme="6" tint="0.59999389629810485"/>
        </left>
        <right style="thin">
          <color theme="6" tint="0.59999389629810485"/>
        </right>
        <top style="thin">
          <color theme="6" tint="0.59999389629810485"/>
        </top>
        <bottom style="thin">
          <color theme="6" tint="0.59999389629810485"/>
        </bottom>
      </border>
    </dxf>
    <dxf>
      <border>
        <right/>
      </border>
    </dxf>
    <dxf>
      <font>
        <b/>
        <color theme="1"/>
      </font>
      <border>
        <left style="medium">
          <color theme="6"/>
        </left>
        <right style="medium">
          <color theme="6"/>
        </right>
        <top style="medium">
          <color theme="6"/>
        </top>
        <bottom style="medium">
          <color theme="6"/>
        </bottom>
      </border>
    </dxf>
    <dxf>
      <font>
        <b/>
        <color theme="1"/>
      </font>
      <border>
        <left/>
        <right/>
        <top/>
        <bottom style="medium">
          <color theme="6"/>
        </bottom>
        <horizontal style="thin">
          <color theme="0"/>
        </horizontal>
      </border>
    </dxf>
    <dxf>
      <font>
        <color theme="6" tint="-0.249977111117893"/>
      </font>
      <border>
        <horizontal style="thin">
          <color theme="6" tint="0.79998168889431442"/>
        </horizontal>
      </border>
    </dxf>
    <dxf>
      <font>
        <color theme="0"/>
      </font>
      <fill>
        <patternFill>
          <fgColor rgb="FF6466E9"/>
          <bgColor rgb="FF6466E9"/>
        </patternFill>
      </fill>
    </dxf>
    <dxf>
      <fill>
        <patternFill>
          <bgColor theme="0"/>
        </patternFill>
      </fill>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ont>
        <b/>
        <i val="0"/>
      </font>
      <fill>
        <patternFill patternType="solid">
          <fgColor theme="4" tint="0.79998168889431442"/>
          <bgColor theme="4" tint="0.79998168889431442"/>
        </patternFill>
      </fill>
      <border>
        <bottom style="thin">
          <color theme="4"/>
        </bottom>
      </border>
    </dxf>
    <dxf>
      <font>
        <b/>
        <i val="0"/>
        <color theme="0"/>
      </font>
      <fill>
        <patternFill patternType="solid">
          <fgColor theme="4" tint="0.39994506668294322"/>
          <bgColor rgb="FF6466E9"/>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i val="0"/>
        <color auto="1"/>
      </font>
      <fill>
        <patternFill patternType="solid">
          <fgColor rgb="FF6466E9"/>
          <bgColor theme="4" tint="0.39994506668294322"/>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rgb="FF3B33CA"/>
        </patternFill>
      </fill>
      <border>
        <horizontal style="thin">
          <color theme="4" tint="-0.249977111117893"/>
        </horizontal>
      </border>
    </dxf>
    <dxf>
      <font>
        <color theme="1"/>
      </font>
      <border>
        <left style="thin">
          <color theme="4" tint="0.79992065187536243"/>
        </left>
        <right style="thin">
          <color theme="4" tint="0.79992065187536243"/>
        </right>
        <top style="thin">
          <color theme="4" tint="0.79992065187536243"/>
        </top>
        <bottom style="thin">
          <color theme="4" tint="0.79992065187536243"/>
        </bottom>
        <horizontal style="thin">
          <color theme="4" tint="0.79998168889431442"/>
        </horizontal>
      </border>
    </dxf>
    <dxf>
      <font>
        <b/>
        <color theme="1"/>
      </font>
      <border>
        <bottom style="thin">
          <color theme="4"/>
        </bottom>
        <vertical/>
        <horizontal/>
      </border>
    </dxf>
    <dxf>
      <font>
        <color theme="1"/>
      </font>
      <border>
        <left/>
        <right/>
        <top/>
        <bottom/>
        <vertical/>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fill>
        <patternFill>
          <bgColor theme="8" tint="0.79998168889431442"/>
        </patternFill>
      </fill>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5117038483843"/>
          <bgColor rgb="FF3B33CA"/>
        </patternFill>
      </fill>
      <border>
        <bottom style="thin">
          <color theme="4" tint="0.39997558519241921"/>
        </bottom>
      </border>
    </dxf>
    <dxf>
      <font>
        <b/>
        <sz val="11"/>
        <color theme="1"/>
      </font>
      <border>
        <vertical/>
        <horizontal/>
      </border>
    </dxf>
    <dxf>
      <font>
        <color theme="1"/>
      </font>
      <border>
        <left/>
        <right/>
        <top/>
        <bottom/>
        <vertical/>
        <horizontal/>
      </border>
    </dxf>
  </dxfs>
  <tableStyles count="6" defaultTableStyle="TableStyleMedium2" defaultPivotStyle="PivotStyleLight16">
    <tableStyle name="Custom Timeline" pivot="0" table="0" count="9" xr9:uid="{00000000-0011-0000-FFFF-FFFF00000000}">
      <tableStyleElement type="wholeTable" dxfId="3204"/>
      <tableStyleElement type="headerRow" dxfId="3203"/>
    </tableStyle>
    <tableStyle name="HelloData_Custom_Pivot" pivot="0" count="11" xr9:uid="{00000000-0011-0000-FFFF-FFFF01000000}">
      <tableStyleElement type="headerRow" dxfId="3202"/>
      <tableStyleElement type="totalRow" dxfId="3201"/>
      <tableStyleElement type="firstRowStripe" dxfId="3200"/>
      <tableStyleElement type="firstColumnStripe" dxfId="3199"/>
      <tableStyleElement type="firstSubtotalColumn" dxfId="3198"/>
      <tableStyleElement type="firstSubtotalRow" dxfId="3197"/>
      <tableStyleElement type="secondSubtotalRow" dxfId="3196"/>
      <tableStyleElement type="firstRowSubheading" dxfId="3195"/>
      <tableStyleElement type="secondRowSubheading" dxfId="3194"/>
      <tableStyleElement type="pageFieldLabels" dxfId="3193"/>
      <tableStyleElement type="pageFieldValues" dxfId="3192"/>
    </tableStyle>
    <tableStyle name="HelloData_Light_Slicer" pivot="0" table="0" count="10" xr9:uid="{00000000-0011-0000-FFFF-FFFF02000000}">
      <tableStyleElement type="wholeTable" dxfId="3191"/>
      <tableStyleElement type="headerRow" dxfId="3190"/>
    </tableStyle>
    <tableStyle name="HelloData_Pivot_Table" pivot="0" count="13" xr9:uid="{00000000-0011-0000-FFFF-FFFF03000000}">
      <tableStyleElement type="wholeTable" dxfId="3189"/>
      <tableStyleElement type="headerRow" dxfId="3188"/>
      <tableStyleElement type="totalRow" dxfId="3187"/>
      <tableStyleElement type="firstRowStripe" dxfId="3186"/>
      <tableStyleElement type="firstColumnStripe" dxfId="3185"/>
      <tableStyleElement type="firstHeaderCell" dxfId="3184"/>
      <tableStyleElement type="firstSubtotalRow" dxfId="3183"/>
      <tableStyleElement type="secondSubtotalRow" dxfId="3182"/>
      <tableStyleElement type="firstColumnSubheading" dxfId="3181"/>
      <tableStyleElement type="firstRowSubheading" dxfId="3180"/>
      <tableStyleElement type="secondRowSubheading" dxfId="3179"/>
      <tableStyleElement type="pageFieldLabels" dxfId="3178"/>
      <tableStyleElement type="pageFieldValues" dxfId="3177"/>
    </tableStyle>
    <tableStyle name="HelloData_Table" pivot="0" count="2" xr9:uid="{00000000-0011-0000-FFFF-FFFF04000000}">
      <tableStyleElement type="wholeTable" dxfId="3176"/>
      <tableStyleElement type="headerRow" dxfId="3175"/>
    </tableStyle>
    <tableStyle name="HelloDataLight" pivot="0" count="13" xr9:uid="{00000000-0011-0000-FFFF-FFFF05000000}">
      <tableStyleElement type="wholeTable" dxfId="3174"/>
      <tableStyleElement type="headerRow" dxfId="3173"/>
      <tableStyleElement type="totalRow" dxfId="3172"/>
      <tableStyleElement type="firstColumn" dxfId="3171"/>
      <tableStyleElement type="firstRowStripe" dxfId="3170"/>
      <tableStyleElement type="firstColumnStripe" dxfId="3169"/>
      <tableStyleElement type="secondColumnStripe" dxfId="3168"/>
      <tableStyleElement type="firstSubtotalRow" dxfId="3167"/>
      <tableStyleElement type="secondSubtotalRow" dxfId="3166"/>
      <tableStyleElement type="secondColumnSubheading" dxfId="3165"/>
      <tableStyleElement type="thirdColumnSubheading" dxfId="3164"/>
      <tableStyleElement type="firstRowSubheading" dxfId="3163"/>
      <tableStyleElement type="secondRowSubheading" dxfId="3162"/>
    </tableStyle>
  </tableStyles>
  <colors>
    <mruColors>
      <color rgb="FF3B33CA"/>
      <color rgb="FFF7F7F7"/>
      <color rgb="FFF9F9F9"/>
      <color rgb="FFEFF0FF"/>
      <color rgb="FFD7D9FF"/>
      <color rgb="FF4438CA"/>
      <color rgb="FF6466E9"/>
      <color rgb="FF4CAF50"/>
      <color rgb="FF07BCD4"/>
      <color rgb="FFFF572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Data!$A$4:$A$9</c:f>
              <c:strCache>
                <c:ptCount val="5"/>
                <c:pt idx="0">
                  <c:v>625 A Street - 4 (29-4)</c:v>
                </c:pt>
                <c:pt idx="1">
                  <c:v>(B) 535 Hastings Street - 4 (29-27)</c:v>
                </c:pt>
                <c:pt idx="2">
                  <c:v>Comp Average</c:v>
                </c:pt>
                <c:pt idx="3">
                  <c:v>(blank)</c:v>
                </c:pt>
                <c:pt idx="4">
                  <c:v>Grand Mesa Flats</c:v>
                </c:pt>
              </c:strCache>
            </c:strRef>
          </c:cat>
          <c:val>
            <c:numRef>
              <c:f>Data!$B$4:$B$9</c:f>
              <c:numCache>
                <c:formatCode>"$"#,##0</c:formatCode>
                <c:ptCount val="5"/>
                <c:pt idx="0">
                  <c:v>1150</c:v>
                </c:pt>
                <c:pt idx="1">
                  <c:v>1150</c:v>
                </c:pt>
                <c:pt idx="2">
                  <c:v>1256.7708333333335</c:v>
                </c:pt>
                <c:pt idx="3">
                  <c:v>1292.3611111111111</c:v>
                </c:pt>
                <c:pt idx="4">
                  <c:v>1438</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Data!$A$4:$A$9</c:f>
              <c:strCache>
                <c:ptCount val="5"/>
                <c:pt idx="0">
                  <c:v>625 A Street - 4 (29-4)</c:v>
                </c:pt>
                <c:pt idx="1">
                  <c:v>(B) 535 Hastings Street - 4 (29-27)</c:v>
                </c:pt>
                <c:pt idx="2">
                  <c:v>Comp Average</c:v>
                </c:pt>
                <c:pt idx="3">
                  <c:v>(blank)</c:v>
                </c:pt>
                <c:pt idx="4">
                  <c:v>Grand Mesa Flats</c:v>
                </c:pt>
              </c:strCache>
            </c:strRef>
          </c:cat>
          <c:val>
            <c:numRef>
              <c:f>Data!$C$4:$C$9</c:f>
              <c:numCache>
                <c:formatCode>"$"#,##0.00</c:formatCode>
                <c:ptCount val="5"/>
                <c:pt idx="0">
                  <c:v>1.452020202020202</c:v>
                </c:pt>
                <c:pt idx="1">
                  <c:v>1.5862068965517242</c:v>
                </c:pt>
                <c:pt idx="2">
                  <c:v>1.5612374990596145</c:v>
                </c:pt>
                <c:pt idx="3">
                  <c:v>1.5780870789690749</c:v>
                </c:pt>
                <c:pt idx="4">
                  <c:v>1.2920035938903864</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Data!$E$4:$E$9</c:f>
              <c:strCache>
                <c:ptCount val="5"/>
                <c:pt idx="0">
                  <c:v>625 A Street - 4 (29-4)</c:v>
                </c:pt>
                <c:pt idx="1">
                  <c:v>(B) 535 Hastings Street - 4 (29-27)</c:v>
                </c:pt>
                <c:pt idx="2">
                  <c:v>Comp Average</c:v>
                </c:pt>
                <c:pt idx="3">
                  <c:v>(blank)</c:v>
                </c:pt>
                <c:pt idx="4">
                  <c:v>Grand Mesa Flats</c:v>
                </c:pt>
              </c:strCache>
            </c:strRef>
          </c:cat>
          <c:val>
            <c:numRef>
              <c:f>Data!$F$4:$F$9</c:f>
              <c:numCache>
                <c:formatCode>"$"#,##0</c:formatCode>
                <c:ptCount val="5"/>
                <c:pt idx="0">
                  <c:v>1150</c:v>
                </c:pt>
                <c:pt idx="1">
                  <c:v>1150</c:v>
                </c:pt>
                <c:pt idx="2">
                  <c:v>1256.7708333333335</c:v>
                </c:pt>
                <c:pt idx="3">
                  <c:v>1292.3611111111111</c:v>
                </c:pt>
                <c:pt idx="4">
                  <c:v>1438</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Data!$E$4:$E$9</c:f>
              <c:strCache>
                <c:ptCount val="5"/>
                <c:pt idx="0">
                  <c:v>625 A Street - 4 (29-4)</c:v>
                </c:pt>
                <c:pt idx="1">
                  <c:v>(B) 535 Hastings Street - 4 (29-27)</c:v>
                </c:pt>
                <c:pt idx="2">
                  <c:v>Comp Average</c:v>
                </c:pt>
                <c:pt idx="3">
                  <c:v>(blank)</c:v>
                </c:pt>
                <c:pt idx="4">
                  <c:v>Grand Mesa Flats</c:v>
                </c:pt>
              </c:strCache>
            </c:strRef>
          </c:cat>
          <c:val>
            <c:numRef>
              <c:f>Data!$G$4:$G$9</c:f>
              <c:numCache>
                <c:formatCode>"$"#,##0.00</c:formatCode>
                <c:ptCount val="5"/>
                <c:pt idx="0">
                  <c:v>1.452020202020202</c:v>
                </c:pt>
                <c:pt idx="1">
                  <c:v>1.5862068965517242</c:v>
                </c:pt>
                <c:pt idx="2">
                  <c:v>1.5612374990596145</c:v>
                </c:pt>
                <c:pt idx="3">
                  <c:v>1.5780870789690749</c:v>
                </c:pt>
                <c:pt idx="4">
                  <c:v>1.2920035938903864</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c:f>
              <c:strCache>
                <c:ptCount val="1"/>
                <c:pt idx="0">
                  <c:v>Grand Total</c:v>
                </c:pt>
              </c:strCache>
            </c:strRef>
          </c:cat>
          <c:val>
            <c:numRef>
              <c:f>Data!$J$4</c:f>
              <c:numCache>
                <c:formatCode>"$"#,##0</c:formatCode>
                <c:ptCount val="1"/>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c:f>
              <c:strCache>
                <c:ptCount val="1"/>
                <c:pt idx="0">
                  <c:v>Grand Total</c:v>
                </c:pt>
              </c:strCache>
            </c:strRef>
          </c:cat>
          <c:val>
            <c:numRef>
              <c:f>Data!$K$4</c:f>
              <c:numCache>
                <c:formatCode>"$"#,##0</c:formatCode>
                <c:ptCount val="1"/>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Data!$M$4:$M$6</c:f>
              <c:strCache>
                <c:ptCount val="2"/>
                <c:pt idx="0">
                  <c:v>(blank)</c:v>
                </c:pt>
                <c:pt idx="1">
                  <c:v>Comp Average</c:v>
                </c:pt>
              </c:strCache>
            </c:strRef>
          </c:cat>
          <c:val>
            <c:numRef>
              <c:f>Data!$N$4:$N$6</c:f>
              <c:numCache>
                <c:formatCode>"$"#,##0</c:formatCode>
                <c:ptCount val="2"/>
                <c:pt idx="0">
                  <c:v>1029.1666666666665</c:v>
                </c:pt>
                <c:pt idx="1">
                  <c:v>1029.1666666666665</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Data!$M$4:$M$6</c:f>
              <c:strCache>
                <c:ptCount val="2"/>
                <c:pt idx="0">
                  <c:v>(blank)</c:v>
                </c:pt>
                <c:pt idx="1">
                  <c:v>Comp Average</c:v>
                </c:pt>
              </c:strCache>
            </c:strRef>
          </c:cat>
          <c:val>
            <c:numRef>
              <c:f>Data!$O$4:$O$6</c:f>
              <c:numCache>
                <c:formatCode>"$"#,##0</c:formatCode>
                <c:ptCount val="2"/>
                <c:pt idx="0">
                  <c:v>1029.1666666666665</c:v>
                </c:pt>
                <c:pt idx="1">
                  <c:v>1029.1666666666665</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Data!$Q$4:$Q$9</c:f>
              <c:strCache>
                <c:ptCount val="5"/>
                <c:pt idx="0">
                  <c:v>625 A Street - 4 (29-4)</c:v>
                </c:pt>
                <c:pt idx="1">
                  <c:v>(B) 535 Hastings Street - 4 (29-27)</c:v>
                </c:pt>
                <c:pt idx="2">
                  <c:v>Comp Average</c:v>
                </c:pt>
                <c:pt idx="3">
                  <c:v>(blank)</c:v>
                </c:pt>
                <c:pt idx="4">
                  <c:v>Grand Mesa Flats</c:v>
                </c:pt>
              </c:strCache>
            </c:strRef>
          </c:cat>
          <c:val>
            <c:numRef>
              <c:f>Data!$R$4:$R$9</c:f>
              <c:numCache>
                <c:formatCode>"$"#,##0</c:formatCode>
                <c:ptCount val="5"/>
                <c:pt idx="0">
                  <c:v>1150</c:v>
                </c:pt>
                <c:pt idx="1">
                  <c:v>1150</c:v>
                </c:pt>
                <c:pt idx="2">
                  <c:v>1282.8125</c:v>
                </c:pt>
                <c:pt idx="3">
                  <c:v>1327.0833333333333</c:v>
                </c:pt>
                <c:pt idx="4">
                  <c:v>1438</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Data!$Q$4:$Q$9</c:f>
              <c:strCache>
                <c:ptCount val="5"/>
                <c:pt idx="0">
                  <c:v>625 A Street - 4 (29-4)</c:v>
                </c:pt>
                <c:pt idx="1">
                  <c:v>(B) 535 Hastings Street - 4 (29-27)</c:v>
                </c:pt>
                <c:pt idx="2">
                  <c:v>Comp Average</c:v>
                </c:pt>
                <c:pt idx="3">
                  <c:v>(blank)</c:v>
                </c:pt>
                <c:pt idx="4">
                  <c:v>Grand Mesa Flats</c:v>
                </c:pt>
              </c:strCache>
            </c:strRef>
          </c:cat>
          <c:val>
            <c:numRef>
              <c:f>Data!$S$4:$S$9</c:f>
              <c:numCache>
                <c:formatCode>"$"#,##0</c:formatCode>
                <c:ptCount val="5"/>
                <c:pt idx="0">
                  <c:v>1150</c:v>
                </c:pt>
                <c:pt idx="1">
                  <c:v>1150</c:v>
                </c:pt>
                <c:pt idx="2">
                  <c:v>1282.8125</c:v>
                </c:pt>
                <c:pt idx="3">
                  <c:v>1327.0833333333333</c:v>
                </c:pt>
                <c:pt idx="4">
                  <c:v>1438</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c:f>
              <c:strCache>
                <c:ptCount val="1"/>
                <c:pt idx="0">
                  <c:v>Grand Total</c:v>
                </c:pt>
              </c:strCache>
            </c:strRef>
          </c:cat>
          <c:val>
            <c:numRef>
              <c:f>Data!$V$4</c:f>
              <c:numCache>
                <c:formatCode>"$"#,##0</c:formatCode>
                <c:ptCount val="1"/>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c:f>
              <c:strCache>
                <c:ptCount val="1"/>
                <c:pt idx="0">
                  <c:v>Grand Total</c:v>
                </c:pt>
              </c:strCache>
            </c:strRef>
          </c:cat>
          <c:val>
            <c:numRef>
              <c:f>Data!$W$4</c:f>
              <c:numCache>
                <c:formatCode>"$"#,##0</c:formatCode>
                <c:ptCount val="1"/>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c:f>
              <c:strCache>
                <c:ptCount val="1"/>
                <c:pt idx="0">
                  <c:v>Grand Total</c:v>
                </c:pt>
              </c:strCache>
            </c:strRef>
          </c:cat>
          <c:val>
            <c:numRef>
              <c:f>Data!$Z$4</c:f>
              <c:numCache>
                <c:formatCode>"$"#,##0</c:formatCode>
                <c:ptCount val="1"/>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27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c:f>
              <c:strCache>
                <c:ptCount val="1"/>
                <c:pt idx="0">
                  <c:v>Grand Total</c:v>
                </c:pt>
              </c:strCache>
            </c:strRef>
          </c:cat>
          <c:val>
            <c:numRef>
              <c:f>Data!$AA$4</c:f>
              <c:numCache>
                <c:formatCode>"$"#,##0</c:formatCode>
                <c:ptCount val="1"/>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Data!$AM$4:$AM$9</c:f>
              <c:strCache>
                <c:ptCount val="5"/>
                <c:pt idx="0">
                  <c:v>(B) 535 Hastings Street - 4 (29-27)</c:v>
                </c:pt>
                <c:pt idx="1">
                  <c:v>Grand Mesa Flats</c:v>
                </c:pt>
                <c:pt idx="2">
                  <c:v>625 A Street - 4 (29-4)</c:v>
                </c:pt>
                <c:pt idx="3">
                  <c:v>816 Dodge St, Delta CO</c:v>
                </c:pt>
                <c:pt idx="4">
                  <c:v>(blank)</c:v>
                </c:pt>
              </c:strCache>
            </c:strRef>
          </c:cat>
          <c:val>
            <c:numRef>
              <c:f>Data!$AN$4:$AN$9</c:f>
              <c:numCache>
                <c:formatCode>#,##0</c:formatCode>
                <c:ptCount val="5"/>
                <c:pt idx="0">
                  <c:v>15.333333333333334</c:v>
                </c:pt>
                <c:pt idx="1">
                  <c:v>38.324324324324323</c:v>
                </c:pt>
                <c:pt idx="2">
                  <c:v>48</c:v>
                </c:pt>
                <c:pt idx="3">
                  <c:v>62</c:v>
                </c:pt>
                <c:pt idx="4">
                  <c:v>73.276595744680847</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Data!$AS$4:$AS$6</c:f>
              <c:strCache>
                <c:ptCount val="2"/>
                <c:pt idx="0">
                  <c:v>2BR</c:v>
                </c:pt>
                <c:pt idx="1">
                  <c:v>1BR</c:v>
                </c:pt>
              </c:strCache>
            </c:strRef>
          </c:cat>
          <c:val>
            <c:numRef>
              <c:f>Data!$AT$4:$AT$6</c:f>
              <c:numCache>
                <c:formatCode>#,##0</c:formatCode>
                <c:ptCount val="2"/>
                <c:pt idx="0">
                  <c:v>55.337499999999999</c:v>
                </c:pt>
                <c:pt idx="1">
                  <c:v>63.9</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Data!$AV$6:$AV$11</c:f>
              <c:strCache>
                <c:ptCount val="5"/>
                <c:pt idx="0">
                  <c:v>(B) 535 Hastings Street - 4 (29-27)</c:v>
                </c:pt>
                <c:pt idx="1">
                  <c:v>625 A Street - 4 (29-4)</c:v>
                </c:pt>
                <c:pt idx="2">
                  <c:v>(blank)</c:v>
                </c:pt>
                <c:pt idx="3">
                  <c:v>816 Dodge St, Delta CO</c:v>
                </c:pt>
                <c:pt idx="4">
                  <c:v>Grand Mesa Flats</c:v>
                </c:pt>
              </c:strCache>
            </c:strRef>
          </c:cat>
          <c:val>
            <c:numRef>
              <c:f>Data!$AW$6:$AW$11</c:f>
              <c:numCache>
                <c:formatCode>"$"#,##0</c:formatCode>
                <c:ptCount val="5"/>
                <c:pt idx="0">
                  <c:v>1150</c:v>
                </c:pt>
                <c:pt idx="1">
                  <c:v>1200</c:v>
                </c:pt>
                <c:pt idx="2">
                  <c:v>1209.5744680851064</c:v>
                </c:pt>
                <c:pt idx="3">
                  <c:v>1300</c:v>
                </c:pt>
                <c:pt idx="4">
                  <c:v>1432.0270270270271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Data!$AV$6:$AV$11</c:f>
              <c:strCache>
                <c:ptCount val="5"/>
                <c:pt idx="0">
                  <c:v>(B) 535 Hastings Street - 4 (29-27)</c:v>
                </c:pt>
                <c:pt idx="1">
                  <c:v>625 A Street - 4 (29-4)</c:v>
                </c:pt>
                <c:pt idx="2">
                  <c:v>(blank)</c:v>
                </c:pt>
                <c:pt idx="3">
                  <c:v>816 Dodge St, Delta CO</c:v>
                </c:pt>
                <c:pt idx="4">
                  <c:v>Grand Mesa Flats</c:v>
                </c:pt>
              </c:strCache>
            </c:strRef>
          </c:cat>
          <c:val>
            <c:numRef>
              <c:f>Data!$AX$6:$AX$11</c:f>
              <c:numCache>
                <c:formatCode>"$"#,##0</c:formatCode>
                <c:ptCount val="5"/>
                <c:pt idx="0">
                  <c:v>1150</c:v>
                </c:pt>
                <c:pt idx="1">
                  <c:v>1200</c:v>
                </c:pt>
                <c:pt idx="2">
                  <c:v>1209.5744680851064</c:v>
                </c:pt>
                <c:pt idx="3">
                  <c:v>1300</c:v>
                </c:pt>
                <c:pt idx="4">
                  <c:v>1432.0270270270271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Data!$AP$6:$AP$9</c:f>
              <c:strCache>
                <c:ptCount val="3"/>
                <c:pt idx="0">
                  <c:v>625 A Street - 4 (29-4)</c:v>
                </c:pt>
                <c:pt idx="1">
                  <c:v>Grand Mesa Flats</c:v>
                </c:pt>
                <c:pt idx="2">
                  <c:v>(blank)</c:v>
                </c:pt>
              </c:strCache>
            </c:strRef>
          </c:cat>
          <c:val>
            <c:numRef>
              <c:f>Data!$AQ$6:$AQ$9</c:f>
              <c:numCache>
                <c:formatCode>#,##0</c:formatCode>
                <c:ptCount val="3"/>
                <c:pt idx="0">
                  <c:v>2</c:v>
                </c:pt>
                <c:pt idx="1">
                  <c:v>4</c:v>
                </c:pt>
                <c:pt idx="2">
                  <c:v>16</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Data!$BD$6:$BD$11</c:f>
              <c:strCache>
                <c:ptCount val="5"/>
                <c:pt idx="0">
                  <c:v>816 Dodge St, Delta CO</c:v>
                </c:pt>
                <c:pt idx="1">
                  <c:v>Grand Mesa Flats</c:v>
                </c:pt>
                <c:pt idx="2">
                  <c:v>(blank)</c:v>
                </c:pt>
                <c:pt idx="3">
                  <c:v>625 A Street - 4 (29-4)</c:v>
                </c:pt>
                <c:pt idx="4">
                  <c:v>(B) 535 Hastings Street - 4 (29-27)</c:v>
                </c:pt>
              </c:strCache>
            </c:strRef>
          </c:cat>
          <c:val>
            <c:numRef>
              <c:f>Data!$BE$6:$BE$11</c:f>
              <c:numCache>
                <c:formatCode>"$"#,##0.00</c:formatCode>
                <c:ptCount val="5"/>
                <c:pt idx="1">
                  <c:v>1.2866370413540229</c:v>
                </c:pt>
                <c:pt idx="2">
                  <c:v>1.4486529807753401</c:v>
                </c:pt>
                <c:pt idx="3">
                  <c:v>1.5151515151515151</c:v>
                </c:pt>
                <c:pt idx="4">
                  <c:v>1.5862068965517242</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Data!$BD$6:$BD$11</c:f>
              <c:strCache>
                <c:ptCount val="5"/>
                <c:pt idx="0">
                  <c:v>816 Dodge St, Delta CO</c:v>
                </c:pt>
                <c:pt idx="1">
                  <c:v>Grand Mesa Flats</c:v>
                </c:pt>
                <c:pt idx="2">
                  <c:v>(blank)</c:v>
                </c:pt>
                <c:pt idx="3">
                  <c:v>625 A Street - 4 (29-4)</c:v>
                </c:pt>
                <c:pt idx="4">
                  <c:v>(B) 535 Hastings Street - 4 (29-27)</c:v>
                </c:pt>
              </c:strCache>
            </c:strRef>
          </c:cat>
          <c:val>
            <c:numRef>
              <c:f>Data!$BF$6:$BF$11</c:f>
              <c:numCache>
                <c:formatCode>"$"#,##0.00</c:formatCode>
                <c:ptCount val="5"/>
                <c:pt idx="1">
                  <c:v>1.2866370413540229</c:v>
                </c:pt>
                <c:pt idx="2">
                  <c:v>1.4486529807753401</c:v>
                </c:pt>
                <c:pt idx="3">
                  <c:v>1.5151515151515151</c:v>
                </c:pt>
                <c:pt idx="4">
                  <c:v>1.5862068965517242</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c:f>
              <c:strCache>
                <c:ptCount val="1"/>
                <c:pt idx="0">
                  <c:v>Grand Total</c:v>
                </c:pt>
              </c:strCache>
            </c:strRef>
          </c:cat>
          <c:val>
            <c:numRef>
              <c:f>Data!$BM$6</c:f>
              <c:numCache>
                <c:formatCode>0.00%</c:formatCode>
                <c:ptCount val="1"/>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Data!$BO$6:$BO$8</c:f>
              <c:strCache>
                <c:ptCount val="2"/>
                <c:pt idx="0">
                  <c:v>1BR</c:v>
                </c:pt>
                <c:pt idx="1">
                  <c:v>2BR</c:v>
                </c:pt>
              </c:strCache>
            </c:strRef>
          </c:cat>
          <c:val>
            <c:numRef>
              <c:f>Data!$BP$6:$BP$8</c:f>
              <c:numCache>
                <c:formatCode>0.00%</c:formatCode>
                <c:ptCount val="2"/>
                <c:pt idx="0">
                  <c:v>0</c:v>
                </c:pt>
                <c:pt idx="1">
                  <c:v>0</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1</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Data!$CB$5:$CB$29</c:f>
              <c:multiLvlStrCache>
                <c:ptCount val="21"/>
                <c:lvl>
                  <c:pt idx="0">
                    <c:v>Oct</c:v>
                  </c:pt>
                  <c:pt idx="1">
                    <c:v>Nov</c:v>
                  </c:pt>
                  <c:pt idx="2">
                    <c:v>Jan</c:v>
                  </c:pt>
                  <c:pt idx="3">
                    <c:v>Feb</c:v>
                  </c:pt>
                  <c:pt idx="4">
                    <c:v>Mar</c:v>
                  </c:pt>
                  <c:pt idx="5">
                    <c:v>Apr</c:v>
                  </c:pt>
                  <c:pt idx="6">
                    <c:v>May</c:v>
                  </c:pt>
                  <c:pt idx="7">
                    <c:v>Jul</c:v>
                  </c:pt>
                  <c:pt idx="8">
                    <c:v>Aug</c:v>
                  </c:pt>
                  <c:pt idx="9">
                    <c:v>Nov</c:v>
                  </c:pt>
                  <c:pt idx="10">
                    <c:v>Dec</c:v>
                  </c:pt>
                  <c:pt idx="11">
                    <c:v>Jan</c:v>
                  </c:pt>
                  <c:pt idx="12">
                    <c:v>Feb</c:v>
                  </c:pt>
                  <c:pt idx="13">
                    <c:v>Mar</c:v>
                  </c:pt>
                  <c:pt idx="14">
                    <c:v>Apr</c:v>
                  </c:pt>
                  <c:pt idx="15">
                    <c:v>May</c:v>
                  </c:pt>
                  <c:pt idx="16">
                    <c:v>Jul</c:v>
                  </c:pt>
                  <c:pt idx="17">
                    <c:v>Aug</c:v>
                  </c:pt>
                  <c:pt idx="18">
                    <c:v>Sep</c:v>
                  </c:pt>
                  <c:pt idx="19">
                    <c:v>Oct</c:v>
                  </c:pt>
                  <c:pt idx="20">
                    <c:v>Nov</c:v>
                  </c:pt>
                </c:lvl>
                <c:lvl>
                  <c:pt idx="0">
                    <c:v>2023</c:v>
                  </c:pt>
                  <c:pt idx="2">
                    <c:v>2024</c:v>
                  </c:pt>
                  <c:pt idx="11">
                    <c:v>2025</c:v>
                  </c:pt>
                </c:lvl>
              </c:multiLvlStrCache>
            </c:multiLvlStrRef>
          </c:cat>
          <c:val>
            <c:numRef>
              <c:f>Data!$CC$5:$CC$29</c:f>
              <c:numCache>
                <c:formatCode>"$"#,##0</c:formatCode>
                <c:ptCount val="21"/>
                <c:pt idx="4">
                  <c:v>900</c:v>
                </c:pt>
                <c:pt idx="7">
                  <c:v>950</c:v>
                </c:pt>
                <c:pt idx="14">
                  <c:v>1050</c:v>
                </c:pt>
                <c:pt idx="16">
                  <c:v>1050</c:v>
                </c:pt>
                <c:pt idx="18">
                  <c:v>1100</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2</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Data!$CB$5:$CB$29</c:f>
              <c:multiLvlStrCache>
                <c:ptCount val="21"/>
                <c:lvl>
                  <c:pt idx="0">
                    <c:v>Oct</c:v>
                  </c:pt>
                  <c:pt idx="1">
                    <c:v>Nov</c:v>
                  </c:pt>
                  <c:pt idx="2">
                    <c:v>Jan</c:v>
                  </c:pt>
                  <c:pt idx="3">
                    <c:v>Feb</c:v>
                  </c:pt>
                  <c:pt idx="4">
                    <c:v>Mar</c:v>
                  </c:pt>
                  <c:pt idx="5">
                    <c:v>Apr</c:v>
                  </c:pt>
                  <c:pt idx="6">
                    <c:v>May</c:v>
                  </c:pt>
                  <c:pt idx="7">
                    <c:v>Jul</c:v>
                  </c:pt>
                  <c:pt idx="8">
                    <c:v>Aug</c:v>
                  </c:pt>
                  <c:pt idx="9">
                    <c:v>Nov</c:v>
                  </c:pt>
                  <c:pt idx="10">
                    <c:v>Dec</c:v>
                  </c:pt>
                  <c:pt idx="11">
                    <c:v>Jan</c:v>
                  </c:pt>
                  <c:pt idx="12">
                    <c:v>Feb</c:v>
                  </c:pt>
                  <c:pt idx="13">
                    <c:v>Mar</c:v>
                  </c:pt>
                  <c:pt idx="14">
                    <c:v>Apr</c:v>
                  </c:pt>
                  <c:pt idx="15">
                    <c:v>May</c:v>
                  </c:pt>
                  <c:pt idx="16">
                    <c:v>Jul</c:v>
                  </c:pt>
                  <c:pt idx="17">
                    <c:v>Aug</c:v>
                  </c:pt>
                  <c:pt idx="18">
                    <c:v>Sep</c:v>
                  </c:pt>
                  <c:pt idx="19">
                    <c:v>Oct</c:v>
                  </c:pt>
                  <c:pt idx="20">
                    <c:v>Nov</c:v>
                  </c:pt>
                </c:lvl>
                <c:lvl>
                  <c:pt idx="0">
                    <c:v>2023</c:v>
                  </c:pt>
                  <c:pt idx="2">
                    <c:v>2024</c:v>
                  </c:pt>
                  <c:pt idx="11">
                    <c:v>2025</c:v>
                  </c:pt>
                </c:lvl>
              </c:multiLvlStrCache>
            </c:multiLvlStrRef>
          </c:cat>
          <c:val>
            <c:numRef>
              <c:f>Data!$CD$5:$CD$29</c:f>
              <c:numCache>
                <c:formatCode>"$"#,##0</c:formatCode>
                <c:ptCount val="21"/>
                <c:pt idx="0">
                  <c:v>1225</c:v>
                </c:pt>
                <c:pt idx="1">
                  <c:v>1100</c:v>
                </c:pt>
                <c:pt idx="2">
                  <c:v>1225</c:v>
                </c:pt>
                <c:pt idx="3">
                  <c:v>1150</c:v>
                </c:pt>
                <c:pt idx="5">
                  <c:v>1200</c:v>
                </c:pt>
                <c:pt idx="6">
                  <c:v>1250</c:v>
                </c:pt>
                <c:pt idx="7">
                  <c:v>1275</c:v>
                </c:pt>
                <c:pt idx="8">
                  <c:v>1425</c:v>
                </c:pt>
                <c:pt idx="9">
                  <c:v>1425</c:v>
                </c:pt>
                <c:pt idx="10">
                  <c:v>1425</c:v>
                </c:pt>
                <c:pt idx="11">
                  <c:v>1362.5</c:v>
                </c:pt>
                <c:pt idx="12">
                  <c:v>1425</c:v>
                </c:pt>
                <c:pt idx="13">
                  <c:v>1425</c:v>
                </c:pt>
                <c:pt idx="14">
                  <c:v>1306.25</c:v>
                </c:pt>
                <c:pt idx="15">
                  <c:v>1395.8333333333333</c:v>
                </c:pt>
                <c:pt idx="16">
                  <c:v>1278.8461538461538</c:v>
                </c:pt>
                <c:pt idx="17">
                  <c:v>1266.6666666666667</c:v>
                </c:pt>
                <c:pt idx="18">
                  <c:v>1342.8571428571429</c:v>
                </c:pt>
                <c:pt idx="19">
                  <c:v>1286.1111111111111</c:v>
                </c:pt>
                <c:pt idx="20">
                  <c:v>1490</c:v>
                </c:pt>
              </c:numCache>
            </c:numRef>
          </c:val>
          <c:smooth val="0"/>
          <c:extLst>
            <c:ext xmlns:c16="http://schemas.microsoft.com/office/drawing/2014/chart" uri="{C3380CC4-5D6E-409C-BE32-E72D297353CC}">
              <c16:uniqueId val="{00000001-37E6-4884-A2A1-2B0E0C26B7E4}"/>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Data!$CR$4:$CR$30</c:f>
              <c:multiLvlStrCache>
                <c:ptCount val="23"/>
                <c:lvl>
                  <c:pt idx="0">
                    <c:v>Oct</c:v>
                  </c:pt>
                  <c:pt idx="1">
                    <c:v>Nov</c:v>
                  </c:pt>
                  <c:pt idx="2">
                    <c:v>Jan</c:v>
                  </c:pt>
                  <c:pt idx="3">
                    <c:v>Feb</c:v>
                  </c:pt>
                  <c:pt idx="4">
                    <c:v>Mar</c:v>
                  </c:pt>
                  <c:pt idx="5">
                    <c:v>Apr</c:v>
                  </c:pt>
                  <c:pt idx="6">
                    <c:v>May</c:v>
                  </c:pt>
                  <c:pt idx="7">
                    <c:v>Jun</c:v>
                  </c:pt>
                  <c:pt idx="8">
                    <c:v>Jul</c:v>
                  </c:pt>
                  <c:pt idx="9">
                    <c:v>Aug</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2">
                    <c:v>2024</c:v>
                  </c:pt>
                  <c:pt idx="12">
                    <c:v>2025</c:v>
                  </c:pt>
                </c:lvl>
              </c:multiLvlStrCache>
            </c:multiLvlStrRef>
          </c:cat>
          <c:val>
            <c:numRef>
              <c:f>Data!$CS$4:$CS$30</c:f>
              <c:numCache>
                <c:formatCode>#,##0</c:formatCode>
                <c:ptCount val="23"/>
                <c:pt idx="0">
                  <c:v>32.5</c:v>
                </c:pt>
                <c:pt idx="1">
                  <c:v>10</c:v>
                </c:pt>
                <c:pt idx="2">
                  <c:v>8</c:v>
                </c:pt>
                <c:pt idx="3">
                  <c:v>20</c:v>
                </c:pt>
                <c:pt idx="4">
                  <c:v>19</c:v>
                </c:pt>
                <c:pt idx="5">
                  <c:v>6</c:v>
                </c:pt>
                <c:pt idx="6">
                  <c:v>29</c:v>
                </c:pt>
                <c:pt idx="7">
                  <c:v>19.666666666666668</c:v>
                </c:pt>
                <c:pt idx="8">
                  <c:v>25.75</c:v>
                </c:pt>
                <c:pt idx="9">
                  <c:v>43</c:v>
                </c:pt>
                <c:pt idx="10">
                  <c:v>25.2</c:v>
                </c:pt>
                <c:pt idx="11">
                  <c:v>21</c:v>
                </c:pt>
                <c:pt idx="12">
                  <c:v>45</c:v>
                </c:pt>
                <c:pt idx="13">
                  <c:v>18</c:v>
                </c:pt>
                <c:pt idx="14">
                  <c:v>30</c:v>
                </c:pt>
                <c:pt idx="15">
                  <c:v>54.6</c:v>
                </c:pt>
                <c:pt idx="16">
                  <c:v>80.666666666666671</c:v>
                </c:pt>
                <c:pt idx="17">
                  <c:v>42.166666666666664</c:v>
                </c:pt>
                <c:pt idx="18">
                  <c:v>58.625</c:v>
                </c:pt>
                <c:pt idx="19">
                  <c:v>14.333333333333334</c:v>
                </c:pt>
                <c:pt idx="20">
                  <c:v>163.30000000000001</c:v>
                </c:pt>
                <c:pt idx="21">
                  <c:v>43.888888888888886</c:v>
                </c:pt>
                <c:pt idx="22">
                  <c:v>47</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Data!$CU$4:$CU$30</c:f>
              <c:multiLvlStrCache>
                <c:ptCount val="23"/>
                <c:lvl>
                  <c:pt idx="0">
                    <c:v>Oct</c:v>
                  </c:pt>
                  <c:pt idx="1">
                    <c:v>Nov</c:v>
                  </c:pt>
                  <c:pt idx="2">
                    <c:v>Jan</c:v>
                  </c:pt>
                  <c:pt idx="3">
                    <c:v>Feb</c:v>
                  </c:pt>
                  <c:pt idx="4">
                    <c:v>Mar</c:v>
                  </c:pt>
                  <c:pt idx="5">
                    <c:v>Apr</c:v>
                  </c:pt>
                  <c:pt idx="6">
                    <c:v>May</c:v>
                  </c:pt>
                  <c:pt idx="7">
                    <c:v>Jun</c:v>
                  </c:pt>
                  <c:pt idx="8">
                    <c:v>Jul</c:v>
                  </c:pt>
                  <c:pt idx="9">
                    <c:v>Aug</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2">
                    <c:v>2024</c:v>
                  </c:pt>
                  <c:pt idx="12">
                    <c:v>2025</c:v>
                  </c:pt>
                </c:lvl>
              </c:multiLvlStrCache>
            </c:multiLvlStrRef>
          </c:cat>
          <c:val>
            <c:numRef>
              <c:f>Data!$CV$4:$CV$30</c:f>
              <c:numCache>
                <c:formatCode>#,##0</c:formatCode>
                <c:ptCount val="23"/>
                <c:pt idx="0">
                  <c:v>2</c:v>
                </c:pt>
                <c:pt idx="1">
                  <c:v>1</c:v>
                </c:pt>
                <c:pt idx="2">
                  <c:v>1</c:v>
                </c:pt>
                <c:pt idx="3">
                  <c:v>1</c:v>
                </c:pt>
                <c:pt idx="4">
                  <c:v>1</c:v>
                </c:pt>
                <c:pt idx="5">
                  <c:v>1</c:v>
                </c:pt>
                <c:pt idx="6">
                  <c:v>2</c:v>
                </c:pt>
                <c:pt idx="7">
                  <c:v>3</c:v>
                </c:pt>
                <c:pt idx="8">
                  <c:v>4</c:v>
                </c:pt>
                <c:pt idx="9">
                  <c:v>1</c:v>
                </c:pt>
                <c:pt idx="10">
                  <c:v>5</c:v>
                </c:pt>
                <c:pt idx="11">
                  <c:v>2</c:v>
                </c:pt>
                <c:pt idx="12">
                  <c:v>2</c:v>
                </c:pt>
                <c:pt idx="13">
                  <c:v>1</c:v>
                </c:pt>
                <c:pt idx="14">
                  <c:v>2</c:v>
                </c:pt>
                <c:pt idx="15">
                  <c:v>10</c:v>
                </c:pt>
                <c:pt idx="16">
                  <c:v>6</c:v>
                </c:pt>
                <c:pt idx="17">
                  <c:v>6</c:v>
                </c:pt>
                <c:pt idx="18">
                  <c:v>16</c:v>
                </c:pt>
                <c:pt idx="19">
                  <c:v>3</c:v>
                </c:pt>
                <c:pt idx="20">
                  <c:v>10</c:v>
                </c:pt>
                <c:pt idx="21">
                  <c:v>9</c:v>
                </c:pt>
                <c:pt idx="22">
                  <c:v>1</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Mesa Flats-11-17-2025 (1).xlsx]Data!asking_and_effective_rent_psf_by_month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Data!$CJ$4:$CJ$30</c:f>
              <c:multiLvlStrCache>
                <c:ptCount val="23"/>
                <c:lvl>
                  <c:pt idx="0">
                    <c:v>Oct</c:v>
                  </c:pt>
                  <c:pt idx="1">
                    <c:v>Nov</c:v>
                  </c:pt>
                  <c:pt idx="2">
                    <c:v>Jan</c:v>
                  </c:pt>
                  <c:pt idx="3">
                    <c:v>Feb</c:v>
                  </c:pt>
                  <c:pt idx="4">
                    <c:v>Mar</c:v>
                  </c:pt>
                  <c:pt idx="5">
                    <c:v>Apr</c:v>
                  </c:pt>
                  <c:pt idx="6">
                    <c:v>May</c:v>
                  </c:pt>
                  <c:pt idx="7">
                    <c:v>Jun</c:v>
                  </c:pt>
                  <c:pt idx="8">
                    <c:v>Jul</c:v>
                  </c:pt>
                  <c:pt idx="9">
                    <c:v>Aug</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2">
                    <c:v>2024</c:v>
                  </c:pt>
                  <c:pt idx="12">
                    <c:v>2025</c:v>
                  </c:pt>
                </c:lvl>
              </c:multiLvlStrCache>
            </c:multiLvlStrRef>
          </c:cat>
          <c:val>
            <c:numRef>
              <c:f>Data!$CK$4:$CK$30</c:f>
              <c:numCache>
                <c:formatCode>"$"#,##0.00</c:formatCode>
                <c:ptCount val="23"/>
                <c:pt idx="0">
                  <c:v>1.3201447245564895</c:v>
                </c:pt>
                <c:pt idx="2">
                  <c:v>1.6333333333333333</c:v>
                </c:pt>
                <c:pt idx="3">
                  <c:v>1.5862068965517242</c:v>
                </c:pt>
                <c:pt idx="5">
                  <c:v>1.3333333333333333</c:v>
                </c:pt>
                <c:pt idx="6">
                  <c:v>1.3888888888888888</c:v>
                </c:pt>
                <c:pt idx="7">
                  <c:v>1.2803234501347709</c:v>
                </c:pt>
                <c:pt idx="8">
                  <c:v>1.2738529618194905</c:v>
                </c:pt>
                <c:pt idx="9">
                  <c:v>1.2803234501347709</c:v>
                </c:pt>
                <c:pt idx="10">
                  <c:v>1.2803234501347709</c:v>
                </c:pt>
                <c:pt idx="11">
                  <c:v>1.2803234501347709</c:v>
                </c:pt>
                <c:pt idx="12">
                  <c:v>1.2803234501347709</c:v>
                </c:pt>
                <c:pt idx="13">
                  <c:v>1.2803234501347709</c:v>
                </c:pt>
                <c:pt idx="14">
                  <c:v>1.2803234501347709</c:v>
                </c:pt>
                <c:pt idx="15">
                  <c:v>1.5098923459078843</c:v>
                </c:pt>
                <c:pt idx="16">
                  <c:v>1.3545643541625925</c:v>
                </c:pt>
                <c:pt idx="17">
                  <c:v>1.3095238095238095</c:v>
                </c:pt>
                <c:pt idx="18">
                  <c:v>1.4108556115733479</c:v>
                </c:pt>
                <c:pt idx="19">
                  <c:v>1.2757711889787362</c:v>
                </c:pt>
                <c:pt idx="20">
                  <c:v>1.4238685517961871</c:v>
                </c:pt>
                <c:pt idx="21">
                  <c:v>1.4550065443487794</c:v>
                </c:pt>
                <c:pt idx="22">
                  <c:v>1.3387241689128482</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Data!$CJ$4:$CJ$30</c:f>
              <c:multiLvlStrCache>
                <c:ptCount val="23"/>
                <c:lvl>
                  <c:pt idx="0">
                    <c:v>Oct</c:v>
                  </c:pt>
                  <c:pt idx="1">
                    <c:v>Nov</c:v>
                  </c:pt>
                  <c:pt idx="2">
                    <c:v>Jan</c:v>
                  </c:pt>
                  <c:pt idx="3">
                    <c:v>Feb</c:v>
                  </c:pt>
                  <c:pt idx="4">
                    <c:v>Mar</c:v>
                  </c:pt>
                  <c:pt idx="5">
                    <c:v>Apr</c:v>
                  </c:pt>
                  <c:pt idx="6">
                    <c:v>May</c:v>
                  </c:pt>
                  <c:pt idx="7">
                    <c:v>Jun</c:v>
                  </c:pt>
                  <c:pt idx="8">
                    <c:v>Jul</c:v>
                  </c:pt>
                  <c:pt idx="9">
                    <c:v>Aug</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2023</c:v>
                  </c:pt>
                  <c:pt idx="2">
                    <c:v>2024</c:v>
                  </c:pt>
                  <c:pt idx="12">
                    <c:v>2025</c:v>
                  </c:pt>
                </c:lvl>
              </c:multiLvlStrCache>
            </c:multiLvlStrRef>
          </c:cat>
          <c:val>
            <c:numRef>
              <c:f>Data!$CL$4:$CL$30</c:f>
              <c:numCache>
                <c:formatCode>"$"#,##0.00</c:formatCode>
                <c:ptCount val="23"/>
                <c:pt idx="0">
                  <c:v>1.3201447245564895</c:v>
                </c:pt>
                <c:pt idx="2">
                  <c:v>1.6333333333333333</c:v>
                </c:pt>
                <c:pt idx="3">
                  <c:v>1.5862068965517242</c:v>
                </c:pt>
                <c:pt idx="5">
                  <c:v>1.3333333333333333</c:v>
                </c:pt>
                <c:pt idx="6">
                  <c:v>1.3888888888888888</c:v>
                </c:pt>
                <c:pt idx="7">
                  <c:v>1.2803234501347709</c:v>
                </c:pt>
                <c:pt idx="8">
                  <c:v>1.2738529618194905</c:v>
                </c:pt>
                <c:pt idx="9">
                  <c:v>1.2803234501347709</c:v>
                </c:pt>
                <c:pt idx="10">
                  <c:v>1.2803234501347709</c:v>
                </c:pt>
                <c:pt idx="11">
                  <c:v>1.2803234501347709</c:v>
                </c:pt>
                <c:pt idx="12">
                  <c:v>1.2803234501347709</c:v>
                </c:pt>
                <c:pt idx="13">
                  <c:v>1.2803234501347709</c:v>
                </c:pt>
                <c:pt idx="14">
                  <c:v>1.2803234501347709</c:v>
                </c:pt>
                <c:pt idx="15">
                  <c:v>1.5098923459078843</c:v>
                </c:pt>
                <c:pt idx="16">
                  <c:v>1.3545643541625925</c:v>
                </c:pt>
                <c:pt idx="17">
                  <c:v>1.3095238095238095</c:v>
                </c:pt>
                <c:pt idx="18">
                  <c:v>1.4108556115733479</c:v>
                </c:pt>
                <c:pt idx="19">
                  <c:v>1.2757711889787362</c:v>
                </c:pt>
                <c:pt idx="20">
                  <c:v>1.4238685517961871</c:v>
                </c:pt>
                <c:pt idx="21">
                  <c:v>1.4550065443487794</c:v>
                </c:pt>
                <c:pt idx="22">
                  <c:v>1.3387241689128482</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0</xdr:col>
      <xdr:colOff>105104</xdr:colOff>
      <xdr:row>0</xdr:row>
      <xdr:rowOff>100726</xdr:rowOff>
    </xdr:from>
    <xdr:to>
      <xdr:col>4</xdr:col>
      <xdr:colOff>87721</xdr:colOff>
      <xdr:row>5</xdr:row>
      <xdr:rowOff>166416</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5104" y="100726"/>
          <a:ext cx="2766848" cy="1116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0</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98</xdr:row>
      <xdr:rowOff>0</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10</xdr:col>
      <xdr:colOff>1314824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63339</xdr:colOff>
      <xdr:row>28</xdr:row>
      <xdr:rowOff>113442</xdr:rowOff>
    </xdr:from>
    <xdr:to>
      <xdr:col>1</xdr:col>
      <xdr:colOff>1571500</xdr:colOff>
      <xdr:row>41</xdr:row>
      <xdr:rowOff>38926</xdr:rowOff>
    </xdr:to>
    <mc:AlternateContent xmlns:mc="http://schemas.openxmlformats.org/markup-compatibility/2006" xmlns:a14="http://schemas.microsoft.com/office/drawing/2010/main">
      <mc:Choice Requires="a14">
        <xdr:graphicFrame macro="">
          <xdr:nvGraphicFramePr>
            <xdr:cNvPr id="4" name="Beds 1">
              <a:extLst>
                <a:ext uri="{FF2B5EF4-FFF2-40B4-BE49-F238E27FC236}">
                  <a16:creationId xmlns:a16="http://schemas.microsoft.com/office/drawing/2014/main" id="{64241D23-2122-45EE-7506-4EA8B59C9D87}"/>
                </a:ext>
              </a:extLst>
            </xdr:cNvPr>
            <xdr:cNvGraphicFramePr/>
          </xdr:nvGraphicFramePr>
          <xdr:xfrm>
            <a:off x="0" y="0"/>
            <a:ext cx="0" cy="0"/>
          </xdr:xfrm>
          <a:graphic>
            <a:graphicData uri="http://schemas.microsoft.com/office/drawing/2010/slicer">
              <sle:slicer xmlns:sle="http://schemas.microsoft.com/office/drawing/2010/slicer" name="Beds 1"/>
            </a:graphicData>
          </a:graphic>
        </xdr:graphicFrame>
      </mc:Choice>
      <mc:Fallback xmlns="">
        <xdr:sp macro="" textlink="">
          <xdr:nvSpPr>
            <xdr:cNvPr id="0" name=""/>
            <xdr:cNvSpPr>
              <a:spLocks noTextEdit="1"/>
            </xdr:cNvSpPr>
          </xdr:nvSpPr>
          <xdr:spPr>
            <a:xfrm>
              <a:off x="177639" y="4729892"/>
              <a:ext cx="1508161" cy="2071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109788</xdr:colOff>
      <xdr:row>6</xdr:row>
      <xdr:rowOff>74190</xdr:rowOff>
    </xdr:from>
    <xdr:to>
      <xdr:col>2</xdr:col>
      <xdr:colOff>1571005</xdr:colOff>
      <xdr:row>27</xdr:row>
      <xdr:rowOff>163019</xdr:rowOff>
    </xdr:to>
    <mc:AlternateContent xmlns:mc="http://schemas.openxmlformats.org/markup-compatibility/2006" xmlns:a14="http://schemas.microsoft.com/office/drawing/2010/main">
      <mc:Choice Requires="a14">
        <xdr:graphicFrame macro="">
          <xdr:nvGraphicFramePr>
            <xdr:cNvPr id="5" name="Property Name">
              <a:extLst>
                <a:ext uri="{FF2B5EF4-FFF2-40B4-BE49-F238E27FC236}">
                  <a16:creationId xmlns:a16="http://schemas.microsoft.com/office/drawing/2014/main" id="{D3468F87-F8A0-69EE-E198-F105F1398327}"/>
                </a:ext>
              </a:extLst>
            </xdr:cNvPr>
            <xdr:cNvGraphicFramePr/>
          </xdr:nvGraphicFramePr>
          <xdr:xfrm>
            <a:off x="0" y="0"/>
            <a:ext cx="0" cy="0"/>
          </xdr:xfrm>
          <a:graphic>
            <a:graphicData uri="http://schemas.microsoft.com/office/drawing/2010/slicer">
              <sle:slicer xmlns:sle="http://schemas.microsoft.com/office/drawing/2010/slicer" name="Property Name"/>
            </a:graphicData>
          </a:graphic>
        </xdr:graphicFrame>
      </mc:Choice>
      <mc:Fallback xmlns="">
        <xdr:sp macro="" textlink="">
          <xdr:nvSpPr>
            <xdr:cNvPr id="0" name=""/>
            <xdr:cNvSpPr>
              <a:spLocks noTextEdit="1"/>
            </xdr:cNvSpPr>
          </xdr:nvSpPr>
          <xdr:spPr>
            <a:xfrm>
              <a:off x="221847" y="1060308"/>
              <a:ext cx="3097276" cy="3526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66510</xdr:colOff>
      <xdr:row>28</xdr:row>
      <xdr:rowOff>118329</xdr:rowOff>
    </xdr:from>
    <xdr:to>
      <xdr:col>2</xdr:col>
      <xdr:colOff>1564523</xdr:colOff>
      <xdr:row>41</xdr:row>
      <xdr:rowOff>44186</xdr:rowOff>
    </xdr:to>
    <mc:AlternateContent xmlns:mc="http://schemas.openxmlformats.org/markup-compatibility/2006" xmlns:a14="http://schemas.microsoft.com/office/drawing/2010/main">
      <mc:Choice Requires="a14">
        <xdr:graphicFrame macro="">
          <xdr:nvGraphicFramePr>
            <xdr:cNvPr id="6" name="Baths">
              <a:extLst>
                <a:ext uri="{FF2B5EF4-FFF2-40B4-BE49-F238E27FC236}">
                  <a16:creationId xmlns:a16="http://schemas.microsoft.com/office/drawing/2014/main" id="{9492E304-7DEA-4FE4-593A-8A6D0B55A4D1}"/>
                </a:ext>
              </a:extLst>
            </xdr:cNvPr>
            <xdr:cNvGraphicFramePr/>
          </xdr:nvGraphicFramePr>
          <xdr:xfrm>
            <a:off x="0" y="0"/>
            <a:ext cx="0" cy="0"/>
          </xdr:xfrm>
          <a:graphic>
            <a:graphicData uri="http://schemas.microsoft.com/office/drawing/2010/slicer">
              <sle:slicer xmlns:sle="http://schemas.microsoft.com/office/drawing/2010/slicer" name="Baths"/>
            </a:graphicData>
          </a:graphic>
        </xdr:graphicFrame>
      </mc:Choice>
      <mc:Fallback xmlns="">
        <xdr:sp macro="" textlink="">
          <xdr:nvSpPr>
            <xdr:cNvPr id="0" name=""/>
            <xdr:cNvSpPr>
              <a:spLocks noTextEdit="1"/>
            </xdr:cNvSpPr>
          </xdr:nvSpPr>
          <xdr:spPr>
            <a:xfrm>
              <a:off x="1819110" y="4734779"/>
              <a:ext cx="1498013" cy="2072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rah Brown McClain" refreshedDate="45978.648218865739" missingItemsLimit="0" createdVersion="8" refreshedVersion="8" minRefreshableVersion="3" recordCount="112" xr:uid="{F856C848-DDDE-4642-80EC-5A7D805E0C7B}">
  <cacheSource type="worksheet">
    <worksheetSource name="unit_details"/>
  </cacheSource>
  <cacheFields count="28">
    <cacheField name="Property Name" numFmtId="0">
      <sharedItems containsBlank="1" count="5">
        <m/>
        <s v="816 Dodge St, Delta CO"/>
        <s v="625 A Street - 4 (29-4)"/>
        <s v="(B) 535 Hastings Street - 4 (29-27)"/>
        <s v="Grand Mesa Flats"/>
      </sharedItems>
    </cacheField>
    <cacheField name="Address" numFmtId="0">
      <sharedItems/>
    </cacheField>
    <cacheField name="Floorplan Name" numFmtId="0">
      <sharedItems containsBlank="1" count="21">
        <m/>
        <s v="240 Meeker Street - 19 (2..."/>
        <s v="240 Meeker Street - 3 (27-3)"/>
        <s v="240 Meeker Street - 22 (2..."/>
        <s v="240 Meeker Street - 15 (2..."/>
        <s v="240 Meeker Street - 4 (27..."/>
        <s v="240 Meeker Street - 24 (2..."/>
        <s v="260 Meeker Street - 11 (2..."/>
        <s v="260 Meeker Street - 9 (28..."/>
        <s v="260 Meeker Street - 12 (2..."/>
        <s v="260 Meeker Street - 7 (28..."/>
        <s v="$1,500 - 2 Bedroom 1.5 Bathroom House In Delta, CO"/>
        <s v="1381 East 3rd Street - 3 (28..."/>
        <s v="1381 East 3rd Street - 6 (28..."/>
        <s v="625 A Street - 4 (29-4)"/>
        <s v="625 A Street - 3 (29-3)"/>
        <s v="476 East 13th Street - 1 (27-25)"/>
        <s v="476 East 13th Street - 1 (27..."/>
        <s v="476 East 13th Street - 6 (27..."/>
        <s v="(B) 535 Hastings Street - 4 (29-27)"/>
        <s v="2 Bed 1.5 Batch"/>
      </sharedItems>
    </cacheField>
    <cacheField name="Unit #" numFmtId="0">
      <sharedItems containsBlank="1"/>
    </cacheField>
    <cacheField name="Floor #" numFmtId="0">
      <sharedItems containsNonDate="0" containsString="0" containsBlank="1"/>
    </cacheField>
    <cacheField name="Beds" numFmtId="0">
      <sharedItems containsSemiMixedTypes="0" containsString="0" containsNumber="1" containsInteger="1" minValue="1" maxValue="2" count="2">
        <n v="2"/>
        <n v="1"/>
      </sharedItems>
    </cacheField>
    <cacheField name="Baths" numFmtId="0">
      <sharedItems containsSemiMixedTypes="0" containsString="0" containsNumber="1" containsInteger="1" minValue="1" maxValue="2" count="2">
        <n v="1"/>
        <n v="2"/>
      </sharedItems>
    </cacheField>
    <cacheField name="Partial Baths" numFmtId="0">
      <sharedItems containsString="0" containsBlank="1" containsNumber="1" containsInteger="1" minValue="1" maxValue="1" count="2">
        <m/>
        <n v="1"/>
      </sharedItems>
    </cacheField>
    <cacheField name="Sqft" numFmtId="0">
      <sharedItems containsString="0" containsBlank="1" containsNumber="1" containsInteger="1" minValue="500" maxValue="1500" count="21">
        <n v="952"/>
        <n v="750"/>
        <n v="1100"/>
        <n v="650"/>
        <m/>
        <n v="951"/>
        <n v="1270"/>
        <n v="900"/>
        <n v="864"/>
        <n v="1250"/>
        <n v="1200"/>
        <n v="572"/>
        <n v="792"/>
        <n v="835"/>
        <n v="500"/>
        <n v="700"/>
        <n v="1500"/>
        <n v="584"/>
        <n v="725"/>
        <n v="936"/>
        <n v="1113"/>
      </sharedItems>
    </cacheField>
    <cacheField name="First Listed" numFmtId="14">
      <sharedItems containsSemiMixedTypes="0" containsNonDate="0" containsDate="1" containsString="0" minDate="2023-07-06T00:00:00" maxDate="2025-11-01T00:00:00"/>
    </cacheField>
    <cacheField name="Leased Date" numFmtId="14">
      <sharedItems containsNonDate="0" containsDate="1" containsString="0" containsBlank="1" minDate="2023-10-05T00:00:00" maxDate="2025-11-17T00:00:00" count="65">
        <d v="2023-10-05T00:00:00"/>
        <d v="2024-01-12T00:00:00"/>
        <d v="2025-09-19T00:00:00"/>
        <d v="2025-04-27T00:00:00"/>
        <m/>
        <d v="2025-07-29T00:00:00"/>
        <d v="2025-07-02T00:00:00"/>
        <d v="2025-04-10T00:00:00"/>
        <d v="2025-01-19T00:00:00"/>
        <d v="2025-05-08T00:00:00"/>
        <d v="2025-10-25T00:00:00"/>
        <d v="2025-07-18T00:00:00"/>
        <d v="2025-07-10T00:00:00"/>
        <d v="2024-05-08T00:00:00"/>
        <d v="2024-04-16T00:00:00"/>
        <d v="2024-05-10T00:00:00"/>
        <d v="2025-05-24T00:00:00"/>
        <d v="2025-04-06T00:00:00"/>
        <d v="2024-07-14T00:00:00"/>
        <d v="2025-09-12T00:00:00"/>
        <d v="2025-04-26T00:00:00"/>
        <d v="2025-07-31T00:00:00"/>
        <d v="2025-10-23T00:00:00"/>
        <d v="2025-09-10T00:00:00"/>
        <d v="2025-08-02T00:00:00"/>
        <d v="2025-04-25T00:00:00"/>
        <d v="2024-07-09T00:00:00"/>
        <d v="2024-03-16T00:00:00"/>
        <d v="2025-07-16T00:00:00"/>
        <d v="2025-09-17T00:00:00"/>
        <d v="2025-10-30T00:00:00"/>
        <d v="2024-02-28T00:00:00"/>
        <d v="2024-07-27T00:00:00"/>
        <d v="2023-11-30T00:00:00"/>
        <d v="2025-07-14T00:00:00"/>
        <d v="2024-06-07T00:00:00"/>
        <d v="2024-07-08T00:00:00"/>
        <d v="2024-06-28T00:00:00"/>
        <d v="2024-06-12T00:00:00"/>
        <d v="2025-10-01T00:00:00"/>
        <d v="2025-09-16T00:00:00"/>
        <d v="2025-08-24T00:00:00"/>
        <d v="2025-07-23T00:00:00"/>
        <d v="2025-07-09T00:00:00"/>
        <d v="2025-07-04T00:00:00"/>
        <d v="2025-06-13T00:00:00"/>
        <d v="2025-06-11T00:00:00"/>
        <d v="2025-06-10T00:00:00"/>
        <d v="2025-05-28T00:00:00"/>
        <d v="2025-04-12T00:00:00"/>
        <d v="2025-04-04T00:00:00"/>
        <d v="2025-03-21T00:00:00"/>
        <d v="2025-03-05T00:00:00"/>
        <d v="2025-02-07T00:00:00"/>
        <d v="2025-01-07T00:00:00"/>
        <d v="2024-12-30T00:00:00"/>
        <d v="2024-12-20T00:00:00"/>
        <d v="2024-11-27T00:00:00"/>
        <d v="2024-11-21T00:00:00"/>
        <d v="2024-11-13T00:00:00"/>
        <d v="2024-11-08T00:00:00"/>
        <d v="2024-08-21T00:00:00"/>
        <d v="2025-11-16T00:00:00"/>
        <d v="2025-06-18T00:00:00"/>
        <d v="2025-06-05T00:00:00"/>
      </sharedItems>
      <fieldGroup par="25"/>
    </cacheField>
    <cacheField name="Active Listing?" numFmtId="4">
      <sharedItems count="2">
        <b v="0"/>
        <b v="1"/>
      </sharedItems>
    </cacheField>
    <cacheField name="Days on Mkt" numFmtId="0">
      <sharedItems containsString="0" containsBlank="1" containsNumber="1" containsInteger="1" minValue="2" maxValue="807"/>
    </cacheField>
    <cacheField name="Asking Rent" numFmtId="165">
      <sharedItems containsSemiMixedTypes="0" containsString="0" containsNumber="1" containsInteger="1" minValue="900" maxValue="1850"/>
    </cacheField>
    <cacheField name="Asking PSF" numFmtId="164">
      <sharedItems containsString="0" containsBlank="1" containsNumber="1" minValue="0.8" maxValue="2.2000000000000002"/>
    </cacheField>
    <cacheField name="Effective Rent" numFmtId="165">
      <sharedItems containsSemiMixedTypes="0" containsString="0" containsNumber="1" containsInteger="1" minValue="900" maxValue="1850"/>
    </cacheField>
    <cacheField name="Effective PSF" numFmtId="164">
      <sharedItems containsString="0" containsBlank="1" containsNumber="1" minValue="0.8" maxValue="2.2000000000000002"/>
    </cacheField>
    <cacheField name="Advertised Unit Amenities" numFmtId="0">
      <sharedItems/>
    </cacheField>
    <cacheField name="Detected Unit Amenities" numFmtId="0">
      <sharedItems/>
    </cacheField>
    <cacheField name="Asking Rent PSF" numFmtId="0" formula="'Asking Rent'/Sqft" databaseField="0"/>
    <cacheField name="Effective Rent PSF" numFmtId="0" formula="'Effective Rent'/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10-05T00:00:00" endDate="2025-11-17T00:00:00"/>
        <groupItems count="14">
          <s v="&lt;10/5/23"/>
          <s v="Jan"/>
          <s v="Feb"/>
          <s v="Mar"/>
          <s v="Apr"/>
          <s v="May"/>
          <s v="Jun"/>
          <s v="Jul"/>
          <s v="Aug"/>
          <s v="Sep"/>
          <s v="Oct"/>
          <s v="Nov"/>
          <s v="Dec"/>
          <s v="&gt;11/17/25"/>
        </groupItems>
      </fieldGroup>
    </cacheField>
    <cacheField name="Quarters (Leased Date)" numFmtId="0" databaseField="0">
      <fieldGroup base="10">
        <rangePr groupBy="quarters" startDate="2023-10-05T00:00:00" endDate="2025-11-17T00:00:00"/>
        <groupItems count="6">
          <s v="&lt;10/5/23"/>
          <s v="Qtr1"/>
          <s v="Qtr2"/>
          <s v="Qtr3"/>
          <s v="Qtr4"/>
          <s v="&gt;11/17/25"/>
        </groupItems>
      </fieldGroup>
    </cacheField>
    <cacheField name="Years (Leased Date)" numFmtId="0" databaseField="0">
      <fieldGroup base="10">
        <rangePr groupBy="years" startDate="2023-10-05T00:00:00" endDate="2025-11-17T00:00:00"/>
        <groupItems count="5">
          <s v="&lt;10/5/23"/>
          <s v="2023"/>
          <s v="2024"/>
          <s v="2025"/>
          <s v="&gt;11/17/25"/>
        </groupItems>
      </fieldGroup>
    </cacheField>
    <cacheField name="'Concessions as % of Asking Rent'" numFmtId="0" formula="('Asking Rent'-'Effective Rent')/'Asking Rent'" databaseField="0"/>
    <cacheField name="Active Listings" numFmtId="0" formula="IF('Active Listing?'=TRUE,1,0)"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rah Brown McClain" refreshedDate="45978.648220138886" createdVersion="8" refreshedVersion="8" minRefreshableVersion="3" recordCount="26" xr:uid="{CFB78A3A-489C-4C8B-9F55-F28CBD998CFC}">
  <cacheSource type="worksheet">
    <worksheetSource name="Table1"/>
  </cacheSource>
  <cacheFields count="39">
    <cacheField name="Property" numFmtId="0">
      <sharedItems containsBlank="1" count="42">
        <s v="Grand Mesa Flats"/>
        <s v="Comp Average"/>
        <m/>
        <s v="816 Dodge St, Delta CO"/>
        <s v="625 A Street - 4 (29-4)"/>
        <s v="(B) 535 Hastings Street - 4 (29-27)"/>
        <s v="Alta Vista De La Montana"/>
        <s v="Click &quot;Enable Editing&quot; in Yellow Banner" u="1"/>
        <s v="Click &quot;Enable Editing&quot; to Update" u="1"/>
        <s v="Click &quot;Enable Editing&quot; in Banner" u="1"/>
        <s v="Must Click &quot;Enable Editing&quot;" u="1"/>
        <s v="Please Click &quot;Enable Editing&quot;" u="1"/>
        <s v="&quot;Enable Editing&quot; Must be Clicked" u="1"/>
        <s v="Populate Data with &quot;Enable Editing&quot;" u="1"/>
        <s v="Click &quot;Enable Editing&quot; to Import Data" u="1"/>
        <s v="Click &quot;Enable Editing&quot; Please" u="1"/>
        <s v="Click &quot;Enable Editing&quot; Button" u="1"/>
        <s v="Comps Average" u="1"/>
        <s v="Click &quot;Enable Editing&quot;" u="1"/>
        <s v="Click &quot;Enable Editing&quot; to Populate Data" u="1"/>
        <s v="OneEleven" u="1"/>
        <s v="MILA" u="1"/>
        <s v="Wolf Point West" u="1"/>
        <s v="AMLI River North" u="1"/>
        <s v="Marquee at Block 37" u="1"/>
        <s v="Optima Signature" u="1"/>
        <s v="Hubbard Place" u="1"/>
        <s v="Millie on Michigan" u="1"/>
        <s v="The Gallery on Wells" u="1"/>
        <s v="Coast at Lakeshore East" u="1"/>
        <s v="Click &quot;Enable Editing&quot; in the yellow banner to update" u="1"/>
        <s v="Click the button that says &quot;Enable Editing&quot;" u="1"/>
        <s v="Click the button that says &quot;Enable Editing&quot; in the Yellow Banner"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39187171841218188" maxValue="0.68899687175568192"/>
    </cacheField>
    <cacheField name="Dist. (mi)" numFmtId="4">
      <sharedItems containsMixedTypes="1" containsNumber="1" minValue="3.5927930287883751" maxValue="6.5296983825113024"/>
    </cacheField>
    <cacheField name="Quality" numFmtId="9">
      <sharedItems containsString="0" containsBlank="1" containsNumber="1" minValue="0.29737036019806284" maxValue="0.51493199658935951"/>
    </cacheField>
    <cacheField name="Yr Built" numFmtId="1">
      <sharedItems containsString="0" containsBlank="1" containsNumber="1" minValue="1920" maxValue="2011"/>
    </cacheField>
    <cacheField name="# Units" numFmtId="1">
      <sharedItems containsString="0" containsBlank="1" containsNumber="1" minValue="1" maxValue="40"/>
    </cacheField>
    <cacheField name="Stories" numFmtId="1">
      <sharedItems containsString="0" containsBlank="1" containsNumber="1" containsInteger="1" minValue="1" maxValue="2"/>
    </cacheField>
    <cacheField name="Avg Sqft" numFmtId="0">
      <sharedItems containsString="0" containsBlank="1" containsNumber="1" minValue="572" maxValue="1270"/>
    </cacheField>
    <cacheField name="Leased %" numFmtId="166">
      <sharedItems containsString="0" containsBlank="1" containsNumber="1" containsInteger="1" minValue="1" maxValue="1"/>
    </cacheField>
    <cacheField name="Exposure %" numFmtId="166">
      <sharedItems containsString="0" containsBlank="1" containsNumber="1" containsInteger="1" minValue="0" maxValue="0"/>
    </cacheField>
    <cacheField name="Studio" numFmtId="165">
      <sharedItems containsBlank="1"/>
    </cacheField>
    <cacheField name="Studio PSF" numFmtId="164">
      <sharedItems containsBlank="1"/>
    </cacheField>
    <cacheField name="1BR" numFmtId="165">
      <sharedItems containsString="0" containsBlank="1" containsNumber="1" minValue="1025" maxValue="1033.3333333333333"/>
    </cacheField>
    <cacheField name="1BR PSF" numFmtId="164">
      <sharedItems containsString="0" containsBlank="1" containsNumber="1" minValue="1.6923076923076923" maxValue="1.6923076923076923"/>
    </cacheField>
    <cacheField name="2BR" numFmtId="165">
      <sharedItems containsString="0" containsBlank="1" containsNumber="1" minValue="1150" maxValue="1850"/>
    </cacheField>
    <cacheField name="2BR PSF" numFmtId="164">
      <sharedItems containsString="0" containsBlank="1" containsNumber="1" minValue="1.2920035938903864" maxValue="1.7857142857142858"/>
    </cacheField>
    <cacheField name="3BR" numFmtId="165">
      <sharedItems containsBlank="1"/>
    </cacheField>
    <cacheField name="3BR PSF" numFmtId="164">
      <sharedItems containsBlank="1"/>
    </cacheField>
    <cacheField name="4BR" numFmtId="165">
      <sharedItems containsBlank="1"/>
    </cacheField>
    <cacheField name="4BR PSF" numFmtId="164">
      <sharedItems containsBlank="1"/>
    </cacheField>
    <cacheField name="5BR" numFmtId="165">
      <sharedItems containsBlank="1"/>
    </cacheField>
    <cacheField name="5BR PSF" numFmtId="164">
      <sharedItems containsBlank="1"/>
    </cacheField>
    <cacheField name="Avg" numFmtId="165">
      <sharedItems containsString="0" containsBlank="1" containsNumber="1" minValue="1066.6666666666667" maxValue="1850"/>
    </cacheField>
    <cacheField name="Avg PSF" numFmtId="164">
      <sharedItems containsString="0" containsBlank="1" containsNumber="1" minValue="1.2920035938903864" maxValue="1.7857142857142858"/>
    </cacheField>
    <cacheField name=" Studio " numFmtId="165">
      <sharedItems containsBlank="1"/>
    </cacheField>
    <cacheField name="Studio PSF " numFmtId="164">
      <sharedItems containsBlank="1"/>
    </cacheField>
    <cacheField name=" 1BR " numFmtId="165">
      <sharedItems containsString="0" containsBlank="1" containsNumber="1" minValue="1025" maxValue="1033.3333333333333"/>
    </cacheField>
    <cacheField name="1BR PSF " numFmtId="164">
      <sharedItems containsString="0" containsBlank="1" containsNumber="1" minValue="1.6923076923076923" maxValue="1.6923076923076923"/>
    </cacheField>
    <cacheField name=" 2BR " numFmtId="165">
      <sharedItems containsString="0" containsBlank="1" containsNumber="1" minValue="1150" maxValue="1850"/>
    </cacheField>
    <cacheField name="2BR PSF " numFmtId="164">
      <sharedItems containsString="0" containsBlank="1" containsNumber="1" minValue="1.2920035938903864" maxValue="1.7857142857142858"/>
    </cacheField>
    <cacheField name=" 3BR " numFmtId="165">
      <sharedItems containsBlank="1"/>
    </cacheField>
    <cacheField name="3BR PSF " numFmtId="164">
      <sharedItems containsBlank="1"/>
    </cacheField>
    <cacheField name=" 4BR " numFmtId="165">
      <sharedItems containsBlank="1"/>
    </cacheField>
    <cacheField name="4BR PSF " numFmtId="164">
      <sharedItems containsBlank="1"/>
    </cacheField>
    <cacheField name="5BR " numFmtId="165">
      <sharedItems containsBlank="1"/>
    </cacheField>
    <cacheField name="5BR PSF " numFmtId="164">
      <sharedItems containsBlank="1"/>
    </cacheField>
    <cacheField name=" Avg " numFmtId="165">
      <sharedItems containsString="0" containsBlank="1" containsNumber="1" minValue="1066.6666666666667" maxValue="1850"/>
    </cacheField>
    <cacheField name=" Avg PSF " numFmtId="164">
      <sharedItems containsString="0" containsBlank="1" containsNumber="1" minValue="1.2920035938903864" maxValue="1.78571428571428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211 Rich Street"/>
    <x v="0"/>
    <m/>
    <m/>
    <x v="0"/>
    <x v="0"/>
    <x v="0"/>
    <x v="0"/>
    <d v="2023-09-20T00:00:00"/>
    <x v="0"/>
    <x v="0"/>
    <n v="16"/>
    <n v="1350"/>
    <n v="1.4180672268907564"/>
    <n v="1350"/>
    <n v="1.4180672268907564"/>
    <s v="[]"/>
    <s v="[]"/>
  </r>
  <r>
    <x v="0"/>
    <s v="920 East 7th Street"/>
    <x v="0"/>
    <s v="B"/>
    <m/>
    <x v="0"/>
    <x v="0"/>
    <x v="0"/>
    <x v="1"/>
    <d v="2024-01-05T00:00:00"/>
    <x v="1"/>
    <x v="0"/>
    <n v="8"/>
    <n v="1225"/>
    <n v="1.6333333333333333"/>
    <n v="1225"/>
    <n v="1.6333333333333333"/>
    <s v="[]"/>
    <s v="[]"/>
  </r>
  <r>
    <x v="0"/>
    <s v="920 East 7th Street"/>
    <x v="0"/>
    <m/>
    <m/>
    <x v="0"/>
    <x v="0"/>
    <x v="0"/>
    <x v="2"/>
    <d v="2023-07-06T00:00:00"/>
    <x v="2"/>
    <x v="0"/>
    <n v="807"/>
    <n v="1225"/>
    <n v="1.1136363636363635"/>
    <n v="1225"/>
    <n v="1.1136363636363635"/>
    <s v="[]"/>
    <s v="[]"/>
  </r>
  <r>
    <x v="0"/>
    <s v="217 Rich Street"/>
    <x v="0"/>
    <m/>
    <m/>
    <x v="0"/>
    <x v="0"/>
    <x v="1"/>
    <x v="0"/>
    <d v="2025-02-22T00:00:00"/>
    <x v="3"/>
    <x v="0"/>
    <n v="65"/>
    <n v="1500"/>
    <n v="1.5756302521008403"/>
    <n v="1500"/>
    <n v="1.5756302521008403"/>
    <s v="[]"/>
    <s v="[]"/>
  </r>
  <r>
    <x v="0"/>
    <s v="240 Meeker Street"/>
    <x v="1"/>
    <m/>
    <m/>
    <x v="1"/>
    <x v="0"/>
    <x v="0"/>
    <x v="3"/>
    <d v="2025-07-29T00:00:00"/>
    <x v="4"/>
    <x v="1"/>
    <m/>
    <n v="1100"/>
    <n v="1.6923076923076923"/>
    <n v="1100"/>
    <n v="1.6923076923076923"/>
    <s v="[]"/>
    <s v="[]"/>
  </r>
  <r>
    <x v="0"/>
    <s v="240 Meeker Street"/>
    <x v="1"/>
    <s v="240 Meeker Street - 19 (2..."/>
    <m/>
    <x v="1"/>
    <x v="0"/>
    <x v="0"/>
    <x v="3"/>
    <d v="2024-12-21T00:00:00"/>
    <x v="5"/>
    <x v="0"/>
    <n v="221"/>
    <n v="1100"/>
    <n v="1.6923076923076923"/>
    <n v="1100"/>
    <n v="1.6923076923076923"/>
    <s v="[]"/>
    <s v="[]"/>
  </r>
  <r>
    <x v="0"/>
    <s v="240 Meeker Street"/>
    <x v="2"/>
    <m/>
    <m/>
    <x v="1"/>
    <x v="0"/>
    <x v="0"/>
    <x v="4"/>
    <d v="2024-12-21T00:00:00"/>
    <x v="4"/>
    <x v="1"/>
    <m/>
    <n v="900"/>
    <m/>
    <n v="900"/>
    <m/>
    <s v="[]"/>
    <s v="[]"/>
  </r>
  <r>
    <x v="0"/>
    <s v="240 Meeker Street"/>
    <x v="3"/>
    <m/>
    <m/>
    <x v="1"/>
    <x v="0"/>
    <x v="0"/>
    <x v="4"/>
    <d v="2025-09-20T00:00:00"/>
    <x v="4"/>
    <x v="1"/>
    <m/>
    <n v="1000"/>
    <m/>
    <n v="1000"/>
    <m/>
    <s v="[]"/>
    <s v="[]"/>
  </r>
  <r>
    <x v="0"/>
    <s v="240 Meeker Street"/>
    <x v="4"/>
    <m/>
    <m/>
    <x v="1"/>
    <x v="0"/>
    <x v="0"/>
    <x v="4"/>
    <d v="2025-07-29T00:00:00"/>
    <x v="4"/>
    <x v="1"/>
    <m/>
    <n v="1100"/>
    <m/>
    <n v="1100"/>
    <m/>
    <s v="[]"/>
    <s v="[]"/>
  </r>
  <r>
    <x v="0"/>
    <s v="240 Meeker Street"/>
    <x v="4"/>
    <s v="240 Meeker Street - 15 (2..."/>
    <m/>
    <x v="1"/>
    <x v="0"/>
    <x v="0"/>
    <x v="4"/>
    <d v="2025-07-08T00:00:00"/>
    <x v="5"/>
    <x v="0"/>
    <n v="22"/>
    <n v="1100"/>
    <m/>
    <n v="1100"/>
    <m/>
    <s v="[]"/>
    <s v="[]"/>
  </r>
  <r>
    <x v="0"/>
    <s v="240 Meeker Street"/>
    <x v="3"/>
    <s v="240 Meeker Street - 22 (2..."/>
    <m/>
    <x v="1"/>
    <x v="0"/>
    <x v="0"/>
    <x v="4"/>
    <d v="2025-08-29T00:00:00"/>
    <x v="2"/>
    <x v="0"/>
    <n v="22"/>
    <n v="1100"/>
    <m/>
    <n v="1100"/>
    <m/>
    <s v="[]"/>
    <s v="[]"/>
  </r>
  <r>
    <x v="0"/>
    <s v="240 Meeker Street"/>
    <x v="5"/>
    <m/>
    <m/>
    <x v="0"/>
    <x v="0"/>
    <x v="0"/>
    <x v="4"/>
    <d v="2025-09-20T00:00:00"/>
    <x v="4"/>
    <x v="1"/>
    <m/>
    <n v="1100"/>
    <m/>
    <n v="1100"/>
    <m/>
    <s v="[]"/>
    <s v="[]"/>
  </r>
  <r>
    <x v="0"/>
    <s v="240 Meeker Street"/>
    <x v="6"/>
    <s v="240 Meeker Street - 24 (2..."/>
    <m/>
    <x v="0"/>
    <x v="0"/>
    <x v="0"/>
    <x v="4"/>
    <d v="2025-04-11T00:00:00"/>
    <x v="6"/>
    <x v="0"/>
    <n v="83"/>
    <n v="1200"/>
    <m/>
    <n v="1200"/>
    <m/>
    <s v="[]"/>
    <s v="[]"/>
  </r>
  <r>
    <x v="0"/>
    <s v="240 Meeker Street"/>
    <x v="6"/>
    <m/>
    <m/>
    <x v="0"/>
    <x v="0"/>
    <x v="0"/>
    <x v="4"/>
    <d v="2025-07-02T00:00:00"/>
    <x v="4"/>
    <x v="1"/>
    <m/>
    <n v="1200"/>
    <m/>
    <n v="1200"/>
    <m/>
    <s v="[]"/>
    <s v="[]"/>
  </r>
  <r>
    <x v="0"/>
    <s v="240 Meeker Street"/>
    <x v="5"/>
    <s v="240 Meeker Street - 4 (27..."/>
    <m/>
    <x v="0"/>
    <x v="0"/>
    <x v="0"/>
    <x v="4"/>
    <d v="2025-08-05T00:00:00"/>
    <x v="2"/>
    <x v="0"/>
    <n v="46"/>
    <n v="1200"/>
    <m/>
    <n v="1200"/>
    <m/>
    <s v="[]"/>
    <s v="[]"/>
  </r>
  <r>
    <x v="0"/>
    <s v="260 Meeker Street"/>
    <x v="7"/>
    <s v="260 Meeker Street - 11 (2..."/>
    <m/>
    <x v="1"/>
    <x v="0"/>
    <x v="0"/>
    <x v="4"/>
    <d v="2025-02-06T00:00:00"/>
    <x v="7"/>
    <x v="0"/>
    <n v="64"/>
    <n v="1000"/>
    <m/>
    <n v="1000"/>
    <m/>
    <s v="[]"/>
    <s v="[]"/>
  </r>
  <r>
    <x v="0"/>
    <s v="260 Meeker Street"/>
    <x v="8"/>
    <m/>
    <m/>
    <x v="1"/>
    <x v="0"/>
    <x v="0"/>
    <x v="4"/>
    <d v="2025-03-22T00:00:00"/>
    <x v="4"/>
    <x v="1"/>
    <m/>
    <n v="1000"/>
    <m/>
    <n v="1000"/>
    <m/>
    <s v="[]"/>
    <s v="[]"/>
  </r>
  <r>
    <x v="0"/>
    <s v="260 Meeker Street"/>
    <x v="7"/>
    <m/>
    <m/>
    <x v="1"/>
    <x v="0"/>
    <x v="0"/>
    <x v="4"/>
    <d v="2025-04-16T00:00:00"/>
    <x v="4"/>
    <x v="1"/>
    <m/>
    <n v="1000"/>
    <m/>
    <n v="1000"/>
    <m/>
    <s v="[]"/>
    <s v="[]"/>
  </r>
  <r>
    <x v="0"/>
    <s v="260 Meeker Street"/>
    <x v="8"/>
    <s v="260 Meeker Street - 9 (28..."/>
    <m/>
    <x v="1"/>
    <x v="0"/>
    <x v="0"/>
    <x v="4"/>
    <d v="2025-08-01T00:00:00"/>
    <x v="2"/>
    <x v="0"/>
    <n v="50"/>
    <n v="1100"/>
    <m/>
    <n v="1100"/>
    <m/>
    <s v="[]"/>
    <s v="[]"/>
  </r>
  <r>
    <x v="0"/>
    <s v="260 Meeker Street"/>
    <x v="9"/>
    <m/>
    <m/>
    <x v="1"/>
    <x v="0"/>
    <x v="0"/>
    <x v="4"/>
    <d v="2025-09-20T00:00:00"/>
    <x v="4"/>
    <x v="1"/>
    <m/>
    <n v="1100"/>
    <m/>
    <n v="1100"/>
    <m/>
    <s v="[]"/>
    <s v="[]"/>
  </r>
  <r>
    <x v="0"/>
    <s v="260 Meeker Street"/>
    <x v="9"/>
    <s v="260 Meeker Street - 12 (2..."/>
    <m/>
    <x v="1"/>
    <x v="0"/>
    <x v="0"/>
    <x v="4"/>
    <d v="2025-04-16T00:00:00"/>
    <x v="2"/>
    <x v="0"/>
    <n v="157"/>
    <n v="1100"/>
    <m/>
    <n v="1100"/>
    <m/>
    <s v="[]"/>
    <s v="[]"/>
  </r>
  <r>
    <x v="0"/>
    <s v="260 Meeker Street"/>
    <x v="10"/>
    <s v="260 Meeker Street - 7 (28..."/>
    <m/>
    <x v="0"/>
    <x v="0"/>
    <x v="0"/>
    <x v="4"/>
    <d v="2025-03-06T00:00:00"/>
    <x v="7"/>
    <x v="0"/>
    <n v="36"/>
    <n v="1200"/>
    <m/>
    <n v="1200"/>
    <m/>
    <s v="[]"/>
    <s v="[]"/>
  </r>
  <r>
    <x v="0"/>
    <s v="260 Meeker Street"/>
    <x v="10"/>
    <m/>
    <m/>
    <x v="0"/>
    <x v="0"/>
    <x v="0"/>
    <x v="4"/>
    <d v="2025-04-16T00:00:00"/>
    <x v="4"/>
    <x v="1"/>
    <m/>
    <n v="1200"/>
    <m/>
    <n v="1200"/>
    <m/>
    <s v="[]"/>
    <s v="[]"/>
  </r>
  <r>
    <x v="1"/>
    <s v="816 Dodge Street"/>
    <x v="0"/>
    <m/>
    <m/>
    <x v="0"/>
    <x v="0"/>
    <x v="0"/>
    <x v="4"/>
    <d v="2024-11-19T00:00:00"/>
    <x v="8"/>
    <x v="0"/>
    <n v="62"/>
    <n v="1300"/>
    <m/>
    <n v="1300"/>
    <m/>
    <s v="[]"/>
    <s v="[]"/>
  </r>
  <r>
    <x v="0"/>
    <s v="215 Rich Street"/>
    <x v="11"/>
    <s v="NA"/>
    <m/>
    <x v="0"/>
    <x v="0"/>
    <x v="1"/>
    <x v="5"/>
    <d v="2025-04-24T00:00:00"/>
    <x v="9"/>
    <x v="0"/>
    <n v="15"/>
    <n v="1500"/>
    <n v="1.5772870662460567"/>
    <n v="1500"/>
    <n v="1.5772870662460567"/>
    <s v="[]"/>
    <s v="[]"/>
  </r>
  <r>
    <x v="0"/>
    <s v="1311 Bluff Street"/>
    <x v="0"/>
    <s v="B"/>
    <m/>
    <x v="0"/>
    <x v="1"/>
    <x v="1"/>
    <x v="6"/>
    <d v="2025-09-18T00:00:00"/>
    <x v="10"/>
    <x v="0"/>
    <n v="38"/>
    <n v="1850"/>
    <n v="1.4566929133858268"/>
    <n v="1850"/>
    <n v="1.4566929133858268"/>
    <s v="[]"/>
    <s v="[]"/>
  </r>
  <r>
    <x v="0"/>
    <s v="1381 East 3rd Street"/>
    <x v="0"/>
    <s v="2"/>
    <m/>
    <x v="0"/>
    <x v="0"/>
    <x v="0"/>
    <x v="7"/>
    <d v="2023-08-18T00:00:00"/>
    <x v="0"/>
    <x v="0"/>
    <n v="49"/>
    <n v="1100"/>
    <n v="1.2222222222222223"/>
    <n v="1100"/>
    <n v="1.2222222222222223"/>
    <s v="[]"/>
    <s v="[]"/>
  </r>
  <r>
    <x v="0"/>
    <s v="1381 East 3rd Street"/>
    <x v="0"/>
    <s v="6"/>
    <m/>
    <x v="0"/>
    <x v="0"/>
    <x v="0"/>
    <x v="7"/>
    <d v="2025-02-04T00:00:00"/>
    <x v="11"/>
    <x v="0"/>
    <n v="165"/>
    <n v="1200"/>
    <n v="1.3333333333333333"/>
    <n v="1200"/>
    <n v="1.3333333333333333"/>
    <s v="[]"/>
    <s v="[]"/>
  </r>
  <r>
    <x v="0"/>
    <s v="1381 East 3rd Street"/>
    <x v="12"/>
    <s v="15187958"/>
    <m/>
    <x v="0"/>
    <x v="0"/>
    <x v="0"/>
    <x v="7"/>
    <d v="2025-06-14T00:00:00"/>
    <x v="12"/>
    <x v="0"/>
    <n v="27"/>
    <n v="1200"/>
    <n v="1.3333333333333333"/>
    <n v="1200"/>
    <n v="1.3333333333333333"/>
    <s v="[]"/>
    <s v="[]"/>
  </r>
  <r>
    <x v="0"/>
    <s v="1381 East 3rd Street"/>
    <x v="0"/>
    <s v="3"/>
    <m/>
    <x v="0"/>
    <x v="0"/>
    <x v="0"/>
    <x v="7"/>
    <d v="2025-06-14T00:00:00"/>
    <x v="12"/>
    <x v="0"/>
    <n v="27"/>
    <n v="1200"/>
    <n v="1.3333333333333333"/>
    <n v="1200"/>
    <n v="1.3333333333333333"/>
    <s v="[]"/>
    <s v="[]"/>
  </r>
  <r>
    <x v="0"/>
    <s v="1381 East 3rd Street"/>
    <x v="0"/>
    <s v="15032355"/>
    <m/>
    <x v="0"/>
    <x v="0"/>
    <x v="0"/>
    <x v="7"/>
    <d v="2024-04-11T00:00:00"/>
    <x v="13"/>
    <x v="0"/>
    <n v="28"/>
    <n v="1200"/>
    <n v="1.3333333333333333"/>
    <n v="1200"/>
    <n v="1.3333333333333333"/>
    <s v="[]"/>
    <s v="[]"/>
  </r>
  <r>
    <x v="0"/>
    <s v="1381 East 3rd Street"/>
    <x v="0"/>
    <s v="1"/>
    <m/>
    <x v="0"/>
    <x v="0"/>
    <x v="0"/>
    <x v="7"/>
    <d v="2024-04-11T00:00:00"/>
    <x v="14"/>
    <x v="0"/>
    <n v="6"/>
    <n v="1200"/>
    <n v="1.3333333333333333"/>
    <n v="1200"/>
    <n v="1.3333333333333333"/>
    <s v="[]"/>
    <s v="[]"/>
  </r>
  <r>
    <x v="0"/>
    <s v="1381 East 3rd Street"/>
    <x v="13"/>
    <s v="15427608"/>
    <m/>
    <x v="0"/>
    <x v="0"/>
    <x v="0"/>
    <x v="7"/>
    <d v="2025-07-16T00:00:00"/>
    <x v="11"/>
    <x v="0"/>
    <n v="3"/>
    <n v="1200"/>
    <n v="1.3333333333333333"/>
    <n v="1200"/>
    <n v="1.3333333333333333"/>
    <s v="[]"/>
    <s v="[]"/>
  </r>
  <r>
    <x v="0"/>
    <s v="1381 East 3rd Street"/>
    <x v="0"/>
    <s v="14920815"/>
    <m/>
    <x v="0"/>
    <x v="0"/>
    <x v="0"/>
    <x v="7"/>
    <d v="2024-04-11T00:00:00"/>
    <x v="15"/>
    <x v="0"/>
    <n v="30"/>
    <n v="1300"/>
    <n v="1.4444444444444444"/>
    <n v="1300"/>
    <n v="1.4444444444444444"/>
    <s v="[]"/>
    <s v="[]"/>
  </r>
  <r>
    <x v="0"/>
    <s v="316 East 10th Street"/>
    <x v="0"/>
    <s v="2"/>
    <m/>
    <x v="0"/>
    <x v="0"/>
    <x v="1"/>
    <x v="8"/>
    <d v="2025-10-24T00:00:00"/>
    <x v="4"/>
    <x v="1"/>
    <m/>
    <n v="1300"/>
    <n v="1.5046296296296295"/>
    <n v="1300"/>
    <n v="1.5046296296296295"/>
    <s v="[]"/>
    <s v="[]"/>
  </r>
  <r>
    <x v="0"/>
    <s v="316 East 10th Street"/>
    <x v="0"/>
    <s v="4"/>
    <m/>
    <x v="0"/>
    <x v="0"/>
    <x v="1"/>
    <x v="8"/>
    <d v="2025-09-05T00:00:00"/>
    <x v="4"/>
    <x v="1"/>
    <m/>
    <n v="1350"/>
    <n v="1.5625"/>
    <n v="1350"/>
    <n v="1.5625"/>
    <s v="[]"/>
    <s v="[]"/>
  </r>
  <r>
    <x v="0"/>
    <s v="240 West 4th Street"/>
    <x v="0"/>
    <s v="7"/>
    <m/>
    <x v="0"/>
    <x v="0"/>
    <x v="0"/>
    <x v="4"/>
    <d v="2025-02-28T00:00:00"/>
    <x v="16"/>
    <x v="0"/>
    <n v="86"/>
    <n v="1300"/>
    <m/>
    <n v="1300"/>
    <m/>
    <s v="[]"/>
    <s v="[]"/>
  </r>
  <r>
    <x v="0"/>
    <s v="240 West 4th Street"/>
    <x v="0"/>
    <s v="17695970"/>
    <m/>
    <x v="0"/>
    <x v="0"/>
    <x v="0"/>
    <x v="4"/>
    <d v="2025-02-28T00:00:00"/>
    <x v="16"/>
    <x v="0"/>
    <n v="86"/>
    <n v="1300"/>
    <m/>
    <n v="1300"/>
    <m/>
    <s v="[]"/>
    <s v="[]"/>
  </r>
  <r>
    <x v="0"/>
    <s v="240 West 4th Street"/>
    <x v="0"/>
    <s v="6"/>
    <m/>
    <x v="0"/>
    <x v="0"/>
    <x v="0"/>
    <x v="4"/>
    <d v="2025-02-28T00:00:00"/>
    <x v="17"/>
    <x v="0"/>
    <n v="38"/>
    <n v="1300"/>
    <m/>
    <n v="1300"/>
    <m/>
    <s v="[]"/>
    <s v="[]"/>
  </r>
  <r>
    <x v="0"/>
    <s v="240 West 4th Street"/>
    <x v="0"/>
    <s v="17696054"/>
    <m/>
    <x v="0"/>
    <x v="0"/>
    <x v="0"/>
    <x v="4"/>
    <d v="2025-02-28T00:00:00"/>
    <x v="17"/>
    <x v="0"/>
    <n v="38"/>
    <n v="1300"/>
    <m/>
    <n v="1300"/>
    <m/>
    <s v="[]"/>
    <s v="[]"/>
  </r>
  <r>
    <x v="0"/>
    <s v="1776 Clearview Drive"/>
    <x v="0"/>
    <s v="DUPLEX"/>
    <m/>
    <x v="0"/>
    <x v="1"/>
    <x v="0"/>
    <x v="9"/>
    <d v="2024-07-03T00:00:00"/>
    <x v="18"/>
    <x v="0"/>
    <n v="12"/>
    <n v="1400"/>
    <n v="1.1200000000000001"/>
    <n v="1400"/>
    <n v="1.1200000000000001"/>
    <s v="[]"/>
    <s v="[]"/>
  </r>
  <r>
    <x v="0"/>
    <s v="1304 Howard Street"/>
    <x v="0"/>
    <s v="A"/>
    <m/>
    <x v="0"/>
    <x v="1"/>
    <x v="1"/>
    <x v="10"/>
    <d v="2025-06-20T00:00:00"/>
    <x v="19"/>
    <x v="0"/>
    <n v="85"/>
    <n v="1850"/>
    <n v="1.5416666666666667"/>
    <n v="1850"/>
    <n v="1.5416666666666667"/>
    <s v="[]"/>
    <s v="[]"/>
  </r>
  <r>
    <x v="0"/>
    <s v="210 East 5th Street"/>
    <x v="0"/>
    <m/>
    <m/>
    <x v="0"/>
    <x v="0"/>
    <x v="0"/>
    <x v="11"/>
    <d v="2025-03-01T00:00:00"/>
    <x v="20"/>
    <x v="0"/>
    <n v="57"/>
    <n v="1100"/>
    <n v="1.9230769230769231"/>
    <n v="1100"/>
    <n v="1.9230769230769231"/>
    <s v="[]"/>
    <s v="[]"/>
  </r>
  <r>
    <x v="2"/>
    <s v="625 A Street"/>
    <x v="14"/>
    <m/>
    <m/>
    <x v="0"/>
    <x v="0"/>
    <x v="0"/>
    <x v="12"/>
    <d v="2025-08-29T00:00:00"/>
    <x v="4"/>
    <x v="1"/>
    <m/>
    <n v="1100"/>
    <n v="1.3888888888888888"/>
    <n v="1100"/>
    <n v="1.3888888888888888"/>
    <s v="[]"/>
    <s v="[]"/>
  </r>
  <r>
    <x v="2"/>
    <s v="625 A Street"/>
    <x v="0"/>
    <s v="4"/>
    <m/>
    <x v="0"/>
    <x v="0"/>
    <x v="0"/>
    <x v="12"/>
    <d v="2025-08-29T00:00:00"/>
    <x v="4"/>
    <x v="1"/>
    <m/>
    <n v="1200"/>
    <n v="1.5151515151515151"/>
    <n v="1200"/>
    <n v="1.5151515151515151"/>
    <s v="[]"/>
    <s v="[]"/>
  </r>
  <r>
    <x v="2"/>
    <s v="625 A Street"/>
    <x v="15"/>
    <m/>
    <m/>
    <x v="0"/>
    <x v="0"/>
    <x v="0"/>
    <x v="12"/>
    <d v="2025-06-14T00:00:00"/>
    <x v="21"/>
    <x v="0"/>
    <n v="48"/>
    <n v="1200"/>
    <n v="1.5151515151515151"/>
    <n v="1200"/>
    <n v="1.5151515151515151"/>
    <s v="[]"/>
    <s v="[]"/>
  </r>
  <r>
    <x v="2"/>
    <s v="625 A Street"/>
    <x v="0"/>
    <s v="3"/>
    <m/>
    <x v="0"/>
    <x v="0"/>
    <x v="0"/>
    <x v="12"/>
    <d v="2025-06-14T00:00:00"/>
    <x v="21"/>
    <x v="0"/>
    <n v="48"/>
    <n v="1200"/>
    <n v="1.5151515151515151"/>
    <n v="1200"/>
    <n v="1.5151515151515151"/>
    <s v="[]"/>
    <s v="[]"/>
  </r>
  <r>
    <x v="0"/>
    <s v="476 East 13th Street"/>
    <x v="16"/>
    <m/>
    <m/>
    <x v="0"/>
    <x v="0"/>
    <x v="0"/>
    <x v="13"/>
    <d v="2025-09-13T00:00:00"/>
    <x v="4"/>
    <x v="1"/>
    <m/>
    <n v="1100"/>
    <n v="1.3173652694610778"/>
    <n v="1100"/>
    <n v="1.3173652694610778"/>
    <s v="[]"/>
    <s v="[]"/>
  </r>
  <r>
    <x v="0"/>
    <s v="476 East 13th Street"/>
    <x v="0"/>
    <m/>
    <m/>
    <x v="0"/>
    <x v="0"/>
    <x v="0"/>
    <x v="13"/>
    <d v="2025-10-23T00:00:00"/>
    <x v="4"/>
    <x v="1"/>
    <m/>
    <n v="1200"/>
    <n v="1.437125748502994"/>
    <n v="1200"/>
    <n v="1.437125748502994"/>
    <s v="[]"/>
    <s v="[]"/>
  </r>
  <r>
    <x v="0"/>
    <s v="476 East 13th Street"/>
    <x v="0"/>
    <s v="6"/>
    <m/>
    <x v="0"/>
    <x v="0"/>
    <x v="0"/>
    <x v="13"/>
    <d v="2025-08-06T00:00:00"/>
    <x v="22"/>
    <x v="0"/>
    <n v="79"/>
    <n v="1200"/>
    <n v="1.437125748502994"/>
    <n v="1200"/>
    <n v="1.437125748502994"/>
    <s v="[]"/>
    <s v="[]"/>
  </r>
  <r>
    <x v="0"/>
    <s v="476 East 13th Street"/>
    <x v="17"/>
    <m/>
    <m/>
    <x v="0"/>
    <x v="0"/>
    <x v="0"/>
    <x v="13"/>
    <d v="2025-09-10T00:00:00"/>
    <x v="22"/>
    <x v="0"/>
    <n v="44"/>
    <n v="1200"/>
    <n v="1.437125748502994"/>
    <n v="1200"/>
    <n v="1.437125748502994"/>
    <s v="[]"/>
    <s v="[]"/>
  </r>
  <r>
    <x v="0"/>
    <s v="476 East 13th Street"/>
    <x v="18"/>
    <m/>
    <m/>
    <x v="0"/>
    <x v="0"/>
    <x v="0"/>
    <x v="13"/>
    <d v="2025-08-01T00:00:00"/>
    <x v="22"/>
    <x v="0"/>
    <n v="84"/>
    <n v="1200"/>
    <n v="1.437125748502994"/>
    <n v="1200"/>
    <n v="1.437125748502994"/>
    <s v="[]"/>
    <s v="[]"/>
  </r>
  <r>
    <x v="0"/>
    <s v="476 East 13th Street"/>
    <x v="0"/>
    <s v="11425419"/>
    <m/>
    <x v="0"/>
    <x v="0"/>
    <x v="0"/>
    <x v="13"/>
    <d v="2025-09-10T00:00:00"/>
    <x v="22"/>
    <x v="0"/>
    <n v="44"/>
    <n v="1200"/>
    <n v="1.437125748502994"/>
    <n v="1200"/>
    <n v="1.437125748502994"/>
    <s v="[]"/>
    <s v="[]"/>
  </r>
  <r>
    <x v="0"/>
    <s v="476 East 13th Street"/>
    <x v="0"/>
    <s v="11328311"/>
    <m/>
    <x v="0"/>
    <x v="0"/>
    <x v="0"/>
    <x v="13"/>
    <d v="2025-09-10T00:00:00"/>
    <x v="22"/>
    <x v="0"/>
    <n v="44"/>
    <n v="1200"/>
    <n v="1.437125748502994"/>
    <n v="1200"/>
    <n v="1.437125748502994"/>
    <s v="[]"/>
    <s v="[]"/>
  </r>
  <r>
    <x v="0"/>
    <s v="476 East 13th Street"/>
    <x v="17"/>
    <s v="18076928"/>
    <m/>
    <x v="0"/>
    <x v="0"/>
    <x v="0"/>
    <x v="13"/>
    <d v="2025-08-06T00:00:00"/>
    <x v="23"/>
    <x v="0"/>
    <n v="36"/>
    <n v="1200"/>
    <n v="1.437125748502994"/>
    <n v="1200"/>
    <n v="1.437125748502994"/>
    <s v="[]"/>
    <s v="[]"/>
  </r>
  <r>
    <x v="0"/>
    <s v="476 East 13th Street"/>
    <x v="0"/>
    <s v="1"/>
    <m/>
    <x v="0"/>
    <x v="0"/>
    <x v="0"/>
    <x v="13"/>
    <d v="2025-08-06T00:00:00"/>
    <x v="4"/>
    <x v="1"/>
    <m/>
    <n v="1200"/>
    <n v="1.437125748502994"/>
    <n v="1200"/>
    <n v="1.437125748502994"/>
    <s v="[]"/>
    <s v="[]"/>
  </r>
  <r>
    <x v="0"/>
    <s v="476 East 13th Street"/>
    <x v="18"/>
    <s v="17640692"/>
    <m/>
    <x v="0"/>
    <x v="0"/>
    <x v="0"/>
    <x v="13"/>
    <d v="2025-08-06T00:00:00"/>
    <x v="23"/>
    <x v="0"/>
    <n v="36"/>
    <n v="1200"/>
    <n v="1.437125748502994"/>
    <n v="1200"/>
    <n v="1.437125748502994"/>
    <s v="[]"/>
    <s v="[]"/>
  </r>
  <r>
    <x v="0"/>
    <s v="525 Hastings Street"/>
    <x v="0"/>
    <s v="D"/>
    <m/>
    <x v="1"/>
    <x v="0"/>
    <x v="0"/>
    <x v="14"/>
    <d v="2025-03-25T00:00:00"/>
    <x v="20"/>
    <x v="0"/>
    <n v="33"/>
    <n v="1100"/>
    <n v="2.2000000000000002"/>
    <n v="1100"/>
    <n v="2.2000000000000002"/>
    <s v="[]"/>
    <s v="[]"/>
  </r>
  <r>
    <x v="0"/>
    <s v="525 Hastings Street"/>
    <x v="0"/>
    <s v="B"/>
    <m/>
    <x v="0"/>
    <x v="0"/>
    <x v="0"/>
    <x v="15"/>
    <d v="2025-10-31T00:00:00"/>
    <x v="4"/>
    <x v="1"/>
    <m/>
    <n v="1250"/>
    <n v="1.7857142857142858"/>
    <n v="1250"/>
    <n v="1.7857142857142858"/>
    <s v="[]"/>
    <s v="[]"/>
  </r>
  <r>
    <x v="0"/>
    <s v="845 Palmer Street"/>
    <x v="0"/>
    <m/>
    <m/>
    <x v="0"/>
    <x v="0"/>
    <x v="0"/>
    <x v="1"/>
    <d v="2025-07-24T00:00:00"/>
    <x v="24"/>
    <x v="0"/>
    <n v="10"/>
    <n v="950"/>
    <n v="1.2666666666666666"/>
    <n v="950"/>
    <n v="1.2666666666666666"/>
    <s v="[]"/>
    <s v="[]"/>
  </r>
  <r>
    <x v="0"/>
    <s v="845 Palmer Street"/>
    <x v="0"/>
    <m/>
    <m/>
    <x v="0"/>
    <x v="0"/>
    <x v="0"/>
    <x v="16"/>
    <d v="2024-11-21T00:00:00"/>
    <x v="25"/>
    <x v="0"/>
    <n v="156"/>
    <n v="1200"/>
    <n v="0.8"/>
    <n v="1200"/>
    <n v="0.8"/>
    <s v="[]"/>
    <s v="[]"/>
  </r>
  <r>
    <x v="0"/>
    <s v="340 Main Street"/>
    <x v="0"/>
    <s v="4"/>
    <m/>
    <x v="1"/>
    <x v="0"/>
    <x v="0"/>
    <x v="17"/>
    <d v="2024-06-12T00:00:00"/>
    <x v="26"/>
    <x v="0"/>
    <n v="28"/>
    <n v="950"/>
    <n v="1.6267123287671232"/>
    <n v="950"/>
    <n v="1.6267123287671232"/>
    <s v="[]"/>
    <s v="[]"/>
  </r>
  <r>
    <x v="0"/>
    <s v="340 Main Street"/>
    <x v="0"/>
    <s v="5"/>
    <m/>
    <x v="1"/>
    <x v="0"/>
    <x v="0"/>
    <x v="4"/>
    <d v="2024-02-27T00:00:00"/>
    <x v="27"/>
    <x v="0"/>
    <n v="19"/>
    <n v="900"/>
    <m/>
    <n v="900"/>
    <m/>
    <s v="[]"/>
    <s v="[]"/>
  </r>
  <r>
    <x v="0"/>
    <s v="340 Main Street"/>
    <x v="0"/>
    <s v="2"/>
    <m/>
    <x v="1"/>
    <x v="0"/>
    <x v="0"/>
    <x v="4"/>
    <d v="2025-06-24T00:00:00"/>
    <x v="28"/>
    <x v="0"/>
    <n v="23"/>
    <n v="950"/>
    <m/>
    <n v="950"/>
    <m/>
    <s v="[]"/>
    <s v="[]"/>
  </r>
  <r>
    <x v="0"/>
    <s v="340 Main Street"/>
    <x v="0"/>
    <s v="1"/>
    <m/>
    <x v="0"/>
    <x v="1"/>
    <x v="0"/>
    <x v="1"/>
    <d v="2024-09-10T00:00:00"/>
    <x v="29"/>
    <x v="0"/>
    <n v="373"/>
    <n v="1300"/>
    <n v="1.7333333333333334"/>
    <n v="1300"/>
    <n v="1.7333333333333334"/>
    <s v="[]"/>
    <s v="[]"/>
  </r>
  <r>
    <x v="3"/>
    <s v="535 Hastings Street"/>
    <x v="0"/>
    <s v="4"/>
    <m/>
    <x v="0"/>
    <x v="0"/>
    <x v="0"/>
    <x v="18"/>
    <d v="2025-10-18T00:00:00"/>
    <x v="30"/>
    <x v="0"/>
    <n v="13"/>
    <n v="1150"/>
    <n v="1.5862068965517242"/>
    <n v="1150"/>
    <n v="1.5862068965517242"/>
    <s v="[]"/>
    <s v="[]"/>
  </r>
  <r>
    <x v="3"/>
    <s v="535 Hastings Street"/>
    <x v="19"/>
    <m/>
    <m/>
    <x v="0"/>
    <x v="0"/>
    <x v="0"/>
    <x v="18"/>
    <d v="2025-10-18T00:00:00"/>
    <x v="30"/>
    <x v="0"/>
    <n v="13"/>
    <n v="1150"/>
    <n v="1.5862068965517242"/>
    <n v="1150"/>
    <n v="1.5862068965517242"/>
    <s v="[]"/>
    <s v="[]"/>
  </r>
  <r>
    <x v="3"/>
    <s v="535 Hastings Street"/>
    <x v="0"/>
    <s v="2"/>
    <m/>
    <x v="0"/>
    <x v="0"/>
    <x v="0"/>
    <x v="18"/>
    <d v="2024-02-09T00:00:00"/>
    <x v="31"/>
    <x v="0"/>
    <n v="20"/>
    <n v="1150"/>
    <n v="1.5862068965517242"/>
    <n v="1150"/>
    <n v="1.5862068965517242"/>
    <s v="[]"/>
    <s v="[]"/>
  </r>
  <r>
    <x v="0"/>
    <s v="480 High Garnet Lane"/>
    <x v="0"/>
    <m/>
    <m/>
    <x v="0"/>
    <x v="0"/>
    <x v="0"/>
    <x v="19"/>
    <d v="2024-07-04T00:00:00"/>
    <x v="32"/>
    <x v="0"/>
    <n v="24"/>
    <n v="1000"/>
    <n v="1.0683760683760684"/>
    <n v="1000"/>
    <n v="1.0683760683760684"/>
    <s v="[]"/>
    <s v="[]"/>
  </r>
  <r>
    <x v="0"/>
    <s v="234 Eaton Avenue"/>
    <x v="0"/>
    <m/>
    <m/>
    <x v="0"/>
    <x v="0"/>
    <x v="0"/>
    <x v="4"/>
    <d v="2023-11-21T00:00:00"/>
    <x v="33"/>
    <x v="0"/>
    <n v="10"/>
    <n v="1100"/>
    <m/>
    <n v="1100"/>
    <m/>
    <s v="[]"/>
    <s v="[]"/>
  </r>
  <r>
    <x v="0"/>
    <s v="208 East 5th Street"/>
    <x v="0"/>
    <m/>
    <m/>
    <x v="0"/>
    <x v="0"/>
    <x v="0"/>
    <x v="17"/>
    <d v="2025-07-01T00:00:00"/>
    <x v="34"/>
    <x v="0"/>
    <n v="14"/>
    <n v="1100"/>
    <n v="1.8835616438356164"/>
    <n v="1100"/>
    <n v="1.8835616438356164"/>
    <s v="[]"/>
    <s v="[]"/>
  </r>
  <r>
    <x v="4"/>
    <s v="1681 Rodeo Way"/>
    <x v="20"/>
    <s v="1697-202"/>
    <m/>
    <x v="0"/>
    <x v="0"/>
    <x v="1"/>
    <x v="20"/>
    <d v="2024-06-05T00:00:00"/>
    <x v="35"/>
    <x v="0"/>
    <n v="3"/>
    <n v="1425"/>
    <n v="1.2803234501347709"/>
    <n v="1425"/>
    <n v="1.2803234501347709"/>
    <s v="[]"/>
    <s v="[]"/>
  </r>
  <r>
    <x v="4"/>
    <s v="1681 Rodeo Way"/>
    <x v="20"/>
    <s v="1691-202"/>
    <m/>
    <x v="0"/>
    <x v="0"/>
    <x v="1"/>
    <x v="20"/>
    <d v="2025-10-23T00:00:00"/>
    <x v="4"/>
    <x v="1"/>
    <m/>
    <n v="1425"/>
    <n v="1.2803234501347709"/>
    <n v="1425"/>
    <n v="1.2803234501347709"/>
    <s v="[]"/>
    <s v="[]"/>
  </r>
  <r>
    <x v="4"/>
    <s v="1681 Rodeo Way"/>
    <x v="20"/>
    <s v="1693-202"/>
    <m/>
    <x v="0"/>
    <x v="0"/>
    <x v="1"/>
    <x v="20"/>
    <d v="2025-10-31T00:00:00"/>
    <x v="4"/>
    <x v="1"/>
    <m/>
    <n v="1425"/>
    <n v="1.2803234501347709"/>
    <n v="1425"/>
    <n v="1.2803234501347709"/>
    <s v="[]"/>
    <s v="[]"/>
  </r>
  <r>
    <x v="4"/>
    <s v="1681 Rodeo Way"/>
    <x v="20"/>
    <s v="1698-202"/>
    <m/>
    <x v="0"/>
    <x v="0"/>
    <x v="1"/>
    <x v="20"/>
    <d v="2025-10-12T00:00:00"/>
    <x v="4"/>
    <x v="1"/>
    <m/>
    <n v="1425"/>
    <n v="1.2803234501347709"/>
    <n v="1425"/>
    <n v="1.2803234501347709"/>
    <s v="[]"/>
    <s v="[]"/>
  </r>
  <r>
    <x v="4"/>
    <s v="1681 Rodeo Way"/>
    <x v="20"/>
    <s v="1698-203"/>
    <m/>
    <x v="0"/>
    <x v="0"/>
    <x v="1"/>
    <x v="20"/>
    <d v="2024-05-31T00:00:00"/>
    <x v="36"/>
    <x v="0"/>
    <n v="39"/>
    <n v="1425"/>
    <n v="1.2803234501347709"/>
    <n v="1425"/>
    <n v="1.2803234501347709"/>
    <s v="[]"/>
    <s v="[]"/>
  </r>
  <r>
    <x v="4"/>
    <s v="1681 Rodeo Way"/>
    <x v="20"/>
    <s v="1679-101"/>
    <m/>
    <x v="0"/>
    <x v="0"/>
    <x v="1"/>
    <x v="20"/>
    <d v="2024-06-11T00:00:00"/>
    <x v="37"/>
    <x v="0"/>
    <n v="18"/>
    <n v="1425"/>
    <n v="1.2803234501347709"/>
    <n v="1425"/>
    <n v="1.2803234501347709"/>
    <s v="[]"/>
    <s v="[]"/>
  </r>
  <r>
    <x v="4"/>
    <s v="1681 Rodeo Way"/>
    <x v="20"/>
    <s v="1697-103"/>
    <m/>
    <x v="0"/>
    <x v="0"/>
    <x v="1"/>
    <x v="20"/>
    <d v="2024-05-06T00:00:00"/>
    <x v="38"/>
    <x v="0"/>
    <n v="38"/>
    <n v="1425"/>
    <n v="1.2803234501347709"/>
    <n v="1425"/>
    <n v="1.2803234501347709"/>
    <s v="[]"/>
    <s v="[]"/>
  </r>
  <r>
    <x v="4"/>
    <s v="1681 Rodeo Way"/>
    <x v="20"/>
    <s v="1699-202"/>
    <m/>
    <x v="0"/>
    <x v="0"/>
    <x v="1"/>
    <x v="20"/>
    <d v="2025-09-03T00:00:00"/>
    <x v="4"/>
    <x v="1"/>
    <m/>
    <n v="1425"/>
    <n v="1.2803234501347709"/>
    <n v="1425"/>
    <n v="1.2803234501347709"/>
    <s v="[]"/>
    <s v="[]"/>
  </r>
  <r>
    <x v="4"/>
    <s v="1681 Rodeo Way"/>
    <x v="20"/>
    <s v="1695-104"/>
    <m/>
    <x v="0"/>
    <x v="0"/>
    <x v="1"/>
    <x v="20"/>
    <d v="2025-08-27T00:00:00"/>
    <x v="39"/>
    <x v="0"/>
    <n v="36"/>
    <n v="1425"/>
    <n v="1.2803234501347709"/>
    <n v="1425"/>
    <n v="1.2803234501347709"/>
    <s v="[]"/>
    <s v="[]"/>
  </r>
  <r>
    <x v="4"/>
    <s v="1681 Rodeo Way"/>
    <x v="20"/>
    <s v="1691-102"/>
    <m/>
    <x v="0"/>
    <x v="0"/>
    <x v="1"/>
    <x v="20"/>
    <d v="2025-08-27T00:00:00"/>
    <x v="40"/>
    <x v="0"/>
    <n v="21"/>
    <n v="1425"/>
    <n v="1.2803234501347709"/>
    <n v="1425"/>
    <n v="1.2803234501347709"/>
    <s v="[]"/>
    <s v="[]"/>
  </r>
  <r>
    <x v="4"/>
    <s v="1681 Rodeo Way"/>
    <x v="20"/>
    <s v="1690-202"/>
    <m/>
    <x v="0"/>
    <x v="0"/>
    <x v="1"/>
    <x v="20"/>
    <d v="2025-08-01T00:00:00"/>
    <x v="41"/>
    <x v="0"/>
    <n v="24"/>
    <n v="1425"/>
    <n v="1.2803234501347709"/>
    <n v="1425"/>
    <n v="1.2803234501347709"/>
    <s v="[]"/>
    <s v="[]"/>
  </r>
  <r>
    <x v="4"/>
    <s v="1681 Rodeo Way"/>
    <x v="20"/>
    <s v="1690-102"/>
    <m/>
    <x v="0"/>
    <x v="0"/>
    <x v="1"/>
    <x v="20"/>
    <d v="2025-08-16T00:00:00"/>
    <x v="41"/>
    <x v="0"/>
    <n v="9"/>
    <n v="1425"/>
    <n v="1.2803234501347709"/>
    <n v="1425"/>
    <n v="1.2803234501347709"/>
    <s v="[]"/>
    <s v="[]"/>
  </r>
  <r>
    <x v="4"/>
    <s v="1681 Rodeo Way"/>
    <x v="20"/>
    <s v="1679-204"/>
    <m/>
    <x v="0"/>
    <x v="0"/>
    <x v="1"/>
    <x v="20"/>
    <d v="2025-05-17T00:00:00"/>
    <x v="42"/>
    <x v="0"/>
    <n v="68"/>
    <n v="1425"/>
    <n v="1.2803234501347709"/>
    <n v="1425"/>
    <n v="1.2803234501347709"/>
    <s v="[]"/>
    <s v="[]"/>
  </r>
  <r>
    <x v="4"/>
    <s v="1681 Rodeo Way"/>
    <x v="20"/>
    <s v="1699-104"/>
    <m/>
    <x v="0"/>
    <x v="0"/>
    <x v="1"/>
    <x v="20"/>
    <d v="2025-06-26T00:00:00"/>
    <x v="12"/>
    <x v="0"/>
    <n v="15"/>
    <n v="1425"/>
    <n v="1.2803234501347709"/>
    <n v="1425"/>
    <n v="1.2803234501347709"/>
    <s v="[]"/>
    <s v="[]"/>
  </r>
  <r>
    <x v="4"/>
    <s v="1681 Rodeo Way"/>
    <x v="20"/>
    <s v="1698-103"/>
    <m/>
    <x v="0"/>
    <x v="0"/>
    <x v="1"/>
    <x v="20"/>
    <d v="2025-04-30T00:00:00"/>
    <x v="43"/>
    <x v="0"/>
    <n v="71"/>
    <n v="1425"/>
    <n v="1.2803234501347709"/>
    <n v="1425"/>
    <n v="1.2803234501347709"/>
    <s v="[]"/>
    <s v="[]"/>
  </r>
  <r>
    <x v="4"/>
    <s v="1681 Rodeo Way"/>
    <x v="20"/>
    <s v="1677-201"/>
    <m/>
    <x v="0"/>
    <x v="0"/>
    <x v="1"/>
    <x v="20"/>
    <d v="2025-05-14T00:00:00"/>
    <x v="44"/>
    <x v="0"/>
    <n v="52"/>
    <n v="1425"/>
    <n v="1.2803234501347709"/>
    <n v="1425"/>
    <n v="1.2803234501347709"/>
    <s v="[]"/>
    <s v="[]"/>
  </r>
  <r>
    <x v="4"/>
    <s v="1681 Rodeo Way"/>
    <x v="20"/>
    <s v="1695-103"/>
    <m/>
    <x v="0"/>
    <x v="0"/>
    <x v="1"/>
    <x v="20"/>
    <d v="2025-05-13T00:00:00"/>
    <x v="6"/>
    <x v="0"/>
    <n v="51"/>
    <n v="1425"/>
    <n v="1.2803234501347709"/>
    <n v="1425"/>
    <n v="1.2803234501347709"/>
    <s v="[]"/>
    <s v="[]"/>
  </r>
  <r>
    <x v="4"/>
    <s v="1681 Rodeo Way"/>
    <x v="20"/>
    <s v="1699-101"/>
    <m/>
    <x v="0"/>
    <x v="0"/>
    <x v="1"/>
    <x v="20"/>
    <d v="2025-05-01T00:00:00"/>
    <x v="45"/>
    <x v="0"/>
    <n v="44"/>
    <n v="1425"/>
    <n v="1.2803234501347709"/>
    <n v="1425"/>
    <n v="1.2803234501347709"/>
    <s v="[]"/>
    <s v="[]"/>
  </r>
  <r>
    <x v="4"/>
    <s v="1681 Rodeo Way"/>
    <x v="20"/>
    <s v="1693-203"/>
    <m/>
    <x v="0"/>
    <x v="0"/>
    <x v="1"/>
    <x v="20"/>
    <d v="2025-06-10T00:00:00"/>
    <x v="46"/>
    <x v="0"/>
    <n v="2"/>
    <n v="1425"/>
    <n v="1.2803234501347709"/>
    <n v="1425"/>
    <n v="1.2803234501347709"/>
    <s v="[]"/>
    <s v="[]"/>
  </r>
  <r>
    <x v="4"/>
    <s v="1681 Rodeo Way"/>
    <x v="20"/>
    <s v="1691-201"/>
    <m/>
    <x v="0"/>
    <x v="0"/>
    <x v="1"/>
    <x v="20"/>
    <d v="2025-05-31T00:00:00"/>
    <x v="47"/>
    <x v="0"/>
    <n v="11"/>
    <n v="1425"/>
    <n v="1.2803234501347709"/>
    <n v="1425"/>
    <n v="1.2803234501347709"/>
    <s v="[]"/>
    <s v="[]"/>
  </r>
  <r>
    <x v="4"/>
    <s v="1681 Rodeo Way"/>
    <x v="20"/>
    <s v="1679-104"/>
    <m/>
    <x v="0"/>
    <x v="0"/>
    <x v="1"/>
    <x v="20"/>
    <d v="2025-04-30T00:00:00"/>
    <x v="48"/>
    <x v="0"/>
    <n v="29"/>
    <n v="1425"/>
    <n v="1.2803234501347709"/>
    <n v="1425"/>
    <n v="1.2803234501347709"/>
    <s v="[]"/>
    <s v="[]"/>
  </r>
  <r>
    <x v="4"/>
    <s v="1681 Rodeo Way"/>
    <x v="20"/>
    <s v="1693-201"/>
    <m/>
    <x v="0"/>
    <x v="0"/>
    <x v="1"/>
    <x v="20"/>
    <d v="2024-11-06T00:00:00"/>
    <x v="9"/>
    <x v="0"/>
    <n v="184"/>
    <n v="1425"/>
    <n v="1.2803234501347709"/>
    <n v="1425"/>
    <n v="1.2803234501347709"/>
    <s v="[]"/>
    <s v="[]"/>
  </r>
  <r>
    <x v="4"/>
    <s v="1681 Rodeo Way"/>
    <x v="20"/>
    <s v="1695-102"/>
    <m/>
    <x v="0"/>
    <x v="0"/>
    <x v="1"/>
    <x v="20"/>
    <d v="2025-02-14T00:00:00"/>
    <x v="9"/>
    <x v="0"/>
    <n v="84"/>
    <n v="1425"/>
    <n v="1.2803234501347709"/>
    <n v="1425"/>
    <n v="1.2803234501347709"/>
    <s v="[]"/>
    <s v="[]"/>
  </r>
  <r>
    <x v="4"/>
    <s v="1681 Rodeo Way"/>
    <x v="20"/>
    <s v="1697-101"/>
    <m/>
    <x v="0"/>
    <x v="0"/>
    <x v="1"/>
    <x v="20"/>
    <d v="2025-04-04T00:00:00"/>
    <x v="49"/>
    <x v="0"/>
    <n v="9"/>
    <n v="1425"/>
    <n v="1.2803234501347709"/>
    <n v="1425"/>
    <n v="1.2803234501347709"/>
    <s v="[]"/>
    <s v="[]"/>
  </r>
  <r>
    <x v="4"/>
    <s v="1681 Rodeo Way"/>
    <x v="20"/>
    <s v="1698-102"/>
    <m/>
    <x v="0"/>
    <x v="0"/>
    <x v="1"/>
    <x v="20"/>
    <d v="2025-02-14T00:00:00"/>
    <x v="50"/>
    <x v="0"/>
    <n v="50"/>
    <n v="1425"/>
    <n v="1.2803234501347709"/>
    <n v="1425"/>
    <n v="1.2803234501347709"/>
    <s v="[]"/>
    <s v="[]"/>
  </r>
  <r>
    <x v="4"/>
    <s v="1681 Rodeo Way"/>
    <x v="20"/>
    <s v="1677-203"/>
    <m/>
    <x v="0"/>
    <x v="0"/>
    <x v="1"/>
    <x v="20"/>
    <d v="2025-02-25T00:00:00"/>
    <x v="51"/>
    <x v="0"/>
    <n v="25"/>
    <n v="1425"/>
    <n v="1.2803234501347709"/>
    <n v="1425"/>
    <n v="1.2803234501347709"/>
    <s v="[]"/>
    <s v="[]"/>
  </r>
  <r>
    <x v="4"/>
    <s v="1681 Rodeo Way"/>
    <x v="20"/>
    <s v="1677-102"/>
    <m/>
    <x v="0"/>
    <x v="0"/>
    <x v="1"/>
    <x v="20"/>
    <d v="2025-01-30T00:00:00"/>
    <x v="52"/>
    <x v="0"/>
    <n v="35"/>
    <n v="1425"/>
    <n v="1.2803234501347709"/>
    <n v="1425"/>
    <n v="1.2803234501347709"/>
    <s v="[]"/>
    <s v="[]"/>
  </r>
  <r>
    <x v="4"/>
    <s v="1681 Rodeo Way"/>
    <x v="20"/>
    <s v="1677-202"/>
    <m/>
    <x v="0"/>
    <x v="0"/>
    <x v="1"/>
    <x v="20"/>
    <d v="2025-01-21T00:00:00"/>
    <x v="53"/>
    <x v="0"/>
    <n v="18"/>
    <n v="1425"/>
    <n v="1.2803234501347709"/>
    <n v="1425"/>
    <n v="1.2803234501347709"/>
    <s v="[]"/>
    <s v="[]"/>
  </r>
  <r>
    <x v="4"/>
    <s v="1681 Rodeo Way"/>
    <x v="20"/>
    <s v="1695-201"/>
    <m/>
    <x v="0"/>
    <x v="0"/>
    <x v="1"/>
    <x v="20"/>
    <d v="2024-12-11T00:00:00"/>
    <x v="54"/>
    <x v="0"/>
    <n v="28"/>
    <n v="1425"/>
    <n v="1.2803234501347709"/>
    <n v="1425"/>
    <n v="1.2803234501347709"/>
    <s v="[]"/>
    <s v="[]"/>
  </r>
  <r>
    <x v="4"/>
    <s v="1681 Rodeo Way"/>
    <x v="20"/>
    <s v="1698-101"/>
    <m/>
    <x v="0"/>
    <x v="0"/>
    <x v="1"/>
    <x v="20"/>
    <d v="2024-12-05T00:00:00"/>
    <x v="55"/>
    <x v="0"/>
    <n v="26"/>
    <n v="1425"/>
    <n v="1.2803234501347709"/>
    <n v="1425"/>
    <n v="1.2803234501347709"/>
    <s v="[]"/>
    <s v="[]"/>
  </r>
  <r>
    <x v="4"/>
    <s v="1681 Rodeo Way"/>
    <x v="20"/>
    <s v="1691-101"/>
    <m/>
    <x v="0"/>
    <x v="0"/>
    <x v="1"/>
    <x v="20"/>
    <d v="2024-12-05T00:00:00"/>
    <x v="56"/>
    <x v="0"/>
    <n v="16"/>
    <n v="1425"/>
    <n v="1.2803234501347709"/>
    <n v="1425"/>
    <n v="1.2803234501347709"/>
    <s v="[]"/>
    <s v="[]"/>
  </r>
  <r>
    <x v="4"/>
    <s v="1681 Rodeo Way"/>
    <x v="20"/>
    <s v="1693-101"/>
    <m/>
    <x v="0"/>
    <x v="0"/>
    <x v="1"/>
    <x v="20"/>
    <d v="2024-11-15T00:00:00"/>
    <x v="57"/>
    <x v="0"/>
    <n v="13"/>
    <n v="1425"/>
    <n v="1.2803234501347709"/>
    <n v="1425"/>
    <n v="1.2803234501347709"/>
    <s v="[]"/>
    <s v="[]"/>
  </r>
  <r>
    <x v="4"/>
    <s v="1681 Rodeo Way"/>
    <x v="20"/>
    <s v="1697-104"/>
    <m/>
    <x v="0"/>
    <x v="0"/>
    <x v="1"/>
    <x v="20"/>
    <d v="2024-11-26T00:00:00"/>
    <x v="57"/>
    <x v="0"/>
    <n v="2"/>
    <n v="1425"/>
    <n v="1.2803234501347709"/>
    <n v="1425"/>
    <n v="1.2803234501347709"/>
    <s v="[]"/>
    <s v="[]"/>
  </r>
  <r>
    <x v="4"/>
    <s v="1681 Rodeo Way"/>
    <x v="20"/>
    <s v="1677-104"/>
    <m/>
    <x v="0"/>
    <x v="0"/>
    <x v="1"/>
    <x v="20"/>
    <d v="2024-11-05T00:00:00"/>
    <x v="58"/>
    <x v="0"/>
    <n v="17"/>
    <n v="1425"/>
    <n v="1.2803234501347709"/>
    <n v="1425"/>
    <n v="1.2803234501347709"/>
    <s v="[]"/>
    <s v="[]"/>
  </r>
  <r>
    <x v="4"/>
    <s v="1681 Rodeo Way"/>
    <x v="20"/>
    <s v="1690-104"/>
    <m/>
    <x v="0"/>
    <x v="0"/>
    <x v="1"/>
    <x v="20"/>
    <d v="2024-10-02T00:00:00"/>
    <x v="59"/>
    <x v="0"/>
    <n v="43"/>
    <n v="1425"/>
    <n v="1.2803234501347709"/>
    <n v="1425"/>
    <n v="1.2803234501347709"/>
    <s v="[]"/>
    <s v="[]"/>
  </r>
  <r>
    <x v="4"/>
    <s v="1681 Rodeo Way"/>
    <x v="20"/>
    <s v="1697-204"/>
    <m/>
    <x v="0"/>
    <x v="0"/>
    <x v="1"/>
    <x v="20"/>
    <d v="2024-09-19T00:00:00"/>
    <x v="60"/>
    <x v="0"/>
    <n v="51"/>
    <n v="1425"/>
    <n v="1.2803234501347709"/>
    <n v="1425"/>
    <n v="1.2803234501347709"/>
    <s v="[]"/>
    <s v="[]"/>
  </r>
  <r>
    <x v="4"/>
    <s v="1681 Rodeo Way"/>
    <x v="20"/>
    <s v="1693-102"/>
    <m/>
    <x v="0"/>
    <x v="0"/>
    <x v="1"/>
    <x v="20"/>
    <d v="2024-07-10T00:00:00"/>
    <x v="61"/>
    <x v="0"/>
    <n v="43"/>
    <n v="1425"/>
    <n v="1.2803234501347709"/>
    <n v="1425"/>
    <n v="1.2803234501347709"/>
    <s v="[]"/>
    <s v="[]"/>
  </r>
  <r>
    <x v="4"/>
    <s v="1681 Rodeo Way"/>
    <x v="20"/>
    <s v="1690-101"/>
    <m/>
    <x v="0"/>
    <x v="0"/>
    <x v="1"/>
    <x v="20"/>
    <d v="2025-10-01T00:00:00"/>
    <x v="62"/>
    <x v="0"/>
    <n v="47"/>
    <n v="1490"/>
    <n v="1.3387241689128482"/>
    <n v="1490"/>
    <n v="1.3387241689128482"/>
    <s v="[]"/>
    <s v="[]"/>
  </r>
  <r>
    <x v="4"/>
    <s v="1681 Rodeo Way"/>
    <x v="20"/>
    <s v="1691-103"/>
    <m/>
    <x v="0"/>
    <x v="0"/>
    <x v="1"/>
    <x v="20"/>
    <d v="2025-03-28T00:00:00"/>
    <x v="63"/>
    <x v="0"/>
    <n v="83"/>
    <n v="1490"/>
    <n v="1.3387241689128482"/>
    <n v="1490"/>
    <n v="1.3387241689128482"/>
    <s v="[]"/>
    <s v="[]"/>
  </r>
  <r>
    <x v="4"/>
    <s v="1681 Rodeo Way"/>
    <x v="20"/>
    <s v="1679-102"/>
    <m/>
    <x v="0"/>
    <x v="0"/>
    <x v="1"/>
    <x v="20"/>
    <d v="2025-04-02T00:00:00"/>
    <x v="64"/>
    <x v="0"/>
    <n v="65"/>
    <n v="1490"/>
    <n v="1.3387241689128482"/>
    <n v="1490"/>
    <n v="1.3387241689128482"/>
    <s v="[]"/>
    <s v="[]"/>
  </r>
  <r>
    <x v="4"/>
    <s v="1681 Rodeo Way"/>
    <x v="20"/>
    <s v="1695-202"/>
    <m/>
    <x v="0"/>
    <x v="0"/>
    <x v="1"/>
    <x v="20"/>
    <d v="2025-04-24T00:00:00"/>
    <x v="47"/>
    <x v="0"/>
    <n v="48"/>
    <n v="1490"/>
    <n v="1.3387241689128482"/>
    <n v="1490"/>
    <n v="1.3387241689128482"/>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s v="1681 Rodeo Way, Delta, CO 81416"/>
    <s v="--"/>
    <s v="--"/>
    <n v="0.51493199658935951"/>
    <m/>
    <m/>
    <m/>
    <n v="1113"/>
    <m/>
    <m/>
    <m/>
    <m/>
    <m/>
    <m/>
    <n v="1438"/>
    <n v="1.2920035938903864"/>
    <m/>
    <m/>
    <m/>
    <m/>
    <m/>
    <m/>
    <n v="1438"/>
    <n v="1.2920035938903864"/>
    <m/>
    <m/>
    <m/>
    <m/>
    <n v="1438"/>
    <n v="1.2920035938903864"/>
    <m/>
    <m/>
    <m/>
    <m/>
    <m/>
    <m/>
    <n v="1438"/>
    <n v="1.2920035938903864"/>
  </r>
  <r>
    <x v="1"/>
    <s v="--"/>
    <n v="0.53768854676963451"/>
    <n v="4.1773500763741627"/>
    <n v="0.32236850914347692"/>
    <n v="1975.6"/>
    <n v="1.5"/>
    <n v="1"/>
    <n v="895.88235294117646"/>
    <n v="1"/>
    <n v="0"/>
    <s v=""/>
    <s v=""/>
    <n v="1029.1666666666665"/>
    <n v="1.6923076923076923"/>
    <n v="1282.8125"/>
    <n v="1.5393924668516012"/>
    <s v=""/>
    <s v=""/>
    <s v=""/>
    <s v=""/>
    <s v=""/>
    <s v=""/>
    <n v="1256.7708333333335"/>
    <n v="1.5612374990596145"/>
    <s v=""/>
    <s v=""/>
    <n v="1029.1666666666665"/>
    <n v="1.6923076923076923"/>
    <n v="1282.8125"/>
    <n v="1.5393924668516012"/>
    <s v=""/>
    <s v=""/>
    <s v=""/>
    <s v=""/>
    <s v=""/>
    <s v=""/>
    <n v="1256.7708333333335"/>
    <n v="1.5612374990596145"/>
  </r>
  <r>
    <x v="2"/>
    <s v="211 Rich Street, Delta, CO 81416"/>
    <n v="0.68899687175568192"/>
    <n v="4.2283875612071613"/>
    <n v="0.30491646007743156"/>
    <n v="1993"/>
    <m/>
    <m/>
    <n v="952"/>
    <m/>
    <m/>
    <m/>
    <m/>
    <m/>
    <m/>
    <m/>
    <m/>
    <m/>
    <m/>
    <m/>
    <m/>
    <m/>
    <m/>
    <m/>
    <m/>
    <m/>
    <m/>
    <m/>
    <m/>
    <m/>
    <m/>
    <m/>
    <m/>
    <m/>
    <m/>
    <m/>
    <m/>
    <m/>
    <m/>
  </r>
  <r>
    <x v="2"/>
    <s v="920 East 7th Street, Delta, CO 81416"/>
    <n v="0.65016611941096358"/>
    <n v="4.4823118423040533"/>
    <n v="0.32871179623809271"/>
    <m/>
    <n v="2"/>
    <m/>
    <n v="925"/>
    <n v="1"/>
    <n v="0"/>
    <m/>
    <m/>
    <m/>
    <m/>
    <m/>
    <m/>
    <m/>
    <m/>
    <m/>
    <m/>
    <m/>
    <m/>
    <m/>
    <m/>
    <m/>
    <m/>
    <m/>
    <m/>
    <m/>
    <m/>
    <m/>
    <m/>
    <m/>
    <m/>
    <m/>
    <m/>
    <m/>
    <m/>
  </r>
  <r>
    <x v="2"/>
    <s v="217 Rich Street, Delta, CO 81416"/>
    <n v="0.64626414627484152"/>
    <n v="4.2336276529097088"/>
    <n v="0.29737036019806284"/>
    <n v="1995"/>
    <m/>
    <m/>
    <n v="952"/>
    <m/>
    <m/>
    <m/>
    <m/>
    <m/>
    <m/>
    <m/>
    <m/>
    <m/>
    <m/>
    <m/>
    <m/>
    <m/>
    <m/>
    <m/>
    <m/>
    <m/>
    <m/>
    <m/>
    <m/>
    <m/>
    <m/>
    <m/>
    <m/>
    <m/>
    <m/>
    <m/>
    <m/>
    <m/>
    <m/>
  </r>
  <r>
    <x v="2"/>
    <s v="240 Meeker Street, Delta, CO 81416"/>
    <n v="0.55152988555266547"/>
    <n v="3.7591410443994473"/>
    <m/>
    <m/>
    <n v="2"/>
    <m/>
    <n v="650"/>
    <n v="1"/>
    <n v="0"/>
    <m/>
    <m/>
    <n v="1025"/>
    <n v="1.6923076923076923"/>
    <n v="1150"/>
    <m/>
    <m/>
    <m/>
    <m/>
    <m/>
    <m/>
    <m/>
    <n v="1066.6666666666667"/>
    <n v="1.6923076923076923"/>
    <m/>
    <m/>
    <n v="1025"/>
    <n v="1.6923076923076923"/>
    <n v="1150"/>
    <m/>
    <m/>
    <m/>
    <m/>
    <m/>
    <m/>
    <m/>
    <n v="1066.6666666666667"/>
    <n v="1.6923076923076923"/>
  </r>
  <r>
    <x v="2"/>
    <s v="260 Meeker Street, Delta, CO 81416"/>
    <n v="0.54991274082290587"/>
    <n v="3.7636159295529503"/>
    <m/>
    <m/>
    <n v="1"/>
    <m/>
    <m/>
    <n v="1"/>
    <n v="0"/>
    <m/>
    <m/>
    <n v="1033.3333333333333"/>
    <m/>
    <n v="1200"/>
    <m/>
    <m/>
    <m/>
    <m/>
    <m/>
    <m/>
    <m/>
    <n v="1075"/>
    <m/>
    <m/>
    <m/>
    <n v="1033.3333333333333"/>
    <m/>
    <n v="1200"/>
    <m/>
    <m/>
    <m/>
    <m/>
    <m/>
    <m/>
    <m/>
    <n v="1075"/>
    <m/>
  </r>
  <r>
    <x v="3"/>
    <s v="816 Dodge Street, Delta, CO 81416"/>
    <n v="0.5466025708202914"/>
    <n v="3.7363130110413976"/>
    <m/>
    <m/>
    <m/>
    <m/>
    <m/>
    <m/>
    <m/>
    <m/>
    <m/>
    <m/>
    <m/>
    <m/>
    <m/>
    <m/>
    <m/>
    <m/>
    <m/>
    <m/>
    <m/>
    <m/>
    <m/>
    <m/>
    <m/>
    <m/>
    <m/>
    <m/>
    <m/>
    <m/>
    <m/>
    <m/>
    <m/>
    <m/>
    <m/>
    <m/>
    <m/>
  </r>
  <r>
    <x v="2"/>
    <s v="215 Rich Street, Delta, CO 81416"/>
    <n v="0.54652372961838447"/>
    <n v="4.2315267108493151"/>
    <m/>
    <n v="1994"/>
    <m/>
    <m/>
    <n v="951"/>
    <m/>
    <m/>
    <m/>
    <m/>
    <m/>
    <m/>
    <m/>
    <m/>
    <m/>
    <m/>
    <m/>
    <m/>
    <m/>
    <m/>
    <m/>
    <m/>
    <m/>
    <m/>
    <m/>
    <m/>
    <m/>
    <m/>
    <m/>
    <m/>
    <m/>
    <m/>
    <m/>
    <m/>
    <m/>
    <m/>
  </r>
  <r>
    <x v="2"/>
    <s v="1311 Bluff Street, Delta, CO 81416"/>
    <n v="0.54392076944813816"/>
    <n v="4.3364955476273126"/>
    <m/>
    <m/>
    <m/>
    <m/>
    <n v="1270"/>
    <m/>
    <m/>
    <m/>
    <m/>
    <m/>
    <m/>
    <n v="1850"/>
    <n v="1.4566929133858268"/>
    <m/>
    <m/>
    <m/>
    <m/>
    <m/>
    <m/>
    <n v="1850"/>
    <n v="1.4566929133858268"/>
    <m/>
    <m/>
    <m/>
    <m/>
    <n v="1850"/>
    <n v="1.4566929133858268"/>
    <m/>
    <m/>
    <m/>
    <m/>
    <m/>
    <m/>
    <n v="1850"/>
    <n v="1.4566929133858268"/>
  </r>
  <r>
    <x v="2"/>
    <s v="1381 East 3rd Street, Delta, CO 81416"/>
    <n v="0.5419164659290252"/>
    <n v="4.7936759583349602"/>
    <m/>
    <m/>
    <n v="1"/>
    <m/>
    <n v="900"/>
    <n v="1"/>
    <n v="0"/>
    <m/>
    <m/>
    <m/>
    <m/>
    <m/>
    <m/>
    <m/>
    <m/>
    <m/>
    <m/>
    <m/>
    <m/>
    <m/>
    <m/>
    <m/>
    <m/>
    <m/>
    <m/>
    <m/>
    <m/>
    <m/>
    <m/>
    <m/>
    <m/>
    <m/>
    <m/>
    <m/>
    <m/>
  </r>
  <r>
    <x v="2"/>
    <s v="316 East 10th Street, Delta, CO 81416"/>
    <n v="0.53609255083441543"/>
    <n v="4.0799306585764503"/>
    <m/>
    <m/>
    <m/>
    <m/>
    <n v="864"/>
    <m/>
    <m/>
    <m/>
    <m/>
    <m/>
    <m/>
    <n v="1325"/>
    <n v="1.5335648148148149"/>
    <m/>
    <m/>
    <m/>
    <m/>
    <m/>
    <m/>
    <n v="1325"/>
    <n v="1.5335648148148149"/>
    <m/>
    <m/>
    <m/>
    <m/>
    <n v="1325"/>
    <n v="1.5335648148148149"/>
    <m/>
    <m/>
    <m/>
    <m/>
    <m/>
    <m/>
    <n v="1325"/>
    <n v="1.5335648148148149"/>
  </r>
  <r>
    <x v="2"/>
    <s v="240 West 4th Street, Delta, CO 81416"/>
    <n v="0.52994815638741866"/>
    <n v="3.5927930287883751"/>
    <m/>
    <m/>
    <n v="2"/>
    <m/>
    <m/>
    <n v="1"/>
    <n v="0"/>
    <m/>
    <m/>
    <m/>
    <m/>
    <m/>
    <m/>
    <m/>
    <m/>
    <m/>
    <m/>
    <m/>
    <m/>
    <m/>
    <m/>
    <m/>
    <m/>
    <m/>
    <m/>
    <m/>
    <m/>
    <m/>
    <m/>
    <m/>
    <m/>
    <m/>
    <m/>
    <m/>
    <m/>
  </r>
  <r>
    <x v="2"/>
    <s v="1776 Clearview Drive, Delta, CO 81416"/>
    <n v="0.52472205280428796"/>
    <n v="5.6926547083736336"/>
    <m/>
    <m/>
    <m/>
    <m/>
    <n v="1250"/>
    <m/>
    <m/>
    <m/>
    <m/>
    <m/>
    <m/>
    <m/>
    <m/>
    <m/>
    <m/>
    <m/>
    <m/>
    <m/>
    <m/>
    <m/>
    <m/>
    <m/>
    <m/>
    <m/>
    <m/>
    <m/>
    <m/>
    <m/>
    <m/>
    <m/>
    <m/>
    <m/>
    <m/>
    <m/>
    <m/>
  </r>
  <r>
    <x v="2"/>
    <s v="1304 Howard Street, Delta, CO 81416"/>
    <n v="0.52411657131844114"/>
    <n v="4.2464266486968603"/>
    <m/>
    <m/>
    <m/>
    <m/>
    <n v="1200"/>
    <m/>
    <m/>
    <m/>
    <m/>
    <m/>
    <m/>
    <m/>
    <m/>
    <m/>
    <m/>
    <m/>
    <m/>
    <m/>
    <m/>
    <m/>
    <m/>
    <m/>
    <m/>
    <m/>
    <m/>
    <m/>
    <m/>
    <m/>
    <m/>
    <m/>
    <m/>
    <m/>
    <m/>
    <m/>
    <m/>
  </r>
  <r>
    <x v="2"/>
    <s v="210 East 5th Street, Delta, CO 81416"/>
    <n v="0.51603927885917189"/>
    <n v="3.8401886248954358"/>
    <n v="0.35847542006032074"/>
    <m/>
    <m/>
    <m/>
    <n v="572"/>
    <m/>
    <m/>
    <m/>
    <m/>
    <m/>
    <m/>
    <m/>
    <m/>
    <m/>
    <m/>
    <m/>
    <m/>
    <m/>
    <m/>
    <m/>
    <m/>
    <m/>
    <m/>
    <m/>
    <m/>
    <m/>
    <m/>
    <m/>
    <m/>
    <m/>
    <m/>
    <m/>
    <m/>
    <m/>
    <m/>
  </r>
  <r>
    <x v="4"/>
    <s v="625 A Street, Delta, CO 81416"/>
    <n v="0.49804844558258426"/>
    <n v="4.3142358985164515"/>
    <m/>
    <n v="1976"/>
    <m/>
    <n v="1"/>
    <n v="792"/>
    <m/>
    <m/>
    <m/>
    <m/>
    <m/>
    <m/>
    <n v="1150"/>
    <n v="1.452020202020202"/>
    <m/>
    <m/>
    <m/>
    <m/>
    <m/>
    <m/>
    <n v="1150"/>
    <n v="1.452020202020202"/>
    <m/>
    <m/>
    <m/>
    <m/>
    <n v="1150"/>
    <n v="1.452020202020202"/>
    <m/>
    <m/>
    <m/>
    <m/>
    <m/>
    <m/>
    <n v="1150"/>
    <n v="1.452020202020202"/>
  </r>
  <r>
    <x v="2"/>
    <s v="476 East 13th Street, Delta, CO 81416"/>
    <n v="0.49088799015654805"/>
    <n v="4.2979671236733461"/>
    <m/>
    <m/>
    <n v="1"/>
    <m/>
    <n v="835"/>
    <m/>
    <m/>
    <m/>
    <m/>
    <m/>
    <m/>
    <n v="1187.5"/>
    <n v="1.4221556886227547"/>
    <m/>
    <m/>
    <m/>
    <m/>
    <m/>
    <m/>
    <n v="1187.5"/>
    <n v="1.4221556886227544"/>
    <m/>
    <m/>
    <m/>
    <m/>
    <n v="1187.5"/>
    <n v="1.4221556886227547"/>
    <m/>
    <m/>
    <m/>
    <m/>
    <m/>
    <m/>
    <n v="1187.5"/>
    <n v="1.4221556886227544"/>
  </r>
  <r>
    <x v="2"/>
    <s v="525 Hastings Street, Delta, CO 81416"/>
    <n v="0.47855736683655359"/>
    <n v="4.2115154153375389"/>
    <m/>
    <m/>
    <m/>
    <m/>
    <n v="600"/>
    <m/>
    <m/>
    <m/>
    <m/>
    <m/>
    <m/>
    <n v="1250"/>
    <n v="1.7857142857142858"/>
    <m/>
    <m/>
    <m/>
    <m/>
    <m/>
    <m/>
    <n v="1250"/>
    <n v="1.7857142857142858"/>
    <m/>
    <m/>
    <m/>
    <m/>
    <n v="1250"/>
    <n v="1.7857142857142858"/>
    <m/>
    <m/>
    <m/>
    <m/>
    <m/>
    <m/>
    <n v="1250"/>
    <n v="1.7857142857142858"/>
  </r>
  <r>
    <x v="2"/>
    <s v="845 Palmer Street, Delta, CO 81416"/>
    <n v="0.47033539700746602"/>
    <n v="3.7747930722641514"/>
    <m/>
    <n v="1920"/>
    <m/>
    <m/>
    <n v="1125"/>
    <m/>
    <m/>
    <m/>
    <m/>
    <m/>
    <m/>
    <m/>
    <m/>
    <m/>
    <m/>
    <m/>
    <m/>
    <m/>
    <m/>
    <m/>
    <m/>
    <m/>
    <m/>
    <m/>
    <m/>
    <m/>
    <m/>
    <m/>
    <m/>
    <m/>
    <m/>
    <m/>
    <m/>
    <m/>
    <m/>
  </r>
  <r>
    <x v="2"/>
    <s v="340 Main Street, Delta, CO 81416"/>
    <n v="0.46771442598035373"/>
    <n v="3.7143555998874263"/>
    <m/>
    <m/>
    <m/>
    <m/>
    <n v="667"/>
    <m/>
    <m/>
    <m/>
    <m/>
    <m/>
    <m/>
    <m/>
    <m/>
    <m/>
    <m/>
    <m/>
    <m/>
    <m/>
    <m/>
    <m/>
    <m/>
    <m/>
    <m/>
    <m/>
    <m/>
    <m/>
    <m/>
    <m/>
    <m/>
    <m/>
    <m/>
    <m/>
    <m/>
    <m/>
    <m/>
  </r>
  <r>
    <x v="5"/>
    <s v="535 Hastings Street, Delta, CO 81416"/>
    <n v="0.45147539999255293"/>
    <n v="4.2170454902472674"/>
    <m/>
    <m/>
    <m/>
    <m/>
    <n v="725"/>
    <m/>
    <m/>
    <m/>
    <m/>
    <m/>
    <m/>
    <n v="1150"/>
    <n v="1.5862068965517242"/>
    <m/>
    <m/>
    <m/>
    <m/>
    <m/>
    <m/>
    <n v="1150"/>
    <n v="1.5862068965517242"/>
    <m/>
    <m/>
    <m/>
    <m/>
    <n v="1150"/>
    <n v="1.5862068965517242"/>
    <m/>
    <m/>
    <m/>
    <m/>
    <m/>
    <m/>
    <n v="1150"/>
    <n v="1.5862068965517242"/>
  </r>
  <r>
    <x v="2"/>
    <s v="480 High Garnet Lane, Delta, CO 81416"/>
    <n v="0.44079777204590842"/>
    <n v="6.5296983825113024"/>
    <m/>
    <m/>
    <m/>
    <m/>
    <n v="936"/>
    <m/>
    <m/>
    <m/>
    <m/>
    <m/>
    <m/>
    <m/>
    <m/>
    <m/>
    <m/>
    <m/>
    <m/>
    <m/>
    <m/>
    <m/>
    <m/>
    <m/>
    <m/>
    <m/>
    <m/>
    <m/>
    <m/>
    <m/>
    <m/>
    <m/>
    <m/>
    <m/>
    <m/>
    <m/>
    <m/>
  </r>
  <r>
    <x v="2"/>
    <s v="234 Eaton Avenue, Delta, CO 81416"/>
    <n v="0.4244204447557901"/>
    <n v="3.7351900077190714"/>
    <m/>
    <m/>
    <m/>
    <m/>
    <m/>
    <m/>
    <m/>
    <m/>
    <m/>
    <m/>
    <m/>
    <m/>
    <m/>
    <m/>
    <m/>
    <m/>
    <m/>
    <m/>
    <m/>
    <m/>
    <m/>
    <m/>
    <m/>
    <m/>
    <m/>
    <m/>
    <m/>
    <m/>
    <m/>
    <m/>
    <m/>
    <m/>
    <m/>
    <m/>
    <m/>
  </r>
  <r>
    <x v="2"/>
    <s v="208 East 5th Street, Delta, CO 81416"/>
    <n v="0.39578955832430035"/>
    <n v="3.8351393880951301"/>
    <m/>
    <m/>
    <m/>
    <m/>
    <n v="584"/>
    <m/>
    <m/>
    <m/>
    <m/>
    <m/>
    <m/>
    <m/>
    <m/>
    <m/>
    <m/>
    <m/>
    <m/>
    <m/>
    <m/>
    <m/>
    <m/>
    <m/>
    <m/>
    <m/>
    <m/>
    <m/>
    <m/>
    <m/>
    <m/>
    <m/>
    <m/>
    <m/>
    <m/>
    <m/>
    <m/>
  </r>
  <r>
    <x v="6"/>
    <s v="7108 Highway 50, Delta, CO 81416"/>
    <n v="0.39187171841218188"/>
    <n v="3.6314084707852365"/>
    <m/>
    <n v="2011"/>
    <n v="40"/>
    <n v="2"/>
    <m/>
    <n v="1"/>
    <n v="0"/>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8" firstHeaderRow="1" firstDataRow="1" firstDataCol="1"/>
  <pivotFields count="28">
    <pivotField showAll="0">
      <items count="6">
        <item x="3"/>
        <item x="2"/>
        <item x="1"/>
        <item x="4"/>
        <item x="0"/>
        <item t="default"/>
      </items>
    </pivotField>
    <pivotField showAll="0"/>
    <pivotField showAll="0"/>
    <pivotField showAll="0"/>
    <pivotField showAll="0"/>
    <pivotField axis="axisRow" showAll="0" sortType="ascending">
      <items count="3">
        <item n="1BR" x="1"/>
        <item n="2BR"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5"/>
  </rowFields>
  <rowItems count="3">
    <i>
      <x/>
    </i>
    <i>
      <x v="1"/>
    </i>
    <i t="grand">
      <x/>
    </i>
  </rowItems>
  <colItems count="1">
    <i/>
  </colItems>
  <dataFields count="1">
    <dataField name="Avg Sqft" fld="8" subtotal="average" baseField="5" baseItem="2" numFmtId="3"/>
  </dataFields>
  <formats count="15">
    <format dxfId="2737">
      <pivotArea outline="0" collapsedLevelsAreSubtotals="1" fieldPosition="0"/>
    </format>
    <format dxfId="2736">
      <pivotArea outline="0" collapsedLevelsAreSubtotals="1" fieldPosition="0"/>
    </format>
    <format dxfId="2735">
      <pivotArea dataOnly="0" labelOnly="1" outline="0" axis="axisValues" fieldPosition="0"/>
    </format>
    <format dxfId="2734">
      <pivotArea outline="0" collapsedLevelsAreSubtotals="1" fieldPosition="0"/>
    </format>
    <format dxfId="2733">
      <pivotArea outline="0" collapsedLevelsAreSubtotals="1" fieldPosition="0"/>
    </format>
    <format dxfId="2732">
      <pivotArea outline="0" collapsedLevelsAreSubtotals="1" fieldPosition="0"/>
    </format>
    <format dxfId="2731">
      <pivotArea outline="0" collapsedLevelsAreSubtotals="1" fieldPosition="0">
        <references count="1">
          <reference field="4294967294" count="1" selected="0">
            <x v="0"/>
          </reference>
        </references>
      </pivotArea>
    </format>
    <format dxfId="2730">
      <pivotArea dataOnly="0" labelOnly="1" outline="0" fieldPosition="0">
        <references count="1">
          <reference field="4294967294" count="1">
            <x v="0"/>
          </reference>
        </references>
      </pivotArea>
    </format>
    <format dxfId="2729">
      <pivotArea dataOnly="0" labelOnly="1" outline="0" fieldPosition="0">
        <references count="1">
          <reference field="4294967294" count="1">
            <x v="0"/>
          </reference>
        </references>
      </pivotArea>
    </format>
    <format dxfId="2728">
      <pivotArea type="all" dataOnly="0" outline="0" fieldPosition="0"/>
    </format>
    <format dxfId="2727">
      <pivotArea outline="0" collapsedLevelsAreSubtotals="1" fieldPosition="0"/>
    </format>
    <format dxfId="2726">
      <pivotArea field="5" type="button" dataOnly="0" labelOnly="1" outline="0" axis="axisRow" fieldPosition="0"/>
    </format>
    <format dxfId="2725">
      <pivotArea dataOnly="0" labelOnly="1" fieldPosition="0">
        <references count="1">
          <reference field="5" count="0"/>
        </references>
      </pivotArea>
    </format>
    <format dxfId="2724">
      <pivotArea dataOnly="0" labelOnly="1" grandRow="1" outline="0" fieldPosition="0"/>
    </format>
    <format dxfId="2723">
      <pivotArea dataOnly="0" labelOnly="1" outline="0" axis="axisValues" fieldPosition="0"/>
    </format>
  </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9" firstHeaderRow="1" firstDataRow="1" firstDataCol="1"/>
  <pivotFields count="28">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6">
    <i>
      <x v="3"/>
    </i>
    <i>
      <x v="4"/>
    </i>
    <i>
      <x v="2"/>
    </i>
    <i>
      <x v="1"/>
    </i>
    <i>
      <x/>
    </i>
    <i t="grand">
      <x/>
    </i>
  </rowItems>
  <colItems count="1">
    <i/>
  </colItems>
  <dataFields count="1">
    <dataField name="Average of Days on Mkt" fld="12" subtotal="average" baseField="0" baseItem="3" numFmtId="3"/>
  </dataFields>
  <formats count="10">
    <format dxfId="2747">
      <pivotArea outline="0" collapsedLevelsAreSubtotals="1" fieldPosition="0"/>
    </format>
    <format dxfId="2746">
      <pivotArea dataOnly="0" labelOnly="1" outline="0" fieldPosition="0">
        <references count="1">
          <reference field="4294967294" count="1">
            <x v="0"/>
          </reference>
        </references>
      </pivotArea>
    </format>
    <format dxfId="2745">
      <pivotArea outline="0" collapsedLevelsAreSubtotals="1" fieldPosition="0"/>
    </format>
    <format dxfId="2744">
      <pivotArea dataOnly="0" labelOnly="1" outline="0" axis="axisValues" fieldPosition="0"/>
    </format>
    <format dxfId="2743">
      <pivotArea type="all" dataOnly="0" outline="0" fieldPosition="0"/>
    </format>
    <format dxfId="2742">
      <pivotArea outline="0" collapsedLevelsAreSubtotals="1" fieldPosition="0"/>
    </format>
    <format dxfId="2741">
      <pivotArea field="0" type="button" dataOnly="0" labelOnly="1" outline="0" axis="axisRow" fieldPosition="0"/>
    </format>
    <format dxfId="2740">
      <pivotArea dataOnly="0" labelOnly="1" fieldPosition="0">
        <references count="1">
          <reference field="0" count="0"/>
        </references>
      </pivotArea>
    </format>
    <format dxfId="2739">
      <pivotArea dataOnly="0" labelOnly="1" grandRow="1" outline="0" fieldPosition="0"/>
    </format>
    <format dxfId="273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9" firstHeaderRow="0" firstDataRow="1" firstDataCol="1"/>
  <pivotFields count="39">
    <pivotField axis="axisRow" showAll="0" measureFilter="1" sortType="ascending">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6">
    <i>
      <x v="39"/>
    </i>
    <i>
      <x v="40"/>
    </i>
    <i>
      <x v="36"/>
    </i>
    <i>
      <x v="35"/>
    </i>
    <i>
      <x v="37"/>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2756">
      <pivotArea dataOnly="0" labelOnly="1" outline="0" axis="axisValues" fieldPosition="0"/>
    </format>
    <format dxfId="2755">
      <pivotArea dataOnly="0" labelOnly="1" outline="0" axis="axisValues" fieldPosition="0"/>
    </format>
    <format dxfId="2754">
      <pivotArea outline="0" collapsedLevelsAreSubtotals="1" fieldPosition="0"/>
    </format>
    <format dxfId="2753">
      <pivotArea type="all" dataOnly="0" outline="0" fieldPosition="0"/>
    </format>
    <format dxfId="2752">
      <pivotArea outline="0" collapsedLevelsAreSubtotals="1" fieldPosition="0"/>
    </format>
    <format dxfId="2751">
      <pivotArea field="0" type="button" dataOnly="0" labelOnly="1" outline="0" axis="axisRow" fieldPosition="0"/>
    </format>
    <format dxfId="2750">
      <pivotArea dataOnly="0" labelOnly="1" fieldPosition="0">
        <references count="1">
          <reference field="0" count="0"/>
        </references>
      </pivotArea>
    </format>
    <format dxfId="2749">
      <pivotArea dataOnly="0" labelOnly="1" grandRow="1" outline="0" fieldPosition="0"/>
    </format>
    <format dxfId="2748">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8" firstHeaderRow="1" firstDataRow="1" firstDataCol="1"/>
  <pivotFields count="28">
    <pivotField showAll="0">
      <items count="6">
        <item x="3"/>
        <item x="2"/>
        <item x="1"/>
        <item x="4"/>
        <item x="0"/>
        <item t="default"/>
      </items>
    </pivotField>
    <pivotField showAll="0"/>
    <pivotField showAll="0"/>
    <pivotField showAll="0"/>
    <pivotField showAll="0"/>
    <pivotField axis="axisRow" showAll="0" sortType="ascending">
      <items count="3">
        <item n="1BR" x="1"/>
        <item n="2BR"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5"/>
  </rowFields>
  <rowItems count="3">
    <i>
      <x/>
    </i>
    <i>
      <x v="1"/>
    </i>
    <i t="grand">
      <x/>
    </i>
  </rowItems>
  <colItems count="1">
    <i/>
  </colItems>
  <dataFields count="1">
    <dataField name="Average of Concessions as % of Asking Rent" fld="21" subtotal="average" baseField="5" baseItem="1"/>
  </dataFields>
  <formats count="12">
    <format dxfId="2768">
      <pivotArea outline="0" collapsedLevelsAreSubtotals="1" fieldPosition="0"/>
    </format>
    <format dxfId="2767">
      <pivotArea outline="0" collapsedLevelsAreSubtotals="1" fieldPosition="0"/>
    </format>
    <format dxfId="2766">
      <pivotArea dataOnly="0" labelOnly="1" outline="0" axis="axisValues" fieldPosition="0"/>
    </format>
    <format dxfId="2765">
      <pivotArea outline="0" collapsedLevelsAreSubtotals="1" fieldPosition="0"/>
    </format>
    <format dxfId="2764">
      <pivotArea outline="0" collapsedLevelsAreSubtotals="1" fieldPosition="0"/>
    </format>
    <format dxfId="2763">
      <pivotArea outline="0" collapsedLevelsAreSubtotals="1" fieldPosition="0"/>
    </format>
    <format dxfId="2762">
      <pivotArea type="all" dataOnly="0" outline="0" fieldPosition="0"/>
    </format>
    <format dxfId="2761">
      <pivotArea outline="0" collapsedLevelsAreSubtotals="1" fieldPosition="0"/>
    </format>
    <format dxfId="2760">
      <pivotArea field="5" type="button" dataOnly="0" labelOnly="1" outline="0" axis="axisRow" fieldPosition="0"/>
    </format>
    <format dxfId="2759">
      <pivotArea dataOnly="0" labelOnly="1" fieldPosition="0">
        <references count="1">
          <reference field="5" count="0"/>
        </references>
      </pivotArea>
    </format>
    <format dxfId="2758">
      <pivotArea dataOnly="0" labelOnly="1" grandRow="1" outline="0" fieldPosition="0"/>
    </format>
    <format dxfId="275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0" firstHeaderRow="0" firstDataRow="1" firstDataCol="1"/>
  <pivotFields count="28">
    <pivotField showAll="0" defaultSubtotal="0">
      <items count="5">
        <item x="3"/>
        <item x="2"/>
        <item x="1"/>
        <item x="4"/>
        <item x="0"/>
      </items>
    </pivotField>
    <pivotField showAll="0" defaultSubtotal="0"/>
    <pivotField showAll="0" defaultSubtotal="0"/>
    <pivotField showAll="0" defaultSubtotal="0"/>
    <pivotField showAll="0" defaultSubtotal="0"/>
    <pivotField showAll="0" sortType="ascending" defaultSubtotal="0">
      <items count="2">
        <item x="1"/>
        <item x="0"/>
      </items>
    </pivotField>
    <pivotField showAll="0" defaultSubtotal="0"/>
    <pivotField subtotalTop="0" showAll="0" defaultSubtotal="0"/>
    <pivotField showAll="0" defaultSubtotal="0"/>
    <pivotField showAll="0" defaultSubtotal="0"/>
    <pivotField axis="axisRow" showAll="0" defaultSubtotal="0">
      <items count="65">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5">
        <item x="0"/>
        <item x="4"/>
        <item x="1"/>
        <item x="2"/>
        <item x="3"/>
      </items>
    </pivotField>
    <pivotField subtotalTop="0" dragToRow="0" dragToCol="0" dragToPage="0" showAll="0" defaultSubtotal="0"/>
    <pivotField subtotalTop="0" dragToRow="0" dragToCol="0" dragToPage="0" showAll="0" defaultSubtotal="0"/>
  </pivotFields>
  <rowFields count="3">
    <field x="25"/>
    <field x="23"/>
    <field x="10"/>
  </rowFields>
  <rowItems count="27">
    <i>
      <x v="2"/>
    </i>
    <i r="1">
      <x v="10"/>
    </i>
    <i r="1">
      <x v="11"/>
    </i>
    <i>
      <x v="3"/>
    </i>
    <i r="1">
      <x v="1"/>
    </i>
    <i r="1">
      <x v="2"/>
    </i>
    <i r="1">
      <x v="3"/>
    </i>
    <i r="1">
      <x v="4"/>
    </i>
    <i r="1">
      <x v="5"/>
    </i>
    <i r="1">
      <x v="6"/>
    </i>
    <i r="1">
      <x v="7"/>
    </i>
    <i r="1">
      <x v="8"/>
    </i>
    <i r="1">
      <x v="11"/>
    </i>
    <i r="1">
      <x v="12"/>
    </i>
    <i>
      <x v="4"/>
    </i>
    <i r="1">
      <x v="1"/>
    </i>
    <i r="1">
      <x v="2"/>
    </i>
    <i r="1">
      <x v="3"/>
    </i>
    <i r="1">
      <x v="4"/>
    </i>
    <i r="1">
      <x v="5"/>
    </i>
    <i r="1">
      <x v="6"/>
    </i>
    <i r="1">
      <x v="7"/>
    </i>
    <i r="1">
      <x v="8"/>
    </i>
    <i r="1">
      <x v="9"/>
    </i>
    <i r="1">
      <x v="10"/>
    </i>
    <i r="1">
      <x v="11"/>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8">
    <format dxfId="2816">
      <pivotArea outline="0" collapsedLevelsAreSubtotals="1" fieldPosition="0"/>
    </format>
    <format dxfId="2815">
      <pivotArea dataOnly="0" labelOnly="1" outline="0" axis="axisValues" fieldPosition="0"/>
    </format>
    <format dxfId="2814">
      <pivotArea outline="0" collapsedLevelsAreSubtotals="1" fieldPosition="0"/>
    </format>
    <format dxfId="2813">
      <pivotArea field="25" type="button" dataOnly="0" labelOnly="1" outline="0" axis="axisRow" fieldPosition="0"/>
    </format>
    <format dxfId="2812">
      <pivotArea field="24" type="button" dataOnly="0" labelOnly="1" outline="0"/>
    </format>
    <format dxfId="2811">
      <pivotArea field="23" type="button" dataOnly="0" labelOnly="1" outline="0" axis="axisRow" fieldPosition="1"/>
    </format>
    <format dxfId="2810">
      <pivotArea field="10" type="button" dataOnly="0" labelOnly="1" outline="0" axis="axisRow" fieldPosition="2"/>
    </format>
    <format dxfId="2809">
      <pivotArea type="topRight" dataOnly="0" labelOnly="1" outline="0" fieldPosition="0"/>
    </format>
    <format dxfId="2808">
      <pivotArea dataOnly="0" labelOnly="1" fieldPosition="0">
        <references count="1">
          <reference field="25" count="2">
            <x v="2"/>
            <x v="3"/>
          </reference>
        </references>
      </pivotArea>
    </format>
    <format dxfId="2807">
      <pivotArea outline="0" collapsedLevelsAreSubtotals="1" fieldPosition="0"/>
    </format>
    <format dxfId="2806">
      <pivotArea dataOnly="0" labelOnly="1" outline="0" axis="axisValues" fieldPosition="0"/>
    </format>
    <format dxfId="2805">
      <pivotArea collapsedLevelsAreSubtotals="1" fieldPosition="0">
        <references count="2">
          <reference field="23" count="1">
            <x v="6"/>
          </reference>
          <reference field="25" count="1" selected="0">
            <x v="2"/>
          </reference>
        </references>
      </pivotArea>
    </format>
    <format dxfId="2804">
      <pivotArea collapsedLevelsAreSubtotals="1" fieldPosition="0">
        <references count="2">
          <reference field="23" count="1">
            <x v="7"/>
          </reference>
          <reference field="25" count="1" selected="0">
            <x v="2"/>
          </reference>
        </references>
      </pivotArea>
    </format>
    <format dxfId="2803">
      <pivotArea collapsedLevelsAreSubtotals="1" fieldPosition="0">
        <references count="2">
          <reference field="23" count="1">
            <x v="8"/>
          </reference>
          <reference field="25" count="1" selected="0">
            <x v="2"/>
          </reference>
        </references>
      </pivotArea>
    </format>
    <format dxfId="2802">
      <pivotArea collapsedLevelsAreSubtotals="1" fieldPosition="0">
        <references count="2">
          <reference field="23" count="1">
            <x v="9"/>
          </reference>
          <reference field="25" count="1" selected="0">
            <x v="2"/>
          </reference>
        </references>
      </pivotArea>
    </format>
    <format dxfId="2801">
      <pivotArea collapsedLevelsAreSubtotals="1" fieldPosition="0">
        <references count="2">
          <reference field="23" count="1">
            <x v="10"/>
          </reference>
          <reference field="25" count="1" selected="0">
            <x v="2"/>
          </reference>
        </references>
      </pivotArea>
    </format>
    <format dxfId="2800">
      <pivotArea collapsedLevelsAreSubtotals="1" fieldPosition="0">
        <references count="2">
          <reference field="23" count="1">
            <x v="11"/>
          </reference>
          <reference field="25" count="1" selected="0">
            <x v="2"/>
          </reference>
        </references>
      </pivotArea>
    </format>
    <format dxfId="2799">
      <pivotArea collapsedLevelsAreSubtotals="1" fieldPosition="0">
        <references count="2">
          <reference field="23" count="1">
            <x v="12"/>
          </reference>
          <reference field="25" count="1" selected="0">
            <x v="2"/>
          </reference>
        </references>
      </pivotArea>
    </format>
    <format dxfId="2798">
      <pivotArea collapsedLevelsAreSubtotals="1" fieldPosition="0">
        <references count="1">
          <reference field="25" count="1">
            <x v="3"/>
          </reference>
        </references>
      </pivotArea>
    </format>
    <format dxfId="2797">
      <pivotArea collapsedLevelsAreSubtotals="1" fieldPosition="0">
        <references count="2">
          <reference field="23" count="1">
            <x v="1"/>
          </reference>
          <reference field="25" count="1" selected="0">
            <x v="3"/>
          </reference>
        </references>
      </pivotArea>
    </format>
    <format dxfId="2796">
      <pivotArea collapsedLevelsAreSubtotals="1" fieldPosition="0">
        <references count="2">
          <reference field="23" count="1">
            <x v="2"/>
          </reference>
          <reference field="25" count="1" selected="0">
            <x v="3"/>
          </reference>
        </references>
      </pivotArea>
    </format>
    <format dxfId="2795">
      <pivotArea collapsedLevelsAreSubtotals="1" fieldPosition="0">
        <references count="2">
          <reference field="23" count="1">
            <x v="3"/>
          </reference>
          <reference field="25" count="1" selected="0">
            <x v="3"/>
          </reference>
        </references>
      </pivotArea>
    </format>
    <format dxfId="2794">
      <pivotArea collapsedLevelsAreSubtotals="1" fieldPosition="0">
        <references count="2">
          <reference field="23" count="1">
            <x v="4"/>
          </reference>
          <reference field="25" count="1" selected="0">
            <x v="3"/>
          </reference>
        </references>
      </pivotArea>
    </format>
    <format dxfId="2793">
      <pivotArea collapsedLevelsAreSubtotals="1" fieldPosition="0">
        <references count="2">
          <reference field="23" count="1">
            <x v="5"/>
          </reference>
          <reference field="25" count="1" selected="0">
            <x v="3"/>
          </reference>
        </references>
      </pivotArea>
    </format>
    <format dxfId="2792">
      <pivotArea outline="0" collapsedLevelsAreSubtotals="1" fieldPosition="0"/>
    </format>
    <format dxfId="2791">
      <pivotArea dataOnly="0" labelOnly="1" outline="0" fieldPosition="0">
        <references count="1">
          <reference field="4294967294" count="1">
            <x v="1"/>
          </reference>
        </references>
      </pivotArea>
    </format>
    <format dxfId="2790">
      <pivotArea collapsedLevelsAreSubtotals="1" fieldPosition="0">
        <references count="2">
          <reference field="23" count="1">
            <x v="6"/>
          </reference>
          <reference field="25" count="1" selected="0">
            <x v="3"/>
          </reference>
        </references>
      </pivotArea>
    </format>
    <format dxfId="2789">
      <pivotArea grandRow="1" outline="0" collapsedLevelsAreSubtotals="1" fieldPosition="0"/>
    </format>
    <format dxfId="2788">
      <pivotArea outline="0" collapsedLevelsAreSubtotals="1" fieldPosition="0"/>
    </format>
    <format dxfId="2787">
      <pivotArea dataOnly="0" labelOnly="1" outline="0" fieldPosition="0">
        <references count="1">
          <reference field="4294967294" count="1">
            <x v="1"/>
          </reference>
        </references>
      </pivotArea>
    </format>
    <format dxfId="2786">
      <pivotArea type="all" dataOnly="0" outline="0" fieldPosition="0"/>
    </format>
    <format dxfId="2785">
      <pivotArea outline="0" collapsedLevelsAreSubtotals="1" fieldPosition="0"/>
    </format>
    <format dxfId="2784">
      <pivotArea field="25" type="button" dataOnly="0" labelOnly="1" outline="0" axis="axisRow" fieldPosition="0"/>
    </format>
    <format dxfId="2783">
      <pivotArea dataOnly="0" labelOnly="1" fieldPosition="0">
        <references count="1">
          <reference field="25" count="2">
            <x v="2"/>
            <x v="3"/>
          </reference>
        </references>
      </pivotArea>
    </format>
    <format dxfId="2782">
      <pivotArea dataOnly="0" labelOnly="1" grandRow="1" outline="0" fieldPosition="0"/>
    </format>
    <format dxfId="2781">
      <pivotArea dataOnly="0" labelOnly="1" fieldPosition="0">
        <references count="2">
          <reference field="23" count="7">
            <x v="6"/>
            <x v="7"/>
            <x v="8"/>
            <x v="9"/>
            <x v="10"/>
            <x v="11"/>
            <x v="12"/>
          </reference>
          <reference field="25" count="1" selected="0">
            <x v="2"/>
          </reference>
        </references>
      </pivotArea>
    </format>
    <format dxfId="2780">
      <pivotArea dataOnly="0" labelOnly="1" fieldPosition="0">
        <references count="2">
          <reference field="23" count="6">
            <x v="1"/>
            <x v="2"/>
            <x v="3"/>
            <x v="4"/>
            <x v="5"/>
            <x v="6"/>
          </reference>
          <reference field="25" count="1" selected="0">
            <x v="3"/>
          </reference>
        </references>
      </pivotArea>
    </format>
    <format dxfId="2779">
      <pivotArea dataOnly="0" labelOnly="1" outline="0" fieldPosition="0">
        <references count="1">
          <reference field="4294967294" count="1">
            <x v="1"/>
          </reference>
        </references>
      </pivotArea>
    </format>
    <format dxfId="2778">
      <pivotArea type="all" dataOnly="0" outline="0" fieldPosition="0"/>
    </format>
    <format dxfId="2777">
      <pivotArea outline="0" collapsedLevelsAreSubtotals="1" fieldPosition="0"/>
    </format>
    <format dxfId="2776">
      <pivotArea field="25" type="button" dataOnly="0" labelOnly="1" outline="0" axis="axisRow" fieldPosition="0"/>
    </format>
    <format dxfId="2775">
      <pivotArea dataOnly="0" labelOnly="1" fieldPosition="0">
        <references count="1">
          <reference field="25" count="2">
            <x v="2"/>
            <x v="3"/>
          </reference>
        </references>
      </pivotArea>
    </format>
    <format dxfId="2774">
      <pivotArea dataOnly="0" labelOnly="1" grandRow="1" outline="0" fieldPosition="0"/>
    </format>
    <format dxfId="2773">
      <pivotArea dataOnly="0" labelOnly="1" fieldPosition="0">
        <references count="2">
          <reference field="23" count="7">
            <x v="6"/>
            <x v="7"/>
            <x v="8"/>
            <x v="9"/>
            <x v="10"/>
            <x v="11"/>
            <x v="12"/>
          </reference>
          <reference field="25" count="1" selected="0">
            <x v="2"/>
          </reference>
        </references>
      </pivotArea>
    </format>
    <format dxfId="2772">
      <pivotArea dataOnly="0" labelOnly="1" fieldPosition="0">
        <references count="2">
          <reference field="23" count="6">
            <x v="1"/>
            <x v="2"/>
            <x v="3"/>
            <x v="4"/>
            <x v="5"/>
            <x v="6"/>
          </reference>
          <reference field="25" count="1" selected="0">
            <x v="3"/>
          </reference>
        </references>
      </pivotArea>
    </format>
    <format dxfId="2771">
      <pivotArea dataOnly="0" labelOnly="1" outline="0" fieldPosition="0">
        <references count="1">
          <reference field="4294967294" count="2">
            <x v="0"/>
            <x v="1"/>
          </reference>
        </references>
      </pivotArea>
    </format>
    <format dxfId="2770">
      <pivotArea outline="0" collapsedLevelsAreSubtotals="1" fieldPosition="0"/>
    </format>
    <format dxfId="2769">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6" firstHeaderRow="1" firstDataRow="1" firstDataCol="1"/>
  <pivotFields count="28">
    <pivotField showAll="0" sortType="ascending">
      <items count="6">
        <item x="3"/>
        <item x="2"/>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3">
        <item n="1BR" x="1"/>
        <item n="2BR"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5"/>
  </rowFields>
  <rowItems count="3">
    <i>
      <x v="1"/>
    </i>
    <i>
      <x/>
    </i>
    <i t="grand">
      <x/>
    </i>
  </rowItems>
  <colItems count="1">
    <i/>
  </colItems>
  <dataFields count="1">
    <dataField name="Average of Days on Mkt" fld="12" subtotal="average" baseField="0" baseItem="3" numFmtId="3"/>
  </dataFields>
  <formats count="10">
    <format dxfId="2826">
      <pivotArea outline="0" collapsedLevelsAreSubtotals="1" fieldPosition="0"/>
    </format>
    <format dxfId="2825">
      <pivotArea dataOnly="0" labelOnly="1" outline="0" fieldPosition="0">
        <references count="1">
          <reference field="4294967294" count="1">
            <x v="0"/>
          </reference>
        </references>
      </pivotArea>
    </format>
    <format dxfId="2824">
      <pivotArea outline="0" collapsedLevelsAreSubtotals="1" fieldPosition="0"/>
    </format>
    <format dxfId="2823">
      <pivotArea dataOnly="0" labelOnly="1" outline="0" axis="axisValues" fieldPosition="0"/>
    </format>
    <format dxfId="2822">
      <pivotArea type="all" dataOnly="0" outline="0" fieldPosition="0"/>
    </format>
    <format dxfId="2821">
      <pivotArea outline="0" collapsedLevelsAreSubtotals="1" fieldPosition="0"/>
    </format>
    <format dxfId="2820">
      <pivotArea field="5" type="button" dataOnly="0" labelOnly="1" outline="0" axis="axisRow" fieldPosition="0"/>
    </format>
    <format dxfId="2819">
      <pivotArea dataOnly="0" labelOnly="1" fieldPosition="0">
        <references count="1">
          <reference field="5" count="0"/>
        </references>
      </pivotArea>
    </format>
    <format dxfId="2818">
      <pivotArea dataOnly="0" labelOnly="1" grandRow="1" outline="0" fieldPosition="0"/>
    </format>
    <format dxfId="281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9" firstHeaderRow="0" firstDataRow="1" firstDataCol="1"/>
  <pivotFields count="39">
    <pivotField axis="axisRow" showAll="0" measureFilter="1" sortType="ascending">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39"/>
    </i>
    <i>
      <x v="40"/>
    </i>
    <i>
      <x v="36"/>
    </i>
    <i>
      <x v="35"/>
    </i>
    <i>
      <x v="37"/>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2840">
      <pivotArea outline="0" collapsedLevelsAreSubtotals="1" fieldPosition="0"/>
    </format>
    <format dxfId="2839">
      <pivotArea dataOnly="0" labelOnly="1" outline="0" axis="axisValues" fieldPosition="0"/>
    </format>
    <format dxfId="2838">
      <pivotArea dataOnly="0" labelOnly="1" outline="0" axis="axisValues" fieldPosition="0"/>
    </format>
    <format dxfId="2837">
      <pivotArea outline="0" collapsedLevelsAreSubtotals="1" fieldPosition="0"/>
    </format>
    <format dxfId="2836">
      <pivotArea outline="0" collapsedLevelsAreSubtotals="1" fieldPosition="0"/>
    </format>
    <format dxfId="2835">
      <pivotArea dataOnly="0" labelOnly="1" outline="0" fieldPosition="0">
        <references count="1">
          <reference field="4294967294" count="1">
            <x v="0"/>
          </reference>
        </references>
      </pivotArea>
    </format>
    <format dxfId="2834">
      <pivotArea dataOnly="0" labelOnly="1" outline="0" fieldPosition="0">
        <references count="1">
          <reference field="4294967294" count="1">
            <x v="1"/>
          </reference>
        </references>
      </pivotArea>
    </format>
    <format dxfId="2833">
      <pivotArea outline="0" collapsedLevelsAreSubtotals="1" fieldPosition="0">
        <references count="1">
          <reference field="4294967294" count="1" selected="0">
            <x v="1"/>
          </reference>
        </references>
      </pivotArea>
    </format>
    <format dxfId="2832">
      <pivotArea type="all" dataOnly="0" outline="0" fieldPosition="0"/>
    </format>
    <format dxfId="2831">
      <pivotArea outline="0" collapsedLevelsAreSubtotals="1" fieldPosition="0"/>
    </format>
    <format dxfId="2830">
      <pivotArea field="0" type="button" dataOnly="0" labelOnly="1" outline="0" axis="axisRow" fieldPosition="0"/>
    </format>
    <format dxfId="2829">
      <pivotArea dataOnly="0" labelOnly="1" fieldPosition="0">
        <references count="1">
          <reference field="0" count="0"/>
        </references>
      </pivotArea>
    </format>
    <format dxfId="2828">
      <pivotArea dataOnly="0" labelOnly="1" grandRow="1" outline="0" fieldPosition="0"/>
    </format>
    <format dxfId="282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9" firstHeaderRow="0" firstDataRow="1" firstDataCol="1"/>
  <pivotFields count="39">
    <pivotField axis="axisRow" showAll="0" measureFilter="1" sortType="ascending">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6">
    <i>
      <x v="39"/>
    </i>
    <i>
      <x v="40"/>
    </i>
    <i>
      <x v="36"/>
    </i>
    <i>
      <x v="35"/>
    </i>
    <i>
      <x v="37"/>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2854">
      <pivotArea dataOnly="0" labelOnly="1" outline="0" axis="axisValues" fieldPosition="0"/>
    </format>
    <format dxfId="2853">
      <pivotArea dataOnly="0" labelOnly="1" outline="0" axis="axisValues" fieldPosition="0"/>
    </format>
    <format dxfId="2852">
      <pivotArea dataOnly="0" labelOnly="1" outline="0" axis="axisValues" fieldPosition="0"/>
    </format>
    <format dxfId="2851">
      <pivotArea outline="0" collapsedLevelsAreSubtotals="1" fieldPosition="0"/>
    </format>
    <format dxfId="2850">
      <pivotArea dataOnly="0" labelOnly="1" outline="0" fieldPosition="0">
        <references count="1">
          <reference field="4294967294" count="1">
            <x v="1"/>
          </reference>
        </references>
      </pivotArea>
    </format>
    <format dxfId="2849">
      <pivotArea dataOnly="0" labelOnly="1" outline="0" fieldPosition="0">
        <references count="1">
          <reference field="4294967294" count="1">
            <x v="1"/>
          </reference>
        </references>
      </pivotArea>
    </format>
    <format dxfId="2848">
      <pivotArea dataOnly="0" labelOnly="1" outline="0" fieldPosition="0">
        <references count="1">
          <reference field="4294967294" count="1">
            <x v="0"/>
          </reference>
        </references>
      </pivotArea>
    </format>
    <format dxfId="2847">
      <pivotArea outline="0" collapsedLevelsAreSubtotals="1" fieldPosition="0">
        <references count="1">
          <reference field="4294967294" count="1" selected="0">
            <x v="0"/>
          </reference>
        </references>
      </pivotArea>
    </format>
    <format dxfId="2846">
      <pivotArea type="all" dataOnly="0" outline="0" fieldPosition="0"/>
    </format>
    <format dxfId="2845">
      <pivotArea outline="0" collapsedLevelsAreSubtotals="1" fieldPosition="0"/>
    </format>
    <format dxfId="2844">
      <pivotArea field="0" type="button" dataOnly="0" labelOnly="1" outline="0" axis="axisRow" fieldPosition="0"/>
    </format>
    <format dxfId="2843">
      <pivotArea dataOnly="0" labelOnly="1" fieldPosition="0">
        <references count="1">
          <reference field="0" count="0"/>
        </references>
      </pivotArea>
    </format>
    <format dxfId="2842">
      <pivotArea dataOnly="0" labelOnly="1" grandRow="1" outline="0" fieldPosition="0"/>
    </format>
    <format dxfId="2841">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6" firstHeaderRow="0" firstDataRow="1" firstDataCol="1" rowPageCount="1" colPageCount="1"/>
  <pivotFields count="28">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1">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2868">
      <pivotArea outline="0" collapsedLevelsAreSubtotals="1" fieldPosition="0"/>
    </format>
    <format dxfId="2867">
      <pivotArea outline="0" collapsedLevelsAreSubtotals="1" fieldPosition="0"/>
    </format>
    <format dxfId="2866">
      <pivotArea dataOnly="0" labelOnly="1" outline="0" axis="axisValues" fieldPosition="0"/>
    </format>
    <format dxfId="2865">
      <pivotArea outline="0" collapsedLevelsAreSubtotals="1" fieldPosition="0"/>
    </format>
    <format dxfId="2864">
      <pivotArea outline="0" collapsedLevelsAreSubtotals="1" fieldPosition="0"/>
    </format>
    <format dxfId="2863">
      <pivotArea outline="0" collapsedLevelsAreSubtotals="1" fieldPosition="0"/>
    </format>
    <format dxfId="2862">
      <pivotArea outline="0" collapsedLevelsAreSubtotals="1" fieldPosition="0"/>
    </format>
    <format dxfId="2861">
      <pivotArea dataOnly="0" labelOnly="1" outline="0" fieldPosition="0">
        <references count="1">
          <reference field="4294967294" count="1">
            <x v="1"/>
          </reference>
        </references>
      </pivotArea>
    </format>
    <format dxfId="2860">
      <pivotArea type="all" dataOnly="0" outline="0" fieldPosition="0"/>
    </format>
    <format dxfId="2859">
      <pivotArea outline="0" collapsedLevelsAreSubtotals="1" fieldPosition="0"/>
    </format>
    <format dxfId="2858">
      <pivotArea field="0" type="button" dataOnly="0" labelOnly="1" outline="0" axis="axisRow" fieldPosition="0"/>
    </format>
    <format dxfId="2857">
      <pivotArea dataOnly="0" labelOnly="1" fieldPosition="0">
        <references count="1">
          <reference field="0" count="0"/>
        </references>
      </pivotArea>
    </format>
    <format dxfId="2856">
      <pivotArea dataOnly="0" labelOnly="1" grandRow="1" outline="0" fieldPosition="0"/>
    </format>
    <format dxfId="2855">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6" firstHeaderRow="0" firstDataRow="1" firstDataCol="1"/>
  <pivotFields count="39">
    <pivotField axis="axisRow" showAll="0" measureFilter="1" sortType="ascending">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v="35"/>
    </i>
    <i>
      <x v="36"/>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2877">
      <pivotArea dataOnly="0" labelOnly="1" outline="0" axis="axisValues" fieldPosition="0"/>
    </format>
    <format dxfId="2876">
      <pivotArea dataOnly="0" labelOnly="1" outline="0" axis="axisValues" fieldPosition="0"/>
    </format>
    <format dxfId="2875">
      <pivotArea outline="0" collapsedLevelsAreSubtotals="1" fieldPosition="0"/>
    </format>
    <format dxfId="2874">
      <pivotArea type="all" dataOnly="0" outline="0" fieldPosition="0"/>
    </format>
    <format dxfId="2873">
      <pivotArea outline="0" collapsedLevelsAreSubtotals="1" fieldPosition="0"/>
    </format>
    <format dxfId="2872">
      <pivotArea field="0" type="button" dataOnly="0" labelOnly="1" outline="0" axis="axisRow" fieldPosition="0"/>
    </format>
    <format dxfId="2871">
      <pivotArea dataOnly="0" labelOnly="1" fieldPosition="0">
        <references count="1">
          <reference field="0" count="0"/>
        </references>
      </pivotArea>
    </format>
    <format dxfId="2870">
      <pivotArea dataOnly="0" labelOnly="1" grandRow="1" outline="0" fieldPosition="0"/>
    </format>
    <format dxfId="2869">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4" firstHeaderRow="0" firstDataRow="1" firstDataCol="1"/>
  <pivotFields count="39">
    <pivotField axis="axisRow" showAll="0" measureFilter="1" sortType="ascending">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2889">
      <pivotArea dataOnly="0" labelOnly="1" outline="0" axis="axisValues" fieldPosition="0"/>
    </format>
    <format dxfId="2888">
      <pivotArea dataOnly="0" labelOnly="1" outline="0" axis="axisValues" fieldPosition="0"/>
    </format>
    <format dxfId="2887">
      <pivotArea dataOnly="0" labelOnly="1" outline="0" fieldPosition="0">
        <references count="1">
          <reference field="4294967294" count="2">
            <x v="0"/>
            <x v="1"/>
          </reference>
        </references>
      </pivotArea>
    </format>
    <format dxfId="2886">
      <pivotArea outline="0" collapsedLevelsAreSubtotals="1" fieldPosition="0"/>
    </format>
    <format dxfId="2885">
      <pivotArea type="all" dataOnly="0" outline="0" fieldPosition="0"/>
    </format>
    <format dxfId="2884">
      <pivotArea outline="0" collapsedLevelsAreSubtotals="1" fieldPosition="0"/>
    </format>
    <format dxfId="2883">
      <pivotArea field="0" type="button" dataOnly="0" labelOnly="1" outline="0" axis="axisRow" fieldPosition="0"/>
    </format>
    <format dxfId="2882">
      <pivotArea dataOnly="0" labelOnly="1" fieldPosition="0">
        <references count="1">
          <reference field="0" count="6">
            <x v="13"/>
            <x v="15"/>
            <x v="16"/>
            <x v="17"/>
            <x v="21"/>
            <x v="22"/>
          </reference>
        </references>
      </pivotArea>
    </format>
    <format dxfId="2881">
      <pivotArea dataOnly="0" labelOnly="1" grandRow="1" outline="0" fieldPosition="0"/>
    </format>
    <format dxfId="2880">
      <pivotArea dataOnly="0" labelOnly="1" outline="0" fieldPosition="0">
        <references count="1">
          <reference field="4294967294" count="2">
            <x v="0"/>
            <x v="1"/>
          </reference>
        </references>
      </pivotArea>
    </format>
    <format dxfId="2879">
      <pivotArea outline="0" collapsedLevelsAreSubtotals="1" fieldPosition="0"/>
    </format>
    <format dxfId="2878">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0" firstHeaderRow="0" firstDataRow="1" firstDataCol="1"/>
  <pivotFields count="28">
    <pivotField showAll="0">
      <items count="6">
        <item x="3"/>
        <item x="2"/>
        <item x="1"/>
        <item x="4"/>
        <item x="0"/>
        <item t="default"/>
      </items>
    </pivotField>
    <pivotField showAll="0"/>
    <pivotField showAll="0"/>
    <pivotField showAll="0"/>
    <pivotField showAll="0"/>
    <pivotField showAll="0" sortType="ascending">
      <items count="3">
        <item x="1"/>
        <item x="0"/>
        <item t="default"/>
      </items>
    </pivotField>
    <pivotField showAll="0"/>
    <pivotField showAll="0"/>
    <pivotField showAll="0"/>
    <pivotField showAll="0"/>
    <pivotField axis="axisRow"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6">
        <item x="0"/>
        <item x="4"/>
        <item x="1"/>
        <item x="2"/>
        <item x="3"/>
        <item t="default"/>
      </items>
    </pivotField>
    <pivotField dragToRow="0" dragToCol="0" dragToPage="0" showAll="0" defaultSubtotal="0"/>
    <pivotField dragToRow="0" dragToCol="0" dragToPage="0" showAll="0" defaultSubtotal="0"/>
  </pivotFields>
  <rowFields count="3">
    <field x="25"/>
    <field x="23"/>
    <field x="10"/>
  </rowFields>
  <rowItems count="27">
    <i>
      <x v="2"/>
    </i>
    <i r="1">
      <x v="10"/>
    </i>
    <i r="1">
      <x v="11"/>
    </i>
    <i>
      <x v="3"/>
    </i>
    <i r="1">
      <x v="1"/>
    </i>
    <i r="1">
      <x v="2"/>
    </i>
    <i r="1">
      <x v="3"/>
    </i>
    <i r="1">
      <x v="4"/>
    </i>
    <i r="1">
      <x v="5"/>
    </i>
    <i r="1">
      <x v="6"/>
    </i>
    <i r="1">
      <x v="7"/>
    </i>
    <i r="1">
      <x v="8"/>
    </i>
    <i r="1">
      <x v="11"/>
    </i>
    <i r="1">
      <x v="12"/>
    </i>
    <i>
      <x v="4"/>
    </i>
    <i r="1">
      <x v="1"/>
    </i>
    <i r="1">
      <x v="2"/>
    </i>
    <i r="1">
      <x v="3"/>
    </i>
    <i r="1">
      <x v="4"/>
    </i>
    <i r="1">
      <x v="5"/>
    </i>
    <i r="1">
      <x v="6"/>
    </i>
    <i r="1">
      <x v="7"/>
    </i>
    <i r="1">
      <x v="8"/>
    </i>
    <i r="1">
      <x v="9"/>
    </i>
    <i r="1">
      <x v="10"/>
    </i>
    <i r="1">
      <x v="11"/>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2934">
      <pivotArea outline="0" collapsedLevelsAreSubtotals="1" fieldPosition="0"/>
    </format>
    <format dxfId="2933">
      <pivotArea dataOnly="0" labelOnly="1" outline="0" axis="axisValues" fieldPosition="0"/>
    </format>
    <format dxfId="2932">
      <pivotArea outline="0" collapsedLevelsAreSubtotals="1" fieldPosition="0"/>
    </format>
    <format dxfId="2931">
      <pivotArea field="25" type="button" dataOnly="0" labelOnly="1" outline="0" axis="axisRow" fieldPosition="0"/>
    </format>
    <format dxfId="2930">
      <pivotArea field="24" type="button" dataOnly="0" labelOnly="1" outline="0"/>
    </format>
    <format dxfId="2929">
      <pivotArea field="23" type="button" dataOnly="0" labelOnly="1" outline="0" axis="axisRow" fieldPosition="1"/>
    </format>
    <format dxfId="2928">
      <pivotArea field="10" type="button" dataOnly="0" labelOnly="1" outline="0" axis="axisRow" fieldPosition="2"/>
    </format>
    <format dxfId="2927">
      <pivotArea type="topRight" dataOnly="0" labelOnly="1" outline="0" fieldPosition="0"/>
    </format>
    <format dxfId="2926">
      <pivotArea dataOnly="0" labelOnly="1" fieldPosition="0">
        <references count="1">
          <reference field="25" count="2">
            <x v="2"/>
            <x v="3"/>
          </reference>
        </references>
      </pivotArea>
    </format>
    <format dxfId="2925">
      <pivotArea outline="0" collapsedLevelsAreSubtotals="1" fieldPosition="0"/>
    </format>
    <format dxfId="2924">
      <pivotArea dataOnly="0" labelOnly="1" outline="0" axis="axisValues" fieldPosition="0"/>
    </format>
    <format dxfId="2923">
      <pivotArea collapsedLevelsAreSubtotals="1" fieldPosition="0">
        <references count="2">
          <reference field="23" count="1">
            <x v="6"/>
          </reference>
          <reference field="25" count="1" selected="0">
            <x v="2"/>
          </reference>
        </references>
      </pivotArea>
    </format>
    <format dxfId="2922">
      <pivotArea collapsedLevelsAreSubtotals="1" fieldPosition="0">
        <references count="2">
          <reference field="23" count="1">
            <x v="7"/>
          </reference>
          <reference field="25" count="1" selected="0">
            <x v="2"/>
          </reference>
        </references>
      </pivotArea>
    </format>
    <format dxfId="2921">
      <pivotArea collapsedLevelsAreSubtotals="1" fieldPosition="0">
        <references count="2">
          <reference field="23" count="1">
            <x v="8"/>
          </reference>
          <reference field="25" count="1" selected="0">
            <x v="2"/>
          </reference>
        </references>
      </pivotArea>
    </format>
    <format dxfId="2920">
      <pivotArea collapsedLevelsAreSubtotals="1" fieldPosition="0">
        <references count="2">
          <reference field="23" count="1">
            <x v="9"/>
          </reference>
          <reference field="25" count="1" selected="0">
            <x v="2"/>
          </reference>
        </references>
      </pivotArea>
    </format>
    <format dxfId="2919">
      <pivotArea collapsedLevelsAreSubtotals="1" fieldPosition="0">
        <references count="2">
          <reference field="23" count="1">
            <x v="10"/>
          </reference>
          <reference field="25" count="1" selected="0">
            <x v="2"/>
          </reference>
        </references>
      </pivotArea>
    </format>
    <format dxfId="2918">
      <pivotArea collapsedLevelsAreSubtotals="1" fieldPosition="0">
        <references count="2">
          <reference field="23" count="1">
            <x v="11"/>
          </reference>
          <reference field="25" count="1" selected="0">
            <x v="2"/>
          </reference>
        </references>
      </pivotArea>
    </format>
    <format dxfId="2917">
      <pivotArea collapsedLevelsAreSubtotals="1" fieldPosition="0">
        <references count="2">
          <reference field="23" count="1">
            <x v="12"/>
          </reference>
          <reference field="25" count="1" selected="0">
            <x v="2"/>
          </reference>
        </references>
      </pivotArea>
    </format>
    <format dxfId="2916">
      <pivotArea collapsedLevelsAreSubtotals="1" fieldPosition="0">
        <references count="1">
          <reference field="25" count="1">
            <x v="3"/>
          </reference>
        </references>
      </pivotArea>
    </format>
    <format dxfId="2915">
      <pivotArea collapsedLevelsAreSubtotals="1" fieldPosition="0">
        <references count="2">
          <reference field="23" count="1">
            <x v="1"/>
          </reference>
          <reference field="25" count="1" selected="0">
            <x v="3"/>
          </reference>
        </references>
      </pivotArea>
    </format>
    <format dxfId="2914">
      <pivotArea collapsedLevelsAreSubtotals="1" fieldPosition="0">
        <references count="2">
          <reference field="23" count="1">
            <x v="2"/>
          </reference>
          <reference field="25" count="1" selected="0">
            <x v="3"/>
          </reference>
        </references>
      </pivotArea>
    </format>
    <format dxfId="2913">
      <pivotArea collapsedLevelsAreSubtotals="1" fieldPosition="0">
        <references count="2">
          <reference field="23" count="1">
            <x v="3"/>
          </reference>
          <reference field="25" count="1" selected="0">
            <x v="3"/>
          </reference>
        </references>
      </pivotArea>
    </format>
    <format dxfId="2912">
      <pivotArea collapsedLevelsAreSubtotals="1" fieldPosition="0">
        <references count="2">
          <reference field="23" count="1">
            <x v="4"/>
          </reference>
          <reference field="25" count="1" selected="0">
            <x v="3"/>
          </reference>
        </references>
      </pivotArea>
    </format>
    <format dxfId="2911">
      <pivotArea collapsedLevelsAreSubtotals="1" fieldPosition="0">
        <references count="2">
          <reference field="23" count="1">
            <x v="5"/>
          </reference>
          <reference field="25" count="1" selected="0">
            <x v="3"/>
          </reference>
        </references>
      </pivotArea>
    </format>
    <format dxfId="2910">
      <pivotArea outline="0" collapsedLevelsAreSubtotals="1" fieldPosition="0"/>
    </format>
    <format dxfId="2909">
      <pivotArea collapsedLevelsAreSubtotals="1" fieldPosition="0">
        <references count="2">
          <reference field="23" count="1">
            <x v="6"/>
          </reference>
          <reference field="25" count="1" selected="0">
            <x v="3"/>
          </reference>
        </references>
      </pivotArea>
    </format>
    <format dxfId="2908">
      <pivotArea grandRow="1" outline="0" collapsedLevelsAreSubtotals="1" fieldPosition="0"/>
    </format>
    <format dxfId="2907">
      <pivotArea outline="0" collapsedLevelsAreSubtotals="1" fieldPosition="0"/>
    </format>
    <format dxfId="2906">
      <pivotArea dataOnly="0" labelOnly="1" outline="0" fieldPosition="0">
        <references count="1">
          <reference field="4294967294" count="1">
            <x v="1"/>
          </reference>
        </references>
      </pivotArea>
    </format>
    <format dxfId="2905">
      <pivotArea type="all" dataOnly="0" outline="0" fieldPosition="0"/>
    </format>
    <format dxfId="2904">
      <pivotArea outline="0" collapsedLevelsAreSubtotals="1" fieldPosition="0"/>
    </format>
    <format dxfId="2903">
      <pivotArea field="25" type="button" dataOnly="0" labelOnly="1" outline="0" axis="axisRow" fieldPosition="0"/>
    </format>
    <format dxfId="2902">
      <pivotArea dataOnly="0" labelOnly="1" fieldPosition="0">
        <references count="1">
          <reference field="25" count="2">
            <x v="2"/>
            <x v="3"/>
          </reference>
        </references>
      </pivotArea>
    </format>
    <format dxfId="2901">
      <pivotArea dataOnly="0" labelOnly="1" grandRow="1" outline="0" fieldPosition="0"/>
    </format>
    <format dxfId="2900">
      <pivotArea dataOnly="0" labelOnly="1" fieldPosition="0">
        <references count="2">
          <reference field="23" count="7">
            <x v="6"/>
            <x v="7"/>
            <x v="8"/>
            <x v="9"/>
            <x v="10"/>
            <x v="11"/>
            <x v="12"/>
          </reference>
          <reference field="25" count="1" selected="0">
            <x v="2"/>
          </reference>
        </references>
      </pivotArea>
    </format>
    <format dxfId="2899">
      <pivotArea dataOnly="0" labelOnly="1" fieldPosition="0">
        <references count="2">
          <reference field="23" count="6">
            <x v="1"/>
            <x v="2"/>
            <x v="3"/>
            <x v="4"/>
            <x v="5"/>
            <x v="6"/>
          </reference>
          <reference field="25" count="1" selected="0">
            <x v="3"/>
          </reference>
        </references>
      </pivotArea>
    </format>
    <format dxfId="2898">
      <pivotArea dataOnly="0" labelOnly="1" outline="0" fieldPosition="0">
        <references count="1">
          <reference field="4294967294" count="1">
            <x v="1"/>
          </reference>
        </references>
      </pivotArea>
    </format>
    <format dxfId="2897">
      <pivotArea type="all" dataOnly="0" outline="0" fieldPosition="0"/>
    </format>
    <format dxfId="2896">
      <pivotArea outline="0" collapsedLevelsAreSubtotals="1" fieldPosition="0"/>
    </format>
    <format dxfId="2895">
      <pivotArea field="25" type="button" dataOnly="0" labelOnly="1" outline="0" axis="axisRow" fieldPosition="0"/>
    </format>
    <format dxfId="2894">
      <pivotArea dataOnly="0" labelOnly="1" fieldPosition="0">
        <references count="1">
          <reference field="25" count="2">
            <x v="2"/>
            <x v="3"/>
          </reference>
        </references>
      </pivotArea>
    </format>
    <format dxfId="2893">
      <pivotArea dataOnly="0" labelOnly="1" grandRow="1" outline="0" fieldPosition="0"/>
    </format>
    <format dxfId="2892">
      <pivotArea dataOnly="0" labelOnly="1" fieldPosition="0">
        <references count="2">
          <reference field="23" count="7">
            <x v="6"/>
            <x v="7"/>
            <x v="8"/>
            <x v="9"/>
            <x v="10"/>
            <x v="11"/>
            <x v="12"/>
          </reference>
          <reference field="25" count="1" selected="0">
            <x v="2"/>
          </reference>
        </references>
      </pivotArea>
    </format>
    <format dxfId="2891">
      <pivotArea dataOnly="0" labelOnly="1" fieldPosition="0">
        <references count="2">
          <reference field="23" count="6">
            <x v="1"/>
            <x v="2"/>
            <x v="3"/>
            <x v="4"/>
            <x v="5"/>
            <x v="6"/>
          </reference>
          <reference field="25" count="1" selected="0">
            <x v="3"/>
          </reference>
        </references>
      </pivotArea>
    </format>
    <format dxfId="28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1" firstHeaderRow="0" firstDataRow="1" firstDataCol="1"/>
  <pivotFields count="39">
    <pivotField axis="axisRow" showAll="0">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8">
    <i>
      <x v="35"/>
    </i>
    <i>
      <x v="36"/>
    </i>
    <i>
      <x v="37"/>
    </i>
    <i>
      <x v="38"/>
    </i>
    <i>
      <x v="39"/>
    </i>
    <i>
      <x v="40"/>
    </i>
    <i>
      <x v="41"/>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2944">
      <pivotArea dataOnly="0" labelOnly="1" outline="0" axis="axisValues" fieldPosition="0"/>
    </format>
    <format dxfId="2943">
      <pivotArea dataOnly="0" labelOnly="1" outline="0" axis="axisValues" fieldPosition="0"/>
    </format>
    <format dxfId="2942">
      <pivotArea outline="0" collapsedLevelsAreSubtotals="1" fieldPosition="0"/>
    </format>
    <format dxfId="2941">
      <pivotArea type="all" dataOnly="0" outline="0" fieldPosition="0"/>
    </format>
    <format dxfId="2940">
      <pivotArea outline="0" collapsedLevelsAreSubtotals="1" fieldPosition="0"/>
    </format>
    <format dxfId="2939">
      <pivotArea field="0" type="button" dataOnly="0" labelOnly="1" outline="0" axis="axisRow" fieldPosition="0"/>
    </format>
    <format dxfId="2938">
      <pivotArea dataOnly="0" labelOnly="1" fieldPosition="0">
        <references count="1">
          <reference field="0" count="6">
            <x v="13"/>
            <x v="15"/>
            <x v="16"/>
            <x v="17"/>
            <x v="21"/>
            <x v="22"/>
          </reference>
        </references>
      </pivotArea>
    </format>
    <format dxfId="2937">
      <pivotArea dataOnly="0" labelOnly="1" grandRow="1" outline="0" fieldPosition="0"/>
    </format>
    <format dxfId="2936">
      <pivotArea outline="0" collapsedLevelsAreSubtotals="1" fieldPosition="0"/>
    </format>
    <format dxfId="293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1" firstHeaderRow="0" firstDataRow="1" firstDataCol="1"/>
  <pivotFields count="28">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6">
    <i>
      <x v="3"/>
    </i>
    <i>
      <x v="2"/>
    </i>
    <i>
      <x/>
    </i>
    <i>
      <x v="1"/>
    </i>
    <i>
      <x v="4"/>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2958">
      <pivotArea outline="0" collapsedLevelsAreSubtotals="1" fieldPosition="0"/>
    </format>
    <format dxfId="2957">
      <pivotArea outline="0" collapsedLevelsAreSubtotals="1" fieldPosition="0"/>
    </format>
    <format dxfId="2956">
      <pivotArea dataOnly="0" labelOnly="1" outline="0" axis="axisValues" fieldPosition="0"/>
    </format>
    <format dxfId="2955">
      <pivotArea outline="0" collapsedLevelsAreSubtotals="1" fieldPosition="0"/>
    </format>
    <format dxfId="2954">
      <pivotArea outline="0" collapsedLevelsAreSubtotals="1" fieldPosition="0"/>
    </format>
    <format dxfId="2953">
      <pivotArea outline="0" collapsedLevelsAreSubtotals="1" fieldPosition="0"/>
    </format>
    <format dxfId="2952">
      <pivotArea outline="0" collapsedLevelsAreSubtotals="1" fieldPosition="0"/>
    </format>
    <format dxfId="2951">
      <pivotArea dataOnly="0" labelOnly="1" outline="0" fieldPosition="0">
        <references count="1">
          <reference field="4294967294" count="1">
            <x v="1"/>
          </reference>
        </references>
      </pivotArea>
    </format>
    <format dxfId="2950">
      <pivotArea type="all" dataOnly="0" outline="0" fieldPosition="0"/>
    </format>
    <format dxfId="2949">
      <pivotArea outline="0" collapsedLevelsAreSubtotals="1" fieldPosition="0"/>
    </format>
    <format dxfId="2948">
      <pivotArea field="0" type="button" dataOnly="0" labelOnly="1" outline="0" axis="axisRow" fieldPosition="0"/>
    </format>
    <format dxfId="2947">
      <pivotArea dataOnly="0" labelOnly="1" fieldPosition="0">
        <references count="1">
          <reference field="0" count="0"/>
        </references>
      </pivotArea>
    </format>
    <format dxfId="2946">
      <pivotArea dataOnly="0" labelOnly="1" grandRow="1" outline="0" fieldPosition="0"/>
    </format>
    <format dxfId="2945">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1" firstHeaderRow="0" firstDataRow="1" firstDataCol="1"/>
  <pivotFields count="28">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6">
    <i>
      <x v="1"/>
    </i>
    <i>
      <x v="4"/>
    </i>
    <i>
      <x/>
    </i>
    <i>
      <x v="2"/>
    </i>
    <i>
      <x v="3"/>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2972">
      <pivotArea outline="0" collapsedLevelsAreSubtotals="1" fieldPosition="0"/>
    </format>
    <format dxfId="2971">
      <pivotArea outline="0" collapsedLevelsAreSubtotals="1" fieldPosition="0"/>
    </format>
    <format dxfId="2970">
      <pivotArea dataOnly="0" labelOnly="1" outline="0" axis="axisValues" fieldPosition="0"/>
    </format>
    <format dxfId="2969">
      <pivotArea outline="0" collapsedLevelsAreSubtotals="1" fieldPosition="0"/>
    </format>
    <format dxfId="2968">
      <pivotArea outline="0" collapsedLevelsAreSubtotals="1" fieldPosition="0"/>
    </format>
    <format dxfId="2967">
      <pivotArea outline="0" collapsedLevelsAreSubtotals="1" fieldPosition="0"/>
    </format>
    <format dxfId="2966">
      <pivotArea outline="0" collapsedLevelsAreSubtotals="1" fieldPosition="0"/>
    </format>
    <format dxfId="2965">
      <pivotArea dataOnly="0" labelOnly="1" outline="0" fieldPosition="0">
        <references count="1">
          <reference field="4294967294" count="1">
            <x v="1"/>
          </reference>
        </references>
      </pivotArea>
    </format>
    <format dxfId="2964">
      <pivotArea type="all" dataOnly="0" outline="0" fieldPosition="0"/>
    </format>
    <format dxfId="2963">
      <pivotArea outline="0" collapsedLevelsAreSubtotals="1" fieldPosition="0"/>
    </format>
    <format dxfId="2962">
      <pivotArea field="0" type="button" dataOnly="0" labelOnly="1" outline="0" axis="axisRow" fieldPosition="0"/>
    </format>
    <format dxfId="2961">
      <pivotArea dataOnly="0" labelOnly="1" fieldPosition="0">
        <references count="1">
          <reference field="0" count="0"/>
        </references>
      </pivotArea>
    </format>
    <format dxfId="2960">
      <pivotArea dataOnly="0" labelOnly="1" grandRow="1" outline="0" fieldPosition="0"/>
    </format>
    <format dxfId="2959">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6" firstHeaderRow="1" firstDataRow="1" firstDataCol="1"/>
  <pivotFields count="28">
    <pivotField axis="axisRow" showAll="0" measureFilter="1"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1">
    <i t="grand">
      <x/>
    </i>
  </rowItems>
  <colItems count="1">
    <i/>
  </colItems>
  <dataFields count="1">
    <dataField name="Average of Concessions as % of Asking Rent" fld="21" subtotal="average" baseField="0" baseItem="13"/>
  </dataFields>
  <formats count="11">
    <format dxfId="2983">
      <pivotArea outline="0" collapsedLevelsAreSubtotals="1" fieldPosition="0"/>
    </format>
    <format dxfId="2982">
      <pivotArea outline="0" collapsedLevelsAreSubtotals="1" fieldPosition="0"/>
    </format>
    <format dxfId="2981">
      <pivotArea dataOnly="0" labelOnly="1" outline="0" axis="axisValues" fieldPosition="0"/>
    </format>
    <format dxfId="2980">
      <pivotArea outline="0" collapsedLevelsAreSubtotals="1" fieldPosition="0"/>
    </format>
    <format dxfId="2979">
      <pivotArea outline="0" collapsedLevelsAreSubtotals="1" fieldPosition="0"/>
    </format>
    <format dxfId="2978">
      <pivotArea outline="0" collapsedLevelsAreSubtotals="1" fieldPosition="0"/>
    </format>
    <format dxfId="2977">
      <pivotArea type="all" dataOnly="0" outline="0" fieldPosition="0"/>
    </format>
    <format dxfId="2976">
      <pivotArea outline="0" collapsedLevelsAreSubtotals="1" fieldPosition="0"/>
    </format>
    <format dxfId="2975">
      <pivotArea field="0" type="button" dataOnly="0" labelOnly="1" outline="0" axis="axisRow" fieldPosition="0"/>
    </format>
    <format dxfId="2974">
      <pivotArea dataOnly="0" labelOnly="1" grandRow="1" outline="0" fieldPosition="0"/>
    </format>
    <format dxfId="2973">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dateNewerThan" evalOrder="-1" id="279">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1" firstHeaderRow="0" firstDataRow="1" firstDataCol="1"/>
  <pivotFields count="39">
    <pivotField axis="axisRow" showAll="0">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v="35"/>
    </i>
    <i>
      <x v="36"/>
    </i>
    <i>
      <x v="37"/>
    </i>
    <i>
      <x v="38"/>
    </i>
    <i>
      <x v="39"/>
    </i>
    <i>
      <x v="40"/>
    </i>
    <i>
      <x v="41"/>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2997">
      <pivotArea outline="0" collapsedLevelsAreSubtotals="1" fieldPosition="0"/>
    </format>
    <format dxfId="2996">
      <pivotArea dataOnly="0" labelOnly="1" outline="0" axis="axisValues" fieldPosition="0"/>
    </format>
    <format dxfId="2995">
      <pivotArea dataOnly="0" labelOnly="1" outline="0" axis="axisValues" fieldPosition="0"/>
    </format>
    <format dxfId="2994">
      <pivotArea outline="0" collapsedLevelsAreSubtotals="1" fieldPosition="0"/>
    </format>
    <format dxfId="2993">
      <pivotArea outline="0" collapsedLevelsAreSubtotals="1" fieldPosition="0"/>
    </format>
    <format dxfId="2992">
      <pivotArea dataOnly="0" labelOnly="1" outline="0" fieldPosition="0">
        <references count="1">
          <reference field="4294967294" count="1">
            <x v="1"/>
          </reference>
        </references>
      </pivotArea>
    </format>
    <format dxfId="2991">
      <pivotArea dataOnly="0" labelOnly="1" outline="0" fieldPosition="0">
        <references count="1">
          <reference field="4294967294" count="1">
            <x v="1"/>
          </reference>
        </references>
      </pivotArea>
    </format>
    <format dxfId="2990">
      <pivotArea type="all" dataOnly="0" outline="0" fieldPosition="0"/>
    </format>
    <format dxfId="2989">
      <pivotArea outline="0" collapsedLevelsAreSubtotals="1" fieldPosition="0"/>
    </format>
    <format dxfId="2988">
      <pivotArea field="0" type="button" dataOnly="0" labelOnly="1" outline="0" axis="axisRow" fieldPosition="0"/>
    </format>
    <format dxfId="2987">
      <pivotArea dataOnly="0" labelOnly="1" fieldPosition="0">
        <references count="1">
          <reference field="0" count="0"/>
        </references>
      </pivotArea>
    </format>
    <format dxfId="2986">
      <pivotArea dataOnly="0" labelOnly="1" grandRow="1" outline="0" fieldPosition="0"/>
    </format>
    <format dxfId="2985">
      <pivotArea dataOnly="0" labelOnly="1" outline="0" fieldPosition="0">
        <references count="1">
          <reference field="4294967294" count="1">
            <x v="1"/>
          </reference>
        </references>
      </pivotArea>
    </format>
    <format dxfId="298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9" firstHeaderRow="1" firstDataRow="1" firstDataCol="1"/>
  <pivotFields count="28">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6">
    <i>
      <x v="3"/>
    </i>
    <i>
      <x v="4"/>
    </i>
    <i>
      <x v="2"/>
    </i>
    <i>
      <x v="1"/>
    </i>
    <i>
      <x/>
    </i>
    <i t="grand">
      <x/>
    </i>
  </rowItems>
  <colItems count="1">
    <i/>
  </colItems>
  <dataFields count="1">
    <dataField name="Average of Days on Mkt" fld="12" subtotal="average" baseField="0" baseItem="3" numFmtId="3"/>
  </dataFields>
  <formats count="10">
    <format dxfId="3007">
      <pivotArea outline="0" collapsedLevelsAreSubtotals="1" fieldPosition="0"/>
    </format>
    <format dxfId="3006">
      <pivotArea dataOnly="0" labelOnly="1" outline="0" fieldPosition="0">
        <references count="1">
          <reference field="4294967294" count="1">
            <x v="0"/>
          </reference>
        </references>
      </pivotArea>
    </format>
    <format dxfId="3005">
      <pivotArea outline="0" collapsedLevelsAreSubtotals="1" fieldPosition="0"/>
    </format>
    <format dxfId="3004">
      <pivotArea dataOnly="0" labelOnly="1" outline="0" axis="axisValues" fieldPosition="0"/>
    </format>
    <format dxfId="3003">
      <pivotArea type="all" dataOnly="0" outline="0" fieldPosition="0"/>
    </format>
    <format dxfId="3002">
      <pivotArea outline="0" collapsedLevelsAreSubtotals="1" fieldPosition="0"/>
    </format>
    <format dxfId="3001">
      <pivotArea field="0" type="button" dataOnly="0" labelOnly="1" outline="0" axis="axisRow" fieldPosition="0"/>
    </format>
    <format dxfId="3000">
      <pivotArea dataOnly="0" labelOnly="1" fieldPosition="0">
        <references count="1">
          <reference field="0" count="0"/>
        </references>
      </pivotArea>
    </format>
    <format dxfId="2999">
      <pivotArea dataOnly="0" labelOnly="1" grandRow="1" outline="0" fieldPosition="0"/>
    </format>
    <format dxfId="299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4" firstHeaderRow="0" firstDataRow="1" firstDataCol="1"/>
  <pivotFields count="39">
    <pivotField axis="axisRow" showAll="0" measureFilter="1" sortType="ascending">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3017">
      <pivotArea dataOnly="0" labelOnly="1" outline="0" axis="axisValues" fieldPosition="0"/>
    </format>
    <format dxfId="3016">
      <pivotArea dataOnly="0" labelOnly="1" outline="0" axis="axisValues" fieldPosition="0"/>
    </format>
    <format dxfId="3015">
      <pivotArea dataOnly="0" labelOnly="1" outline="0" fieldPosition="0">
        <references count="1">
          <reference field="4294967294" count="1">
            <x v="1"/>
          </reference>
        </references>
      </pivotArea>
    </format>
    <format dxfId="3014">
      <pivotArea outline="0" collapsedLevelsAreSubtotals="1" fieldPosition="0"/>
    </format>
    <format dxfId="3013">
      <pivotArea type="all" dataOnly="0" outline="0" fieldPosition="0"/>
    </format>
    <format dxfId="3012">
      <pivotArea outline="0" collapsedLevelsAreSubtotals="1" fieldPosition="0"/>
    </format>
    <format dxfId="3011">
      <pivotArea field="0" type="button" dataOnly="0" labelOnly="1" outline="0" axis="axisRow" fieldPosition="0"/>
    </format>
    <format dxfId="3010">
      <pivotArea dataOnly="0" labelOnly="1" fieldPosition="0">
        <references count="1">
          <reference field="0" count="0"/>
        </references>
      </pivotArea>
    </format>
    <format dxfId="3009">
      <pivotArea dataOnly="0" labelOnly="1" grandRow="1" outline="0" fieldPosition="0"/>
    </format>
    <format dxfId="3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D29" firstHeaderRow="1" firstDataRow="2" firstDataCol="1"/>
  <pivotFields count="28">
    <pivotField showAll="0" defaultSubtotal="0">
      <items count="5">
        <item x="3"/>
        <item x="2"/>
        <item x="1"/>
        <item x="4"/>
        <item x="0"/>
      </items>
    </pivotField>
    <pivotField showAll="0" defaultSubtotal="0"/>
    <pivotField showAll="0" defaultSubtotal="0"/>
    <pivotField showAll="0" defaultSubtotal="0"/>
    <pivotField showAll="0" defaultSubtotal="0"/>
    <pivotField axis="axisCol" showAll="0" sortType="ascending" defaultSubtotal="0">
      <items count="2">
        <item x="1"/>
        <item x="0"/>
      </items>
    </pivotField>
    <pivotField showAll="0" defaultSubtotal="0"/>
    <pivotField subtotalTop="0" showAll="0" defaultSubtotal="0"/>
    <pivotField showAll="0" defaultSubtotal="0"/>
    <pivotField showAll="0" defaultSubtotal="0"/>
    <pivotField axis="axisRow" showAll="0" defaultSubtotal="0">
      <items count="65">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5">
        <item x="0"/>
        <item x="4"/>
        <item x="1"/>
        <item x="2"/>
        <item x="3"/>
      </items>
    </pivotField>
    <pivotField subtotalTop="0" dragToRow="0" dragToCol="0" dragToPage="0" showAll="0" defaultSubtotal="0"/>
    <pivotField subtotalTop="0" dragToRow="0" dragToCol="0" dragToPage="0" showAll="0" defaultSubtotal="0"/>
  </pivotFields>
  <rowFields count="3">
    <field x="25"/>
    <field x="23"/>
    <field x="10"/>
  </rowFields>
  <rowItems count="25">
    <i>
      <x v="2"/>
    </i>
    <i r="1">
      <x v="10"/>
    </i>
    <i r="1">
      <x v="11"/>
    </i>
    <i>
      <x v="3"/>
    </i>
    <i r="1">
      <x v="1"/>
    </i>
    <i r="1">
      <x v="2"/>
    </i>
    <i r="1">
      <x v="3"/>
    </i>
    <i r="1">
      <x v="4"/>
    </i>
    <i r="1">
      <x v="5"/>
    </i>
    <i r="1">
      <x v="7"/>
    </i>
    <i r="1">
      <x v="8"/>
    </i>
    <i r="1">
      <x v="11"/>
    </i>
    <i r="1">
      <x v="12"/>
    </i>
    <i>
      <x v="4"/>
    </i>
    <i r="1">
      <x v="1"/>
    </i>
    <i r="1">
      <x v="2"/>
    </i>
    <i r="1">
      <x v="3"/>
    </i>
    <i r="1">
      <x v="4"/>
    </i>
    <i r="1">
      <x v="5"/>
    </i>
    <i r="1">
      <x v="7"/>
    </i>
    <i r="1">
      <x v="8"/>
    </i>
    <i r="1">
      <x v="9"/>
    </i>
    <i r="1">
      <x v="10"/>
    </i>
    <i r="1">
      <x v="11"/>
    </i>
    <i t="grand">
      <x/>
    </i>
  </rowItems>
  <colFields count="1">
    <field x="5"/>
  </colFields>
  <colItems count="2">
    <i>
      <x/>
    </i>
    <i>
      <x v="1"/>
    </i>
  </colItems>
  <dataFields count="1">
    <dataField name="Average of Asking Rent" fld="13" subtotal="average" baseField="21" baseItem="9"/>
  </dataFields>
  <formats count="50">
    <format dxfId="3067">
      <pivotArea outline="0" collapsedLevelsAreSubtotals="1" fieldPosition="0"/>
    </format>
    <format dxfId="3066">
      <pivotArea dataOnly="0" labelOnly="1" outline="0" axis="axisValues" fieldPosition="0"/>
    </format>
    <format dxfId="3065">
      <pivotArea outline="0" collapsedLevelsAreSubtotals="1" fieldPosition="0"/>
    </format>
    <format dxfId="3064">
      <pivotArea field="24" type="button" dataOnly="0" labelOnly="1" outline="0"/>
    </format>
    <format dxfId="3063">
      <pivotArea field="23" type="button" dataOnly="0" labelOnly="1" outline="0" axis="axisRow" fieldPosition="1"/>
    </format>
    <format dxfId="3062">
      <pivotArea field="10" type="button" dataOnly="0" labelOnly="1" outline="0" axis="axisRow" fieldPosition="2"/>
    </format>
    <format dxfId="3061">
      <pivotArea type="topRight" dataOnly="0" labelOnly="1" outline="0" fieldPosition="0"/>
    </format>
    <format dxfId="3060">
      <pivotArea collapsedLevelsAreSubtotals="1" fieldPosition="0">
        <references count="2">
          <reference field="23" count="1">
            <x v="6"/>
          </reference>
          <reference field="25" count="1" selected="0">
            <x v="2"/>
          </reference>
        </references>
      </pivotArea>
    </format>
    <format dxfId="3059">
      <pivotArea collapsedLevelsAreSubtotals="1" fieldPosition="0">
        <references count="2">
          <reference field="23" count="1">
            <x v="7"/>
          </reference>
          <reference field="25" count="1" selected="0">
            <x v="2"/>
          </reference>
        </references>
      </pivotArea>
    </format>
    <format dxfId="3058">
      <pivotArea collapsedLevelsAreSubtotals="1" fieldPosition="0">
        <references count="2">
          <reference field="23" count="1">
            <x v="8"/>
          </reference>
          <reference field="25" count="1" selected="0">
            <x v="2"/>
          </reference>
        </references>
      </pivotArea>
    </format>
    <format dxfId="3057">
      <pivotArea collapsedLevelsAreSubtotals="1" fieldPosition="0">
        <references count="2">
          <reference field="23" count="1">
            <x v="9"/>
          </reference>
          <reference field="25" count="1" selected="0">
            <x v="2"/>
          </reference>
        </references>
      </pivotArea>
    </format>
    <format dxfId="3056">
      <pivotArea collapsedLevelsAreSubtotals="1" fieldPosition="0">
        <references count="2">
          <reference field="23" count="1">
            <x v="10"/>
          </reference>
          <reference field="25" count="1" selected="0">
            <x v="2"/>
          </reference>
        </references>
      </pivotArea>
    </format>
    <format dxfId="3055">
      <pivotArea collapsedLevelsAreSubtotals="1" fieldPosition="0">
        <references count="2">
          <reference field="23" count="1">
            <x v="11"/>
          </reference>
          <reference field="25" count="1" selected="0">
            <x v="2"/>
          </reference>
        </references>
      </pivotArea>
    </format>
    <format dxfId="3054">
      <pivotArea collapsedLevelsAreSubtotals="1" fieldPosition="0">
        <references count="2">
          <reference field="23" count="1">
            <x v="12"/>
          </reference>
          <reference field="25" count="1" selected="0">
            <x v="2"/>
          </reference>
        </references>
      </pivotArea>
    </format>
    <format dxfId="3053">
      <pivotArea collapsedLevelsAreSubtotals="1" fieldPosition="0">
        <references count="1">
          <reference field="25" count="1">
            <x v="3"/>
          </reference>
        </references>
      </pivotArea>
    </format>
    <format dxfId="3052">
      <pivotArea collapsedLevelsAreSubtotals="1" fieldPosition="0">
        <references count="2">
          <reference field="23" count="1">
            <x v="1"/>
          </reference>
          <reference field="25" count="1" selected="0">
            <x v="3"/>
          </reference>
        </references>
      </pivotArea>
    </format>
    <format dxfId="3051">
      <pivotArea collapsedLevelsAreSubtotals="1" fieldPosition="0">
        <references count="2">
          <reference field="23" count="1">
            <x v="2"/>
          </reference>
          <reference field="25" count="1" selected="0">
            <x v="3"/>
          </reference>
        </references>
      </pivotArea>
    </format>
    <format dxfId="3050">
      <pivotArea collapsedLevelsAreSubtotals="1" fieldPosition="0">
        <references count="2">
          <reference field="23" count="1">
            <x v="3"/>
          </reference>
          <reference field="25" count="1" selected="0">
            <x v="3"/>
          </reference>
        </references>
      </pivotArea>
    </format>
    <format dxfId="3049">
      <pivotArea collapsedLevelsAreSubtotals="1" fieldPosition="0">
        <references count="2">
          <reference field="23" count="1">
            <x v="4"/>
          </reference>
          <reference field="25" count="1" selected="0">
            <x v="3"/>
          </reference>
        </references>
      </pivotArea>
    </format>
    <format dxfId="3048">
      <pivotArea collapsedLevelsAreSubtotals="1" fieldPosition="0">
        <references count="2">
          <reference field="23" count="1">
            <x v="5"/>
          </reference>
          <reference field="25" count="1" selected="0">
            <x v="3"/>
          </reference>
        </references>
      </pivotArea>
    </format>
    <format dxfId="3047">
      <pivotArea collapsedLevelsAreSubtotals="1" fieldPosition="0">
        <references count="2">
          <reference field="23" count="1">
            <x v="6"/>
          </reference>
          <reference field="25" count="1" selected="0">
            <x v="3"/>
          </reference>
        </references>
      </pivotArea>
    </format>
    <format dxfId="3046">
      <pivotArea outline="0" collapsedLevelsAreSubtotals="1" fieldPosition="0"/>
    </format>
    <format dxfId="3045">
      <pivotArea type="origin" dataOnly="0" labelOnly="1" outline="0" fieldPosition="0"/>
    </format>
    <format dxfId="3044">
      <pivotArea field="25" type="button" dataOnly="0" labelOnly="1" outline="0" axis="axisRow" fieldPosition="0"/>
    </format>
    <format dxfId="3043">
      <pivotArea dataOnly="0" labelOnly="1" fieldPosition="0">
        <references count="1">
          <reference field="25" count="2">
            <x v="2"/>
            <x v="3"/>
          </reference>
        </references>
      </pivotArea>
    </format>
    <format dxfId="3042">
      <pivotArea dataOnly="0" labelOnly="1" grandRow="1" outline="0" fieldPosition="0"/>
    </format>
    <format dxfId="3041">
      <pivotArea dataOnly="0" labelOnly="1" fieldPosition="0">
        <references count="2">
          <reference field="23" count="7">
            <x v="6"/>
            <x v="7"/>
            <x v="8"/>
            <x v="9"/>
            <x v="10"/>
            <x v="11"/>
            <x v="12"/>
          </reference>
          <reference field="25" count="1" selected="0">
            <x v="2"/>
          </reference>
        </references>
      </pivotArea>
    </format>
    <format dxfId="3040">
      <pivotArea dataOnly="0" labelOnly="1" fieldPosition="0">
        <references count="2">
          <reference field="23" count="6">
            <x v="1"/>
            <x v="2"/>
            <x v="3"/>
            <x v="4"/>
            <x v="5"/>
            <x v="6"/>
          </reference>
          <reference field="25" count="1" selected="0">
            <x v="3"/>
          </reference>
        </references>
      </pivotArea>
    </format>
    <format dxfId="3039">
      <pivotArea type="all" dataOnly="0" outline="0" fieldPosition="0"/>
    </format>
    <format dxfId="3038">
      <pivotArea outline="0" collapsedLevelsAreSubtotals="1" fieldPosition="0"/>
    </format>
    <format dxfId="3037">
      <pivotArea type="origin" dataOnly="0" labelOnly="1" outline="0" fieldPosition="0"/>
    </format>
    <format dxfId="3036">
      <pivotArea field="5" type="button" dataOnly="0" labelOnly="1" outline="0" axis="axisCol" fieldPosition="0"/>
    </format>
    <format dxfId="3035">
      <pivotArea type="topRight" dataOnly="0" labelOnly="1" outline="0" fieldPosition="0"/>
    </format>
    <format dxfId="3034">
      <pivotArea field="25" type="button" dataOnly="0" labelOnly="1" outline="0" axis="axisRow" fieldPosition="0"/>
    </format>
    <format dxfId="3033">
      <pivotArea dataOnly="0" labelOnly="1" fieldPosition="0">
        <references count="1">
          <reference field="25" count="2">
            <x v="2"/>
            <x v="3"/>
          </reference>
        </references>
      </pivotArea>
    </format>
    <format dxfId="3032">
      <pivotArea dataOnly="0" labelOnly="1" grandRow="1" outline="0" fieldPosition="0"/>
    </format>
    <format dxfId="3031">
      <pivotArea dataOnly="0" labelOnly="1" fieldPosition="0">
        <references count="2">
          <reference field="23" count="7">
            <x v="6"/>
            <x v="7"/>
            <x v="8"/>
            <x v="9"/>
            <x v="10"/>
            <x v="11"/>
            <x v="12"/>
          </reference>
          <reference field="25" count="1" selected="0">
            <x v="2"/>
          </reference>
        </references>
      </pivotArea>
    </format>
    <format dxfId="3030">
      <pivotArea dataOnly="0" labelOnly="1" fieldPosition="0">
        <references count="2">
          <reference field="23" count="6">
            <x v="1"/>
            <x v="2"/>
            <x v="3"/>
            <x v="4"/>
            <x v="5"/>
            <x v="6"/>
          </reference>
          <reference field="25" count="1" selected="0">
            <x v="3"/>
          </reference>
        </references>
      </pivotArea>
    </format>
    <format dxfId="3029">
      <pivotArea dataOnly="0" labelOnly="1" fieldPosition="0">
        <references count="1">
          <reference field="5" count="0"/>
        </references>
      </pivotArea>
    </format>
    <format dxfId="3028">
      <pivotArea type="all" dataOnly="0" outline="0" fieldPosition="0"/>
    </format>
    <format dxfId="3027">
      <pivotArea outline="0" collapsedLevelsAreSubtotals="1" fieldPosition="0"/>
    </format>
    <format dxfId="3026">
      <pivotArea type="origin" dataOnly="0" labelOnly="1" outline="0" fieldPosition="0"/>
    </format>
    <format dxfId="3025">
      <pivotArea field="5" type="button" dataOnly="0" labelOnly="1" outline="0" axis="axisCol" fieldPosition="0"/>
    </format>
    <format dxfId="3024">
      <pivotArea type="topRight" dataOnly="0" labelOnly="1" outline="0" fieldPosition="0"/>
    </format>
    <format dxfId="3023">
      <pivotArea field="25" type="button" dataOnly="0" labelOnly="1" outline="0" axis="axisRow" fieldPosition="0"/>
    </format>
    <format dxfId="3022">
      <pivotArea dataOnly="0" labelOnly="1" fieldPosition="0">
        <references count="1">
          <reference field="25" count="2">
            <x v="2"/>
            <x v="3"/>
          </reference>
        </references>
      </pivotArea>
    </format>
    <format dxfId="3021">
      <pivotArea dataOnly="0" labelOnly="1" grandRow="1" outline="0" fieldPosition="0"/>
    </format>
    <format dxfId="3020">
      <pivotArea dataOnly="0" labelOnly="1" fieldPosition="0">
        <references count="2">
          <reference field="23" count="7">
            <x v="6"/>
            <x v="7"/>
            <x v="8"/>
            <x v="9"/>
            <x v="10"/>
            <x v="11"/>
            <x v="12"/>
          </reference>
          <reference field="25" count="1" selected="0">
            <x v="2"/>
          </reference>
        </references>
      </pivotArea>
    </format>
    <format dxfId="3019">
      <pivotArea dataOnly="0" labelOnly="1" fieldPosition="0">
        <references count="2">
          <reference field="23" count="6">
            <x v="1"/>
            <x v="2"/>
            <x v="3"/>
            <x v="4"/>
            <x v="5"/>
            <x v="6"/>
          </reference>
          <reference field="25" count="1" selected="0">
            <x v="3"/>
          </reference>
        </references>
      </pivotArea>
    </format>
    <format dxfId="3018">
      <pivotArea dataOnly="0" labelOnly="1" fieldPosition="0">
        <references count="1">
          <reference field="5" count="0"/>
        </references>
      </pivotArea>
    </format>
  </formats>
  <chartFormats count="5">
    <chartFormat chart="11" format="40" series="1">
      <pivotArea type="data" outline="0" fieldPosition="0">
        <references count="1">
          <reference field="5" count="1" selected="0">
            <x v="0"/>
          </reference>
        </references>
      </pivotArea>
    </chartFormat>
    <chartFormat chart="11" format="41" series="1">
      <pivotArea type="data" outline="0" fieldPosition="0">
        <references count="1">
          <reference field="5" count="1" selected="0">
            <x v="1"/>
          </reference>
        </references>
      </pivotArea>
    </chartFormat>
    <chartFormat chart="11" format="52" series="1">
      <pivotArea type="data" outline="0" fieldPosition="0">
        <references count="2">
          <reference field="4294967294" count="1" selected="0">
            <x v="0"/>
          </reference>
          <reference field="5" count="1" selected="0">
            <x v="0"/>
          </reference>
        </references>
      </pivotArea>
    </chartFormat>
    <chartFormat chart="11" format="53" series="1">
      <pivotArea type="data" outline="0" fieldPosition="0">
        <references count="2">
          <reference field="4294967294" count="1" selected="0">
            <x v="0"/>
          </reference>
          <reference field="5" count="1" selected="0">
            <x v="1"/>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0" firstHeaderRow="1" firstDataRow="1" firstDataCol="1"/>
  <pivotFields count="28">
    <pivotField showAll="0" defaultSubtotal="0">
      <items count="5">
        <item x="3"/>
        <item x="2"/>
        <item x="1"/>
        <item x="4"/>
        <item x="0"/>
      </items>
    </pivotField>
    <pivotField showAll="0" defaultSubtotal="0"/>
    <pivotField showAll="0" defaultSubtotal="0"/>
    <pivotField showAll="0" defaultSubtotal="0"/>
    <pivotField showAll="0" defaultSubtotal="0"/>
    <pivotField showAll="0" sortType="ascending" defaultSubtotal="0">
      <items count="2">
        <item x="1"/>
        <item x="0"/>
      </items>
    </pivotField>
    <pivotField showAll="0" defaultSubtotal="0"/>
    <pivotField subtotalTop="0" showAll="0" defaultSubtotal="0"/>
    <pivotField showAll="0" defaultSubtotal="0"/>
    <pivotField showAll="0" defaultSubtotal="0"/>
    <pivotField showAll="0" defaultSubtotal="0">
      <items count="65">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5">
        <item x="0"/>
        <item x="4"/>
        <item x="1"/>
        <item x="2"/>
        <item x="3"/>
      </items>
    </pivotField>
    <pivotField subtotalTop="0" dragToRow="0" dragToCol="0" dragToPage="0" showAll="0" defaultSubtotal="0"/>
    <pivotField subtotalTop="0" dragToRow="0" dragToCol="0" dragToPage="0" showAll="0" defaultSubtotal="0"/>
  </pivotFields>
  <rowFields count="2">
    <field x="25"/>
    <field x="23"/>
  </rowFields>
  <rowItems count="27">
    <i>
      <x v="2"/>
    </i>
    <i r="1">
      <x v="10"/>
    </i>
    <i r="1">
      <x v="11"/>
    </i>
    <i>
      <x v="3"/>
    </i>
    <i r="1">
      <x v="1"/>
    </i>
    <i r="1">
      <x v="2"/>
    </i>
    <i r="1">
      <x v="3"/>
    </i>
    <i r="1">
      <x v="4"/>
    </i>
    <i r="1">
      <x v="5"/>
    </i>
    <i r="1">
      <x v="6"/>
    </i>
    <i r="1">
      <x v="7"/>
    </i>
    <i r="1">
      <x v="8"/>
    </i>
    <i r="1">
      <x v="11"/>
    </i>
    <i r="1">
      <x v="12"/>
    </i>
    <i>
      <x v="4"/>
    </i>
    <i r="1">
      <x v="1"/>
    </i>
    <i r="1">
      <x v="2"/>
    </i>
    <i r="1">
      <x v="3"/>
    </i>
    <i r="1">
      <x v="4"/>
    </i>
    <i r="1">
      <x v="5"/>
    </i>
    <i r="1">
      <x v="6"/>
    </i>
    <i r="1">
      <x v="7"/>
    </i>
    <i r="1">
      <x v="8"/>
    </i>
    <i r="1">
      <x v="9"/>
    </i>
    <i r="1">
      <x v="10"/>
    </i>
    <i r="1">
      <x v="11"/>
    </i>
    <i t="grand">
      <x/>
    </i>
  </rowItems>
  <colItems count="1">
    <i/>
  </colItems>
  <dataFields count="1">
    <dataField name="Avg Days on Mkt" fld="12" subtotal="average" baseField="19" baseItem="10"/>
  </dataFields>
  <formats count="25">
    <format dxfId="3092">
      <pivotArea outline="0" collapsedLevelsAreSubtotals="1" fieldPosition="0"/>
    </format>
    <format dxfId="3091">
      <pivotArea dataOnly="0" labelOnly="1" outline="0" axis="axisValues" fieldPosition="0"/>
    </format>
    <format dxfId="3090">
      <pivotArea outline="0" collapsedLevelsAreSubtotals="1" fieldPosition="0"/>
    </format>
    <format dxfId="3089">
      <pivotArea field="25" type="button" dataOnly="0" labelOnly="1" outline="0" axis="axisRow" fieldPosition="0"/>
    </format>
    <format dxfId="3088">
      <pivotArea field="24" type="button" dataOnly="0" labelOnly="1" outline="0"/>
    </format>
    <format dxfId="3087">
      <pivotArea field="23" type="button" dataOnly="0" labelOnly="1" outline="0" axis="axisRow" fieldPosition="1"/>
    </format>
    <format dxfId="3086">
      <pivotArea field="10" type="button" dataOnly="0" labelOnly="1" outline="0"/>
    </format>
    <format dxfId="3085">
      <pivotArea type="topRight" dataOnly="0" labelOnly="1" outline="0" fieldPosition="0"/>
    </format>
    <format dxfId="3084">
      <pivotArea dataOnly="0" labelOnly="1" fieldPosition="0">
        <references count="1">
          <reference field="25" count="2">
            <x v="2"/>
            <x v="3"/>
          </reference>
        </references>
      </pivotArea>
    </format>
    <format dxfId="3083">
      <pivotArea type="all" dataOnly="0" outline="0" fieldPosition="0"/>
    </format>
    <format dxfId="3082">
      <pivotArea outline="0" collapsedLevelsAreSubtotals="1" fieldPosition="0"/>
    </format>
    <format dxfId="3081">
      <pivotArea field="25" type="button" dataOnly="0" labelOnly="1" outline="0" axis="axisRow" fieldPosition="0"/>
    </format>
    <format dxfId="3080">
      <pivotArea dataOnly="0" labelOnly="1" fieldPosition="0">
        <references count="1">
          <reference field="25" count="2">
            <x v="2"/>
            <x v="3"/>
          </reference>
        </references>
      </pivotArea>
    </format>
    <format dxfId="3079">
      <pivotArea dataOnly="0" labelOnly="1" grandRow="1" outline="0" fieldPosition="0"/>
    </format>
    <format dxfId="3078">
      <pivotArea dataOnly="0" labelOnly="1" fieldPosition="0">
        <references count="2">
          <reference field="23" count="7">
            <x v="6"/>
            <x v="7"/>
            <x v="8"/>
            <x v="9"/>
            <x v="10"/>
            <x v="11"/>
            <x v="12"/>
          </reference>
          <reference field="25" count="1" selected="0">
            <x v="2"/>
          </reference>
        </references>
      </pivotArea>
    </format>
    <format dxfId="3077">
      <pivotArea dataOnly="0" labelOnly="1" fieldPosition="0">
        <references count="2">
          <reference field="23" count="6">
            <x v="1"/>
            <x v="2"/>
            <x v="3"/>
            <x v="4"/>
            <x v="5"/>
            <x v="6"/>
          </reference>
          <reference field="25" count="1" selected="0">
            <x v="3"/>
          </reference>
        </references>
      </pivotArea>
    </format>
    <format dxfId="3076">
      <pivotArea dataOnly="0" labelOnly="1" outline="0" axis="axisValues" fieldPosition="0"/>
    </format>
    <format dxfId="3075">
      <pivotArea type="all" dataOnly="0" outline="0" fieldPosition="0"/>
    </format>
    <format dxfId="3074">
      <pivotArea outline="0" collapsedLevelsAreSubtotals="1" fieldPosition="0"/>
    </format>
    <format dxfId="3073">
      <pivotArea field="25" type="button" dataOnly="0" labelOnly="1" outline="0" axis="axisRow" fieldPosition="0"/>
    </format>
    <format dxfId="3072">
      <pivotArea dataOnly="0" labelOnly="1" fieldPosition="0">
        <references count="1">
          <reference field="25" count="2">
            <x v="2"/>
            <x v="3"/>
          </reference>
        </references>
      </pivotArea>
    </format>
    <format dxfId="3071">
      <pivotArea dataOnly="0" labelOnly="1" grandRow="1" outline="0" fieldPosition="0"/>
    </format>
    <format dxfId="3070">
      <pivotArea dataOnly="0" labelOnly="1" fieldPosition="0">
        <references count="2">
          <reference field="23" count="7">
            <x v="6"/>
            <x v="7"/>
            <x v="8"/>
            <x v="9"/>
            <x v="10"/>
            <x v="11"/>
            <x v="12"/>
          </reference>
          <reference field="25" count="1" selected="0">
            <x v="2"/>
          </reference>
        </references>
      </pivotArea>
    </format>
    <format dxfId="3069">
      <pivotArea dataOnly="0" labelOnly="1" fieldPosition="0">
        <references count="2">
          <reference field="23" count="6">
            <x v="1"/>
            <x v="2"/>
            <x v="3"/>
            <x v="4"/>
            <x v="5"/>
            <x v="6"/>
          </reference>
          <reference field="25" count="1" selected="0">
            <x v="3"/>
          </reference>
        </references>
      </pivotArea>
    </format>
    <format dxfId="3068">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4" firstHeaderRow="0" firstDataRow="1" firstDataCol="1"/>
  <pivotFields count="39">
    <pivotField axis="axisRow" showAll="0" measureFilter="1" sortType="ascending">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3101">
      <pivotArea dataOnly="0" labelOnly="1" outline="0" axis="axisValues" fieldPosition="0"/>
    </format>
    <format dxfId="3100">
      <pivotArea dataOnly="0" labelOnly="1" outline="0" axis="axisValues" fieldPosition="0"/>
    </format>
    <format dxfId="3099">
      <pivotArea outline="0" collapsedLevelsAreSubtotals="1" fieldPosition="0"/>
    </format>
    <format dxfId="3098">
      <pivotArea type="all" dataOnly="0" outline="0" fieldPosition="0"/>
    </format>
    <format dxfId="3097">
      <pivotArea outline="0" collapsedLevelsAreSubtotals="1" fieldPosition="0"/>
    </format>
    <format dxfId="3096">
      <pivotArea field="0" type="button" dataOnly="0" labelOnly="1" outline="0" axis="axisRow" fieldPosition="0"/>
    </format>
    <format dxfId="3095">
      <pivotArea dataOnly="0" labelOnly="1" fieldPosition="0">
        <references count="1">
          <reference field="0" count="6">
            <x v="13"/>
            <x v="15"/>
            <x v="16"/>
            <x v="18"/>
            <x v="19"/>
            <x v="21"/>
          </reference>
        </references>
      </pivotArea>
    </format>
    <format dxfId="3094">
      <pivotArea dataOnly="0" labelOnly="1" grandRow="1" outline="0" fieldPosition="0"/>
    </format>
    <format dxfId="3093">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6" firstHeaderRow="0" firstDataRow="1" firstDataCol="1" rowPageCount="1" colPageCount="1"/>
  <pivotFields count="28">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1">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3115">
      <pivotArea outline="0" collapsedLevelsAreSubtotals="1" fieldPosition="0"/>
    </format>
    <format dxfId="3114">
      <pivotArea outline="0" collapsedLevelsAreSubtotals="1" fieldPosition="0"/>
    </format>
    <format dxfId="3113">
      <pivotArea dataOnly="0" labelOnly="1" outline="0" axis="axisValues" fieldPosition="0"/>
    </format>
    <format dxfId="3112">
      <pivotArea outline="0" collapsedLevelsAreSubtotals="1" fieldPosition="0"/>
    </format>
    <format dxfId="3111">
      <pivotArea outline="0" collapsedLevelsAreSubtotals="1" fieldPosition="0"/>
    </format>
    <format dxfId="3110">
      <pivotArea outline="0" collapsedLevelsAreSubtotals="1" fieldPosition="0"/>
    </format>
    <format dxfId="3109">
      <pivotArea outline="0" collapsedLevelsAreSubtotals="1" fieldPosition="0"/>
    </format>
    <format dxfId="3108">
      <pivotArea dataOnly="0" labelOnly="1" outline="0" fieldPosition="0">
        <references count="1">
          <reference field="4294967294" count="1">
            <x v="1"/>
          </reference>
        </references>
      </pivotArea>
    </format>
    <format dxfId="3107">
      <pivotArea type="all" dataOnly="0" outline="0" fieldPosition="0"/>
    </format>
    <format dxfId="3106">
      <pivotArea outline="0" collapsedLevelsAreSubtotals="1" fieldPosition="0"/>
    </format>
    <format dxfId="3105">
      <pivotArea field="0" type="button" dataOnly="0" labelOnly="1" outline="0" axis="axisRow" fieldPosition="0"/>
    </format>
    <format dxfId="3104">
      <pivotArea dataOnly="0" labelOnly="1" fieldPosition="0">
        <references count="1">
          <reference field="0" count="0"/>
        </references>
      </pivotArea>
    </format>
    <format dxfId="3103">
      <pivotArea dataOnly="0" labelOnly="1" grandRow="1" outline="0" fieldPosition="0"/>
    </format>
    <format dxfId="3102">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1" firstHeaderRow="0" firstDataRow="1" firstDataCol="1"/>
  <pivotFields count="39">
    <pivotField axis="axisRow" showAll="0">
      <items count="43">
        <item m="1" x="40"/>
        <item m="1" x="41"/>
        <item m="1" x="20"/>
        <item m="1" x="21"/>
        <item m="1" x="23"/>
        <item m="1" x="22"/>
        <item m="1" x="24"/>
        <item m="1" x="37"/>
        <item m="1" x="25"/>
        <item m="1" x="38"/>
        <item m="1" x="26"/>
        <item m="1" x="28"/>
        <item m="1" x="39"/>
        <item m="1" x="18"/>
        <item m="1" x="8"/>
        <item m="1" x="30"/>
        <item m="1" x="31"/>
        <item m="1" x="32"/>
        <item m="1" x="11"/>
        <item m="1" x="33"/>
        <item m="1" x="34"/>
        <item m="1" x="35"/>
        <item m="1" x="36"/>
        <item m="1" x="27"/>
        <item m="1" x="29"/>
        <item m="1" x="19"/>
        <item m="1" x="10"/>
        <item m="1" x="12"/>
        <item m="1" x="13"/>
        <item m="1" x="14"/>
        <item m="1" x="15"/>
        <item m="1" x="16"/>
        <item m="1" x="7"/>
        <item m="1" x="9"/>
        <item m="1" x="17"/>
        <item x="2"/>
        <item x="1"/>
        <item x="0"/>
        <item x="3"/>
        <item x="4"/>
        <item x="5"/>
        <item x="6"/>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v="35"/>
    </i>
    <i>
      <x v="36"/>
    </i>
    <i>
      <x v="37"/>
    </i>
    <i>
      <x v="38"/>
    </i>
    <i>
      <x v="39"/>
    </i>
    <i>
      <x v="40"/>
    </i>
    <i>
      <x v="41"/>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3127">
      <pivotArea dataOnly="0" labelOnly="1" outline="0" axis="axisValues" fieldPosition="0"/>
    </format>
    <format dxfId="3126">
      <pivotArea dataOnly="0" labelOnly="1" outline="0" axis="axisValues" fieldPosition="0"/>
    </format>
    <format dxfId="3125">
      <pivotArea outline="0" collapsedLevelsAreSubtotals="1" fieldPosition="0"/>
    </format>
    <format dxfId="3124">
      <pivotArea type="all" dataOnly="0" outline="0" fieldPosition="0"/>
    </format>
    <format dxfId="3123">
      <pivotArea outline="0" collapsedLevelsAreSubtotals="1" fieldPosition="0"/>
    </format>
    <format dxfId="3122">
      <pivotArea field="0" type="button" dataOnly="0" labelOnly="1" outline="0" axis="axisRow" fieldPosition="0"/>
    </format>
    <format dxfId="3121">
      <pivotArea dataOnly="0" labelOnly="1" fieldPosition="0">
        <references count="1">
          <reference field="0" count="6">
            <x v="13"/>
            <x v="15"/>
            <x v="16"/>
            <x v="17"/>
            <x v="21"/>
            <x v="22"/>
          </reference>
        </references>
      </pivotArea>
    </format>
    <format dxfId="3120">
      <pivotArea dataOnly="0" labelOnly="1" grandRow="1" outline="0" fieldPosition="0"/>
    </format>
    <format dxfId="3119">
      <pivotArea outline="0" collapsedLevelsAreSubtotals="1" fieldPosition="0"/>
    </format>
    <format dxfId="3118">
      <pivotArea dataOnly="0" labelOnly="1" outline="0" fieldPosition="0">
        <references count="1">
          <reference field="4294967294" count="2">
            <x v="0"/>
            <x v="1"/>
          </reference>
        </references>
      </pivotArea>
    </format>
    <format dxfId="3117">
      <pivotArea outline="0" collapsedLevelsAreSubtotals="1" fieldPosition="0"/>
    </format>
    <format dxfId="311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0" firstHeaderRow="1" firstDataRow="1" firstDataCol="1"/>
  <pivotFields count="28">
    <pivotField showAll="0" defaultSubtotal="0">
      <items count="5">
        <item x="3"/>
        <item x="2"/>
        <item x="1"/>
        <item x="4"/>
        <item x="0"/>
      </items>
    </pivotField>
    <pivotField showAll="0" defaultSubtotal="0"/>
    <pivotField showAll="0" defaultSubtotal="0"/>
    <pivotField showAll="0" defaultSubtotal="0"/>
    <pivotField showAll="0" defaultSubtotal="0"/>
    <pivotField showAll="0" sortType="ascending" defaultSubtotal="0">
      <items count="2">
        <item x="1"/>
        <item x="0"/>
      </items>
    </pivotField>
    <pivotField showAll="0" defaultSubtotal="0"/>
    <pivotField subtotalTop="0" showAll="0" defaultSubtotal="0"/>
    <pivotField showAll="0" defaultSubtotal="0"/>
    <pivotField showAll="0" defaultSubtotal="0"/>
    <pivotField dataField="1" showAll="0" defaultSubtotal="0">
      <items count="65">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5">
        <item x="0"/>
        <item x="4"/>
        <item x="1"/>
        <item x="2"/>
        <item x="3"/>
      </items>
    </pivotField>
    <pivotField subtotalTop="0" dragToRow="0" dragToCol="0" dragToPage="0" showAll="0" defaultSubtotal="0"/>
    <pivotField subtotalTop="0" dragToRow="0" dragToCol="0" dragToPage="0" showAll="0" defaultSubtotal="0"/>
  </pivotFields>
  <rowFields count="2">
    <field x="25"/>
    <field x="23"/>
  </rowFields>
  <rowItems count="27">
    <i>
      <x v="2"/>
    </i>
    <i r="1">
      <x v="10"/>
    </i>
    <i r="1">
      <x v="11"/>
    </i>
    <i>
      <x v="3"/>
    </i>
    <i r="1">
      <x v="1"/>
    </i>
    <i r="1">
      <x v="2"/>
    </i>
    <i r="1">
      <x v="3"/>
    </i>
    <i r="1">
      <x v="4"/>
    </i>
    <i r="1">
      <x v="5"/>
    </i>
    <i r="1">
      <x v="6"/>
    </i>
    <i r="1">
      <x v="7"/>
    </i>
    <i r="1">
      <x v="8"/>
    </i>
    <i r="1">
      <x v="11"/>
    </i>
    <i r="1">
      <x v="12"/>
    </i>
    <i>
      <x v="4"/>
    </i>
    <i r="1">
      <x v="1"/>
    </i>
    <i r="1">
      <x v="2"/>
    </i>
    <i r="1">
      <x v="3"/>
    </i>
    <i r="1">
      <x v="4"/>
    </i>
    <i r="1">
      <x v="5"/>
    </i>
    <i r="1">
      <x v="6"/>
    </i>
    <i r="1">
      <x v="7"/>
    </i>
    <i r="1">
      <x v="8"/>
    </i>
    <i r="1">
      <x v="9"/>
    </i>
    <i r="1">
      <x v="10"/>
    </i>
    <i r="1">
      <x v="11"/>
    </i>
    <i t="grand">
      <x/>
    </i>
  </rowItems>
  <colItems count="1">
    <i/>
  </colItems>
  <dataFields count="1">
    <dataField name="# Leases" fld="10" subtotal="count" baseField="0" baseItem="0"/>
  </dataFields>
  <formats count="25">
    <format dxfId="3152">
      <pivotArea outline="0" collapsedLevelsAreSubtotals="1" fieldPosition="0"/>
    </format>
    <format dxfId="3151">
      <pivotArea dataOnly="0" labelOnly="1" outline="0" axis="axisValues" fieldPosition="0"/>
    </format>
    <format dxfId="3150">
      <pivotArea outline="0" collapsedLevelsAreSubtotals="1" fieldPosition="0"/>
    </format>
    <format dxfId="3149">
      <pivotArea field="25" type="button" dataOnly="0" labelOnly="1" outline="0" axis="axisRow" fieldPosition="0"/>
    </format>
    <format dxfId="3148">
      <pivotArea field="24" type="button" dataOnly="0" labelOnly="1" outline="0"/>
    </format>
    <format dxfId="3147">
      <pivotArea field="23" type="button" dataOnly="0" labelOnly="1" outline="0" axis="axisRow" fieldPosition="1"/>
    </format>
    <format dxfId="3146">
      <pivotArea field="10" type="button" dataOnly="0" labelOnly="1" outline="0"/>
    </format>
    <format dxfId="3145">
      <pivotArea type="topRight" dataOnly="0" labelOnly="1" outline="0" fieldPosition="0"/>
    </format>
    <format dxfId="3144">
      <pivotArea dataOnly="0" labelOnly="1" fieldPosition="0">
        <references count="1">
          <reference field="25" count="2">
            <x v="2"/>
            <x v="3"/>
          </reference>
        </references>
      </pivotArea>
    </format>
    <format dxfId="3143">
      <pivotArea type="all" dataOnly="0" outline="0" fieldPosition="0"/>
    </format>
    <format dxfId="3142">
      <pivotArea outline="0" collapsedLevelsAreSubtotals="1" fieldPosition="0"/>
    </format>
    <format dxfId="3141">
      <pivotArea field="25" type="button" dataOnly="0" labelOnly="1" outline="0" axis="axisRow" fieldPosition="0"/>
    </format>
    <format dxfId="3140">
      <pivotArea dataOnly="0" labelOnly="1" fieldPosition="0">
        <references count="1">
          <reference field="25" count="2">
            <x v="2"/>
            <x v="3"/>
          </reference>
        </references>
      </pivotArea>
    </format>
    <format dxfId="3139">
      <pivotArea dataOnly="0" labelOnly="1" grandRow="1" outline="0" fieldPosition="0"/>
    </format>
    <format dxfId="3138">
      <pivotArea dataOnly="0" labelOnly="1" fieldPosition="0">
        <references count="2">
          <reference field="23" count="7">
            <x v="6"/>
            <x v="7"/>
            <x v="8"/>
            <x v="9"/>
            <x v="10"/>
            <x v="11"/>
            <x v="12"/>
          </reference>
          <reference field="25" count="1" selected="0">
            <x v="2"/>
          </reference>
        </references>
      </pivotArea>
    </format>
    <format dxfId="3137">
      <pivotArea dataOnly="0" labelOnly="1" fieldPosition="0">
        <references count="2">
          <reference field="23" count="6">
            <x v="1"/>
            <x v="2"/>
            <x v="3"/>
            <x v="4"/>
            <x v="5"/>
            <x v="6"/>
          </reference>
          <reference field="25" count="1" selected="0">
            <x v="3"/>
          </reference>
        </references>
      </pivotArea>
    </format>
    <format dxfId="3136">
      <pivotArea dataOnly="0" labelOnly="1" outline="0" axis="axisValues" fieldPosition="0"/>
    </format>
    <format dxfId="3135">
      <pivotArea type="all" dataOnly="0" outline="0" fieldPosition="0"/>
    </format>
    <format dxfId="3134">
      <pivotArea outline="0" collapsedLevelsAreSubtotals="1" fieldPosition="0"/>
    </format>
    <format dxfId="3133">
      <pivotArea field="25" type="button" dataOnly="0" labelOnly="1" outline="0" axis="axisRow" fieldPosition="0"/>
    </format>
    <format dxfId="3132">
      <pivotArea dataOnly="0" labelOnly="1" fieldPosition="0">
        <references count="1">
          <reference field="25" count="2">
            <x v="2"/>
            <x v="3"/>
          </reference>
        </references>
      </pivotArea>
    </format>
    <format dxfId="3131">
      <pivotArea dataOnly="0" labelOnly="1" grandRow="1" outline="0" fieldPosition="0"/>
    </format>
    <format dxfId="3130">
      <pivotArea dataOnly="0" labelOnly="1" fieldPosition="0">
        <references count="2">
          <reference field="23" count="7">
            <x v="6"/>
            <x v="7"/>
            <x v="8"/>
            <x v="9"/>
            <x v="10"/>
            <x v="11"/>
            <x v="12"/>
          </reference>
          <reference field="25" count="1" selected="0">
            <x v="2"/>
          </reference>
        </references>
      </pivotArea>
    </format>
    <format dxfId="3129">
      <pivotArea dataOnly="0" labelOnly="1" fieldPosition="0">
        <references count="2">
          <reference field="23" count="6">
            <x v="1"/>
            <x v="2"/>
            <x v="3"/>
            <x v="4"/>
            <x v="5"/>
            <x v="6"/>
          </reference>
          <reference field="25" count="1" selected="0">
            <x v="3"/>
          </reference>
        </references>
      </pivotArea>
    </format>
    <format dxfId="3128">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9" firstHeaderRow="1" firstDataRow="1" firstDataCol="1" rowPageCount="1" colPageCount="1"/>
  <pivotFields count="28">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1">
    <field x="0"/>
  </rowFields>
  <rowItems count="4">
    <i>
      <x v="2"/>
    </i>
    <i>
      <x v="4"/>
    </i>
    <i>
      <x/>
    </i>
    <i t="grand">
      <x/>
    </i>
  </rowItems>
  <colItems count="1">
    <i/>
  </colItems>
  <pageFields count="1">
    <pageField fld="11" hier="-1"/>
  </pageFields>
  <dataFields count="1">
    <dataField name="Count of Asking Rent" fld="13" subtotal="count" baseField="0" baseItem="11"/>
  </dataFields>
  <formats count="9">
    <format dxfId="3161">
      <pivotArea outline="0" collapsedLevelsAreSubtotals="1" fieldPosition="0"/>
    </format>
    <format dxfId="3160">
      <pivotArea outline="0" collapsedLevelsAreSubtotals="1" fieldPosition="0"/>
    </format>
    <format dxfId="3159">
      <pivotArea dataOnly="0" labelOnly="1" outline="0" axis="axisValues" fieldPosition="0"/>
    </format>
    <format dxfId="3158">
      <pivotArea type="all" dataOnly="0" outline="0" fieldPosition="0"/>
    </format>
    <format dxfId="3157">
      <pivotArea outline="0" collapsedLevelsAreSubtotals="1" fieldPosition="0"/>
    </format>
    <format dxfId="3156">
      <pivotArea field="0" type="button" dataOnly="0" labelOnly="1" outline="0" axis="axisRow" fieldPosition="0"/>
    </format>
    <format dxfId="3155">
      <pivotArea dataOnly="0" labelOnly="1" fieldPosition="0">
        <references count="1">
          <reference field="0" count="0"/>
        </references>
      </pivotArea>
    </format>
    <format dxfId="3154">
      <pivotArea dataOnly="0" labelOnly="1" grandRow="1" outline="0" fieldPosition="0"/>
    </format>
    <format dxfId="3153">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92:K126" firstHeaderRow="0" firstDataRow="1" firstDataCol="1"/>
  <pivotFields count="28">
    <pivotField axis="axisRow" showAll="0">
      <items count="6">
        <item x="0"/>
        <item x="1"/>
        <item x="2"/>
        <item x="3"/>
        <item x="4"/>
        <item t="default"/>
      </items>
    </pivotField>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dataField="1" showAll="0"/>
    <pivotField dataField="1" showAll="0"/>
    <pivotField axis="axisRow" showAll="0">
      <items count="3">
        <item n="1BR" x="1"/>
        <item n="2BR" x="0"/>
        <item t="default"/>
      </items>
    </pivotField>
    <pivotField showAll="0"/>
    <pivotField showAll="0"/>
    <pivotField dataField="1" showAll="0"/>
    <pivotField showAll="0"/>
    <pivotField showAll="0">
      <items count="66">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 dragToRow="0" dragToCol="0" dragToPage="0" showAll="0" defaultSubtotal="0"/>
    <pivotField dragToRow="0" dragToCol="0" dragToPage="0" showAll="0" defaultSubtotal="0"/>
  </pivotFields>
  <rowFields count="3">
    <field x="0"/>
    <field x="5"/>
    <field x="2"/>
  </rowFields>
  <rowItems count="34">
    <i>
      <x/>
    </i>
    <i r="1">
      <x/>
    </i>
    <i r="2">
      <x/>
    </i>
    <i r="2">
      <x v="1"/>
    </i>
    <i r="2">
      <x v="3"/>
    </i>
    <i r="2">
      <x v="4"/>
    </i>
    <i r="2">
      <x v="7"/>
    </i>
    <i r="2">
      <x v="8"/>
    </i>
    <i r="2">
      <x v="9"/>
    </i>
    <i r="1">
      <x v="1"/>
    </i>
    <i r="2">
      <x/>
    </i>
    <i r="2">
      <x v="5"/>
    </i>
    <i r="2">
      <x v="6"/>
    </i>
    <i r="2">
      <x v="10"/>
    </i>
    <i r="2">
      <x v="11"/>
    </i>
    <i r="2">
      <x v="12"/>
    </i>
    <i r="2">
      <x v="13"/>
    </i>
    <i r="2">
      <x v="17"/>
    </i>
    <i r="2">
      <x v="18"/>
    </i>
    <i>
      <x v="1"/>
    </i>
    <i r="1">
      <x v="1"/>
    </i>
    <i r="2">
      <x/>
    </i>
    <i>
      <x v="2"/>
    </i>
    <i r="1">
      <x v="1"/>
    </i>
    <i r="2">
      <x/>
    </i>
    <i r="2">
      <x v="15"/>
    </i>
    <i>
      <x v="3"/>
    </i>
    <i r="1">
      <x v="1"/>
    </i>
    <i r="2">
      <x/>
    </i>
    <i r="2">
      <x v="19"/>
    </i>
    <i>
      <x v="4"/>
    </i>
    <i r="1">
      <x v="1"/>
    </i>
    <i r="2">
      <x v="20"/>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34">
    <format dxfId="2722">
      <pivotArea outline="0" collapsedLevelsAreSubtotals="1" fieldPosition="0"/>
    </format>
    <format dxfId="2721">
      <pivotArea outline="0" collapsedLevelsAreSubtotals="1" fieldPosition="0"/>
    </format>
    <format dxfId="2720">
      <pivotArea dataOnly="0" labelOnly="1" outline="0" axis="axisValues" fieldPosition="0"/>
    </format>
    <format dxfId="2719">
      <pivotArea outline="0" collapsedLevelsAreSubtotals="1" fieldPosition="0"/>
    </format>
    <format dxfId="2718">
      <pivotArea outline="0" collapsedLevelsAreSubtotals="1" fieldPosition="0"/>
    </format>
    <format dxfId="2717">
      <pivotArea outline="0" collapsedLevelsAreSubtotals="1" fieldPosition="0"/>
    </format>
    <format dxfId="2716">
      <pivotArea outline="0" collapsedLevelsAreSubtotals="1" fieldPosition="0">
        <references count="1">
          <reference field="4294967294" count="1" selected="0">
            <x v="1"/>
          </reference>
        </references>
      </pivotArea>
    </format>
    <format dxfId="2715">
      <pivotArea dataOnly="0" labelOnly="1" outline="0" fieldPosition="0">
        <references count="1">
          <reference field="4294967294" count="1">
            <x v="1"/>
          </reference>
        </references>
      </pivotArea>
    </format>
    <format dxfId="2714">
      <pivotArea field="0" type="button" dataOnly="0" labelOnly="1" outline="0" axis="axisRow" fieldPosition="0"/>
    </format>
    <format dxfId="2713">
      <pivotArea dataOnly="0" labelOnly="1" outline="0" fieldPosition="0">
        <references count="1">
          <reference field="4294967294" count="1">
            <x v="1"/>
          </reference>
        </references>
      </pivotArea>
    </format>
    <format dxfId="2712">
      <pivotArea field="0" type="button" dataOnly="0" labelOnly="1" outline="0" axis="axisRow" fieldPosition="0"/>
    </format>
    <format dxfId="2711">
      <pivotArea dataOnly="0" labelOnly="1" outline="0" fieldPosition="0">
        <references count="1">
          <reference field="4294967294" count="1">
            <x v="1"/>
          </reference>
        </references>
      </pivotArea>
    </format>
    <format dxfId="2710">
      <pivotArea field="0" type="button" dataOnly="0" labelOnly="1" outline="0" axis="axisRow" fieldPosition="0"/>
    </format>
    <format dxfId="2709">
      <pivotArea dataOnly="0" labelOnly="1" outline="0" fieldPosition="0">
        <references count="1">
          <reference field="4294967294" count="1">
            <x v="1"/>
          </reference>
        </references>
      </pivotArea>
    </format>
    <format dxfId="2708">
      <pivotArea type="all" dataOnly="0" outline="0" fieldPosition="0"/>
    </format>
    <format dxfId="2707">
      <pivotArea outline="0" collapsedLevelsAreSubtotals="1" fieldPosition="0"/>
    </format>
    <format dxfId="2706">
      <pivotArea dataOnly="0" labelOnly="1" fieldPosition="0">
        <references count="1">
          <reference field="0" count="0"/>
        </references>
      </pivotArea>
    </format>
    <format dxfId="2705">
      <pivotArea dataOnly="0" labelOnly="1" grandRow="1" outline="0" fieldPosition="0"/>
    </format>
    <format dxfId="2704">
      <pivotArea field="0" type="button" dataOnly="0" labelOnly="1" outline="0" axis="axisRow" fieldPosition="0"/>
    </format>
    <format dxfId="2703">
      <pivotArea dataOnly="0" labelOnly="1" outline="0" fieldPosition="0">
        <references count="1">
          <reference field="4294967294" count="1">
            <x v="1"/>
          </reference>
        </references>
      </pivotArea>
    </format>
    <format dxfId="2702">
      <pivotArea dataOnly="0" labelOnly="1" outline="0" fieldPosition="0">
        <references count="1">
          <reference field="4294967294" count="2">
            <x v="3"/>
            <x v="5"/>
          </reference>
        </references>
      </pivotArea>
    </format>
    <format dxfId="2701">
      <pivotArea dataOnly="0" labelOnly="1" outline="0" fieldPosition="0">
        <references count="1">
          <reference field="4294967294" count="2">
            <x v="3"/>
            <x v="5"/>
          </reference>
        </references>
      </pivotArea>
    </format>
    <format dxfId="2700">
      <pivotArea dataOnly="0" labelOnly="1" outline="0" fieldPosition="0">
        <references count="1">
          <reference field="4294967294" count="1">
            <x v="3"/>
          </reference>
        </references>
      </pivotArea>
    </format>
    <format dxfId="2699">
      <pivotArea outline="0" collapsedLevelsAreSubtotals="1" fieldPosition="0">
        <references count="1">
          <reference field="4294967294" count="1" selected="0">
            <x v="6"/>
          </reference>
        </references>
      </pivotArea>
    </format>
    <format dxfId="2698">
      <pivotArea outline="0" collapsedLevelsAreSubtotals="1" fieldPosition="0">
        <references count="1">
          <reference field="4294967294" count="1" selected="0">
            <x v="0"/>
          </reference>
        </references>
      </pivotArea>
    </format>
    <format dxfId="2697">
      <pivotArea dataOnly="0" labelOnly="1" outline="0" fieldPosition="0">
        <references count="1">
          <reference field="4294967294" count="1">
            <x v="0"/>
          </reference>
        </references>
      </pivotArea>
    </format>
    <format dxfId="2696">
      <pivotArea dataOnly="0" labelOnly="1" outline="0" fieldPosition="0">
        <references count="1">
          <reference field="4294967294" count="1">
            <x v="7"/>
          </reference>
        </references>
      </pivotArea>
    </format>
    <format dxfId="2695">
      <pivotArea dataOnly="0" labelOnly="1" outline="0" fieldPosition="0">
        <references count="1">
          <reference field="4294967294" count="1">
            <x v="6"/>
          </reference>
        </references>
      </pivotArea>
    </format>
    <format dxfId="2694">
      <pivotArea outline="0" collapsedLevelsAreSubtotals="1" fieldPosition="0">
        <references count="1">
          <reference field="4294967294" count="1" selected="0">
            <x v="7"/>
          </reference>
        </references>
      </pivotArea>
    </format>
    <format dxfId="2693">
      <pivotArea dataOnly="0" labelOnly="1" outline="0" fieldPosition="0">
        <references count="1">
          <reference field="4294967294" count="9">
            <x v="0"/>
            <x v="1"/>
            <x v="2"/>
            <x v="3"/>
            <x v="4"/>
            <x v="5"/>
            <x v="6"/>
            <x v="7"/>
            <x v="8"/>
          </reference>
        </references>
      </pivotArea>
    </format>
    <format dxfId="2692">
      <pivotArea outline="0" collapsedLevelsAreSubtotals="1" fieldPosition="0">
        <references count="1">
          <reference field="4294967294" count="4" selected="0">
            <x v="2"/>
            <x v="3"/>
            <x v="4"/>
            <x v="5"/>
          </reference>
        </references>
      </pivotArea>
    </format>
    <format dxfId="2691">
      <pivotArea outline="0" collapsedLevelsAreSubtotals="1" fieldPosition="0">
        <references count="1">
          <reference field="4294967294" count="1" selected="0">
            <x v="2"/>
          </reference>
        </references>
      </pivotArea>
    </format>
    <format dxfId="2690">
      <pivotArea outline="0" collapsedLevelsAreSubtotals="1" fieldPosition="0">
        <references count="1">
          <reference field="4294967294" count="1" selected="0">
            <x v="3"/>
          </reference>
        </references>
      </pivotArea>
    </format>
    <format dxfId="2689">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filters count="1">
    <filter fld="10" type="dateNewerThan" evalOrder="-1" id="106">
      <autoFilter ref="A1">
        <filterColumn colId="0">
          <customFilters>
            <customFilter operator="greaterThan"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0"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L33" firstHeaderRow="1" firstDataRow="3" firstDataCol="1"/>
  <pivotFields count="28">
    <pivotField axis="axisCol" showAll="0" defaultSubtotal="0">
      <items count="5">
        <item x="0"/>
        <item x="1"/>
        <item x="2"/>
        <item x="3"/>
        <item x="4"/>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pivotField dataField="1" showAll="0" defaultSubtotal="0">
      <items count="65">
        <item x="1"/>
        <item x="27"/>
        <item x="14"/>
        <item x="13"/>
        <item x="35"/>
        <item x="38"/>
        <item x="4"/>
        <item x="54"/>
        <item x="37"/>
        <item x="57"/>
        <item x="61"/>
        <item x="52"/>
        <item x="26"/>
        <item x="56"/>
        <item x="8"/>
        <item x="32"/>
        <item x="55"/>
        <item x="59"/>
        <item x="53"/>
        <item x="36"/>
        <item x="18"/>
        <item x="58"/>
        <item x="60"/>
        <item x="64"/>
        <item x="29"/>
        <item x="11"/>
        <item x="23"/>
        <item x="44"/>
        <item x="40"/>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x="0"/>
        <item x="5"/>
      </items>
    </pivotField>
    <pivotField axis="axisRow" showAll="0" defaultSubtotal="0">
      <items count="5">
        <item x="1"/>
        <item x="2"/>
        <item x="3"/>
        <item x="0"/>
        <item x="4"/>
      </items>
    </pivotField>
    <pivotField dragToRow="0" dragToCol="0" dragToPage="0" showAll="0" defaultSubtotal="0"/>
    <pivotField subtotalTop="0" dragToRow="0" dragToCol="0" dragToPage="0" showAll="0" defaultSubtotal="0"/>
  </pivotFields>
  <rowFields count="2">
    <field x="25"/>
    <field x="23"/>
  </rowFields>
  <rowItems count="26">
    <i>
      <x/>
    </i>
    <i r="1">
      <x v="10"/>
    </i>
    <i r="1">
      <x v="11"/>
    </i>
    <i>
      <x v="1"/>
    </i>
    <i r="1">
      <x v="1"/>
    </i>
    <i r="1">
      <x v="2"/>
    </i>
    <i r="1">
      <x v="3"/>
    </i>
    <i r="1">
      <x v="4"/>
    </i>
    <i r="1">
      <x v="5"/>
    </i>
    <i r="1">
      <x v="6"/>
    </i>
    <i r="1">
      <x v="7"/>
    </i>
    <i r="1">
      <x v="8"/>
    </i>
    <i r="1">
      <x v="11"/>
    </i>
    <i r="1">
      <x v="12"/>
    </i>
    <i>
      <x v="2"/>
    </i>
    <i r="1">
      <x v="1"/>
    </i>
    <i r="1">
      <x v="2"/>
    </i>
    <i r="1">
      <x v="3"/>
    </i>
    <i r="1">
      <x v="4"/>
    </i>
    <i r="1">
      <x v="5"/>
    </i>
    <i r="1">
      <x v="6"/>
    </i>
    <i r="1">
      <x v="7"/>
    </i>
    <i r="1">
      <x v="8"/>
    </i>
    <i r="1">
      <x v="9"/>
    </i>
    <i r="1">
      <x v="10"/>
    </i>
    <i r="1">
      <x v="11"/>
    </i>
  </rowItems>
  <colFields count="2">
    <field x="0"/>
    <field x="-2"/>
  </colFields>
  <colItems count="10">
    <i>
      <x/>
      <x/>
    </i>
    <i r="1" i="1">
      <x v="1"/>
    </i>
    <i>
      <x v="1"/>
      <x/>
    </i>
    <i r="1" i="1">
      <x v="1"/>
    </i>
    <i>
      <x v="2"/>
      <x/>
    </i>
    <i r="1" i="1">
      <x v="1"/>
    </i>
    <i>
      <x v="3"/>
      <x/>
    </i>
    <i r="1" i="1">
      <x v="1"/>
    </i>
    <i>
      <x v="4"/>
      <x/>
    </i>
    <i r="1" i="1">
      <x v="1"/>
    </i>
  </colItems>
  <dataFields count="2">
    <dataField name="Avg Rent" fld="13" subtotal="average" baseField="23" baseItem="3"/>
    <dataField name="# Leases" fld="10" subtotal="count" baseField="0" baseItem="0"/>
  </dataFields>
  <formats count="100">
    <format dxfId="2688">
      <pivotArea outline="0" collapsedLevelsAreSubtotals="1" fieldPosition="0"/>
    </format>
    <format dxfId="2687">
      <pivotArea type="origin" dataOnly="0" labelOnly="1" outline="0" offset="A4" fieldPosition="0"/>
    </format>
    <format dxfId="2686">
      <pivotArea type="all" dataOnly="0" outline="0" fieldPosition="0"/>
    </format>
    <format dxfId="2685">
      <pivotArea outline="0" collapsedLevelsAreSubtotals="1" fieldPosition="0"/>
    </format>
    <format dxfId="2684">
      <pivotArea type="origin" dataOnly="0" labelOnly="1" outline="0" fieldPosition="0"/>
    </format>
    <format dxfId="2683">
      <pivotArea field="25" type="button" dataOnly="0" labelOnly="1" outline="0" axis="axisRow" fieldPosition="0"/>
    </format>
    <format dxfId="2682">
      <pivotArea field="24" type="button" dataOnly="0" labelOnly="1" outline="0"/>
    </format>
    <format dxfId="2681">
      <pivotArea field="23" type="button" dataOnly="0" labelOnly="1" outline="0" axis="axisRow" fieldPosition="1"/>
    </format>
    <format dxfId="2680">
      <pivotArea field="10" type="button" dataOnly="0" labelOnly="1" outline="0"/>
    </format>
    <format dxfId="2679">
      <pivotArea type="topRight" dataOnly="0" labelOnly="1" outline="0" fieldPosition="0"/>
    </format>
    <format dxfId="2678">
      <pivotArea field="0" type="button" dataOnly="0" labelOnly="1" outline="0" axis="axisCol" fieldPosition="0"/>
    </format>
    <format dxfId="2677">
      <pivotArea dataOnly="0" labelOnly="1" fieldPosition="0">
        <references count="1">
          <reference field="0" count="0"/>
        </references>
      </pivotArea>
    </format>
    <format dxfId="2676">
      <pivotArea type="origin" dataOnly="0" labelOnly="1" outline="0" offset="A3" fieldPosition="0"/>
    </format>
    <format dxfId="2675">
      <pivotArea type="origin" dataOnly="0" labelOnly="1" outline="0" offset="A2" fieldPosition="0"/>
    </format>
    <format dxfId="2674">
      <pivotArea type="origin" dataOnly="0" labelOnly="1" outline="0" offset="A2:A3" fieldPosition="0"/>
    </format>
    <format dxfId="2673">
      <pivotArea type="origin" dataOnly="0" labelOnly="1" outline="0" offset="A2:A3" fieldPosition="0"/>
    </format>
    <format dxfId="2672">
      <pivotArea outline="0" collapsedLevelsAreSubtotals="1" fieldPosition="0"/>
    </format>
    <format dxfId="2671">
      <pivotArea field="25" type="button" dataOnly="0" labelOnly="1" outline="0" axis="axisRow" fieldPosition="0"/>
    </format>
    <format dxfId="2670">
      <pivotArea field="24" type="button" dataOnly="0" labelOnly="1" outline="0"/>
    </format>
    <format dxfId="2669">
      <pivotArea field="23" type="button" dataOnly="0" labelOnly="1" outline="0" axis="axisRow" fieldPosition="1"/>
    </format>
    <format dxfId="2668">
      <pivotArea field="10" type="button" dataOnly="0" labelOnly="1" outline="0"/>
    </format>
    <format dxfId="2667">
      <pivotArea type="origin" dataOnly="0" labelOnly="1" outline="0" offset="A4" fieldPosition="0"/>
    </format>
    <format dxfId="2666">
      <pivotArea field="0" type="button" dataOnly="0" labelOnly="1" outline="0" axis="axisCol" fieldPosition="0"/>
    </format>
    <format dxfId="2665">
      <pivotArea collapsedLevelsAreSubtotals="1" fieldPosition="0">
        <references count="1">
          <reference field="25" count="1">
            <x v="0"/>
          </reference>
        </references>
      </pivotArea>
    </format>
    <format dxfId="2664">
      <pivotArea collapsedLevelsAreSubtotals="1" fieldPosition="0">
        <references count="1">
          <reference field="25" count="1">
            <x v="1"/>
          </reference>
        </references>
      </pivotArea>
    </format>
    <format dxfId="2663">
      <pivotArea collapsedLevelsAreSubtotals="1" fieldPosition="0">
        <references count="1">
          <reference field="25" count="1">
            <x v="2"/>
          </reference>
        </references>
      </pivotArea>
    </format>
    <format dxfId="2662">
      <pivotArea field="0" type="button" dataOnly="0" labelOnly="1" outline="0" axis="axisCol" fieldPosition="0"/>
    </format>
    <format dxfId="2661">
      <pivotArea field="-2" type="button" dataOnly="0" labelOnly="1" outline="0" axis="axisCol" fieldPosition="1"/>
    </format>
    <format dxfId="2660">
      <pivotArea type="topRight" dataOnly="0" labelOnly="1" outline="0" fieldPosition="0"/>
    </format>
    <format dxfId="2659">
      <pivotArea dataOnly="0" labelOnly="1" fieldPosition="0">
        <references count="1">
          <reference field="0" count="0"/>
        </references>
      </pivotArea>
    </format>
    <format dxfId="2658">
      <pivotArea type="all" dataOnly="0" outline="0" fieldPosition="0"/>
    </format>
    <format dxfId="2657">
      <pivotArea outline="0" collapsedLevelsAreSubtotals="1" fieldPosition="0"/>
    </format>
    <format dxfId="2656">
      <pivotArea type="origin" dataOnly="0" labelOnly="1" outline="0" fieldPosition="0"/>
    </format>
    <format dxfId="2655">
      <pivotArea field="0" type="button" dataOnly="0" labelOnly="1" outline="0" axis="axisCol" fieldPosition="0"/>
    </format>
    <format dxfId="2654">
      <pivotArea field="-2" type="button" dataOnly="0" labelOnly="1" outline="0" axis="axisCol" fieldPosition="1"/>
    </format>
    <format dxfId="2653">
      <pivotArea type="topRight" dataOnly="0" labelOnly="1" outline="0" fieldPosition="0"/>
    </format>
    <format dxfId="2652">
      <pivotArea field="25" type="button" dataOnly="0" labelOnly="1" outline="0" axis="axisRow" fieldPosition="0"/>
    </format>
    <format dxfId="2651">
      <pivotArea dataOnly="0" labelOnly="1" fieldPosition="0">
        <references count="1">
          <reference field="25" count="3">
            <x v="0"/>
            <x v="1"/>
            <x v="2"/>
          </reference>
        </references>
      </pivotArea>
    </format>
    <format dxfId="2650">
      <pivotArea dataOnly="0" labelOnly="1" grandRow="1" outline="0" fieldPosition="0"/>
    </format>
    <format dxfId="2649">
      <pivotArea dataOnly="0" labelOnly="1" fieldPosition="0">
        <references count="2">
          <reference field="23" count="7">
            <x v="6"/>
            <x v="7"/>
            <x v="8"/>
            <x v="9"/>
            <x v="10"/>
            <x v="11"/>
            <x v="12"/>
          </reference>
          <reference field="25" count="1" selected="0">
            <x v="0"/>
          </reference>
        </references>
      </pivotArea>
    </format>
    <format dxfId="2648">
      <pivotArea dataOnly="0" labelOnly="1" fieldPosition="0">
        <references count="2">
          <reference field="23" count="12">
            <x v="1"/>
            <x v="2"/>
            <x v="3"/>
            <x v="4"/>
            <x v="5"/>
            <x v="6"/>
            <x v="7"/>
            <x v="8"/>
            <x v="9"/>
            <x v="10"/>
            <x v="11"/>
            <x v="12"/>
          </reference>
          <reference field="25" count="1" selected="0">
            <x v="1"/>
          </reference>
        </references>
      </pivotArea>
    </format>
    <format dxfId="2647">
      <pivotArea dataOnly="0" labelOnly="1" fieldPosition="0">
        <references count="2">
          <reference field="23" count="3">
            <x v="1"/>
            <x v="2"/>
            <x v="3"/>
          </reference>
          <reference field="25" count="1" selected="0">
            <x v="2"/>
          </reference>
        </references>
      </pivotArea>
    </format>
    <format dxfId="2646">
      <pivotArea dataOnly="0" labelOnly="1" fieldPosition="0">
        <references count="1">
          <reference field="0" count="0"/>
        </references>
      </pivotArea>
    </format>
    <format dxfId="2645">
      <pivotArea dataOnly="0" labelOnly="1" fieldPosition="0">
        <references count="1">
          <reference field="0" count="0"/>
        </references>
      </pivotArea>
    </format>
    <format>
      <pivotArea dataOnly="0" labelOnly="1" fieldPosition="0">
        <references count="1">
          <reference field="0" count="0"/>
        </references>
      </pivotArea>
    </format>
    <format dxfId="2644">
      <pivotArea dataOnly="0" labelOnly="1" fieldPosition="0">
        <references count="1">
          <reference field="0" count="0"/>
        </references>
      </pivotArea>
    </format>
    <format dxfId="2643">
      <pivotArea dataOnly="0" labelOnly="1" grandRow="1" outline="0" fieldPosition="0"/>
    </format>
    <format dxfId="2642">
      <pivotArea outline="0" collapsedLevelsAreSubtotals="1" fieldPosition="0"/>
    </format>
    <format dxfId="2641">
      <pivotArea field="25" type="button" dataOnly="0" labelOnly="1" outline="0" axis="axisRow" fieldPosition="0"/>
    </format>
    <format dxfId="2640">
      <pivotArea dataOnly="0" labelOnly="1" fieldPosition="0">
        <references count="1">
          <reference field="25" count="3">
            <x v="0"/>
            <x v="1"/>
            <x v="2"/>
          </reference>
        </references>
      </pivotArea>
    </format>
    <format dxfId="2639">
      <pivotArea dataOnly="0" labelOnly="1" fieldPosition="0">
        <references count="2">
          <reference field="23" count="7">
            <x v="6"/>
            <x v="7"/>
            <x v="8"/>
            <x v="9"/>
            <x v="10"/>
            <x v="11"/>
            <x v="12"/>
          </reference>
          <reference field="25" count="1" selected="0">
            <x v="0"/>
          </reference>
        </references>
      </pivotArea>
    </format>
    <format dxfId="2638">
      <pivotArea dataOnly="0" labelOnly="1" fieldPosition="0">
        <references count="2">
          <reference field="23" count="12">
            <x v="1"/>
            <x v="2"/>
            <x v="3"/>
            <x v="4"/>
            <x v="5"/>
            <x v="6"/>
            <x v="7"/>
            <x v="8"/>
            <x v="9"/>
            <x v="10"/>
            <x v="11"/>
            <x v="12"/>
          </reference>
          <reference field="25" count="1" selected="0">
            <x v="1"/>
          </reference>
        </references>
      </pivotArea>
    </format>
    <format dxfId="2637">
      <pivotArea dataOnly="0" labelOnly="1" fieldPosition="0">
        <references count="2">
          <reference field="23" count="3">
            <x v="1"/>
            <x v="2"/>
            <x v="3"/>
          </reference>
          <reference field="25" count="1" selected="0">
            <x v="2"/>
          </reference>
        </references>
      </pivotArea>
    </format>
    <format dxfId="2636">
      <pivotArea dataOnly="0" labelOnly="1" fieldPosition="0">
        <references count="1">
          <reference field="0" count="0"/>
        </references>
      </pivotArea>
    </format>
    <format dxfId="2635">
      <pivotArea dataOnly="0" labelOnly="1" fieldPosition="0">
        <references count="1">
          <reference field="0" count="0"/>
        </references>
      </pivotArea>
    </format>
    <format dxfId="2634">
      <pivotArea type="all" dataOnly="0" outline="0" fieldPosition="0"/>
    </format>
    <format dxfId="2633">
      <pivotArea outline="0" collapsedLevelsAreSubtotals="1" fieldPosition="0"/>
    </format>
    <format dxfId="2632">
      <pivotArea type="origin" dataOnly="0" labelOnly="1" outline="0" fieldPosition="0"/>
    </format>
    <format dxfId="2631">
      <pivotArea field="0" type="button" dataOnly="0" labelOnly="1" outline="0" axis="axisCol" fieldPosition="0"/>
    </format>
    <format dxfId="2630">
      <pivotArea field="-2" type="button" dataOnly="0" labelOnly="1" outline="0" axis="axisCol" fieldPosition="1"/>
    </format>
    <format dxfId="2629">
      <pivotArea type="topRight" dataOnly="0" labelOnly="1" outline="0" fieldPosition="0"/>
    </format>
    <format dxfId="2628">
      <pivotArea field="25" type="button" dataOnly="0" labelOnly="1" outline="0" axis="axisRow" fieldPosition="0"/>
    </format>
    <format dxfId="2627">
      <pivotArea dataOnly="0" labelOnly="1" fieldPosition="0">
        <references count="1">
          <reference field="25" count="3">
            <x v="0"/>
            <x v="1"/>
            <x v="2"/>
          </reference>
        </references>
      </pivotArea>
    </format>
    <format dxfId="2626">
      <pivotArea dataOnly="0" labelOnly="1" fieldPosition="0">
        <references count="2">
          <reference field="23" count="7">
            <x v="6"/>
            <x v="7"/>
            <x v="8"/>
            <x v="9"/>
            <x v="10"/>
            <x v="11"/>
            <x v="12"/>
          </reference>
          <reference field="25" count="1" selected="0">
            <x v="0"/>
          </reference>
        </references>
      </pivotArea>
    </format>
    <format dxfId="2625">
      <pivotArea dataOnly="0" labelOnly="1" fieldPosition="0">
        <references count="2">
          <reference field="23" count="12">
            <x v="1"/>
            <x v="2"/>
            <x v="3"/>
            <x v="4"/>
            <x v="5"/>
            <x v="6"/>
            <x v="7"/>
            <x v="8"/>
            <x v="9"/>
            <x v="10"/>
            <x v="11"/>
            <x v="12"/>
          </reference>
          <reference field="25" count="1" selected="0">
            <x v="1"/>
          </reference>
        </references>
      </pivotArea>
    </format>
    <format dxfId="2624">
      <pivotArea dataOnly="0" labelOnly="1" fieldPosition="0">
        <references count="2">
          <reference field="23" count="3">
            <x v="1"/>
            <x v="2"/>
            <x v="3"/>
          </reference>
          <reference field="25" count="1" selected="0">
            <x v="2"/>
          </reference>
        </references>
      </pivotArea>
    </format>
    <format dxfId="2623">
      <pivotArea dataOnly="0" labelOnly="1" fieldPosition="0">
        <references count="1">
          <reference field="0" count="0"/>
        </references>
      </pivotArea>
    </format>
    <format>
      <pivotArea field="25" type="button" dataOnly="0" labelOnly="1" outline="0" axis="axisRow" fieldPosition="0"/>
    </format>
    <format dxfId="2622">
      <pivotArea type="all" dataOnly="0" outline="0" fieldPosition="0"/>
    </format>
    <format dxfId="2621">
      <pivotArea type="all" dataOnly="0" outline="0" fieldPosition="0"/>
    </format>
    <format dxfId="2620">
      <pivotArea outline="0" collapsedLevelsAreSubtotals="1" fieldPosition="0"/>
    </format>
    <format dxfId="2619">
      <pivotArea type="origin" dataOnly="0" labelOnly="1" outline="0" fieldPosition="0"/>
    </format>
    <format dxfId="2618">
      <pivotArea field="0" type="button" dataOnly="0" labelOnly="1" outline="0" axis="axisCol" fieldPosition="0"/>
    </format>
    <format dxfId="2617">
      <pivotArea field="-2" type="button" dataOnly="0" labelOnly="1" outline="0" axis="axisCol" fieldPosition="1"/>
    </format>
    <format dxfId="2616">
      <pivotArea type="topRight" dataOnly="0" labelOnly="1" outline="0" fieldPosition="0"/>
    </format>
    <format dxfId="2615">
      <pivotArea field="25" type="button" dataOnly="0" labelOnly="1" outline="0" axis="axisRow" fieldPosition="0"/>
    </format>
    <format dxfId="2614">
      <pivotArea dataOnly="0" labelOnly="1" fieldPosition="0">
        <references count="1">
          <reference field="25" count="0"/>
        </references>
      </pivotArea>
    </format>
    <format dxfId="2613">
      <pivotArea dataOnly="0" labelOnly="1" fieldPosition="0">
        <references count="2">
          <reference field="23" count="7">
            <x v="6"/>
            <x v="7"/>
            <x v="8"/>
            <x v="9"/>
            <x v="10"/>
            <x v="11"/>
            <x v="12"/>
          </reference>
          <reference field="25" count="1" selected="0">
            <x v="0"/>
          </reference>
        </references>
      </pivotArea>
    </format>
    <format dxfId="2612">
      <pivotArea dataOnly="0" labelOnly="1" fieldPosition="0">
        <references count="2">
          <reference field="23" count="12">
            <x v="1"/>
            <x v="2"/>
            <x v="3"/>
            <x v="4"/>
            <x v="5"/>
            <x v="6"/>
            <x v="7"/>
            <x v="8"/>
            <x v="9"/>
            <x v="10"/>
            <x v="11"/>
            <x v="12"/>
          </reference>
          <reference field="25" count="1" selected="0">
            <x v="1"/>
          </reference>
        </references>
      </pivotArea>
    </format>
    <format dxfId="2611">
      <pivotArea dataOnly="0" labelOnly="1" fieldPosition="0">
        <references count="2">
          <reference field="23" count="4">
            <x v="1"/>
            <x v="2"/>
            <x v="3"/>
            <x v="4"/>
          </reference>
          <reference field="25" count="1" selected="0">
            <x v="2"/>
          </reference>
        </references>
      </pivotArea>
    </format>
    <format dxfId="2610">
      <pivotArea dataOnly="0" labelOnly="1" fieldPosition="0">
        <references count="1">
          <reference field="0" count="0"/>
        </references>
      </pivotArea>
    </format>
    <format dxfId="2609">
      <pivotArea dataOnly="0" labelOnly="1" fieldPosition="0">
        <references count="1">
          <reference field="25" count="1">
            <x v="1"/>
          </reference>
        </references>
      </pivotArea>
    </format>
    <format dxfId="2608">
      <pivotArea dataOnly="0" labelOnly="1" fieldPosition="0">
        <references count="1">
          <reference field="25" count="1">
            <x v="2"/>
          </reference>
        </references>
      </pivotArea>
    </format>
    <format dxfId="2607">
      <pivotArea dataOnly="0" labelOnly="1" fieldPosition="0">
        <references count="1">
          <reference field="25" count="1">
            <x v="0"/>
          </reference>
        </references>
      </pivotArea>
    </format>
    <format dxfId="2606">
      <pivotArea dataOnly="0" labelOnly="1" fieldPosition="0">
        <references count="1">
          <reference field="0" count="0"/>
        </references>
      </pivotArea>
    </format>
    <format dxfId="2605">
      <pivotArea dataOnly="0" outline="0" fieldPosition="0">
        <references count="1">
          <reference field="4294967294" count="1">
            <x v="0"/>
          </reference>
        </references>
      </pivotArea>
    </format>
    <format dxfId="2604">
      <pivotArea dataOnly="0" labelOnly="1" fieldPosition="0">
        <references count="1">
          <reference field="0" count="0"/>
        </references>
      </pivotArea>
    </format>
    <format dxfId="2603">
      <pivotArea dataOnly="0" labelOnly="1" fieldPosition="0">
        <references count="1">
          <reference field="0" count="0"/>
        </references>
      </pivotArea>
    </format>
    <format dxfId="2602">
      <pivotArea type="all" dataOnly="0" outline="0" fieldPosition="0"/>
    </format>
    <format dxfId="2601">
      <pivotArea outline="0" collapsedLevelsAreSubtotals="1" fieldPosition="0"/>
    </format>
    <format dxfId="2600">
      <pivotArea type="origin" dataOnly="0" labelOnly="1" outline="0" fieldPosition="0"/>
    </format>
    <format dxfId="2599">
      <pivotArea field="0" type="button" dataOnly="0" labelOnly="1" outline="0" axis="axisCol" fieldPosition="0"/>
    </format>
    <format dxfId="2598">
      <pivotArea field="-2" type="button" dataOnly="0" labelOnly="1" outline="0" axis="axisCol" fieldPosition="1"/>
    </format>
    <format dxfId="2597">
      <pivotArea type="topRight" dataOnly="0" labelOnly="1" outline="0" fieldPosition="0"/>
    </format>
    <format dxfId="2596">
      <pivotArea field="25" type="button" dataOnly="0" labelOnly="1" outline="0" axis="axisRow" fieldPosition="0"/>
    </format>
    <format dxfId="2595">
      <pivotArea dataOnly="0" labelOnly="1" fieldPosition="0">
        <references count="1">
          <reference field="25" count="3">
            <x v="0"/>
            <x v="1"/>
            <x v="2"/>
          </reference>
        </references>
      </pivotArea>
    </format>
    <format dxfId="2594">
      <pivotArea dataOnly="0" labelOnly="1" fieldPosition="0">
        <references count="2">
          <reference field="23" count="6">
            <x v="7"/>
            <x v="8"/>
            <x v="9"/>
            <x v="10"/>
            <x v="11"/>
            <x v="12"/>
          </reference>
          <reference field="25" count="1" selected="0">
            <x v="0"/>
          </reference>
        </references>
      </pivotArea>
    </format>
    <format dxfId="2593">
      <pivotArea dataOnly="0" labelOnly="1" fieldPosition="0">
        <references count="2">
          <reference field="23" count="12">
            <x v="1"/>
            <x v="2"/>
            <x v="3"/>
            <x v="4"/>
            <x v="5"/>
            <x v="6"/>
            <x v="7"/>
            <x v="8"/>
            <x v="9"/>
            <x v="10"/>
            <x v="11"/>
            <x v="12"/>
          </reference>
          <reference field="25" count="1" selected="0">
            <x v="1"/>
          </reference>
        </references>
      </pivotArea>
    </format>
    <format dxfId="2592">
      <pivotArea dataOnly="0" labelOnly="1" fieldPosition="0">
        <references count="2">
          <reference field="23" count="12">
            <x v="1"/>
            <x v="2"/>
            <x v="3"/>
            <x v="4"/>
            <x v="5"/>
            <x v="6"/>
            <x v="7"/>
            <x v="8"/>
            <x v="9"/>
            <x v="10"/>
            <x v="11"/>
            <x v="12"/>
          </reference>
          <reference field="25" count="1" selected="0">
            <x v="2"/>
          </reference>
        </references>
      </pivotArea>
    </format>
    <format dxfId="2591">
      <pivotArea dataOnly="0" labelOnly="1" fieldPosition="0">
        <references count="1">
          <reference field="0" count="0"/>
        </references>
      </pivotArea>
    </format>
  </formats>
  <pivotTableStyleInfo name="HelloData_Pivot_Table" showRowHeaders="1" showColHeaders="1" showRowStripes="0" showColStripes="1"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E1BEF4B-81A2-417F-B1C0-5C540E4B17B8}" name="PivotTable6" cacheId="3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rowHeaderCaption="Property">
  <location ref="K6:Q37" firstHeaderRow="0" firstDataRow="1" firstDataCol="5"/>
  <pivotFields count="28">
    <pivotField axis="axisRow" subtotalCaption="Total" compact="0" outline="0" showAll="0" sortType="ascending">
      <items count="6">
        <item x="3"/>
        <item x="2"/>
        <item x="1"/>
        <item x="4"/>
        <item x="0"/>
        <item t="default"/>
      </items>
    </pivotField>
    <pivotField dataField="1" compact="0" outline="0" showAll="0" defaultSubtotal="0"/>
    <pivotField compact="0" outline="0" showAll="0" sortType="ascending" defaultSubtotal="0">
      <items count="21">
        <item n=" " x="0"/>
        <item x="19"/>
        <item x="11"/>
        <item x="12"/>
        <item x="13"/>
        <item x="20"/>
        <item x="4"/>
        <item x="1"/>
        <item x="3"/>
        <item x="6"/>
        <item x="2"/>
        <item x="5"/>
        <item x="7"/>
        <item x="9"/>
        <item x="10"/>
        <item x="8"/>
        <item x="16"/>
        <item x="17"/>
        <item x="18"/>
        <item x="15"/>
        <item x="14"/>
      </items>
    </pivotField>
    <pivotField compact="0" outline="0" showAll="0" defaultSubtotal="0"/>
    <pivotField compact="0" outline="0" showAll="0" defaultSubtotal="0"/>
    <pivotField axis="axisRow" compact="0" outline="0" showAll="0" sortType="ascending" defaultSubtotal="0">
      <items count="2">
        <item x="1"/>
        <item x="0"/>
      </items>
      <extLst>
        <ext xmlns:x14="http://schemas.microsoft.com/office/spreadsheetml/2009/9/main" uri="{2946ED86-A175-432a-8AC1-64E0C546D7DE}">
          <x14:pivotField fillDownLabels="1"/>
        </ext>
      </extLst>
    </pivotField>
    <pivotField axis="axisRow" compact="0" outline="0" showAll="0" sortType="ascending" defaultSubtotal="0">
      <items count="2">
        <item x="0"/>
        <item x="1"/>
      </items>
      <extLst>
        <ext xmlns:x14="http://schemas.microsoft.com/office/spreadsheetml/2009/9/main" uri="{2946ED86-A175-432a-8AC1-64E0C546D7DE}">
          <x14:pivotField fillDownLabels="1"/>
        </ext>
      </extLst>
    </pivotField>
    <pivotField name="Half Baths" axis="axisRow" compact="0" outline="0" showAll="0" sortType="descending" defaultSubtotal="0">
      <items count="2">
        <item n=" " x="0"/>
        <item x="1"/>
      </items>
      <extLst>
        <ext xmlns:x14="http://schemas.microsoft.com/office/spreadsheetml/2009/9/main" uri="{2946ED86-A175-432a-8AC1-64E0C546D7DE}">
          <x14:pivotField fillDownLabels="1"/>
        </ext>
      </extLst>
    </pivotField>
    <pivotField name="Sqft (label)" axis="axisRow" dataField="1" compact="0" outline="0" showAll="0" sortType="ascending" defaultSubtotal="0">
      <items count="21">
        <item x="14"/>
        <item x="11"/>
        <item x="17"/>
        <item x="3"/>
        <item x="15"/>
        <item x="18"/>
        <item x="1"/>
        <item x="12"/>
        <item x="13"/>
        <item x="8"/>
        <item x="7"/>
        <item x="19"/>
        <item x="5"/>
        <item x="0"/>
        <item x="2"/>
        <item x="20"/>
        <item x="10"/>
        <item x="9"/>
        <item x="6"/>
        <item x="16"/>
        <item n=" " x="4"/>
      </items>
    </pivotField>
    <pivotField compact="0" outline="0" showAll="0" defaultSubtotal="0"/>
    <pivotField compact="0" outline="0" showAll="0" defaultSubtotal="0">
      <items count="65">
        <item x="1"/>
        <item x="27"/>
        <item x="14"/>
        <item x="13"/>
        <item x="35"/>
        <item x="38"/>
        <item x="37"/>
        <item x="36"/>
        <item x="26"/>
        <item x="18"/>
        <item x="32"/>
        <item x="61"/>
        <item x="60"/>
        <item x="59"/>
        <item x="58"/>
        <item x="57"/>
        <item x="56"/>
        <item x="55"/>
        <item x="54"/>
        <item x="8"/>
        <item x="53"/>
        <item x="52"/>
        <item x="64"/>
        <item x="44"/>
        <item x="11"/>
        <item x="23"/>
        <item x="40"/>
        <item x="29"/>
        <item x="4"/>
        <item x="0"/>
        <item x="2"/>
        <item x="3"/>
        <item x="5"/>
        <item x="6"/>
        <item x="7"/>
        <item x="9"/>
        <item x="10"/>
        <item x="12"/>
        <item x="15"/>
        <item x="16"/>
        <item x="17"/>
        <item x="19"/>
        <item x="20"/>
        <item x="21"/>
        <item x="22"/>
        <item x="24"/>
        <item x="25"/>
        <item x="28"/>
        <item x="30"/>
        <item x="31"/>
        <item x="33"/>
        <item x="34"/>
        <item x="39"/>
        <item x="41"/>
        <item x="42"/>
        <item x="43"/>
        <item x="45"/>
        <item x="46"/>
        <item x="47"/>
        <item x="48"/>
        <item x="49"/>
        <item x="50"/>
        <item x="51"/>
        <item x="62"/>
        <item x="63"/>
      </items>
    </pivotField>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defaultSubtotal="0"/>
    <pivotField compact="0" outline="0" showAll="0" defaultSubtotal="0"/>
    <pivotField compact="0" outline="0" showAll="0" defaultSubtotal="0">
      <items count="5">
        <item x="1"/>
        <item x="2"/>
        <item x="3"/>
        <item x="0"/>
        <item x="4"/>
      </items>
    </pivotField>
    <pivotField compact="0" outline="0" dragToRow="0" dragToCol="0" dragToPage="0" showAll="0" defaultSubtotal="0"/>
    <pivotField compact="0" outline="0" subtotalTop="0" dragToRow="0" dragToCol="0" dragToPage="0" showAll="0" defaultSubtotal="0"/>
  </pivotFields>
  <rowFields count="5">
    <field x="0"/>
    <field x="5"/>
    <field x="6"/>
    <field x="7"/>
    <field x="8"/>
  </rowFields>
  <rowItems count="31">
    <i>
      <x/>
      <x v="1"/>
      <x/>
      <x/>
      <x v="5"/>
    </i>
    <i t="default">
      <x/>
    </i>
    <i>
      <x v="1"/>
      <x v="1"/>
      <x/>
      <x/>
      <x v="7"/>
    </i>
    <i t="default">
      <x v="1"/>
    </i>
    <i>
      <x v="2"/>
      <x v="1"/>
      <x/>
      <x/>
      <x v="20"/>
    </i>
    <i t="default">
      <x v="2"/>
    </i>
    <i>
      <x v="3"/>
      <x v="1"/>
      <x/>
      <x v="1"/>
      <x v="15"/>
    </i>
    <i t="default">
      <x v="3"/>
    </i>
    <i>
      <x v="4"/>
      <x/>
      <x/>
      <x/>
      <x/>
    </i>
    <i r="4">
      <x v="2"/>
    </i>
    <i r="4">
      <x v="3"/>
    </i>
    <i r="4">
      <x v="20"/>
    </i>
    <i r="1">
      <x v="1"/>
      <x/>
      <x/>
      <x v="1"/>
    </i>
    <i r="4">
      <x v="2"/>
    </i>
    <i r="4">
      <x v="4"/>
    </i>
    <i r="4">
      <x v="6"/>
    </i>
    <i r="4">
      <x v="8"/>
    </i>
    <i r="4">
      <x v="10"/>
    </i>
    <i r="4">
      <x v="11"/>
    </i>
    <i r="4">
      <x v="13"/>
    </i>
    <i r="4">
      <x v="14"/>
    </i>
    <i r="4">
      <x v="19"/>
    </i>
    <i r="4">
      <x v="20"/>
    </i>
    <i r="3">
      <x v="1"/>
      <x v="9"/>
    </i>
    <i r="4">
      <x v="12"/>
    </i>
    <i r="4">
      <x v="13"/>
    </i>
    <i r="2">
      <x v="1"/>
      <x/>
      <x v="6"/>
    </i>
    <i r="4">
      <x v="17"/>
    </i>
    <i r="3">
      <x v="1"/>
      <x v="16"/>
    </i>
    <i r="4">
      <x v="18"/>
    </i>
    <i t="default">
      <x v="4"/>
    </i>
  </rowItems>
  <colFields count="1">
    <field x="-2"/>
  </colFields>
  <colItems count="2">
    <i>
      <x/>
    </i>
    <i i="1">
      <x v="1"/>
    </i>
  </colItems>
  <dataFields count="2">
    <dataField name="Sqft" fld="8" subtotal="average" baseField="8" baseItem="34"/>
    <dataField name="% of Listings" fld="1" subtotal="count" baseField="0" baseItem="19" numFmtId="166">
      <extLst>
        <ext xmlns:x14="http://schemas.microsoft.com/office/spreadsheetml/2009/9/main" uri="{E15A36E0-9728-4e99-A89B-3F7291B0FE68}">
          <x14:dataField pivotShowAs="percentOfParent"/>
        </ext>
      </extLst>
    </dataField>
  </dataFields>
  <formats count="183">
    <format dxfId="2590">
      <pivotArea dataOnly="0" labelOnly="1" outline="0" axis="axisValues" fieldPosition="0"/>
    </format>
    <format dxfId="2589">
      <pivotArea outline="0" collapsedLevelsAreSubtotals="1" fieldPosition="0"/>
    </format>
    <format dxfId="2588">
      <pivotArea field="5" type="button" dataOnly="0" labelOnly="1" outline="0" axis="axisRow" fieldPosition="1"/>
    </format>
    <format dxfId="2587">
      <pivotArea type="topRight" dataOnly="0" labelOnly="1" outline="0" fieldPosition="0"/>
    </format>
    <format dxfId="2586">
      <pivotArea type="topRight" dataOnly="0" labelOnly="1" outline="0" fieldPosition="0"/>
    </format>
    <format dxfId="2585">
      <pivotArea dataOnly="0" labelOnly="1" grandRow="1" outline="0" fieldPosition="0"/>
    </format>
    <format dxfId="2584">
      <pivotArea outline="0" collapsedLevelsAreSubtotals="1" fieldPosition="0"/>
    </format>
    <format dxfId="2583">
      <pivotArea field="5" type="button" dataOnly="0" labelOnly="1" outline="0" axis="axisRow" fieldPosition="1"/>
    </format>
    <format dxfId="2582">
      <pivotArea field="6" type="button" dataOnly="0" labelOnly="1" outline="0" axis="axisRow" fieldPosition="2"/>
    </format>
    <format dxfId="2581">
      <pivotArea field="7" type="button" dataOnly="0" labelOnly="1" outline="0" axis="axisRow" fieldPosition="3"/>
    </format>
    <format dxfId="2580">
      <pivotArea type="all" dataOnly="0" outline="0" fieldPosition="0"/>
    </format>
    <format dxfId="2579">
      <pivotArea outline="0" collapsedLevelsAreSubtotals="1" fieldPosition="0"/>
    </format>
    <format dxfId="2578">
      <pivotArea field="5" type="button" dataOnly="0" labelOnly="1" outline="0" axis="axisRow" fieldPosition="1"/>
    </format>
    <format dxfId="2577">
      <pivotArea field="6" type="button" dataOnly="0" labelOnly="1" outline="0" axis="axisRow" fieldPosition="2"/>
    </format>
    <format dxfId="2576">
      <pivotArea field="7" type="button" dataOnly="0" labelOnly="1" outline="0" axis="axisRow" fieldPosition="3"/>
    </format>
    <format dxfId="2575">
      <pivotArea dataOnly="0" labelOnly="1" outline="0" fieldPosition="0">
        <references count="1">
          <reference field="0" count="0"/>
        </references>
      </pivotArea>
    </format>
    <format dxfId="2574">
      <pivotArea dataOnly="0" labelOnly="1" outline="0" fieldPosition="0">
        <references count="1">
          <reference field="0" count="0" defaultSubtotal="1"/>
        </references>
      </pivotArea>
    </format>
    <format dxfId="2573">
      <pivotArea field="5" type="button" dataOnly="0" labelOnly="1" outline="0" axis="axisRow" fieldPosition="1"/>
    </format>
    <format dxfId="2572">
      <pivotArea field="6" type="button" dataOnly="0" labelOnly="1" outline="0" axis="axisRow" fieldPosition="2"/>
    </format>
    <format dxfId="2571">
      <pivotArea field="7" type="button" dataOnly="0" labelOnly="1" outline="0" axis="axisRow" fieldPosition="3"/>
    </format>
    <format dxfId="2570">
      <pivotArea field="0" type="button" dataOnly="0" labelOnly="1" outline="0" axis="axisRow" fieldPosition="0"/>
    </format>
    <format dxfId="2569">
      <pivotArea field="5" type="button" dataOnly="0" labelOnly="1" outline="0" axis="axisRow" fieldPosition="1"/>
    </format>
    <format dxfId="2568">
      <pivotArea field="6" type="button" dataOnly="0" labelOnly="1" outline="0" axis="axisRow" fieldPosition="2"/>
    </format>
    <format dxfId="2567">
      <pivotArea field="7" type="button" dataOnly="0" labelOnly="1" outline="0" axis="axisRow" fieldPosition="3"/>
    </format>
    <format dxfId="2566">
      <pivotArea field="0" type="button" dataOnly="0" labelOnly="1" outline="0" axis="axisRow" fieldPosition="0"/>
    </format>
    <format dxfId="2565">
      <pivotArea field="5" type="button" dataOnly="0" labelOnly="1" outline="0" axis="axisRow" fieldPosition="1"/>
    </format>
    <format dxfId="2564">
      <pivotArea field="6" type="button" dataOnly="0" labelOnly="1" outline="0" axis="axisRow" fieldPosition="2"/>
    </format>
    <format dxfId="2563">
      <pivotArea field="7" type="button" dataOnly="0" labelOnly="1" outline="0" axis="axisRow" fieldPosition="3"/>
    </format>
    <format dxfId="2562">
      <pivotArea field="0" type="button" dataOnly="0" labelOnly="1" outline="0" axis="axisRow" fieldPosition="0"/>
    </format>
    <format dxfId="2561">
      <pivotArea field="5" type="button" dataOnly="0" labelOnly="1" outline="0" axis="axisRow" fieldPosition="1"/>
    </format>
    <format dxfId="2560">
      <pivotArea field="6" type="button" dataOnly="0" labelOnly="1" outline="0" axis="axisRow" fieldPosition="2"/>
    </format>
    <format dxfId="2559">
      <pivotArea field="7" type="button" dataOnly="0" labelOnly="1" outline="0" axis="axisRow" fieldPosition="3"/>
    </format>
    <format dxfId="2558">
      <pivotArea field="0" type="button" dataOnly="0" labelOnly="1" outline="0" axis="axisRow" fieldPosition="0"/>
    </format>
    <format dxfId="2557">
      <pivotArea field="5" type="button" dataOnly="0" labelOnly="1" outline="0" axis="axisRow" fieldPosition="1"/>
    </format>
    <format dxfId="2556">
      <pivotArea field="6" type="button" dataOnly="0" labelOnly="1" outline="0" axis="axisRow" fieldPosition="2"/>
    </format>
    <format dxfId="2555">
      <pivotArea field="7" type="button" dataOnly="0" labelOnly="1" outline="0" axis="axisRow" fieldPosition="3"/>
    </format>
    <format dxfId="2554">
      <pivotArea field="0" type="button" dataOnly="0" labelOnly="1" outline="0" axis="axisRow" fieldPosition="0"/>
    </format>
    <format dxfId="2553">
      <pivotArea field="5" type="button" dataOnly="0" labelOnly="1" outline="0" axis="axisRow" fieldPosition="1"/>
    </format>
    <format dxfId="2552">
      <pivotArea field="6" type="button" dataOnly="0" labelOnly="1" outline="0" axis="axisRow" fieldPosition="2"/>
    </format>
    <format dxfId="2551">
      <pivotArea field="7" type="button" dataOnly="0" labelOnly="1" outline="0" axis="axisRow" fieldPosition="3"/>
    </format>
    <format dxfId="2550">
      <pivotArea field="0" type="button" dataOnly="0" labelOnly="1" outline="0" axis="axisRow" fieldPosition="0"/>
    </format>
    <format dxfId="2549">
      <pivotArea field="5" type="button" dataOnly="0" labelOnly="1" outline="0" axis="axisRow" fieldPosition="1"/>
    </format>
    <format dxfId="2548">
      <pivotArea field="6" type="button" dataOnly="0" labelOnly="1" outline="0" axis="axisRow" fieldPosition="2"/>
    </format>
    <format dxfId="2547">
      <pivotArea field="7" type="button" dataOnly="0" labelOnly="1" outline="0" axis="axisRow" fieldPosition="3"/>
    </format>
    <format dxfId="2546">
      <pivotArea field="0" type="button" dataOnly="0" labelOnly="1" outline="0" axis="axisRow" fieldPosition="0"/>
    </format>
    <format dxfId="2545">
      <pivotArea field="5" type="button" dataOnly="0" labelOnly="1" outline="0" axis="axisRow" fieldPosition="1"/>
    </format>
    <format dxfId="2544">
      <pivotArea field="6" type="button" dataOnly="0" labelOnly="1" outline="0" axis="axisRow" fieldPosition="2"/>
    </format>
    <format dxfId="2543">
      <pivotArea field="7" type="button" dataOnly="0" labelOnly="1" outline="0" axis="axisRow" fieldPosition="3"/>
    </format>
    <format dxfId="2542">
      <pivotArea field="0" type="button" dataOnly="0" labelOnly="1" outline="0" axis="axisRow" fieldPosition="0"/>
    </format>
    <format dxfId="2541">
      <pivotArea field="5" type="button" dataOnly="0" labelOnly="1" outline="0" axis="axisRow" fieldPosition="1"/>
    </format>
    <format dxfId="2540">
      <pivotArea field="6" type="button" dataOnly="0" labelOnly="1" outline="0" axis="axisRow" fieldPosition="2"/>
    </format>
    <format dxfId="2539">
      <pivotArea field="7" type="button" dataOnly="0" labelOnly="1" outline="0" axis="axisRow" fieldPosition="3"/>
    </format>
    <format dxfId="2538">
      <pivotArea field="0" type="button" dataOnly="0" labelOnly="1" outline="0" axis="axisRow" fieldPosition="0"/>
    </format>
    <format dxfId="2537">
      <pivotArea field="5" type="button" dataOnly="0" labelOnly="1" outline="0" axis="axisRow" fieldPosition="1"/>
    </format>
    <format dxfId="2536">
      <pivotArea field="6" type="button" dataOnly="0" labelOnly="1" outline="0" axis="axisRow" fieldPosition="2"/>
    </format>
    <format dxfId="2535">
      <pivotArea field="7" type="button" dataOnly="0" labelOnly="1" outline="0" axis="axisRow" fieldPosition="3"/>
    </format>
    <format dxfId="2534">
      <pivotArea dataOnly="0" labelOnly="1" outline="0" fieldPosition="0">
        <references count="1">
          <reference field="5" count="0"/>
        </references>
      </pivotArea>
    </format>
    <format dxfId="2533">
      <pivotArea outline="0" collapsedLevelsAreSubtotals="1" fieldPosition="0"/>
    </format>
    <format dxfId="2532">
      <pivotArea dataOnly="0" labelOnly="1" outline="0" fieldPosition="0">
        <references count="1">
          <reference field="0" count="0"/>
        </references>
      </pivotArea>
    </format>
    <format dxfId="2531">
      <pivotArea dataOnly="0" labelOnly="1" outline="0" fieldPosition="0">
        <references count="1">
          <reference field="0" count="0" defaultSubtotal="1"/>
        </references>
      </pivotArea>
    </format>
    <format dxfId="2530">
      <pivotArea outline="0" collapsedLevelsAreSubtotals="1" fieldPosition="0"/>
    </format>
    <format dxfId="2529">
      <pivotArea dataOnly="0" labelOnly="1" outline="0" fieldPosition="0">
        <references count="1">
          <reference field="0" count="0"/>
        </references>
      </pivotArea>
    </format>
    <format dxfId="2528">
      <pivotArea dataOnly="0" labelOnly="1" outline="0" fieldPosition="0">
        <references count="1">
          <reference field="0" count="0" defaultSubtotal="1"/>
        </references>
      </pivotArea>
    </format>
    <format dxfId="2527">
      <pivotArea dataOnly="0" labelOnly="1" outline="0" fieldPosition="0">
        <references count="1">
          <reference field="5" count="0"/>
        </references>
      </pivotArea>
    </format>
    <format dxfId="2526">
      <pivotArea dataOnly="0" labelOnly="1" outline="0" fieldPosition="0">
        <references count="1">
          <reference field="6" count="0"/>
        </references>
      </pivotArea>
    </format>
    <format dxfId="2525">
      <pivotArea field="0" type="button" dataOnly="0" labelOnly="1" outline="0" axis="axisRow" fieldPosition="0"/>
    </format>
    <format dxfId="2524">
      <pivotArea field="5" type="button" dataOnly="0" labelOnly="1" outline="0" axis="axisRow" fieldPosition="1"/>
    </format>
    <format dxfId="2523">
      <pivotArea field="6" type="button" dataOnly="0" labelOnly="1" outline="0" axis="axisRow" fieldPosition="2"/>
    </format>
    <format dxfId="2522">
      <pivotArea field="7" type="button" dataOnly="0" labelOnly="1" outline="0" axis="axisRow" fieldPosition="3"/>
    </format>
    <format dxfId="2521">
      <pivotArea dataOnly="0" labelOnly="1" outline="0" fieldPosition="0">
        <references count="1">
          <reference field="7" count="0"/>
        </references>
      </pivotArea>
    </format>
    <format dxfId="2520">
      <pivotArea outline="0" collapsedLevelsAreSubtotals="1" fieldPosition="0"/>
    </format>
    <format dxfId="2519">
      <pivotArea dataOnly="0" labelOnly="1" outline="0" fieldPosition="0">
        <references count="1">
          <reference field="0" count="0"/>
        </references>
      </pivotArea>
    </format>
    <format dxfId="2518">
      <pivotArea dataOnly="0" labelOnly="1" outline="0" fieldPosition="0">
        <references count="1">
          <reference field="0" count="0" defaultSubtotal="1"/>
        </references>
      </pivotArea>
    </format>
    <format dxfId="2517">
      <pivotArea outline="0" collapsedLevelsAreSubtotals="1" fieldPosition="0"/>
    </format>
    <format dxfId="2516">
      <pivotArea dataOnly="0" labelOnly="1" outline="0" fieldPosition="0">
        <references count="1">
          <reference field="0" count="0"/>
        </references>
      </pivotArea>
    </format>
    <format dxfId="2515">
      <pivotArea dataOnly="0" labelOnly="1" outline="0" fieldPosition="0">
        <references count="1">
          <reference field="0" count="0" defaultSubtotal="1"/>
        </references>
      </pivotArea>
    </format>
    <format dxfId="2514">
      <pivotArea field="0" type="button" dataOnly="0" labelOnly="1" outline="0" axis="axisRow" fieldPosition="0"/>
    </format>
    <format dxfId="2513">
      <pivotArea field="5" type="button" dataOnly="0" labelOnly="1" outline="0" axis="axisRow" fieldPosition="1"/>
    </format>
    <format dxfId="2512">
      <pivotArea field="6" type="button" dataOnly="0" labelOnly="1" outline="0" axis="axisRow" fieldPosition="2"/>
    </format>
    <format dxfId="2511">
      <pivotArea field="7" type="button" dataOnly="0" labelOnly="1" outline="0" axis="axisRow" fieldPosition="3"/>
    </format>
    <format dxfId="2510">
      <pivotArea field="0" type="button" dataOnly="0" labelOnly="1" outline="0" axis="axisRow" fieldPosition="0"/>
    </format>
    <format dxfId="2509">
      <pivotArea type="all" dataOnly="0" outline="0" fieldPosition="0"/>
    </format>
    <format dxfId="2508">
      <pivotArea outline="0" collapsedLevelsAreSubtotals="1" fieldPosition="0"/>
    </format>
    <format dxfId="2507">
      <pivotArea field="0" type="button" dataOnly="0" labelOnly="1" outline="0" axis="axisRow" fieldPosition="0"/>
    </format>
    <format dxfId="2506">
      <pivotArea field="5" type="button" dataOnly="0" labelOnly="1" outline="0" axis="axisRow" fieldPosition="1"/>
    </format>
    <format dxfId="2505">
      <pivotArea field="6" type="button" dataOnly="0" labelOnly="1" outline="0" axis="axisRow" fieldPosition="2"/>
    </format>
    <format dxfId="2504">
      <pivotArea field="7" type="button" dataOnly="0" labelOnly="1" outline="0" axis="axisRow" fieldPosition="3"/>
    </format>
    <format dxfId="2503">
      <pivotArea dataOnly="0" labelOnly="1" outline="0" fieldPosition="0">
        <references count="1">
          <reference field="0" count="0"/>
        </references>
      </pivotArea>
    </format>
    <format dxfId="2502">
      <pivotArea dataOnly="0" labelOnly="1" outline="0" fieldPosition="0">
        <references count="1">
          <reference field="0" count="0" defaultSubtotal="1"/>
        </references>
      </pivotArea>
    </format>
    <format dxfId="2501">
      <pivotArea type="all" dataOnly="0" outline="0" fieldPosition="0"/>
    </format>
    <format dxfId="2500">
      <pivotArea outline="0" collapsedLevelsAreSubtotals="1" fieldPosition="0"/>
    </format>
    <format dxfId="2499">
      <pivotArea field="0" type="button" dataOnly="0" labelOnly="1" outline="0" axis="axisRow" fieldPosition="0"/>
    </format>
    <format dxfId="2498">
      <pivotArea field="5" type="button" dataOnly="0" labelOnly="1" outline="0" axis="axisRow" fieldPosition="1"/>
    </format>
    <format dxfId="2497">
      <pivotArea field="6" type="button" dataOnly="0" labelOnly="1" outline="0" axis="axisRow" fieldPosition="2"/>
    </format>
    <format dxfId="2496">
      <pivotArea field="7" type="button" dataOnly="0" labelOnly="1" outline="0" axis="axisRow" fieldPosition="3"/>
    </format>
    <format dxfId="2495">
      <pivotArea dataOnly="0" labelOnly="1" outline="0" fieldPosition="0">
        <references count="1">
          <reference field="0" count="0"/>
        </references>
      </pivotArea>
    </format>
    <format dxfId="2494">
      <pivotArea dataOnly="0" labelOnly="1" outline="0" fieldPosition="0">
        <references count="1">
          <reference field="0" count="0" defaultSubtotal="1"/>
        </references>
      </pivotArea>
    </format>
    <format dxfId="2493">
      <pivotArea outline="0" collapsedLevelsAreSubtotals="1" fieldPosition="0"/>
    </format>
    <format dxfId="2492">
      <pivotArea dataOnly="0" labelOnly="1" outline="0" fieldPosition="0">
        <references count="1">
          <reference field="0" count="0"/>
        </references>
      </pivotArea>
    </format>
    <format dxfId="2491">
      <pivotArea dataOnly="0" labelOnly="1" outline="0" fieldPosition="0">
        <references count="1">
          <reference field="0" count="0" defaultSubtotal="1"/>
        </references>
      </pivotArea>
    </format>
    <format dxfId="2490">
      <pivotArea outline="0" collapsedLevelsAreSubtotals="1" fieldPosition="0"/>
    </format>
    <format dxfId="2489">
      <pivotArea dataOnly="0" labelOnly="1" outline="0" fieldPosition="0">
        <references count="1">
          <reference field="0" count="0"/>
        </references>
      </pivotArea>
    </format>
    <format dxfId="2488">
      <pivotArea dataOnly="0" labelOnly="1" outline="0" fieldPosition="0">
        <references count="1">
          <reference field="0" count="0" defaultSubtotal="1"/>
        </references>
      </pivotArea>
    </format>
    <format dxfId="2487">
      <pivotArea outline="0" collapsedLevelsAreSubtotals="1" fieldPosition="0"/>
    </format>
    <format dxfId="2486">
      <pivotArea dataOnly="0" labelOnly="1" outline="0" fieldPosition="0">
        <references count="1">
          <reference field="0" count="0"/>
        </references>
      </pivotArea>
    </format>
    <format dxfId="2485">
      <pivotArea dataOnly="0" labelOnly="1" outline="0" fieldPosition="0">
        <references count="1">
          <reference field="0" count="0" defaultSubtotal="1"/>
        </references>
      </pivotArea>
    </format>
    <format dxfId="2484">
      <pivotArea field="5" type="button" dataOnly="0" labelOnly="1" outline="0" axis="axisRow" fieldPosition="1"/>
    </format>
    <format dxfId="2483">
      <pivotArea field="6" type="button" dataOnly="0" labelOnly="1" outline="0" axis="axisRow" fieldPosition="2"/>
    </format>
    <format dxfId="2482">
      <pivotArea field="7" type="button" dataOnly="0" labelOnly="1" outline="0" axis="axisRow" fieldPosition="3"/>
    </format>
    <format dxfId="2481">
      <pivotArea field="5" type="button" dataOnly="0" labelOnly="1" outline="0" axis="axisRow" fieldPosition="1"/>
    </format>
    <format dxfId="2480">
      <pivotArea field="6" type="button" dataOnly="0" labelOnly="1" outline="0" axis="axisRow" fieldPosition="2"/>
    </format>
    <format dxfId="2479">
      <pivotArea field="7" type="button" dataOnly="0" labelOnly="1" outline="0" axis="axisRow" fieldPosition="3"/>
    </format>
    <format dxfId="2478">
      <pivotArea dataOnly="0" labelOnly="1" outline="0" fieldPosition="0">
        <references count="2">
          <reference field="0" count="0" selected="0"/>
          <reference field="5" count="0"/>
        </references>
      </pivotArea>
    </format>
    <format dxfId="2477">
      <pivotArea outline="0" collapsedLevelsAreSubtotals="1" fieldPosition="0"/>
    </format>
    <format dxfId="2476">
      <pivotArea dataOnly="0" labelOnly="1" outline="0" fieldPosition="0">
        <references count="1">
          <reference field="0" count="0"/>
        </references>
      </pivotArea>
    </format>
    <format dxfId="2475">
      <pivotArea dataOnly="0" labelOnly="1" outline="0" fieldPosition="0">
        <references count="1">
          <reference field="0" count="0" defaultSubtotal="1"/>
        </references>
      </pivotArea>
    </format>
    <format>
      <pivotArea dataOnly="0" labelOnly="1" outline="0" fieldPosition="0">
        <references count="1">
          <reference field="0" count="0" defaultSubtotal="1"/>
        </references>
      </pivotArea>
    </format>
    <format dxfId="2474">
      <pivotArea field="8" type="button" dataOnly="0" labelOnly="1" outline="0" axis="axisRow" fieldPosition="4"/>
    </format>
    <format dxfId="2473">
      <pivotArea field="8" type="button" dataOnly="0" labelOnly="1" outline="0" axis="axisRow" fieldPosition="4"/>
    </format>
    <format dxfId="2472">
      <pivotArea outline="0" collapsedLevelsAreSubtotals="1" fieldPosition="0"/>
    </format>
    <format dxfId="2471">
      <pivotArea dataOnly="0" labelOnly="1" outline="0" fieldPosition="0">
        <references count="1">
          <reference field="0" count="0"/>
        </references>
      </pivotArea>
    </format>
    <format dxfId="2470">
      <pivotArea dataOnly="0" labelOnly="1" outline="0" fieldPosition="0">
        <references count="1">
          <reference field="0" count="0" defaultSubtotal="1"/>
        </references>
      </pivotArea>
    </format>
    <format dxfId="2469">
      <pivotArea dataOnly="0" labelOnly="1" outline="0" axis="axisValues" fieldPosition="0"/>
    </format>
    <format dxfId="2468">
      <pivotArea type="all" dataOnly="0" outline="0" fieldPosition="0"/>
    </format>
    <format dxfId="2467">
      <pivotArea outline="0" collapsedLevelsAreSubtotals="1" fieldPosition="0"/>
    </format>
    <format dxfId="2466">
      <pivotArea field="0" type="button" dataOnly="0" labelOnly="1" outline="0" axis="axisRow" fieldPosition="0"/>
    </format>
    <format dxfId="2465">
      <pivotArea field="5" type="button" dataOnly="0" labelOnly="1" outline="0" axis="axisRow" fieldPosition="1"/>
    </format>
    <format dxfId="2464">
      <pivotArea field="6" type="button" dataOnly="0" labelOnly="1" outline="0" axis="axisRow" fieldPosition="2"/>
    </format>
    <format dxfId="2463">
      <pivotArea field="7" type="button" dataOnly="0" labelOnly="1" outline="0" axis="axisRow" fieldPosition="3"/>
    </format>
    <format dxfId="2462">
      <pivotArea field="8" type="button" dataOnly="0" labelOnly="1" outline="0" axis="axisRow" fieldPosition="4"/>
    </format>
    <format dxfId="2461">
      <pivotArea dataOnly="0" labelOnly="1" outline="0" fieldPosition="0">
        <references count="1">
          <reference field="0" count="0"/>
        </references>
      </pivotArea>
    </format>
    <format dxfId="2460">
      <pivotArea dataOnly="0" labelOnly="1" outline="0" fieldPosition="0">
        <references count="1">
          <reference field="0" count="0" defaultSubtotal="1"/>
        </references>
      </pivotArea>
    </format>
    <format dxfId="2459">
      <pivotArea dataOnly="0" labelOnly="1" outline="0" axis="axisValues" fieldPosition="0"/>
    </format>
    <format dxfId="2458">
      <pivotArea type="all" dataOnly="0" outline="0" fieldPosition="0"/>
    </format>
    <format dxfId="2457">
      <pivotArea outline="0" collapsedLevelsAreSubtotals="1" fieldPosition="0"/>
    </format>
    <format dxfId="2456">
      <pivotArea field="0" type="button" dataOnly="0" labelOnly="1" outline="0" axis="axisRow" fieldPosition="0"/>
    </format>
    <format dxfId="2455">
      <pivotArea field="5" type="button" dataOnly="0" labelOnly="1" outline="0" axis="axisRow" fieldPosition="1"/>
    </format>
    <format dxfId="2454">
      <pivotArea field="6" type="button" dataOnly="0" labelOnly="1" outline="0" axis="axisRow" fieldPosition="2"/>
    </format>
    <format dxfId="2453">
      <pivotArea field="7" type="button" dataOnly="0" labelOnly="1" outline="0" axis="axisRow" fieldPosition="3"/>
    </format>
    <format dxfId="2452">
      <pivotArea field="8" type="button" dataOnly="0" labelOnly="1" outline="0" axis="axisRow" fieldPosition="4"/>
    </format>
    <format dxfId="2451">
      <pivotArea dataOnly="0" labelOnly="1" outline="0" fieldPosition="0">
        <references count="1">
          <reference field="0" count="0"/>
        </references>
      </pivotArea>
    </format>
    <format dxfId="2450">
      <pivotArea dataOnly="0" labelOnly="1" outline="0" fieldPosition="0">
        <references count="1">
          <reference field="0" count="0" defaultSubtotal="1"/>
        </references>
      </pivotArea>
    </format>
    <format dxfId="2449">
      <pivotArea dataOnly="0" labelOnly="1" outline="0" axis="axisValues" fieldPosition="0"/>
    </format>
    <format dxfId="2448">
      <pivotArea field="8" type="button" dataOnly="0" labelOnly="1" outline="0" axis="axisRow" fieldPosition="4"/>
    </format>
    <format dxfId="2447">
      <pivotArea field="8" type="button" dataOnly="0" labelOnly="1" outline="0" axis="axisRow" fieldPosition="4"/>
    </format>
    <format dxfId="2446">
      <pivotArea dataOnly="0" labelOnly="1" outline="0" fieldPosition="0">
        <references count="1">
          <reference field="4294967294" count="1">
            <x v="0"/>
          </reference>
        </references>
      </pivotArea>
    </format>
    <format dxfId="2445">
      <pivotArea dataOnly="0" labelOnly="1" outline="0" fieldPosition="0">
        <references count="1">
          <reference field="4294967294" count="1">
            <x v="0"/>
          </reference>
        </references>
      </pivotArea>
    </format>
    <format dxfId="2444">
      <pivotArea field="0" type="button" dataOnly="0" labelOnly="1" outline="0" axis="axisRow" fieldPosition="0"/>
    </format>
    <format dxfId="2443">
      <pivotArea field="5" type="button" dataOnly="0" labelOnly="1" outline="0" axis="axisRow" fieldPosition="1"/>
    </format>
    <format dxfId="2442">
      <pivotArea field="6" type="button" dataOnly="0" labelOnly="1" outline="0" axis="axisRow" fieldPosition="2"/>
    </format>
    <format dxfId="2441">
      <pivotArea field="7" type="button" dataOnly="0" labelOnly="1" outline="0" axis="axisRow" fieldPosition="3"/>
    </format>
    <format dxfId="2440">
      <pivotArea field="8" type="button" dataOnly="0" labelOnly="1" outline="0" axis="axisRow" fieldPosition="4"/>
    </format>
    <format dxfId="2439">
      <pivotArea dataOnly="0" labelOnly="1" outline="0" fieldPosition="0">
        <references count="1">
          <reference field="4294967294" count="1">
            <x v="0"/>
          </reference>
        </references>
      </pivotArea>
    </format>
    <format dxfId="2438">
      <pivotArea type="all" dataOnly="0" outline="0" fieldPosition="0"/>
    </format>
    <format dxfId="2437">
      <pivotArea outline="0" collapsedLevelsAreSubtotals="1" fieldPosition="0"/>
    </format>
    <format dxfId="2436">
      <pivotArea field="0" type="button" dataOnly="0" labelOnly="1" outline="0" axis="axisRow" fieldPosition="0"/>
    </format>
    <format dxfId="2435">
      <pivotArea field="5" type="button" dataOnly="0" labelOnly="1" outline="0" axis="axisRow" fieldPosition="1"/>
    </format>
    <format dxfId="2434">
      <pivotArea field="6" type="button" dataOnly="0" labelOnly="1" outline="0" axis="axisRow" fieldPosition="2"/>
    </format>
    <format dxfId="2433">
      <pivotArea field="7" type="button" dataOnly="0" labelOnly="1" outline="0" axis="axisRow" fieldPosition="3"/>
    </format>
    <format dxfId="2432">
      <pivotArea field="8" type="button" dataOnly="0" labelOnly="1" outline="0" axis="axisRow" fieldPosition="4"/>
    </format>
    <format dxfId="2431">
      <pivotArea dataOnly="0" labelOnly="1" outline="0" fieldPosition="0">
        <references count="1">
          <reference field="0" count="0"/>
        </references>
      </pivotArea>
    </format>
    <format dxfId="2430">
      <pivotArea dataOnly="0" labelOnly="1" outline="0" fieldPosition="0">
        <references count="1">
          <reference field="0" count="0" defaultSubtotal="1"/>
        </references>
      </pivotArea>
    </format>
    <format dxfId="2429">
      <pivotArea outline="0" fieldPosition="0">
        <references count="1">
          <reference field="4294967294" count="1">
            <x v="1"/>
          </reference>
        </references>
      </pivotArea>
    </format>
    <format dxfId="2428">
      <pivotArea dataOnly="0" labelOnly="1" outline="0" fieldPosition="0">
        <references count="1">
          <reference field="4294967294" count="1">
            <x v="1"/>
          </reference>
        </references>
      </pivotArea>
    </format>
    <format dxfId="2427">
      <pivotArea dataOnly="0" labelOnly="1" outline="0" fieldPosition="0">
        <references count="1">
          <reference field="4294967294" count="2">
            <x v="0"/>
            <x v="1"/>
          </reference>
        </references>
      </pivotArea>
    </format>
    <format dxfId="2426">
      <pivotArea field="2" type="button" dataOnly="0" labelOnly="1" outline="0"/>
    </format>
    <format dxfId="2425">
      <pivotArea field="2" type="button" dataOnly="0" labelOnly="1" outline="0"/>
    </format>
    <format dxfId="2424">
      <pivotArea field="2" type="button" dataOnly="0" labelOnly="1" outline="0"/>
    </format>
    <format dxfId="2423">
      <pivotArea outline="0" fieldPosition="0">
        <references count="1">
          <reference field="4294967294" count="1" selected="0">
            <x v="1"/>
          </reference>
        </references>
      </pivotArea>
    </format>
    <format dxfId="2422">
      <pivotArea dataOnly="0" labelOnly="1" outline="0" fieldPosition="0">
        <references count="1">
          <reference field="4294967294" count="1">
            <x v="1"/>
          </reference>
        </references>
      </pivotArea>
    </format>
    <format dxfId="2421">
      <pivotArea field="0" type="button" dataOnly="0" labelOnly="1" outline="0" axis="axisRow" fieldPosition="0"/>
    </format>
    <format dxfId="2420">
      <pivotArea field="5" type="button" dataOnly="0" labelOnly="1" outline="0" axis="axisRow" fieldPosition="1"/>
    </format>
    <format dxfId="2419">
      <pivotArea field="6" type="button" dataOnly="0" labelOnly="1" outline="0" axis="axisRow" fieldPosition="2"/>
    </format>
    <format dxfId="2418">
      <pivotArea field="7" type="button" dataOnly="0" labelOnly="1" outline="0" axis="axisRow" fieldPosition="3"/>
    </format>
    <format dxfId="2417">
      <pivotArea field="8" type="button" dataOnly="0" labelOnly="1" outline="0" axis="axisRow" fieldPosition="4"/>
    </format>
    <format dxfId="2416">
      <pivotArea field="2" type="button" dataOnly="0" labelOnly="1" outline="0"/>
    </format>
    <format dxfId="2415">
      <pivotArea dataOnly="0" labelOnly="1" outline="0" fieldPosition="0">
        <references count="1">
          <reference field="4294967294" count="2">
            <x v="0"/>
            <x v="1"/>
          </reference>
        </references>
      </pivotArea>
    </format>
    <format dxfId="2414">
      <pivotArea field="0" type="button" dataOnly="0" labelOnly="1" outline="0" axis="axisRow" fieldPosition="0"/>
    </format>
    <format dxfId="2413">
      <pivotArea field="5" type="button" dataOnly="0" labelOnly="1" outline="0" axis="axisRow" fieldPosition="1"/>
    </format>
    <format dxfId="2412">
      <pivotArea field="6" type="button" dataOnly="0" labelOnly="1" outline="0" axis="axisRow" fieldPosition="2"/>
    </format>
    <format dxfId="2411">
      <pivotArea field="7" type="button" dataOnly="0" labelOnly="1" outline="0" axis="axisRow" fieldPosition="3"/>
    </format>
    <format dxfId="2410">
      <pivotArea field="8" type="button" dataOnly="0" labelOnly="1" outline="0" axis="axisRow" fieldPosition="4"/>
    </format>
    <format dxfId="2409">
      <pivotArea dataOnly="0" labelOnly="1" outline="0" fieldPosition="0">
        <references count="1">
          <reference field="4294967294" count="2">
            <x v="0"/>
            <x v="1"/>
          </reference>
        </references>
      </pivotArea>
    </format>
  </formats>
  <pivotTableStyleInfo name="HelloData_Custom_Pivot"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5">
        <i x="3" s="1"/>
        <i x="2" s="1"/>
        <i x="1" s="1"/>
        <i x="4"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1" xr10:uid="{09944CFF-9304-4EC6-BF1D-17AC836303F1}" sourceName="Beds">
  <pivotTables>
    <pivotTable tabId="37" name="PivotTable6"/>
  </pivotTables>
  <data>
    <tabular pivotCacheId="34172825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1" xr10:uid="{7E8F01C5-B9F9-4AE3-BF48-3F24D7EC583C}" sourceName="Property Name">
  <pivotTables>
    <pivotTable tabId="37" name="PivotTable6"/>
  </pivotTables>
  <data>
    <tabular pivotCacheId="341728258">
      <items count="5">
        <i x="3" s="1"/>
        <i x="2" s="1"/>
        <i x="1"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hs" xr10:uid="{EE56491A-EDDF-4830-AAA5-02384A43AEF3}" sourceName="Baths">
  <pivotTables>
    <pivotTable tabId="37" name="PivotTable6"/>
  </pivotTables>
  <data>
    <tabular pivotCacheId="3417282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1" xr10:uid="{76B18D75-EADD-4510-8AC4-4F1F50808C17}" cache="Slicer_Beds1" caption="Beds" rowHeight="241300"/>
  <slicer name="Property Name" xr10:uid="{293A5A1A-FBAC-4E44-A8C1-042A7613929F}" cache="Slicer_Property_Name1" caption="Property Name" rowHeight="241300"/>
  <slicer name="Baths" xr10:uid="{07112F8F-7EF0-4847-8E89-2EB1432D2C27}" cache="Slicer_Baths" caption="Bath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1" displayName="Table1" ref="B3:AN29">
  <autoFilter ref="B3:AN29" xr:uid="{00000000-0009-0000-0100-000009000000}"/>
  <tableColumns count="39">
    <tableColumn id="1" xr3:uid="{00000000-0010-0000-0000-000001000000}" name="Property"/>
    <tableColumn id="2" xr3:uid="{00000000-0010-0000-0000-000002000000}" name="Address"/>
    <tableColumn id="3" xr3:uid="{00000000-0010-0000-0000-000003000000}" name="Similarity"/>
    <tableColumn id="4" xr3:uid="{00000000-0010-0000-0000-000004000000}" name="Dist. (mi)"/>
    <tableColumn id="5" xr3:uid="{00000000-0010-0000-0000-000005000000}" name="Quality"/>
    <tableColumn id="6" xr3:uid="{00000000-0010-0000-0000-000006000000}" name="Yr Built"/>
    <tableColumn id="7" xr3:uid="{00000000-0010-0000-0000-000007000000}" name="# Units"/>
    <tableColumn id="8" xr3:uid="{00000000-0010-0000-0000-000008000000}" name="Stories"/>
    <tableColumn id="9" xr3:uid="{00000000-0010-0000-0000-000009000000}" name="Avg Sqft"/>
    <tableColumn id="10" xr3:uid="{00000000-0010-0000-0000-00000A000000}" name="Leased %"/>
    <tableColumn id="11" xr3:uid="{00000000-0010-0000-0000-00000B000000}" name="Exposure %"/>
    <tableColumn id="12" xr3:uid="{00000000-0010-0000-0000-00000C000000}" name="Studio"/>
    <tableColumn id="13" xr3:uid="{00000000-0010-0000-0000-00000D000000}" name="Studio PSF"/>
    <tableColumn id="14" xr3:uid="{00000000-0010-0000-0000-00000E000000}" name="1BR"/>
    <tableColumn id="15" xr3:uid="{00000000-0010-0000-0000-00000F000000}" name="1BR PSF"/>
    <tableColumn id="16" xr3:uid="{00000000-0010-0000-0000-000010000000}" name="2BR"/>
    <tableColumn id="17" xr3:uid="{00000000-0010-0000-0000-000011000000}" name="2BR PSF"/>
    <tableColumn id="18" xr3:uid="{00000000-0010-0000-0000-000012000000}" name="3BR"/>
    <tableColumn id="19" xr3:uid="{00000000-0010-0000-0000-000013000000}" name="3BR PSF"/>
    <tableColumn id="20" xr3:uid="{00000000-0010-0000-0000-000014000000}" name="4BR"/>
    <tableColumn id="21" xr3:uid="{00000000-0010-0000-0000-000015000000}" name="4BR PSF"/>
    <tableColumn id="22" xr3:uid="{00000000-0010-0000-0000-000016000000}" name="5BR"/>
    <tableColumn id="23" xr3:uid="{00000000-0010-0000-0000-000017000000}" name="5BR PSF"/>
    <tableColumn id="24" xr3:uid="{00000000-0010-0000-0000-000018000000}" name="Avg"/>
    <tableColumn id="25" xr3:uid="{00000000-0010-0000-0000-000019000000}" name="Avg PSF"/>
    <tableColumn id="26" xr3:uid="{00000000-0010-0000-0000-00001A000000}" name=" Studio "/>
    <tableColumn id="27" xr3:uid="{00000000-0010-0000-0000-00001B000000}" name="Studio PSF "/>
    <tableColumn id="28" xr3:uid="{00000000-0010-0000-0000-00001C000000}" name=" 1BR "/>
    <tableColumn id="29" xr3:uid="{00000000-0010-0000-0000-00001D000000}" name="1BR PSF "/>
    <tableColumn id="30" xr3:uid="{00000000-0010-0000-0000-00001E000000}" name=" 2BR "/>
    <tableColumn id="31" xr3:uid="{00000000-0010-0000-0000-00001F000000}" name="2BR PSF "/>
    <tableColumn id="32" xr3:uid="{00000000-0010-0000-0000-000020000000}" name=" 3BR "/>
    <tableColumn id="33" xr3:uid="{00000000-0010-0000-0000-000021000000}" name="3BR PSF "/>
    <tableColumn id="34" xr3:uid="{00000000-0010-0000-0000-000022000000}" name=" 4BR "/>
    <tableColumn id="35" xr3:uid="{00000000-0010-0000-0000-000023000000}" name="4BR PSF "/>
    <tableColumn id="36" xr3:uid="{00000000-0010-0000-0000-000024000000}" name="5BR "/>
    <tableColumn id="37" xr3:uid="{00000000-0010-0000-0000-000025000000}" name="5BR PSF "/>
    <tableColumn id="38" xr3:uid="{00000000-0010-0000-0000-000026000000}" name=" Avg "/>
    <tableColumn id="39" xr3:uid="{00000000-0010-0000-0000-000027000000}" name=" Avg PSF "/>
  </tableColumns>
  <tableStyleInfo name="HelloData_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unit_details" displayName="unit_details" ref="B3:T115">
  <autoFilter ref="B3:T115" xr:uid="{00000000-0009-0000-0100-00000A000000}"/>
  <tableColumns count="19">
    <tableColumn id="1" xr3:uid="{00000000-0010-0000-0100-000001000000}" name="Property Name"/>
    <tableColumn id="2" xr3:uid="{00000000-0010-0000-0100-000002000000}" name="Address"/>
    <tableColumn id="3" xr3:uid="{00000000-0010-0000-0100-000003000000}" name="Floorplan Name"/>
    <tableColumn id="4" xr3:uid="{00000000-0010-0000-0100-000004000000}" name="Unit #"/>
    <tableColumn id="5" xr3:uid="{00000000-0010-0000-0100-000005000000}" name="Floor #"/>
    <tableColumn id="6" xr3:uid="{00000000-0010-0000-0100-000006000000}" name="Beds"/>
    <tableColumn id="7" xr3:uid="{00000000-0010-0000-0100-000007000000}" name="Baths"/>
    <tableColumn id="8" xr3:uid="{00000000-0010-0000-0100-000008000000}" name="Partial Baths"/>
    <tableColumn id="9" xr3:uid="{00000000-0010-0000-0100-000009000000}" name="Sqft"/>
    <tableColumn id="10" xr3:uid="{00000000-0010-0000-0100-00000A000000}" name="First Listed"/>
    <tableColumn id="11" xr3:uid="{00000000-0010-0000-0100-00000B000000}" name="Leased Date"/>
    <tableColumn id="12" xr3:uid="{00000000-0010-0000-0100-00000C000000}" name="Active Listing?"/>
    <tableColumn id="13" xr3:uid="{00000000-0010-0000-0100-00000D000000}" name="Days on Mkt"/>
    <tableColumn id="14" xr3:uid="{00000000-0010-0000-0100-00000E000000}" name="Asking Rent"/>
    <tableColumn id="15" xr3:uid="{00000000-0010-0000-0100-00000F000000}" name="Asking PSF"/>
    <tableColumn id="16" xr3:uid="{00000000-0010-0000-0100-000010000000}" name="Effective Rent"/>
    <tableColumn id="17" xr3:uid="{00000000-0010-0000-0100-000011000000}" name="Effective PSF"/>
    <tableColumn id="18" xr3:uid="{00000000-0010-0000-0100-000012000000}" name="Advertised Unit Amenities"/>
    <tableColumn id="19" xr3:uid="{00000000-0010-0000-0100-000013000000}" name="Detected Unit Amenities"/>
  </tableColumns>
  <tableStyleInfo name="HelloData_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unit_mix_table" displayName="unit_mix_table" ref="B6:M506">
  <autoFilter ref="B6:M506" xr:uid="{00000000-0009-0000-0100-00000B000000}"/>
  <tableColumns count="12">
    <tableColumn id="1" xr3:uid="{00000000-0010-0000-0200-000001000000}" name="Property Name"/>
    <tableColumn id="2" xr3:uid="{00000000-0010-0000-0200-000002000000}" name="Floorplan Name"/>
    <tableColumn id="3" xr3:uid="{00000000-0010-0000-0200-000003000000}" name="Beds"/>
    <tableColumn id="4" xr3:uid="{00000000-0010-0000-0200-000004000000}" name="Baths"/>
    <tableColumn id="5" xr3:uid="{00000000-0010-0000-0200-000005000000}" name="Half Baths"/>
    <tableColumn id="6" xr3:uid="{00000000-0010-0000-0200-000006000000}" name="# Units"/>
    <tableColumn id="7" xr3:uid="{00000000-0010-0000-0200-000007000000}" name="Avg Days on Mkt"/>
    <tableColumn id="8" xr3:uid="{00000000-0010-0000-0200-000008000000}" name="Sqft"/>
    <tableColumn id="9" xr3:uid="{00000000-0010-0000-0200-000009000000}" name="Rent"/>
    <tableColumn id="10" xr3:uid="{00000000-0010-0000-0200-00000A000000}" name="PSF"/>
    <tableColumn id="11" xr3:uid="{00000000-0010-0000-0200-00000B000000}" name="NER"/>
    <tableColumn id="12" xr3:uid="{00000000-0010-0000-0200-00000C000000}" name="NER PSF"/>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singleRangeFilterState="0" minimalRefreshVersion="6" lastRefreshVersion="6" pivotCacheId="341728258" filterType="dateNewerThan">
    <bounds startDate="2023-01-01T00:00:00" endDate="2026-01-01T00:00:00"/>
  </state>
  <timelinePivotFilter useWholeDay="1" fld="10" id="18">
    <autoFilter ref="A1">
      <x:filterColumn xmlns:x="http://schemas.openxmlformats.org/spreadsheetml/2006/main" colId="0">
        <x:customFilters>
          <x:customFilter operator="greaterThan" val="45107"/>
        </x:customFilters>
      </x:filterColumn>
    </autoFilter>
  </timelinePivotFilter>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6-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1:D27"/>
  <sheetViews>
    <sheetView showGridLines="0" tabSelected="1" zoomScale="130" zoomScaleNormal="130" workbookViewId="0"/>
  </sheetViews>
  <sheetFormatPr baseColWidth="10" defaultColWidth="8.6640625" defaultRowHeight="15" x14ac:dyDescent="0.2"/>
  <cols>
    <col min="1" max="1" width="2.5" style="31" customWidth="1"/>
    <col min="2" max="2" width="3.83203125" style="31" customWidth="1"/>
    <col min="3" max="3" width="22.1640625" style="31" customWidth="1"/>
    <col min="4" max="4" width="11.1640625" style="31" customWidth="1"/>
    <col min="5" max="16384" width="8.6640625" style="31"/>
  </cols>
  <sheetData>
    <row r="1" spans="2:4" ht="16.5" customHeight="1" x14ac:dyDescent="0.2"/>
    <row r="2" spans="2:4" ht="16.5" customHeight="1" x14ac:dyDescent="0.2"/>
    <row r="3" spans="2:4" ht="16.5" customHeight="1" x14ac:dyDescent="0.2"/>
    <row r="4" spans="2:4" ht="16.5" customHeight="1" x14ac:dyDescent="0.2"/>
    <row r="5" spans="2:4" ht="16.5" customHeight="1" x14ac:dyDescent="0.2"/>
    <row r="6" spans="2:4" ht="20" customHeight="1" x14ac:dyDescent="0.2"/>
    <row r="7" spans="2:4" ht="22" customHeight="1" x14ac:dyDescent="0.2">
      <c r="B7" s="510" t="s">
        <v>172</v>
      </c>
      <c r="C7" s="439"/>
      <c r="D7" s="439"/>
    </row>
    <row r="9" spans="2:4" ht="23.25" customHeight="1" x14ac:dyDescent="0.2">
      <c r="B9" s="576" t="s">
        <v>423</v>
      </c>
      <c r="C9" s="49"/>
      <c r="D9" s="49"/>
    </row>
    <row r="10" spans="2:4" ht="4" customHeight="1" x14ac:dyDescent="0.2">
      <c r="B10" s="575"/>
      <c r="C10" s="575"/>
      <c r="D10" s="575"/>
    </row>
    <row r="11" spans="2:4" ht="19" x14ac:dyDescent="0.2">
      <c r="B11" s="508">
        <v>1</v>
      </c>
      <c r="C11" s="509" t="s">
        <v>396</v>
      </c>
      <c r="D11" s="577"/>
    </row>
    <row r="12" spans="2:4" s="54" customFormat="1" ht="19" x14ac:dyDescent="0.2">
      <c r="B12" s="508">
        <v>2</v>
      </c>
      <c r="C12" s="509" t="s">
        <v>294</v>
      </c>
      <c r="D12" s="578"/>
    </row>
    <row r="13" spans="2:4" s="54" customFormat="1" ht="19" x14ac:dyDescent="0.2">
      <c r="B13" s="508">
        <v>3</v>
      </c>
      <c r="C13" s="509" t="s">
        <v>168</v>
      </c>
      <c r="D13" s="578"/>
    </row>
    <row r="14" spans="2:4" s="54" customFormat="1" ht="19" x14ac:dyDescent="0.2">
      <c r="B14" s="508">
        <v>4</v>
      </c>
      <c r="C14" s="509" t="s">
        <v>416</v>
      </c>
      <c r="D14" s="578"/>
    </row>
    <row r="15" spans="2:4" s="54" customFormat="1" ht="19" x14ac:dyDescent="0.2">
      <c r="B15" s="508">
        <v>5</v>
      </c>
      <c r="C15" s="509" t="s">
        <v>4</v>
      </c>
      <c r="D15" s="578"/>
    </row>
    <row r="16" spans="2:4" s="54" customFormat="1" ht="19" x14ac:dyDescent="0.2">
      <c r="B16" s="508">
        <v>6</v>
      </c>
      <c r="C16" s="509" t="s">
        <v>328</v>
      </c>
      <c r="D16" s="578"/>
    </row>
    <row r="17" spans="2:4" s="54" customFormat="1" ht="19" x14ac:dyDescent="0.2">
      <c r="B17" s="508">
        <v>7</v>
      </c>
      <c r="C17" s="509" t="s">
        <v>454</v>
      </c>
      <c r="D17" s="578"/>
    </row>
    <row r="18" spans="2:4" s="54" customFormat="1" ht="19" x14ac:dyDescent="0.2">
      <c r="B18" s="508">
        <v>8</v>
      </c>
      <c r="C18" s="509" t="s">
        <v>167</v>
      </c>
      <c r="D18" s="578"/>
    </row>
    <row r="19" spans="2:4" s="54" customFormat="1" ht="19" x14ac:dyDescent="0.2">
      <c r="B19" s="508">
        <v>9</v>
      </c>
      <c r="C19" s="509" t="s">
        <v>344</v>
      </c>
      <c r="D19" s="578"/>
    </row>
    <row r="20" spans="2:4" s="54" customFormat="1" ht="19" x14ac:dyDescent="0.2">
      <c r="B20" s="508">
        <v>10</v>
      </c>
      <c r="C20" s="509" t="s">
        <v>436</v>
      </c>
      <c r="D20" s="578"/>
    </row>
    <row r="21" spans="2:4" s="54" customFormat="1" ht="19" x14ac:dyDescent="0.2">
      <c r="B21" s="508">
        <v>11</v>
      </c>
      <c r="C21" s="509" t="s">
        <v>408</v>
      </c>
      <c r="D21" s="578"/>
    </row>
    <row r="22" spans="2:4" s="54" customFormat="1" ht="19" x14ac:dyDescent="0.2">
      <c r="B22" s="508">
        <v>12</v>
      </c>
      <c r="C22" s="509" t="s">
        <v>295</v>
      </c>
      <c r="D22" s="578"/>
    </row>
    <row r="23" spans="2:4" ht="8" customHeight="1" x14ac:dyDescent="0.2">
      <c r="B23" s="49"/>
      <c r="C23" s="49"/>
      <c r="D23" s="49"/>
    </row>
    <row r="24" spans="2:4" x14ac:dyDescent="0.2">
      <c r="B24" s="575" t="s">
        <v>422</v>
      </c>
      <c r="C24" s="575"/>
      <c r="D24" s="575"/>
    </row>
    <row r="25" spans="2:4" ht="14.5" customHeight="1" x14ac:dyDescent="0.2">
      <c r="B25" s="828" t="s">
        <v>421</v>
      </c>
      <c r="C25" s="828"/>
      <c r="D25" s="828"/>
    </row>
    <row r="26" spans="2:4" x14ac:dyDescent="0.2">
      <c r="B26" s="828"/>
      <c r="C26" s="828"/>
      <c r="D26" s="828"/>
    </row>
    <row r="27" spans="2:4" x14ac:dyDescent="0.2">
      <c r="B27" s="828"/>
      <c r="C27" s="828"/>
      <c r="D27" s="828"/>
    </row>
  </sheetData>
  <mergeCells count="1">
    <mergeCell ref="B25:D27"/>
  </mergeCells>
  <hyperlinks>
    <hyperlink ref="C13" location="'Data Analysis'!A1" display="Data Analysis" xr:uid="{00000000-0004-0000-0000-000000000000}"/>
    <hyperlink ref="C15" location="'Rent Comps'!A1" display="3. Rent Comps" xr:uid="{00000000-0004-0000-0000-000001000000}"/>
    <hyperlink ref="C18" location="'Unit-Level Data'!A1" display="4. Unit-Level Data" xr:uid="{00000000-0004-0000-0000-000002000000}"/>
    <hyperlink ref="C21" location="'Fees &amp; Amenities'!A1" display="Fees &amp; Amenities" xr:uid="{00000000-0004-0000-0000-000003000000}"/>
    <hyperlink ref="C12" location="'30-Day Trends'!A1" display="30-Day Trends" xr:uid="{00000000-0004-0000-0000-000004000000}"/>
    <hyperlink ref="C22" location="Specials!A1" display="Specials" xr:uid="{00000000-0004-0000-0000-000005000000}"/>
    <hyperlink ref="C16" location="'Rent Comparison'!A1" display="Rent Comparison" xr:uid="{00000000-0004-0000-0000-000006000000}"/>
    <hyperlink ref="C19" location="'Unit Mix'!A1" display="Unit Mix" xr:uid="{00000000-0004-0000-0000-000007000000}"/>
    <hyperlink ref="C14" location="'Leasing Trends'!A1" display="Leasing Trends" xr:uid="{00000000-0004-0000-0000-000008000000}"/>
    <hyperlink ref="C11" location="'Weekly Market Updates'!A1" display="Weekly Market Updates" xr:uid="{00000000-0004-0000-0000-000009000000}"/>
    <hyperlink ref="C20" location="'Reviews Analysis'!A1" display="Reviews Analysis" xr:uid="{00000000-0004-0000-0000-00000A000000}"/>
    <hyperlink ref="C17" location="'Rents by Unit Type'!A1" display="Rent Comparison" xr:uid="{00000000-0004-0000-0000-00000B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Q89"/>
  <sheetViews>
    <sheetView showGridLines="0" zoomScaleNormal="100" workbookViewId="0"/>
  </sheetViews>
  <sheetFormatPr baseColWidth="10" defaultColWidth="8.6640625" defaultRowHeight="14" x14ac:dyDescent="0.2"/>
  <cols>
    <col min="1" max="1" width="2.6640625" style="7" customWidth="1"/>
    <col min="2" max="2" width="40.83203125" style="7" customWidth="1"/>
    <col min="3" max="3" width="25.6640625" style="7" customWidth="1"/>
    <col min="4" max="4" width="1.6640625" style="7" customWidth="1"/>
    <col min="5" max="5" width="8.6640625" style="7" customWidth="1"/>
    <col min="6" max="6" width="9.33203125" style="7" customWidth="1"/>
    <col min="7" max="7" width="5.6640625" style="7" customWidth="1"/>
    <col min="8" max="8" width="12.5" style="7" customWidth="1"/>
    <col min="9" max="9" width="7.6640625" style="7" customWidth="1"/>
    <col min="10" max="10" width="7.6640625" style="740" customWidth="1"/>
    <col min="11" max="11" width="7.33203125" style="7" customWidth="1"/>
    <col min="12" max="12" width="5.6640625" style="7" customWidth="1"/>
    <col min="13" max="13" width="18.5" style="7" customWidth="1"/>
    <col min="14" max="14" width="10.6640625" style="7" customWidth="1"/>
    <col min="15" max="15" width="5.6640625" style="7" customWidth="1"/>
    <col min="16" max="17" width="13.6640625" style="7" customWidth="1"/>
    <col min="18" max="16384" width="8.6640625" style="7"/>
  </cols>
  <sheetData>
    <row r="2" spans="2:17" ht="21" x14ac:dyDescent="0.25">
      <c r="B2" s="821" t="s">
        <v>396</v>
      </c>
      <c r="O2" s="534"/>
      <c r="P2" s="739" t="s">
        <v>464</v>
      </c>
      <c r="Q2" s="739">
        <v>45978</v>
      </c>
    </row>
    <row r="3" spans="2:17" x14ac:dyDescent="0.2">
      <c r="B3" s="738" t="s">
        <v>397</v>
      </c>
      <c r="I3" s="832"/>
      <c r="J3" s="832"/>
      <c r="K3" s="609"/>
      <c r="L3" s="609"/>
      <c r="M3" s="609"/>
      <c r="N3" s="609"/>
      <c r="O3" s="609"/>
      <c r="P3" s="609"/>
    </row>
    <row r="4" spans="2:17" ht="7" customHeight="1" thickBot="1" x14ac:dyDescent="0.25">
      <c r="B4" s="738"/>
      <c r="I4" s="609"/>
      <c r="J4" s="609"/>
      <c r="K4" s="609"/>
      <c r="L4" s="609"/>
      <c r="M4" s="609"/>
      <c r="N4" s="609"/>
      <c r="O4" s="609"/>
      <c r="P4" s="609"/>
    </row>
    <row r="5" spans="2:17" ht="16" thickBot="1" x14ac:dyDescent="0.25">
      <c r="B5" s="741" t="s">
        <v>5</v>
      </c>
      <c r="C5" s="742" t="s">
        <v>395</v>
      </c>
      <c r="D5" s="743"/>
      <c r="E5" s="742" t="s">
        <v>466</v>
      </c>
      <c r="F5" s="744" t="s">
        <v>389</v>
      </c>
      <c r="G5" s="745" t="s">
        <v>392</v>
      </c>
      <c r="H5" s="742" t="s">
        <v>391</v>
      </c>
      <c r="I5" s="742" t="s">
        <v>326</v>
      </c>
      <c r="J5" s="746" t="s">
        <v>327</v>
      </c>
      <c r="K5" s="747" t="s">
        <v>390</v>
      </c>
      <c r="L5" s="745" t="s">
        <v>392</v>
      </c>
      <c r="M5" s="748" t="s">
        <v>393</v>
      </c>
      <c r="N5" s="747" t="s">
        <v>394</v>
      </c>
      <c r="O5" s="745" t="s">
        <v>392</v>
      </c>
      <c r="P5" s="748" t="s">
        <v>465</v>
      </c>
      <c r="Q5" s="749" t="s">
        <v>309</v>
      </c>
    </row>
    <row r="6" spans="2:17" ht="15" x14ac:dyDescent="0.2">
      <c r="B6" s="750" t="str">
        <f ca="1">IF(OFFSET('Rent Comparison'!$A$1,2,2)="{{subject.building_name}}","",IF(OFFSET('Rent Comparison'!$A$1,2,2)=0,B7,OFFSET('Rent Comparison'!$A$1,2,2)))</f>
        <v>Grand Mesa Flats</v>
      </c>
      <c r="C6" s="833" t="str">
        <f ca="1">IF(ISBLANK(B6),"",IFERROR(INDEX(Specials!B:J,MATCH(B6&amp;" - Active",Specials!I:I,0),2),""))</f>
        <v/>
      </c>
      <c r="D6" s="751"/>
      <c r="E6" s="752" t="s">
        <v>7</v>
      </c>
      <c r="F6" s="753">
        <f ca="1">COUNTIFS(unit_details[Leased Date], "&gt;=" &amp; ($Q$2 - 7),
          unit_details[Leased Date], "&lt;" &amp; $Q$2,
          unit_details[Beds], 0,
          unit_details[Property Name], B6)</f>
        <v>0</v>
      </c>
      <c r="G6" s="754">
        <f ca="1">COUNTIFS(unit_details[Leased Date], "&gt;=" &amp; ($Q$2 - 7),
          unit_details[Leased Date], "&lt;" &amp; $Q$2,
          unit_details[Beds], 0,
          unit_details[Property Name], B6)
-
COUNTIFS(unit_details[Leased Date], "&gt;=" &amp; ($Q$2 - 14),
         unit_details[Leased Date], "&lt;=" &amp; ($Q$2 - 7),
         unit_details[Beds], 0,
         unit_details[Property Name], B6)</f>
        <v>0</v>
      </c>
      <c r="H6" s="755" t="str">
        <f ca="1">IFERROR(AVERAGEIFS(
          unit_details[Asking Rent],
          unit_details[Leased Date], "&gt;=" &amp; ($Q$2 - 7),
          unit_details[Leased Date], "&lt;" &amp; $Q$2,
          unit_details[Beds], 0,
          unit_details[Property Name], B6),"")</f>
        <v/>
      </c>
      <c r="I6" s="756">
        <f ca="1">IFERROR(
    AVERAGEIFS(unit_details[Asking Rent],
               unit_details[Leased Date], "&gt;=" &amp; ($Q$2 - 7),
               unit_details[Leased Date], "&lt;" &amp; $Q$2,
               unit_details[Beds], 0,
               unit_details[Property Name], B6)
    -
    AVERAGEIFS(unit_details[Asking Rent],
               unit_details[Leased Date], "&gt;=" &amp; ($Q$2 - 14),
               unit_details[Leased Date], "&lt;=" &amp; ($Q$2 - 7),
               unit_details[Beds], 0,
               unit_details[Property Name], B6),
0)</f>
        <v>0</v>
      </c>
      <c r="J6" s="757">
        <f ca="1">IFERROR(I6/AVERAGEIFS(unit_details[Asking Rent],
               unit_details[Leased Date], "&gt;=" &amp; ($Q$2 - 14),
               unit_details[Leased Date], "&lt;=" &amp; ($Q$2 - 7),
               unit_details[Beds], 0,
               unit_details[Property Name], B6),0)</f>
        <v>0</v>
      </c>
      <c r="K6" s="753">
        <f ca="1">COUNTIFS(unit_details[First Listed], "&gt;=" &amp; ($Q$2 - 7),
          unit_details[First Listed], "&lt;" &amp; $Q$2,
          unit_details[Beds], 0,
          unit_details[Property Name], B6)</f>
        <v>0</v>
      </c>
      <c r="L6" s="754">
        <f ca="1">COUNTIFS(
    unit_details[First Listed], "&gt;=" &amp; ($Q$2 - 7),
    unit_details[First Listed], "&lt;" &amp; $Q$2,
    unit_details[Beds], 0,
    unit_details[Property Name], B6
)
-
COUNTIFS(
    unit_details[First Listed], "&gt;=" &amp; ($Q$2 - 14),
    unit_details[First Listed], "&lt;=" &amp; ($Q$2 - 7),
    unit_details[Beds], 0,
    unit_details[Property Name], B6
)</f>
        <v>0</v>
      </c>
      <c r="M6" s="758" t="str">
        <f ca="1">IFERROR(AVERAGEIFS(unit_details[Asking Rent],unit_details[First Listed],"&gt;="&amp;($Q$2-7),
unit_details[First Listed],"&lt;="&amp;$Q$2,
unit_details[Beds],0,
unit_details[Property Name],B6),"")</f>
        <v/>
      </c>
      <c r="N6" s="759">
        <f ca="1">COUNTIFS(unit_details[Property Name], B6,
          unit_details[Beds], 0,
          unit_details[Leased Date], "")</f>
        <v>0</v>
      </c>
      <c r="O6" s="754">
        <f t="shared" ref="O6:O49" ca="1" si="0">N6-(N6-K6+F6)</f>
        <v>0</v>
      </c>
      <c r="P6" s="758" t="str">
        <f ca="1">IFERROR(AVERAGEIFS(unit_details[Asking Rent],unit_details[Property Name], B6,
          unit_details[Beds], 0,
          unit_details[Leased Date], ""),"")</f>
        <v/>
      </c>
      <c r="Q6" s="760" t="str">
        <f ca="1">IFERROR(N6/SUMIFS(unit_mix_table['# Units],unit_mix_table[Beds],0,unit_mix_table[Property Name],B6),"")</f>
        <v/>
      </c>
    </row>
    <row r="7" spans="2:17" ht="15" x14ac:dyDescent="0.2">
      <c r="B7" s="761" t="s">
        <v>474</v>
      </c>
      <c r="C7" s="834"/>
      <c r="D7" s="751"/>
      <c r="E7" s="762" t="s">
        <v>385</v>
      </c>
      <c r="F7" s="763">
        <f ca="1">COUNTIFS(unit_details[Leased Date], "&gt;=" &amp; ($Q$2 - 7),
          unit_details[Leased Date], "&lt;" &amp; $Q$2,
          unit_details[Beds], 1,
          unit_details[Property Name], B6)</f>
        <v>0</v>
      </c>
      <c r="G7" s="764">
        <f ca="1">COUNTIFS(unit_details[Leased Date], "&gt;=" &amp; ($Q$2 - 7),
          unit_details[Leased Date], "&lt;" &amp; $Q$2,
          unit_details[Beds], 1,
          unit_details[Property Name], B6)
-
COUNTIFS(unit_details[Leased Date], "&gt;=" &amp; ($Q$2 - 14),
         unit_details[Leased Date], "&lt;=" &amp; ($Q$2 - 7),
         unit_details[Beds], 1,
         unit_details[Property Name], B6)</f>
        <v>0</v>
      </c>
      <c r="H7" s="765" t="str">
        <f ca="1">IFERROR(AVERAGEIFS(
          unit_details[Asking Rent],
          unit_details[Leased Date], "&gt;=" &amp; ($Q$2 - 7),
          unit_details[Leased Date], "&lt;" &amp; $Q$2,
          unit_details[Beds], 1,
          unit_details[Property Name], B6),"")</f>
        <v/>
      </c>
      <c r="I7" s="766">
        <f ca="1">IFERROR(
    AVERAGEIFS(unit_details[Asking Rent],
               unit_details[Leased Date], "&gt;=" &amp; ($Q$2 - 7),
               unit_details[Leased Date], "&lt;" &amp; $Q$2,
               unit_details[Beds], 1,
               unit_details[Property Name], B6)
    -
    AVERAGEIFS(unit_details[Asking Rent],
               unit_details[Leased Date], "&gt;=" &amp; ($Q$2 - 14),
               unit_details[Leased Date], "&lt;=" &amp; ($Q$2 - 7),
               unit_details[Beds], 1,
               unit_details[Property Name], B6),
0)</f>
        <v>0</v>
      </c>
      <c r="J7" s="767">
        <f ca="1">IFERROR(I7/AVERAGEIFS(unit_details[Asking Rent],
               unit_details[Leased Date], "&gt;=" &amp; ($Q$2 - 14),
               unit_details[Leased Date], "&lt;=" &amp; ($Q$2 - 7),
               unit_details[Beds], 1,
               unit_details[Property Name], B6),0)</f>
        <v>0</v>
      </c>
      <c r="K7" s="763">
        <f ca="1">COUNTIFS(unit_details[First Listed], "&gt;=" &amp; ($Q$2 - 7),
          unit_details[First Listed], "&lt;" &amp; $Q$2,
          unit_details[Beds], 1,
          unit_details[Property Name], B6)</f>
        <v>0</v>
      </c>
      <c r="L7" s="764">
        <f ca="1">COUNTIFS(
    unit_details[First Listed], "&gt;=" &amp; ($Q$2 - 7),
    unit_details[First Listed], "&lt;" &amp; $Q$2,
    unit_details[Beds], 1,
    unit_details[Property Name], B6
)
-
COUNTIFS(
    unit_details[First Listed], "&gt;=" &amp; ($Q$2 - 14),
    unit_details[First Listed], "&lt;=" &amp; ($Q$2 - 7),
    unit_details[Beds], 1,
    unit_details[Property Name], B6
)</f>
        <v>0</v>
      </c>
      <c r="M7" s="768" t="str">
        <f ca="1">IFERROR(AVERAGEIFS(unit_details[Asking Rent],unit_details[First Listed],"&gt;="&amp;($Q$2-7),
unit_details[First Listed],"&lt;="&amp;$Q$2,
unit_details[Beds],1,
unit_details[Property Name],B6),"")</f>
        <v/>
      </c>
      <c r="N7" s="769">
        <f ca="1">COUNTIFS(unit_details[Property Name], B6,
          unit_details[Beds], 1,
          unit_details[Leased Date], "")</f>
        <v>0</v>
      </c>
      <c r="O7" s="764">
        <f t="shared" ca="1" si="0"/>
        <v>0</v>
      </c>
      <c r="P7" s="768" t="str">
        <f ca="1">IFERROR(AVERAGEIFS(unit_details[Asking Rent],unit_details[Property Name], B6,
          unit_details[Beds], 1,
          unit_details[Leased Date], ""),"")</f>
        <v/>
      </c>
      <c r="Q7" s="770" t="str">
        <f ca="1">IFERROR(N7/SUMIFS(unit_mix_table['# Units],unit_mix_table[Beds],1,unit_mix_table[Property Name],B6),"")</f>
        <v/>
      </c>
    </row>
    <row r="8" spans="2:17" ht="15" x14ac:dyDescent="0.2">
      <c r="B8" s="761"/>
      <c r="C8" s="834"/>
      <c r="D8" s="751"/>
      <c r="E8" s="762" t="s">
        <v>386</v>
      </c>
      <c r="F8" s="763">
        <f ca="1">COUNTIFS(unit_details[Leased Date], "&gt;=" &amp; ($Q$2 - 7),
          unit_details[Leased Date], "&lt;" &amp; $Q$2,
          unit_details[Beds], 2,
          unit_details[Property Name], B6)</f>
        <v>1</v>
      </c>
      <c r="G8" s="764">
        <f ca="1">COUNTIFS(unit_details[Leased Date], "&gt;=" &amp; ($Q$2 - 7),
          unit_details[Leased Date], "&lt;" &amp; $Q$2,
          unit_details[Beds], 2,
          unit_details[Property Name], B6)
-
COUNTIFS(unit_details[Leased Date], "&gt;=" &amp; ($Q$2 - 14),
         unit_details[Leased Date], "&lt;=" &amp; ($Q$2 - 7),
         unit_details[Beds], 2,
         unit_details[Property Name], B6)</f>
        <v>1</v>
      </c>
      <c r="H8" s="765">
        <f ca="1">IFERROR(AVERAGEIFS(
          unit_details[Asking Rent],
          unit_details[Leased Date], "&gt;=" &amp; ($Q$2 - 7),
          unit_details[Leased Date], "&lt;" &amp; $Q$2,
          unit_details[Beds], 2,
          unit_details[Property Name], B6),"")</f>
        <v>1490</v>
      </c>
      <c r="I8" s="766">
        <f ca="1">IFERROR(
    AVERAGEIFS(unit_details[Asking Rent],
               unit_details[Leased Date], "&gt;=" &amp; ($Q$2 - 7),
               unit_details[Leased Date], "&lt;" &amp; $Q$2,
               unit_details[Beds], 2,
               unit_details[Property Name], B6)
    -
    AVERAGEIFS(unit_details[Asking Rent],
               unit_details[Leased Date], "&gt;=" &amp; ($Q$2 - 14),
               unit_details[Leased Date], "&lt;=" &amp; ($Q$2 - 7),
               unit_details[Beds], 2,
               unit_details[Property Name], B6),
0)</f>
        <v>0</v>
      </c>
      <c r="J8" s="767">
        <f ca="1">IFERROR(I8/AVERAGEIFS(unit_details[Asking Rent],
               unit_details[Leased Date], "&gt;=" &amp; ($Q$2 - 14),
               unit_details[Leased Date], "&lt;=" &amp; ($Q$2 - 7),
               unit_details[Beds], 2,
               unit_details[Property Name], B6),0)</f>
        <v>0</v>
      </c>
      <c r="K8" s="763">
        <f ca="1">COUNTIFS(unit_details[First Listed], "&gt;=" &amp; ($Q$2 - 7),
          unit_details[First Listed], "&lt;" &amp; $Q$2,
          unit_details[Beds], 2,
          unit_details[Property Name], B6)</f>
        <v>0</v>
      </c>
      <c r="L8" s="764">
        <f ca="1">COUNTIFS(
    unit_details[First Listed], "&gt;=" &amp; ($Q$2 - 7),
    unit_details[First Listed], "&lt;" &amp; $Q$2,
    unit_details[Beds], 2,
    unit_details[Property Name], B6
)
-
COUNTIFS(
    unit_details[First Listed], "&gt;=" &amp; ($Q$2 - 14),
    unit_details[First Listed], "&lt;=" &amp; ($Q$2 - 7),
    unit_details[Beds], 2,
    unit_details[Property Name], B6
)</f>
        <v>0</v>
      </c>
      <c r="M8" s="768" t="str">
        <f ca="1">IFERROR(AVERAGEIFS(unit_details[Asking Rent],unit_details[First Listed],"&gt;="&amp;($Q$2-7),
unit_details[First Listed],"&lt;="&amp;$Q$2,
unit_details[Beds],2,
unit_details[Property Name],B6),"")</f>
        <v/>
      </c>
      <c r="N8" s="769">
        <f ca="1">COUNTIFS(unit_details[Property Name], B6,
          unit_details[Beds], 2,
          unit_details[Leased Date], "")</f>
        <v>4</v>
      </c>
      <c r="O8" s="764">
        <f t="shared" ca="1" si="0"/>
        <v>-1</v>
      </c>
      <c r="P8" s="768">
        <f ca="1">IFERROR(AVERAGEIFS(unit_details[Asking Rent],unit_details[Property Name], B6,
          unit_details[Beds], 2,
          unit_details[Leased Date], ""),"")</f>
        <v>1425</v>
      </c>
      <c r="Q8" s="770" t="str">
        <f ca="1">IFERROR(N8/SUMIFS(unit_mix_table['# Units],unit_mix_table[Beds],2,unit_mix_table[Property Name],B6),"")</f>
        <v/>
      </c>
    </row>
    <row r="9" spans="2:17" ht="16" thickBot="1" x14ac:dyDescent="0.25">
      <c r="B9" s="771"/>
      <c r="C9" s="835"/>
      <c r="D9" s="772"/>
      <c r="E9" s="773" t="s">
        <v>387</v>
      </c>
      <c r="F9" s="774">
        <f ca="1">COUNTIFS(unit_details[Leased Date], "&gt;=" &amp; ($Q$2 - 7),
          unit_details[Leased Date], "&lt;" &amp; $Q$2,
          unit_details[Beds], 3,
          unit_details[Property Name], B6)</f>
        <v>0</v>
      </c>
      <c r="G9" s="775">
        <f ca="1">COUNTIFS(unit_details[Leased Date], "&gt;=" &amp; ($Q$2 - 7),
          unit_details[Leased Date], "&lt;" &amp; $Q$2,
          unit_details[Beds], 3,
          unit_details[Property Name], B6)
-
COUNTIFS(unit_details[Leased Date], "&gt;=" &amp; ($Q$2 - 14),
         unit_details[Leased Date], "&lt;=" &amp; ($Q$2 - 7),
         unit_details[Beds], 3,
         unit_details[Property Name], B6)</f>
        <v>0</v>
      </c>
      <c r="H9" s="776" t="str">
        <f ca="1">IFERROR(AVERAGEIFS(
          unit_details[Asking Rent],
          unit_details[Leased Date], "&gt;=" &amp; ($Q$2 - 7),
          unit_details[Leased Date], "&lt;" &amp; $Q$2,
          unit_details[Beds], 3,
          unit_details[Property Name], B6),"")</f>
        <v/>
      </c>
      <c r="I9" s="777">
        <f ca="1">IFERROR(
    AVERAGEIFS(unit_details[Asking Rent],
               unit_details[Leased Date], "&gt;=" &amp; ($Q$2 - 7),
               unit_details[Leased Date], "&lt;" &amp; $Q$2,
               unit_details[Beds], 3,
               unit_details[Property Name], B6)
    -
    AVERAGEIFS(unit_details[Asking Rent],
               unit_details[Leased Date], "&gt;=" &amp; ($Q$2 - 14),
               unit_details[Leased Date], "&lt;=" &amp; ($Q$2 - 7),
               unit_details[Beds], 3,
               unit_details[Property Name], B6),
0)</f>
        <v>0</v>
      </c>
      <c r="J9" s="778">
        <f ca="1">IFERROR(I9/AVERAGEIFS(unit_details[Asking Rent],
               unit_details[Leased Date], "&gt;=" &amp; ($Q$2 - 14),
               unit_details[Leased Date], "&lt;=" &amp; ($Q$2 - 7),
               unit_details[Beds], 3,
               unit_details[Property Name], B6),0)</f>
        <v>0</v>
      </c>
      <c r="K9" s="774">
        <f ca="1">COUNTIFS(unit_details[First Listed], "&gt;=" &amp; ($Q$2 - 7),
          unit_details[First Listed], "&lt;" &amp; $Q$2,
          unit_details[Beds], 3,
          unit_details[Property Name], B6)</f>
        <v>0</v>
      </c>
      <c r="L9" s="775">
        <f ca="1">COUNTIFS(
    unit_details[First Listed], "&gt;=" &amp; ($Q$2 - 7),
    unit_details[First Listed], "&lt;" &amp; $Q$2,
    unit_details[Beds], 3,
    unit_details[Property Name], B6
)
-
COUNTIFS(
    unit_details[First Listed], "&gt;=" &amp; ($Q$2 - 14),
    unit_details[First Listed], "&lt;=" &amp; ($Q$2 - 7),
    unit_details[Beds], 3,
    unit_details[Property Name], B6
)</f>
        <v>0</v>
      </c>
      <c r="M9" s="779" t="str">
        <f ca="1">IFERROR(AVERAGEIFS(unit_details[Asking Rent],unit_details[First Listed],"&gt;="&amp;($Q$2-7),
unit_details[First Listed],"&lt;="&amp;$Q$2,
unit_details[Beds],3,
unit_details[Property Name],B6),"")</f>
        <v/>
      </c>
      <c r="N9" s="780">
        <f ca="1">COUNTIFS(unit_details[Property Name], B6,
          unit_details[Beds], 3,
          unit_details[Leased Date], "")</f>
        <v>0</v>
      </c>
      <c r="O9" s="775">
        <f t="shared" ca="1" si="0"/>
        <v>0</v>
      </c>
      <c r="P9" s="779" t="str">
        <f ca="1">IFERROR(AVERAGEIFS(unit_details[Asking Rent],unit_details[Property Name], B6,
          unit_details[Beds], 3,
          unit_details[Leased Date], ""),"")</f>
        <v/>
      </c>
      <c r="Q9" s="781" t="str">
        <f ca="1">IFERROR(N9/SUMIFS(unit_mix_table['# Units],unit_mix_table[Beds],3,unit_mix_table[Property Name],B6),"")</f>
        <v/>
      </c>
    </row>
    <row r="10" spans="2:17" ht="15" x14ac:dyDescent="0.2">
      <c r="B10" s="782" t="str">
        <f ca="1">IF(OFFSET('Rent Comparison'!$A$1,2,6)="{{h:comparables.#.building_name}}","",IF(OFFSET('Rent Comparison'!$A$1,2,6)=0,B11,OFFSET('Rent Comparison'!$A$1,2,6)))</f>
        <v>211 Rich Street, Delta, CO 81416</v>
      </c>
      <c r="C10" s="829" t="str">
        <f ca="1">IF(ISBLANK(B10),"",IFERROR(INDEX(Specials!B:J,MATCH(B10&amp;" - Active",Specials!I:I,0),2),""))</f>
        <v/>
      </c>
      <c r="D10" s="783"/>
      <c r="E10" s="784" t="s">
        <v>7</v>
      </c>
      <c r="F10" s="785">
        <f ca="1">COUNTIFS(unit_details[Leased Date], "&gt;=" &amp; ($Q$2 - 7),
          unit_details[Leased Date], "&lt;" &amp; $Q$2,
          unit_details[Beds], 0,
          unit_details[Property Name], B10)</f>
        <v>0</v>
      </c>
      <c r="G10" s="786">
        <f ca="1">COUNTIFS(unit_details[Leased Date], "&gt;=" &amp; ($Q$2 - 7),
          unit_details[Leased Date], "&lt;" &amp; $Q$2,
          unit_details[Beds], 0,
          unit_details[Property Name], B10)
-
COUNTIFS(unit_details[Leased Date], "&gt;=" &amp; ($Q$2 - 14),
         unit_details[Leased Date], "&lt;=" &amp; ($Q$2 - 7),
         unit_details[Beds], 0,
         unit_details[Property Name], B10)</f>
        <v>0</v>
      </c>
      <c r="H10" s="787" t="str">
        <f ca="1">IFERROR(AVERAGEIFS(unit_details[Asking Rent],unit_details[Leased Date], "&gt;=" &amp; ($Q$2 - 7),
          unit_details[Leased Date], "&lt;" &amp; $Q$2,
          unit_details[Beds], 0,
          unit_details[Property Name], B10),"")</f>
        <v/>
      </c>
      <c r="I10" s="788">
        <f ca="1">IFERROR(
    AVERAGEIFS(unit_details[Asking Rent],
               unit_details[Leased Date], "&gt;=" &amp; ($Q$2 - 7),
               unit_details[Leased Date], "&lt;" &amp; $Q$2,
               unit_details[Beds], 0,
               unit_details[Property Name], B10)
    -
    AVERAGEIFS(unit_details[Asking Rent],
               unit_details[Leased Date], "&gt;=" &amp; ($Q$2 - 14),
               unit_details[Leased Date], "&lt;=" &amp; ($Q$2 - 7),
               unit_details[Beds], 0,
               unit_details[Property Name], B10),
0)</f>
        <v>0</v>
      </c>
      <c r="J10" s="789">
        <f ca="1">IFERROR(I10/AVERAGEIFS(unit_details[Asking Rent],
               unit_details[Leased Date], "&gt;=" &amp; ($Q$2 - 14),
               unit_details[Leased Date], "&lt;=" &amp; ($Q$2 - 7),
               unit_details[Beds], 0,
               unit_details[Property Name], B10),0)</f>
        <v>0</v>
      </c>
      <c r="K10" s="790">
        <f ca="1">COUNTIFS(unit_details[First Listed], "&gt;=" &amp; ($Q$2 - 7),
          unit_details[First Listed], "&lt;" &amp; $Q$2,
          unit_details[Beds], 0,
          unit_details[Property Name], B10)</f>
        <v>0</v>
      </c>
      <c r="L10" s="791">
        <f ca="1">COUNTIFS(
    unit_details[First Listed], "&gt;=" &amp; ($Q$2 - 7),
    unit_details[First Listed], "&lt;" &amp; $Q$2,
    unit_details[Beds], 0,
    unit_details[Property Name], B10
)
-
COUNTIFS(
    unit_details[First Listed], "&gt;=" &amp; ($Q$2 - 14),
    unit_details[First Listed], "&lt;=" &amp; ($Q$2 - 7),
    unit_details[Beds], 0,
    unit_details[Property Name], B10
)</f>
        <v>0</v>
      </c>
      <c r="M10" s="792" t="str">
        <f ca="1">IFERROR(AVERAGEIFS(unit_details[Asking Rent],unit_details[First Listed],"&gt;="&amp;($Q$2-7),
unit_details[First Listed],"&lt;="&amp;$Q$2,
unit_details[Beds],0,
unit_details[Property Name],B10),"")</f>
        <v/>
      </c>
      <c r="N10" s="793">
        <f ca="1">COUNTIFS(unit_details[Property Name], B10,
          unit_details[Beds], 0,
          unit_details[Leased Date], "")</f>
        <v>0</v>
      </c>
      <c r="O10" s="791">
        <f t="shared" ca="1" si="0"/>
        <v>0</v>
      </c>
      <c r="P10" s="792" t="str">
        <f ca="1">IFERROR(AVERAGEIFS(unit_details[Asking Rent],unit_details[Property Name], B10,
          unit_details[Beds], 0,
          unit_details[Leased Date], ""),"")</f>
        <v/>
      </c>
      <c r="Q10" s="794" t="str">
        <f ca="1">IFERROR(N10/SUMIFS(unit_mix_table['# Units],unit_mix_table[Beds],0,unit_mix_table[Property Name],B10),"")</f>
        <v/>
      </c>
    </row>
    <row r="11" spans="2:17" ht="15" x14ac:dyDescent="0.2">
      <c r="B11" s="795" t="s">
        <v>475</v>
      </c>
      <c r="C11" s="830"/>
      <c r="D11" s="796"/>
      <c r="E11" s="797" t="s">
        <v>385</v>
      </c>
      <c r="F11" s="798">
        <f ca="1">COUNTIFS(unit_details[Leased Date], "&gt;=" &amp; ($Q$2 - 7),
          unit_details[Leased Date], "&lt;" &amp; $Q$2,
          unit_details[Beds], 1,
          unit_details[Property Name], B10)</f>
        <v>0</v>
      </c>
      <c r="G11" s="799">
        <f ca="1">COUNTIFS(unit_details[Leased Date], "&gt;=" &amp; ($Q$2 - 7),
          unit_details[Leased Date], "&lt;" &amp; $Q$2,
          unit_details[Beds], 1,
          unit_details[Property Name], B10)
-
COUNTIFS(unit_details[Leased Date], "&gt;=" &amp; ($Q$2 - 14),
         unit_details[Leased Date], "&lt;=" &amp; ($Q$2 - 7),
         unit_details[Beds], 1,
         unit_details[Property Name], B10)</f>
        <v>0</v>
      </c>
      <c r="H11" s="800" t="str">
        <f ca="1">IFERROR(AVERAGEIFS(unit_details[Asking Rent],unit_details[Leased Date], "&gt;=" &amp; ($Q$2 - 7),
          unit_details[Leased Date], "&lt;" &amp; $Q$2,
          unit_details[Beds], 1,
          unit_details[Property Name], B10),"")</f>
        <v/>
      </c>
      <c r="I11" s="801">
        <f ca="1">IFERROR(
    AVERAGEIFS(unit_details[Asking Rent],
               unit_details[Leased Date], "&gt;=" &amp; ($Q$2 - 7),
               unit_details[Leased Date], "&lt;" &amp; $Q$2,
               unit_details[Beds], 1,
               unit_details[Property Name], B10)
    -
    AVERAGEIFS(unit_details[Asking Rent],
               unit_details[Leased Date], "&gt;=" &amp; ($Q$2 - 14),
               unit_details[Leased Date], "&lt;=" &amp; ($Q$2 - 7),
               unit_details[Beds], 1,
               unit_details[Property Name], B10),
0)</f>
        <v>0</v>
      </c>
      <c r="J11" s="802">
        <f ca="1">IFERROR(I11/AVERAGEIFS(unit_details[Asking Rent],
               unit_details[Leased Date], "&gt;=" &amp; ($Q$2 - 14),
               unit_details[Leased Date], "&lt;=" &amp; ($Q$2 - 7),
               unit_details[Beds], 1,
               unit_details[Property Name], B10),0)</f>
        <v>0</v>
      </c>
      <c r="K11" s="803">
        <f ca="1">COUNTIFS(unit_details[First Listed], "&gt;=" &amp; ($Q$2 - 7),
          unit_details[First Listed], "&lt;" &amp; $Q$2,
          unit_details[Beds], 1,
          unit_details[Property Name], B10)</f>
        <v>0</v>
      </c>
      <c r="L11" s="804">
        <f ca="1">COUNTIFS(
    unit_details[First Listed], "&gt;=" &amp; ($Q$2 - 7),
    unit_details[First Listed], "&lt;" &amp; $Q$2,
    unit_details[Beds], 1,
    unit_details[Property Name], B10
)
-
COUNTIFS(
    unit_details[First Listed], "&gt;=" &amp; ($Q$2 - 14),
    unit_details[First Listed], "&lt;=" &amp; ($Q$2 - 7),
    unit_details[Beds], 1,
    unit_details[Property Name], B10
)</f>
        <v>0</v>
      </c>
      <c r="M11" s="805" t="str">
        <f ca="1">IFERROR(AVERAGEIFS(unit_details[Asking Rent],unit_details[First Listed],"&gt;="&amp;($Q$2-7),
unit_details[First Listed],"&lt;="&amp;$Q$2,
unit_details[Beds],1,
unit_details[Property Name],B10),"")</f>
        <v/>
      </c>
      <c r="N11" s="806">
        <f ca="1">COUNTIFS(unit_details[Property Name], B10,
          unit_details[Beds], 1,
          unit_details[Leased Date], "")</f>
        <v>0</v>
      </c>
      <c r="O11" s="804">
        <f t="shared" ca="1" si="0"/>
        <v>0</v>
      </c>
      <c r="P11" s="805" t="str">
        <f ca="1">IFERROR(AVERAGEIFS(unit_details[Asking Rent],unit_details[Property Name], B10,
          unit_details[Beds], 1,
          unit_details[Leased Date], ""),"")</f>
        <v/>
      </c>
      <c r="Q11" s="807" t="str">
        <f ca="1">IFERROR(N11/SUMIFS(unit_mix_table['# Units],unit_mix_table[Beds],1,unit_mix_table[Property Name],B10),"")</f>
        <v/>
      </c>
    </row>
    <row r="12" spans="2:17" ht="15" x14ac:dyDescent="0.2">
      <c r="B12" s="795" t="s">
        <v>405</v>
      </c>
      <c r="C12" s="830"/>
      <c r="D12" s="796"/>
      <c r="E12" s="797" t="s">
        <v>386</v>
      </c>
      <c r="F12" s="798">
        <f ca="1">COUNTIFS(unit_details[Leased Date], "&gt;=" &amp; ($Q$2 - 7),
          unit_details[Leased Date], "&lt;" &amp; $Q$2,
          unit_details[Beds], 2,
          unit_details[Property Name], B10)</f>
        <v>0</v>
      </c>
      <c r="G12" s="799">
        <f ca="1">COUNTIFS(unit_details[Leased Date], "&gt;=" &amp; ($Q$2 - 7),
          unit_details[Leased Date], "&lt;" &amp; $Q$2,
          unit_details[Beds], 2,
          unit_details[Property Name], B10)
-
COUNTIFS(unit_details[Leased Date], "&gt;=" &amp; ($Q$2 - 14),
         unit_details[Leased Date], "&lt;=" &amp; ($Q$2 - 7),
         unit_details[Beds], 2,
         unit_details[Property Name], B10)</f>
        <v>0</v>
      </c>
      <c r="H12" s="800" t="str">
        <f ca="1">IFERROR(AVERAGEIFS(unit_details[Asking Rent],unit_details[Leased Date], "&gt;=" &amp; ($Q$2 - 7),
          unit_details[Leased Date], "&lt;" &amp; $Q$2,
          unit_details[Beds], 2,
          unit_details[Property Name], B10),"")</f>
        <v/>
      </c>
      <c r="I12" s="801">
        <f ca="1">IFERROR(
    AVERAGEIFS(unit_details[Asking Rent],
               unit_details[Leased Date], "&gt;=" &amp; ($Q$2 - 7),
               unit_details[Leased Date], "&lt;" &amp; $Q$2,
               unit_details[Beds], 2,
               unit_details[Property Name], B10)
    -
    AVERAGEIFS(unit_details[Asking Rent],
               unit_details[Leased Date], "&gt;=" &amp; ($Q$2 - 14),
               unit_details[Leased Date], "&lt;=" &amp; ($Q$2 - 7),
               unit_details[Beds], 2,
               unit_details[Property Name], B10),
0)</f>
        <v>0</v>
      </c>
      <c r="J12" s="802">
        <f ca="1">IFERROR(I12/AVERAGEIFS(unit_details[Asking Rent],
               unit_details[Leased Date], "&gt;=" &amp; ($Q$2 - 14),
               unit_details[Leased Date], "&lt;=" &amp; ($Q$2 - 7),
               unit_details[Beds], 2,
               unit_details[Property Name], B10),0)</f>
        <v>0</v>
      </c>
      <c r="K12" s="803">
        <f ca="1">COUNTIFS(unit_details[First Listed], "&gt;=" &amp; ($Q$2 - 7),
          unit_details[First Listed], "&lt;" &amp; $Q$2,
          unit_details[Beds], 2,
          unit_details[Property Name], B10)</f>
        <v>0</v>
      </c>
      <c r="L12" s="804">
        <f ca="1">COUNTIFS(
    unit_details[First Listed], "&gt;=" &amp; ($Q$2 - 7),
    unit_details[First Listed], "&lt;" &amp; $Q$2,
    unit_details[Beds], 2,
    unit_details[Property Name], B10
)
-
COUNTIFS(
    unit_details[First Listed], "&gt;=" &amp; ($Q$2 - 14),
    unit_details[First Listed], "&lt;=" &amp; ($Q$2 - 7),
    unit_details[Beds], 2,
    unit_details[Property Name], B10
)</f>
        <v>0</v>
      </c>
      <c r="M12" s="805" t="str">
        <f ca="1">IFERROR(AVERAGEIFS(unit_details[Asking Rent],unit_details[First Listed],"&gt;="&amp;($Q$2-7),
unit_details[First Listed],"&lt;="&amp;$Q$2,
unit_details[Beds],2,
unit_details[Property Name],B10),"")</f>
        <v/>
      </c>
      <c r="N12" s="806">
        <f ca="1">COUNTIFS(unit_details[Property Name], B10,
          unit_details[Beds], 2,
          unit_details[Leased Date], "")</f>
        <v>0</v>
      </c>
      <c r="O12" s="804">
        <f t="shared" ca="1" si="0"/>
        <v>0</v>
      </c>
      <c r="P12" s="805" t="str">
        <f ca="1">IFERROR(AVERAGEIFS(unit_details[Asking Rent],unit_details[Property Name], B10,
          unit_details[Beds], 2,
          unit_details[Leased Date], ""),"")</f>
        <v/>
      </c>
      <c r="Q12" s="807" t="str">
        <f ca="1">IFERROR(N12/SUMIFS(unit_mix_table['# Units],unit_mix_table[Beds],2,unit_mix_table[Property Name],B10),"")</f>
        <v/>
      </c>
    </row>
    <row r="13" spans="2:17" ht="16" thickBot="1" x14ac:dyDescent="0.25">
      <c r="B13" s="808" t="s">
        <v>405</v>
      </c>
      <c r="C13" s="831"/>
      <c r="D13" s="809"/>
      <c r="E13" s="810" t="s">
        <v>387</v>
      </c>
      <c r="F13" s="811">
        <f ca="1">COUNTIFS(unit_details[Leased Date], "&gt;=" &amp; ($Q$2 - 7),
          unit_details[Leased Date], "&lt;" &amp; $Q$2,
          unit_details[Beds], 3,
          unit_details[Property Name], B10)</f>
        <v>0</v>
      </c>
      <c r="G13" s="812">
        <f ca="1">COUNTIFS(unit_details[Leased Date], "&gt;=" &amp; ($Q$2 - 7),
          unit_details[Leased Date], "&lt;" &amp; $Q$2,
          unit_details[Beds], 3,
          unit_details[Property Name], B10)
-
COUNTIFS(unit_details[Leased Date], "&gt;=" &amp; ($Q$2 - 14),
         unit_details[Leased Date], "&lt;=" &amp; ($Q$2 - 7),
         unit_details[Beds], 3,
         unit_details[Property Name], B10)</f>
        <v>0</v>
      </c>
      <c r="H13" s="813" t="str">
        <f ca="1">IFERROR(AVERAGEIFS(unit_details[Asking Rent],unit_details[Leased Date], "&gt;=" &amp; ($Q$2 - 7),
          unit_details[Leased Date], "&lt;" &amp; $Q$2,
          unit_details[Beds], 3,
          unit_details[Property Name], B10),"")</f>
        <v/>
      </c>
      <c r="I13" s="814">
        <f ca="1">IFERROR(
    AVERAGEIFS(unit_details[Asking Rent],
               unit_details[Leased Date], "&gt;=" &amp; ($Q$2 - 7),
               unit_details[Leased Date], "&lt;" &amp; $Q$2,
               unit_details[Beds], 3,
               unit_details[Property Name], B10)
    -
    AVERAGEIFS(unit_details[Asking Rent],
               unit_details[Leased Date], "&gt;=" &amp; ($Q$2 - 14),
               unit_details[Leased Date], "&lt;=" &amp; ($Q$2 - 7),
               unit_details[Beds], 3,
               unit_details[Property Name], B10),
0)</f>
        <v>0</v>
      </c>
      <c r="J13" s="815">
        <f ca="1">IFERROR(I13/AVERAGEIFS(unit_details[Asking Rent],
               unit_details[Leased Date], "&gt;=" &amp; ($Q$2 - 14),
               unit_details[Leased Date], "&lt;=" &amp; ($Q$2 - 7),
               unit_details[Beds], 3,
               unit_details[Property Name], B10),0)</f>
        <v>0</v>
      </c>
      <c r="K13" s="816">
        <f ca="1">COUNTIFS(unit_details[First Listed], "&gt;=" &amp; ($Q$2 - 7),
          unit_details[First Listed], "&lt;" &amp; $Q$2,
          unit_details[Beds], 3,
          unit_details[Property Name], B10)</f>
        <v>0</v>
      </c>
      <c r="L13" s="817">
        <f ca="1">COUNTIFS(
    unit_details[First Listed], "&gt;=" &amp; ($Q$2 - 7),
    unit_details[First Listed], "&lt;" &amp; $Q$2,
    unit_details[Beds], 3,
    unit_details[Property Name], B10
)
-
COUNTIFS(
    unit_details[First Listed], "&gt;=" &amp; ($Q$2 - 14),
    unit_details[First Listed], "&lt;=" &amp; ($Q$2 - 7),
    unit_details[Beds], 3,
    unit_details[Property Name], B10
)</f>
        <v>0</v>
      </c>
      <c r="M13" s="818" t="str">
        <f ca="1">IFERROR(AVERAGEIFS(unit_details[Asking Rent],unit_details[First Listed],"&gt;="&amp;($Q$2-7),
unit_details[First Listed],"&lt;="&amp;$Q$2,
unit_details[Beds],3,
unit_details[Property Name],B10),"")</f>
        <v/>
      </c>
      <c r="N13" s="819">
        <f ca="1">COUNTIFS(unit_details[Property Name], B10,
          unit_details[Beds], 3,
          unit_details[Leased Date], "")</f>
        <v>0</v>
      </c>
      <c r="O13" s="817">
        <f t="shared" ca="1" si="0"/>
        <v>0</v>
      </c>
      <c r="P13" s="818" t="str">
        <f ca="1">IFERROR(AVERAGEIFS(unit_details[Asking Rent],unit_details[Property Name], B10,
          unit_details[Beds], 3,
          unit_details[Leased Date], ""),"")</f>
        <v/>
      </c>
      <c r="Q13" s="820" t="str">
        <f ca="1">IFERROR(N13/SUMIFS(unit_mix_table['# Units],unit_mix_table[Beds],3,unit_mix_table[Property Name],B10),"")</f>
        <v/>
      </c>
    </row>
    <row r="14" spans="2:17" ht="15" x14ac:dyDescent="0.2">
      <c r="B14" s="782" t="str">
        <f ca="1">IF(ISBLANK(OFFSET('Rent Comparison'!$A$1,2,7)),"",IF(OFFSET('Rent Comparison'!$A$1,2,7)=0,B15,OFFSET('Rent Comparison'!$A$1,2,7)))</f>
        <v/>
      </c>
      <c r="C14" s="829" t="str">
        <f ca="1">IF(ISBLANK(B14),"",IFERROR(INDEX(Specials!B:J,MATCH(B14&amp;" - Active",Specials!I:I,0),2),""))</f>
        <v/>
      </c>
      <c r="D14" s="783"/>
      <c r="E14" s="784" t="s">
        <v>7</v>
      </c>
      <c r="F14" s="785">
        <f ca="1">COUNTIFS(unit_details[Leased Date], "&gt;=" &amp; ($Q$2 - 7),
          unit_details[Leased Date], "&lt;" &amp; $Q$2,
          unit_details[Beds], 0,
          unit_details[Property Name], B14)</f>
        <v>0</v>
      </c>
      <c r="G14" s="791">
        <f ca="1">COUNTIFS(unit_details[Leased Date], "&gt;=" &amp; ($Q$2 - 7),
          unit_details[Leased Date], "&lt;" &amp; $Q$2,
          unit_details[Beds], 0,
          unit_details[Property Name], B14)
-
COUNTIFS(unit_details[Leased Date], "&gt;=" &amp; ($Q$2 - 14),
         unit_details[Leased Date], "&lt;=" &amp; ($Q$2 - 7),
         unit_details[Beds], 0,
         unit_details[Property Name], B14)</f>
        <v>0</v>
      </c>
      <c r="H14" s="787" t="str">
        <f ca="1">IFERROR(AVERAGEIFS(unit_details[Asking Rent],unit_details[Leased Date], "&gt;=" &amp; ($Q$2 - 7),
          unit_details[Leased Date], "&lt;" &amp; $Q$2,
          unit_details[Beds], 0,
          unit_details[Property Name], B14),"")</f>
        <v/>
      </c>
      <c r="I14" s="788">
        <f ca="1">IFERROR(
    AVERAGEIFS(unit_details[Asking Rent],
               unit_details[Leased Date], "&gt;=" &amp; ($Q$2 - 7),
               unit_details[Leased Date], "&lt;" &amp; $Q$2,
               unit_details[Beds], 0,
               unit_details[Property Name], B14)
    -
    AVERAGEIFS(unit_details[Asking Rent],
               unit_details[Leased Date], "&gt;=" &amp; ($Q$2 - 14),
               unit_details[Leased Date], "&lt;=" &amp; ($Q$2 - 7),
               unit_details[Beds], 0,
               unit_details[Property Name], B14),
0)</f>
        <v>0</v>
      </c>
      <c r="J14" s="789">
        <f ca="1">IFERROR(I14/AVERAGEIFS(unit_details[Asking Rent],
               unit_details[Leased Date], "&gt;=" &amp; ($Q$2 - 14),
               unit_details[Leased Date], "&lt;=" &amp; ($Q$2 - 7),
               unit_details[Beds], 0,
               unit_details[Property Name], B14),0)</f>
        <v>0</v>
      </c>
      <c r="K14" s="790">
        <f ca="1">COUNTIFS(unit_details[First Listed], "&gt;=" &amp; ($Q$2 - 7),
          unit_details[First Listed], "&lt;" &amp; $Q$2,
          unit_details[Beds], 0,
          unit_details[Property Name], B14)</f>
        <v>0</v>
      </c>
      <c r="L14" s="791">
        <f ca="1">COUNTIFS(
    unit_details[First Listed], "&gt;=" &amp; ($Q$2 - 7),
    unit_details[First Listed], "&lt;" &amp; $Q$2,
    unit_details[Beds], 0,
    unit_details[Property Name], B14
)
-
COUNTIFS(
    unit_details[First Listed], "&gt;=" &amp; ($Q$2 - 14),
    unit_details[First Listed], "&lt;=" &amp; ($Q$2 - 7),
    unit_details[Beds], 0,
    unit_details[Property Name], B14
)</f>
        <v>0</v>
      </c>
      <c r="M14" s="792" t="str">
        <f ca="1">IFERROR(AVERAGEIFS(unit_details[Asking Rent],unit_details[First Listed],"&gt;="&amp;($Q$2-7),
unit_details[First Listed],"&lt;="&amp;$Q$2,
unit_details[Beds],0,
unit_details[Property Name],B14),"")</f>
        <v/>
      </c>
      <c r="N14" s="793">
        <f ca="1">COUNTIFS(unit_details[Property Name], B14,
          unit_details[Beds], 0,
          unit_details[Leased Date], "")</f>
        <v>0</v>
      </c>
      <c r="O14" s="791">
        <f t="shared" ca="1" si="0"/>
        <v>0</v>
      </c>
      <c r="P14" s="792" t="str">
        <f ca="1">IFERROR(AVERAGEIFS(unit_details[Asking Rent],unit_details[Property Name], B14,
          unit_details[Beds], 0,
          unit_details[Leased Date], ""),"")</f>
        <v/>
      </c>
      <c r="Q14" s="794" t="str">
        <f ca="1">IFERROR(N14/SUMIFS(unit_mix_table['# Units],unit_mix_table[Beds],0,unit_mix_table[Property Name],B14),"")</f>
        <v/>
      </c>
    </row>
    <row r="15" spans="2:17" ht="15" x14ac:dyDescent="0.2">
      <c r="B15" s="795" t="s">
        <v>476</v>
      </c>
      <c r="C15" s="830"/>
      <c r="D15" s="796"/>
      <c r="E15" s="797" t="s">
        <v>385</v>
      </c>
      <c r="F15" s="798">
        <f ca="1">COUNTIFS(unit_details[Leased Date], "&gt;=" &amp; ($Q$2 - 7),
          unit_details[Leased Date], "&lt;" &amp; $Q$2,
          unit_details[Beds], 1,
          unit_details[Property Name], B14)</f>
        <v>0</v>
      </c>
      <c r="G15" s="804">
        <f ca="1">COUNTIFS(unit_details[Leased Date], "&gt;=" &amp; ($Q$2 - 7),
          unit_details[Leased Date], "&lt;" &amp; $Q$2,
          unit_details[Beds], 1,
          unit_details[Property Name], B14)
-
COUNTIFS(unit_details[Leased Date], "&gt;=" &amp; ($Q$2 - 14),
         unit_details[Leased Date], "&lt;=" &amp; ($Q$2 - 7),
         unit_details[Beds], 1,
         unit_details[Property Name], B14)</f>
        <v>0</v>
      </c>
      <c r="H15" s="800" t="str">
        <f ca="1">IFERROR(AVERAGEIFS(unit_details[Asking Rent],unit_details[Leased Date], "&gt;=" &amp; ($Q$2 - 7),
          unit_details[Leased Date], "&lt;" &amp; $Q$2,
          unit_details[Beds], 1,
          unit_details[Property Name], B14),"")</f>
        <v/>
      </c>
      <c r="I15" s="801">
        <f ca="1">IFERROR(
    AVERAGEIFS(unit_details[Asking Rent],
               unit_details[Leased Date], "&gt;=" &amp; ($Q$2 - 7),
               unit_details[Leased Date], "&lt;" &amp; $Q$2,
               unit_details[Beds], 1,
               unit_details[Property Name], B14)
    -
    AVERAGEIFS(unit_details[Asking Rent],
               unit_details[Leased Date], "&gt;=" &amp; ($Q$2 - 14),
               unit_details[Leased Date], "&lt;=" &amp; ($Q$2 - 7),
               unit_details[Beds], 1,
               unit_details[Property Name], B14),
0)</f>
        <v>0</v>
      </c>
      <c r="J15" s="802">
        <f ca="1">IFERROR(I15/AVERAGEIFS(unit_details[Asking Rent],
               unit_details[Leased Date], "&gt;=" &amp; ($Q$2 - 14),
               unit_details[Leased Date], "&lt;=" &amp; ($Q$2 - 7),
               unit_details[Beds], 1,
               unit_details[Property Name], B14),0)</f>
        <v>0</v>
      </c>
      <c r="K15" s="803">
        <f ca="1">COUNTIFS(unit_details[First Listed], "&gt;=" &amp; ($Q$2 - 7),
          unit_details[First Listed], "&lt;" &amp; $Q$2,
          unit_details[Beds], 1,
          unit_details[Property Name], B14)</f>
        <v>0</v>
      </c>
      <c r="L15" s="804">
        <f ca="1">COUNTIFS(
    unit_details[First Listed], "&gt;=" &amp; ($Q$2 - 7),
    unit_details[First Listed], "&lt;" &amp; $Q$2,
    unit_details[Beds], 1,
    unit_details[Property Name], B14
)
-
COUNTIFS(
    unit_details[First Listed], "&gt;=" &amp; ($Q$2 - 14),
    unit_details[First Listed], "&lt;=" &amp; ($Q$2 - 7),
    unit_details[Beds], 1,
    unit_details[Property Name], B14
)</f>
        <v>0</v>
      </c>
      <c r="M15" s="805" t="str">
        <f ca="1">IFERROR(AVERAGEIFS(unit_details[Asking Rent],unit_details[First Listed],"&gt;="&amp;($Q$2-7),
unit_details[First Listed],"&lt;="&amp;$Q$2,
unit_details[Beds],1,
unit_details[Property Name],B14),"")</f>
        <v/>
      </c>
      <c r="N15" s="806">
        <f ca="1">COUNTIFS(unit_details[Property Name], B14,
          unit_details[Beds], 1,
          unit_details[Leased Date], "")</f>
        <v>7</v>
      </c>
      <c r="O15" s="804">
        <f t="shared" ca="1" si="0"/>
        <v>0</v>
      </c>
      <c r="P15" s="805">
        <f ca="1">IFERROR(AVERAGEIFS(unit_details[Asking Rent],unit_details[Property Name], B14,
          unit_details[Beds], 1,
          unit_details[Leased Date], ""),"")</f>
        <v>1028.5714285714287</v>
      </c>
      <c r="Q15" s="807">
        <f ca="1">IFERROR(N15/SUMIFS(unit_mix_table['# Units],unit_mix_table[Beds],1,unit_mix_table[Property Name],B14),"")</f>
        <v>2.3333333333333335</v>
      </c>
    </row>
    <row r="16" spans="2:17" ht="15" x14ac:dyDescent="0.2">
      <c r="B16" s="795" t="s">
        <v>405</v>
      </c>
      <c r="C16" s="830"/>
      <c r="D16" s="796"/>
      <c r="E16" s="797" t="s">
        <v>386</v>
      </c>
      <c r="F16" s="798">
        <f ca="1">COUNTIFS(unit_details[Leased Date], "&gt;=" &amp; ($Q$2 - 7),
          unit_details[Leased Date], "&lt;" &amp; $Q$2,
          unit_details[Beds], 2,
          unit_details[Property Name], B14)</f>
        <v>0</v>
      </c>
      <c r="G16" s="804">
        <f ca="1">COUNTIFS(unit_details[Leased Date], "&gt;=" &amp; ($Q$2 - 7),
          unit_details[Leased Date], "&lt;" &amp; $Q$2,
          unit_details[Beds], 2,
          unit_details[Property Name], B14)
-
COUNTIFS(unit_details[Leased Date], "&gt;=" &amp; ($Q$2 - 14),
         unit_details[Leased Date], "&lt;=" &amp; ($Q$2 - 7),
         unit_details[Beds], 2,
         unit_details[Property Name], B14)</f>
        <v>0</v>
      </c>
      <c r="H16" s="800" t="str">
        <f ca="1">IFERROR(AVERAGEIFS(unit_details[Asking Rent],unit_details[Leased Date], "&gt;=" &amp; ($Q$2 - 7),
          unit_details[Leased Date], "&lt;" &amp; $Q$2,
          unit_details[Beds], 2,
          unit_details[Property Name], B14),"")</f>
        <v/>
      </c>
      <c r="I16" s="801">
        <f ca="1">IFERROR(
    AVERAGEIFS(unit_details[Asking Rent],
               unit_details[Leased Date], "&gt;=" &amp; ($Q$2 - 7),
               unit_details[Leased Date], "&lt;" &amp; $Q$2,
               unit_details[Beds], 2,
               unit_details[Property Name], B14)
    -
    AVERAGEIFS(unit_details[Asking Rent],
               unit_details[Leased Date], "&gt;=" &amp; ($Q$2 - 14),
               unit_details[Leased Date], "&lt;=" &amp; ($Q$2 - 7),
               unit_details[Beds], 2,
               unit_details[Property Name], B14),
0)</f>
        <v>0</v>
      </c>
      <c r="J16" s="802">
        <f ca="1">IFERROR(I16/AVERAGEIFS(unit_details[Asking Rent],
               unit_details[Leased Date], "&gt;=" &amp; ($Q$2 - 14),
               unit_details[Leased Date], "&lt;=" &amp; ($Q$2 - 7),
               unit_details[Beds], 2,
               unit_details[Property Name], B14),0)</f>
        <v>0</v>
      </c>
      <c r="K16" s="803">
        <f ca="1">COUNTIFS(unit_details[First Listed], "&gt;=" &amp; ($Q$2 - 7),
          unit_details[First Listed], "&lt;" &amp; $Q$2,
          unit_details[Beds], 2,
          unit_details[Property Name], B14)</f>
        <v>0</v>
      </c>
      <c r="L16" s="804">
        <f ca="1">COUNTIFS(
    unit_details[First Listed], "&gt;=" &amp; ($Q$2 - 7),
    unit_details[First Listed], "&lt;" &amp; $Q$2,
    unit_details[Beds], 2,
    unit_details[Property Name], B14
)
-
COUNTIFS(
    unit_details[First Listed], "&gt;=" &amp; ($Q$2 - 14),
    unit_details[First Listed], "&lt;=" &amp; ($Q$2 - 7),
    unit_details[Beds], 2,
    unit_details[Property Name], B14
)</f>
        <v>0</v>
      </c>
      <c r="M16" s="805" t="str">
        <f ca="1">IFERROR(AVERAGEIFS(unit_details[Asking Rent],unit_details[First Listed],"&gt;="&amp;($Q$2-7),
unit_details[First Listed],"&lt;="&amp;$Q$2,
unit_details[Beds],2,
unit_details[Property Name],B14),"")</f>
        <v/>
      </c>
      <c r="N16" s="806">
        <f ca="1">COUNTIFS(unit_details[Property Name], B14,
          unit_details[Beds], 2,
          unit_details[Leased Date], "")</f>
        <v>9</v>
      </c>
      <c r="O16" s="804">
        <f t="shared" ca="1" si="0"/>
        <v>0</v>
      </c>
      <c r="P16" s="805">
        <f ca="1">IFERROR(AVERAGEIFS(unit_details[Asking Rent],unit_details[Property Name], B14,
          unit_details[Beds], 2,
          unit_details[Leased Date], ""),"")</f>
        <v>1211.1111111111111</v>
      </c>
      <c r="Q16" s="807">
        <f ca="1">IFERROR(N16/SUMIFS(unit_mix_table['# Units],unit_mix_table[Beds],2,unit_mix_table[Property Name],B14),"")</f>
        <v>1.5</v>
      </c>
    </row>
    <row r="17" spans="2:17" ht="16" thickBot="1" x14ac:dyDescent="0.25">
      <c r="B17" s="808" t="s">
        <v>405</v>
      </c>
      <c r="C17" s="831"/>
      <c r="D17" s="809"/>
      <c r="E17" s="810" t="s">
        <v>387</v>
      </c>
      <c r="F17" s="811">
        <f ca="1">COUNTIFS(unit_details[Leased Date], "&gt;=" &amp; ($Q$2 - 7),
          unit_details[Leased Date], "&lt;" &amp; $Q$2,
          unit_details[Beds], 3,
          unit_details[Property Name], B14)</f>
        <v>0</v>
      </c>
      <c r="G17" s="817">
        <f ca="1">COUNTIFS(unit_details[Leased Date], "&gt;=" &amp; ($Q$2 - 7),
          unit_details[Leased Date], "&lt;" &amp; $Q$2,
          unit_details[Beds], 3,
          unit_details[Property Name], B14)
-
COUNTIFS(unit_details[Leased Date], "&gt;=" &amp; ($Q$2 - 14),
         unit_details[Leased Date], "&lt;=" &amp; ($Q$2 - 7),
         unit_details[Beds], 3,
         unit_details[Property Name], B14)</f>
        <v>0</v>
      </c>
      <c r="H17" s="813" t="str">
        <f ca="1">IFERROR(AVERAGEIFS(unit_details[Asking Rent],unit_details[Leased Date], "&gt;=" &amp; ($Q$2 - 7),
          unit_details[Leased Date], "&lt;" &amp; $Q$2,
          unit_details[Beds], 3,
          unit_details[Property Name], B14),"")</f>
        <v/>
      </c>
      <c r="I17" s="814">
        <f ca="1">IFERROR(
    AVERAGEIFS(unit_details[Asking Rent],
               unit_details[Leased Date], "&gt;=" &amp; ($Q$2 - 7),
               unit_details[Leased Date], "&lt;" &amp; $Q$2,
               unit_details[Beds], 3,
               unit_details[Property Name], B14)
    -
    AVERAGEIFS(unit_details[Asking Rent],
               unit_details[Leased Date], "&gt;=" &amp; ($Q$2 - 14),
               unit_details[Leased Date], "&lt;=" &amp; ($Q$2 - 7),
               unit_details[Beds], 3,
               unit_details[Property Name], B14),
0)</f>
        <v>0</v>
      </c>
      <c r="J17" s="815">
        <f ca="1">IFERROR(I17/AVERAGEIFS(unit_details[Asking Rent],
               unit_details[Leased Date], "&gt;=" &amp; ($Q$2 - 14),
               unit_details[Leased Date], "&lt;=" &amp; ($Q$2 - 7),
               unit_details[Beds], 3,
               unit_details[Property Name], B14),0)</f>
        <v>0</v>
      </c>
      <c r="K17" s="816">
        <f ca="1">COUNTIFS(unit_details[First Listed], "&gt;=" &amp; ($Q$2 - 7),
          unit_details[First Listed], "&lt;" &amp; $Q$2,
          unit_details[Beds], 3,
          unit_details[Property Name], B14)</f>
        <v>0</v>
      </c>
      <c r="L17" s="817">
        <f ca="1">COUNTIFS(
    unit_details[First Listed], "&gt;=" &amp; ($Q$2 - 7),
    unit_details[First Listed], "&lt;" &amp; $Q$2,
    unit_details[Beds], 3,
    unit_details[Property Name], B14
)
-
COUNTIFS(
    unit_details[First Listed], "&gt;=" &amp; ($Q$2 - 14),
    unit_details[First Listed], "&lt;=" &amp; ($Q$2 - 7),
    unit_details[Beds], 3,
    unit_details[Property Name], B14
)</f>
        <v>0</v>
      </c>
      <c r="M17" s="818" t="str">
        <f ca="1">IFERROR(AVERAGEIFS(unit_details[Asking Rent],unit_details[First Listed],"&gt;="&amp;($Q$2-7),
unit_details[First Listed],"&lt;="&amp;$Q$2,
unit_details[Beds],3,
unit_details[Property Name],B14),"")</f>
        <v/>
      </c>
      <c r="N17" s="819">
        <f ca="1">COUNTIFS(unit_details[Property Name], B14,
          unit_details[Beds], 3,
          unit_details[Leased Date], "")</f>
        <v>0</v>
      </c>
      <c r="O17" s="817">
        <f t="shared" ca="1" si="0"/>
        <v>0</v>
      </c>
      <c r="P17" s="818" t="str">
        <f ca="1">IFERROR(AVERAGEIFS(unit_details[Asking Rent],unit_details[Property Name], B14,
          unit_details[Beds], 3,
          unit_details[Leased Date], ""),"")</f>
        <v/>
      </c>
      <c r="Q17" s="820" t="str">
        <f ca="1">IFERROR(N17/SUMIFS(unit_mix_table['# Units],unit_mix_table[Beds],3,unit_mix_table[Property Name],B14),"")</f>
        <v/>
      </c>
    </row>
    <row r="18" spans="2:17" ht="15" x14ac:dyDescent="0.2">
      <c r="B18" s="782" t="str">
        <f ca="1">IF(ISBLANK(OFFSET('Rent Comparison'!$A$1,2,8)),"",IF(OFFSET('Rent Comparison'!$A$1,2,8)=0,B19,OFFSET('Rent Comparison'!$A$1,2,8)))</f>
        <v/>
      </c>
      <c r="C18" s="829" t="str">
        <f ca="1">IF(ISBLANK(B18),"",IFERROR(INDEX(Specials!B:J,MATCH(B18&amp;" - Active",Specials!I:I,0),2),""))</f>
        <v/>
      </c>
      <c r="D18" s="783"/>
      <c r="E18" s="784" t="s">
        <v>7</v>
      </c>
      <c r="F18" s="785">
        <f ca="1">COUNTIFS(unit_details[Leased Date], "&gt;=" &amp; ($Q$2 - 7),
          unit_details[Leased Date], "&lt;" &amp; $Q$2,
          unit_details[Beds], 0,
          unit_details[Property Name], B18)</f>
        <v>0</v>
      </c>
      <c r="G18" s="791">
        <f ca="1">COUNTIFS(unit_details[Leased Date], "&gt;=" &amp; ($Q$2 - 7),
          unit_details[Leased Date], "&lt;" &amp; $Q$2,
          unit_details[Beds], 0,
          unit_details[Property Name], B18)
-
COUNTIFS(unit_details[Leased Date], "&gt;=" &amp; ($Q$2 - 14),
         unit_details[Leased Date], "&lt;=" &amp; ($Q$2 - 7),
         unit_details[Beds], 0,
         unit_details[Property Name], B18)</f>
        <v>0</v>
      </c>
      <c r="H18" s="787" t="str">
        <f ca="1">IFERROR(AVERAGEIFS(unit_details[Asking Rent],unit_details[Leased Date], "&gt;=" &amp; ($Q$2 - 7),
          unit_details[Leased Date], "&lt;" &amp; $Q$2,
          unit_details[Beds], 0,
          unit_details[Property Name], B18),"")</f>
        <v/>
      </c>
      <c r="I18" s="788">
        <f ca="1">IFERROR(
    AVERAGEIFS(unit_details[Asking Rent],
               unit_details[Leased Date], "&gt;=" &amp; ($Q$2 - 7),
               unit_details[Leased Date], "&lt;" &amp; $Q$2,
               unit_details[Beds], 0,
               unit_details[Property Name], B18)
    -
    AVERAGEIFS(unit_details[Asking Rent],
               unit_details[Leased Date], "&gt;=" &amp; ($Q$2 - 14),
               unit_details[Leased Date], "&lt;=" &amp; ($Q$2 - 7),
               unit_details[Beds], 0,
               unit_details[Property Name], B18),
0)</f>
        <v>0</v>
      </c>
      <c r="J18" s="789">
        <f ca="1">IFERROR(I18/AVERAGEIFS(unit_details[Asking Rent],
               unit_details[Leased Date], "&gt;=" &amp; ($Q$2 - 14),
               unit_details[Leased Date], "&lt;=" &amp; ($Q$2 - 7),
               unit_details[Beds], 0,
               unit_details[Property Name], B18),0)</f>
        <v>0</v>
      </c>
      <c r="K18" s="790">
        <f ca="1">COUNTIFS(unit_details[First Listed], "&gt;=" &amp; ($Q$2 - 7),
          unit_details[First Listed], "&lt;" &amp; $Q$2,
          unit_details[Beds], 0,
          unit_details[Property Name], B18)</f>
        <v>0</v>
      </c>
      <c r="L18" s="791">
        <f ca="1">COUNTIFS(
    unit_details[First Listed], "&gt;=" &amp; ($Q$2 - 7),
    unit_details[First Listed], "&lt;" &amp; $Q$2,
    unit_details[Beds], 0,
    unit_details[Property Name], B18
)
-
COUNTIFS(
    unit_details[First Listed], "&gt;=" &amp; ($Q$2 - 14),
    unit_details[First Listed], "&lt;=" &amp; ($Q$2 - 7),
    unit_details[Beds], 0,
    unit_details[Property Name], B18
)</f>
        <v>0</v>
      </c>
      <c r="M18" s="792" t="str">
        <f ca="1">IFERROR(AVERAGEIFS(unit_details[Asking Rent],unit_details[First Listed],"&gt;="&amp;($Q$2-7),
unit_details[First Listed],"&lt;="&amp;$Q$2,
unit_details[Beds],0,
unit_details[Property Name],B18),"")</f>
        <v/>
      </c>
      <c r="N18" s="793">
        <f ca="1">COUNTIFS(unit_details[Property Name], B18,
          unit_details[Beds], 0,
          unit_details[Leased Date], "")</f>
        <v>0</v>
      </c>
      <c r="O18" s="791">
        <f t="shared" ca="1" si="0"/>
        <v>0</v>
      </c>
      <c r="P18" s="792" t="str">
        <f ca="1">IFERROR(AVERAGEIFS(unit_details[Asking Rent],unit_details[Property Name], B18,
          unit_details[Beds], 0,
          unit_details[Leased Date], ""),"")</f>
        <v/>
      </c>
      <c r="Q18" s="794" t="str">
        <f ca="1">IFERROR(N18/SUMIFS(unit_mix_table['# Units],unit_mix_table[Beds],0,unit_mix_table[Property Name],B18),"")</f>
        <v/>
      </c>
    </row>
    <row r="19" spans="2:17" ht="15" x14ac:dyDescent="0.2">
      <c r="B19" s="795" t="s">
        <v>477</v>
      </c>
      <c r="C19" s="830"/>
      <c r="D19" s="796"/>
      <c r="E19" s="797" t="s">
        <v>385</v>
      </c>
      <c r="F19" s="798">
        <f ca="1">COUNTIFS(unit_details[Leased Date], "&gt;=" &amp; ($Q$2 - 7),
          unit_details[Leased Date], "&lt;" &amp; $Q$2,
          unit_details[Beds], 1,
          unit_details[Property Name], B18)</f>
        <v>0</v>
      </c>
      <c r="G19" s="804">
        <f ca="1">COUNTIFS(unit_details[Leased Date], "&gt;=" &amp; ($Q$2 - 7),
          unit_details[Leased Date], "&lt;" &amp; $Q$2,
          unit_details[Beds], 1,
          unit_details[Property Name], B18)
-
COUNTIFS(unit_details[Leased Date], "&gt;=" &amp; ($Q$2 - 14),
         unit_details[Leased Date], "&lt;=" &amp; ($Q$2 - 7),
         unit_details[Beds], 1,
         unit_details[Property Name], B18)</f>
        <v>0</v>
      </c>
      <c r="H19" s="800" t="str">
        <f ca="1">IFERROR(AVERAGEIFS(unit_details[Asking Rent],unit_details[Leased Date], "&gt;=" &amp; ($Q$2 - 7),
          unit_details[Leased Date], "&lt;" &amp; $Q$2,
          unit_details[Beds], 1,
          unit_details[Property Name], B18),"")</f>
        <v/>
      </c>
      <c r="I19" s="801">
        <f ca="1">IFERROR(
    AVERAGEIFS(unit_details[Asking Rent],
               unit_details[Leased Date], "&gt;=" &amp; ($Q$2 - 7),
               unit_details[Leased Date], "&lt;" &amp; $Q$2,
               unit_details[Beds], 1,
               unit_details[Property Name], B18)
    -
    AVERAGEIFS(unit_details[Asking Rent],
               unit_details[Leased Date], "&gt;=" &amp; ($Q$2 - 14),
               unit_details[Leased Date], "&lt;=" &amp; ($Q$2 - 7),
               unit_details[Beds], 1,
               unit_details[Property Name], B18),
0)</f>
        <v>0</v>
      </c>
      <c r="J19" s="802">
        <f ca="1">IFERROR(I19/AVERAGEIFS(unit_details[Asking Rent],
               unit_details[Leased Date], "&gt;=" &amp; ($Q$2 - 14),
               unit_details[Leased Date], "&lt;=" &amp; ($Q$2 - 7),
               unit_details[Beds], 1,
               unit_details[Property Name], B18),0)</f>
        <v>0</v>
      </c>
      <c r="K19" s="803">
        <f ca="1">COUNTIFS(unit_details[First Listed], "&gt;=" &amp; ($Q$2 - 7),
          unit_details[First Listed], "&lt;" &amp; $Q$2,
          unit_details[Beds], 1,
          unit_details[Property Name], B18)</f>
        <v>0</v>
      </c>
      <c r="L19" s="804">
        <f ca="1">COUNTIFS(
    unit_details[First Listed], "&gt;=" &amp; ($Q$2 - 7),
    unit_details[First Listed], "&lt;" &amp; $Q$2,
    unit_details[Beds], 1,
    unit_details[Property Name], B18
)
-
COUNTIFS(
    unit_details[First Listed], "&gt;=" &amp; ($Q$2 - 14),
    unit_details[First Listed], "&lt;=" &amp; ($Q$2 - 7),
    unit_details[Beds], 1,
    unit_details[Property Name], B18
)</f>
        <v>0</v>
      </c>
      <c r="M19" s="805" t="str">
        <f ca="1">IFERROR(AVERAGEIFS(unit_details[Asking Rent],unit_details[First Listed],"&gt;="&amp;($Q$2-7),
unit_details[First Listed],"&lt;="&amp;$Q$2,
unit_details[Beds],1,
unit_details[Property Name],B18),"")</f>
        <v/>
      </c>
      <c r="N19" s="806">
        <f ca="1">COUNTIFS(unit_details[Property Name], B18,
          unit_details[Beds], 1,
          unit_details[Leased Date], "")</f>
        <v>7</v>
      </c>
      <c r="O19" s="804">
        <f t="shared" ca="1" si="0"/>
        <v>0</v>
      </c>
      <c r="P19" s="805">
        <f ca="1">IFERROR(AVERAGEIFS(unit_details[Asking Rent],unit_details[Property Name], B18,
          unit_details[Beds], 1,
          unit_details[Leased Date], ""),"")</f>
        <v>1028.5714285714287</v>
      </c>
      <c r="Q19" s="807">
        <f ca="1">IFERROR(N19/SUMIFS(unit_mix_table['# Units],unit_mix_table[Beds],1,unit_mix_table[Property Name],B18),"")</f>
        <v>2.3333333333333335</v>
      </c>
    </row>
    <row r="20" spans="2:17" ht="15" x14ac:dyDescent="0.2">
      <c r="B20" s="795" t="s">
        <v>405</v>
      </c>
      <c r="C20" s="830"/>
      <c r="D20" s="796"/>
      <c r="E20" s="797" t="s">
        <v>386</v>
      </c>
      <c r="F20" s="798">
        <f ca="1">COUNTIFS(unit_details[Leased Date], "&gt;=" &amp; ($Q$2 - 7),
          unit_details[Leased Date], "&lt;" &amp; $Q$2,
          unit_details[Beds], 2,
          unit_details[Property Name], B18)</f>
        <v>0</v>
      </c>
      <c r="G20" s="804">
        <f ca="1">COUNTIFS(unit_details[Leased Date], "&gt;=" &amp; ($Q$2 - 7),
          unit_details[Leased Date], "&lt;" &amp; $Q$2,
          unit_details[Beds], 2,
          unit_details[Property Name], B18)
-
COUNTIFS(unit_details[Leased Date], "&gt;=" &amp; ($Q$2 - 14),
         unit_details[Leased Date], "&lt;=" &amp; ($Q$2 - 7),
         unit_details[Beds], 2,
         unit_details[Property Name], B18)</f>
        <v>0</v>
      </c>
      <c r="H20" s="800" t="str">
        <f ca="1">IFERROR(AVERAGEIFS(unit_details[Asking Rent],unit_details[Leased Date], "&gt;=" &amp; ($Q$2 - 7),
          unit_details[Leased Date], "&lt;" &amp; $Q$2,
          unit_details[Beds], 2,
          unit_details[Property Name], B18),"")</f>
        <v/>
      </c>
      <c r="I20" s="801">
        <f ca="1">IFERROR(
    AVERAGEIFS(unit_details[Asking Rent],
               unit_details[Leased Date], "&gt;=" &amp; ($Q$2 - 7),
               unit_details[Leased Date], "&lt;" &amp; $Q$2,
               unit_details[Beds], 2,
               unit_details[Property Name], B18)
    -
    AVERAGEIFS(unit_details[Asking Rent],
               unit_details[Leased Date], "&gt;=" &amp; ($Q$2 - 14),
               unit_details[Leased Date], "&lt;=" &amp; ($Q$2 - 7),
               unit_details[Beds], 2,
               unit_details[Property Name], B18),
0)</f>
        <v>0</v>
      </c>
      <c r="J20" s="802">
        <f ca="1">IFERROR(I20/AVERAGEIFS(unit_details[Asking Rent],
               unit_details[Leased Date], "&gt;=" &amp; ($Q$2 - 14),
               unit_details[Leased Date], "&lt;=" &amp; ($Q$2 - 7),
               unit_details[Beds], 2,
               unit_details[Property Name], B18),0)</f>
        <v>0</v>
      </c>
      <c r="K20" s="803">
        <f ca="1">COUNTIFS(unit_details[First Listed], "&gt;=" &amp; ($Q$2 - 7),
          unit_details[First Listed], "&lt;" &amp; $Q$2,
          unit_details[Beds], 2,
          unit_details[Property Name], B18)</f>
        <v>0</v>
      </c>
      <c r="L20" s="804">
        <f ca="1">COUNTIFS(
    unit_details[First Listed], "&gt;=" &amp; ($Q$2 - 7),
    unit_details[First Listed], "&lt;" &amp; $Q$2,
    unit_details[Beds], 2,
    unit_details[Property Name], B18
)
-
COUNTIFS(
    unit_details[First Listed], "&gt;=" &amp; ($Q$2 - 14),
    unit_details[First Listed], "&lt;=" &amp; ($Q$2 - 7),
    unit_details[Beds], 2,
    unit_details[Property Name], B18
)</f>
        <v>0</v>
      </c>
      <c r="M20" s="805" t="str">
        <f ca="1">IFERROR(AVERAGEIFS(unit_details[Asking Rent],unit_details[First Listed],"&gt;="&amp;($Q$2-7),
unit_details[First Listed],"&lt;="&amp;$Q$2,
unit_details[Beds],2,
unit_details[Property Name],B18),"")</f>
        <v/>
      </c>
      <c r="N20" s="806">
        <f ca="1">COUNTIFS(unit_details[Property Name], B18,
          unit_details[Beds], 2,
          unit_details[Leased Date], "")</f>
        <v>9</v>
      </c>
      <c r="O20" s="804">
        <f t="shared" ca="1" si="0"/>
        <v>0</v>
      </c>
      <c r="P20" s="805">
        <f ca="1">IFERROR(AVERAGEIFS(unit_details[Asking Rent],unit_details[Property Name], B18,
          unit_details[Beds], 2,
          unit_details[Leased Date], ""),"")</f>
        <v>1211.1111111111111</v>
      </c>
      <c r="Q20" s="807">
        <f ca="1">IFERROR(N20/SUMIFS(unit_mix_table['# Units],unit_mix_table[Beds],2,unit_mix_table[Property Name],B18),"")</f>
        <v>1.5</v>
      </c>
    </row>
    <row r="21" spans="2:17" ht="16" thickBot="1" x14ac:dyDescent="0.25">
      <c r="B21" s="808" t="s">
        <v>405</v>
      </c>
      <c r="C21" s="831"/>
      <c r="D21" s="809"/>
      <c r="E21" s="810" t="s">
        <v>387</v>
      </c>
      <c r="F21" s="811">
        <f ca="1">COUNTIFS(unit_details[Leased Date], "&gt;=" &amp; ($Q$2 - 7),
          unit_details[Leased Date], "&lt;" &amp; $Q$2,
          unit_details[Beds], 3,
          unit_details[Property Name], B18)</f>
        <v>0</v>
      </c>
      <c r="G21" s="817">
        <f ca="1">COUNTIFS(unit_details[Leased Date], "&gt;=" &amp; ($Q$2 - 7),
          unit_details[Leased Date], "&lt;" &amp; $Q$2,
          unit_details[Beds], 3,
          unit_details[Property Name], B18)
-
COUNTIFS(unit_details[Leased Date], "&gt;=" &amp; ($Q$2 - 14),
         unit_details[Leased Date], "&lt;=" &amp; ($Q$2 - 7),
         unit_details[Beds], 3,
         unit_details[Property Name], B18)</f>
        <v>0</v>
      </c>
      <c r="H21" s="813" t="str">
        <f ca="1">IFERROR(AVERAGEIFS(unit_details[Asking Rent],unit_details[Leased Date], "&gt;=" &amp; ($Q$2 - 7),
          unit_details[Leased Date], "&lt;" &amp; $Q$2,
          unit_details[Beds], 3,
          unit_details[Property Name], B18),"")</f>
        <v/>
      </c>
      <c r="I21" s="814">
        <f ca="1">IFERROR(
    AVERAGEIFS(unit_details[Asking Rent],
               unit_details[Leased Date], "&gt;=" &amp; ($Q$2 - 7),
               unit_details[Leased Date], "&lt;" &amp; $Q$2,
               unit_details[Beds], 3,
               unit_details[Property Name], B18)
    -
    AVERAGEIFS(unit_details[Asking Rent],
               unit_details[Leased Date], "&gt;=" &amp; ($Q$2 - 14),
               unit_details[Leased Date], "&lt;=" &amp; ($Q$2 - 7),
               unit_details[Beds], 3,
               unit_details[Property Name], B18),
0)</f>
        <v>0</v>
      </c>
      <c r="J21" s="815">
        <f ca="1">IFERROR(I21/AVERAGEIFS(unit_details[Asking Rent],
               unit_details[Leased Date], "&gt;=" &amp; ($Q$2 - 14),
               unit_details[Leased Date], "&lt;=" &amp; ($Q$2 - 7),
               unit_details[Beds], 3,
               unit_details[Property Name], B18),0)</f>
        <v>0</v>
      </c>
      <c r="K21" s="816">
        <f ca="1">COUNTIFS(unit_details[First Listed], "&gt;=" &amp; ($Q$2 - 7),
          unit_details[First Listed], "&lt;" &amp; $Q$2,
          unit_details[Beds], 3,
          unit_details[Property Name], B18)</f>
        <v>0</v>
      </c>
      <c r="L21" s="817">
        <f ca="1">COUNTIFS(
    unit_details[First Listed], "&gt;=" &amp; ($Q$2 - 7),
    unit_details[First Listed], "&lt;" &amp; $Q$2,
    unit_details[Beds], 3,
    unit_details[Property Name], B18
)
-
COUNTIFS(
    unit_details[First Listed], "&gt;=" &amp; ($Q$2 - 14),
    unit_details[First Listed], "&lt;=" &amp; ($Q$2 - 7),
    unit_details[Beds], 3,
    unit_details[Property Name], B18
)</f>
        <v>0</v>
      </c>
      <c r="M21" s="818" t="str">
        <f ca="1">IFERROR(AVERAGEIFS(unit_details[Asking Rent],unit_details[First Listed],"&gt;="&amp;($Q$2-7),
unit_details[First Listed],"&lt;="&amp;$Q$2,
unit_details[Beds],3,
unit_details[Property Name],B18),"")</f>
        <v/>
      </c>
      <c r="N21" s="819">
        <f ca="1">COUNTIFS(unit_details[Property Name], B18,
          unit_details[Beds], 3,
          unit_details[Leased Date], "")</f>
        <v>0</v>
      </c>
      <c r="O21" s="817">
        <f t="shared" ca="1" si="0"/>
        <v>0</v>
      </c>
      <c r="P21" s="818" t="str">
        <f ca="1">IFERROR(AVERAGEIFS(unit_details[Asking Rent],unit_details[Property Name], B18,
          unit_details[Beds], 3,
          unit_details[Leased Date], ""),"")</f>
        <v/>
      </c>
      <c r="Q21" s="820" t="str">
        <f ca="1">IFERROR(N21/SUMIFS(unit_mix_table['# Units],unit_mix_table[Beds],3,unit_mix_table[Property Name],B18),"")</f>
        <v/>
      </c>
    </row>
    <row r="22" spans="2:17" ht="15" x14ac:dyDescent="0.2">
      <c r="B22" s="782" t="str">
        <f ca="1">IF(ISBLANK(OFFSET('Rent Comparison'!$A$1,2,9)),"",IF(OFFSET('Rent Comparison'!$A$1,2,9)=0,B23,OFFSET('Rent Comparison'!$A$1,2,9)))</f>
        <v/>
      </c>
      <c r="C22" s="829" t="str">
        <f ca="1">IF(ISBLANK(B22),"",IFERROR(INDEX(Specials!B:J,MATCH(B22&amp;" - Active",Specials!I:I,0),2),""))</f>
        <v/>
      </c>
      <c r="D22" s="783"/>
      <c r="E22" s="784" t="s">
        <v>7</v>
      </c>
      <c r="F22" s="785">
        <f ca="1">COUNTIFS(unit_details[Leased Date], "&gt;=" &amp; ($Q$2 - 7),
          unit_details[Leased Date], "&lt;" &amp; $Q$2,
          unit_details[Beds], 0,
          unit_details[Property Name], B22)</f>
        <v>0</v>
      </c>
      <c r="G22" s="791">
        <f ca="1">COUNTIFS(unit_details[Leased Date], "&gt;=" &amp; ($Q$2 - 7),
          unit_details[Leased Date], "&lt;" &amp; $Q$2,
          unit_details[Beds], 0,
          unit_details[Property Name], B22)
-
COUNTIFS(unit_details[Leased Date], "&gt;=" &amp; ($Q$2 - 14),
         unit_details[Leased Date], "&lt;=" &amp; ($Q$2 - 7),
         unit_details[Beds], 0,
         unit_details[Property Name], B22)</f>
        <v>0</v>
      </c>
      <c r="H22" s="787" t="str">
        <f ca="1">IFERROR(AVERAGEIFS(unit_details[Asking Rent],unit_details[Leased Date], "&gt;=" &amp; ($Q$2 - 7),
          unit_details[Leased Date], "&lt;" &amp; $Q$2,
          unit_details[Beds], 0,
          unit_details[Property Name], B22),"")</f>
        <v/>
      </c>
      <c r="I22" s="788">
        <f ca="1">IFERROR(
    AVERAGEIFS(unit_details[Asking Rent],
               unit_details[Leased Date], "&gt;=" &amp; ($Q$2 - 7),
               unit_details[Leased Date], "&lt;" &amp; $Q$2,
               unit_details[Beds], 0,
               unit_details[Property Name], B22)
    -
    AVERAGEIFS(unit_details[Asking Rent],
               unit_details[Leased Date], "&gt;=" &amp; ($Q$2 - 14),
               unit_details[Leased Date], "&lt;=" &amp; ($Q$2 - 7),
               unit_details[Beds], 0,
               unit_details[Property Name], B22),
0)</f>
        <v>0</v>
      </c>
      <c r="J22" s="789">
        <f ca="1">IFERROR(I22/AVERAGEIFS(unit_details[Asking Rent],
               unit_details[Leased Date], "&gt;=" &amp; ($Q$2 - 14),
               unit_details[Leased Date], "&lt;=" &amp; ($Q$2 - 7),
               unit_details[Beds], 0,
               unit_details[Property Name], B22),0)</f>
        <v>0</v>
      </c>
      <c r="K22" s="790">
        <f ca="1">COUNTIFS(unit_details[First Listed], "&gt;=" &amp; ($Q$2 - 7),
          unit_details[First Listed], "&lt;" &amp; $Q$2,
          unit_details[Beds], 0,
          unit_details[Property Name], B22)</f>
        <v>0</v>
      </c>
      <c r="L22" s="791">
        <f ca="1">COUNTIFS(
    unit_details[First Listed], "&gt;=" &amp; ($Q$2 - 7),
    unit_details[First Listed], "&lt;" &amp; $Q$2,
    unit_details[Beds], 0,
    unit_details[Property Name], B22
)
-
COUNTIFS(
    unit_details[First Listed], "&gt;=" &amp; ($Q$2 - 14),
    unit_details[First Listed], "&lt;=" &amp; ($Q$2 - 7),
    unit_details[Beds], 0,
    unit_details[Property Name], B22
)</f>
        <v>0</v>
      </c>
      <c r="M22" s="792" t="str">
        <f ca="1">IFERROR(AVERAGEIFS(unit_details[Asking Rent],unit_details[First Listed],"&gt;="&amp;($Q$2-7),
unit_details[First Listed],"&lt;="&amp;$Q$2,
unit_details[Beds],0,
unit_details[Property Name],B22),"")</f>
        <v/>
      </c>
      <c r="N22" s="793">
        <f ca="1">COUNTIFS(unit_details[Property Name], B22,
          unit_details[Beds], 0,
          unit_details[Leased Date], "")</f>
        <v>0</v>
      </c>
      <c r="O22" s="791">
        <f t="shared" ca="1" si="0"/>
        <v>0</v>
      </c>
      <c r="P22" s="792" t="str">
        <f ca="1">IFERROR(AVERAGEIFS(unit_details[Asking Rent],unit_details[Property Name], B22,
          unit_details[Beds], 0,
          unit_details[Leased Date], ""),"")</f>
        <v/>
      </c>
      <c r="Q22" s="794" t="str">
        <f ca="1">IFERROR(N22/SUMIFS(unit_mix_table['# Units],unit_mix_table[Beds],0,unit_mix_table[Property Name],B22),"")</f>
        <v/>
      </c>
    </row>
    <row r="23" spans="2:17" ht="15" x14ac:dyDescent="0.2">
      <c r="B23" s="795" t="s">
        <v>478</v>
      </c>
      <c r="C23" s="830"/>
      <c r="D23" s="796"/>
      <c r="E23" s="797" t="s">
        <v>385</v>
      </c>
      <c r="F23" s="798">
        <f ca="1">COUNTIFS(unit_details[Leased Date], "&gt;=" &amp; ($Q$2 - 7),
          unit_details[Leased Date], "&lt;" &amp; $Q$2,
          unit_details[Beds], 1,
          unit_details[Property Name], B22)</f>
        <v>0</v>
      </c>
      <c r="G23" s="804">
        <f ca="1">COUNTIFS(unit_details[Leased Date], "&gt;=" &amp; ($Q$2 - 7),
          unit_details[Leased Date], "&lt;" &amp; $Q$2,
          unit_details[Beds], 1,
          unit_details[Property Name], B22)
-
COUNTIFS(unit_details[Leased Date], "&gt;=" &amp; ($Q$2 - 14),
         unit_details[Leased Date], "&lt;=" &amp; ($Q$2 - 7),
         unit_details[Beds], 1,
         unit_details[Property Name], B22)</f>
        <v>0</v>
      </c>
      <c r="H23" s="800" t="str">
        <f ca="1">IFERROR(AVERAGEIFS(unit_details[Asking Rent],unit_details[Leased Date], "&gt;=" &amp; ($Q$2 - 7),
          unit_details[Leased Date], "&lt;" &amp; $Q$2,
          unit_details[Beds], 1,
          unit_details[Property Name], B22),"")</f>
        <v/>
      </c>
      <c r="I23" s="801">
        <f ca="1">IFERROR(
    AVERAGEIFS(unit_details[Asking Rent],
               unit_details[Leased Date], "&gt;=" &amp; ($Q$2 - 7),
               unit_details[Leased Date], "&lt;" &amp; $Q$2,
               unit_details[Beds], 1,
               unit_details[Property Name], B22)
    -
    AVERAGEIFS(unit_details[Asking Rent],
               unit_details[Leased Date], "&gt;=" &amp; ($Q$2 - 14),
               unit_details[Leased Date], "&lt;=" &amp; ($Q$2 - 7),
               unit_details[Beds], 1,
               unit_details[Property Name], B22),
0)</f>
        <v>0</v>
      </c>
      <c r="J23" s="802">
        <f ca="1">IFERROR(I23/AVERAGEIFS(unit_details[Asking Rent],
               unit_details[Leased Date], "&gt;=" &amp; ($Q$2 - 14),
               unit_details[Leased Date], "&lt;=" &amp; ($Q$2 - 7),
               unit_details[Beds], 1,
               unit_details[Property Name], B22),0)</f>
        <v>0</v>
      </c>
      <c r="K23" s="803">
        <f ca="1">COUNTIFS(unit_details[First Listed], "&gt;=" &amp; ($Q$2 - 7),
          unit_details[First Listed], "&lt;" &amp; $Q$2,
          unit_details[Beds], 1,
          unit_details[Property Name], B22)</f>
        <v>0</v>
      </c>
      <c r="L23" s="804">
        <f ca="1">COUNTIFS(
    unit_details[First Listed], "&gt;=" &amp; ($Q$2 - 7),
    unit_details[First Listed], "&lt;" &amp; $Q$2,
    unit_details[Beds], 1,
    unit_details[Property Name], B22
)
-
COUNTIFS(
    unit_details[First Listed], "&gt;=" &amp; ($Q$2 - 14),
    unit_details[First Listed], "&lt;=" &amp; ($Q$2 - 7),
    unit_details[Beds], 1,
    unit_details[Property Name], B22
)</f>
        <v>0</v>
      </c>
      <c r="M23" s="805" t="str">
        <f ca="1">IFERROR(AVERAGEIFS(unit_details[Asking Rent],unit_details[First Listed],"&gt;="&amp;($Q$2-7),
unit_details[First Listed],"&lt;="&amp;$Q$2,
unit_details[Beds],1,
unit_details[Property Name],B22),"")</f>
        <v/>
      </c>
      <c r="N23" s="806">
        <f ca="1">COUNTIFS(unit_details[Property Name], B22,
          unit_details[Beds], 1,
          unit_details[Leased Date], "")</f>
        <v>7</v>
      </c>
      <c r="O23" s="804">
        <f t="shared" ca="1" si="0"/>
        <v>0</v>
      </c>
      <c r="P23" s="805">
        <f ca="1">IFERROR(AVERAGEIFS(unit_details[Asking Rent],unit_details[Property Name], B22,
          unit_details[Beds], 1,
          unit_details[Leased Date], ""),"")</f>
        <v>1028.5714285714287</v>
      </c>
      <c r="Q23" s="807">
        <f ca="1">IFERROR(N23/SUMIFS(unit_mix_table['# Units],unit_mix_table[Beds],1,unit_mix_table[Property Name],B22),"")</f>
        <v>2.3333333333333335</v>
      </c>
    </row>
    <row r="24" spans="2:17" ht="15" x14ac:dyDescent="0.2">
      <c r="B24" s="795" t="s">
        <v>405</v>
      </c>
      <c r="C24" s="830"/>
      <c r="D24" s="796"/>
      <c r="E24" s="797" t="s">
        <v>386</v>
      </c>
      <c r="F24" s="798">
        <f ca="1">COUNTIFS(unit_details[Leased Date], "&gt;=" &amp; ($Q$2 - 7),
          unit_details[Leased Date], "&lt;" &amp; $Q$2,
          unit_details[Beds], 2,
          unit_details[Property Name], B22)</f>
        <v>0</v>
      </c>
      <c r="G24" s="804">
        <f ca="1">COUNTIFS(unit_details[Leased Date], "&gt;=" &amp; ($Q$2 - 7),
          unit_details[Leased Date], "&lt;" &amp; $Q$2,
          unit_details[Beds], 2,
          unit_details[Property Name], B22)
-
COUNTIFS(unit_details[Leased Date], "&gt;=" &amp; ($Q$2 - 14),
         unit_details[Leased Date], "&lt;=" &amp; ($Q$2 - 7),
         unit_details[Beds], 2,
         unit_details[Property Name], B22)</f>
        <v>0</v>
      </c>
      <c r="H24" s="800" t="str">
        <f ca="1">IFERROR(AVERAGEIFS(unit_details[Asking Rent],unit_details[Leased Date], "&gt;=" &amp; ($Q$2 - 7),
          unit_details[Leased Date], "&lt;" &amp; $Q$2,
          unit_details[Beds], 2,
          unit_details[Property Name], B22),"")</f>
        <v/>
      </c>
      <c r="I24" s="801">
        <f ca="1">IFERROR(
    AVERAGEIFS(unit_details[Asking Rent],
               unit_details[Leased Date], "&gt;=" &amp; ($Q$2 - 7),
               unit_details[Leased Date], "&lt;" &amp; $Q$2,
               unit_details[Beds], 2,
               unit_details[Property Name], B22)
    -
    AVERAGEIFS(unit_details[Asking Rent],
               unit_details[Leased Date], "&gt;=" &amp; ($Q$2 - 14),
               unit_details[Leased Date], "&lt;=" &amp; ($Q$2 - 7),
               unit_details[Beds], 2,
               unit_details[Property Name], B22),
0)</f>
        <v>0</v>
      </c>
      <c r="J24" s="802">
        <f ca="1">IFERROR(I24/AVERAGEIFS(unit_details[Asking Rent],
               unit_details[Leased Date], "&gt;=" &amp; ($Q$2 - 14),
               unit_details[Leased Date], "&lt;=" &amp; ($Q$2 - 7),
               unit_details[Beds], 2,
               unit_details[Property Name], B22),0)</f>
        <v>0</v>
      </c>
      <c r="K24" s="803">
        <f ca="1">COUNTIFS(unit_details[First Listed], "&gt;=" &amp; ($Q$2 - 7),
          unit_details[First Listed], "&lt;" &amp; $Q$2,
          unit_details[Beds], 2,
          unit_details[Property Name], B22)</f>
        <v>0</v>
      </c>
      <c r="L24" s="804">
        <f ca="1">COUNTIFS(
    unit_details[First Listed], "&gt;=" &amp; ($Q$2 - 7),
    unit_details[First Listed], "&lt;" &amp; $Q$2,
    unit_details[Beds], 2,
    unit_details[Property Name], B22
)
-
COUNTIFS(
    unit_details[First Listed], "&gt;=" &amp; ($Q$2 - 14),
    unit_details[First Listed], "&lt;=" &amp; ($Q$2 - 7),
    unit_details[Beds], 2,
    unit_details[Property Name], B22
)</f>
        <v>0</v>
      </c>
      <c r="M24" s="805" t="str">
        <f ca="1">IFERROR(AVERAGEIFS(unit_details[Asking Rent],unit_details[First Listed],"&gt;="&amp;($Q$2-7),
unit_details[First Listed],"&lt;="&amp;$Q$2,
unit_details[Beds],2,
unit_details[Property Name],B22),"")</f>
        <v/>
      </c>
      <c r="N24" s="806">
        <f ca="1">COUNTIFS(unit_details[Property Name], B22,
          unit_details[Beds], 2,
          unit_details[Leased Date], "")</f>
        <v>9</v>
      </c>
      <c r="O24" s="804">
        <f t="shared" ca="1" si="0"/>
        <v>0</v>
      </c>
      <c r="P24" s="805">
        <f ca="1">IFERROR(AVERAGEIFS(unit_details[Asking Rent],unit_details[Property Name], B22,
          unit_details[Beds], 2,
          unit_details[Leased Date], ""),"")</f>
        <v>1211.1111111111111</v>
      </c>
      <c r="Q24" s="807">
        <f ca="1">IFERROR(N24/SUMIFS(unit_mix_table['# Units],unit_mix_table[Beds],2,unit_mix_table[Property Name],B22),"")</f>
        <v>1.5</v>
      </c>
    </row>
    <row r="25" spans="2:17" ht="16" thickBot="1" x14ac:dyDescent="0.25">
      <c r="B25" s="808" t="s">
        <v>479</v>
      </c>
      <c r="C25" s="831"/>
      <c r="D25" s="809"/>
      <c r="E25" s="810" t="s">
        <v>387</v>
      </c>
      <c r="F25" s="811">
        <f ca="1">COUNTIFS(unit_details[Leased Date], "&gt;=" &amp; ($Q$2 - 7),
          unit_details[Leased Date], "&lt;" &amp; $Q$2,
          unit_details[Beds], 3,
          unit_details[Property Name], B22)</f>
        <v>0</v>
      </c>
      <c r="G25" s="817">
        <f ca="1">COUNTIFS(unit_details[Leased Date], "&gt;=" &amp; ($Q$2 - 7),
          unit_details[Leased Date], "&lt;" &amp; $Q$2,
          unit_details[Beds], 3,
          unit_details[Property Name], B22)
-
COUNTIFS(unit_details[Leased Date], "&gt;=" &amp; ($Q$2 - 14),
         unit_details[Leased Date], "&lt;=" &amp; ($Q$2 - 7),
         unit_details[Beds], 3,
         unit_details[Property Name], B22)</f>
        <v>0</v>
      </c>
      <c r="H25" s="813" t="str">
        <f ca="1">IFERROR(AVERAGEIFS(unit_details[Asking Rent],unit_details[Leased Date], "&gt;=" &amp; ($Q$2 - 7),
          unit_details[Leased Date], "&lt;" &amp; $Q$2,
          unit_details[Beds], 3,
          unit_details[Property Name], B22),"")</f>
        <v/>
      </c>
      <c r="I25" s="814">
        <f ca="1">IFERROR(
    AVERAGEIFS(unit_details[Asking Rent],
               unit_details[Leased Date], "&gt;=" &amp; ($Q$2 - 7),
               unit_details[Leased Date], "&lt;" &amp; $Q$2,
               unit_details[Beds], 3,
               unit_details[Property Name], B22)
    -
    AVERAGEIFS(unit_details[Asking Rent],
               unit_details[Leased Date], "&gt;=" &amp; ($Q$2 - 14),
               unit_details[Leased Date], "&lt;=" &amp; ($Q$2 - 7),
               unit_details[Beds], 3,
               unit_details[Property Name], B22),
0)</f>
        <v>0</v>
      </c>
      <c r="J25" s="815">
        <f ca="1">IFERROR(I25/AVERAGEIFS(unit_details[Asking Rent],
               unit_details[Leased Date], "&gt;=" &amp; ($Q$2 - 14),
               unit_details[Leased Date], "&lt;=" &amp; ($Q$2 - 7),
               unit_details[Beds], 3,
               unit_details[Property Name], B22),0)</f>
        <v>0</v>
      </c>
      <c r="K25" s="816">
        <f ca="1">COUNTIFS(unit_details[First Listed], "&gt;=" &amp; ($Q$2 - 7),
          unit_details[First Listed], "&lt;" &amp; $Q$2,
          unit_details[Beds], 3,
          unit_details[Property Name], B22)</f>
        <v>0</v>
      </c>
      <c r="L25" s="817">
        <f ca="1">COUNTIFS(
    unit_details[First Listed], "&gt;=" &amp; ($Q$2 - 7),
    unit_details[First Listed], "&lt;" &amp; $Q$2,
    unit_details[Beds], 3,
    unit_details[Property Name], B22
)
-
COUNTIFS(
    unit_details[First Listed], "&gt;=" &amp; ($Q$2 - 14),
    unit_details[First Listed], "&lt;=" &amp; ($Q$2 - 7),
    unit_details[Beds], 3,
    unit_details[Property Name], B22
)</f>
        <v>0</v>
      </c>
      <c r="M25" s="818" t="str">
        <f ca="1">IFERROR(AVERAGEIFS(unit_details[Asking Rent],unit_details[First Listed],"&gt;="&amp;($Q$2-7),
unit_details[First Listed],"&lt;="&amp;$Q$2,
unit_details[Beds],3,
unit_details[Property Name],B22),"")</f>
        <v/>
      </c>
      <c r="N25" s="819">
        <f ca="1">COUNTIFS(unit_details[Property Name], B22,
          unit_details[Beds], 3,
          unit_details[Leased Date], "")</f>
        <v>0</v>
      </c>
      <c r="O25" s="817">
        <f t="shared" ca="1" si="0"/>
        <v>0</v>
      </c>
      <c r="P25" s="818" t="str">
        <f ca="1">IFERROR(AVERAGEIFS(unit_details[Asking Rent],unit_details[Property Name], B22,
          unit_details[Beds], 3,
          unit_details[Leased Date], ""),"")</f>
        <v/>
      </c>
      <c r="Q25" s="820" t="str">
        <f ca="1">IFERROR(N25/SUMIFS(unit_mix_table['# Units],unit_mix_table[Beds],3,unit_mix_table[Property Name],B22),"")</f>
        <v/>
      </c>
    </row>
    <row r="26" spans="2:17" ht="15" x14ac:dyDescent="0.2">
      <c r="B26" s="782" t="str">
        <f ca="1">IF(ISBLANK(OFFSET('Rent Comparison'!$A$1,2,10)),"",IF(OFFSET('Rent Comparison'!$A$1,2,10)=0,B27,OFFSET('Rent Comparison'!$A$1,2,10)))</f>
        <v/>
      </c>
      <c r="C26" s="829" t="str">
        <f ca="1">IF(ISBLANK(B26),"",IFERROR(INDEX(Specials!B:J,MATCH(B26&amp;" - Active",Specials!I:I,0),2),""))</f>
        <v/>
      </c>
      <c r="D26" s="783"/>
      <c r="E26" s="784" t="s">
        <v>7</v>
      </c>
      <c r="F26" s="785">
        <f ca="1">COUNTIFS(unit_details[Leased Date], "&gt;=" &amp; ($Q$2 - 7),
          unit_details[Leased Date], "&lt;" &amp; $Q$2,
          unit_details[Beds], 0,
          unit_details[Property Name], B26)</f>
        <v>0</v>
      </c>
      <c r="G26" s="791">
        <f ca="1">COUNTIFS(unit_details[Leased Date], "&gt;=" &amp; ($Q$2 - 7),
          unit_details[Leased Date], "&lt;" &amp; $Q$2,
          unit_details[Beds], 0,
          unit_details[Property Name], B26)
-
COUNTIFS(unit_details[Leased Date], "&gt;=" &amp; ($Q$2 - 14),
         unit_details[Leased Date], "&lt;=" &amp; ($Q$2 - 7),
         unit_details[Beds], 0,
         unit_details[Property Name], B26)</f>
        <v>0</v>
      </c>
      <c r="H26" s="787" t="str">
        <f ca="1">IFERROR(AVERAGEIFS(unit_details[Asking Rent],unit_details[Leased Date], "&gt;=" &amp; ($Q$2 - 7),
          unit_details[Leased Date], "&lt;" &amp; $Q$2,
          unit_details[Beds], 0,
          unit_details[Property Name], B26),"")</f>
        <v/>
      </c>
      <c r="I26" s="788">
        <f ca="1">IFERROR(
    AVERAGEIFS(unit_details[Asking Rent],
               unit_details[Leased Date], "&gt;=" &amp; ($Q$2 - 7),
               unit_details[Leased Date], "&lt;" &amp; $Q$2,
               unit_details[Beds], 0,
               unit_details[Property Name], B26)
    -
    AVERAGEIFS(unit_details[Asking Rent],
               unit_details[Leased Date], "&gt;=" &amp; ($Q$2 - 14),
               unit_details[Leased Date], "&lt;=" &amp; ($Q$2 - 7),
               unit_details[Beds], 0,
               unit_details[Property Name], B26),
0)</f>
        <v>0</v>
      </c>
      <c r="J26" s="789">
        <f ca="1">IFERROR(I26/AVERAGEIFS(unit_details[Asking Rent],
               unit_details[Leased Date], "&gt;=" &amp; ($Q$2 - 14),
               unit_details[Leased Date], "&lt;=" &amp; ($Q$2 - 7),
               unit_details[Beds], 0,
               unit_details[Property Name], B26),0)</f>
        <v>0</v>
      </c>
      <c r="K26" s="790">
        <f ca="1">COUNTIFS(unit_details[First Listed], "&gt;=" &amp; ($Q$2 - 7),
          unit_details[First Listed], "&lt;" &amp; $Q$2,
          unit_details[Beds], 0,
          unit_details[Property Name], B26)</f>
        <v>0</v>
      </c>
      <c r="L26" s="791">
        <f ca="1">COUNTIFS(
    unit_details[First Listed], "&gt;=" &amp; ($Q$2 - 7),
    unit_details[First Listed], "&lt;" &amp; $Q$2,
    unit_details[Beds], 0,
    unit_details[Property Name], B26
)
-
COUNTIFS(
    unit_details[First Listed], "&gt;=" &amp; ($Q$2 - 14),
    unit_details[First Listed], "&lt;=" &amp; ($Q$2 - 7),
    unit_details[Beds], 0,
    unit_details[Property Name], B26
)</f>
        <v>0</v>
      </c>
      <c r="M26" s="792" t="str">
        <f ca="1">IFERROR(AVERAGEIFS(unit_details[Asking Rent],unit_details[First Listed],"&gt;="&amp;($Q$2-7),
unit_details[First Listed],"&lt;="&amp;$Q$2,
unit_details[Beds],0,
unit_details[Property Name],B26),"")</f>
        <v/>
      </c>
      <c r="N26" s="793">
        <f ca="1">COUNTIFS(unit_details[Property Name], B26,
          unit_details[Beds], 0,
          unit_details[Leased Date], "")</f>
        <v>0</v>
      </c>
      <c r="O26" s="791">
        <f t="shared" ca="1" si="0"/>
        <v>0</v>
      </c>
      <c r="P26" s="792" t="str">
        <f ca="1">IFERROR(AVERAGEIFS(unit_details[Asking Rent],unit_details[Property Name], B26,
          unit_details[Beds], 0,
          unit_details[Leased Date], ""),"")</f>
        <v/>
      </c>
      <c r="Q26" s="794" t="str">
        <f ca="1">IFERROR(N26/SUMIFS(unit_mix_table['# Units],unit_mix_table[Beds],0,unit_mix_table[Property Name],B26),"")</f>
        <v/>
      </c>
    </row>
    <row r="27" spans="2:17" ht="15" x14ac:dyDescent="0.2">
      <c r="B27" s="795" t="s">
        <v>480</v>
      </c>
      <c r="C27" s="830"/>
      <c r="D27" s="796"/>
      <c r="E27" s="797" t="s">
        <v>385</v>
      </c>
      <c r="F27" s="798">
        <f ca="1">COUNTIFS(unit_details[Leased Date], "&gt;=" &amp; ($Q$2 - 7),
          unit_details[Leased Date], "&lt;" &amp; $Q$2,
          unit_details[Beds], 1,
          unit_details[Property Name], B26)</f>
        <v>0</v>
      </c>
      <c r="G27" s="804">
        <f ca="1">COUNTIFS(unit_details[Leased Date], "&gt;=" &amp; ($Q$2 - 7),
          unit_details[Leased Date], "&lt;" &amp; $Q$2,
          unit_details[Beds], 1,
          unit_details[Property Name], B26)
-
COUNTIFS(unit_details[Leased Date], "&gt;=" &amp; ($Q$2 - 14),
         unit_details[Leased Date], "&lt;=" &amp; ($Q$2 - 7),
         unit_details[Beds], 1,
         unit_details[Property Name], B26)</f>
        <v>0</v>
      </c>
      <c r="H27" s="800" t="str">
        <f ca="1">IFERROR(AVERAGEIFS(unit_details[Asking Rent],unit_details[Leased Date], "&gt;=" &amp; ($Q$2 - 7),
          unit_details[Leased Date], "&lt;" &amp; $Q$2,
          unit_details[Beds], 1,
          unit_details[Property Name], B26),"")</f>
        <v/>
      </c>
      <c r="I27" s="801">
        <f ca="1">IFERROR(
    AVERAGEIFS(unit_details[Asking Rent],
               unit_details[Leased Date], "&gt;=" &amp; ($Q$2 - 7),
               unit_details[Leased Date], "&lt;" &amp; $Q$2,
               unit_details[Beds], 1,
               unit_details[Property Name], B26)
    -
    AVERAGEIFS(unit_details[Asking Rent],
               unit_details[Leased Date], "&gt;=" &amp; ($Q$2 - 14),
               unit_details[Leased Date], "&lt;=" &amp; ($Q$2 - 7),
               unit_details[Beds], 1,
               unit_details[Property Name], B26),
0)</f>
        <v>0</v>
      </c>
      <c r="J27" s="802">
        <f ca="1">IFERROR(I27/AVERAGEIFS(unit_details[Asking Rent],
               unit_details[Leased Date], "&gt;=" &amp; ($Q$2 - 14),
               unit_details[Leased Date], "&lt;=" &amp; ($Q$2 - 7),
               unit_details[Beds], 1,
               unit_details[Property Name], B26),0)</f>
        <v>0</v>
      </c>
      <c r="K27" s="803">
        <f ca="1">COUNTIFS(unit_details[First Listed], "&gt;=" &amp; ($Q$2 - 7),
          unit_details[First Listed], "&lt;" &amp; $Q$2,
          unit_details[Beds], 1,
          unit_details[Property Name], B26)</f>
        <v>0</v>
      </c>
      <c r="L27" s="804">
        <f ca="1">COUNTIFS(
    unit_details[First Listed], "&gt;=" &amp; ($Q$2 - 7),
    unit_details[First Listed], "&lt;" &amp; $Q$2,
    unit_details[Beds], 1,
    unit_details[Property Name], B26
)
-
COUNTIFS(
    unit_details[First Listed], "&gt;=" &amp; ($Q$2 - 14),
    unit_details[First Listed], "&lt;=" &amp; ($Q$2 - 7),
    unit_details[Beds], 1,
    unit_details[Property Name], B26
)</f>
        <v>0</v>
      </c>
      <c r="M27" s="805" t="str">
        <f ca="1">IFERROR(AVERAGEIFS(unit_details[Asking Rent],unit_details[First Listed],"&gt;="&amp;($Q$2-7),
unit_details[First Listed],"&lt;="&amp;$Q$2,
unit_details[Beds],1,
unit_details[Property Name],B26),"")</f>
        <v/>
      </c>
      <c r="N27" s="806">
        <f ca="1">COUNTIFS(unit_details[Property Name], B26,
          unit_details[Beds], 1,
          unit_details[Leased Date], "")</f>
        <v>7</v>
      </c>
      <c r="O27" s="804">
        <f t="shared" ca="1" si="0"/>
        <v>0</v>
      </c>
      <c r="P27" s="805">
        <f ca="1">IFERROR(AVERAGEIFS(unit_details[Asking Rent],unit_details[Property Name], B26,
          unit_details[Beds], 1,
          unit_details[Leased Date], ""),"")</f>
        <v>1028.5714285714287</v>
      </c>
      <c r="Q27" s="807">
        <f ca="1">IFERROR(N27/SUMIFS(unit_mix_table['# Units],unit_mix_table[Beds],1,unit_mix_table[Property Name],B26),"")</f>
        <v>2.3333333333333335</v>
      </c>
    </row>
    <row r="28" spans="2:17" ht="15" x14ac:dyDescent="0.2">
      <c r="B28" s="795" t="s">
        <v>405</v>
      </c>
      <c r="C28" s="830"/>
      <c r="D28" s="796"/>
      <c r="E28" s="797" t="s">
        <v>386</v>
      </c>
      <c r="F28" s="798">
        <f ca="1">COUNTIFS(unit_details[Leased Date], "&gt;=" &amp; ($Q$2 - 7),
          unit_details[Leased Date], "&lt;" &amp; $Q$2,
          unit_details[Beds], 2,
          unit_details[Property Name], B26)</f>
        <v>0</v>
      </c>
      <c r="G28" s="804">
        <f ca="1">COUNTIFS(unit_details[Leased Date], "&gt;=" &amp; ($Q$2 - 7),
          unit_details[Leased Date], "&lt;" &amp; $Q$2,
          unit_details[Beds], 2,
          unit_details[Property Name], B26)
-
COUNTIFS(unit_details[Leased Date], "&gt;=" &amp; ($Q$2 - 14),
         unit_details[Leased Date], "&lt;=" &amp; ($Q$2 - 7),
         unit_details[Beds], 2,
         unit_details[Property Name], B26)</f>
        <v>0</v>
      </c>
      <c r="H28" s="800" t="str">
        <f ca="1">IFERROR(AVERAGEIFS(unit_details[Asking Rent],unit_details[Leased Date], "&gt;=" &amp; ($Q$2 - 7),
          unit_details[Leased Date], "&lt;" &amp; $Q$2,
          unit_details[Beds], 2,
          unit_details[Property Name], B26),"")</f>
        <v/>
      </c>
      <c r="I28" s="801">
        <f ca="1">IFERROR(
    AVERAGEIFS(unit_details[Asking Rent],
               unit_details[Leased Date], "&gt;=" &amp; ($Q$2 - 7),
               unit_details[Leased Date], "&lt;" &amp; $Q$2,
               unit_details[Beds], 2,
               unit_details[Property Name], B26)
    -
    AVERAGEIFS(unit_details[Asking Rent],
               unit_details[Leased Date], "&gt;=" &amp; ($Q$2 - 14),
               unit_details[Leased Date], "&lt;=" &amp; ($Q$2 - 7),
               unit_details[Beds], 2,
               unit_details[Property Name], B26),
0)</f>
        <v>0</v>
      </c>
      <c r="J28" s="802">
        <f ca="1">IFERROR(I28/AVERAGEIFS(unit_details[Asking Rent],
               unit_details[Leased Date], "&gt;=" &amp; ($Q$2 - 14),
               unit_details[Leased Date], "&lt;=" &amp; ($Q$2 - 7),
               unit_details[Beds], 2,
               unit_details[Property Name], B26),0)</f>
        <v>0</v>
      </c>
      <c r="K28" s="803">
        <f ca="1">COUNTIFS(unit_details[First Listed], "&gt;=" &amp; ($Q$2 - 7),
          unit_details[First Listed], "&lt;" &amp; $Q$2,
          unit_details[Beds], 2,
          unit_details[Property Name], B26)</f>
        <v>0</v>
      </c>
      <c r="L28" s="804">
        <f ca="1">COUNTIFS(
    unit_details[First Listed], "&gt;=" &amp; ($Q$2 - 7),
    unit_details[First Listed], "&lt;" &amp; $Q$2,
    unit_details[Beds], 2,
    unit_details[Property Name], B26
)
-
COUNTIFS(
    unit_details[First Listed], "&gt;=" &amp; ($Q$2 - 14),
    unit_details[First Listed], "&lt;=" &amp; ($Q$2 - 7),
    unit_details[Beds], 2,
    unit_details[Property Name], B26
)</f>
        <v>0</v>
      </c>
      <c r="M28" s="805" t="str">
        <f ca="1">IFERROR(AVERAGEIFS(unit_details[Asking Rent],unit_details[First Listed],"&gt;="&amp;($Q$2-7),
unit_details[First Listed],"&lt;="&amp;$Q$2,
unit_details[Beds],2,
unit_details[Property Name],B26),"")</f>
        <v/>
      </c>
      <c r="N28" s="806">
        <f ca="1">COUNTIFS(unit_details[Property Name], B26,
          unit_details[Beds], 2,
          unit_details[Leased Date], "")</f>
        <v>9</v>
      </c>
      <c r="O28" s="804">
        <f t="shared" ca="1" si="0"/>
        <v>0</v>
      </c>
      <c r="P28" s="805">
        <f ca="1">IFERROR(AVERAGEIFS(unit_details[Asking Rent],unit_details[Property Name], B26,
          unit_details[Beds], 2,
          unit_details[Leased Date], ""),"")</f>
        <v>1211.1111111111111</v>
      </c>
      <c r="Q28" s="807">
        <f ca="1">IFERROR(N28/SUMIFS(unit_mix_table['# Units],unit_mix_table[Beds],2,unit_mix_table[Property Name],B26),"")</f>
        <v>1.5</v>
      </c>
    </row>
    <row r="29" spans="2:17" ht="16" thickBot="1" x14ac:dyDescent="0.25">
      <c r="B29" s="808" t="s">
        <v>479</v>
      </c>
      <c r="C29" s="831"/>
      <c r="D29" s="809"/>
      <c r="E29" s="810" t="s">
        <v>387</v>
      </c>
      <c r="F29" s="811">
        <f ca="1">COUNTIFS(unit_details[Leased Date], "&gt;=" &amp; ($Q$2 - 7),
          unit_details[Leased Date], "&lt;" &amp; $Q$2,
          unit_details[Beds], 3,
          unit_details[Property Name], B26)</f>
        <v>0</v>
      </c>
      <c r="G29" s="817">
        <f ca="1">COUNTIFS(unit_details[Leased Date], "&gt;=" &amp; ($Q$2 - 7),
          unit_details[Leased Date], "&lt;" &amp; $Q$2,
          unit_details[Beds], 3,
          unit_details[Property Name], B26)
-
COUNTIFS(unit_details[Leased Date], "&gt;=" &amp; ($Q$2 - 14),
         unit_details[Leased Date], "&lt;=" &amp; ($Q$2 - 7),
         unit_details[Beds], 3,
         unit_details[Property Name], B26)</f>
        <v>0</v>
      </c>
      <c r="H29" s="813" t="str">
        <f ca="1">IFERROR(AVERAGEIFS(unit_details[Asking Rent],unit_details[Leased Date], "&gt;=" &amp; ($Q$2 - 7),
          unit_details[Leased Date], "&lt;" &amp; $Q$2,
          unit_details[Beds], 3,
          unit_details[Property Name], B26),"")</f>
        <v/>
      </c>
      <c r="I29" s="814">
        <f ca="1">IFERROR(
    AVERAGEIFS(unit_details[Asking Rent],
               unit_details[Leased Date], "&gt;=" &amp; ($Q$2 - 7),
               unit_details[Leased Date], "&lt;" &amp; $Q$2,
               unit_details[Beds], 3,
               unit_details[Property Name], B26)
    -
    AVERAGEIFS(unit_details[Asking Rent],
               unit_details[Leased Date], "&gt;=" &amp; ($Q$2 - 14),
               unit_details[Leased Date], "&lt;=" &amp; ($Q$2 - 7),
               unit_details[Beds], 3,
               unit_details[Property Name], B26),
0)</f>
        <v>0</v>
      </c>
      <c r="J29" s="815">
        <f ca="1">IFERROR(I29/AVERAGEIFS(unit_details[Asking Rent],
               unit_details[Leased Date], "&gt;=" &amp; ($Q$2 - 14),
               unit_details[Leased Date], "&lt;=" &amp; ($Q$2 - 7),
               unit_details[Beds], 3,
               unit_details[Property Name], B26),0)</f>
        <v>0</v>
      </c>
      <c r="K29" s="816">
        <f ca="1">COUNTIFS(unit_details[First Listed], "&gt;=" &amp; ($Q$2 - 7),
          unit_details[First Listed], "&lt;" &amp; $Q$2,
          unit_details[Beds], 3,
          unit_details[Property Name], B26)</f>
        <v>0</v>
      </c>
      <c r="L29" s="817">
        <f ca="1">COUNTIFS(
    unit_details[First Listed], "&gt;=" &amp; ($Q$2 - 7),
    unit_details[First Listed], "&lt;" &amp; $Q$2,
    unit_details[Beds], 3,
    unit_details[Property Name], B26
)
-
COUNTIFS(
    unit_details[First Listed], "&gt;=" &amp; ($Q$2 - 14),
    unit_details[First Listed], "&lt;=" &amp; ($Q$2 - 7),
    unit_details[Beds], 3,
    unit_details[Property Name], B26
)</f>
        <v>0</v>
      </c>
      <c r="M29" s="818" t="str">
        <f ca="1">IFERROR(AVERAGEIFS(unit_details[Asking Rent],unit_details[First Listed],"&gt;="&amp;($Q$2-7),
unit_details[First Listed],"&lt;="&amp;$Q$2,
unit_details[Beds],3,
unit_details[Property Name],B26),"")</f>
        <v/>
      </c>
      <c r="N29" s="819">
        <f ca="1">COUNTIFS(unit_details[Property Name], B26,
          unit_details[Beds], 3,
          unit_details[Leased Date], "")</f>
        <v>0</v>
      </c>
      <c r="O29" s="817">
        <f t="shared" ca="1" si="0"/>
        <v>0</v>
      </c>
      <c r="P29" s="818" t="str">
        <f ca="1">IFERROR(AVERAGEIFS(unit_details[Asking Rent],unit_details[Property Name], B26,
          unit_details[Beds], 3,
          unit_details[Leased Date], ""),"")</f>
        <v/>
      </c>
      <c r="Q29" s="820" t="str">
        <f ca="1">IFERROR(N29/SUMIFS(unit_mix_table['# Units],unit_mix_table[Beds],3,unit_mix_table[Property Name],B26),"")</f>
        <v/>
      </c>
    </row>
    <row r="30" spans="2:17" ht="15" x14ac:dyDescent="0.2">
      <c r="B30" s="782" t="str">
        <f ca="1">IF(ISBLANK(OFFSET('Rent Comparison'!$A$1,2,11)),"",IF(OFFSET('Rent Comparison'!$A$1,2,11)=0,B31,OFFSET('Rent Comparison'!$A$1,2,11)))</f>
        <v>816 Dodge St, Delta CO</v>
      </c>
      <c r="C30" s="829" t="str">
        <f ca="1">IF(ISBLANK(B30),"",IFERROR(INDEX(Specials!B:J,MATCH(B30&amp;" - Active",Specials!I:I,0),2),""))</f>
        <v/>
      </c>
      <c r="D30" s="783"/>
      <c r="E30" s="784" t="s">
        <v>7</v>
      </c>
      <c r="F30" s="785">
        <f ca="1">COUNTIFS(unit_details[Leased Date], "&gt;=" &amp; ($Q$2 - 7),
          unit_details[Leased Date], "&lt;" &amp; $Q$2,
          unit_details[Beds], 0,
          unit_details[Property Name], B30)</f>
        <v>0</v>
      </c>
      <c r="G30" s="791">
        <f ca="1">COUNTIFS(unit_details[Leased Date], "&gt;=" &amp; ($Q$2 - 7),
          unit_details[Leased Date], "&lt;" &amp; $Q$2,
          unit_details[Beds], 0,
          unit_details[Property Name], B30)
-
COUNTIFS(unit_details[Leased Date], "&gt;=" &amp; ($Q$2 - 14),
         unit_details[Leased Date], "&lt;=" &amp; ($Q$2 - 7),
         unit_details[Beds], 0,
         unit_details[Property Name], B30)</f>
        <v>0</v>
      </c>
      <c r="H30" s="787" t="str">
        <f ca="1">IFERROR(AVERAGEIFS(unit_details[Asking Rent],unit_details[Leased Date], "&gt;=" &amp; ($Q$2 - 7),
          unit_details[Leased Date], "&lt;" &amp; $Q$2,
          unit_details[Beds], 0,
          unit_details[Property Name], B30),"")</f>
        <v/>
      </c>
      <c r="I30" s="788">
        <f ca="1">IFERROR(
    AVERAGEIFS(unit_details[Asking Rent],
               unit_details[Leased Date], "&gt;=" &amp; ($Q$2 - 7),
               unit_details[Leased Date], "&lt;" &amp; $Q$2,
               unit_details[Beds], 0,
               unit_details[Property Name], B30)
    -
    AVERAGEIFS(unit_details[Asking Rent],
               unit_details[Leased Date], "&gt;=" &amp; ($Q$2 - 14),
               unit_details[Leased Date], "&lt;=" &amp; ($Q$2 - 7),
               unit_details[Beds], 0,
               unit_details[Property Name], B30),
0)</f>
        <v>0</v>
      </c>
      <c r="J30" s="789">
        <f ca="1">IFERROR(I30/AVERAGEIFS(unit_details[Asking Rent],
               unit_details[Leased Date], "&gt;=" &amp; ($Q$2 - 14),
               unit_details[Leased Date], "&lt;=" &amp; ($Q$2 - 7),
               unit_details[Beds], 0,
               unit_details[Property Name], B30),0)</f>
        <v>0</v>
      </c>
      <c r="K30" s="790">
        <f ca="1">COUNTIFS(unit_details[First Listed], "&gt;=" &amp; ($Q$2 - 7),
          unit_details[First Listed], "&lt;" &amp; $Q$2,
          unit_details[Beds], 0,
          unit_details[Property Name], B30)</f>
        <v>0</v>
      </c>
      <c r="L30" s="791">
        <f ca="1">COUNTIFS(
    unit_details[First Listed], "&gt;=" &amp; ($Q$2 - 7),
    unit_details[First Listed], "&lt;" &amp; $Q$2,
    unit_details[Beds], 0,
    unit_details[Property Name], B30
)
-
COUNTIFS(
    unit_details[First Listed], "&gt;=" &amp; ($Q$2 - 14),
    unit_details[First Listed], "&lt;=" &amp; ($Q$2 - 7),
    unit_details[Beds], 0,
    unit_details[Property Name], B30
)</f>
        <v>0</v>
      </c>
      <c r="M30" s="792" t="str">
        <f ca="1">IFERROR(AVERAGEIFS(unit_details[Asking Rent],unit_details[First Listed],"&gt;="&amp;($Q$2-7),
unit_details[First Listed],"&lt;="&amp;$Q$2,
unit_details[Beds],0,
unit_details[Property Name],B30),"")</f>
        <v/>
      </c>
      <c r="N30" s="793">
        <f ca="1">COUNTIFS(unit_details[Property Name], B30,
          unit_details[Beds], 0,
          unit_details[Leased Date], "")</f>
        <v>0</v>
      </c>
      <c r="O30" s="791">
        <f t="shared" ca="1" si="0"/>
        <v>0</v>
      </c>
      <c r="P30" s="792" t="str">
        <f ca="1">IFERROR(AVERAGEIFS(unit_details[Asking Rent],unit_details[Property Name], B30,
          unit_details[Beds], 0,
          unit_details[Leased Date], ""),"")</f>
        <v/>
      </c>
      <c r="Q30" s="794" t="str">
        <f ca="1">IFERROR(N30/SUMIFS(unit_mix_table['# Units],unit_mix_table[Beds],0,unit_mix_table[Property Name],B30),"")</f>
        <v/>
      </c>
    </row>
    <row r="31" spans="2:17" ht="15" x14ac:dyDescent="0.2">
      <c r="B31" s="795" t="s">
        <v>481</v>
      </c>
      <c r="C31" s="830"/>
      <c r="D31" s="796"/>
      <c r="E31" s="797" t="s">
        <v>385</v>
      </c>
      <c r="F31" s="798">
        <f ca="1">COUNTIFS(unit_details[Leased Date], "&gt;=" &amp; ($Q$2 - 7),
          unit_details[Leased Date], "&lt;" &amp; $Q$2,
          unit_details[Beds], 1,
          unit_details[Property Name], B30)</f>
        <v>0</v>
      </c>
      <c r="G31" s="804">
        <f ca="1">COUNTIFS(unit_details[Leased Date], "&gt;=" &amp; ($Q$2 - 7),
          unit_details[Leased Date], "&lt;" &amp; $Q$2,
          unit_details[Beds], 1,
          unit_details[Property Name], B30)
-
COUNTIFS(unit_details[Leased Date], "&gt;=" &amp; ($Q$2 - 14),
         unit_details[Leased Date], "&lt;=" &amp; ($Q$2 - 7),
         unit_details[Beds], 1,
         unit_details[Property Name], B30)</f>
        <v>0</v>
      </c>
      <c r="H31" s="800" t="str">
        <f ca="1">IFERROR(AVERAGEIFS(unit_details[Asking Rent],unit_details[Leased Date], "&gt;=" &amp; ($Q$2 - 7),
          unit_details[Leased Date], "&lt;" &amp; $Q$2,
          unit_details[Beds], 1,
          unit_details[Property Name], B30),"")</f>
        <v/>
      </c>
      <c r="I31" s="801">
        <f ca="1">IFERROR(
    AVERAGEIFS(unit_details[Asking Rent],
               unit_details[Leased Date], "&gt;=" &amp; ($Q$2 - 7),
               unit_details[Leased Date], "&lt;" &amp; $Q$2,
               unit_details[Beds], 1,
               unit_details[Property Name], B30)
    -
    AVERAGEIFS(unit_details[Asking Rent],
               unit_details[Leased Date], "&gt;=" &amp; ($Q$2 - 14),
               unit_details[Leased Date], "&lt;=" &amp; ($Q$2 - 7),
               unit_details[Beds], 1,
               unit_details[Property Name], B30),
0)</f>
        <v>0</v>
      </c>
      <c r="J31" s="802">
        <f ca="1">IFERROR(I31/AVERAGEIFS(unit_details[Asking Rent],
               unit_details[Leased Date], "&gt;=" &amp; ($Q$2 - 14),
               unit_details[Leased Date], "&lt;=" &amp; ($Q$2 - 7),
               unit_details[Beds], 1,
               unit_details[Property Name], B30),0)</f>
        <v>0</v>
      </c>
      <c r="K31" s="803">
        <f ca="1">COUNTIFS(unit_details[First Listed], "&gt;=" &amp; ($Q$2 - 7),
          unit_details[First Listed], "&lt;" &amp; $Q$2,
          unit_details[Beds], 1,
          unit_details[Property Name], B30)</f>
        <v>0</v>
      </c>
      <c r="L31" s="804">
        <f ca="1">COUNTIFS(
    unit_details[First Listed], "&gt;=" &amp; ($Q$2 - 7),
    unit_details[First Listed], "&lt;" &amp; $Q$2,
    unit_details[Beds], 1,
    unit_details[Property Name], B30
)
-
COUNTIFS(
    unit_details[First Listed], "&gt;=" &amp; ($Q$2 - 14),
    unit_details[First Listed], "&lt;=" &amp; ($Q$2 - 7),
    unit_details[Beds], 1,
    unit_details[Property Name], B30
)</f>
        <v>0</v>
      </c>
      <c r="M31" s="805" t="str">
        <f ca="1">IFERROR(AVERAGEIFS(unit_details[Asking Rent],unit_details[First Listed],"&gt;="&amp;($Q$2-7),
unit_details[First Listed],"&lt;="&amp;$Q$2,
unit_details[Beds],1,
unit_details[Property Name],B30),"")</f>
        <v/>
      </c>
      <c r="N31" s="806">
        <f ca="1">COUNTIFS(unit_details[Property Name], B30,
          unit_details[Beds], 1,
          unit_details[Leased Date], "")</f>
        <v>0</v>
      </c>
      <c r="O31" s="804">
        <f t="shared" ca="1" si="0"/>
        <v>0</v>
      </c>
      <c r="P31" s="805" t="str">
        <f ca="1">IFERROR(AVERAGEIFS(unit_details[Asking Rent],unit_details[Property Name], B30,
          unit_details[Beds], 1,
          unit_details[Leased Date], ""),"")</f>
        <v/>
      </c>
      <c r="Q31" s="807" t="str">
        <f ca="1">IFERROR(N31/SUMIFS(unit_mix_table['# Units],unit_mix_table[Beds],1,unit_mix_table[Property Name],B30),"")</f>
        <v/>
      </c>
    </row>
    <row r="32" spans="2:17" ht="15" x14ac:dyDescent="0.2">
      <c r="B32" s="795" t="s">
        <v>405</v>
      </c>
      <c r="C32" s="830"/>
      <c r="D32" s="796"/>
      <c r="E32" s="797" t="s">
        <v>386</v>
      </c>
      <c r="F32" s="798">
        <f ca="1">COUNTIFS(unit_details[Leased Date], "&gt;=" &amp; ($Q$2 - 7),
          unit_details[Leased Date], "&lt;" &amp; $Q$2,
          unit_details[Beds], 2,
          unit_details[Property Name], B30)</f>
        <v>0</v>
      </c>
      <c r="G32" s="804">
        <f ca="1">COUNTIFS(unit_details[Leased Date], "&gt;=" &amp; ($Q$2 - 7),
          unit_details[Leased Date], "&lt;" &amp; $Q$2,
          unit_details[Beds], 2,
          unit_details[Property Name], B30)
-
COUNTIFS(unit_details[Leased Date], "&gt;=" &amp; ($Q$2 - 14),
         unit_details[Leased Date], "&lt;=" &amp; ($Q$2 - 7),
         unit_details[Beds], 2,
         unit_details[Property Name], B30)</f>
        <v>0</v>
      </c>
      <c r="H32" s="800" t="str">
        <f ca="1">IFERROR(AVERAGEIFS(unit_details[Asking Rent],unit_details[Leased Date], "&gt;=" &amp; ($Q$2 - 7),
          unit_details[Leased Date], "&lt;" &amp; $Q$2,
          unit_details[Beds], 2,
          unit_details[Property Name], B30),"")</f>
        <v/>
      </c>
      <c r="I32" s="801">
        <f ca="1">IFERROR(
    AVERAGEIFS(unit_details[Asking Rent],
               unit_details[Leased Date], "&gt;=" &amp; ($Q$2 - 7),
               unit_details[Leased Date], "&lt;" &amp; $Q$2,
               unit_details[Beds], 2,
               unit_details[Property Name], B30)
    -
    AVERAGEIFS(unit_details[Asking Rent],
               unit_details[Leased Date], "&gt;=" &amp; ($Q$2 - 14),
               unit_details[Leased Date], "&lt;=" &amp; ($Q$2 - 7),
               unit_details[Beds], 2,
               unit_details[Property Name], B30),
0)</f>
        <v>0</v>
      </c>
      <c r="J32" s="802">
        <f ca="1">IFERROR(I32/AVERAGEIFS(unit_details[Asking Rent],
               unit_details[Leased Date], "&gt;=" &amp; ($Q$2 - 14),
               unit_details[Leased Date], "&lt;=" &amp; ($Q$2 - 7),
               unit_details[Beds], 2,
               unit_details[Property Name], B30),0)</f>
        <v>0</v>
      </c>
      <c r="K32" s="803">
        <f ca="1">COUNTIFS(unit_details[First Listed], "&gt;=" &amp; ($Q$2 - 7),
          unit_details[First Listed], "&lt;" &amp; $Q$2,
          unit_details[Beds], 2,
          unit_details[Property Name], B30)</f>
        <v>0</v>
      </c>
      <c r="L32" s="804">
        <f ca="1">COUNTIFS(
    unit_details[First Listed], "&gt;=" &amp; ($Q$2 - 7),
    unit_details[First Listed], "&lt;" &amp; $Q$2,
    unit_details[Beds], 2,
    unit_details[Property Name], B30
)
-
COUNTIFS(
    unit_details[First Listed], "&gt;=" &amp; ($Q$2 - 14),
    unit_details[First Listed], "&lt;=" &amp; ($Q$2 - 7),
    unit_details[Beds], 2,
    unit_details[Property Name], B30
)</f>
        <v>0</v>
      </c>
      <c r="M32" s="805" t="str">
        <f ca="1">IFERROR(AVERAGEIFS(unit_details[Asking Rent],unit_details[First Listed],"&gt;="&amp;($Q$2-7),
unit_details[First Listed],"&lt;="&amp;$Q$2,
unit_details[Beds],2,
unit_details[Property Name],B30),"")</f>
        <v/>
      </c>
      <c r="N32" s="806">
        <f ca="1">COUNTIFS(unit_details[Property Name], B30,
          unit_details[Beds], 2,
          unit_details[Leased Date], "")</f>
        <v>0</v>
      </c>
      <c r="O32" s="804">
        <f t="shared" ca="1" si="0"/>
        <v>0</v>
      </c>
      <c r="P32" s="805" t="str">
        <f ca="1">IFERROR(AVERAGEIFS(unit_details[Asking Rent],unit_details[Property Name], B30,
          unit_details[Beds], 2,
          unit_details[Leased Date], ""),"")</f>
        <v/>
      </c>
      <c r="Q32" s="807" t="str">
        <f ca="1">IFERROR(N32/SUMIFS(unit_mix_table['# Units],unit_mix_table[Beds],2,unit_mix_table[Property Name],B30),"")</f>
        <v/>
      </c>
    </row>
    <row r="33" spans="2:17" ht="16" thickBot="1" x14ac:dyDescent="0.25">
      <c r="B33" s="808" t="s">
        <v>405</v>
      </c>
      <c r="C33" s="831"/>
      <c r="D33" s="809"/>
      <c r="E33" s="810" t="s">
        <v>387</v>
      </c>
      <c r="F33" s="811">
        <f ca="1">COUNTIFS(unit_details[Leased Date], "&gt;=" &amp; ($Q$2 - 7),
          unit_details[Leased Date], "&lt;" &amp; $Q$2,
          unit_details[Beds], 3,
          unit_details[Property Name], B30)</f>
        <v>0</v>
      </c>
      <c r="G33" s="817">
        <f ca="1">COUNTIFS(unit_details[Leased Date], "&gt;=" &amp; ($Q$2 - 7),
          unit_details[Leased Date], "&lt;" &amp; $Q$2,
          unit_details[Beds], 3,
          unit_details[Property Name], B30)
-
COUNTIFS(unit_details[Leased Date], "&gt;=" &amp; ($Q$2 - 14),
         unit_details[Leased Date], "&lt;=" &amp; ($Q$2 - 7),
         unit_details[Beds], 3,
         unit_details[Property Name], B30)</f>
        <v>0</v>
      </c>
      <c r="H33" s="813" t="str">
        <f ca="1">IFERROR(AVERAGEIFS(unit_details[Asking Rent],unit_details[Leased Date], "&gt;=" &amp; ($Q$2 - 7),
          unit_details[Leased Date], "&lt;" &amp; $Q$2,
          unit_details[Beds], 3,
          unit_details[Property Name], B30),"")</f>
        <v/>
      </c>
      <c r="I33" s="814">
        <f ca="1">IFERROR(
    AVERAGEIFS(unit_details[Asking Rent],
               unit_details[Leased Date], "&gt;=" &amp; ($Q$2 - 7),
               unit_details[Leased Date], "&lt;" &amp; $Q$2,
               unit_details[Beds], 3,
               unit_details[Property Name], B30)
    -
    AVERAGEIFS(unit_details[Asking Rent],
               unit_details[Leased Date], "&gt;=" &amp; ($Q$2 - 14),
               unit_details[Leased Date], "&lt;=" &amp; ($Q$2 - 7),
               unit_details[Beds], 3,
               unit_details[Property Name], B30),
0)</f>
        <v>0</v>
      </c>
      <c r="J33" s="815">
        <f ca="1">IFERROR(I33/AVERAGEIFS(unit_details[Asking Rent],
               unit_details[Leased Date], "&gt;=" &amp; ($Q$2 - 14),
               unit_details[Leased Date], "&lt;=" &amp; ($Q$2 - 7),
               unit_details[Beds], 3,
               unit_details[Property Name], B30),0)</f>
        <v>0</v>
      </c>
      <c r="K33" s="816">
        <f ca="1">COUNTIFS(unit_details[First Listed], "&gt;=" &amp; ($Q$2 - 7),
          unit_details[First Listed], "&lt;" &amp; $Q$2,
          unit_details[Beds], 3,
          unit_details[Property Name], B30)</f>
        <v>0</v>
      </c>
      <c r="L33" s="817">
        <f ca="1">COUNTIFS(
    unit_details[First Listed], "&gt;=" &amp; ($Q$2 - 7),
    unit_details[First Listed], "&lt;" &amp; $Q$2,
    unit_details[Beds], 3,
    unit_details[Property Name], B30
)
-
COUNTIFS(
    unit_details[First Listed], "&gt;=" &amp; ($Q$2 - 14),
    unit_details[First Listed], "&lt;=" &amp; ($Q$2 - 7),
    unit_details[Beds], 3,
    unit_details[Property Name], B30
)</f>
        <v>0</v>
      </c>
      <c r="M33" s="818" t="str">
        <f ca="1">IFERROR(AVERAGEIFS(unit_details[Asking Rent],unit_details[First Listed],"&gt;="&amp;($Q$2-7),
unit_details[First Listed],"&lt;="&amp;$Q$2,
unit_details[Beds],3,
unit_details[Property Name],B30),"")</f>
        <v/>
      </c>
      <c r="N33" s="819">
        <f ca="1">COUNTIFS(unit_details[Property Name], B30,
          unit_details[Beds], 3,
          unit_details[Leased Date], "")</f>
        <v>0</v>
      </c>
      <c r="O33" s="817">
        <f t="shared" ca="1" si="0"/>
        <v>0</v>
      </c>
      <c r="P33" s="818" t="str">
        <f ca="1">IFERROR(AVERAGEIFS(unit_details[Asking Rent],unit_details[Property Name], B30,
          unit_details[Beds], 3,
          unit_details[Leased Date], ""),"")</f>
        <v/>
      </c>
      <c r="Q33" s="820" t="str">
        <f ca="1">IFERROR(N33/SUMIFS(unit_mix_table['# Units],unit_mix_table[Beds],3,unit_mix_table[Property Name],B30),"")</f>
        <v/>
      </c>
    </row>
    <row r="34" spans="2:17" ht="15" x14ac:dyDescent="0.2">
      <c r="B34" s="782" t="str">
        <f ca="1">IF(ISBLANK(OFFSET('Rent Comparison'!$A$1,2,12)),"",IF(OFFSET('Rent Comparison'!$A$1,2,12)=0,B35,OFFSET('Rent Comparison'!$A$1,2,12)))</f>
        <v/>
      </c>
      <c r="C34" s="829" t="str">
        <f ca="1">IF(ISBLANK(B34),"",IFERROR(INDEX(Specials!B:J,MATCH(B34&amp;" - Active",Specials!I:I,0),2),""))</f>
        <v/>
      </c>
      <c r="D34" s="783"/>
      <c r="E34" s="784" t="s">
        <v>7</v>
      </c>
      <c r="F34" s="785">
        <f ca="1">COUNTIFS(unit_details[Leased Date], "&gt;=" &amp; ($Q$2 - 7),
          unit_details[Leased Date], "&lt;" &amp; $Q$2,
          unit_details[Beds], 0,
          unit_details[Property Name], B34)</f>
        <v>0</v>
      </c>
      <c r="G34" s="791">
        <f ca="1">COUNTIFS(unit_details[Leased Date], "&gt;=" &amp; ($Q$2 - 7),
          unit_details[Leased Date], "&lt;" &amp; $Q$2,
          unit_details[Beds], 0,
          unit_details[Property Name], B34)
-
COUNTIFS(unit_details[Leased Date], "&gt;=" &amp; ($Q$2 - 14),
         unit_details[Leased Date], "&lt;=" &amp; ($Q$2 - 7),
         unit_details[Beds], 0,
         unit_details[Property Name], B34)</f>
        <v>0</v>
      </c>
      <c r="H34" s="787" t="str">
        <f ca="1">IFERROR(AVERAGEIFS(unit_details[Asking Rent],unit_details[Leased Date], "&gt;=" &amp; ($Q$2 - 7),
          unit_details[Leased Date], "&lt;" &amp; $Q$2,
          unit_details[Beds], 0,
          unit_details[Property Name], B34),"")</f>
        <v/>
      </c>
      <c r="I34" s="788">
        <f ca="1">IFERROR(
    AVERAGEIFS(unit_details[Asking Rent],
               unit_details[Leased Date], "&gt;=" &amp; ($Q$2 - 7),
               unit_details[Leased Date], "&lt;" &amp; $Q$2,
               unit_details[Beds], 0,
               unit_details[Property Name], B34)
    -
    AVERAGEIFS(unit_details[Asking Rent],
               unit_details[Leased Date], "&gt;=" &amp; ($Q$2 - 14),
               unit_details[Leased Date], "&lt;=" &amp; ($Q$2 - 7),
               unit_details[Beds], 0,
               unit_details[Property Name], B34),
0)</f>
        <v>0</v>
      </c>
      <c r="J34" s="789">
        <f ca="1">IFERROR(I34/AVERAGEIFS(unit_details[Asking Rent],
               unit_details[Leased Date], "&gt;=" &amp; ($Q$2 - 14),
               unit_details[Leased Date], "&lt;=" &amp; ($Q$2 - 7),
               unit_details[Beds], 0,
               unit_details[Property Name], B34),0)</f>
        <v>0</v>
      </c>
      <c r="K34" s="790">
        <f ca="1">COUNTIFS(unit_details[First Listed], "&gt;=" &amp; ($Q$2 - 7),
          unit_details[First Listed], "&lt;" &amp; $Q$2,
          unit_details[Beds], 0,
          unit_details[Property Name], B34)</f>
        <v>0</v>
      </c>
      <c r="L34" s="791">
        <f ca="1">COUNTIFS(
    unit_details[First Listed], "&gt;=" &amp; ($Q$2 - 7),
    unit_details[First Listed], "&lt;" &amp; $Q$2,
    unit_details[Beds], 0,
    unit_details[Property Name], B34
)
-
COUNTIFS(
    unit_details[First Listed], "&gt;=" &amp; ($Q$2 - 14),
    unit_details[First Listed], "&lt;=" &amp; ($Q$2 - 7),
    unit_details[Beds], 0,
    unit_details[Property Name], B34
)</f>
        <v>0</v>
      </c>
      <c r="M34" s="792" t="str">
        <f ca="1">IFERROR(AVERAGEIFS(unit_details[Asking Rent],unit_details[First Listed],"&gt;="&amp;($Q$2-7),
unit_details[First Listed],"&lt;="&amp;$Q$2,
unit_details[Beds],0,
unit_details[Property Name],B34),"")</f>
        <v/>
      </c>
      <c r="N34" s="793">
        <f ca="1">COUNTIFS(unit_details[Property Name], B34,
          unit_details[Beds], 0,
          unit_details[Leased Date], "")</f>
        <v>0</v>
      </c>
      <c r="O34" s="791">
        <f t="shared" ca="1" si="0"/>
        <v>0</v>
      </c>
      <c r="P34" s="792" t="str">
        <f ca="1">IFERROR(AVERAGEIFS(unit_details[Asking Rent],unit_details[Property Name], B34,
          unit_details[Beds], 0,
          unit_details[Leased Date], ""),"")</f>
        <v/>
      </c>
      <c r="Q34" s="794" t="str">
        <f ca="1">IFERROR(N34/SUMIFS(unit_mix_table['# Units],unit_mix_table[Beds],0,unit_mix_table[Property Name],B34),"")</f>
        <v/>
      </c>
    </row>
    <row r="35" spans="2:17" ht="15" x14ac:dyDescent="0.2">
      <c r="B35" s="795" t="s">
        <v>482</v>
      </c>
      <c r="C35" s="830"/>
      <c r="D35" s="796"/>
      <c r="E35" s="797" t="s">
        <v>385</v>
      </c>
      <c r="F35" s="798">
        <f ca="1">COUNTIFS(unit_details[Leased Date], "&gt;=" &amp; ($Q$2 - 7),
          unit_details[Leased Date], "&lt;" &amp; $Q$2,
          unit_details[Beds], 1,
          unit_details[Property Name], B34)</f>
        <v>0</v>
      </c>
      <c r="G35" s="804">
        <f ca="1">COUNTIFS(unit_details[Leased Date], "&gt;=" &amp; ($Q$2 - 7),
          unit_details[Leased Date], "&lt;" &amp; $Q$2,
          unit_details[Beds], 1,
          unit_details[Property Name], B34)
-
COUNTIFS(unit_details[Leased Date], "&gt;=" &amp; ($Q$2 - 14),
         unit_details[Leased Date], "&lt;=" &amp; ($Q$2 - 7),
         unit_details[Beds], 1,
         unit_details[Property Name], B34)</f>
        <v>0</v>
      </c>
      <c r="H35" s="800" t="str">
        <f ca="1">IFERROR(AVERAGEIFS(unit_details[Asking Rent],unit_details[Leased Date], "&gt;=" &amp; ($Q$2 - 7),
          unit_details[Leased Date], "&lt;" &amp; $Q$2,
          unit_details[Beds], 1,
          unit_details[Property Name], B34),"")</f>
        <v/>
      </c>
      <c r="I35" s="801">
        <f ca="1">IFERROR(
    AVERAGEIFS(unit_details[Asking Rent],
               unit_details[Leased Date], "&gt;=" &amp; ($Q$2 - 7),
               unit_details[Leased Date], "&lt;" &amp; $Q$2,
               unit_details[Beds], 1,
               unit_details[Property Name], B34)
    -
    AVERAGEIFS(unit_details[Asking Rent],
               unit_details[Leased Date], "&gt;=" &amp; ($Q$2 - 14),
               unit_details[Leased Date], "&lt;=" &amp; ($Q$2 - 7),
               unit_details[Beds], 1,
               unit_details[Property Name], B34),
0)</f>
        <v>0</v>
      </c>
      <c r="J35" s="802">
        <f ca="1">IFERROR(I35/AVERAGEIFS(unit_details[Asking Rent],
               unit_details[Leased Date], "&gt;=" &amp; ($Q$2 - 14),
               unit_details[Leased Date], "&lt;=" &amp; ($Q$2 - 7),
               unit_details[Beds], 1,
               unit_details[Property Name], B34),0)</f>
        <v>0</v>
      </c>
      <c r="K35" s="803">
        <f ca="1">COUNTIFS(unit_details[First Listed], "&gt;=" &amp; ($Q$2 - 7),
          unit_details[First Listed], "&lt;" &amp; $Q$2,
          unit_details[Beds], 1,
          unit_details[Property Name], B34)</f>
        <v>0</v>
      </c>
      <c r="L35" s="804">
        <f ca="1">COUNTIFS(
    unit_details[First Listed], "&gt;=" &amp; ($Q$2 - 7),
    unit_details[First Listed], "&lt;" &amp; $Q$2,
    unit_details[Beds], 1,
    unit_details[Property Name], B34
)
-
COUNTIFS(
    unit_details[First Listed], "&gt;=" &amp; ($Q$2 - 14),
    unit_details[First Listed], "&lt;=" &amp; ($Q$2 - 7),
    unit_details[Beds], 1,
    unit_details[Property Name], B34
)</f>
        <v>0</v>
      </c>
      <c r="M35" s="805" t="str">
        <f ca="1">IFERROR(AVERAGEIFS(unit_details[Asking Rent],unit_details[First Listed],"&gt;="&amp;($Q$2-7),
unit_details[First Listed],"&lt;="&amp;$Q$2,
unit_details[Beds],1,
unit_details[Property Name],B34),"")</f>
        <v/>
      </c>
      <c r="N35" s="806">
        <f ca="1">COUNTIFS(unit_details[Property Name], B34,
          unit_details[Beds], 1,
          unit_details[Leased Date], "")</f>
        <v>7</v>
      </c>
      <c r="O35" s="804">
        <f t="shared" ca="1" si="0"/>
        <v>0</v>
      </c>
      <c r="P35" s="805">
        <f ca="1">IFERROR(AVERAGEIFS(unit_details[Asking Rent],unit_details[Property Name], B34,
          unit_details[Beds], 1,
          unit_details[Leased Date], ""),"")</f>
        <v>1028.5714285714287</v>
      </c>
      <c r="Q35" s="807">
        <f ca="1">IFERROR(N35/SUMIFS(unit_mix_table['# Units],unit_mix_table[Beds],1,unit_mix_table[Property Name],B34),"")</f>
        <v>2.3333333333333335</v>
      </c>
    </row>
    <row r="36" spans="2:17" ht="15" x14ac:dyDescent="0.2">
      <c r="B36" s="795" t="s">
        <v>405</v>
      </c>
      <c r="C36" s="830"/>
      <c r="D36" s="796"/>
      <c r="E36" s="797" t="s">
        <v>386</v>
      </c>
      <c r="F36" s="798">
        <f ca="1">COUNTIFS(unit_details[Leased Date], "&gt;=" &amp; ($Q$2 - 7),
          unit_details[Leased Date], "&lt;" &amp; $Q$2,
          unit_details[Beds], 2,
          unit_details[Property Name], B34)</f>
        <v>0</v>
      </c>
      <c r="G36" s="804">
        <f ca="1">COUNTIFS(unit_details[Leased Date], "&gt;=" &amp; ($Q$2 - 7),
          unit_details[Leased Date], "&lt;" &amp; $Q$2,
          unit_details[Beds], 2,
          unit_details[Property Name], B34)
-
COUNTIFS(unit_details[Leased Date], "&gt;=" &amp; ($Q$2 - 14),
         unit_details[Leased Date], "&lt;=" &amp; ($Q$2 - 7),
         unit_details[Beds], 2,
         unit_details[Property Name], B34)</f>
        <v>0</v>
      </c>
      <c r="H36" s="800" t="str">
        <f ca="1">IFERROR(AVERAGEIFS(unit_details[Asking Rent],unit_details[Leased Date], "&gt;=" &amp; ($Q$2 - 7),
          unit_details[Leased Date], "&lt;" &amp; $Q$2,
          unit_details[Beds], 2,
          unit_details[Property Name], B34),"")</f>
        <v/>
      </c>
      <c r="I36" s="801">
        <f ca="1">IFERROR(
    AVERAGEIFS(unit_details[Asking Rent],
               unit_details[Leased Date], "&gt;=" &amp; ($Q$2 - 7),
               unit_details[Leased Date], "&lt;" &amp; $Q$2,
               unit_details[Beds], 2,
               unit_details[Property Name], B34)
    -
    AVERAGEIFS(unit_details[Asking Rent],
               unit_details[Leased Date], "&gt;=" &amp; ($Q$2 - 14),
               unit_details[Leased Date], "&lt;=" &amp; ($Q$2 - 7),
               unit_details[Beds], 2,
               unit_details[Property Name], B34),
0)</f>
        <v>0</v>
      </c>
      <c r="J36" s="802">
        <f ca="1">IFERROR(I36/AVERAGEIFS(unit_details[Asking Rent],
               unit_details[Leased Date], "&gt;=" &amp; ($Q$2 - 14),
               unit_details[Leased Date], "&lt;=" &amp; ($Q$2 - 7),
               unit_details[Beds], 2,
               unit_details[Property Name], B34),0)</f>
        <v>0</v>
      </c>
      <c r="K36" s="803">
        <f ca="1">COUNTIFS(unit_details[First Listed], "&gt;=" &amp; ($Q$2 - 7),
          unit_details[First Listed], "&lt;" &amp; $Q$2,
          unit_details[Beds], 2,
          unit_details[Property Name], B34)</f>
        <v>0</v>
      </c>
      <c r="L36" s="804">
        <f ca="1">COUNTIFS(
    unit_details[First Listed], "&gt;=" &amp; ($Q$2 - 7),
    unit_details[First Listed], "&lt;" &amp; $Q$2,
    unit_details[Beds], 2,
    unit_details[Property Name], B34
)
-
COUNTIFS(
    unit_details[First Listed], "&gt;=" &amp; ($Q$2 - 14),
    unit_details[First Listed], "&lt;=" &amp; ($Q$2 - 7),
    unit_details[Beds], 2,
    unit_details[Property Name], B34
)</f>
        <v>0</v>
      </c>
      <c r="M36" s="805" t="str">
        <f ca="1">IFERROR(AVERAGEIFS(unit_details[Asking Rent],unit_details[First Listed],"&gt;="&amp;($Q$2-7),
unit_details[First Listed],"&lt;="&amp;$Q$2,
unit_details[Beds],2,
unit_details[Property Name],B34),"")</f>
        <v/>
      </c>
      <c r="N36" s="806">
        <f ca="1">COUNTIFS(unit_details[Property Name], B34,
          unit_details[Beds], 2,
          unit_details[Leased Date], "")</f>
        <v>9</v>
      </c>
      <c r="O36" s="804">
        <f t="shared" ca="1" si="0"/>
        <v>0</v>
      </c>
      <c r="P36" s="805">
        <f ca="1">IFERROR(AVERAGEIFS(unit_details[Asking Rent],unit_details[Property Name], B34,
          unit_details[Beds], 2,
          unit_details[Leased Date], ""),"")</f>
        <v>1211.1111111111111</v>
      </c>
      <c r="Q36" s="807">
        <f ca="1">IFERROR(N36/SUMIFS(unit_mix_table['# Units],unit_mix_table[Beds],2,unit_mix_table[Property Name],B34),"")</f>
        <v>1.5</v>
      </c>
    </row>
    <row r="37" spans="2:17" ht="16" thickBot="1" x14ac:dyDescent="0.25">
      <c r="B37" s="808" t="s">
        <v>405</v>
      </c>
      <c r="C37" s="831"/>
      <c r="D37" s="809"/>
      <c r="E37" s="810" t="s">
        <v>387</v>
      </c>
      <c r="F37" s="811">
        <f ca="1">COUNTIFS(unit_details[Leased Date], "&gt;=" &amp; ($Q$2 - 7),
          unit_details[Leased Date], "&lt;" &amp; $Q$2,
          unit_details[Beds], 3,
          unit_details[Property Name], B34)</f>
        <v>0</v>
      </c>
      <c r="G37" s="817">
        <f ca="1">COUNTIFS(unit_details[Leased Date], "&gt;=" &amp; ($Q$2 - 7),
          unit_details[Leased Date], "&lt;" &amp; $Q$2,
          unit_details[Beds], 3,
          unit_details[Property Name], B34)
-
COUNTIFS(unit_details[Leased Date], "&gt;=" &amp; ($Q$2 - 14),
         unit_details[Leased Date], "&lt;=" &amp; ($Q$2 - 7),
         unit_details[Beds], 3,
         unit_details[Property Name], B34)</f>
        <v>0</v>
      </c>
      <c r="H37" s="813" t="str">
        <f ca="1">IFERROR(AVERAGEIFS(unit_details[Asking Rent],unit_details[Leased Date], "&gt;=" &amp; ($Q$2 - 7),
          unit_details[Leased Date], "&lt;" &amp; $Q$2,
          unit_details[Beds], 3,
          unit_details[Property Name], B34),"")</f>
        <v/>
      </c>
      <c r="I37" s="814">
        <f ca="1">IFERROR(
    AVERAGEIFS(unit_details[Asking Rent],
               unit_details[Leased Date], "&gt;=" &amp; ($Q$2 - 7),
               unit_details[Leased Date], "&lt;" &amp; $Q$2,
               unit_details[Beds], 3,
               unit_details[Property Name], B34)
    -
    AVERAGEIFS(unit_details[Asking Rent],
               unit_details[Leased Date], "&gt;=" &amp; ($Q$2 - 14),
               unit_details[Leased Date], "&lt;=" &amp; ($Q$2 - 7),
               unit_details[Beds], 3,
               unit_details[Property Name], B34),
0)</f>
        <v>0</v>
      </c>
      <c r="J37" s="815">
        <f ca="1">IFERROR(I37/AVERAGEIFS(unit_details[Asking Rent],
               unit_details[Leased Date], "&gt;=" &amp; ($Q$2 - 14),
               unit_details[Leased Date], "&lt;=" &amp; ($Q$2 - 7),
               unit_details[Beds], 3,
               unit_details[Property Name], B34),0)</f>
        <v>0</v>
      </c>
      <c r="K37" s="816">
        <f ca="1">COUNTIFS(unit_details[First Listed], "&gt;=" &amp; ($Q$2 - 7),
          unit_details[First Listed], "&lt;" &amp; $Q$2,
          unit_details[Beds], 3,
          unit_details[Property Name], B34)</f>
        <v>0</v>
      </c>
      <c r="L37" s="817">
        <f ca="1">COUNTIFS(
    unit_details[First Listed], "&gt;=" &amp; ($Q$2 - 7),
    unit_details[First Listed], "&lt;" &amp; $Q$2,
    unit_details[Beds], 3,
    unit_details[Property Name], B34
)
-
COUNTIFS(
    unit_details[First Listed], "&gt;=" &amp; ($Q$2 - 14),
    unit_details[First Listed], "&lt;=" &amp; ($Q$2 - 7),
    unit_details[Beds], 3,
    unit_details[Property Name], B34
)</f>
        <v>0</v>
      </c>
      <c r="M37" s="818" t="str">
        <f ca="1">IFERROR(AVERAGEIFS(unit_details[Asking Rent],unit_details[First Listed],"&gt;="&amp;($Q$2-7),
unit_details[First Listed],"&lt;="&amp;$Q$2,
unit_details[Beds],3,
unit_details[Property Name],B34),"")</f>
        <v/>
      </c>
      <c r="N37" s="819">
        <f ca="1">COUNTIFS(unit_details[Property Name], B34,
          unit_details[Beds], 3,
          unit_details[Leased Date], "")</f>
        <v>0</v>
      </c>
      <c r="O37" s="817">
        <f t="shared" ca="1" si="0"/>
        <v>0</v>
      </c>
      <c r="P37" s="818" t="str">
        <f ca="1">IFERROR(AVERAGEIFS(unit_details[Asking Rent],unit_details[Property Name], B34,
          unit_details[Beds], 3,
          unit_details[Leased Date], ""),"")</f>
        <v/>
      </c>
      <c r="Q37" s="820" t="str">
        <f ca="1">IFERROR(N37/SUMIFS(unit_mix_table['# Units],unit_mix_table[Beds],3,unit_mix_table[Property Name],B34),"")</f>
        <v/>
      </c>
    </row>
    <row r="38" spans="2:17" ht="15" x14ac:dyDescent="0.2">
      <c r="B38" s="782" t="str">
        <f ca="1">IF(ISBLANK(OFFSET('Rent Comparison'!$A$1,2,13)),"",IF(OFFSET('Rent Comparison'!$A$1,2,13)=0,B39,OFFSET('Rent Comparison'!$A$1,2,13)))</f>
        <v/>
      </c>
      <c r="C38" s="829" t="str">
        <f ca="1">IF(ISBLANK(B38),"",IFERROR(INDEX(Specials!B:J,MATCH(B38&amp;" - Active",Specials!I:I,0),2),""))</f>
        <v/>
      </c>
      <c r="D38" s="783"/>
      <c r="E38" s="784" t="s">
        <v>7</v>
      </c>
      <c r="F38" s="785">
        <f ca="1">COUNTIFS(unit_details[Leased Date], "&gt;=" &amp; ($Q$2 - 7),
          unit_details[Leased Date], "&lt;" &amp; $Q$2,
          unit_details[Beds], 0,
          unit_details[Property Name], B38)</f>
        <v>0</v>
      </c>
      <c r="G38" s="791">
        <f ca="1">COUNTIFS(unit_details[Leased Date], "&gt;=" &amp; ($Q$2 - 7),
          unit_details[Leased Date], "&lt;" &amp; $Q$2,
          unit_details[Beds], 0,
          unit_details[Property Name], B38)
-
COUNTIFS(unit_details[Leased Date], "&gt;=" &amp; ($Q$2 - 14),
         unit_details[Leased Date], "&lt;=" &amp; ($Q$2 - 7),
         unit_details[Beds], 0,
         unit_details[Property Name], B38)</f>
        <v>0</v>
      </c>
      <c r="H38" s="787" t="str">
        <f ca="1">IFERROR(AVERAGEIFS(unit_details[Asking Rent],unit_details[Leased Date], "&gt;=" &amp; ($Q$2 - 7),
          unit_details[Leased Date], "&lt;" &amp; $Q$2,
          unit_details[Beds], 0,
          unit_details[Property Name], B38),"")</f>
        <v/>
      </c>
      <c r="I38" s="788">
        <f ca="1">IFERROR(
    AVERAGEIFS(unit_details[Asking Rent],
               unit_details[Leased Date], "&gt;=" &amp; ($Q$2 - 7),
               unit_details[Leased Date], "&lt;" &amp; $Q$2,
               unit_details[Beds], 0,
               unit_details[Property Name], B38)
    -
    AVERAGEIFS(unit_details[Asking Rent],
               unit_details[Leased Date], "&gt;=" &amp; ($Q$2 - 14),
               unit_details[Leased Date], "&lt;=" &amp; ($Q$2 - 7),
               unit_details[Beds], 0,
               unit_details[Property Name], B38),
0)</f>
        <v>0</v>
      </c>
      <c r="J38" s="789">
        <f ca="1">IFERROR(I38/AVERAGEIFS(unit_details[Asking Rent],
               unit_details[Leased Date], "&gt;=" &amp; ($Q$2 - 14),
               unit_details[Leased Date], "&lt;=" &amp; ($Q$2 - 7),
               unit_details[Beds], 0,
               unit_details[Property Name], B38),0)</f>
        <v>0</v>
      </c>
      <c r="K38" s="790">
        <f ca="1">COUNTIFS(unit_details[First Listed], "&gt;=" &amp; ($Q$2 - 7),
          unit_details[First Listed], "&lt;" &amp; $Q$2,
          unit_details[Beds], 0,
          unit_details[Property Name], B38)</f>
        <v>0</v>
      </c>
      <c r="L38" s="791">
        <f ca="1">COUNTIFS(
    unit_details[First Listed], "&gt;=" &amp; ($Q$2 - 7),
    unit_details[First Listed], "&lt;" &amp; $Q$2,
    unit_details[Beds], 0,
    unit_details[Property Name], B38
)
-
COUNTIFS(
    unit_details[First Listed], "&gt;=" &amp; ($Q$2 - 14),
    unit_details[First Listed], "&lt;=" &amp; ($Q$2 - 7),
    unit_details[Beds], 0,
    unit_details[Property Name], B38
)</f>
        <v>0</v>
      </c>
      <c r="M38" s="792" t="str">
        <f ca="1">IFERROR(AVERAGEIFS(unit_details[Asking Rent],unit_details[First Listed],"&gt;="&amp;($Q$2-7),
unit_details[First Listed],"&lt;="&amp;$Q$2,
unit_details[Beds],0,
unit_details[Property Name],B38),"")</f>
        <v/>
      </c>
      <c r="N38" s="793">
        <f ca="1">COUNTIFS(unit_details[Property Name], B38,
          unit_details[Beds], 0,
          unit_details[Leased Date], "")</f>
        <v>0</v>
      </c>
      <c r="O38" s="791">
        <f t="shared" ca="1" si="0"/>
        <v>0</v>
      </c>
      <c r="P38" s="792" t="str">
        <f ca="1">IFERROR(AVERAGEIFS(unit_details[Asking Rent],unit_details[Property Name], B38,
          unit_details[Beds], 0,
          unit_details[Leased Date], ""),"")</f>
        <v/>
      </c>
      <c r="Q38" s="794" t="str">
        <f ca="1">IFERROR(N38/SUMIFS(unit_mix_table['# Units],unit_mix_table[Beds],0,unit_mix_table[Property Name],B38),"")</f>
        <v/>
      </c>
    </row>
    <row r="39" spans="2:17" ht="15" x14ac:dyDescent="0.2">
      <c r="B39" s="795" t="s">
        <v>483</v>
      </c>
      <c r="C39" s="830"/>
      <c r="D39" s="796"/>
      <c r="E39" s="797" t="s">
        <v>385</v>
      </c>
      <c r="F39" s="798">
        <f ca="1">COUNTIFS(unit_details[Leased Date], "&gt;=" &amp; ($Q$2 - 7),
          unit_details[Leased Date], "&lt;" &amp; $Q$2,
          unit_details[Beds], 1,
          unit_details[Property Name], B38)</f>
        <v>0</v>
      </c>
      <c r="G39" s="804">
        <f ca="1">COUNTIFS(unit_details[Leased Date], "&gt;=" &amp; ($Q$2 - 7),
          unit_details[Leased Date], "&lt;" &amp; $Q$2,
          unit_details[Beds], 1,
          unit_details[Property Name], B38)
-
COUNTIFS(unit_details[Leased Date], "&gt;=" &amp; ($Q$2 - 14),
         unit_details[Leased Date], "&lt;=" &amp; ($Q$2 - 7),
         unit_details[Beds], 1,
         unit_details[Property Name], B38)</f>
        <v>0</v>
      </c>
      <c r="H39" s="800" t="str">
        <f ca="1">IFERROR(AVERAGEIFS(unit_details[Asking Rent],unit_details[Leased Date], "&gt;=" &amp; ($Q$2 - 7),
          unit_details[Leased Date], "&lt;" &amp; $Q$2,
          unit_details[Beds], 1,
          unit_details[Property Name], B38),"")</f>
        <v/>
      </c>
      <c r="I39" s="801">
        <f ca="1">IFERROR(
    AVERAGEIFS(unit_details[Asking Rent],
               unit_details[Leased Date], "&gt;=" &amp; ($Q$2 - 7),
               unit_details[Leased Date], "&lt;" &amp; $Q$2,
               unit_details[Beds], 1,
               unit_details[Property Name], B38)
    -
    AVERAGEIFS(unit_details[Asking Rent],
               unit_details[Leased Date], "&gt;=" &amp; ($Q$2 - 14),
               unit_details[Leased Date], "&lt;=" &amp; ($Q$2 - 7),
               unit_details[Beds], 1,
               unit_details[Property Name], B38),
0)</f>
        <v>0</v>
      </c>
      <c r="J39" s="802">
        <f ca="1">IFERROR(I39/AVERAGEIFS(unit_details[Asking Rent],
               unit_details[Leased Date], "&gt;=" &amp; ($Q$2 - 14),
               unit_details[Leased Date], "&lt;=" &amp; ($Q$2 - 7),
               unit_details[Beds], 1,
               unit_details[Property Name], B38),0)</f>
        <v>0</v>
      </c>
      <c r="K39" s="803">
        <f ca="1">COUNTIFS(unit_details[First Listed], "&gt;=" &amp; ($Q$2 - 7),
          unit_details[First Listed], "&lt;" &amp; $Q$2,
          unit_details[Beds], 1,
          unit_details[Property Name], B38)</f>
        <v>0</v>
      </c>
      <c r="L39" s="804">
        <f ca="1">COUNTIFS(
    unit_details[First Listed], "&gt;=" &amp; ($Q$2 - 7),
    unit_details[First Listed], "&lt;" &amp; $Q$2,
    unit_details[Beds], 1,
    unit_details[Property Name], B38
)
-
COUNTIFS(
    unit_details[First Listed], "&gt;=" &amp; ($Q$2 - 14),
    unit_details[First Listed], "&lt;=" &amp; ($Q$2 - 7),
    unit_details[Beds], 1,
    unit_details[Property Name], B38
)</f>
        <v>0</v>
      </c>
      <c r="M39" s="805" t="str">
        <f ca="1">IFERROR(AVERAGEIFS(unit_details[Asking Rent],unit_details[First Listed],"&gt;="&amp;($Q$2-7),
unit_details[First Listed],"&lt;="&amp;$Q$2,
unit_details[Beds],1,
unit_details[Property Name],B38),"")</f>
        <v/>
      </c>
      <c r="N39" s="806">
        <f ca="1">COUNTIFS(unit_details[Property Name], B38,
          unit_details[Beds], 1,
          unit_details[Leased Date], "")</f>
        <v>7</v>
      </c>
      <c r="O39" s="804">
        <f t="shared" ca="1" si="0"/>
        <v>0</v>
      </c>
      <c r="P39" s="805">
        <f ca="1">IFERROR(AVERAGEIFS(unit_details[Asking Rent],unit_details[Property Name], B38,
          unit_details[Beds], 1,
          unit_details[Leased Date], ""),"")</f>
        <v>1028.5714285714287</v>
      </c>
      <c r="Q39" s="807">
        <f ca="1">IFERROR(N39/SUMIFS(unit_mix_table['# Units],unit_mix_table[Beds],1,unit_mix_table[Property Name],B38),"")</f>
        <v>2.3333333333333335</v>
      </c>
    </row>
    <row r="40" spans="2:17" ht="15" x14ac:dyDescent="0.2">
      <c r="B40" s="795" t="s">
        <v>405</v>
      </c>
      <c r="C40" s="830"/>
      <c r="D40" s="796"/>
      <c r="E40" s="797" t="s">
        <v>386</v>
      </c>
      <c r="F40" s="798">
        <f ca="1">COUNTIFS(unit_details[Leased Date], "&gt;=" &amp; ($Q$2 - 7),
          unit_details[Leased Date], "&lt;" &amp; $Q$2,
          unit_details[Beds], 2,
          unit_details[Property Name], B38)</f>
        <v>0</v>
      </c>
      <c r="G40" s="804">
        <f ca="1">COUNTIFS(unit_details[Leased Date], "&gt;=" &amp; ($Q$2 - 7),
          unit_details[Leased Date], "&lt;" &amp; $Q$2,
          unit_details[Beds], 2,
          unit_details[Property Name], B38)
-
COUNTIFS(unit_details[Leased Date], "&gt;=" &amp; ($Q$2 - 14),
         unit_details[Leased Date], "&lt;=" &amp; ($Q$2 - 7),
         unit_details[Beds], 2,
         unit_details[Property Name], B38)</f>
        <v>0</v>
      </c>
      <c r="H40" s="800" t="str">
        <f ca="1">IFERROR(AVERAGEIFS(unit_details[Asking Rent],unit_details[Leased Date], "&gt;=" &amp; ($Q$2 - 7),
          unit_details[Leased Date], "&lt;" &amp; $Q$2,
          unit_details[Beds], 2,
          unit_details[Property Name], B38),"")</f>
        <v/>
      </c>
      <c r="I40" s="801">
        <f ca="1">IFERROR(
    AVERAGEIFS(unit_details[Asking Rent],
               unit_details[Leased Date], "&gt;=" &amp; ($Q$2 - 7),
               unit_details[Leased Date], "&lt;" &amp; $Q$2,
               unit_details[Beds], 2,
               unit_details[Property Name], B38)
    -
    AVERAGEIFS(unit_details[Asking Rent],
               unit_details[Leased Date], "&gt;=" &amp; ($Q$2 - 14),
               unit_details[Leased Date], "&lt;=" &amp; ($Q$2 - 7),
               unit_details[Beds], 2,
               unit_details[Property Name], B38),
0)</f>
        <v>0</v>
      </c>
      <c r="J40" s="802">
        <f ca="1">IFERROR(I40/AVERAGEIFS(unit_details[Asking Rent],
               unit_details[Leased Date], "&gt;=" &amp; ($Q$2 - 14),
               unit_details[Leased Date], "&lt;=" &amp; ($Q$2 - 7),
               unit_details[Beds], 2,
               unit_details[Property Name], B38),0)</f>
        <v>0</v>
      </c>
      <c r="K40" s="803">
        <f ca="1">COUNTIFS(unit_details[First Listed], "&gt;=" &amp; ($Q$2 - 7),
          unit_details[First Listed], "&lt;" &amp; $Q$2,
          unit_details[Beds], 2,
          unit_details[Property Name], B38)</f>
        <v>0</v>
      </c>
      <c r="L40" s="804">
        <f ca="1">COUNTIFS(
    unit_details[First Listed], "&gt;=" &amp; ($Q$2 - 7),
    unit_details[First Listed], "&lt;" &amp; $Q$2,
    unit_details[Beds], 2,
    unit_details[Property Name], B38
)
-
COUNTIFS(
    unit_details[First Listed], "&gt;=" &amp; ($Q$2 - 14),
    unit_details[First Listed], "&lt;=" &amp; ($Q$2 - 7),
    unit_details[Beds], 2,
    unit_details[Property Name], B38
)</f>
        <v>0</v>
      </c>
      <c r="M40" s="805" t="str">
        <f ca="1">IFERROR(AVERAGEIFS(unit_details[Asking Rent],unit_details[First Listed],"&gt;="&amp;($Q$2-7),
unit_details[First Listed],"&lt;="&amp;$Q$2,
unit_details[Beds],2,
unit_details[Property Name],B38),"")</f>
        <v/>
      </c>
      <c r="N40" s="806">
        <f ca="1">COUNTIFS(unit_details[Property Name], B38,
          unit_details[Beds], 2,
          unit_details[Leased Date], "")</f>
        <v>9</v>
      </c>
      <c r="O40" s="804">
        <f t="shared" ca="1" si="0"/>
        <v>0</v>
      </c>
      <c r="P40" s="805">
        <f ca="1">IFERROR(AVERAGEIFS(unit_details[Asking Rent],unit_details[Property Name], B38,
          unit_details[Beds], 2,
          unit_details[Leased Date], ""),"")</f>
        <v>1211.1111111111111</v>
      </c>
      <c r="Q40" s="807">
        <f ca="1">IFERROR(N40/SUMIFS(unit_mix_table['# Units],unit_mix_table[Beds],2,unit_mix_table[Property Name],B38),"")</f>
        <v>1.5</v>
      </c>
    </row>
    <row r="41" spans="2:17" ht="16" thickBot="1" x14ac:dyDescent="0.25">
      <c r="B41" s="808" t="s">
        <v>405</v>
      </c>
      <c r="C41" s="831"/>
      <c r="D41" s="809"/>
      <c r="E41" s="810" t="s">
        <v>387</v>
      </c>
      <c r="F41" s="811">
        <f ca="1">COUNTIFS(unit_details[Leased Date], "&gt;=" &amp; ($Q$2 - 7),
          unit_details[Leased Date], "&lt;" &amp; $Q$2,
          unit_details[Beds], 3,
          unit_details[Property Name], B38)</f>
        <v>0</v>
      </c>
      <c r="G41" s="817">
        <f ca="1">COUNTIFS(unit_details[Leased Date], "&gt;=" &amp; ($Q$2 - 7),
          unit_details[Leased Date], "&lt;" &amp; $Q$2,
          unit_details[Beds], 3,
          unit_details[Property Name], B38)
-
COUNTIFS(unit_details[Leased Date], "&gt;=" &amp; ($Q$2 - 14),
         unit_details[Leased Date], "&lt;=" &amp; ($Q$2 - 7),
         unit_details[Beds], 3,
         unit_details[Property Name], B38)</f>
        <v>0</v>
      </c>
      <c r="H41" s="813" t="str">
        <f ca="1">IFERROR(AVERAGEIFS(unit_details[Asking Rent],unit_details[Leased Date], "&gt;=" &amp; ($Q$2 - 7),
          unit_details[Leased Date], "&lt;" &amp; $Q$2,
          unit_details[Beds], 3,
          unit_details[Property Name], B38),"")</f>
        <v/>
      </c>
      <c r="I41" s="814">
        <f ca="1">IFERROR(
    AVERAGEIFS(unit_details[Asking Rent],
               unit_details[Leased Date], "&gt;=" &amp; ($Q$2 - 7),
               unit_details[Leased Date], "&lt;" &amp; $Q$2,
               unit_details[Beds], 3,
               unit_details[Property Name], B38)
    -
    AVERAGEIFS(unit_details[Asking Rent],
               unit_details[Leased Date], "&gt;=" &amp; ($Q$2 - 14),
               unit_details[Leased Date], "&lt;=" &amp; ($Q$2 - 7),
               unit_details[Beds], 3,
               unit_details[Property Name], B38),
0)</f>
        <v>0</v>
      </c>
      <c r="J41" s="815">
        <f ca="1">IFERROR(I41/AVERAGEIFS(unit_details[Asking Rent],
               unit_details[Leased Date], "&gt;=" &amp; ($Q$2 - 14),
               unit_details[Leased Date], "&lt;=" &amp; ($Q$2 - 7),
               unit_details[Beds], 3,
               unit_details[Property Name], B38),0)</f>
        <v>0</v>
      </c>
      <c r="K41" s="816">
        <f ca="1">COUNTIFS(unit_details[First Listed], "&gt;=" &amp; ($Q$2 - 7),
          unit_details[First Listed], "&lt;" &amp; $Q$2,
          unit_details[Beds], 3,
          unit_details[Property Name], B38)</f>
        <v>0</v>
      </c>
      <c r="L41" s="817">
        <f ca="1">COUNTIFS(
    unit_details[First Listed], "&gt;=" &amp; ($Q$2 - 7),
    unit_details[First Listed], "&lt;" &amp; $Q$2,
    unit_details[Beds], 3,
    unit_details[Property Name], B38
)
-
COUNTIFS(
    unit_details[First Listed], "&gt;=" &amp; ($Q$2 - 14),
    unit_details[First Listed], "&lt;=" &amp; ($Q$2 - 7),
    unit_details[Beds], 3,
    unit_details[Property Name], B38
)</f>
        <v>0</v>
      </c>
      <c r="M41" s="818" t="str">
        <f ca="1">IFERROR(AVERAGEIFS(unit_details[Asking Rent],unit_details[First Listed],"&gt;="&amp;($Q$2-7),
unit_details[First Listed],"&lt;="&amp;$Q$2,
unit_details[Beds],3,
unit_details[Property Name],B38),"")</f>
        <v/>
      </c>
      <c r="N41" s="819">
        <f ca="1">COUNTIFS(unit_details[Property Name], B38,
          unit_details[Beds], 3,
          unit_details[Leased Date], "")</f>
        <v>0</v>
      </c>
      <c r="O41" s="817">
        <f t="shared" ca="1" si="0"/>
        <v>0</v>
      </c>
      <c r="P41" s="818" t="str">
        <f ca="1">IFERROR(AVERAGEIFS(unit_details[Asking Rent],unit_details[Property Name], B38,
          unit_details[Beds], 3,
          unit_details[Leased Date], ""),"")</f>
        <v/>
      </c>
      <c r="Q41" s="820" t="str">
        <f ca="1">IFERROR(N41/SUMIFS(unit_mix_table['# Units],unit_mix_table[Beds],3,unit_mix_table[Property Name],B38),"")</f>
        <v/>
      </c>
    </row>
    <row r="42" spans="2:17" ht="15" x14ac:dyDescent="0.2">
      <c r="B42" s="782" t="str">
        <f ca="1">IF(ISBLANK(OFFSET('Rent Comparison'!$A$1,2,14)),"",IF(OFFSET('Rent Comparison'!$A$1,2,14)=0,B43,OFFSET('Rent Comparison'!$A$1,2,14)))</f>
        <v/>
      </c>
      <c r="C42" s="829" t="str">
        <f ca="1">IF(ISBLANK(B42),"",IFERROR(INDEX(Specials!B:J,MATCH(B42&amp;" - Active",Specials!I:I,0),2),""))</f>
        <v/>
      </c>
      <c r="D42" s="783"/>
      <c r="E42" s="784" t="s">
        <v>7</v>
      </c>
      <c r="F42" s="785">
        <f ca="1">COUNTIFS(unit_details[Leased Date], "&gt;=" &amp; ($Q$2 - 7),
          unit_details[Leased Date], "&lt;" &amp; $Q$2,
          unit_details[Beds], 0,
          unit_details[Property Name], B42)</f>
        <v>0</v>
      </c>
      <c r="G42" s="791">
        <f ca="1">COUNTIFS(unit_details[Leased Date], "&gt;=" &amp; ($Q$2 - 7),
          unit_details[Leased Date], "&lt;" &amp; $Q$2,
          unit_details[Beds], 0,
          unit_details[Property Name], B42)
-
COUNTIFS(unit_details[Leased Date], "&gt;=" &amp; ($Q$2 - 14),
         unit_details[Leased Date], "&lt;=" &amp; ($Q$2 - 7),
         unit_details[Beds], 0,
         unit_details[Property Name], B42)</f>
        <v>0</v>
      </c>
      <c r="H42" s="787" t="str">
        <f ca="1">IFERROR(AVERAGEIFS(unit_details[Asking Rent],unit_details[Leased Date], "&gt;=" &amp; ($Q$2 - 7),
          unit_details[Leased Date], "&lt;" &amp; $Q$2,
          unit_details[Beds], 0,
          unit_details[Property Name], B42),"")</f>
        <v/>
      </c>
      <c r="I42" s="788">
        <f ca="1">IFERROR(
    AVERAGEIFS(unit_details[Asking Rent],
               unit_details[Leased Date], "&gt;=" &amp; ($Q$2 - 7),
               unit_details[Leased Date], "&lt;" &amp; $Q$2,
               unit_details[Beds], 0,
               unit_details[Property Name], B42)
    -
    AVERAGEIFS(unit_details[Asking Rent],
               unit_details[Leased Date], "&gt;=" &amp; ($Q$2 - 14),
               unit_details[Leased Date], "&lt;=" &amp; ($Q$2 - 7),
               unit_details[Beds], 0,
               unit_details[Property Name], B42),
0)</f>
        <v>0</v>
      </c>
      <c r="J42" s="789">
        <f ca="1">IFERROR(I42/AVERAGEIFS(unit_details[Asking Rent],
               unit_details[Leased Date], "&gt;=" &amp; ($Q$2 - 14),
               unit_details[Leased Date], "&lt;=" &amp; ($Q$2 - 7),
               unit_details[Beds], 0,
               unit_details[Property Name], B42),0)</f>
        <v>0</v>
      </c>
      <c r="K42" s="790">
        <f ca="1">COUNTIFS(unit_details[First Listed], "&gt;=" &amp; ($Q$2 - 7),
          unit_details[First Listed], "&lt;" &amp; $Q$2,
          unit_details[Beds], 0,
          unit_details[Property Name], B42)</f>
        <v>0</v>
      </c>
      <c r="L42" s="791">
        <f ca="1">COUNTIFS(
    unit_details[First Listed], "&gt;=" &amp; ($Q$2 - 7),
    unit_details[First Listed], "&lt;" &amp; $Q$2,
    unit_details[Beds], 0,
    unit_details[Property Name], B42
)
-
COUNTIFS(
    unit_details[First Listed], "&gt;=" &amp; ($Q$2 - 14),
    unit_details[First Listed], "&lt;=" &amp; ($Q$2 - 7),
    unit_details[Beds], 0,
    unit_details[Property Name], B42
)</f>
        <v>0</v>
      </c>
      <c r="M42" s="792" t="str">
        <f ca="1">IFERROR(AVERAGEIFS(unit_details[Asking Rent],unit_details[First Listed],"&gt;="&amp;($Q$2-7),
unit_details[First Listed],"&lt;="&amp;$Q$2,
unit_details[Beds],0,
unit_details[Property Name],B42),"")</f>
        <v/>
      </c>
      <c r="N42" s="793">
        <f ca="1">COUNTIFS(unit_details[Property Name], B42,
          unit_details[Beds], 0,
          unit_details[Leased Date], "")</f>
        <v>0</v>
      </c>
      <c r="O42" s="791">
        <f t="shared" ca="1" si="0"/>
        <v>0</v>
      </c>
      <c r="P42" s="792" t="str">
        <f ca="1">IFERROR(AVERAGEIFS(unit_details[Asking Rent],unit_details[Property Name], B42,
          unit_details[Beds], 0,
          unit_details[Leased Date], ""),"")</f>
        <v/>
      </c>
      <c r="Q42" s="794" t="str">
        <f ca="1">IFERROR(N42/SUMIFS(unit_mix_table['# Units],unit_mix_table[Beds],0,unit_mix_table[Property Name],B42),"")</f>
        <v/>
      </c>
    </row>
    <row r="43" spans="2:17" ht="15" x14ac:dyDescent="0.2">
      <c r="B43" s="795" t="s">
        <v>484</v>
      </c>
      <c r="C43" s="830"/>
      <c r="D43" s="796"/>
      <c r="E43" s="797" t="s">
        <v>385</v>
      </c>
      <c r="F43" s="798">
        <f ca="1">COUNTIFS(unit_details[Leased Date], "&gt;=" &amp; ($Q$2 - 7),
          unit_details[Leased Date], "&lt;" &amp; $Q$2,
          unit_details[Beds], 1,
          unit_details[Property Name], B42)</f>
        <v>0</v>
      </c>
      <c r="G43" s="804">
        <f ca="1">COUNTIFS(unit_details[Leased Date], "&gt;=" &amp; ($Q$2 - 7),
          unit_details[Leased Date], "&lt;" &amp; $Q$2,
          unit_details[Beds], 1,
          unit_details[Property Name], B42)
-
COUNTIFS(unit_details[Leased Date], "&gt;=" &amp; ($Q$2 - 14),
         unit_details[Leased Date], "&lt;=" &amp; ($Q$2 - 7),
         unit_details[Beds], 1,
         unit_details[Property Name], B42)</f>
        <v>0</v>
      </c>
      <c r="H43" s="800" t="str">
        <f ca="1">IFERROR(AVERAGEIFS(unit_details[Asking Rent],unit_details[Leased Date], "&gt;=" &amp; ($Q$2 - 7),
          unit_details[Leased Date], "&lt;" &amp; $Q$2,
          unit_details[Beds], 1,
          unit_details[Property Name], B42),"")</f>
        <v/>
      </c>
      <c r="I43" s="801">
        <f ca="1">IFERROR(
    AVERAGEIFS(unit_details[Asking Rent],
               unit_details[Leased Date], "&gt;=" &amp; ($Q$2 - 7),
               unit_details[Leased Date], "&lt;" &amp; $Q$2,
               unit_details[Beds], 1,
               unit_details[Property Name], B42)
    -
    AVERAGEIFS(unit_details[Asking Rent],
               unit_details[Leased Date], "&gt;=" &amp; ($Q$2 - 14),
               unit_details[Leased Date], "&lt;=" &amp; ($Q$2 - 7),
               unit_details[Beds], 1,
               unit_details[Property Name], B42),
0)</f>
        <v>0</v>
      </c>
      <c r="J43" s="802">
        <f ca="1">IFERROR(I43/AVERAGEIFS(unit_details[Asking Rent],
               unit_details[Leased Date], "&gt;=" &amp; ($Q$2 - 14),
               unit_details[Leased Date], "&lt;=" &amp; ($Q$2 - 7),
               unit_details[Beds], 1,
               unit_details[Property Name], B42),0)</f>
        <v>0</v>
      </c>
      <c r="K43" s="803">
        <f ca="1">COUNTIFS(unit_details[First Listed], "&gt;=" &amp; ($Q$2 - 7),
          unit_details[First Listed], "&lt;" &amp; $Q$2,
          unit_details[Beds], 1,
          unit_details[Property Name], B42)</f>
        <v>0</v>
      </c>
      <c r="L43" s="804">
        <f ca="1">COUNTIFS(
    unit_details[First Listed], "&gt;=" &amp; ($Q$2 - 7),
    unit_details[First Listed], "&lt;" &amp; $Q$2,
    unit_details[Beds], 1,
    unit_details[Property Name], B42
)
-
COUNTIFS(
    unit_details[First Listed], "&gt;=" &amp; ($Q$2 - 14),
    unit_details[First Listed], "&lt;=" &amp; ($Q$2 - 7),
    unit_details[Beds], 1,
    unit_details[Property Name], B42
)</f>
        <v>0</v>
      </c>
      <c r="M43" s="805" t="str">
        <f ca="1">IFERROR(AVERAGEIFS(unit_details[Asking Rent],unit_details[First Listed],"&gt;="&amp;($Q$2-7),
unit_details[First Listed],"&lt;="&amp;$Q$2,
unit_details[Beds],1,
unit_details[Property Name],B42),"")</f>
        <v/>
      </c>
      <c r="N43" s="806">
        <f ca="1">COUNTIFS(unit_details[Property Name], B42,
          unit_details[Beds], 1,
          unit_details[Leased Date], "")</f>
        <v>7</v>
      </c>
      <c r="O43" s="804">
        <f t="shared" ca="1" si="0"/>
        <v>0</v>
      </c>
      <c r="P43" s="805">
        <f ca="1">IFERROR(AVERAGEIFS(unit_details[Asking Rent],unit_details[Property Name], B42,
          unit_details[Beds], 1,
          unit_details[Leased Date], ""),"")</f>
        <v>1028.5714285714287</v>
      </c>
      <c r="Q43" s="807">
        <f ca="1">IFERROR(N43/SUMIFS(unit_mix_table['# Units],unit_mix_table[Beds],1,unit_mix_table[Property Name],B42),"")</f>
        <v>2.3333333333333335</v>
      </c>
    </row>
    <row r="44" spans="2:17" ht="15" x14ac:dyDescent="0.2">
      <c r="B44" s="795" t="s">
        <v>405</v>
      </c>
      <c r="C44" s="830"/>
      <c r="D44" s="796"/>
      <c r="E44" s="797" t="s">
        <v>386</v>
      </c>
      <c r="F44" s="798">
        <f ca="1">COUNTIFS(unit_details[Leased Date], "&gt;=" &amp; ($Q$2 - 7),
          unit_details[Leased Date], "&lt;" &amp; $Q$2,
          unit_details[Beds], 2,
          unit_details[Property Name], B42)</f>
        <v>0</v>
      </c>
      <c r="G44" s="804">
        <f ca="1">COUNTIFS(unit_details[Leased Date], "&gt;=" &amp; ($Q$2 - 7),
          unit_details[Leased Date], "&lt;" &amp; $Q$2,
          unit_details[Beds], 2,
          unit_details[Property Name], B42)
-
COUNTIFS(unit_details[Leased Date], "&gt;=" &amp; ($Q$2 - 14),
         unit_details[Leased Date], "&lt;=" &amp; ($Q$2 - 7),
         unit_details[Beds], 2,
         unit_details[Property Name], B42)</f>
        <v>0</v>
      </c>
      <c r="H44" s="800" t="str">
        <f ca="1">IFERROR(AVERAGEIFS(unit_details[Asking Rent],unit_details[Leased Date], "&gt;=" &amp; ($Q$2 - 7),
          unit_details[Leased Date], "&lt;" &amp; $Q$2,
          unit_details[Beds], 2,
          unit_details[Property Name], B42),"")</f>
        <v/>
      </c>
      <c r="I44" s="801">
        <f ca="1">IFERROR(
    AVERAGEIFS(unit_details[Asking Rent],
               unit_details[Leased Date], "&gt;=" &amp; ($Q$2 - 7),
               unit_details[Leased Date], "&lt;" &amp; $Q$2,
               unit_details[Beds], 2,
               unit_details[Property Name], B42)
    -
    AVERAGEIFS(unit_details[Asking Rent],
               unit_details[Leased Date], "&gt;=" &amp; ($Q$2 - 14),
               unit_details[Leased Date], "&lt;=" &amp; ($Q$2 - 7),
               unit_details[Beds], 2,
               unit_details[Property Name], B42),
0)</f>
        <v>0</v>
      </c>
      <c r="J44" s="802">
        <f ca="1">IFERROR(I44/AVERAGEIFS(unit_details[Asking Rent],
               unit_details[Leased Date], "&gt;=" &amp; ($Q$2 - 14),
               unit_details[Leased Date], "&lt;=" &amp; ($Q$2 - 7),
               unit_details[Beds], 2,
               unit_details[Property Name], B42),0)</f>
        <v>0</v>
      </c>
      <c r="K44" s="803">
        <f ca="1">COUNTIFS(unit_details[First Listed], "&gt;=" &amp; ($Q$2 - 7),
          unit_details[First Listed], "&lt;" &amp; $Q$2,
          unit_details[Beds], 2,
          unit_details[Property Name], B42)</f>
        <v>0</v>
      </c>
      <c r="L44" s="804">
        <f ca="1">COUNTIFS(
    unit_details[First Listed], "&gt;=" &amp; ($Q$2 - 7),
    unit_details[First Listed], "&lt;" &amp; $Q$2,
    unit_details[Beds], 2,
    unit_details[Property Name], B42
)
-
COUNTIFS(
    unit_details[First Listed], "&gt;=" &amp; ($Q$2 - 14),
    unit_details[First Listed], "&lt;=" &amp; ($Q$2 - 7),
    unit_details[Beds], 2,
    unit_details[Property Name], B42
)</f>
        <v>0</v>
      </c>
      <c r="M44" s="805" t="str">
        <f ca="1">IFERROR(AVERAGEIFS(unit_details[Asking Rent],unit_details[First Listed],"&gt;="&amp;($Q$2-7),
unit_details[First Listed],"&lt;="&amp;$Q$2,
unit_details[Beds],2,
unit_details[Property Name],B42),"")</f>
        <v/>
      </c>
      <c r="N44" s="806">
        <f ca="1">COUNTIFS(unit_details[Property Name], B42,
          unit_details[Beds], 2,
          unit_details[Leased Date], "")</f>
        <v>9</v>
      </c>
      <c r="O44" s="804">
        <f t="shared" ca="1" si="0"/>
        <v>0</v>
      </c>
      <c r="P44" s="805">
        <f ca="1">IFERROR(AVERAGEIFS(unit_details[Asking Rent],unit_details[Property Name], B42,
          unit_details[Beds], 2,
          unit_details[Leased Date], ""),"")</f>
        <v>1211.1111111111111</v>
      </c>
      <c r="Q44" s="807">
        <f ca="1">IFERROR(N44/SUMIFS(unit_mix_table['# Units],unit_mix_table[Beds],2,unit_mix_table[Property Name],B42),"")</f>
        <v>1.5</v>
      </c>
    </row>
    <row r="45" spans="2:17" ht="16" thickBot="1" x14ac:dyDescent="0.25">
      <c r="B45" s="808" t="s">
        <v>479</v>
      </c>
      <c r="C45" s="831"/>
      <c r="D45" s="809"/>
      <c r="E45" s="810" t="s">
        <v>387</v>
      </c>
      <c r="F45" s="811">
        <f ca="1">COUNTIFS(unit_details[Leased Date], "&gt;=" &amp; ($Q$2 - 7),
          unit_details[Leased Date], "&lt;" &amp; $Q$2,
          unit_details[Beds], 3,
          unit_details[Property Name], B42)</f>
        <v>0</v>
      </c>
      <c r="G45" s="817">
        <f ca="1">COUNTIFS(unit_details[Leased Date], "&gt;=" &amp; ($Q$2 - 7),
          unit_details[Leased Date], "&lt;" &amp; $Q$2,
          unit_details[Beds], 3,
          unit_details[Property Name], B42)
-
COUNTIFS(unit_details[Leased Date], "&gt;=" &amp; ($Q$2 - 14),
         unit_details[Leased Date], "&lt;=" &amp; ($Q$2 - 7),
         unit_details[Beds], 3,
         unit_details[Property Name], B42)</f>
        <v>0</v>
      </c>
      <c r="H45" s="813" t="str">
        <f ca="1">IFERROR(AVERAGEIFS(unit_details[Asking Rent],unit_details[Leased Date], "&gt;=" &amp; ($Q$2 - 7),
          unit_details[Leased Date], "&lt;" &amp; $Q$2,
          unit_details[Beds], 3,
          unit_details[Property Name], B42),"")</f>
        <v/>
      </c>
      <c r="I45" s="814">
        <f ca="1">IFERROR(
    AVERAGEIFS(unit_details[Asking Rent],
               unit_details[Leased Date], "&gt;=" &amp; ($Q$2 - 7),
               unit_details[Leased Date], "&lt;" &amp; $Q$2,
               unit_details[Beds], 3,
               unit_details[Property Name], B42)
    -
    AVERAGEIFS(unit_details[Asking Rent],
               unit_details[Leased Date], "&gt;=" &amp; ($Q$2 - 14),
               unit_details[Leased Date], "&lt;=" &amp; ($Q$2 - 7),
               unit_details[Beds], 3,
               unit_details[Property Name], B42),
0)</f>
        <v>0</v>
      </c>
      <c r="J45" s="815">
        <f ca="1">IFERROR(I45/AVERAGEIFS(unit_details[Asking Rent],
               unit_details[Leased Date], "&gt;=" &amp; ($Q$2 - 14),
               unit_details[Leased Date], "&lt;=" &amp; ($Q$2 - 7),
               unit_details[Beds], 3,
               unit_details[Property Name], B42),0)</f>
        <v>0</v>
      </c>
      <c r="K45" s="816">
        <f ca="1">COUNTIFS(unit_details[First Listed], "&gt;=" &amp; ($Q$2 - 7),
          unit_details[First Listed], "&lt;" &amp; $Q$2,
          unit_details[Beds], 3,
          unit_details[Property Name], B42)</f>
        <v>0</v>
      </c>
      <c r="L45" s="817">
        <f ca="1">COUNTIFS(
    unit_details[First Listed], "&gt;=" &amp; ($Q$2 - 7),
    unit_details[First Listed], "&lt;" &amp; $Q$2,
    unit_details[Beds], 3,
    unit_details[Property Name], B42
)
-
COUNTIFS(
    unit_details[First Listed], "&gt;=" &amp; ($Q$2 - 14),
    unit_details[First Listed], "&lt;=" &amp; ($Q$2 - 7),
    unit_details[Beds], 3,
    unit_details[Property Name], B42
)</f>
        <v>0</v>
      </c>
      <c r="M45" s="818" t="str">
        <f ca="1">IFERROR(AVERAGEIFS(unit_details[Asking Rent],unit_details[First Listed],"&gt;="&amp;($Q$2-7),
unit_details[First Listed],"&lt;="&amp;$Q$2,
unit_details[Beds],3,
unit_details[Property Name],B42),"")</f>
        <v/>
      </c>
      <c r="N45" s="819">
        <f ca="1">COUNTIFS(unit_details[Property Name], B42,
          unit_details[Beds], 3,
          unit_details[Leased Date], "")</f>
        <v>0</v>
      </c>
      <c r="O45" s="817">
        <f t="shared" ca="1" si="0"/>
        <v>0</v>
      </c>
      <c r="P45" s="818" t="str">
        <f ca="1">IFERROR(AVERAGEIFS(unit_details[Asking Rent],unit_details[Property Name], B42,
          unit_details[Beds], 3,
          unit_details[Leased Date], ""),"")</f>
        <v/>
      </c>
      <c r="Q45" s="820" t="str">
        <f ca="1">IFERROR(N45/SUMIFS(unit_mix_table['# Units],unit_mix_table[Beds],3,unit_mix_table[Property Name],B42),"")</f>
        <v/>
      </c>
    </row>
    <row r="46" spans="2:17" ht="15" x14ac:dyDescent="0.2">
      <c r="B46" s="782" t="str">
        <f ca="1">IF(ISBLANK(OFFSET('Rent Comparison'!$A$1,2,15)),"",IF(OFFSET('Rent Comparison'!$A$1,2,15)=0,B47,OFFSET('Rent Comparison'!$A$1,2,15)))</f>
        <v/>
      </c>
      <c r="C46" s="829" t="str">
        <f ca="1">IF(ISBLANK(B46),"",IFERROR(INDEX(Specials!B:J,MATCH(B46&amp;" - Active",Specials!I:I,0),2),""))</f>
        <v/>
      </c>
      <c r="D46" s="783"/>
      <c r="E46" s="784" t="s">
        <v>7</v>
      </c>
      <c r="F46" s="785">
        <f ca="1">COUNTIFS(unit_details[Leased Date], "&gt;=" &amp; ($Q$2 - 7),
          unit_details[Leased Date], "&lt;" &amp; $Q$2,
          unit_details[Beds], 0,
          unit_details[Property Name], B46)</f>
        <v>0</v>
      </c>
      <c r="G46" s="791">
        <f ca="1">COUNTIFS(unit_details[Leased Date], "&gt;=" &amp; ($Q$2 - 7),
          unit_details[Leased Date], "&lt;" &amp; $Q$2,
          unit_details[Beds], 0,
          unit_details[Property Name], B46)
-
COUNTIFS(unit_details[Leased Date], "&gt;=" &amp; ($Q$2 - 14),
         unit_details[Leased Date], "&lt;=" &amp; ($Q$2 - 7),
         unit_details[Beds], 0,
         unit_details[Property Name], B46)</f>
        <v>0</v>
      </c>
      <c r="H46" s="787" t="str">
        <f ca="1">IFERROR(AVERAGEIFS(unit_details[Asking Rent],unit_details[Leased Date], "&gt;=" &amp; ($Q$2 - 7),
          unit_details[Leased Date], "&lt;" &amp; $Q$2,
          unit_details[Beds], 0,
          unit_details[Property Name], B46),"")</f>
        <v/>
      </c>
      <c r="I46" s="788">
        <f ca="1">IFERROR(
    AVERAGEIFS(unit_details[Asking Rent],
               unit_details[Leased Date], "&gt;=" &amp; ($Q$2 - 7),
               unit_details[Leased Date], "&lt;" &amp; $Q$2,
               unit_details[Beds], 0,
               unit_details[Property Name], B46)
    -
    AVERAGEIFS(unit_details[Asking Rent],
               unit_details[Leased Date], "&gt;=" &amp; ($Q$2 - 14),
               unit_details[Leased Date], "&lt;=" &amp; ($Q$2 - 7),
               unit_details[Beds], 0,
               unit_details[Property Name], B46),
0)</f>
        <v>0</v>
      </c>
      <c r="J46" s="789">
        <f ca="1">IFERROR(I46/AVERAGEIFS(unit_details[Asking Rent],
               unit_details[Leased Date], "&gt;=" &amp; ($Q$2 - 14),
               unit_details[Leased Date], "&lt;=" &amp; ($Q$2 - 7),
               unit_details[Beds], 0,
               unit_details[Property Name], B46),0)</f>
        <v>0</v>
      </c>
      <c r="K46" s="790">
        <f ca="1">COUNTIFS(unit_details[First Listed], "&gt;=" &amp; ($Q$2 - 7),
          unit_details[First Listed], "&lt;" &amp; $Q$2,
          unit_details[Beds], 0,
          unit_details[Property Name], B46)</f>
        <v>0</v>
      </c>
      <c r="L46" s="791">
        <f ca="1">COUNTIFS(
    unit_details[First Listed], "&gt;=" &amp; ($Q$2 - 7),
    unit_details[First Listed], "&lt;" &amp; $Q$2,
    unit_details[Beds], 0,
    unit_details[Property Name], B46
)
-
COUNTIFS(
    unit_details[First Listed], "&gt;=" &amp; ($Q$2 - 14),
    unit_details[First Listed], "&lt;=" &amp; ($Q$2 - 7),
    unit_details[Beds], 0,
    unit_details[Property Name], B46
)</f>
        <v>0</v>
      </c>
      <c r="M46" s="792" t="str">
        <f ca="1">IFERROR(AVERAGEIFS(unit_details[Asking Rent],unit_details[First Listed],"&gt;="&amp;($Q$2-7),
unit_details[First Listed],"&lt;="&amp;$Q$2,
unit_details[Beds],0,
unit_details[Property Name],B46),"")</f>
        <v/>
      </c>
      <c r="N46" s="793">
        <f ca="1">COUNTIFS(unit_details[Property Name], B46,
          unit_details[Beds], 0,
          unit_details[Leased Date], "")</f>
        <v>0</v>
      </c>
      <c r="O46" s="791">
        <f t="shared" ca="1" si="0"/>
        <v>0</v>
      </c>
      <c r="P46" s="792" t="str">
        <f ca="1">IFERROR(AVERAGEIFS(unit_details[Asking Rent],unit_details[Property Name], B46,
          unit_details[Beds], 0,
          unit_details[Leased Date], ""),"")</f>
        <v/>
      </c>
      <c r="Q46" s="794" t="str">
        <f ca="1">IFERROR(N46/SUMIFS(unit_mix_table['# Units],unit_mix_table[Beds],0,unit_mix_table[Property Name],B46),"")</f>
        <v/>
      </c>
    </row>
    <row r="47" spans="2:17" ht="15" x14ac:dyDescent="0.2">
      <c r="B47" s="795" t="s">
        <v>485</v>
      </c>
      <c r="C47" s="830"/>
      <c r="D47" s="796"/>
      <c r="E47" s="797" t="s">
        <v>385</v>
      </c>
      <c r="F47" s="798">
        <f ca="1">COUNTIFS(unit_details[Leased Date], "&gt;=" &amp; ($Q$2 - 7),
          unit_details[Leased Date], "&lt;" &amp; $Q$2,
          unit_details[Beds], 1,
          unit_details[Property Name], B46)</f>
        <v>0</v>
      </c>
      <c r="G47" s="804">
        <f ca="1">COUNTIFS(unit_details[Leased Date], "&gt;=" &amp; ($Q$2 - 7),
          unit_details[Leased Date], "&lt;" &amp; $Q$2,
          unit_details[Beds], 1,
          unit_details[Property Name], B46)
-
COUNTIFS(unit_details[Leased Date], "&gt;=" &amp; ($Q$2 - 14),
         unit_details[Leased Date], "&lt;=" &amp; ($Q$2 - 7),
         unit_details[Beds], 1,
         unit_details[Property Name], B46)</f>
        <v>0</v>
      </c>
      <c r="H47" s="800" t="str">
        <f ca="1">IFERROR(AVERAGEIFS(unit_details[Asking Rent],unit_details[Leased Date], "&gt;=" &amp; ($Q$2 - 7),
          unit_details[Leased Date], "&lt;" &amp; $Q$2,
          unit_details[Beds], 1,
          unit_details[Property Name], B46),"")</f>
        <v/>
      </c>
      <c r="I47" s="801">
        <f ca="1">IFERROR(
    AVERAGEIFS(unit_details[Asking Rent],
               unit_details[Leased Date], "&gt;=" &amp; ($Q$2 - 7),
               unit_details[Leased Date], "&lt;" &amp; $Q$2,
               unit_details[Beds], 1,
               unit_details[Property Name], B46)
    -
    AVERAGEIFS(unit_details[Asking Rent],
               unit_details[Leased Date], "&gt;=" &amp; ($Q$2 - 14),
               unit_details[Leased Date], "&lt;=" &amp; ($Q$2 - 7),
               unit_details[Beds], 1,
               unit_details[Property Name], B46),
0)</f>
        <v>0</v>
      </c>
      <c r="J47" s="802">
        <f ca="1">IFERROR(I47/AVERAGEIFS(unit_details[Asking Rent],
               unit_details[Leased Date], "&gt;=" &amp; ($Q$2 - 14),
               unit_details[Leased Date], "&lt;=" &amp; ($Q$2 - 7),
               unit_details[Beds], 1,
               unit_details[Property Name], B46),0)</f>
        <v>0</v>
      </c>
      <c r="K47" s="803">
        <f ca="1">COUNTIFS(unit_details[First Listed], "&gt;=" &amp; ($Q$2 - 7),
          unit_details[First Listed], "&lt;" &amp; $Q$2,
          unit_details[Beds], 1,
          unit_details[Property Name], B46)</f>
        <v>0</v>
      </c>
      <c r="L47" s="804">
        <f ca="1">COUNTIFS(
    unit_details[First Listed], "&gt;=" &amp; ($Q$2 - 7),
    unit_details[First Listed], "&lt;" &amp; $Q$2,
    unit_details[Beds], 1,
    unit_details[Property Name], B46
)
-
COUNTIFS(
    unit_details[First Listed], "&gt;=" &amp; ($Q$2 - 14),
    unit_details[First Listed], "&lt;=" &amp; ($Q$2 - 7),
    unit_details[Beds], 1,
    unit_details[Property Name], B46
)</f>
        <v>0</v>
      </c>
      <c r="M47" s="805" t="str">
        <f ca="1">IFERROR(AVERAGEIFS(unit_details[Asking Rent],unit_details[First Listed],"&gt;="&amp;($Q$2-7),
unit_details[First Listed],"&lt;="&amp;$Q$2,
unit_details[Beds],1,
unit_details[Property Name],B46),"")</f>
        <v/>
      </c>
      <c r="N47" s="806">
        <f ca="1">COUNTIFS(unit_details[Property Name], B46,
          unit_details[Beds], 1,
          unit_details[Leased Date], "")</f>
        <v>7</v>
      </c>
      <c r="O47" s="804">
        <f t="shared" ca="1" si="0"/>
        <v>0</v>
      </c>
      <c r="P47" s="805">
        <f ca="1">IFERROR(AVERAGEIFS(unit_details[Asking Rent],unit_details[Property Name], B46,
          unit_details[Beds], 1,
          unit_details[Leased Date], ""),"")</f>
        <v>1028.5714285714287</v>
      </c>
      <c r="Q47" s="807">
        <f ca="1">IFERROR(N47/SUMIFS(unit_mix_table['# Units],unit_mix_table[Beds],1,unit_mix_table[Property Name],B46),"")</f>
        <v>2.3333333333333335</v>
      </c>
    </row>
    <row r="48" spans="2:17" ht="15" x14ac:dyDescent="0.2">
      <c r="B48" s="795" t="s">
        <v>405</v>
      </c>
      <c r="C48" s="830"/>
      <c r="D48" s="796"/>
      <c r="E48" s="797" t="s">
        <v>386</v>
      </c>
      <c r="F48" s="798">
        <f ca="1">COUNTIFS(unit_details[Leased Date], "&gt;=" &amp; ($Q$2 - 7),
          unit_details[Leased Date], "&lt;" &amp; $Q$2,
          unit_details[Beds], 2,
          unit_details[Property Name], B46)</f>
        <v>0</v>
      </c>
      <c r="G48" s="804">
        <f ca="1">COUNTIFS(unit_details[Leased Date], "&gt;=" &amp; ($Q$2 - 7),
          unit_details[Leased Date], "&lt;" &amp; $Q$2,
          unit_details[Beds], 2,
          unit_details[Property Name], B46)
-
COUNTIFS(unit_details[Leased Date], "&gt;=" &amp; ($Q$2 - 14),
         unit_details[Leased Date], "&lt;=" &amp; ($Q$2 - 7),
         unit_details[Beds], 2,
         unit_details[Property Name], B46)</f>
        <v>0</v>
      </c>
      <c r="H48" s="800" t="str">
        <f ca="1">IFERROR(AVERAGEIFS(unit_details[Asking Rent],unit_details[Leased Date], "&gt;=" &amp; ($Q$2 - 7),
          unit_details[Leased Date], "&lt;" &amp; $Q$2,
          unit_details[Beds], 2,
          unit_details[Property Name], B46),"")</f>
        <v/>
      </c>
      <c r="I48" s="801">
        <f ca="1">IFERROR(
    AVERAGEIFS(unit_details[Asking Rent],
               unit_details[Leased Date], "&gt;=" &amp; ($Q$2 - 7),
               unit_details[Leased Date], "&lt;" &amp; $Q$2,
               unit_details[Beds], 2,
               unit_details[Property Name], B46)
    -
    AVERAGEIFS(unit_details[Asking Rent],
               unit_details[Leased Date], "&gt;=" &amp; ($Q$2 - 14),
               unit_details[Leased Date], "&lt;=" &amp; ($Q$2 - 7),
               unit_details[Beds], 2,
               unit_details[Property Name], B46),
0)</f>
        <v>0</v>
      </c>
      <c r="J48" s="802">
        <f ca="1">IFERROR(I48/AVERAGEIFS(unit_details[Asking Rent],
               unit_details[Leased Date], "&gt;=" &amp; ($Q$2 - 14),
               unit_details[Leased Date], "&lt;=" &amp; ($Q$2 - 7),
               unit_details[Beds], 2,
               unit_details[Property Name], B46),0)</f>
        <v>0</v>
      </c>
      <c r="K48" s="803">
        <f ca="1">COUNTIFS(unit_details[First Listed], "&gt;=" &amp; ($Q$2 - 7),
          unit_details[First Listed], "&lt;" &amp; $Q$2,
          unit_details[Beds], 2,
          unit_details[Property Name], B46)</f>
        <v>0</v>
      </c>
      <c r="L48" s="804">
        <f ca="1">COUNTIFS(
    unit_details[First Listed], "&gt;=" &amp; ($Q$2 - 7),
    unit_details[First Listed], "&lt;" &amp; $Q$2,
    unit_details[Beds], 2,
    unit_details[Property Name], B46
)
-
COUNTIFS(
    unit_details[First Listed], "&gt;=" &amp; ($Q$2 - 14),
    unit_details[First Listed], "&lt;=" &amp; ($Q$2 - 7),
    unit_details[Beds], 2,
    unit_details[Property Name], B46
)</f>
        <v>0</v>
      </c>
      <c r="M48" s="805" t="str">
        <f ca="1">IFERROR(AVERAGEIFS(unit_details[Asking Rent],unit_details[First Listed],"&gt;="&amp;($Q$2-7),
unit_details[First Listed],"&lt;="&amp;$Q$2,
unit_details[Beds],2,
unit_details[Property Name],B46),"")</f>
        <v/>
      </c>
      <c r="N48" s="806">
        <f ca="1">COUNTIFS(unit_details[Property Name], B46,
          unit_details[Beds], 2,
          unit_details[Leased Date], "")</f>
        <v>9</v>
      </c>
      <c r="O48" s="804">
        <f t="shared" ca="1" si="0"/>
        <v>0</v>
      </c>
      <c r="P48" s="805">
        <f ca="1">IFERROR(AVERAGEIFS(unit_details[Asking Rent],unit_details[Property Name], B46,
          unit_details[Beds], 2,
          unit_details[Leased Date], ""),"")</f>
        <v>1211.1111111111111</v>
      </c>
      <c r="Q48" s="807">
        <f ca="1">IFERROR(N48/SUMIFS(unit_mix_table['# Units],unit_mix_table[Beds],2,unit_mix_table[Property Name],B46),"")</f>
        <v>1.5</v>
      </c>
    </row>
    <row r="49" spans="2:17" ht="16" thickBot="1" x14ac:dyDescent="0.25">
      <c r="B49" s="808" t="s">
        <v>405</v>
      </c>
      <c r="C49" s="831"/>
      <c r="D49" s="809"/>
      <c r="E49" s="810" t="s">
        <v>387</v>
      </c>
      <c r="F49" s="811">
        <f ca="1">COUNTIFS(unit_details[Leased Date], "&gt;=" &amp; ($Q$2 - 7),
          unit_details[Leased Date], "&lt;" &amp; $Q$2,
          unit_details[Beds], 3,
          unit_details[Property Name], B46)</f>
        <v>0</v>
      </c>
      <c r="G49" s="817">
        <f ca="1">COUNTIFS(unit_details[Leased Date], "&gt;=" &amp; ($Q$2 - 7),
          unit_details[Leased Date], "&lt;" &amp; $Q$2,
          unit_details[Beds], 3,
          unit_details[Property Name], B46)
-
COUNTIFS(unit_details[Leased Date], "&gt;=" &amp; ($Q$2 - 14),
         unit_details[Leased Date], "&lt;=" &amp; ($Q$2 - 7),
         unit_details[Beds], 3,
         unit_details[Property Name], B46)</f>
        <v>0</v>
      </c>
      <c r="H49" s="813" t="str">
        <f ca="1">IFERROR(AVERAGEIFS(unit_details[Asking Rent],unit_details[Leased Date], "&gt;=" &amp; ($Q$2 - 7),
          unit_details[Leased Date], "&lt;" &amp; $Q$2,
          unit_details[Beds], 3,
          unit_details[Property Name], B46),"")</f>
        <v/>
      </c>
      <c r="I49" s="814">
        <f ca="1">IFERROR(
    AVERAGEIFS(unit_details[Asking Rent],
               unit_details[Leased Date], "&gt;=" &amp; ($Q$2 - 7),
               unit_details[Leased Date], "&lt;" &amp; $Q$2,
               unit_details[Beds], 3,
               unit_details[Property Name], B46)
    -
    AVERAGEIFS(unit_details[Asking Rent],
               unit_details[Leased Date], "&gt;=" &amp; ($Q$2 - 14),
               unit_details[Leased Date], "&lt;=" &amp; ($Q$2 - 7),
               unit_details[Beds], 3,
               unit_details[Property Name], B46),
0)</f>
        <v>0</v>
      </c>
      <c r="J49" s="815">
        <f ca="1">IFERROR(I49/AVERAGEIFS(unit_details[Asking Rent],
               unit_details[Leased Date], "&gt;=" &amp; ($Q$2 - 14),
               unit_details[Leased Date], "&lt;=" &amp; ($Q$2 - 7),
               unit_details[Beds], 3,
               unit_details[Property Name], B46),0)</f>
        <v>0</v>
      </c>
      <c r="K49" s="816">
        <f ca="1">COUNTIFS(unit_details[First Listed], "&gt;=" &amp; ($Q$2 - 7),
          unit_details[First Listed], "&lt;" &amp; $Q$2,
          unit_details[Beds], 3,
          unit_details[Property Name], B46)</f>
        <v>0</v>
      </c>
      <c r="L49" s="817">
        <f ca="1">COUNTIFS(
    unit_details[First Listed], "&gt;=" &amp; ($Q$2 - 7),
    unit_details[First Listed], "&lt;" &amp; $Q$2,
    unit_details[Beds], 3,
    unit_details[Property Name], B46
)
-
COUNTIFS(
    unit_details[First Listed], "&gt;=" &amp; ($Q$2 - 14),
    unit_details[First Listed], "&lt;=" &amp; ($Q$2 - 7),
    unit_details[Beds], 3,
    unit_details[Property Name], B46
)</f>
        <v>0</v>
      </c>
      <c r="M49" s="818" t="str">
        <f ca="1">IFERROR(AVERAGEIFS(unit_details[Asking Rent],unit_details[First Listed],"&gt;="&amp;($Q$2-7),
unit_details[First Listed],"&lt;="&amp;$Q$2,
unit_details[Beds],3,
unit_details[Property Name],B46),"")</f>
        <v/>
      </c>
      <c r="N49" s="819">
        <f ca="1">COUNTIFS(unit_details[Property Name], B46,
          unit_details[Beds], 3,
          unit_details[Leased Date], "")</f>
        <v>0</v>
      </c>
      <c r="O49" s="817">
        <f t="shared" ca="1" si="0"/>
        <v>0</v>
      </c>
      <c r="P49" s="818" t="str">
        <f ca="1">IFERROR(AVERAGEIFS(unit_details[Asking Rent],unit_details[Property Name], B46,
          unit_details[Beds], 3,
          unit_details[Leased Date], ""),"")</f>
        <v/>
      </c>
      <c r="Q49" s="820" t="str">
        <f ca="1">IFERROR(N49/SUMIFS(unit_mix_table['# Units],unit_mix_table[Beds],3,unit_mix_table[Property Name],B46),"")</f>
        <v/>
      </c>
    </row>
    <row r="50" spans="2:17" ht="15" x14ac:dyDescent="0.2">
      <c r="B50" s="782" t="str">
        <f ca="1">IF(ISBLANK(OFFSET('Rent Comparison'!$A$1,2,16)),"",IF(OFFSET('Rent Comparison'!$A$1,2,16)=0,B51,OFFSET('Rent Comparison'!$A$1,2,16)))</f>
        <v/>
      </c>
      <c r="C50" s="829" t="str">
        <f ca="1">IF(ISBLANK(B50),"",IFERROR(INDEX(Specials!B:J,MATCH(B50&amp;" - Active",Specials!I:I,0),2),""))</f>
        <v/>
      </c>
      <c r="D50" s="783"/>
      <c r="E50" s="784" t="s">
        <v>7</v>
      </c>
      <c r="F50" s="785">
        <f ca="1">COUNTIFS(unit_details[Leased Date], "&gt;=" &amp; ($Q$2 - 7),
          unit_details[Leased Date], "&lt;" &amp; $Q$2,
          unit_details[Beds], 0,
          unit_details[Property Name], B50)</f>
        <v>0</v>
      </c>
      <c r="G50" s="791">
        <f ca="1">COUNTIFS(unit_details[Leased Date], "&gt;=" &amp; ($Q$2 - 7),
          unit_details[Leased Date], "&lt;" &amp; $Q$2,
          unit_details[Beds], 0,
          unit_details[Property Name], B50)
-
COUNTIFS(unit_details[Leased Date], "&gt;=" &amp; ($Q$2 - 14),
         unit_details[Leased Date], "&lt;=" &amp; ($Q$2 - 7),
         unit_details[Beds], 0,
         unit_details[Property Name], B50)</f>
        <v>0</v>
      </c>
      <c r="H50" s="787" t="str">
        <f ca="1">IFERROR(AVERAGEIFS(unit_details[Asking Rent],unit_details[Leased Date], "&gt;=" &amp; ($Q$2 - 7),
          unit_details[Leased Date], "&lt;" &amp; $Q$2,
          unit_details[Beds], 0,
          unit_details[Property Name], B50),"")</f>
        <v/>
      </c>
      <c r="I50" s="788">
        <f ca="1">IFERROR(
    AVERAGEIFS(unit_details[Asking Rent],
               unit_details[Leased Date], "&gt;=" &amp; ($Q$2 - 7),
               unit_details[Leased Date], "&lt;" &amp; $Q$2,
               unit_details[Beds], 0,
               unit_details[Property Name], B50)
    -
    AVERAGEIFS(unit_details[Asking Rent],
               unit_details[Leased Date], "&gt;=" &amp; ($Q$2 - 14),
               unit_details[Leased Date], "&lt;=" &amp; ($Q$2 - 7),
               unit_details[Beds], 0,
               unit_details[Property Name], B50),
0)</f>
        <v>0</v>
      </c>
      <c r="J50" s="789">
        <f ca="1">IFERROR(I50/AVERAGEIFS(unit_details[Asking Rent],
               unit_details[Leased Date], "&gt;=" &amp; ($Q$2 - 14),
               unit_details[Leased Date], "&lt;=" &amp; ($Q$2 - 7),
               unit_details[Beds], 0,
               unit_details[Property Name], B50),0)</f>
        <v>0</v>
      </c>
      <c r="K50" s="790">
        <f ca="1">COUNTIFS(unit_details[First Listed], "&gt;=" &amp; ($Q$2 - 7),
          unit_details[First Listed], "&lt;" &amp; $Q$2,
          unit_details[Beds], 0,
          unit_details[Property Name], B50)</f>
        <v>0</v>
      </c>
      <c r="L50" s="791">
        <f ca="1">COUNTIFS(
    unit_details[First Listed], "&gt;=" &amp; ($Q$2 - 7),
    unit_details[First Listed], "&lt;" &amp; $Q$2,
    unit_details[Beds], 0,
    unit_details[Property Name], B50
)
-
COUNTIFS(
    unit_details[First Listed], "&gt;=" &amp; ($Q$2 - 14),
    unit_details[First Listed], "&lt;=" &amp; ($Q$2 - 7),
    unit_details[Beds], 0,
    unit_details[Property Name], B50
)</f>
        <v>0</v>
      </c>
      <c r="M50" s="792" t="str">
        <f ca="1">IFERROR(AVERAGEIFS(unit_details[Asking Rent],unit_details[First Listed],"&gt;="&amp;($Q$2-7),
unit_details[First Listed],"&lt;="&amp;$Q$2,
unit_details[Beds],0,
unit_details[Property Name],B50),"")</f>
        <v/>
      </c>
      <c r="N50" s="793">
        <f ca="1">COUNTIFS(unit_details[Property Name], B50,
          unit_details[Beds], 0,
          unit_details[Leased Date], "")</f>
        <v>0</v>
      </c>
      <c r="O50" s="791">
        <f ca="1">N50-(N50-K50+F50)</f>
        <v>0</v>
      </c>
      <c r="P50" s="792" t="str">
        <f ca="1">IFERROR(AVERAGEIFS(unit_details[Asking Rent],unit_details[Property Name], B50,
          unit_details[Beds], 0,
          unit_details[Leased Date], ""),"")</f>
        <v/>
      </c>
      <c r="Q50" s="794" t="str">
        <f ca="1">IFERROR(N50/SUMIFS(unit_mix_table['# Units],unit_mix_table[Beds],0,unit_mix_table[Property Name],B50),"")</f>
        <v/>
      </c>
    </row>
    <row r="51" spans="2:17" ht="15" x14ac:dyDescent="0.2">
      <c r="B51" s="795" t="s">
        <v>486</v>
      </c>
      <c r="C51" s="830"/>
      <c r="D51" s="796"/>
      <c r="E51" s="797" t="s">
        <v>385</v>
      </c>
      <c r="F51" s="798">
        <f ca="1">COUNTIFS(unit_details[Leased Date], "&gt;=" &amp; ($Q$2 - 7),
          unit_details[Leased Date], "&lt;" &amp; $Q$2,
          unit_details[Beds], 1,
          unit_details[Property Name], B50)</f>
        <v>0</v>
      </c>
      <c r="G51" s="804">
        <f ca="1">COUNTIFS(unit_details[Leased Date], "&gt;=" &amp; ($Q$2 - 7),
          unit_details[Leased Date], "&lt;" &amp; $Q$2,
          unit_details[Beds], 1,
          unit_details[Property Name], B50)
-
COUNTIFS(unit_details[Leased Date], "&gt;=" &amp; ($Q$2 - 14),
         unit_details[Leased Date], "&lt;=" &amp; ($Q$2 - 7),
         unit_details[Beds], 1,
         unit_details[Property Name], B50)</f>
        <v>0</v>
      </c>
      <c r="H51" s="800" t="str">
        <f ca="1">IFERROR(AVERAGEIFS(unit_details[Asking Rent],unit_details[Leased Date], "&gt;=" &amp; ($Q$2 - 7),
          unit_details[Leased Date], "&lt;" &amp; $Q$2,
          unit_details[Beds], 1,
          unit_details[Property Name], B50),"")</f>
        <v/>
      </c>
      <c r="I51" s="801">
        <f ca="1">IFERROR(
    AVERAGEIFS(unit_details[Asking Rent],
               unit_details[Leased Date], "&gt;=" &amp; ($Q$2 - 7),
               unit_details[Leased Date], "&lt;" &amp; $Q$2,
               unit_details[Beds], 1,
               unit_details[Property Name], B50)
    -
    AVERAGEIFS(unit_details[Asking Rent],
               unit_details[Leased Date], "&gt;=" &amp; ($Q$2 - 14),
               unit_details[Leased Date], "&lt;=" &amp; ($Q$2 - 7),
               unit_details[Beds], 1,
               unit_details[Property Name], B50),
0)</f>
        <v>0</v>
      </c>
      <c r="J51" s="802">
        <f ca="1">IFERROR(I51/AVERAGEIFS(unit_details[Asking Rent],
               unit_details[Leased Date], "&gt;=" &amp; ($Q$2 - 14),
               unit_details[Leased Date], "&lt;=" &amp; ($Q$2 - 7),
               unit_details[Beds], 1,
               unit_details[Property Name], B50),0)</f>
        <v>0</v>
      </c>
      <c r="K51" s="803">
        <f ca="1">COUNTIFS(unit_details[First Listed], "&gt;=" &amp; ($Q$2 - 7),
          unit_details[First Listed], "&lt;" &amp; $Q$2,
          unit_details[Beds], 1,
          unit_details[Property Name], B50)</f>
        <v>0</v>
      </c>
      <c r="L51" s="804">
        <f ca="1">COUNTIFS(
    unit_details[First Listed], "&gt;=" &amp; ($Q$2 - 7),
    unit_details[First Listed], "&lt;" &amp; $Q$2,
    unit_details[Beds], 1,
    unit_details[Property Name], B50
)
-
COUNTIFS(
    unit_details[First Listed], "&gt;=" &amp; ($Q$2 - 14),
    unit_details[First Listed], "&lt;=" &amp; ($Q$2 - 7),
    unit_details[Beds], 1,
    unit_details[Property Name], B50
)</f>
        <v>0</v>
      </c>
      <c r="M51" s="805" t="str">
        <f ca="1">IFERROR(AVERAGEIFS(unit_details[Asking Rent],unit_details[First Listed],"&gt;="&amp;($Q$2-7),
unit_details[First Listed],"&lt;="&amp;$Q$2,
unit_details[Beds],1,
unit_details[Property Name],B50),"")</f>
        <v/>
      </c>
      <c r="N51" s="806">
        <f ca="1">COUNTIFS(unit_details[Property Name], B50,
          unit_details[Beds], 1,
          unit_details[Leased Date], "")</f>
        <v>7</v>
      </c>
      <c r="O51" s="804">
        <f ca="1">N51-(N51-K51+F51)</f>
        <v>0</v>
      </c>
      <c r="P51" s="805">
        <f ca="1">IFERROR(AVERAGEIFS(unit_details[Asking Rent],unit_details[Property Name], B50,
          unit_details[Beds], 1,
          unit_details[Leased Date], ""),"")</f>
        <v>1028.5714285714287</v>
      </c>
      <c r="Q51" s="807">
        <f ca="1">IFERROR(N51/SUMIFS(unit_mix_table['# Units],unit_mix_table[Beds],1,unit_mix_table[Property Name],B50),"")</f>
        <v>2.3333333333333335</v>
      </c>
    </row>
    <row r="52" spans="2:17" ht="15" x14ac:dyDescent="0.2">
      <c r="B52" s="795" t="s">
        <v>405</v>
      </c>
      <c r="C52" s="830"/>
      <c r="D52" s="796"/>
      <c r="E52" s="797" t="s">
        <v>386</v>
      </c>
      <c r="F52" s="798">
        <f ca="1">COUNTIFS(unit_details[Leased Date], "&gt;=" &amp; ($Q$2 - 7),
          unit_details[Leased Date], "&lt;" &amp; $Q$2,
          unit_details[Beds], 2,
          unit_details[Property Name], B50)</f>
        <v>0</v>
      </c>
      <c r="G52" s="804">
        <f ca="1">COUNTIFS(unit_details[Leased Date], "&gt;=" &amp; ($Q$2 - 7),
          unit_details[Leased Date], "&lt;" &amp; $Q$2,
          unit_details[Beds], 2,
          unit_details[Property Name], B50)
-
COUNTIFS(unit_details[Leased Date], "&gt;=" &amp; ($Q$2 - 14),
         unit_details[Leased Date], "&lt;=" &amp; ($Q$2 - 7),
         unit_details[Beds], 2,
         unit_details[Property Name], B50)</f>
        <v>0</v>
      </c>
      <c r="H52" s="800" t="str">
        <f ca="1">IFERROR(AVERAGEIFS(unit_details[Asking Rent],unit_details[Leased Date], "&gt;=" &amp; ($Q$2 - 7),
          unit_details[Leased Date], "&lt;" &amp; $Q$2,
          unit_details[Beds], 2,
          unit_details[Property Name], B50),"")</f>
        <v/>
      </c>
      <c r="I52" s="801">
        <f ca="1">IFERROR(
    AVERAGEIFS(unit_details[Asking Rent],
               unit_details[Leased Date], "&gt;=" &amp; ($Q$2 - 7),
               unit_details[Leased Date], "&lt;" &amp; $Q$2,
               unit_details[Beds], 2,
               unit_details[Property Name], B50)
    -
    AVERAGEIFS(unit_details[Asking Rent],
               unit_details[Leased Date], "&gt;=" &amp; ($Q$2 - 14),
               unit_details[Leased Date], "&lt;=" &amp; ($Q$2 - 7),
               unit_details[Beds], 2,
               unit_details[Property Name], B50),
0)</f>
        <v>0</v>
      </c>
      <c r="J52" s="802">
        <f ca="1">IFERROR(I52/AVERAGEIFS(unit_details[Asking Rent],
               unit_details[Leased Date], "&gt;=" &amp; ($Q$2 - 14),
               unit_details[Leased Date], "&lt;=" &amp; ($Q$2 - 7),
               unit_details[Beds], 2,
               unit_details[Property Name], B50),0)</f>
        <v>0</v>
      </c>
      <c r="K52" s="803">
        <f ca="1">COUNTIFS(unit_details[First Listed], "&gt;=" &amp; ($Q$2 - 7),
          unit_details[First Listed], "&lt;" &amp; $Q$2,
          unit_details[Beds], 2,
          unit_details[Property Name], B50)</f>
        <v>0</v>
      </c>
      <c r="L52" s="804">
        <f ca="1">COUNTIFS(
    unit_details[First Listed], "&gt;=" &amp; ($Q$2 - 7),
    unit_details[First Listed], "&lt;" &amp; $Q$2,
    unit_details[Beds], 2,
    unit_details[Property Name], B50
)
-
COUNTIFS(
    unit_details[First Listed], "&gt;=" &amp; ($Q$2 - 14),
    unit_details[First Listed], "&lt;=" &amp; ($Q$2 - 7),
    unit_details[Beds], 2,
    unit_details[Property Name], B50
)</f>
        <v>0</v>
      </c>
      <c r="M52" s="805" t="str">
        <f ca="1">IFERROR(AVERAGEIFS(unit_details[Asking Rent],unit_details[First Listed],"&gt;="&amp;($Q$2-7),
unit_details[First Listed],"&lt;="&amp;$Q$2,
unit_details[Beds],2,
unit_details[Property Name],B50),"")</f>
        <v/>
      </c>
      <c r="N52" s="806">
        <f ca="1">COUNTIFS(unit_details[Property Name], B50,
          unit_details[Beds], 2,
          unit_details[Leased Date], "")</f>
        <v>9</v>
      </c>
      <c r="O52" s="804">
        <f ca="1">N52-(N52-K52+F52)</f>
        <v>0</v>
      </c>
      <c r="P52" s="805">
        <f ca="1">IFERROR(AVERAGEIFS(unit_details[Asking Rent],unit_details[Property Name], B50,
          unit_details[Beds], 2,
          unit_details[Leased Date], ""),"")</f>
        <v>1211.1111111111111</v>
      </c>
      <c r="Q52" s="807">
        <f ca="1">IFERROR(N52/SUMIFS(unit_mix_table['# Units],unit_mix_table[Beds],2,unit_mix_table[Property Name],B50),"")</f>
        <v>1.5</v>
      </c>
    </row>
    <row r="53" spans="2:17" ht="16" thickBot="1" x14ac:dyDescent="0.25">
      <c r="B53" s="808" t="s">
        <v>479</v>
      </c>
      <c r="C53" s="831"/>
      <c r="D53" s="809"/>
      <c r="E53" s="810" t="s">
        <v>387</v>
      </c>
      <c r="F53" s="811">
        <f ca="1">COUNTIFS(unit_details[Leased Date], "&gt;=" &amp; ($Q$2 - 7),
          unit_details[Leased Date], "&lt;" &amp; $Q$2,
          unit_details[Beds], 3,
          unit_details[Property Name], B50)</f>
        <v>0</v>
      </c>
      <c r="G53" s="817">
        <f ca="1">COUNTIFS(unit_details[Leased Date], "&gt;=" &amp; ($Q$2 - 7),
          unit_details[Leased Date], "&lt;" &amp; $Q$2,
          unit_details[Beds], 3,
          unit_details[Property Name], B50)
-
COUNTIFS(unit_details[Leased Date], "&gt;=" &amp; ($Q$2 - 14),
         unit_details[Leased Date], "&lt;=" &amp; ($Q$2 - 7),
         unit_details[Beds], 3,
         unit_details[Property Name], B50)</f>
        <v>0</v>
      </c>
      <c r="H53" s="813" t="str">
        <f ca="1">IFERROR(AVERAGEIFS(unit_details[Asking Rent],unit_details[Leased Date], "&gt;=" &amp; ($Q$2 - 7),
          unit_details[Leased Date], "&lt;" &amp; $Q$2,
          unit_details[Beds], 3,
          unit_details[Property Name], B50),"")</f>
        <v/>
      </c>
      <c r="I53" s="814">
        <f ca="1">IFERROR(
    AVERAGEIFS(unit_details[Asking Rent],
               unit_details[Leased Date], "&gt;=" &amp; ($Q$2 - 7),
               unit_details[Leased Date], "&lt;" &amp; $Q$2,
               unit_details[Beds], 3,
               unit_details[Property Name], B50)
    -
    AVERAGEIFS(unit_details[Asking Rent],
               unit_details[Leased Date], "&gt;=" &amp; ($Q$2 - 14),
               unit_details[Leased Date], "&lt;=" &amp; ($Q$2 - 7),
               unit_details[Beds], 3,
               unit_details[Property Name], B50),
0)</f>
        <v>0</v>
      </c>
      <c r="J53" s="815">
        <f ca="1">IFERROR(I53/AVERAGEIFS(unit_details[Asking Rent],
               unit_details[Leased Date], "&gt;=" &amp; ($Q$2 - 14),
               unit_details[Leased Date], "&lt;=" &amp; ($Q$2 - 7),
               unit_details[Beds], 3,
               unit_details[Property Name], B50),0)</f>
        <v>0</v>
      </c>
      <c r="K53" s="816">
        <f ca="1">COUNTIFS(unit_details[First Listed], "&gt;=" &amp; ($Q$2 - 7),
          unit_details[First Listed], "&lt;" &amp; $Q$2,
          unit_details[Beds], 3,
          unit_details[Property Name], B50)</f>
        <v>0</v>
      </c>
      <c r="L53" s="817">
        <f ca="1">COUNTIFS(
    unit_details[First Listed], "&gt;=" &amp; ($Q$2 - 7),
    unit_details[First Listed], "&lt;" &amp; $Q$2,
    unit_details[Beds], 3,
    unit_details[Property Name], B50
)
-
COUNTIFS(
    unit_details[First Listed], "&gt;=" &amp; ($Q$2 - 14),
    unit_details[First Listed], "&lt;=" &amp; ($Q$2 - 7),
    unit_details[Beds], 3,
    unit_details[Property Name], B50
)</f>
        <v>0</v>
      </c>
      <c r="M53" s="818" t="str">
        <f ca="1">IFERROR(AVERAGEIFS(unit_details[Asking Rent],unit_details[First Listed],"&gt;="&amp;($Q$2-7),
unit_details[First Listed],"&lt;="&amp;$Q$2,
unit_details[Beds],3,
unit_details[Property Name],B50),"")</f>
        <v/>
      </c>
      <c r="N53" s="819">
        <f ca="1">COUNTIFS(unit_details[Property Name], B50,
          unit_details[Beds], 3,
          unit_details[Leased Date], "")</f>
        <v>0</v>
      </c>
      <c r="O53" s="817">
        <f ca="1">N53-(N53-K53+F53)</f>
        <v>0</v>
      </c>
      <c r="P53" s="818" t="str">
        <f ca="1">IFERROR(AVERAGEIFS(unit_details[Asking Rent],unit_details[Property Name], B50,
          unit_details[Beds], 3,
          unit_details[Leased Date], ""),"")</f>
        <v/>
      </c>
      <c r="Q53" s="820" t="str">
        <f ca="1">IFERROR(N53/SUMIFS(unit_mix_table['# Units],unit_mix_table[Beds],3,unit_mix_table[Property Name],B50),"")</f>
        <v/>
      </c>
    </row>
    <row r="54" spans="2:17" ht="15" x14ac:dyDescent="0.2">
      <c r="B54" s="782" t="str">
        <f ca="1">IF(ISBLANK(OFFSET('Rent Comparison'!$A$1,2,17)),"",IF(OFFSET('Rent Comparison'!$A$1,2,17)=0,B55,OFFSET('Rent Comparison'!$A$1,2,17)))</f>
        <v/>
      </c>
      <c r="C54" s="829" t="str">
        <f ca="1">IF(ISBLANK(B54),"",IFERROR(INDEX(Specials!B:J,MATCH(B54&amp;" - Active",Specials!I:I,0),2),""))</f>
        <v/>
      </c>
      <c r="D54" s="783"/>
      <c r="E54" s="784" t="s">
        <v>7</v>
      </c>
      <c r="F54" s="785">
        <f ca="1">COUNTIFS(unit_details[Leased Date], "&gt;=" &amp; ($Q$2 - 7),
          unit_details[Leased Date], "&lt;" &amp; $Q$2,
          unit_details[Beds], 0,
          unit_details[Property Name], B54)</f>
        <v>0</v>
      </c>
      <c r="G54" s="791">
        <f ca="1">COUNTIFS(unit_details[Leased Date], "&gt;=" &amp; ($Q$2 - 7),
          unit_details[Leased Date], "&lt;" &amp; $Q$2,
          unit_details[Beds], 0,
          unit_details[Property Name], B54)
-
COUNTIFS(unit_details[Leased Date], "&gt;=" &amp; ($Q$2 - 14),
         unit_details[Leased Date], "&lt;=" &amp; ($Q$2 - 7),
         unit_details[Beds], 0,
         unit_details[Property Name], B54)</f>
        <v>0</v>
      </c>
      <c r="H54" s="787" t="str">
        <f ca="1">IFERROR(AVERAGEIFS(unit_details[Asking Rent],unit_details[Leased Date], "&gt;=" &amp; ($Q$2 - 7),
          unit_details[Leased Date], "&lt;" &amp; $Q$2,
          unit_details[Beds], 0,
          unit_details[Property Name], B54),"")</f>
        <v/>
      </c>
      <c r="I54" s="788">
        <f ca="1">IFERROR(
    AVERAGEIFS(unit_details[Asking Rent],
               unit_details[Leased Date], "&gt;=" &amp; ($Q$2 - 7),
               unit_details[Leased Date], "&lt;" &amp; $Q$2,
               unit_details[Beds], 0,
               unit_details[Property Name], B54)
    -
    AVERAGEIFS(unit_details[Asking Rent],
               unit_details[Leased Date], "&gt;=" &amp; ($Q$2 - 14),
               unit_details[Leased Date], "&lt;=" &amp; ($Q$2 - 7),
               unit_details[Beds], 0,
               unit_details[Property Name], B54),
0)</f>
        <v>0</v>
      </c>
      <c r="J54" s="789">
        <f ca="1">IFERROR(I54/AVERAGEIFS(unit_details[Asking Rent],
               unit_details[Leased Date], "&gt;=" &amp; ($Q$2 - 14),
               unit_details[Leased Date], "&lt;=" &amp; ($Q$2 - 7),
               unit_details[Beds], 0,
               unit_details[Property Name], B54),0)</f>
        <v>0</v>
      </c>
      <c r="K54" s="790">
        <f ca="1">COUNTIFS(unit_details[First Listed], "&gt;=" &amp; ($Q$2 - 7),
          unit_details[First Listed], "&lt;" &amp; $Q$2,
          unit_details[Beds], 0,
          unit_details[Property Name], B54)</f>
        <v>0</v>
      </c>
      <c r="L54" s="791">
        <f ca="1">COUNTIFS(
    unit_details[First Listed], "&gt;=" &amp; ($Q$2 - 7),
    unit_details[First Listed], "&lt;" &amp; $Q$2,
    unit_details[Beds], 0,
    unit_details[Property Name], B54
)
-
COUNTIFS(
    unit_details[First Listed], "&gt;=" &amp; ($Q$2 - 14),
    unit_details[First Listed], "&lt;=" &amp; ($Q$2 - 7),
    unit_details[Beds], 0,
    unit_details[Property Name], B54
)</f>
        <v>0</v>
      </c>
      <c r="M54" s="792" t="str">
        <f ca="1">IFERROR(AVERAGEIFS(unit_details[Asking Rent],unit_details[First Listed],"&gt;="&amp;($Q$2-7),
unit_details[First Listed],"&lt;="&amp;$Q$2,
unit_details[Beds],0,
unit_details[Property Name],B54),"")</f>
        <v/>
      </c>
      <c r="N54" s="793">
        <f ca="1">COUNTIFS(unit_details[Property Name], B54,
          unit_details[Beds], 0,
          unit_details[Leased Date], "")</f>
        <v>0</v>
      </c>
      <c r="O54" s="791">
        <f t="shared" ref="O54:O89" ca="1" si="1">N54-(N54-K54+F54)</f>
        <v>0</v>
      </c>
      <c r="P54" s="792" t="str">
        <f ca="1">IFERROR(AVERAGEIFS(unit_details[Asking Rent],unit_details[Property Name], B54,
          unit_details[Beds], 0,
          unit_details[Leased Date], ""),"")</f>
        <v/>
      </c>
      <c r="Q54" s="794" t="str">
        <f ca="1">IFERROR(N54/SUMIFS(unit_mix_table['# Units],unit_mix_table[Beds],0,unit_mix_table[Property Name],B54),"")</f>
        <v/>
      </c>
    </row>
    <row r="55" spans="2:17" ht="15" x14ac:dyDescent="0.2">
      <c r="B55" s="795" t="s">
        <v>487</v>
      </c>
      <c r="C55" s="830"/>
      <c r="D55" s="796"/>
      <c r="E55" s="797" t="s">
        <v>385</v>
      </c>
      <c r="F55" s="798">
        <f ca="1">COUNTIFS(unit_details[Leased Date], "&gt;=" &amp; ($Q$2 - 7),
          unit_details[Leased Date], "&lt;" &amp; $Q$2,
          unit_details[Beds], 1,
          unit_details[Property Name], B54)</f>
        <v>0</v>
      </c>
      <c r="G55" s="804">
        <f ca="1">COUNTIFS(unit_details[Leased Date], "&gt;=" &amp; ($Q$2 - 7),
          unit_details[Leased Date], "&lt;" &amp; $Q$2,
          unit_details[Beds], 1,
          unit_details[Property Name], B54)
-
COUNTIFS(unit_details[Leased Date], "&gt;=" &amp; ($Q$2 - 14),
         unit_details[Leased Date], "&lt;=" &amp; ($Q$2 - 7),
         unit_details[Beds], 1,
         unit_details[Property Name], B54)</f>
        <v>0</v>
      </c>
      <c r="H55" s="800" t="str">
        <f ca="1">IFERROR(AVERAGEIFS(unit_details[Asking Rent],unit_details[Leased Date], "&gt;=" &amp; ($Q$2 - 7),
          unit_details[Leased Date], "&lt;" &amp; $Q$2,
          unit_details[Beds], 1,
          unit_details[Property Name], B54),"")</f>
        <v/>
      </c>
      <c r="I55" s="801">
        <f ca="1">IFERROR(
    AVERAGEIFS(unit_details[Asking Rent],
               unit_details[Leased Date], "&gt;=" &amp; ($Q$2 - 7),
               unit_details[Leased Date], "&lt;" &amp; $Q$2,
               unit_details[Beds], 1,
               unit_details[Property Name], B54)
    -
    AVERAGEIFS(unit_details[Asking Rent],
               unit_details[Leased Date], "&gt;=" &amp; ($Q$2 - 14),
               unit_details[Leased Date], "&lt;=" &amp; ($Q$2 - 7),
               unit_details[Beds], 1,
               unit_details[Property Name], B54),
0)</f>
        <v>0</v>
      </c>
      <c r="J55" s="802">
        <f ca="1">IFERROR(I55/AVERAGEIFS(unit_details[Asking Rent],
               unit_details[Leased Date], "&gt;=" &amp; ($Q$2 - 14),
               unit_details[Leased Date], "&lt;=" &amp; ($Q$2 - 7),
               unit_details[Beds], 1,
               unit_details[Property Name], B54),0)</f>
        <v>0</v>
      </c>
      <c r="K55" s="803">
        <f ca="1">COUNTIFS(unit_details[First Listed], "&gt;=" &amp; ($Q$2 - 7),
          unit_details[First Listed], "&lt;" &amp; $Q$2,
          unit_details[Beds], 1,
          unit_details[Property Name], B54)</f>
        <v>0</v>
      </c>
      <c r="L55" s="804">
        <f ca="1">COUNTIFS(
    unit_details[First Listed], "&gt;=" &amp; ($Q$2 - 7),
    unit_details[First Listed], "&lt;" &amp; $Q$2,
    unit_details[Beds], 1,
    unit_details[Property Name], B54
)
-
COUNTIFS(
    unit_details[First Listed], "&gt;=" &amp; ($Q$2 - 14),
    unit_details[First Listed], "&lt;=" &amp; ($Q$2 - 7),
    unit_details[Beds], 1,
    unit_details[Property Name], B54
)</f>
        <v>0</v>
      </c>
      <c r="M55" s="805" t="str">
        <f ca="1">IFERROR(AVERAGEIFS(unit_details[Asking Rent],unit_details[First Listed],"&gt;="&amp;($Q$2-7),
unit_details[First Listed],"&lt;="&amp;$Q$2,
unit_details[Beds],1,
unit_details[Property Name],B54),"")</f>
        <v/>
      </c>
      <c r="N55" s="806">
        <f ca="1">COUNTIFS(unit_details[Property Name], B54,
          unit_details[Beds], 1,
          unit_details[Leased Date], "")</f>
        <v>7</v>
      </c>
      <c r="O55" s="804">
        <f t="shared" ca="1" si="1"/>
        <v>0</v>
      </c>
      <c r="P55" s="805">
        <f ca="1">IFERROR(AVERAGEIFS(unit_details[Asking Rent],unit_details[Property Name], B54,
          unit_details[Beds], 1,
          unit_details[Leased Date], ""),"")</f>
        <v>1028.5714285714287</v>
      </c>
      <c r="Q55" s="807">
        <f ca="1">IFERROR(N55/SUMIFS(unit_mix_table['# Units],unit_mix_table[Beds],1,unit_mix_table[Property Name],B54),"")</f>
        <v>2.3333333333333335</v>
      </c>
    </row>
    <row r="56" spans="2:17" ht="15" x14ac:dyDescent="0.2">
      <c r="B56" s="795" t="s">
        <v>405</v>
      </c>
      <c r="C56" s="830"/>
      <c r="D56" s="796"/>
      <c r="E56" s="797" t="s">
        <v>386</v>
      </c>
      <c r="F56" s="798">
        <f ca="1">COUNTIFS(unit_details[Leased Date], "&gt;=" &amp; ($Q$2 - 7),
          unit_details[Leased Date], "&lt;" &amp; $Q$2,
          unit_details[Beds], 2,
          unit_details[Property Name], B54)</f>
        <v>0</v>
      </c>
      <c r="G56" s="804">
        <f ca="1">COUNTIFS(unit_details[Leased Date], "&gt;=" &amp; ($Q$2 - 7),
          unit_details[Leased Date], "&lt;" &amp; $Q$2,
          unit_details[Beds], 2,
          unit_details[Property Name], B54)
-
COUNTIFS(unit_details[Leased Date], "&gt;=" &amp; ($Q$2 - 14),
         unit_details[Leased Date], "&lt;=" &amp; ($Q$2 - 7),
         unit_details[Beds], 2,
         unit_details[Property Name], B54)</f>
        <v>0</v>
      </c>
      <c r="H56" s="800" t="str">
        <f ca="1">IFERROR(AVERAGEIFS(unit_details[Asking Rent],unit_details[Leased Date], "&gt;=" &amp; ($Q$2 - 7),
          unit_details[Leased Date], "&lt;" &amp; $Q$2,
          unit_details[Beds], 2,
          unit_details[Property Name], B54),"")</f>
        <v/>
      </c>
      <c r="I56" s="801">
        <f ca="1">IFERROR(
    AVERAGEIFS(unit_details[Asking Rent],
               unit_details[Leased Date], "&gt;=" &amp; ($Q$2 - 7),
               unit_details[Leased Date], "&lt;" &amp; $Q$2,
               unit_details[Beds], 2,
               unit_details[Property Name], B54)
    -
    AVERAGEIFS(unit_details[Asking Rent],
               unit_details[Leased Date], "&gt;=" &amp; ($Q$2 - 14),
               unit_details[Leased Date], "&lt;=" &amp; ($Q$2 - 7),
               unit_details[Beds], 2,
               unit_details[Property Name], B54),
0)</f>
        <v>0</v>
      </c>
      <c r="J56" s="802">
        <f ca="1">IFERROR(I56/AVERAGEIFS(unit_details[Asking Rent],
               unit_details[Leased Date], "&gt;=" &amp; ($Q$2 - 14),
               unit_details[Leased Date], "&lt;=" &amp; ($Q$2 - 7),
               unit_details[Beds], 2,
               unit_details[Property Name], B54),0)</f>
        <v>0</v>
      </c>
      <c r="K56" s="803">
        <f ca="1">COUNTIFS(unit_details[First Listed], "&gt;=" &amp; ($Q$2 - 7),
          unit_details[First Listed], "&lt;" &amp; $Q$2,
          unit_details[Beds], 2,
          unit_details[Property Name], B54)</f>
        <v>0</v>
      </c>
      <c r="L56" s="804">
        <f ca="1">COUNTIFS(
    unit_details[First Listed], "&gt;=" &amp; ($Q$2 - 7),
    unit_details[First Listed], "&lt;" &amp; $Q$2,
    unit_details[Beds], 2,
    unit_details[Property Name], B54
)
-
COUNTIFS(
    unit_details[First Listed], "&gt;=" &amp; ($Q$2 - 14),
    unit_details[First Listed], "&lt;=" &amp; ($Q$2 - 7),
    unit_details[Beds], 2,
    unit_details[Property Name], B54
)</f>
        <v>0</v>
      </c>
      <c r="M56" s="805" t="str">
        <f ca="1">IFERROR(AVERAGEIFS(unit_details[Asking Rent],unit_details[First Listed],"&gt;="&amp;($Q$2-7),
unit_details[First Listed],"&lt;="&amp;$Q$2,
unit_details[Beds],2,
unit_details[Property Name],B54),"")</f>
        <v/>
      </c>
      <c r="N56" s="806">
        <f ca="1">COUNTIFS(unit_details[Property Name], B54,
          unit_details[Beds], 2,
          unit_details[Leased Date], "")</f>
        <v>9</v>
      </c>
      <c r="O56" s="804">
        <f t="shared" ca="1" si="1"/>
        <v>0</v>
      </c>
      <c r="P56" s="805">
        <f ca="1">IFERROR(AVERAGEIFS(unit_details[Asking Rent],unit_details[Property Name], B54,
          unit_details[Beds], 2,
          unit_details[Leased Date], ""),"")</f>
        <v>1211.1111111111111</v>
      </c>
      <c r="Q56" s="807">
        <f ca="1">IFERROR(N56/SUMIFS(unit_mix_table['# Units],unit_mix_table[Beds],2,unit_mix_table[Property Name],B54),"")</f>
        <v>1.5</v>
      </c>
    </row>
    <row r="57" spans="2:17" ht="16" thickBot="1" x14ac:dyDescent="0.25">
      <c r="B57" s="808" t="s">
        <v>405</v>
      </c>
      <c r="C57" s="831"/>
      <c r="D57" s="809"/>
      <c r="E57" s="810" t="s">
        <v>387</v>
      </c>
      <c r="F57" s="811">
        <f ca="1">COUNTIFS(unit_details[Leased Date], "&gt;=" &amp; ($Q$2 - 7),
          unit_details[Leased Date], "&lt;" &amp; $Q$2,
          unit_details[Beds], 3,
          unit_details[Property Name], B54)</f>
        <v>0</v>
      </c>
      <c r="G57" s="817">
        <f ca="1">COUNTIFS(unit_details[Leased Date], "&gt;=" &amp; ($Q$2 - 7),
          unit_details[Leased Date], "&lt;" &amp; $Q$2,
          unit_details[Beds], 3,
          unit_details[Property Name], B54)
-
COUNTIFS(unit_details[Leased Date], "&gt;=" &amp; ($Q$2 - 14),
         unit_details[Leased Date], "&lt;=" &amp; ($Q$2 - 7),
         unit_details[Beds], 3,
         unit_details[Property Name], B54)</f>
        <v>0</v>
      </c>
      <c r="H57" s="813" t="str">
        <f ca="1">IFERROR(AVERAGEIFS(unit_details[Asking Rent],unit_details[Leased Date], "&gt;=" &amp; ($Q$2 - 7),
          unit_details[Leased Date], "&lt;" &amp; $Q$2,
          unit_details[Beds], 3,
          unit_details[Property Name], B54),"")</f>
        <v/>
      </c>
      <c r="I57" s="814">
        <f ca="1">IFERROR(
    AVERAGEIFS(unit_details[Asking Rent],
               unit_details[Leased Date], "&gt;=" &amp; ($Q$2 - 7),
               unit_details[Leased Date], "&lt;" &amp; $Q$2,
               unit_details[Beds], 3,
               unit_details[Property Name], B54)
    -
    AVERAGEIFS(unit_details[Asking Rent],
               unit_details[Leased Date], "&gt;=" &amp; ($Q$2 - 14),
               unit_details[Leased Date], "&lt;=" &amp; ($Q$2 - 7),
               unit_details[Beds], 3,
               unit_details[Property Name], B54),
0)</f>
        <v>0</v>
      </c>
      <c r="J57" s="815">
        <f ca="1">IFERROR(I57/AVERAGEIFS(unit_details[Asking Rent],
               unit_details[Leased Date], "&gt;=" &amp; ($Q$2 - 14),
               unit_details[Leased Date], "&lt;=" &amp; ($Q$2 - 7),
               unit_details[Beds], 3,
               unit_details[Property Name], B54),0)</f>
        <v>0</v>
      </c>
      <c r="K57" s="816">
        <f ca="1">COUNTIFS(unit_details[First Listed], "&gt;=" &amp; ($Q$2 - 7),
          unit_details[First Listed], "&lt;" &amp; $Q$2,
          unit_details[Beds], 3,
          unit_details[Property Name], B54)</f>
        <v>0</v>
      </c>
      <c r="L57" s="817">
        <f ca="1">COUNTIFS(
    unit_details[First Listed], "&gt;=" &amp; ($Q$2 - 7),
    unit_details[First Listed], "&lt;" &amp; $Q$2,
    unit_details[Beds], 3,
    unit_details[Property Name], B54
)
-
COUNTIFS(
    unit_details[First Listed], "&gt;=" &amp; ($Q$2 - 14),
    unit_details[First Listed], "&lt;=" &amp; ($Q$2 - 7),
    unit_details[Beds], 3,
    unit_details[Property Name], B54
)</f>
        <v>0</v>
      </c>
      <c r="M57" s="818" t="str">
        <f ca="1">IFERROR(AVERAGEIFS(unit_details[Asking Rent],unit_details[First Listed],"&gt;="&amp;($Q$2-7),
unit_details[First Listed],"&lt;="&amp;$Q$2,
unit_details[Beds],3,
unit_details[Property Name],B54),"")</f>
        <v/>
      </c>
      <c r="N57" s="819">
        <f ca="1">COUNTIFS(unit_details[Property Name], B54,
          unit_details[Beds], 3,
          unit_details[Leased Date], "")</f>
        <v>0</v>
      </c>
      <c r="O57" s="817">
        <f t="shared" ca="1" si="1"/>
        <v>0</v>
      </c>
      <c r="P57" s="818" t="str">
        <f ca="1">IFERROR(AVERAGEIFS(unit_details[Asking Rent],unit_details[Property Name], B54,
          unit_details[Beds], 3,
          unit_details[Leased Date], ""),"")</f>
        <v/>
      </c>
      <c r="Q57" s="820" t="str">
        <f ca="1">IFERROR(N57/SUMIFS(unit_mix_table['# Units],unit_mix_table[Beds],3,unit_mix_table[Property Name],B54),"")</f>
        <v/>
      </c>
    </row>
    <row r="58" spans="2:17" ht="15" x14ac:dyDescent="0.2">
      <c r="B58" s="782" t="str">
        <f ca="1">IF(ISBLANK(OFFSET('Rent Comparison'!$A$1,2,18)),"",IF(OFFSET('Rent Comparison'!$A$1,2,18)=0,B59,OFFSET('Rent Comparison'!$A$1,2,18)))</f>
        <v/>
      </c>
      <c r="C58" s="829" t="str">
        <f ca="1">IF(ISBLANK(B58),"",IFERROR(INDEX(Specials!B:J,MATCH(B58&amp;" - Active",Specials!I:I,0),2),""))</f>
        <v/>
      </c>
      <c r="D58" s="783"/>
      <c r="E58" s="784" t="s">
        <v>7</v>
      </c>
      <c r="F58" s="785">
        <f ca="1">COUNTIFS(unit_details[Leased Date], "&gt;=" &amp; ($Q$2 - 7),
          unit_details[Leased Date], "&lt;" &amp; $Q$2,
          unit_details[Beds], 0,
          unit_details[Property Name], B58)</f>
        <v>0</v>
      </c>
      <c r="G58" s="791">
        <f ca="1">COUNTIFS(unit_details[Leased Date], "&gt;=" &amp; ($Q$2 - 7),
          unit_details[Leased Date], "&lt;" &amp; $Q$2,
          unit_details[Beds], 0,
          unit_details[Property Name], B58)
-
COUNTIFS(unit_details[Leased Date], "&gt;=" &amp; ($Q$2 - 14),
         unit_details[Leased Date], "&lt;=" &amp; ($Q$2 - 7),
         unit_details[Beds], 0,
         unit_details[Property Name], B58)</f>
        <v>0</v>
      </c>
      <c r="H58" s="787" t="str">
        <f ca="1">IFERROR(AVERAGEIFS(unit_details[Asking Rent],unit_details[Leased Date], "&gt;=" &amp; ($Q$2 - 7),
          unit_details[Leased Date], "&lt;" &amp; $Q$2,
          unit_details[Beds], 0,
          unit_details[Property Name], B58),"")</f>
        <v/>
      </c>
      <c r="I58" s="788">
        <f ca="1">IFERROR(
    AVERAGEIFS(unit_details[Asking Rent],
               unit_details[Leased Date], "&gt;=" &amp; ($Q$2 - 7),
               unit_details[Leased Date], "&lt;" &amp; $Q$2,
               unit_details[Beds], 0,
               unit_details[Property Name], B58)
    -
    AVERAGEIFS(unit_details[Asking Rent],
               unit_details[Leased Date], "&gt;=" &amp; ($Q$2 - 14),
               unit_details[Leased Date], "&lt;=" &amp; ($Q$2 - 7),
               unit_details[Beds], 0,
               unit_details[Property Name], B58),
0)</f>
        <v>0</v>
      </c>
      <c r="J58" s="789">
        <f ca="1">IFERROR(I58/AVERAGEIFS(unit_details[Asking Rent],
               unit_details[Leased Date], "&gt;=" &amp; ($Q$2 - 14),
               unit_details[Leased Date], "&lt;=" &amp; ($Q$2 - 7),
               unit_details[Beds], 0,
               unit_details[Property Name], B58),0)</f>
        <v>0</v>
      </c>
      <c r="K58" s="790">
        <f ca="1">COUNTIFS(unit_details[First Listed], "&gt;=" &amp; ($Q$2 - 7),
          unit_details[First Listed], "&lt;" &amp; $Q$2,
          unit_details[Beds], 0,
          unit_details[Property Name], B58)</f>
        <v>0</v>
      </c>
      <c r="L58" s="791">
        <f ca="1">COUNTIFS(
    unit_details[First Listed], "&gt;=" &amp; ($Q$2 - 7),
    unit_details[First Listed], "&lt;" &amp; $Q$2,
    unit_details[Beds], 0,
    unit_details[Property Name], B58
)
-
COUNTIFS(
    unit_details[First Listed], "&gt;=" &amp; ($Q$2 - 14),
    unit_details[First Listed], "&lt;=" &amp; ($Q$2 - 7),
    unit_details[Beds], 0,
    unit_details[Property Name], B58
)</f>
        <v>0</v>
      </c>
      <c r="M58" s="792" t="str">
        <f ca="1">IFERROR(AVERAGEIFS(unit_details[Asking Rent],unit_details[First Listed],"&gt;="&amp;($Q$2-7),
unit_details[First Listed],"&lt;="&amp;$Q$2,
unit_details[Beds],0,
unit_details[Property Name],B58),"")</f>
        <v/>
      </c>
      <c r="N58" s="793">
        <f ca="1">COUNTIFS(unit_details[Property Name], B58,
          unit_details[Beds], 0,
          unit_details[Leased Date], "")</f>
        <v>0</v>
      </c>
      <c r="O58" s="791">
        <f t="shared" ca="1" si="1"/>
        <v>0</v>
      </c>
      <c r="P58" s="792" t="str">
        <f ca="1">IFERROR(AVERAGEIFS(unit_details[Asking Rent],unit_details[Property Name], B58,
          unit_details[Beds], 0,
          unit_details[Leased Date], ""),"")</f>
        <v/>
      </c>
      <c r="Q58" s="794" t="str">
        <f ca="1">IFERROR(N58/SUMIFS(unit_mix_table['# Units],unit_mix_table[Beds],0,unit_mix_table[Property Name],B58),"")</f>
        <v/>
      </c>
    </row>
    <row r="59" spans="2:17" ht="15" x14ac:dyDescent="0.2">
      <c r="B59" s="795" t="s">
        <v>488</v>
      </c>
      <c r="C59" s="830"/>
      <c r="D59" s="796"/>
      <c r="E59" s="797" t="s">
        <v>385</v>
      </c>
      <c r="F59" s="798">
        <f ca="1">COUNTIFS(unit_details[Leased Date], "&gt;=" &amp; ($Q$2 - 7),
          unit_details[Leased Date], "&lt;" &amp; $Q$2,
          unit_details[Beds], 1,
          unit_details[Property Name], B58)</f>
        <v>0</v>
      </c>
      <c r="G59" s="804">
        <f ca="1">COUNTIFS(unit_details[Leased Date], "&gt;=" &amp; ($Q$2 - 7),
          unit_details[Leased Date], "&lt;" &amp; $Q$2,
          unit_details[Beds], 1,
          unit_details[Property Name], B58)
-
COUNTIFS(unit_details[Leased Date], "&gt;=" &amp; ($Q$2 - 14),
         unit_details[Leased Date], "&lt;=" &amp; ($Q$2 - 7),
         unit_details[Beds], 1,
         unit_details[Property Name], B58)</f>
        <v>0</v>
      </c>
      <c r="H59" s="800" t="str">
        <f ca="1">IFERROR(AVERAGEIFS(unit_details[Asking Rent],unit_details[Leased Date], "&gt;=" &amp; ($Q$2 - 7),
          unit_details[Leased Date], "&lt;" &amp; $Q$2,
          unit_details[Beds], 1,
          unit_details[Property Name], B58),"")</f>
        <v/>
      </c>
      <c r="I59" s="801">
        <f ca="1">IFERROR(
    AVERAGEIFS(unit_details[Asking Rent],
               unit_details[Leased Date], "&gt;=" &amp; ($Q$2 - 7),
               unit_details[Leased Date], "&lt;" &amp; $Q$2,
               unit_details[Beds], 1,
               unit_details[Property Name], B58)
    -
    AVERAGEIFS(unit_details[Asking Rent],
               unit_details[Leased Date], "&gt;=" &amp; ($Q$2 - 14),
               unit_details[Leased Date], "&lt;=" &amp; ($Q$2 - 7),
               unit_details[Beds], 1,
               unit_details[Property Name], B58),
0)</f>
        <v>0</v>
      </c>
      <c r="J59" s="802">
        <f ca="1">IFERROR(I59/AVERAGEIFS(unit_details[Asking Rent],
               unit_details[Leased Date], "&gt;=" &amp; ($Q$2 - 14),
               unit_details[Leased Date], "&lt;=" &amp; ($Q$2 - 7),
               unit_details[Beds], 1,
               unit_details[Property Name], B58),0)</f>
        <v>0</v>
      </c>
      <c r="K59" s="803">
        <f ca="1">COUNTIFS(unit_details[First Listed], "&gt;=" &amp; ($Q$2 - 7),
          unit_details[First Listed], "&lt;" &amp; $Q$2,
          unit_details[Beds], 1,
          unit_details[Property Name], B58)</f>
        <v>0</v>
      </c>
      <c r="L59" s="804">
        <f ca="1">COUNTIFS(
    unit_details[First Listed], "&gt;=" &amp; ($Q$2 - 7),
    unit_details[First Listed], "&lt;" &amp; $Q$2,
    unit_details[Beds], 1,
    unit_details[Property Name], B58
)
-
COUNTIFS(
    unit_details[First Listed], "&gt;=" &amp; ($Q$2 - 14),
    unit_details[First Listed], "&lt;=" &amp; ($Q$2 - 7),
    unit_details[Beds], 1,
    unit_details[Property Name], B58
)</f>
        <v>0</v>
      </c>
      <c r="M59" s="805" t="str">
        <f ca="1">IFERROR(AVERAGEIFS(unit_details[Asking Rent],unit_details[First Listed],"&gt;="&amp;($Q$2-7),
unit_details[First Listed],"&lt;="&amp;$Q$2,
unit_details[Beds],1,
unit_details[Property Name],B58),"")</f>
        <v/>
      </c>
      <c r="N59" s="806">
        <f ca="1">COUNTIFS(unit_details[Property Name], B58,
          unit_details[Beds], 1,
          unit_details[Leased Date], "")</f>
        <v>7</v>
      </c>
      <c r="O59" s="804">
        <f t="shared" ca="1" si="1"/>
        <v>0</v>
      </c>
      <c r="P59" s="805">
        <f ca="1">IFERROR(AVERAGEIFS(unit_details[Asking Rent],unit_details[Property Name], B58,
          unit_details[Beds], 1,
          unit_details[Leased Date], ""),"")</f>
        <v>1028.5714285714287</v>
      </c>
      <c r="Q59" s="807">
        <f ca="1">IFERROR(N59/SUMIFS(unit_mix_table['# Units],unit_mix_table[Beds],1,unit_mix_table[Property Name],B58),"")</f>
        <v>2.3333333333333335</v>
      </c>
    </row>
    <row r="60" spans="2:17" ht="15" x14ac:dyDescent="0.2">
      <c r="B60" s="795" t="s">
        <v>405</v>
      </c>
      <c r="C60" s="830"/>
      <c r="D60" s="796"/>
      <c r="E60" s="797" t="s">
        <v>386</v>
      </c>
      <c r="F60" s="798">
        <f ca="1">COUNTIFS(unit_details[Leased Date], "&gt;=" &amp; ($Q$2 - 7),
          unit_details[Leased Date], "&lt;" &amp; $Q$2,
          unit_details[Beds], 2,
          unit_details[Property Name], B58)</f>
        <v>0</v>
      </c>
      <c r="G60" s="804">
        <f ca="1">COUNTIFS(unit_details[Leased Date], "&gt;=" &amp; ($Q$2 - 7),
          unit_details[Leased Date], "&lt;" &amp; $Q$2,
          unit_details[Beds], 2,
          unit_details[Property Name], B58)
-
COUNTIFS(unit_details[Leased Date], "&gt;=" &amp; ($Q$2 - 14),
         unit_details[Leased Date], "&lt;=" &amp; ($Q$2 - 7),
         unit_details[Beds], 2,
         unit_details[Property Name], B58)</f>
        <v>0</v>
      </c>
      <c r="H60" s="800" t="str">
        <f ca="1">IFERROR(AVERAGEIFS(unit_details[Asking Rent],unit_details[Leased Date], "&gt;=" &amp; ($Q$2 - 7),
          unit_details[Leased Date], "&lt;" &amp; $Q$2,
          unit_details[Beds], 2,
          unit_details[Property Name], B58),"")</f>
        <v/>
      </c>
      <c r="I60" s="801">
        <f ca="1">IFERROR(
    AVERAGEIFS(unit_details[Asking Rent],
               unit_details[Leased Date], "&gt;=" &amp; ($Q$2 - 7),
               unit_details[Leased Date], "&lt;" &amp; $Q$2,
               unit_details[Beds], 2,
               unit_details[Property Name], B58)
    -
    AVERAGEIFS(unit_details[Asking Rent],
               unit_details[Leased Date], "&gt;=" &amp; ($Q$2 - 14),
               unit_details[Leased Date], "&lt;=" &amp; ($Q$2 - 7),
               unit_details[Beds], 2,
               unit_details[Property Name], B58),
0)</f>
        <v>0</v>
      </c>
      <c r="J60" s="802">
        <f ca="1">IFERROR(I60/AVERAGEIFS(unit_details[Asking Rent],
               unit_details[Leased Date], "&gt;=" &amp; ($Q$2 - 14),
               unit_details[Leased Date], "&lt;=" &amp; ($Q$2 - 7),
               unit_details[Beds], 2,
               unit_details[Property Name], B58),0)</f>
        <v>0</v>
      </c>
      <c r="K60" s="803">
        <f ca="1">COUNTIFS(unit_details[First Listed], "&gt;=" &amp; ($Q$2 - 7),
          unit_details[First Listed], "&lt;" &amp; $Q$2,
          unit_details[Beds], 2,
          unit_details[Property Name], B58)</f>
        <v>0</v>
      </c>
      <c r="L60" s="804">
        <f ca="1">COUNTIFS(
    unit_details[First Listed], "&gt;=" &amp; ($Q$2 - 7),
    unit_details[First Listed], "&lt;" &amp; $Q$2,
    unit_details[Beds], 2,
    unit_details[Property Name], B58
)
-
COUNTIFS(
    unit_details[First Listed], "&gt;=" &amp; ($Q$2 - 14),
    unit_details[First Listed], "&lt;=" &amp; ($Q$2 - 7),
    unit_details[Beds], 2,
    unit_details[Property Name], B58
)</f>
        <v>0</v>
      </c>
      <c r="M60" s="805" t="str">
        <f ca="1">IFERROR(AVERAGEIFS(unit_details[Asking Rent],unit_details[First Listed],"&gt;="&amp;($Q$2-7),
unit_details[First Listed],"&lt;="&amp;$Q$2,
unit_details[Beds],2,
unit_details[Property Name],B58),"")</f>
        <v/>
      </c>
      <c r="N60" s="806">
        <f ca="1">COUNTIFS(unit_details[Property Name], B58,
          unit_details[Beds], 2,
          unit_details[Leased Date], "")</f>
        <v>9</v>
      </c>
      <c r="O60" s="804">
        <f t="shared" ca="1" si="1"/>
        <v>0</v>
      </c>
      <c r="P60" s="805">
        <f ca="1">IFERROR(AVERAGEIFS(unit_details[Asking Rent],unit_details[Property Name], B58,
          unit_details[Beds], 2,
          unit_details[Leased Date], ""),"")</f>
        <v>1211.1111111111111</v>
      </c>
      <c r="Q60" s="807">
        <f ca="1">IFERROR(N60/SUMIFS(unit_mix_table['# Units],unit_mix_table[Beds],2,unit_mix_table[Property Name],B58),"")</f>
        <v>1.5</v>
      </c>
    </row>
    <row r="61" spans="2:17" ht="16" thickBot="1" x14ac:dyDescent="0.25">
      <c r="B61" s="808" t="s">
        <v>405</v>
      </c>
      <c r="C61" s="831"/>
      <c r="D61" s="809"/>
      <c r="E61" s="810" t="s">
        <v>387</v>
      </c>
      <c r="F61" s="811">
        <f ca="1">COUNTIFS(unit_details[Leased Date], "&gt;=" &amp; ($Q$2 - 7),
          unit_details[Leased Date], "&lt;" &amp; $Q$2,
          unit_details[Beds], 3,
          unit_details[Property Name], B58)</f>
        <v>0</v>
      </c>
      <c r="G61" s="817">
        <f ca="1">COUNTIFS(unit_details[Leased Date], "&gt;=" &amp; ($Q$2 - 7),
          unit_details[Leased Date], "&lt;" &amp; $Q$2,
          unit_details[Beds], 3,
          unit_details[Property Name], B58)
-
COUNTIFS(unit_details[Leased Date], "&gt;=" &amp; ($Q$2 - 14),
         unit_details[Leased Date], "&lt;=" &amp; ($Q$2 - 7),
         unit_details[Beds], 3,
         unit_details[Property Name], B58)</f>
        <v>0</v>
      </c>
      <c r="H61" s="813" t="str">
        <f ca="1">IFERROR(AVERAGEIFS(unit_details[Asking Rent],unit_details[Leased Date], "&gt;=" &amp; ($Q$2 - 7),
          unit_details[Leased Date], "&lt;" &amp; $Q$2,
          unit_details[Beds], 3,
          unit_details[Property Name], B58),"")</f>
        <v/>
      </c>
      <c r="I61" s="814">
        <f ca="1">IFERROR(
    AVERAGEIFS(unit_details[Asking Rent],
               unit_details[Leased Date], "&gt;=" &amp; ($Q$2 - 7),
               unit_details[Leased Date], "&lt;" &amp; $Q$2,
               unit_details[Beds], 3,
               unit_details[Property Name], B58)
    -
    AVERAGEIFS(unit_details[Asking Rent],
               unit_details[Leased Date], "&gt;=" &amp; ($Q$2 - 14),
               unit_details[Leased Date], "&lt;=" &amp; ($Q$2 - 7),
               unit_details[Beds], 3,
               unit_details[Property Name], B58),
0)</f>
        <v>0</v>
      </c>
      <c r="J61" s="815">
        <f ca="1">IFERROR(I61/AVERAGEIFS(unit_details[Asking Rent],
               unit_details[Leased Date], "&gt;=" &amp; ($Q$2 - 14),
               unit_details[Leased Date], "&lt;=" &amp; ($Q$2 - 7),
               unit_details[Beds], 3,
               unit_details[Property Name], B58),0)</f>
        <v>0</v>
      </c>
      <c r="K61" s="816">
        <f ca="1">COUNTIFS(unit_details[First Listed], "&gt;=" &amp; ($Q$2 - 7),
          unit_details[First Listed], "&lt;" &amp; $Q$2,
          unit_details[Beds], 3,
          unit_details[Property Name], B58)</f>
        <v>0</v>
      </c>
      <c r="L61" s="817">
        <f ca="1">COUNTIFS(
    unit_details[First Listed], "&gt;=" &amp; ($Q$2 - 7),
    unit_details[First Listed], "&lt;" &amp; $Q$2,
    unit_details[Beds], 3,
    unit_details[Property Name], B58
)
-
COUNTIFS(
    unit_details[First Listed], "&gt;=" &amp; ($Q$2 - 14),
    unit_details[First Listed], "&lt;=" &amp; ($Q$2 - 7),
    unit_details[Beds], 3,
    unit_details[Property Name], B58
)</f>
        <v>0</v>
      </c>
      <c r="M61" s="818" t="str">
        <f ca="1">IFERROR(AVERAGEIFS(unit_details[Asking Rent],unit_details[First Listed],"&gt;="&amp;($Q$2-7),
unit_details[First Listed],"&lt;="&amp;$Q$2,
unit_details[Beds],3,
unit_details[Property Name],B58),"")</f>
        <v/>
      </c>
      <c r="N61" s="819">
        <f ca="1">COUNTIFS(unit_details[Property Name], B58,
          unit_details[Beds], 3,
          unit_details[Leased Date], "")</f>
        <v>0</v>
      </c>
      <c r="O61" s="817">
        <f t="shared" ca="1" si="1"/>
        <v>0</v>
      </c>
      <c r="P61" s="818" t="str">
        <f ca="1">IFERROR(AVERAGEIFS(unit_details[Asking Rent],unit_details[Property Name], B58,
          unit_details[Beds], 3,
          unit_details[Leased Date], ""),"")</f>
        <v/>
      </c>
      <c r="Q61" s="820" t="str">
        <f ca="1">IFERROR(N61/SUMIFS(unit_mix_table['# Units],unit_mix_table[Beds],3,unit_mix_table[Property Name],B58),"")</f>
        <v/>
      </c>
    </row>
    <row r="62" spans="2:17" ht="15" x14ac:dyDescent="0.2">
      <c r="B62" s="782" t="str">
        <f ca="1">IF(ISBLANK(OFFSET('Rent Comparison'!$A$1,2,19)),"",IF(OFFSET('Rent Comparison'!$A$1,2,19)=0,B63,OFFSET('Rent Comparison'!$A$1,2,19)))</f>
        <v/>
      </c>
      <c r="C62" s="829" t="str">
        <f ca="1">IF(ISBLANK(B62),"",IFERROR(INDEX(Specials!B:J,MATCH(B62&amp;" - Active",Specials!I:I,0),2),""))</f>
        <v/>
      </c>
      <c r="D62" s="783"/>
      <c r="E62" s="784" t="s">
        <v>7</v>
      </c>
      <c r="F62" s="785">
        <f ca="1">COUNTIFS(unit_details[Leased Date], "&gt;=" &amp; ($Q$2 - 7),
          unit_details[Leased Date], "&lt;" &amp; $Q$2,
          unit_details[Beds], 0,
          unit_details[Property Name], B62)</f>
        <v>0</v>
      </c>
      <c r="G62" s="791">
        <f ca="1">COUNTIFS(unit_details[Leased Date], "&gt;=" &amp; ($Q$2 - 7),
          unit_details[Leased Date], "&lt;" &amp; $Q$2,
          unit_details[Beds], 0,
          unit_details[Property Name], B62)
-
COUNTIFS(unit_details[Leased Date], "&gt;=" &amp; ($Q$2 - 14),
         unit_details[Leased Date], "&lt;=" &amp; ($Q$2 - 7),
         unit_details[Beds], 0,
         unit_details[Property Name], B62)</f>
        <v>0</v>
      </c>
      <c r="H62" s="787" t="str">
        <f ca="1">IFERROR(AVERAGEIFS(unit_details[Asking Rent],unit_details[Leased Date], "&gt;=" &amp; ($Q$2 - 7),
          unit_details[Leased Date], "&lt;" &amp; $Q$2,
          unit_details[Beds], 0,
          unit_details[Property Name], B62),"")</f>
        <v/>
      </c>
      <c r="I62" s="788">
        <f ca="1">IFERROR(
    AVERAGEIFS(unit_details[Asking Rent],
               unit_details[Leased Date], "&gt;=" &amp; ($Q$2 - 7),
               unit_details[Leased Date], "&lt;" &amp; $Q$2,
               unit_details[Beds], 0,
               unit_details[Property Name], B62)
    -
    AVERAGEIFS(unit_details[Asking Rent],
               unit_details[Leased Date], "&gt;=" &amp; ($Q$2 - 14),
               unit_details[Leased Date], "&lt;=" &amp; ($Q$2 - 7),
               unit_details[Beds], 0,
               unit_details[Property Name], B62),
0)</f>
        <v>0</v>
      </c>
      <c r="J62" s="789">
        <f ca="1">IFERROR(I62/AVERAGEIFS(unit_details[Asking Rent],
               unit_details[Leased Date], "&gt;=" &amp; ($Q$2 - 14),
               unit_details[Leased Date], "&lt;=" &amp; ($Q$2 - 7),
               unit_details[Beds], 0,
               unit_details[Property Name], B62),0)</f>
        <v>0</v>
      </c>
      <c r="K62" s="790">
        <f ca="1">COUNTIFS(unit_details[First Listed], "&gt;=" &amp; ($Q$2 - 7),
          unit_details[First Listed], "&lt;" &amp; $Q$2,
          unit_details[Beds], 0,
          unit_details[Property Name], B62)</f>
        <v>0</v>
      </c>
      <c r="L62" s="791">
        <f ca="1">COUNTIFS(
    unit_details[First Listed], "&gt;=" &amp; ($Q$2 - 7),
    unit_details[First Listed], "&lt;" &amp; $Q$2,
    unit_details[Beds], 0,
    unit_details[Property Name], B62
)
-
COUNTIFS(
    unit_details[First Listed], "&gt;=" &amp; ($Q$2 - 14),
    unit_details[First Listed], "&lt;=" &amp; ($Q$2 - 7),
    unit_details[Beds], 0,
    unit_details[Property Name], B62
)</f>
        <v>0</v>
      </c>
      <c r="M62" s="792" t="str">
        <f ca="1">IFERROR(AVERAGEIFS(unit_details[Asking Rent],unit_details[First Listed],"&gt;="&amp;($Q$2-7),
unit_details[First Listed],"&lt;="&amp;$Q$2,
unit_details[Beds],0,
unit_details[Property Name],B62),"")</f>
        <v/>
      </c>
      <c r="N62" s="793">
        <f ca="1">COUNTIFS(unit_details[Property Name], B62,
          unit_details[Beds], 0,
          unit_details[Leased Date], "")</f>
        <v>0</v>
      </c>
      <c r="O62" s="791">
        <f t="shared" ca="1" si="1"/>
        <v>0</v>
      </c>
      <c r="P62" s="792" t="str">
        <f ca="1">IFERROR(AVERAGEIFS(unit_details[Asking Rent],unit_details[Property Name], B62,
          unit_details[Beds], 0,
          unit_details[Leased Date], ""),"")</f>
        <v/>
      </c>
      <c r="Q62" s="794" t="str">
        <f ca="1">IFERROR(N62/SUMIFS(unit_mix_table['# Units],unit_mix_table[Beds],0,unit_mix_table[Property Name],B62),"")</f>
        <v/>
      </c>
    </row>
    <row r="63" spans="2:17" ht="15" x14ac:dyDescent="0.2">
      <c r="B63" s="795" t="s">
        <v>489</v>
      </c>
      <c r="C63" s="830"/>
      <c r="D63" s="796"/>
      <c r="E63" s="797" t="s">
        <v>385</v>
      </c>
      <c r="F63" s="798">
        <f ca="1">COUNTIFS(unit_details[Leased Date], "&gt;=" &amp; ($Q$2 - 7),
          unit_details[Leased Date], "&lt;" &amp; $Q$2,
          unit_details[Beds], 1,
          unit_details[Property Name], B62)</f>
        <v>0</v>
      </c>
      <c r="G63" s="804">
        <f ca="1">COUNTIFS(unit_details[Leased Date], "&gt;=" &amp; ($Q$2 - 7),
          unit_details[Leased Date], "&lt;" &amp; $Q$2,
          unit_details[Beds], 1,
          unit_details[Property Name], B62)
-
COUNTIFS(unit_details[Leased Date], "&gt;=" &amp; ($Q$2 - 14),
         unit_details[Leased Date], "&lt;=" &amp; ($Q$2 - 7),
         unit_details[Beds], 1,
         unit_details[Property Name], B62)</f>
        <v>0</v>
      </c>
      <c r="H63" s="800" t="str">
        <f ca="1">IFERROR(AVERAGEIFS(unit_details[Asking Rent],unit_details[Leased Date], "&gt;=" &amp; ($Q$2 - 7),
          unit_details[Leased Date], "&lt;" &amp; $Q$2,
          unit_details[Beds], 1,
          unit_details[Property Name], B62),"")</f>
        <v/>
      </c>
      <c r="I63" s="801">
        <f ca="1">IFERROR(
    AVERAGEIFS(unit_details[Asking Rent],
               unit_details[Leased Date], "&gt;=" &amp; ($Q$2 - 7),
               unit_details[Leased Date], "&lt;" &amp; $Q$2,
               unit_details[Beds], 1,
               unit_details[Property Name], B62)
    -
    AVERAGEIFS(unit_details[Asking Rent],
               unit_details[Leased Date], "&gt;=" &amp; ($Q$2 - 14),
               unit_details[Leased Date], "&lt;=" &amp; ($Q$2 - 7),
               unit_details[Beds], 1,
               unit_details[Property Name], B62),
0)</f>
        <v>0</v>
      </c>
      <c r="J63" s="802">
        <f ca="1">IFERROR(I63/AVERAGEIFS(unit_details[Asking Rent],
               unit_details[Leased Date], "&gt;=" &amp; ($Q$2 - 14),
               unit_details[Leased Date], "&lt;=" &amp; ($Q$2 - 7),
               unit_details[Beds], 1,
               unit_details[Property Name], B62),0)</f>
        <v>0</v>
      </c>
      <c r="K63" s="803">
        <f ca="1">COUNTIFS(unit_details[First Listed], "&gt;=" &amp; ($Q$2 - 7),
          unit_details[First Listed], "&lt;" &amp; $Q$2,
          unit_details[Beds], 1,
          unit_details[Property Name], B62)</f>
        <v>0</v>
      </c>
      <c r="L63" s="804">
        <f ca="1">COUNTIFS(
    unit_details[First Listed], "&gt;=" &amp; ($Q$2 - 7),
    unit_details[First Listed], "&lt;" &amp; $Q$2,
    unit_details[Beds], 1,
    unit_details[Property Name], B62
)
-
COUNTIFS(
    unit_details[First Listed], "&gt;=" &amp; ($Q$2 - 14),
    unit_details[First Listed], "&lt;=" &amp; ($Q$2 - 7),
    unit_details[Beds], 1,
    unit_details[Property Name], B62
)</f>
        <v>0</v>
      </c>
      <c r="M63" s="805" t="str">
        <f ca="1">IFERROR(AVERAGEIFS(unit_details[Asking Rent],unit_details[First Listed],"&gt;="&amp;($Q$2-7),
unit_details[First Listed],"&lt;="&amp;$Q$2,
unit_details[Beds],1,
unit_details[Property Name],B62),"")</f>
        <v/>
      </c>
      <c r="N63" s="806">
        <f ca="1">COUNTIFS(unit_details[Property Name], B62,
          unit_details[Beds], 1,
          unit_details[Leased Date], "")</f>
        <v>7</v>
      </c>
      <c r="O63" s="804">
        <f t="shared" ca="1" si="1"/>
        <v>0</v>
      </c>
      <c r="P63" s="805">
        <f ca="1">IFERROR(AVERAGEIFS(unit_details[Asking Rent],unit_details[Property Name], B62,
          unit_details[Beds], 1,
          unit_details[Leased Date], ""),"")</f>
        <v>1028.5714285714287</v>
      </c>
      <c r="Q63" s="807">
        <f ca="1">IFERROR(N63/SUMIFS(unit_mix_table['# Units],unit_mix_table[Beds],1,unit_mix_table[Property Name],B62),"")</f>
        <v>2.3333333333333335</v>
      </c>
    </row>
    <row r="64" spans="2:17" ht="15" x14ac:dyDescent="0.2">
      <c r="B64" s="795" t="s">
        <v>405</v>
      </c>
      <c r="C64" s="830"/>
      <c r="D64" s="796"/>
      <c r="E64" s="797" t="s">
        <v>386</v>
      </c>
      <c r="F64" s="798">
        <f ca="1">COUNTIFS(unit_details[Leased Date], "&gt;=" &amp; ($Q$2 - 7),
          unit_details[Leased Date], "&lt;" &amp; $Q$2,
          unit_details[Beds], 2,
          unit_details[Property Name], B62)</f>
        <v>0</v>
      </c>
      <c r="G64" s="804">
        <f ca="1">COUNTIFS(unit_details[Leased Date], "&gt;=" &amp; ($Q$2 - 7),
          unit_details[Leased Date], "&lt;" &amp; $Q$2,
          unit_details[Beds], 2,
          unit_details[Property Name], B62)
-
COUNTIFS(unit_details[Leased Date], "&gt;=" &amp; ($Q$2 - 14),
         unit_details[Leased Date], "&lt;=" &amp; ($Q$2 - 7),
         unit_details[Beds], 2,
         unit_details[Property Name], B62)</f>
        <v>0</v>
      </c>
      <c r="H64" s="800" t="str">
        <f ca="1">IFERROR(AVERAGEIFS(unit_details[Asking Rent],unit_details[Leased Date], "&gt;=" &amp; ($Q$2 - 7),
          unit_details[Leased Date], "&lt;" &amp; $Q$2,
          unit_details[Beds], 2,
          unit_details[Property Name], B62),"")</f>
        <v/>
      </c>
      <c r="I64" s="801">
        <f ca="1">IFERROR(
    AVERAGEIFS(unit_details[Asking Rent],
               unit_details[Leased Date], "&gt;=" &amp; ($Q$2 - 7),
               unit_details[Leased Date], "&lt;" &amp; $Q$2,
               unit_details[Beds], 2,
               unit_details[Property Name], B62)
    -
    AVERAGEIFS(unit_details[Asking Rent],
               unit_details[Leased Date], "&gt;=" &amp; ($Q$2 - 14),
               unit_details[Leased Date], "&lt;=" &amp; ($Q$2 - 7),
               unit_details[Beds], 2,
               unit_details[Property Name], B62),
0)</f>
        <v>0</v>
      </c>
      <c r="J64" s="802">
        <f ca="1">IFERROR(I64/AVERAGEIFS(unit_details[Asking Rent],
               unit_details[Leased Date], "&gt;=" &amp; ($Q$2 - 14),
               unit_details[Leased Date], "&lt;=" &amp; ($Q$2 - 7),
               unit_details[Beds], 2,
               unit_details[Property Name], B62),0)</f>
        <v>0</v>
      </c>
      <c r="K64" s="803">
        <f ca="1">COUNTIFS(unit_details[First Listed], "&gt;=" &amp; ($Q$2 - 7),
          unit_details[First Listed], "&lt;" &amp; $Q$2,
          unit_details[Beds], 2,
          unit_details[Property Name], B62)</f>
        <v>0</v>
      </c>
      <c r="L64" s="804">
        <f ca="1">COUNTIFS(
    unit_details[First Listed], "&gt;=" &amp; ($Q$2 - 7),
    unit_details[First Listed], "&lt;" &amp; $Q$2,
    unit_details[Beds], 2,
    unit_details[Property Name], B62
)
-
COUNTIFS(
    unit_details[First Listed], "&gt;=" &amp; ($Q$2 - 14),
    unit_details[First Listed], "&lt;=" &amp; ($Q$2 - 7),
    unit_details[Beds], 2,
    unit_details[Property Name], B62
)</f>
        <v>0</v>
      </c>
      <c r="M64" s="805" t="str">
        <f ca="1">IFERROR(AVERAGEIFS(unit_details[Asking Rent],unit_details[First Listed],"&gt;="&amp;($Q$2-7),
unit_details[First Listed],"&lt;="&amp;$Q$2,
unit_details[Beds],2,
unit_details[Property Name],B62),"")</f>
        <v/>
      </c>
      <c r="N64" s="806">
        <f ca="1">COUNTIFS(unit_details[Property Name], B62,
          unit_details[Beds], 2,
          unit_details[Leased Date], "")</f>
        <v>9</v>
      </c>
      <c r="O64" s="804">
        <f t="shared" ca="1" si="1"/>
        <v>0</v>
      </c>
      <c r="P64" s="805">
        <f ca="1">IFERROR(AVERAGEIFS(unit_details[Asking Rent],unit_details[Property Name], B62,
          unit_details[Beds], 2,
          unit_details[Leased Date], ""),"")</f>
        <v>1211.1111111111111</v>
      </c>
      <c r="Q64" s="807">
        <f ca="1">IFERROR(N64/SUMIFS(unit_mix_table['# Units],unit_mix_table[Beds],2,unit_mix_table[Property Name],B62),"")</f>
        <v>1.5</v>
      </c>
    </row>
    <row r="65" spans="2:17" ht="16" thickBot="1" x14ac:dyDescent="0.25">
      <c r="B65" s="808" t="s">
        <v>405</v>
      </c>
      <c r="C65" s="831"/>
      <c r="D65" s="809"/>
      <c r="E65" s="810" t="s">
        <v>387</v>
      </c>
      <c r="F65" s="811">
        <f ca="1">COUNTIFS(unit_details[Leased Date], "&gt;=" &amp; ($Q$2 - 7),
          unit_details[Leased Date], "&lt;" &amp; $Q$2,
          unit_details[Beds], 3,
          unit_details[Property Name], B62)</f>
        <v>0</v>
      </c>
      <c r="G65" s="817">
        <f ca="1">COUNTIFS(unit_details[Leased Date], "&gt;=" &amp; ($Q$2 - 7),
          unit_details[Leased Date], "&lt;" &amp; $Q$2,
          unit_details[Beds], 3,
          unit_details[Property Name], B62)
-
COUNTIFS(unit_details[Leased Date], "&gt;=" &amp; ($Q$2 - 14),
         unit_details[Leased Date], "&lt;=" &amp; ($Q$2 - 7),
         unit_details[Beds], 3,
         unit_details[Property Name], B62)</f>
        <v>0</v>
      </c>
      <c r="H65" s="813" t="str">
        <f ca="1">IFERROR(AVERAGEIFS(unit_details[Asking Rent],unit_details[Leased Date], "&gt;=" &amp; ($Q$2 - 7),
          unit_details[Leased Date], "&lt;" &amp; $Q$2,
          unit_details[Beds], 3,
          unit_details[Property Name], B62),"")</f>
        <v/>
      </c>
      <c r="I65" s="814">
        <f ca="1">IFERROR(
    AVERAGEIFS(unit_details[Asking Rent],
               unit_details[Leased Date], "&gt;=" &amp; ($Q$2 - 7),
               unit_details[Leased Date], "&lt;" &amp; $Q$2,
               unit_details[Beds], 3,
               unit_details[Property Name], B62)
    -
    AVERAGEIFS(unit_details[Asking Rent],
               unit_details[Leased Date], "&gt;=" &amp; ($Q$2 - 14),
               unit_details[Leased Date], "&lt;=" &amp; ($Q$2 - 7),
               unit_details[Beds], 3,
               unit_details[Property Name], B62),
0)</f>
        <v>0</v>
      </c>
      <c r="J65" s="815">
        <f ca="1">IFERROR(I65/AVERAGEIFS(unit_details[Asking Rent],
               unit_details[Leased Date], "&gt;=" &amp; ($Q$2 - 14),
               unit_details[Leased Date], "&lt;=" &amp; ($Q$2 - 7),
               unit_details[Beds], 3,
               unit_details[Property Name], B62),0)</f>
        <v>0</v>
      </c>
      <c r="K65" s="816">
        <f ca="1">COUNTIFS(unit_details[First Listed], "&gt;=" &amp; ($Q$2 - 7),
          unit_details[First Listed], "&lt;" &amp; $Q$2,
          unit_details[Beds], 3,
          unit_details[Property Name], B62)</f>
        <v>0</v>
      </c>
      <c r="L65" s="817">
        <f ca="1">COUNTIFS(
    unit_details[First Listed], "&gt;=" &amp; ($Q$2 - 7),
    unit_details[First Listed], "&lt;" &amp; $Q$2,
    unit_details[Beds], 3,
    unit_details[Property Name], B62
)
-
COUNTIFS(
    unit_details[First Listed], "&gt;=" &amp; ($Q$2 - 14),
    unit_details[First Listed], "&lt;=" &amp; ($Q$2 - 7),
    unit_details[Beds], 3,
    unit_details[Property Name], B62
)</f>
        <v>0</v>
      </c>
      <c r="M65" s="818" t="str">
        <f ca="1">IFERROR(AVERAGEIFS(unit_details[Asking Rent],unit_details[First Listed],"&gt;="&amp;($Q$2-7),
unit_details[First Listed],"&lt;="&amp;$Q$2,
unit_details[Beds],3,
unit_details[Property Name],B62),"")</f>
        <v/>
      </c>
      <c r="N65" s="819">
        <f ca="1">COUNTIFS(unit_details[Property Name], B62,
          unit_details[Beds], 3,
          unit_details[Leased Date], "")</f>
        <v>0</v>
      </c>
      <c r="O65" s="817">
        <f t="shared" ca="1" si="1"/>
        <v>0</v>
      </c>
      <c r="P65" s="818" t="str">
        <f ca="1">IFERROR(AVERAGEIFS(unit_details[Asking Rent],unit_details[Property Name], B62,
          unit_details[Beds], 3,
          unit_details[Leased Date], ""),"")</f>
        <v/>
      </c>
      <c r="Q65" s="820" t="str">
        <f ca="1">IFERROR(N65/SUMIFS(unit_mix_table['# Units],unit_mix_table[Beds],3,unit_mix_table[Property Name],B62),"")</f>
        <v/>
      </c>
    </row>
    <row r="66" spans="2:17" ht="15" x14ac:dyDescent="0.2">
      <c r="B66" s="782" t="str">
        <f ca="1">IF(ISBLANK(OFFSET('Rent Comparison'!$A$1,2,20)),"",IF(OFFSET('Rent Comparison'!$A$1,2,20)=0,B67,OFFSET('Rent Comparison'!$A$1,2,20)))</f>
        <v>625 A Street - 4 (29-4)</v>
      </c>
      <c r="C66" s="829" t="str">
        <f ca="1">IF(ISBLANK(B66),"",IFERROR(INDEX(Specials!B:J,MATCH(B66&amp;" - Active",Specials!I:I,0),2),""))</f>
        <v/>
      </c>
      <c r="D66" s="783"/>
      <c r="E66" s="784" t="s">
        <v>7</v>
      </c>
      <c r="F66" s="785">
        <f ca="1">COUNTIFS(unit_details[Leased Date], "&gt;=" &amp; ($Q$2 - 7),
          unit_details[Leased Date], "&lt;" &amp; $Q$2,
          unit_details[Beds], 0,
          unit_details[Property Name], B66)</f>
        <v>0</v>
      </c>
      <c r="G66" s="791">
        <f ca="1">COUNTIFS(unit_details[Leased Date], "&gt;=" &amp; ($Q$2 - 7),
          unit_details[Leased Date], "&lt;" &amp; $Q$2,
          unit_details[Beds], 0,
          unit_details[Property Name], B66)
-
COUNTIFS(unit_details[Leased Date], "&gt;=" &amp; ($Q$2 - 14),
         unit_details[Leased Date], "&lt;=" &amp; ($Q$2 - 7),
         unit_details[Beds], 0,
         unit_details[Property Name], B66)</f>
        <v>0</v>
      </c>
      <c r="H66" s="787" t="str">
        <f ca="1">IFERROR(AVERAGEIFS(unit_details[Asking Rent],unit_details[Leased Date], "&gt;=" &amp; ($Q$2 - 7),
          unit_details[Leased Date], "&lt;" &amp; $Q$2,
          unit_details[Beds], 0,
          unit_details[Property Name], B66),"")</f>
        <v/>
      </c>
      <c r="I66" s="788">
        <f ca="1">IFERROR(
    AVERAGEIFS(unit_details[Asking Rent],
               unit_details[Leased Date], "&gt;=" &amp; ($Q$2 - 7),
               unit_details[Leased Date], "&lt;" &amp; $Q$2,
               unit_details[Beds], 0,
               unit_details[Property Name], B66)
    -
    AVERAGEIFS(unit_details[Asking Rent],
               unit_details[Leased Date], "&gt;=" &amp; ($Q$2 - 14),
               unit_details[Leased Date], "&lt;=" &amp; ($Q$2 - 7),
               unit_details[Beds], 0,
               unit_details[Property Name], B66),
0)</f>
        <v>0</v>
      </c>
      <c r="J66" s="789">
        <f ca="1">IFERROR(I66/AVERAGEIFS(unit_details[Asking Rent],
               unit_details[Leased Date], "&gt;=" &amp; ($Q$2 - 14),
               unit_details[Leased Date], "&lt;=" &amp; ($Q$2 - 7),
               unit_details[Beds], 0,
               unit_details[Property Name], B66),0)</f>
        <v>0</v>
      </c>
      <c r="K66" s="790">
        <f ca="1">COUNTIFS(unit_details[First Listed], "&gt;=" &amp; ($Q$2 - 7),
          unit_details[First Listed], "&lt;" &amp; $Q$2,
          unit_details[Beds], 0,
          unit_details[Property Name], B66)</f>
        <v>0</v>
      </c>
      <c r="L66" s="791">
        <f ca="1">COUNTIFS(
    unit_details[First Listed], "&gt;=" &amp; ($Q$2 - 7),
    unit_details[First Listed], "&lt;" &amp; $Q$2,
    unit_details[Beds], 0,
    unit_details[Property Name], B66
)
-
COUNTIFS(
    unit_details[First Listed], "&gt;=" &amp; ($Q$2 - 14),
    unit_details[First Listed], "&lt;=" &amp; ($Q$2 - 7),
    unit_details[Beds], 0,
    unit_details[Property Name], B66
)</f>
        <v>0</v>
      </c>
      <c r="M66" s="792" t="str">
        <f ca="1">IFERROR(AVERAGEIFS(unit_details[Asking Rent],unit_details[First Listed],"&gt;="&amp;($Q$2-7),
unit_details[First Listed],"&lt;="&amp;$Q$2,
unit_details[Beds],0,
unit_details[Property Name],B66),"")</f>
        <v/>
      </c>
      <c r="N66" s="793">
        <f ca="1">COUNTIFS(unit_details[Property Name], B66,
          unit_details[Beds], 0,
          unit_details[Leased Date], "")</f>
        <v>0</v>
      </c>
      <c r="O66" s="791">
        <f t="shared" ca="1" si="1"/>
        <v>0</v>
      </c>
      <c r="P66" s="792" t="str">
        <f ca="1">IFERROR(AVERAGEIFS(unit_details[Asking Rent],unit_details[Property Name], B66,
          unit_details[Beds], 0,
          unit_details[Leased Date], ""),"")</f>
        <v/>
      </c>
      <c r="Q66" s="794" t="str">
        <f ca="1">IFERROR(N66/SUMIFS(unit_mix_table['# Units],unit_mix_table[Beds],0,unit_mix_table[Property Name],B66),"")</f>
        <v/>
      </c>
    </row>
    <row r="67" spans="2:17" ht="15" x14ac:dyDescent="0.2">
      <c r="B67" s="795" t="s">
        <v>490</v>
      </c>
      <c r="C67" s="830"/>
      <c r="D67" s="796"/>
      <c r="E67" s="797" t="s">
        <v>385</v>
      </c>
      <c r="F67" s="798">
        <f ca="1">COUNTIFS(unit_details[Leased Date], "&gt;=" &amp; ($Q$2 - 7),
          unit_details[Leased Date], "&lt;" &amp; $Q$2,
          unit_details[Beds], 1,
          unit_details[Property Name], B66)</f>
        <v>0</v>
      </c>
      <c r="G67" s="804">
        <f ca="1">COUNTIFS(unit_details[Leased Date], "&gt;=" &amp; ($Q$2 - 7),
          unit_details[Leased Date], "&lt;" &amp; $Q$2,
          unit_details[Beds], 1,
          unit_details[Property Name], B66)
-
COUNTIFS(unit_details[Leased Date], "&gt;=" &amp; ($Q$2 - 14),
         unit_details[Leased Date], "&lt;=" &amp; ($Q$2 - 7),
         unit_details[Beds], 1,
         unit_details[Property Name], B66)</f>
        <v>0</v>
      </c>
      <c r="H67" s="800" t="str">
        <f ca="1">IFERROR(AVERAGEIFS(unit_details[Asking Rent],unit_details[Leased Date], "&gt;=" &amp; ($Q$2 - 7),
          unit_details[Leased Date], "&lt;" &amp; $Q$2,
          unit_details[Beds], 1,
          unit_details[Property Name], B66),"")</f>
        <v/>
      </c>
      <c r="I67" s="801">
        <f ca="1">IFERROR(
    AVERAGEIFS(unit_details[Asking Rent],
               unit_details[Leased Date], "&gt;=" &amp; ($Q$2 - 7),
               unit_details[Leased Date], "&lt;" &amp; $Q$2,
               unit_details[Beds], 1,
               unit_details[Property Name], B66)
    -
    AVERAGEIFS(unit_details[Asking Rent],
               unit_details[Leased Date], "&gt;=" &amp; ($Q$2 - 14),
               unit_details[Leased Date], "&lt;=" &amp; ($Q$2 - 7),
               unit_details[Beds], 1,
               unit_details[Property Name], B66),
0)</f>
        <v>0</v>
      </c>
      <c r="J67" s="802">
        <f ca="1">IFERROR(I67/AVERAGEIFS(unit_details[Asking Rent],
               unit_details[Leased Date], "&gt;=" &amp; ($Q$2 - 14),
               unit_details[Leased Date], "&lt;=" &amp; ($Q$2 - 7),
               unit_details[Beds], 1,
               unit_details[Property Name], B66),0)</f>
        <v>0</v>
      </c>
      <c r="K67" s="803">
        <f ca="1">COUNTIFS(unit_details[First Listed], "&gt;=" &amp; ($Q$2 - 7),
          unit_details[First Listed], "&lt;" &amp; $Q$2,
          unit_details[Beds], 1,
          unit_details[Property Name], B66)</f>
        <v>0</v>
      </c>
      <c r="L67" s="804">
        <f ca="1">COUNTIFS(
    unit_details[First Listed], "&gt;=" &amp; ($Q$2 - 7),
    unit_details[First Listed], "&lt;" &amp; $Q$2,
    unit_details[Beds], 1,
    unit_details[Property Name], B66
)
-
COUNTIFS(
    unit_details[First Listed], "&gt;=" &amp; ($Q$2 - 14),
    unit_details[First Listed], "&lt;=" &amp; ($Q$2 - 7),
    unit_details[Beds], 1,
    unit_details[Property Name], B66
)</f>
        <v>0</v>
      </c>
      <c r="M67" s="805" t="str">
        <f ca="1">IFERROR(AVERAGEIFS(unit_details[Asking Rent],unit_details[First Listed],"&gt;="&amp;($Q$2-7),
unit_details[First Listed],"&lt;="&amp;$Q$2,
unit_details[Beds],1,
unit_details[Property Name],B66),"")</f>
        <v/>
      </c>
      <c r="N67" s="806">
        <f ca="1">COUNTIFS(unit_details[Property Name], B66,
          unit_details[Beds], 1,
          unit_details[Leased Date], "")</f>
        <v>0</v>
      </c>
      <c r="O67" s="804">
        <f t="shared" ca="1" si="1"/>
        <v>0</v>
      </c>
      <c r="P67" s="805" t="str">
        <f ca="1">IFERROR(AVERAGEIFS(unit_details[Asking Rent],unit_details[Property Name], B66,
          unit_details[Beds], 1,
          unit_details[Leased Date], ""),"")</f>
        <v/>
      </c>
      <c r="Q67" s="807" t="str">
        <f ca="1">IFERROR(N67/SUMIFS(unit_mix_table['# Units],unit_mix_table[Beds],1,unit_mix_table[Property Name],B66),"")</f>
        <v/>
      </c>
    </row>
    <row r="68" spans="2:17" ht="15" x14ac:dyDescent="0.2">
      <c r="B68" s="795" t="s">
        <v>405</v>
      </c>
      <c r="C68" s="830"/>
      <c r="D68" s="796"/>
      <c r="E68" s="797" t="s">
        <v>386</v>
      </c>
      <c r="F68" s="798">
        <f ca="1">COUNTIFS(unit_details[Leased Date], "&gt;=" &amp; ($Q$2 - 7),
          unit_details[Leased Date], "&lt;" &amp; $Q$2,
          unit_details[Beds], 2,
          unit_details[Property Name], B66)</f>
        <v>0</v>
      </c>
      <c r="G68" s="804">
        <f ca="1">COUNTIFS(unit_details[Leased Date], "&gt;=" &amp; ($Q$2 - 7),
          unit_details[Leased Date], "&lt;" &amp; $Q$2,
          unit_details[Beds], 2,
          unit_details[Property Name], B66)
-
COUNTIFS(unit_details[Leased Date], "&gt;=" &amp; ($Q$2 - 14),
         unit_details[Leased Date], "&lt;=" &amp; ($Q$2 - 7),
         unit_details[Beds], 2,
         unit_details[Property Name], B66)</f>
        <v>0</v>
      </c>
      <c r="H68" s="800" t="str">
        <f ca="1">IFERROR(AVERAGEIFS(unit_details[Asking Rent],unit_details[Leased Date], "&gt;=" &amp; ($Q$2 - 7),
          unit_details[Leased Date], "&lt;" &amp; $Q$2,
          unit_details[Beds], 2,
          unit_details[Property Name], B66),"")</f>
        <v/>
      </c>
      <c r="I68" s="801">
        <f ca="1">IFERROR(
    AVERAGEIFS(unit_details[Asking Rent],
               unit_details[Leased Date], "&gt;=" &amp; ($Q$2 - 7),
               unit_details[Leased Date], "&lt;" &amp; $Q$2,
               unit_details[Beds], 2,
               unit_details[Property Name], B66)
    -
    AVERAGEIFS(unit_details[Asking Rent],
               unit_details[Leased Date], "&gt;=" &amp; ($Q$2 - 14),
               unit_details[Leased Date], "&lt;=" &amp; ($Q$2 - 7),
               unit_details[Beds], 2,
               unit_details[Property Name], B66),
0)</f>
        <v>0</v>
      </c>
      <c r="J68" s="802">
        <f ca="1">IFERROR(I68/AVERAGEIFS(unit_details[Asking Rent],
               unit_details[Leased Date], "&gt;=" &amp; ($Q$2 - 14),
               unit_details[Leased Date], "&lt;=" &amp; ($Q$2 - 7),
               unit_details[Beds], 2,
               unit_details[Property Name], B66),0)</f>
        <v>0</v>
      </c>
      <c r="K68" s="803">
        <f ca="1">COUNTIFS(unit_details[First Listed], "&gt;=" &amp; ($Q$2 - 7),
          unit_details[First Listed], "&lt;" &amp; $Q$2,
          unit_details[Beds], 2,
          unit_details[Property Name], B66)</f>
        <v>0</v>
      </c>
      <c r="L68" s="804">
        <f ca="1">COUNTIFS(
    unit_details[First Listed], "&gt;=" &amp; ($Q$2 - 7),
    unit_details[First Listed], "&lt;" &amp; $Q$2,
    unit_details[Beds], 2,
    unit_details[Property Name], B66
)
-
COUNTIFS(
    unit_details[First Listed], "&gt;=" &amp; ($Q$2 - 14),
    unit_details[First Listed], "&lt;=" &amp; ($Q$2 - 7),
    unit_details[Beds], 2,
    unit_details[Property Name], B66
)</f>
        <v>0</v>
      </c>
      <c r="M68" s="805" t="str">
        <f ca="1">IFERROR(AVERAGEIFS(unit_details[Asking Rent],unit_details[First Listed],"&gt;="&amp;($Q$2-7),
unit_details[First Listed],"&lt;="&amp;$Q$2,
unit_details[Beds],2,
unit_details[Property Name],B66),"")</f>
        <v/>
      </c>
      <c r="N68" s="806">
        <f ca="1">COUNTIFS(unit_details[Property Name], B66,
          unit_details[Beds], 2,
          unit_details[Leased Date], "")</f>
        <v>2</v>
      </c>
      <c r="O68" s="804">
        <f t="shared" ca="1" si="1"/>
        <v>0</v>
      </c>
      <c r="P68" s="805">
        <f ca="1">IFERROR(AVERAGEIFS(unit_details[Asking Rent],unit_details[Property Name], B66,
          unit_details[Beds], 2,
          unit_details[Leased Date], ""),"")</f>
        <v>1150</v>
      </c>
      <c r="Q68" s="807" t="str">
        <f ca="1">IFERROR(N68/SUMIFS(unit_mix_table['# Units],unit_mix_table[Beds],2,unit_mix_table[Property Name],B66),"")</f>
        <v/>
      </c>
    </row>
    <row r="69" spans="2:17" ht="16" thickBot="1" x14ac:dyDescent="0.25">
      <c r="B69" s="808" t="s">
        <v>405</v>
      </c>
      <c r="C69" s="831"/>
      <c r="D69" s="809"/>
      <c r="E69" s="810" t="s">
        <v>387</v>
      </c>
      <c r="F69" s="811">
        <f ca="1">COUNTIFS(unit_details[Leased Date], "&gt;=" &amp; ($Q$2 - 7),
          unit_details[Leased Date], "&lt;" &amp; $Q$2,
          unit_details[Beds], 3,
          unit_details[Property Name], B66)</f>
        <v>0</v>
      </c>
      <c r="G69" s="817">
        <f ca="1">COUNTIFS(unit_details[Leased Date], "&gt;=" &amp; ($Q$2 - 7),
          unit_details[Leased Date], "&lt;" &amp; $Q$2,
          unit_details[Beds], 3,
          unit_details[Property Name], B66)
-
COUNTIFS(unit_details[Leased Date], "&gt;=" &amp; ($Q$2 - 14),
         unit_details[Leased Date], "&lt;=" &amp; ($Q$2 - 7),
         unit_details[Beds], 3,
         unit_details[Property Name], B66)</f>
        <v>0</v>
      </c>
      <c r="H69" s="813" t="str">
        <f ca="1">IFERROR(AVERAGEIFS(unit_details[Asking Rent],unit_details[Leased Date], "&gt;=" &amp; ($Q$2 - 7),
          unit_details[Leased Date], "&lt;" &amp; $Q$2,
          unit_details[Beds], 3,
          unit_details[Property Name], B66),"")</f>
        <v/>
      </c>
      <c r="I69" s="814">
        <f ca="1">IFERROR(
    AVERAGEIFS(unit_details[Asking Rent],
               unit_details[Leased Date], "&gt;=" &amp; ($Q$2 - 7),
               unit_details[Leased Date], "&lt;" &amp; $Q$2,
               unit_details[Beds], 3,
               unit_details[Property Name], B66)
    -
    AVERAGEIFS(unit_details[Asking Rent],
               unit_details[Leased Date], "&gt;=" &amp; ($Q$2 - 14),
               unit_details[Leased Date], "&lt;=" &amp; ($Q$2 - 7),
               unit_details[Beds], 3,
               unit_details[Property Name], B66),
0)</f>
        <v>0</v>
      </c>
      <c r="J69" s="815">
        <f ca="1">IFERROR(I69/AVERAGEIFS(unit_details[Asking Rent],
               unit_details[Leased Date], "&gt;=" &amp; ($Q$2 - 14),
               unit_details[Leased Date], "&lt;=" &amp; ($Q$2 - 7),
               unit_details[Beds], 3,
               unit_details[Property Name], B66),0)</f>
        <v>0</v>
      </c>
      <c r="K69" s="816">
        <f ca="1">COUNTIFS(unit_details[First Listed], "&gt;=" &amp; ($Q$2 - 7),
          unit_details[First Listed], "&lt;" &amp; $Q$2,
          unit_details[Beds], 3,
          unit_details[Property Name], B66)</f>
        <v>0</v>
      </c>
      <c r="L69" s="817">
        <f ca="1">COUNTIFS(
    unit_details[First Listed], "&gt;=" &amp; ($Q$2 - 7),
    unit_details[First Listed], "&lt;" &amp; $Q$2,
    unit_details[Beds], 3,
    unit_details[Property Name], B66
)
-
COUNTIFS(
    unit_details[First Listed], "&gt;=" &amp; ($Q$2 - 14),
    unit_details[First Listed], "&lt;=" &amp; ($Q$2 - 7),
    unit_details[Beds], 3,
    unit_details[Property Name], B66
)</f>
        <v>0</v>
      </c>
      <c r="M69" s="818" t="str">
        <f ca="1">IFERROR(AVERAGEIFS(unit_details[Asking Rent],unit_details[First Listed],"&gt;="&amp;($Q$2-7),
unit_details[First Listed],"&lt;="&amp;$Q$2,
unit_details[Beds],3,
unit_details[Property Name],B66),"")</f>
        <v/>
      </c>
      <c r="N69" s="819">
        <f ca="1">COUNTIFS(unit_details[Property Name], B66,
          unit_details[Beds], 3,
          unit_details[Leased Date], "")</f>
        <v>0</v>
      </c>
      <c r="O69" s="817">
        <f t="shared" ca="1" si="1"/>
        <v>0</v>
      </c>
      <c r="P69" s="818" t="str">
        <f ca="1">IFERROR(AVERAGEIFS(unit_details[Asking Rent],unit_details[Property Name], B66,
          unit_details[Beds], 3,
          unit_details[Leased Date], ""),"")</f>
        <v/>
      </c>
      <c r="Q69" s="820" t="str">
        <f ca="1">IFERROR(N69/SUMIFS(unit_mix_table['# Units],unit_mix_table[Beds],3,unit_mix_table[Property Name],B66),"")</f>
        <v/>
      </c>
    </row>
    <row r="70" spans="2:17" ht="15" x14ac:dyDescent="0.2">
      <c r="B70" s="782" t="str">
        <f ca="1">IF(ISBLANK(OFFSET('Rent Comparison'!$A$1,2,21)),"",IF(OFFSET('Rent Comparison'!$A$1,2,21)=0,B71,OFFSET('Rent Comparison'!$A$1,2,21)))</f>
        <v/>
      </c>
      <c r="C70" s="829" t="str">
        <f ca="1">IF(ISBLANK(B70),"",IFERROR(INDEX(Specials!B:J,MATCH(B70&amp;" - Active",Specials!I:I,0),2),""))</f>
        <v/>
      </c>
      <c r="D70" s="783"/>
      <c r="E70" s="784" t="s">
        <v>7</v>
      </c>
      <c r="F70" s="785">
        <f ca="1">COUNTIFS(unit_details[Leased Date], "&gt;=" &amp; ($Q$2 - 7),
          unit_details[Leased Date], "&lt;" &amp; $Q$2,
          unit_details[Beds], 0,
          unit_details[Property Name], B70)</f>
        <v>0</v>
      </c>
      <c r="G70" s="791">
        <f ca="1">COUNTIFS(unit_details[Leased Date], "&gt;=" &amp; ($Q$2 - 7),
          unit_details[Leased Date], "&lt;" &amp; $Q$2,
          unit_details[Beds], 0,
          unit_details[Property Name], B70)
-
COUNTIFS(unit_details[Leased Date], "&gt;=" &amp; ($Q$2 - 14),
         unit_details[Leased Date], "&lt;=" &amp; ($Q$2 - 7),
         unit_details[Beds], 0,
         unit_details[Property Name], B70)</f>
        <v>0</v>
      </c>
      <c r="H70" s="787" t="str">
        <f ca="1">IFERROR(AVERAGEIFS(unit_details[Asking Rent],unit_details[Leased Date], "&gt;=" &amp; ($Q$2 - 7),
          unit_details[Leased Date], "&lt;" &amp; $Q$2,
          unit_details[Beds], 0,
          unit_details[Property Name], B70),"")</f>
        <v/>
      </c>
      <c r="I70" s="788">
        <f ca="1">IFERROR(
    AVERAGEIFS(unit_details[Asking Rent],
               unit_details[Leased Date], "&gt;=" &amp; ($Q$2 - 7),
               unit_details[Leased Date], "&lt;" &amp; $Q$2,
               unit_details[Beds], 0,
               unit_details[Property Name], B70)
    -
    AVERAGEIFS(unit_details[Asking Rent],
               unit_details[Leased Date], "&gt;=" &amp; ($Q$2 - 14),
               unit_details[Leased Date], "&lt;=" &amp; ($Q$2 - 7),
               unit_details[Beds], 0,
               unit_details[Property Name], B70),
0)</f>
        <v>0</v>
      </c>
      <c r="J70" s="789">
        <f ca="1">IFERROR(I70/AVERAGEIFS(unit_details[Asking Rent],
               unit_details[Leased Date], "&gt;=" &amp; ($Q$2 - 14),
               unit_details[Leased Date], "&lt;=" &amp; ($Q$2 - 7),
               unit_details[Beds], 0,
               unit_details[Property Name], B70),0)</f>
        <v>0</v>
      </c>
      <c r="K70" s="790">
        <f ca="1">COUNTIFS(unit_details[First Listed], "&gt;=" &amp; ($Q$2 - 7),
          unit_details[First Listed], "&lt;" &amp; $Q$2,
          unit_details[Beds], 0,
          unit_details[Property Name], B70)</f>
        <v>0</v>
      </c>
      <c r="L70" s="791">
        <f ca="1">COUNTIFS(
    unit_details[First Listed], "&gt;=" &amp; ($Q$2 - 7),
    unit_details[First Listed], "&lt;" &amp; $Q$2,
    unit_details[Beds], 0,
    unit_details[Property Name], B70
)
-
COUNTIFS(
    unit_details[First Listed], "&gt;=" &amp; ($Q$2 - 14),
    unit_details[First Listed], "&lt;=" &amp; ($Q$2 - 7),
    unit_details[Beds], 0,
    unit_details[Property Name], B70
)</f>
        <v>0</v>
      </c>
      <c r="M70" s="792" t="str">
        <f ca="1">IFERROR(AVERAGEIFS(unit_details[Asking Rent],unit_details[First Listed],"&gt;="&amp;($Q$2-7),
unit_details[First Listed],"&lt;="&amp;$Q$2,
unit_details[Beds],0,
unit_details[Property Name],B70),"")</f>
        <v/>
      </c>
      <c r="N70" s="793">
        <f ca="1">COUNTIFS(unit_details[Property Name], B70,
          unit_details[Beds], 0,
          unit_details[Leased Date], "")</f>
        <v>0</v>
      </c>
      <c r="O70" s="791">
        <f t="shared" ca="1" si="1"/>
        <v>0</v>
      </c>
      <c r="P70" s="792" t="str">
        <f ca="1">IFERROR(AVERAGEIFS(unit_details[Asking Rent],unit_details[Property Name], B70,
          unit_details[Beds], 0,
          unit_details[Leased Date], ""),"")</f>
        <v/>
      </c>
      <c r="Q70" s="794" t="str">
        <f ca="1">IFERROR(N70/SUMIFS(unit_mix_table['# Units],unit_mix_table[Beds],0,unit_mix_table[Property Name],B70),"")</f>
        <v/>
      </c>
    </row>
    <row r="71" spans="2:17" ht="15" x14ac:dyDescent="0.2">
      <c r="B71" s="795" t="s">
        <v>491</v>
      </c>
      <c r="C71" s="830"/>
      <c r="D71" s="796"/>
      <c r="E71" s="797" t="s">
        <v>385</v>
      </c>
      <c r="F71" s="798">
        <f ca="1">COUNTIFS(unit_details[Leased Date], "&gt;=" &amp; ($Q$2 - 7),
          unit_details[Leased Date], "&lt;" &amp; $Q$2,
          unit_details[Beds], 1,
          unit_details[Property Name], B70)</f>
        <v>0</v>
      </c>
      <c r="G71" s="804">
        <f ca="1">COUNTIFS(unit_details[Leased Date], "&gt;=" &amp; ($Q$2 - 7),
          unit_details[Leased Date], "&lt;" &amp; $Q$2,
          unit_details[Beds], 1,
          unit_details[Property Name], B70)
-
COUNTIFS(unit_details[Leased Date], "&gt;=" &amp; ($Q$2 - 14),
         unit_details[Leased Date], "&lt;=" &amp; ($Q$2 - 7),
         unit_details[Beds], 1,
         unit_details[Property Name], B70)</f>
        <v>0</v>
      </c>
      <c r="H71" s="800" t="str">
        <f ca="1">IFERROR(AVERAGEIFS(unit_details[Asking Rent],unit_details[Leased Date], "&gt;=" &amp; ($Q$2 - 7),
          unit_details[Leased Date], "&lt;" &amp; $Q$2,
          unit_details[Beds], 1,
          unit_details[Property Name], B70),"")</f>
        <v/>
      </c>
      <c r="I71" s="801">
        <f ca="1">IFERROR(
    AVERAGEIFS(unit_details[Asking Rent],
               unit_details[Leased Date], "&gt;=" &amp; ($Q$2 - 7),
               unit_details[Leased Date], "&lt;" &amp; $Q$2,
               unit_details[Beds], 1,
               unit_details[Property Name], B70)
    -
    AVERAGEIFS(unit_details[Asking Rent],
               unit_details[Leased Date], "&gt;=" &amp; ($Q$2 - 14),
               unit_details[Leased Date], "&lt;=" &amp; ($Q$2 - 7),
               unit_details[Beds], 1,
               unit_details[Property Name], B70),
0)</f>
        <v>0</v>
      </c>
      <c r="J71" s="802">
        <f ca="1">IFERROR(I71/AVERAGEIFS(unit_details[Asking Rent],
               unit_details[Leased Date], "&gt;=" &amp; ($Q$2 - 14),
               unit_details[Leased Date], "&lt;=" &amp; ($Q$2 - 7),
               unit_details[Beds], 1,
               unit_details[Property Name], B70),0)</f>
        <v>0</v>
      </c>
      <c r="K71" s="803">
        <f ca="1">COUNTIFS(unit_details[First Listed], "&gt;=" &amp; ($Q$2 - 7),
          unit_details[First Listed], "&lt;" &amp; $Q$2,
          unit_details[Beds], 1,
          unit_details[Property Name], B70)</f>
        <v>0</v>
      </c>
      <c r="L71" s="804">
        <f ca="1">COUNTIFS(
    unit_details[First Listed], "&gt;=" &amp; ($Q$2 - 7),
    unit_details[First Listed], "&lt;" &amp; $Q$2,
    unit_details[Beds], 1,
    unit_details[Property Name], B70
)
-
COUNTIFS(
    unit_details[First Listed], "&gt;=" &amp; ($Q$2 - 14),
    unit_details[First Listed], "&lt;=" &amp; ($Q$2 - 7),
    unit_details[Beds], 1,
    unit_details[Property Name], B70
)</f>
        <v>0</v>
      </c>
      <c r="M71" s="805" t="str">
        <f ca="1">IFERROR(AVERAGEIFS(unit_details[Asking Rent],unit_details[First Listed],"&gt;="&amp;($Q$2-7),
unit_details[First Listed],"&lt;="&amp;$Q$2,
unit_details[Beds],1,
unit_details[Property Name],B70),"")</f>
        <v/>
      </c>
      <c r="N71" s="806">
        <f ca="1">COUNTIFS(unit_details[Property Name], B70,
          unit_details[Beds], 1,
          unit_details[Leased Date], "")</f>
        <v>7</v>
      </c>
      <c r="O71" s="804">
        <f t="shared" ca="1" si="1"/>
        <v>0</v>
      </c>
      <c r="P71" s="805">
        <f ca="1">IFERROR(AVERAGEIFS(unit_details[Asking Rent],unit_details[Property Name], B70,
          unit_details[Beds], 1,
          unit_details[Leased Date], ""),"")</f>
        <v>1028.5714285714287</v>
      </c>
      <c r="Q71" s="807">
        <f ca="1">IFERROR(N71/SUMIFS(unit_mix_table['# Units],unit_mix_table[Beds],1,unit_mix_table[Property Name],B70),"")</f>
        <v>2.3333333333333335</v>
      </c>
    </row>
    <row r="72" spans="2:17" ht="15" x14ac:dyDescent="0.2">
      <c r="B72" s="795" t="s">
        <v>405</v>
      </c>
      <c r="C72" s="830"/>
      <c r="D72" s="796"/>
      <c r="E72" s="797" t="s">
        <v>386</v>
      </c>
      <c r="F72" s="798">
        <f ca="1">COUNTIFS(unit_details[Leased Date], "&gt;=" &amp; ($Q$2 - 7),
          unit_details[Leased Date], "&lt;" &amp; $Q$2,
          unit_details[Beds], 2,
          unit_details[Property Name], B70)</f>
        <v>0</v>
      </c>
      <c r="G72" s="804">
        <f ca="1">COUNTIFS(unit_details[Leased Date], "&gt;=" &amp; ($Q$2 - 7),
          unit_details[Leased Date], "&lt;" &amp; $Q$2,
          unit_details[Beds], 2,
          unit_details[Property Name], B70)
-
COUNTIFS(unit_details[Leased Date], "&gt;=" &amp; ($Q$2 - 14),
         unit_details[Leased Date], "&lt;=" &amp; ($Q$2 - 7),
         unit_details[Beds], 2,
         unit_details[Property Name], B70)</f>
        <v>0</v>
      </c>
      <c r="H72" s="800" t="str">
        <f ca="1">IFERROR(AVERAGEIFS(unit_details[Asking Rent],unit_details[Leased Date], "&gt;=" &amp; ($Q$2 - 7),
          unit_details[Leased Date], "&lt;" &amp; $Q$2,
          unit_details[Beds], 2,
          unit_details[Property Name], B70),"")</f>
        <v/>
      </c>
      <c r="I72" s="801">
        <f ca="1">IFERROR(
    AVERAGEIFS(unit_details[Asking Rent],
               unit_details[Leased Date], "&gt;=" &amp; ($Q$2 - 7),
               unit_details[Leased Date], "&lt;" &amp; $Q$2,
               unit_details[Beds], 2,
               unit_details[Property Name], B70)
    -
    AVERAGEIFS(unit_details[Asking Rent],
               unit_details[Leased Date], "&gt;=" &amp; ($Q$2 - 14),
               unit_details[Leased Date], "&lt;=" &amp; ($Q$2 - 7),
               unit_details[Beds], 2,
               unit_details[Property Name], B70),
0)</f>
        <v>0</v>
      </c>
      <c r="J72" s="802">
        <f ca="1">IFERROR(I72/AVERAGEIFS(unit_details[Asking Rent],
               unit_details[Leased Date], "&gt;=" &amp; ($Q$2 - 14),
               unit_details[Leased Date], "&lt;=" &amp; ($Q$2 - 7),
               unit_details[Beds], 2,
               unit_details[Property Name], B70),0)</f>
        <v>0</v>
      </c>
      <c r="K72" s="803">
        <f ca="1">COUNTIFS(unit_details[First Listed], "&gt;=" &amp; ($Q$2 - 7),
          unit_details[First Listed], "&lt;" &amp; $Q$2,
          unit_details[Beds], 2,
          unit_details[Property Name], B70)</f>
        <v>0</v>
      </c>
      <c r="L72" s="804">
        <f ca="1">COUNTIFS(
    unit_details[First Listed], "&gt;=" &amp; ($Q$2 - 7),
    unit_details[First Listed], "&lt;" &amp; $Q$2,
    unit_details[Beds], 2,
    unit_details[Property Name], B70
)
-
COUNTIFS(
    unit_details[First Listed], "&gt;=" &amp; ($Q$2 - 14),
    unit_details[First Listed], "&lt;=" &amp; ($Q$2 - 7),
    unit_details[Beds], 2,
    unit_details[Property Name], B70
)</f>
        <v>0</v>
      </c>
      <c r="M72" s="805" t="str">
        <f ca="1">IFERROR(AVERAGEIFS(unit_details[Asking Rent],unit_details[First Listed],"&gt;="&amp;($Q$2-7),
unit_details[First Listed],"&lt;="&amp;$Q$2,
unit_details[Beds],2,
unit_details[Property Name],B70),"")</f>
        <v/>
      </c>
      <c r="N72" s="806">
        <f ca="1">COUNTIFS(unit_details[Property Name], B70,
          unit_details[Beds], 2,
          unit_details[Leased Date], "")</f>
        <v>9</v>
      </c>
      <c r="O72" s="804">
        <f t="shared" ca="1" si="1"/>
        <v>0</v>
      </c>
      <c r="P72" s="805">
        <f ca="1">IFERROR(AVERAGEIFS(unit_details[Asking Rent],unit_details[Property Name], B70,
          unit_details[Beds], 2,
          unit_details[Leased Date], ""),"")</f>
        <v>1211.1111111111111</v>
      </c>
      <c r="Q72" s="807">
        <f ca="1">IFERROR(N72/SUMIFS(unit_mix_table['# Units],unit_mix_table[Beds],2,unit_mix_table[Property Name],B70),"")</f>
        <v>1.5</v>
      </c>
    </row>
    <row r="73" spans="2:17" ht="16" thickBot="1" x14ac:dyDescent="0.25">
      <c r="B73" s="808" t="s">
        <v>479</v>
      </c>
      <c r="C73" s="831"/>
      <c r="D73" s="809"/>
      <c r="E73" s="810" t="s">
        <v>387</v>
      </c>
      <c r="F73" s="811">
        <f ca="1">COUNTIFS(unit_details[Leased Date], "&gt;=" &amp; ($Q$2 - 7),
          unit_details[Leased Date], "&lt;" &amp; $Q$2,
          unit_details[Beds], 3,
          unit_details[Property Name], B70)</f>
        <v>0</v>
      </c>
      <c r="G73" s="817">
        <f ca="1">COUNTIFS(unit_details[Leased Date], "&gt;=" &amp; ($Q$2 - 7),
          unit_details[Leased Date], "&lt;" &amp; $Q$2,
          unit_details[Beds], 3,
          unit_details[Property Name], B70)
-
COUNTIFS(unit_details[Leased Date], "&gt;=" &amp; ($Q$2 - 14),
         unit_details[Leased Date], "&lt;=" &amp; ($Q$2 - 7),
         unit_details[Beds], 3,
         unit_details[Property Name], B70)</f>
        <v>0</v>
      </c>
      <c r="H73" s="813" t="str">
        <f ca="1">IFERROR(AVERAGEIFS(unit_details[Asking Rent],unit_details[Leased Date], "&gt;=" &amp; ($Q$2 - 7),
          unit_details[Leased Date], "&lt;" &amp; $Q$2,
          unit_details[Beds], 3,
          unit_details[Property Name], B70),"")</f>
        <v/>
      </c>
      <c r="I73" s="814">
        <f ca="1">IFERROR(
    AVERAGEIFS(unit_details[Asking Rent],
               unit_details[Leased Date], "&gt;=" &amp; ($Q$2 - 7),
               unit_details[Leased Date], "&lt;" &amp; $Q$2,
               unit_details[Beds], 3,
               unit_details[Property Name], B70)
    -
    AVERAGEIFS(unit_details[Asking Rent],
               unit_details[Leased Date], "&gt;=" &amp; ($Q$2 - 14),
               unit_details[Leased Date], "&lt;=" &amp; ($Q$2 - 7),
               unit_details[Beds], 3,
               unit_details[Property Name], B70),
0)</f>
        <v>0</v>
      </c>
      <c r="J73" s="815">
        <f ca="1">IFERROR(I73/AVERAGEIFS(unit_details[Asking Rent],
               unit_details[Leased Date], "&gt;=" &amp; ($Q$2 - 14),
               unit_details[Leased Date], "&lt;=" &amp; ($Q$2 - 7),
               unit_details[Beds], 3,
               unit_details[Property Name], B70),0)</f>
        <v>0</v>
      </c>
      <c r="K73" s="816">
        <f ca="1">COUNTIFS(unit_details[First Listed], "&gt;=" &amp; ($Q$2 - 7),
          unit_details[First Listed], "&lt;" &amp; $Q$2,
          unit_details[Beds], 3,
          unit_details[Property Name], B70)</f>
        <v>0</v>
      </c>
      <c r="L73" s="817">
        <f ca="1">COUNTIFS(
    unit_details[First Listed], "&gt;=" &amp; ($Q$2 - 7),
    unit_details[First Listed], "&lt;" &amp; $Q$2,
    unit_details[Beds], 3,
    unit_details[Property Name], B70
)
-
COUNTIFS(
    unit_details[First Listed], "&gt;=" &amp; ($Q$2 - 14),
    unit_details[First Listed], "&lt;=" &amp; ($Q$2 - 7),
    unit_details[Beds], 3,
    unit_details[Property Name], B70
)</f>
        <v>0</v>
      </c>
      <c r="M73" s="818" t="str">
        <f ca="1">IFERROR(AVERAGEIFS(unit_details[Asking Rent],unit_details[First Listed],"&gt;="&amp;($Q$2-7),
unit_details[First Listed],"&lt;="&amp;$Q$2,
unit_details[Beds],3,
unit_details[Property Name],B70),"")</f>
        <v/>
      </c>
      <c r="N73" s="819">
        <f ca="1">COUNTIFS(unit_details[Property Name], B70,
          unit_details[Beds], 3,
          unit_details[Leased Date], "")</f>
        <v>0</v>
      </c>
      <c r="O73" s="817">
        <f t="shared" ca="1" si="1"/>
        <v>0</v>
      </c>
      <c r="P73" s="818" t="str">
        <f ca="1">IFERROR(AVERAGEIFS(unit_details[Asking Rent],unit_details[Property Name], B70,
          unit_details[Beds], 3,
          unit_details[Leased Date], ""),"")</f>
        <v/>
      </c>
      <c r="Q73" s="820" t="str">
        <f ca="1">IFERROR(N73/SUMIFS(unit_mix_table['# Units],unit_mix_table[Beds],3,unit_mix_table[Property Name],B70),"")</f>
        <v/>
      </c>
    </row>
    <row r="74" spans="2:17" ht="15" x14ac:dyDescent="0.2">
      <c r="B74" s="782" t="str">
        <f ca="1">IF(ISBLANK(OFFSET('Rent Comparison'!$A$1,2,22)),"",IF(OFFSET('Rent Comparison'!$A$1,2,22)=0,B75,OFFSET('Rent Comparison'!$A$1,2,22)))</f>
        <v/>
      </c>
      <c r="C74" s="829" t="str">
        <f ca="1">IF(ISBLANK(B74),"",IFERROR(INDEX(Specials!B:J,MATCH(B74&amp;" - Active",Specials!I:I,0),2),""))</f>
        <v/>
      </c>
      <c r="D74" s="783"/>
      <c r="E74" s="784" t="s">
        <v>7</v>
      </c>
      <c r="F74" s="785">
        <f ca="1">COUNTIFS(unit_details[Leased Date], "&gt;=" &amp; ($Q$2 - 7),
          unit_details[Leased Date], "&lt;" &amp; $Q$2,
          unit_details[Beds], 0,
          unit_details[Property Name], B74)</f>
        <v>0</v>
      </c>
      <c r="G74" s="791">
        <f ca="1">COUNTIFS(unit_details[Leased Date], "&gt;=" &amp; ($Q$2 - 7),
          unit_details[Leased Date], "&lt;" &amp; $Q$2,
          unit_details[Beds], 0,
          unit_details[Property Name], B74)
-
COUNTIFS(unit_details[Leased Date], "&gt;=" &amp; ($Q$2 - 14),
         unit_details[Leased Date], "&lt;=" &amp; ($Q$2 - 7),
         unit_details[Beds], 0,
         unit_details[Property Name], B74)</f>
        <v>0</v>
      </c>
      <c r="H74" s="787" t="str">
        <f ca="1">IFERROR(AVERAGEIFS(unit_details[Asking Rent],unit_details[Leased Date], "&gt;=" &amp; ($Q$2 - 7),
          unit_details[Leased Date], "&lt;" &amp; $Q$2,
          unit_details[Beds], 0,
          unit_details[Property Name], B74),"")</f>
        <v/>
      </c>
      <c r="I74" s="788">
        <f ca="1">IFERROR(
    AVERAGEIFS(unit_details[Asking Rent],
               unit_details[Leased Date], "&gt;=" &amp; ($Q$2 - 7),
               unit_details[Leased Date], "&lt;" &amp; $Q$2,
               unit_details[Beds], 0,
               unit_details[Property Name], B74)
    -
    AVERAGEIFS(unit_details[Asking Rent],
               unit_details[Leased Date], "&gt;=" &amp; ($Q$2 - 14),
               unit_details[Leased Date], "&lt;=" &amp; ($Q$2 - 7),
               unit_details[Beds], 0,
               unit_details[Property Name], B74),
0)</f>
        <v>0</v>
      </c>
      <c r="J74" s="789">
        <f ca="1">IFERROR(I74/AVERAGEIFS(unit_details[Asking Rent],
               unit_details[Leased Date], "&gt;=" &amp; ($Q$2 - 14),
               unit_details[Leased Date], "&lt;=" &amp; ($Q$2 - 7),
               unit_details[Beds], 0,
               unit_details[Property Name], B74),0)</f>
        <v>0</v>
      </c>
      <c r="K74" s="790">
        <f ca="1">COUNTIFS(unit_details[First Listed], "&gt;=" &amp; ($Q$2 - 7),
          unit_details[First Listed], "&lt;" &amp; $Q$2,
          unit_details[Beds], 0,
          unit_details[Property Name], B74)</f>
        <v>0</v>
      </c>
      <c r="L74" s="791">
        <f ca="1">COUNTIFS(
    unit_details[First Listed], "&gt;=" &amp; ($Q$2 - 7),
    unit_details[First Listed], "&lt;" &amp; $Q$2,
    unit_details[Beds], 0,
    unit_details[Property Name], B74
)
-
COUNTIFS(
    unit_details[First Listed], "&gt;=" &amp; ($Q$2 - 14),
    unit_details[First Listed], "&lt;=" &amp; ($Q$2 - 7),
    unit_details[Beds], 0,
    unit_details[Property Name], B74
)</f>
        <v>0</v>
      </c>
      <c r="M74" s="792" t="str">
        <f ca="1">IFERROR(AVERAGEIFS(unit_details[Asking Rent],unit_details[First Listed],"&gt;="&amp;($Q$2-7),
unit_details[First Listed],"&lt;="&amp;$Q$2,
unit_details[Beds],0,
unit_details[Property Name],B74),"")</f>
        <v/>
      </c>
      <c r="N74" s="793">
        <f ca="1">COUNTIFS(unit_details[Property Name], B74,
          unit_details[Beds], 0,
          unit_details[Leased Date], "")</f>
        <v>0</v>
      </c>
      <c r="O74" s="791">
        <f t="shared" ca="1" si="1"/>
        <v>0</v>
      </c>
      <c r="P74" s="792" t="str">
        <f ca="1">IFERROR(AVERAGEIFS(unit_details[Asking Rent],unit_details[Property Name], B74,
          unit_details[Beds], 0,
          unit_details[Leased Date], ""),"")</f>
        <v/>
      </c>
      <c r="Q74" s="794" t="str">
        <f ca="1">IFERROR(N74/SUMIFS(unit_mix_table['# Units],unit_mix_table[Beds],0,unit_mix_table[Property Name],B74),"")</f>
        <v/>
      </c>
    </row>
    <row r="75" spans="2:17" ht="15" x14ac:dyDescent="0.2">
      <c r="B75" s="795" t="s">
        <v>492</v>
      </c>
      <c r="C75" s="830"/>
      <c r="D75" s="796"/>
      <c r="E75" s="797" t="s">
        <v>385</v>
      </c>
      <c r="F75" s="798">
        <f ca="1">COUNTIFS(unit_details[Leased Date], "&gt;=" &amp; ($Q$2 - 7),
          unit_details[Leased Date], "&lt;" &amp; $Q$2,
          unit_details[Beds], 1,
          unit_details[Property Name], B74)</f>
        <v>0</v>
      </c>
      <c r="G75" s="804">
        <f ca="1">COUNTIFS(unit_details[Leased Date], "&gt;=" &amp; ($Q$2 - 7),
          unit_details[Leased Date], "&lt;" &amp; $Q$2,
          unit_details[Beds], 1,
          unit_details[Property Name], B74)
-
COUNTIFS(unit_details[Leased Date], "&gt;=" &amp; ($Q$2 - 14),
         unit_details[Leased Date], "&lt;=" &amp; ($Q$2 - 7),
         unit_details[Beds], 1,
         unit_details[Property Name], B74)</f>
        <v>0</v>
      </c>
      <c r="H75" s="800" t="str">
        <f ca="1">IFERROR(AVERAGEIFS(unit_details[Asking Rent],unit_details[Leased Date], "&gt;=" &amp; ($Q$2 - 7),
          unit_details[Leased Date], "&lt;" &amp; $Q$2,
          unit_details[Beds], 1,
          unit_details[Property Name], B74),"")</f>
        <v/>
      </c>
      <c r="I75" s="801">
        <f ca="1">IFERROR(
    AVERAGEIFS(unit_details[Asking Rent],
               unit_details[Leased Date], "&gt;=" &amp; ($Q$2 - 7),
               unit_details[Leased Date], "&lt;" &amp; $Q$2,
               unit_details[Beds], 1,
               unit_details[Property Name], B74)
    -
    AVERAGEIFS(unit_details[Asking Rent],
               unit_details[Leased Date], "&gt;=" &amp; ($Q$2 - 14),
               unit_details[Leased Date], "&lt;=" &amp; ($Q$2 - 7),
               unit_details[Beds], 1,
               unit_details[Property Name], B74),
0)</f>
        <v>0</v>
      </c>
      <c r="J75" s="802">
        <f ca="1">IFERROR(I75/AVERAGEIFS(unit_details[Asking Rent],
               unit_details[Leased Date], "&gt;=" &amp; ($Q$2 - 14),
               unit_details[Leased Date], "&lt;=" &amp; ($Q$2 - 7),
               unit_details[Beds], 1,
               unit_details[Property Name], B74),0)</f>
        <v>0</v>
      </c>
      <c r="K75" s="803">
        <f ca="1">COUNTIFS(unit_details[First Listed], "&gt;=" &amp; ($Q$2 - 7),
          unit_details[First Listed], "&lt;" &amp; $Q$2,
          unit_details[Beds], 1,
          unit_details[Property Name], B74)</f>
        <v>0</v>
      </c>
      <c r="L75" s="804">
        <f ca="1">COUNTIFS(
    unit_details[First Listed], "&gt;=" &amp; ($Q$2 - 7),
    unit_details[First Listed], "&lt;" &amp; $Q$2,
    unit_details[Beds], 1,
    unit_details[Property Name], B74
)
-
COUNTIFS(
    unit_details[First Listed], "&gt;=" &amp; ($Q$2 - 14),
    unit_details[First Listed], "&lt;=" &amp; ($Q$2 - 7),
    unit_details[Beds], 1,
    unit_details[Property Name], B74
)</f>
        <v>0</v>
      </c>
      <c r="M75" s="805" t="str">
        <f ca="1">IFERROR(AVERAGEIFS(unit_details[Asking Rent],unit_details[First Listed],"&gt;="&amp;($Q$2-7),
unit_details[First Listed],"&lt;="&amp;$Q$2,
unit_details[Beds],1,
unit_details[Property Name],B74),"")</f>
        <v/>
      </c>
      <c r="N75" s="806">
        <f ca="1">COUNTIFS(unit_details[Property Name], B74,
          unit_details[Beds], 1,
          unit_details[Leased Date], "")</f>
        <v>7</v>
      </c>
      <c r="O75" s="804">
        <f t="shared" ca="1" si="1"/>
        <v>0</v>
      </c>
      <c r="P75" s="805">
        <f ca="1">IFERROR(AVERAGEIFS(unit_details[Asking Rent],unit_details[Property Name], B74,
          unit_details[Beds], 1,
          unit_details[Leased Date], ""),"")</f>
        <v>1028.5714285714287</v>
      </c>
      <c r="Q75" s="807">
        <f ca="1">IFERROR(N75/SUMIFS(unit_mix_table['# Units],unit_mix_table[Beds],1,unit_mix_table[Property Name],B74),"")</f>
        <v>2.3333333333333335</v>
      </c>
    </row>
    <row r="76" spans="2:17" ht="15" x14ac:dyDescent="0.2">
      <c r="B76" s="795" t="s">
        <v>405</v>
      </c>
      <c r="C76" s="830"/>
      <c r="D76" s="796"/>
      <c r="E76" s="797" t="s">
        <v>386</v>
      </c>
      <c r="F76" s="798">
        <f ca="1">COUNTIFS(unit_details[Leased Date], "&gt;=" &amp; ($Q$2 - 7),
          unit_details[Leased Date], "&lt;" &amp; $Q$2,
          unit_details[Beds], 2,
          unit_details[Property Name], B74)</f>
        <v>0</v>
      </c>
      <c r="G76" s="804">
        <f ca="1">COUNTIFS(unit_details[Leased Date], "&gt;=" &amp; ($Q$2 - 7),
          unit_details[Leased Date], "&lt;" &amp; $Q$2,
          unit_details[Beds], 2,
          unit_details[Property Name], B74)
-
COUNTIFS(unit_details[Leased Date], "&gt;=" &amp; ($Q$2 - 14),
         unit_details[Leased Date], "&lt;=" &amp; ($Q$2 - 7),
         unit_details[Beds], 2,
         unit_details[Property Name], B74)</f>
        <v>0</v>
      </c>
      <c r="H76" s="800" t="str">
        <f ca="1">IFERROR(AVERAGEIFS(unit_details[Asking Rent],unit_details[Leased Date], "&gt;=" &amp; ($Q$2 - 7),
          unit_details[Leased Date], "&lt;" &amp; $Q$2,
          unit_details[Beds], 2,
          unit_details[Property Name], B74),"")</f>
        <v/>
      </c>
      <c r="I76" s="801">
        <f ca="1">IFERROR(
    AVERAGEIFS(unit_details[Asking Rent],
               unit_details[Leased Date], "&gt;=" &amp; ($Q$2 - 7),
               unit_details[Leased Date], "&lt;" &amp; $Q$2,
               unit_details[Beds], 2,
               unit_details[Property Name], B74)
    -
    AVERAGEIFS(unit_details[Asking Rent],
               unit_details[Leased Date], "&gt;=" &amp; ($Q$2 - 14),
               unit_details[Leased Date], "&lt;=" &amp; ($Q$2 - 7),
               unit_details[Beds], 2,
               unit_details[Property Name], B74),
0)</f>
        <v>0</v>
      </c>
      <c r="J76" s="802">
        <f ca="1">IFERROR(I76/AVERAGEIFS(unit_details[Asking Rent],
               unit_details[Leased Date], "&gt;=" &amp; ($Q$2 - 14),
               unit_details[Leased Date], "&lt;=" &amp; ($Q$2 - 7),
               unit_details[Beds], 2,
               unit_details[Property Name], B74),0)</f>
        <v>0</v>
      </c>
      <c r="K76" s="803">
        <f ca="1">COUNTIFS(unit_details[First Listed], "&gt;=" &amp; ($Q$2 - 7),
          unit_details[First Listed], "&lt;" &amp; $Q$2,
          unit_details[Beds], 2,
          unit_details[Property Name], B74)</f>
        <v>0</v>
      </c>
      <c r="L76" s="804">
        <f ca="1">COUNTIFS(
    unit_details[First Listed], "&gt;=" &amp; ($Q$2 - 7),
    unit_details[First Listed], "&lt;" &amp; $Q$2,
    unit_details[Beds], 2,
    unit_details[Property Name], B74
)
-
COUNTIFS(
    unit_details[First Listed], "&gt;=" &amp; ($Q$2 - 14),
    unit_details[First Listed], "&lt;=" &amp; ($Q$2 - 7),
    unit_details[Beds], 2,
    unit_details[Property Name], B74
)</f>
        <v>0</v>
      </c>
      <c r="M76" s="805" t="str">
        <f ca="1">IFERROR(AVERAGEIFS(unit_details[Asking Rent],unit_details[First Listed],"&gt;="&amp;($Q$2-7),
unit_details[First Listed],"&lt;="&amp;$Q$2,
unit_details[Beds],2,
unit_details[Property Name],B74),"")</f>
        <v/>
      </c>
      <c r="N76" s="806">
        <f ca="1">COUNTIFS(unit_details[Property Name], B74,
          unit_details[Beds], 2,
          unit_details[Leased Date], "")</f>
        <v>9</v>
      </c>
      <c r="O76" s="804">
        <f t="shared" ca="1" si="1"/>
        <v>0</v>
      </c>
      <c r="P76" s="805">
        <f ca="1">IFERROR(AVERAGEIFS(unit_details[Asking Rent],unit_details[Property Name], B74,
          unit_details[Beds], 2,
          unit_details[Leased Date], ""),"")</f>
        <v>1211.1111111111111</v>
      </c>
      <c r="Q76" s="807">
        <f ca="1">IFERROR(N76/SUMIFS(unit_mix_table['# Units],unit_mix_table[Beds],2,unit_mix_table[Property Name],B74),"")</f>
        <v>1.5</v>
      </c>
    </row>
    <row r="77" spans="2:17" ht="16" thickBot="1" x14ac:dyDescent="0.25">
      <c r="B77" s="808" t="s">
        <v>405</v>
      </c>
      <c r="C77" s="831"/>
      <c r="D77" s="809"/>
      <c r="E77" s="810" t="s">
        <v>387</v>
      </c>
      <c r="F77" s="811">
        <f ca="1">COUNTIFS(unit_details[Leased Date], "&gt;=" &amp; ($Q$2 - 7),
          unit_details[Leased Date], "&lt;" &amp; $Q$2,
          unit_details[Beds], 3,
          unit_details[Property Name], B74)</f>
        <v>0</v>
      </c>
      <c r="G77" s="817">
        <f ca="1">COUNTIFS(unit_details[Leased Date], "&gt;=" &amp; ($Q$2 - 7),
          unit_details[Leased Date], "&lt;" &amp; $Q$2,
          unit_details[Beds], 3,
          unit_details[Property Name], B74)
-
COUNTIFS(unit_details[Leased Date], "&gt;=" &amp; ($Q$2 - 14),
         unit_details[Leased Date], "&lt;=" &amp; ($Q$2 - 7),
         unit_details[Beds], 3,
         unit_details[Property Name], B74)</f>
        <v>0</v>
      </c>
      <c r="H77" s="813" t="str">
        <f ca="1">IFERROR(AVERAGEIFS(unit_details[Asking Rent],unit_details[Leased Date], "&gt;=" &amp; ($Q$2 - 7),
          unit_details[Leased Date], "&lt;" &amp; $Q$2,
          unit_details[Beds], 3,
          unit_details[Property Name], B74),"")</f>
        <v/>
      </c>
      <c r="I77" s="814">
        <f ca="1">IFERROR(
    AVERAGEIFS(unit_details[Asking Rent],
               unit_details[Leased Date], "&gt;=" &amp; ($Q$2 - 7),
               unit_details[Leased Date], "&lt;" &amp; $Q$2,
               unit_details[Beds], 3,
               unit_details[Property Name], B74)
    -
    AVERAGEIFS(unit_details[Asking Rent],
               unit_details[Leased Date], "&gt;=" &amp; ($Q$2 - 14),
               unit_details[Leased Date], "&lt;=" &amp; ($Q$2 - 7),
               unit_details[Beds], 3,
               unit_details[Property Name], B74),
0)</f>
        <v>0</v>
      </c>
      <c r="J77" s="815">
        <f ca="1">IFERROR(I77/AVERAGEIFS(unit_details[Asking Rent],
               unit_details[Leased Date], "&gt;=" &amp; ($Q$2 - 14),
               unit_details[Leased Date], "&lt;=" &amp; ($Q$2 - 7),
               unit_details[Beds], 3,
               unit_details[Property Name], B74),0)</f>
        <v>0</v>
      </c>
      <c r="K77" s="816">
        <f ca="1">COUNTIFS(unit_details[First Listed], "&gt;=" &amp; ($Q$2 - 7),
          unit_details[First Listed], "&lt;" &amp; $Q$2,
          unit_details[Beds], 3,
          unit_details[Property Name], B74)</f>
        <v>0</v>
      </c>
      <c r="L77" s="817">
        <f ca="1">COUNTIFS(
    unit_details[First Listed], "&gt;=" &amp; ($Q$2 - 7),
    unit_details[First Listed], "&lt;" &amp; $Q$2,
    unit_details[Beds], 3,
    unit_details[Property Name], B74
)
-
COUNTIFS(
    unit_details[First Listed], "&gt;=" &amp; ($Q$2 - 14),
    unit_details[First Listed], "&lt;=" &amp; ($Q$2 - 7),
    unit_details[Beds], 3,
    unit_details[Property Name], B74
)</f>
        <v>0</v>
      </c>
      <c r="M77" s="818" t="str">
        <f ca="1">IFERROR(AVERAGEIFS(unit_details[Asking Rent],unit_details[First Listed],"&gt;="&amp;($Q$2-7),
unit_details[First Listed],"&lt;="&amp;$Q$2,
unit_details[Beds],3,
unit_details[Property Name],B74),"")</f>
        <v/>
      </c>
      <c r="N77" s="819">
        <f ca="1">COUNTIFS(unit_details[Property Name], B74,
          unit_details[Beds], 3,
          unit_details[Leased Date], "")</f>
        <v>0</v>
      </c>
      <c r="O77" s="817">
        <f t="shared" ca="1" si="1"/>
        <v>0</v>
      </c>
      <c r="P77" s="818" t="str">
        <f ca="1">IFERROR(AVERAGEIFS(unit_details[Asking Rent],unit_details[Property Name], B74,
          unit_details[Beds], 3,
          unit_details[Leased Date], ""),"")</f>
        <v/>
      </c>
      <c r="Q77" s="820" t="str">
        <f ca="1">IFERROR(N77/SUMIFS(unit_mix_table['# Units],unit_mix_table[Beds],3,unit_mix_table[Property Name],B74),"")</f>
        <v/>
      </c>
    </row>
    <row r="78" spans="2:17" ht="15" x14ac:dyDescent="0.2">
      <c r="B78" s="782" t="str">
        <f ca="1">IF(ISBLANK(OFFSET('Rent Comparison'!$A$1,2,23)),"",IF(OFFSET('Rent Comparison'!$A$1,2,23)=0,B79,OFFSET('Rent Comparison'!$A$1,2,23)))</f>
        <v/>
      </c>
      <c r="C78" s="829" t="str">
        <f ca="1">IF(ISBLANK(B78),"",IFERROR(INDEX(Specials!B:J,MATCH(B78&amp;" - Active",Specials!I:I,0),2),""))</f>
        <v/>
      </c>
      <c r="D78" s="783"/>
      <c r="E78" s="784" t="s">
        <v>7</v>
      </c>
      <c r="F78" s="785">
        <f ca="1">COUNTIFS(unit_details[Leased Date], "&gt;=" &amp; ($Q$2 - 7),
          unit_details[Leased Date], "&lt;" &amp; $Q$2,
          unit_details[Beds], 0,
          unit_details[Property Name], B78)</f>
        <v>0</v>
      </c>
      <c r="G78" s="791">
        <f ca="1">COUNTIFS(unit_details[Leased Date], "&gt;=" &amp; ($Q$2 - 7),
          unit_details[Leased Date], "&lt;" &amp; $Q$2,
          unit_details[Beds], 0,
          unit_details[Property Name], B78)
-
COUNTIFS(unit_details[Leased Date], "&gt;=" &amp; ($Q$2 - 14),
         unit_details[Leased Date], "&lt;=" &amp; ($Q$2 - 7),
         unit_details[Beds], 0,
         unit_details[Property Name], B78)</f>
        <v>0</v>
      </c>
      <c r="H78" s="787" t="str">
        <f ca="1">IFERROR(AVERAGEIFS(unit_details[Asking Rent],unit_details[Leased Date], "&gt;=" &amp; ($Q$2 - 7),
          unit_details[Leased Date], "&lt;" &amp; $Q$2,
          unit_details[Beds], 0,
          unit_details[Property Name], B78),"")</f>
        <v/>
      </c>
      <c r="I78" s="788">
        <f ca="1">IFERROR(
    AVERAGEIFS(unit_details[Asking Rent],
               unit_details[Leased Date], "&gt;=" &amp; ($Q$2 - 7),
               unit_details[Leased Date], "&lt;" &amp; $Q$2,
               unit_details[Beds], 0,
               unit_details[Property Name], B78)
    -
    AVERAGEIFS(unit_details[Asking Rent],
               unit_details[Leased Date], "&gt;=" &amp; ($Q$2 - 14),
               unit_details[Leased Date], "&lt;=" &amp; ($Q$2 - 7),
               unit_details[Beds], 0,
               unit_details[Property Name], B78),
0)</f>
        <v>0</v>
      </c>
      <c r="J78" s="789">
        <f ca="1">IFERROR(I78/AVERAGEIFS(unit_details[Asking Rent],
               unit_details[Leased Date], "&gt;=" &amp; ($Q$2 - 14),
               unit_details[Leased Date], "&lt;=" &amp; ($Q$2 - 7),
               unit_details[Beds], 0,
               unit_details[Property Name], B78),0)</f>
        <v>0</v>
      </c>
      <c r="K78" s="790">
        <f ca="1">COUNTIFS(unit_details[First Listed], "&gt;=" &amp; ($Q$2 - 7),
          unit_details[First Listed], "&lt;" &amp; $Q$2,
          unit_details[Beds], 0,
          unit_details[Property Name], B78)</f>
        <v>0</v>
      </c>
      <c r="L78" s="791">
        <f ca="1">COUNTIFS(
    unit_details[First Listed], "&gt;=" &amp; ($Q$2 - 7),
    unit_details[First Listed], "&lt;" &amp; $Q$2,
    unit_details[Beds], 0,
    unit_details[Property Name], B78
)
-
COUNTIFS(
    unit_details[First Listed], "&gt;=" &amp; ($Q$2 - 14),
    unit_details[First Listed], "&lt;=" &amp; ($Q$2 - 7),
    unit_details[Beds], 0,
    unit_details[Property Name], B78
)</f>
        <v>0</v>
      </c>
      <c r="M78" s="792" t="str">
        <f ca="1">IFERROR(AVERAGEIFS(unit_details[Asking Rent],unit_details[First Listed],"&gt;="&amp;($Q$2-7),
unit_details[First Listed],"&lt;="&amp;$Q$2,
unit_details[Beds],0,
unit_details[Property Name],B78),"")</f>
        <v/>
      </c>
      <c r="N78" s="793">
        <f ca="1">COUNTIFS(unit_details[Property Name], B78,
          unit_details[Beds], 0,
          unit_details[Leased Date], "")</f>
        <v>0</v>
      </c>
      <c r="O78" s="791">
        <f t="shared" ca="1" si="1"/>
        <v>0</v>
      </c>
      <c r="P78" s="792" t="str">
        <f ca="1">IFERROR(AVERAGEIFS(unit_details[Asking Rent],unit_details[Property Name], B78,
          unit_details[Beds], 0,
          unit_details[Leased Date], ""),"")</f>
        <v/>
      </c>
      <c r="Q78" s="794" t="str">
        <f ca="1">IFERROR(N78/SUMIFS(unit_mix_table['# Units],unit_mix_table[Beds],0,unit_mix_table[Property Name],B78),"")</f>
        <v/>
      </c>
    </row>
    <row r="79" spans="2:17" ht="15" x14ac:dyDescent="0.2">
      <c r="B79" s="795" t="s">
        <v>493</v>
      </c>
      <c r="C79" s="830"/>
      <c r="D79" s="796"/>
      <c r="E79" s="797" t="s">
        <v>385</v>
      </c>
      <c r="F79" s="798">
        <f ca="1">COUNTIFS(unit_details[Leased Date], "&gt;=" &amp; ($Q$2 - 7),
          unit_details[Leased Date], "&lt;" &amp; $Q$2,
          unit_details[Beds], 1,
          unit_details[Property Name], B78)</f>
        <v>0</v>
      </c>
      <c r="G79" s="804">
        <f ca="1">COUNTIFS(unit_details[Leased Date], "&gt;=" &amp; ($Q$2 - 7),
          unit_details[Leased Date], "&lt;" &amp; $Q$2,
          unit_details[Beds], 1,
          unit_details[Property Name], B78)
-
COUNTIFS(unit_details[Leased Date], "&gt;=" &amp; ($Q$2 - 14),
         unit_details[Leased Date], "&lt;=" &amp; ($Q$2 - 7),
         unit_details[Beds], 1,
         unit_details[Property Name], B78)</f>
        <v>0</v>
      </c>
      <c r="H79" s="800" t="str">
        <f ca="1">IFERROR(AVERAGEIFS(unit_details[Asking Rent],unit_details[Leased Date], "&gt;=" &amp; ($Q$2 - 7),
          unit_details[Leased Date], "&lt;" &amp; $Q$2,
          unit_details[Beds], 1,
          unit_details[Property Name], B78),"")</f>
        <v/>
      </c>
      <c r="I79" s="801">
        <f ca="1">IFERROR(
    AVERAGEIFS(unit_details[Asking Rent],
               unit_details[Leased Date], "&gt;=" &amp; ($Q$2 - 7),
               unit_details[Leased Date], "&lt;" &amp; $Q$2,
               unit_details[Beds], 1,
               unit_details[Property Name], B78)
    -
    AVERAGEIFS(unit_details[Asking Rent],
               unit_details[Leased Date], "&gt;=" &amp; ($Q$2 - 14),
               unit_details[Leased Date], "&lt;=" &amp; ($Q$2 - 7),
               unit_details[Beds], 1,
               unit_details[Property Name], B78),
0)</f>
        <v>0</v>
      </c>
      <c r="J79" s="802">
        <f ca="1">IFERROR(I79/AVERAGEIFS(unit_details[Asking Rent],
               unit_details[Leased Date], "&gt;=" &amp; ($Q$2 - 14),
               unit_details[Leased Date], "&lt;=" &amp; ($Q$2 - 7),
               unit_details[Beds], 1,
               unit_details[Property Name], B78),0)</f>
        <v>0</v>
      </c>
      <c r="K79" s="803">
        <f ca="1">COUNTIFS(unit_details[First Listed], "&gt;=" &amp; ($Q$2 - 7),
          unit_details[First Listed], "&lt;" &amp; $Q$2,
          unit_details[Beds], 1,
          unit_details[Property Name], B78)</f>
        <v>0</v>
      </c>
      <c r="L79" s="804">
        <f ca="1">COUNTIFS(
    unit_details[First Listed], "&gt;=" &amp; ($Q$2 - 7),
    unit_details[First Listed], "&lt;" &amp; $Q$2,
    unit_details[Beds], 1,
    unit_details[Property Name], B78
)
-
COUNTIFS(
    unit_details[First Listed], "&gt;=" &amp; ($Q$2 - 14),
    unit_details[First Listed], "&lt;=" &amp; ($Q$2 - 7),
    unit_details[Beds], 1,
    unit_details[Property Name], B78
)</f>
        <v>0</v>
      </c>
      <c r="M79" s="805" t="str">
        <f ca="1">IFERROR(AVERAGEIFS(unit_details[Asking Rent],unit_details[First Listed],"&gt;="&amp;($Q$2-7),
unit_details[First Listed],"&lt;="&amp;$Q$2,
unit_details[Beds],1,
unit_details[Property Name],B78),"")</f>
        <v/>
      </c>
      <c r="N79" s="806">
        <f ca="1">COUNTIFS(unit_details[Property Name], B78,
          unit_details[Beds], 1,
          unit_details[Leased Date], "")</f>
        <v>7</v>
      </c>
      <c r="O79" s="804">
        <f t="shared" ca="1" si="1"/>
        <v>0</v>
      </c>
      <c r="P79" s="805">
        <f ca="1">IFERROR(AVERAGEIFS(unit_details[Asking Rent],unit_details[Property Name], B78,
          unit_details[Beds], 1,
          unit_details[Leased Date], ""),"")</f>
        <v>1028.5714285714287</v>
      </c>
      <c r="Q79" s="807">
        <f ca="1">IFERROR(N79/SUMIFS(unit_mix_table['# Units],unit_mix_table[Beds],1,unit_mix_table[Property Name],B78),"")</f>
        <v>2.3333333333333335</v>
      </c>
    </row>
    <row r="80" spans="2:17" ht="15" x14ac:dyDescent="0.2">
      <c r="B80" s="795" t="s">
        <v>405</v>
      </c>
      <c r="C80" s="830"/>
      <c r="D80" s="796"/>
      <c r="E80" s="797" t="s">
        <v>386</v>
      </c>
      <c r="F80" s="798">
        <f ca="1">COUNTIFS(unit_details[Leased Date], "&gt;=" &amp; ($Q$2 - 7),
          unit_details[Leased Date], "&lt;" &amp; $Q$2,
          unit_details[Beds], 2,
          unit_details[Property Name], B78)</f>
        <v>0</v>
      </c>
      <c r="G80" s="804">
        <f ca="1">COUNTIFS(unit_details[Leased Date], "&gt;=" &amp; ($Q$2 - 7),
          unit_details[Leased Date], "&lt;" &amp; $Q$2,
          unit_details[Beds], 2,
          unit_details[Property Name], B78)
-
COUNTIFS(unit_details[Leased Date], "&gt;=" &amp; ($Q$2 - 14),
         unit_details[Leased Date], "&lt;=" &amp; ($Q$2 - 7),
         unit_details[Beds], 2,
         unit_details[Property Name], B78)</f>
        <v>0</v>
      </c>
      <c r="H80" s="800" t="str">
        <f ca="1">IFERROR(AVERAGEIFS(unit_details[Asking Rent],unit_details[Leased Date], "&gt;=" &amp; ($Q$2 - 7),
          unit_details[Leased Date], "&lt;" &amp; $Q$2,
          unit_details[Beds], 2,
          unit_details[Property Name], B78),"")</f>
        <v/>
      </c>
      <c r="I80" s="801">
        <f ca="1">IFERROR(
    AVERAGEIFS(unit_details[Asking Rent],
               unit_details[Leased Date], "&gt;=" &amp; ($Q$2 - 7),
               unit_details[Leased Date], "&lt;" &amp; $Q$2,
               unit_details[Beds], 2,
               unit_details[Property Name], B78)
    -
    AVERAGEIFS(unit_details[Asking Rent],
               unit_details[Leased Date], "&gt;=" &amp; ($Q$2 - 14),
               unit_details[Leased Date], "&lt;=" &amp; ($Q$2 - 7),
               unit_details[Beds], 2,
               unit_details[Property Name], B78),
0)</f>
        <v>0</v>
      </c>
      <c r="J80" s="802">
        <f ca="1">IFERROR(I80/AVERAGEIFS(unit_details[Asking Rent],
               unit_details[Leased Date], "&gt;=" &amp; ($Q$2 - 14),
               unit_details[Leased Date], "&lt;=" &amp; ($Q$2 - 7),
               unit_details[Beds], 2,
               unit_details[Property Name], B78),0)</f>
        <v>0</v>
      </c>
      <c r="K80" s="803">
        <f ca="1">COUNTIFS(unit_details[First Listed], "&gt;=" &amp; ($Q$2 - 7),
          unit_details[First Listed], "&lt;" &amp; $Q$2,
          unit_details[Beds], 2,
          unit_details[Property Name], B78)</f>
        <v>0</v>
      </c>
      <c r="L80" s="804">
        <f ca="1">COUNTIFS(
    unit_details[First Listed], "&gt;=" &amp; ($Q$2 - 7),
    unit_details[First Listed], "&lt;" &amp; $Q$2,
    unit_details[Beds], 2,
    unit_details[Property Name], B78
)
-
COUNTIFS(
    unit_details[First Listed], "&gt;=" &amp; ($Q$2 - 14),
    unit_details[First Listed], "&lt;=" &amp; ($Q$2 - 7),
    unit_details[Beds], 2,
    unit_details[Property Name], B78
)</f>
        <v>0</v>
      </c>
      <c r="M80" s="805" t="str">
        <f ca="1">IFERROR(AVERAGEIFS(unit_details[Asking Rent],unit_details[First Listed],"&gt;="&amp;($Q$2-7),
unit_details[First Listed],"&lt;="&amp;$Q$2,
unit_details[Beds],2,
unit_details[Property Name],B78),"")</f>
        <v/>
      </c>
      <c r="N80" s="806">
        <f ca="1">COUNTIFS(unit_details[Property Name], B78,
          unit_details[Beds], 2,
          unit_details[Leased Date], "")</f>
        <v>9</v>
      </c>
      <c r="O80" s="804">
        <f t="shared" ca="1" si="1"/>
        <v>0</v>
      </c>
      <c r="P80" s="805">
        <f ca="1">IFERROR(AVERAGEIFS(unit_details[Asking Rent],unit_details[Property Name], B78,
          unit_details[Beds], 2,
          unit_details[Leased Date], ""),"")</f>
        <v>1211.1111111111111</v>
      </c>
      <c r="Q80" s="807">
        <f ca="1">IFERROR(N80/SUMIFS(unit_mix_table['# Units],unit_mix_table[Beds],2,unit_mix_table[Property Name],B78),"")</f>
        <v>1.5</v>
      </c>
    </row>
    <row r="81" spans="2:17" ht="16" thickBot="1" x14ac:dyDescent="0.25">
      <c r="B81" s="808" t="s">
        <v>405</v>
      </c>
      <c r="C81" s="831"/>
      <c r="D81" s="809"/>
      <c r="E81" s="810" t="s">
        <v>387</v>
      </c>
      <c r="F81" s="811">
        <f ca="1">COUNTIFS(unit_details[Leased Date], "&gt;=" &amp; ($Q$2 - 7),
          unit_details[Leased Date], "&lt;" &amp; $Q$2,
          unit_details[Beds], 3,
          unit_details[Property Name], B78)</f>
        <v>0</v>
      </c>
      <c r="G81" s="817">
        <f ca="1">COUNTIFS(unit_details[Leased Date], "&gt;=" &amp; ($Q$2 - 7),
          unit_details[Leased Date], "&lt;" &amp; $Q$2,
          unit_details[Beds], 3,
          unit_details[Property Name], B78)
-
COUNTIFS(unit_details[Leased Date], "&gt;=" &amp; ($Q$2 - 14),
         unit_details[Leased Date], "&lt;=" &amp; ($Q$2 - 7),
         unit_details[Beds], 3,
         unit_details[Property Name], B78)</f>
        <v>0</v>
      </c>
      <c r="H81" s="813" t="str">
        <f ca="1">IFERROR(AVERAGEIFS(unit_details[Asking Rent],unit_details[Leased Date], "&gt;=" &amp; ($Q$2 - 7),
          unit_details[Leased Date], "&lt;" &amp; $Q$2,
          unit_details[Beds], 3,
          unit_details[Property Name], B78),"")</f>
        <v/>
      </c>
      <c r="I81" s="814">
        <f ca="1">IFERROR(
    AVERAGEIFS(unit_details[Asking Rent],
               unit_details[Leased Date], "&gt;=" &amp; ($Q$2 - 7),
               unit_details[Leased Date], "&lt;" &amp; $Q$2,
               unit_details[Beds], 3,
               unit_details[Property Name], B78)
    -
    AVERAGEIFS(unit_details[Asking Rent],
               unit_details[Leased Date], "&gt;=" &amp; ($Q$2 - 14),
               unit_details[Leased Date], "&lt;=" &amp; ($Q$2 - 7),
               unit_details[Beds], 3,
               unit_details[Property Name], B78),
0)</f>
        <v>0</v>
      </c>
      <c r="J81" s="815">
        <f ca="1">IFERROR(I81/AVERAGEIFS(unit_details[Asking Rent],
               unit_details[Leased Date], "&gt;=" &amp; ($Q$2 - 14),
               unit_details[Leased Date], "&lt;=" &amp; ($Q$2 - 7),
               unit_details[Beds], 3,
               unit_details[Property Name], B78),0)</f>
        <v>0</v>
      </c>
      <c r="K81" s="816">
        <f ca="1">COUNTIFS(unit_details[First Listed], "&gt;=" &amp; ($Q$2 - 7),
          unit_details[First Listed], "&lt;" &amp; $Q$2,
          unit_details[Beds], 3,
          unit_details[Property Name], B78)</f>
        <v>0</v>
      </c>
      <c r="L81" s="817">
        <f ca="1">COUNTIFS(
    unit_details[First Listed], "&gt;=" &amp; ($Q$2 - 7),
    unit_details[First Listed], "&lt;" &amp; $Q$2,
    unit_details[Beds], 3,
    unit_details[Property Name], B78
)
-
COUNTIFS(
    unit_details[First Listed], "&gt;=" &amp; ($Q$2 - 14),
    unit_details[First Listed], "&lt;=" &amp; ($Q$2 - 7),
    unit_details[Beds], 3,
    unit_details[Property Name], B78
)</f>
        <v>0</v>
      </c>
      <c r="M81" s="818" t="str">
        <f ca="1">IFERROR(AVERAGEIFS(unit_details[Asking Rent],unit_details[First Listed],"&gt;="&amp;($Q$2-7),
unit_details[First Listed],"&lt;="&amp;$Q$2,
unit_details[Beds],3,
unit_details[Property Name],B78),"")</f>
        <v/>
      </c>
      <c r="N81" s="819">
        <f ca="1">COUNTIFS(unit_details[Property Name], B78,
          unit_details[Beds], 3,
          unit_details[Leased Date], "")</f>
        <v>0</v>
      </c>
      <c r="O81" s="817">
        <f t="shared" ca="1" si="1"/>
        <v>0</v>
      </c>
      <c r="P81" s="818" t="str">
        <f ca="1">IFERROR(AVERAGEIFS(unit_details[Asking Rent],unit_details[Property Name], B78,
          unit_details[Beds], 3,
          unit_details[Leased Date], ""),"")</f>
        <v/>
      </c>
      <c r="Q81" s="820" t="str">
        <f ca="1">IFERROR(N81/SUMIFS(unit_mix_table['# Units],unit_mix_table[Beds],3,unit_mix_table[Property Name],B78),"")</f>
        <v/>
      </c>
    </row>
    <row r="82" spans="2:17" ht="15" x14ac:dyDescent="0.2">
      <c r="B82" s="782" t="str">
        <f ca="1">IF(ISBLANK(OFFSET('Rent Comparison'!$A$1,2,24)),"",IF(OFFSET('Rent Comparison'!$A$1,2,24)=0,B83,OFFSET('Rent Comparison'!$A$1,2,24)))</f>
        <v/>
      </c>
      <c r="C82" s="829" t="str">
        <f ca="1">IF(ISBLANK(B82),"",IFERROR(INDEX(Specials!B:J,MATCH(B82&amp;" - Active",Specials!I:I,0),2),""))</f>
        <v/>
      </c>
      <c r="D82" s="783"/>
      <c r="E82" s="784" t="s">
        <v>7</v>
      </c>
      <c r="F82" s="785">
        <f ca="1">COUNTIFS(unit_details[Leased Date], "&gt;=" &amp; ($Q$2 - 7),
          unit_details[Leased Date], "&lt;" &amp; $Q$2,
          unit_details[Beds], 0,
          unit_details[Property Name], B82)</f>
        <v>0</v>
      </c>
      <c r="G82" s="791">
        <f ca="1">COUNTIFS(unit_details[Leased Date], "&gt;=" &amp; ($Q$2 - 7),
          unit_details[Leased Date], "&lt;" &amp; $Q$2,
          unit_details[Beds], 0,
          unit_details[Property Name], B82)
-
COUNTIFS(unit_details[Leased Date], "&gt;=" &amp; ($Q$2 - 14),
         unit_details[Leased Date], "&lt;=" &amp; ($Q$2 - 7),
         unit_details[Beds], 0,
         unit_details[Property Name], B82)</f>
        <v>0</v>
      </c>
      <c r="H82" s="787" t="str">
        <f ca="1">IFERROR(AVERAGEIFS(unit_details[Asking Rent],unit_details[Leased Date], "&gt;=" &amp; ($Q$2 - 7),
          unit_details[Leased Date], "&lt;" &amp; $Q$2,
          unit_details[Beds], 0,
          unit_details[Property Name], B82),"")</f>
        <v/>
      </c>
      <c r="I82" s="788">
        <f ca="1">IFERROR(
    AVERAGEIFS(unit_details[Asking Rent],
               unit_details[Leased Date], "&gt;=" &amp; ($Q$2 - 7),
               unit_details[Leased Date], "&lt;" &amp; $Q$2,
               unit_details[Beds], 0,
               unit_details[Property Name], B82)
    -
    AVERAGEIFS(unit_details[Asking Rent],
               unit_details[Leased Date], "&gt;=" &amp; ($Q$2 - 14),
               unit_details[Leased Date], "&lt;=" &amp; ($Q$2 - 7),
               unit_details[Beds], 0,
               unit_details[Property Name], B82),
0)</f>
        <v>0</v>
      </c>
      <c r="J82" s="789">
        <f ca="1">IFERROR(I82/AVERAGEIFS(unit_details[Asking Rent],
               unit_details[Leased Date], "&gt;=" &amp; ($Q$2 - 14),
               unit_details[Leased Date], "&lt;=" &amp; ($Q$2 - 7),
               unit_details[Beds], 0,
               unit_details[Property Name], B82),0)</f>
        <v>0</v>
      </c>
      <c r="K82" s="790">
        <f ca="1">COUNTIFS(unit_details[First Listed], "&gt;=" &amp; ($Q$2 - 7),
          unit_details[First Listed], "&lt;" &amp; $Q$2,
          unit_details[Beds], 0,
          unit_details[Property Name], B82)</f>
        <v>0</v>
      </c>
      <c r="L82" s="791">
        <f ca="1">COUNTIFS(
    unit_details[First Listed], "&gt;=" &amp; ($Q$2 - 7),
    unit_details[First Listed], "&lt;" &amp; $Q$2,
    unit_details[Beds], 0,
    unit_details[Property Name], B82
)
-
COUNTIFS(
    unit_details[First Listed], "&gt;=" &amp; ($Q$2 - 14),
    unit_details[First Listed], "&lt;=" &amp; ($Q$2 - 7),
    unit_details[Beds], 0,
    unit_details[Property Name], B82
)</f>
        <v>0</v>
      </c>
      <c r="M82" s="792" t="str">
        <f ca="1">IFERROR(AVERAGEIFS(unit_details[Asking Rent],unit_details[First Listed],"&gt;="&amp;($Q$2-7),
unit_details[First Listed],"&lt;="&amp;$Q$2,
unit_details[Beds],0,
unit_details[Property Name],B82),"")</f>
        <v/>
      </c>
      <c r="N82" s="793">
        <f ca="1">COUNTIFS(unit_details[Property Name], B82,
          unit_details[Beds], 0,
          unit_details[Leased Date], "")</f>
        <v>0</v>
      </c>
      <c r="O82" s="791">
        <f t="shared" ca="1" si="1"/>
        <v>0</v>
      </c>
      <c r="P82" s="792" t="str">
        <f ca="1">IFERROR(AVERAGEIFS(unit_details[Asking Rent],unit_details[Property Name], B82,
          unit_details[Beds], 0,
          unit_details[Leased Date], ""),"")</f>
        <v/>
      </c>
      <c r="Q82" s="794" t="str">
        <f ca="1">IFERROR(N82/SUMIFS(unit_mix_table['# Units],unit_mix_table[Beds],0,unit_mix_table[Property Name],B82),"")</f>
        <v/>
      </c>
    </row>
    <row r="83" spans="2:17" ht="15" x14ac:dyDescent="0.2">
      <c r="B83" s="795" t="s">
        <v>494</v>
      </c>
      <c r="C83" s="830"/>
      <c r="D83" s="796"/>
      <c r="E83" s="797" t="s">
        <v>385</v>
      </c>
      <c r="F83" s="798">
        <f ca="1">COUNTIFS(unit_details[Leased Date], "&gt;=" &amp; ($Q$2 - 7),
          unit_details[Leased Date], "&lt;" &amp; $Q$2,
          unit_details[Beds], 1,
          unit_details[Property Name], B82)</f>
        <v>0</v>
      </c>
      <c r="G83" s="804">
        <f ca="1">COUNTIFS(unit_details[Leased Date], "&gt;=" &amp; ($Q$2 - 7),
          unit_details[Leased Date], "&lt;" &amp; $Q$2,
          unit_details[Beds], 1,
          unit_details[Property Name], B82)
-
COUNTIFS(unit_details[Leased Date], "&gt;=" &amp; ($Q$2 - 14),
         unit_details[Leased Date], "&lt;=" &amp; ($Q$2 - 7),
         unit_details[Beds], 1,
         unit_details[Property Name], B82)</f>
        <v>0</v>
      </c>
      <c r="H83" s="800" t="str">
        <f ca="1">IFERROR(AVERAGEIFS(unit_details[Asking Rent],unit_details[Leased Date], "&gt;=" &amp; ($Q$2 - 7),
          unit_details[Leased Date], "&lt;" &amp; $Q$2,
          unit_details[Beds], 1,
          unit_details[Property Name], B82),"")</f>
        <v/>
      </c>
      <c r="I83" s="801">
        <f ca="1">IFERROR(
    AVERAGEIFS(unit_details[Asking Rent],
               unit_details[Leased Date], "&gt;=" &amp; ($Q$2 - 7),
               unit_details[Leased Date], "&lt;" &amp; $Q$2,
               unit_details[Beds], 1,
               unit_details[Property Name], B82)
    -
    AVERAGEIFS(unit_details[Asking Rent],
               unit_details[Leased Date], "&gt;=" &amp; ($Q$2 - 14),
               unit_details[Leased Date], "&lt;=" &amp; ($Q$2 - 7),
               unit_details[Beds], 1,
               unit_details[Property Name], B82),
0)</f>
        <v>0</v>
      </c>
      <c r="J83" s="802">
        <f ca="1">IFERROR(I83/AVERAGEIFS(unit_details[Asking Rent],
               unit_details[Leased Date], "&gt;=" &amp; ($Q$2 - 14),
               unit_details[Leased Date], "&lt;=" &amp; ($Q$2 - 7),
               unit_details[Beds], 1,
               unit_details[Property Name], B82),0)</f>
        <v>0</v>
      </c>
      <c r="K83" s="803">
        <f ca="1">COUNTIFS(unit_details[First Listed], "&gt;=" &amp; ($Q$2 - 7),
          unit_details[First Listed], "&lt;" &amp; $Q$2,
          unit_details[Beds], 1,
          unit_details[Property Name], B82)</f>
        <v>0</v>
      </c>
      <c r="L83" s="804">
        <f ca="1">COUNTIFS(
    unit_details[First Listed], "&gt;=" &amp; ($Q$2 - 7),
    unit_details[First Listed], "&lt;" &amp; $Q$2,
    unit_details[Beds], 1,
    unit_details[Property Name], B82
)
-
COUNTIFS(
    unit_details[First Listed], "&gt;=" &amp; ($Q$2 - 14),
    unit_details[First Listed], "&lt;=" &amp; ($Q$2 - 7),
    unit_details[Beds], 1,
    unit_details[Property Name], B82
)</f>
        <v>0</v>
      </c>
      <c r="M83" s="805" t="str">
        <f ca="1">IFERROR(AVERAGEIFS(unit_details[Asking Rent],unit_details[First Listed],"&gt;="&amp;($Q$2-7),
unit_details[First Listed],"&lt;="&amp;$Q$2,
unit_details[Beds],1,
unit_details[Property Name],B82),"")</f>
        <v/>
      </c>
      <c r="N83" s="806">
        <f ca="1">COUNTIFS(unit_details[Property Name], B82,
          unit_details[Beds], 1,
          unit_details[Leased Date], "")</f>
        <v>7</v>
      </c>
      <c r="O83" s="804">
        <f t="shared" ca="1" si="1"/>
        <v>0</v>
      </c>
      <c r="P83" s="805">
        <f ca="1">IFERROR(AVERAGEIFS(unit_details[Asking Rent],unit_details[Property Name], B82,
          unit_details[Beds], 1,
          unit_details[Leased Date], ""),"")</f>
        <v>1028.5714285714287</v>
      </c>
      <c r="Q83" s="807">
        <f ca="1">IFERROR(N83/SUMIFS(unit_mix_table['# Units],unit_mix_table[Beds],1,unit_mix_table[Property Name],B82),"")</f>
        <v>2.3333333333333335</v>
      </c>
    </row>
    <row r="84" spans="2:17" ht="15" x14ac:dyDescent="0.2">
      <c r="B84" s="795" t="s">
        <v>405</v>
      </c>
      <c r="C84" s="830"/>
      <c r="D84" s="796"/>
      <c r="E84" s="797" t="s">
        <v>386</v>
      </c>
      <c r="F84" s="798">
        <f ca="1">COUNTIFS(unit_details[Leased Date], "&gt;=" &amp; ($Q$2 - 7),
          unit_details[Leased Date], "&lt;" &amp; $Q$2,
          unit_details[Beds], 2,
          unit_details[Property Name], B82)</f>
        <v>0</v>
      </c>
      <c r="G84" s="804">
        <f ca="1">COUNTIFS(unit_details[Leased Date], "&gt;=" &amp; ($Q$2 - 7),
          unit_details[Leased Date], "&lt;" &amp; $Q$2,
          unit_details[Beds], 2,
          unit_details[Property Name], B82)
-
COUNTIFS(unit_details[Leased Date], "&gt;=" &amp; ($Q$2 - 14),
         unit_details[Leased Date], "&lt;=" &amp; ($Q$2 - 7),
         unit_details[Beds], 2,
         unit_details[Property Name], B82)</f>
        <v>0</v>
      </c>
      <c r="H84" s="800" t="str">
        <f ca="1">IFERROR(AVERAGEIFS(unit_details[Asking Rent],unit_details[Leased Date], "&gt;=" &amp; ($Q$2 - 7),
          unit_details[Leased Date], "&lt;" &amp; $Q$2,
          unit_details[Beds], 2,
          unit_details[Property Name], B82),"")</f>
        <v/>
      </c>
      <c r="I84" s="801">
        <f ca="1">IFERROR(
    AVERAGEIFS(unit_details[Asking Rent],
               unit_details[Leased Date], "&gt;=" &amp; ($Q$2 - 7),
               unit_details[Leased Date], "&lt;" &amp; $Q$2,
               unit_details[Beds], 2,
               unit_details[Property Name], B82)
    -
    AVERAGEIFS(unit_details[Asking Rent],
               unit_details[Leased Date], "&gt;=" &amp; ($Q$2 - 14),
               unit_details[Leased Date], "&lt;=" &amp; ($Q$2 - 7),
               unit_details[Beds], 2,
               unit_details[Property Name], B82),
0)</f>
        <v>0</v>
      </c>
      <c r="J84" s="802">
        <f ca="1">IFERROR(I84/AVERAGEIFS(unit_details[Asking Rent],
               unit_details[Leased Date], "&gt;=" &amp; ($Q$2 - 14),
               unit_details[Leased Date], "&lt;=" &amp; ($Q$2 - 7),
               unit_details[Beds], 2,
               unit_details[Property Name], B82),0)</f>
        <v>0</v>
      </c>
      <c r="K84" s="803">
        <f ca="1">COUNTIFS(unit_details[First Listed], "&gt;=" &amp; ($Q$2 - 7),
          unit_details[First Listed], "&lt;" &amp; $Q$2,
          unit_details[Beds], 2,
          unit_details[Property Name], B82)</f>
        <v>0</v>
      </c>
      <c r="L84" s="804">
        <f ca="1">COUNTIFS(
    unit_details[First Listed], "&gt;=" &amp; ($Q$2 - 7),
    unit_details[First Listed], "&lt;" &amp; $Q$2,
    unit_details[Beds], 2,
    unit_details[Property Name], B82
)
-
COUNTIFS(
    unit_details[First Listed], "&gt;=" &amp; ($Q$2 - 14),
    unit_details[First Listed], "&lt;=" &amp; ($Q$2 - 7),
    unit_details[Beds], 2,
    unit_details[Property Name], B82
)</f>
        <v>0</v>
      </c>
      <c r="M84" s="805" t="str">
        <f ca="1">IFERROR(AVERAGEIFS(unit_details[Asking Rent],unit_details[First Listed],"&gt;="&amp;($Q$2-7),
unit_details[First Listed],"&lt;="&amp;$Q$2,
unit_details[Beds],2,
unit_details[Property Name],B82),"")</f>
        <v/>
      </c>
      <c r="N84" s="806">
        <f ca="1">COUNTIFS(unit_details[Property Name], B82,
          unit_details[Beds], 2,
          unit_details[Leased Date], "")</f>
        <v>9</v>
      </c>
      <c r="O84" s="804">
        <f t="shared" ca="1" si="1"/>
        <v>0</v>
      </c>
      <c r="P84" s="805">
        <f ca="1">IFERROR(AVERAGEIFS(unit_details[Asking Rent],unit_details[Property Name], B82,
          unit_details[Beds], 2,
          unit_details[Leased Date], ""),"")</f>
        <v>1211.1111111111111</v>
      </c>
      <c r="Q84" s="807">
        <f ca="1">IFERROR(N84/SUMIFS(unit_mix_table['# Units],unit_mix_table[Beds],2,unit_mix_table[Property Name],B82),"")</f>
        <v>1.5</v>
      </c>
    </row>
    <row r="85" spans="2:17" ht="16" thickBot="1" x14ac:dyDescent="0.25">
      <c r="B85" s="808" t="s">
        <v>405</v>
      </c>
      <c r="C85" s="831"/>
      <c r="D85" s="809"/>
      <c r="E85" s="810" t="s">
        <v>387</v>
      </c>
      <c r="F85" s="811">
        <f ca="1">COUNTIFS(unit_details[Leased Date], "&gt;=" &amp; ($Q$2 - 7),
          unit_details[Leased Date], "&lt;" &amp; $Q$2,
          unit_details[Beds], 3,
          unit_details[Property Name], B82)</f>
        <v>0</v>
      </c>
      <c r="G85" s="817">
        <f ca="1">COUNTIFS(unit_details[Leased Date], "&gt;=" &amp; ($Q$2 - 7),
          unit_details[Leased Date], "&lt;" &amp; $Q$2,
          unit_details[Beds], 3,
          unit_details[Property Name], B82)
-
COUNTIFS(unit_details[Leased Date], "&gt;=" &amp; ($Q$2 - 14),
         unit_details[Leased Date], "&lt;=" &amp; ($Q$2 - 7),
         unit_details[Beds], 3,
         unit_details[Property Name], B82)</f>
        <v>0</v>
      </c>
      <c r="H85" s="813" t="str">
        <f ca="1">IFERROR(AVERAGEIFS(unit_details[Asking Rent],unit_details[Leased Date], "&gt;=" &amp; ($Q$2 - 7),
          unit_details[Leased Date], "&lt;" &amp; $Q$2,
          unit_details[Beds], 3,
          unit_details[Property Name], B82),"")</f>
        <v/>
      </c>
      <c r="I85" s="814">
        <f ca="1">IFERROR(
    AVERAGEIFS(unit_details[Asking Rent],
               unit_details[Leased Date], "&gt;=" &amp; ($Q$2 - 7),
               unit_details[Leased Date], "&lt;" &amp; $Q$2,
               unit_details[Beds], 3,
               unit_details[Property Name], B82)
    -
    AVERAGEIFS(unit_details[Asking Rent],
               unit_details[Leased Date], "&gt;=" &amp; ($Q$2 - 14),
               unit_details[Leased Date], "&lt;=" &amp; ($Q$2 - 7),
               unit_details[Beds], 3,
               unit_details[Property Name], B82),
0)</f>
        <v>0</v>
      </c>
      <c r="J85" s="815">
        <f ca="1">IFERROR(I85/AVERAGEIFS(unit_details[Asking Rent],
               unit_details[Leased Date], "&gt;=" &amp; ($Q$2 - 14),
               unit_details[Leased Date], "&lt;=" &amp; ($Q$2 - 7),
               unit_details[Beds], 3,
               unit_details[Property Name], B82),0)</f>
        <v>0</v>
      </c>
      <c r="K85" s="816">
        <f ca="1">COUNTIFS(unit_details[First Listed], "&gt;=" &amp; ($Q$2 - 7),
          unit_details[First Listed], "&lt;" &amp; $Q$2,
          unit_details[Beds], 3,
          unit_details[Property Name], B82)</f>
        <v>0</v>
      </c>
      <c r="L85" s="817">
        <f ca="1">COUNTIFS(
    unit_details[First Listed], "&gt;=" &amp; ($Q$2 - 7),
    unit_details[First Listed], "&lt;" &amp; $Q$2,
    unit_details[Beds], 3,
    unit_details[Property Name], B82
)
-
COUNTIFS(
    unit_details[First Listed], "&gt;=" &amp; ($Q$2 - 14),
    unit_details[First Listed], "&lt;=" &amp; ($Q$2 - 7),
    unit_details[Beds], 3,
    unit_details[Property Name], B82
)</f>
        <v>0</v>
      </c>
      <c r="M85" s="818" t="str">
        <f ca="1">IFERROR(AVERAGEIFS(unit_details[Asking Rent],unit_details[First Listed],"&gt;="&amp;($Q$2-7),
unit_details[First Listed],"&lt;="&amp;$Q$2,
unit_details[Beds],3,
unit_details[Property Name],B82),"")</f>
        <v/>
      </c>
      <c r="N85" s="819">
        <f ca="1">COUNTIFS(unit_details[Property Name], B82,
          unit_details[Beds], 3,
          unit_details[Leased Date], "")</f>
        <v>0</v>
      </c>
      <c r="O85" s="817">
        <f t="shared" ca="1" si="1"/>
        <v>0</v>
      </c>
      <c r="P85" s="818" t="str">
        <f ca="1">IFERROR(AVERAGEIFS(unit_details[Asking Rent],unit_details[Property Name], B82,
          unit_details[Beds], 3,
          unit_details[Leased Date], ""),"")</f>
        <v/>
      </c>
      <c r="Q85" s="820" t="str">
        <f ca="1">IFERROR(N85/SUMIFS(unit_mix_table['# Units],unit_mix_table[Beds],3,unit_mix_table[Property Name],B82),"")</f>
        <v/>
      </c>
    </row>
    <row r="86" spans="2:17" ht="15" x14ac:dyDescent="0.2">
      <c r="B86" s="782" t="str">
        <f ca="1">IF(ISBLANK(OFFSET('Rent Comparison'!$A$1,2,25)),"",IF(OFFSET('Rent Comparison'!$A$1,2,25)=0,B87,OFFSET('Rent Comparison'!$A$1,2,25)))</f>
        <v>(B) 535 Hastings Street - 4 (29-27)</v>
      </c>
      <c r="C86" s="829" t="str">
        <f ca="1">IF(ISBLANK(B86),"",IFERROR(INDEX(Specials!B:J,MATCH(B86&amp;" - Active",Specials!I:I,0),2),""))</f>
        <v/>
      </c>
      <c r="D86" s="783"/>
      <c r="E86" s="784" t="s">
        <v>7</v>
      </c>
      <c r="F86" s="785">
        <f ca="1">COUNTIFS(unit_details[Leased Date], "&gt;=" &amp; ($Q$2 - 7),
          unit_details[Leased Date], "&lt;" &amp; $Q$2,
          unit_details[Beds], 0,
          unit_details[Property Name], B86)</f>
        <v>0</v>
      </c>
      <c r="G86" s="791">
        <f ca="1">COUNTIFS(unit_details[Leased Date], "&gt;=" &amp; ($Q$2 - 7),
          unit_details[Leased Date], "&lt;" &amp; $Q$2,
          unit_details[Beds], 0,
          unit_details[Property Name], B86)
-
COUNTIFS(unit_details[Leased Date], "&gt;=" &amp; ($Q$2 - 14),
         unit_details[Leased Date], "&lt;=" &amp; ($Q$2 - 7),
         unit_details[Beds], 0,
         unit_details[Property Name], B86)</f>
        <v>0</v>
      </c>
      <c r="H86" s="787" t="str">
        <f ca="1">IFERROR(AVERAGEIFS(unit_details[Asking Rent],unit_details[Leased Date], "&gt;=" &amp; ($Q$2 - 7),
          unit_details[Leased Date], "&lt;" &amp; $Q$2,
          unit_details[Beds], 0,
          unit_details[Property Name], B86),"")</f>
        <v/>
      </c>
      <c r="I86" s="788">
        <f ca="1">IFERROR(
    AVERAGEIFS(unit_details[Asking Rent],
               unit_details[Leased Date], "&gt;=" &amp; ($Q$2 - 7),
               unit_details[Leased Date], "&lt;" &amp; $Q$2,
               unit_details[Beds], 0,
               unit_details[Property Name], B86)
    -
    AVERAGEIFS(unit_details[Asking Rent],
               unit_details[Leased Date], "&gt;=" &amp; ($Q$2 - 14),
               unit_details[Leased Date], "&lt;=" &amp; ($Q$2 - 7),
               unit_details[Beds], 0,
               unit_details[Property Name], B86),
0)</f>
        <v>0</v>
      </c>
      <c r="J86" s="789">
        <f ca="1">IFERROR(I86/AVERAGEIFS(unit_details[Asking Rent],
               unit_details[Leased Date], "&gt;=" &amp; ($Q$2 - 14),
               unit_details[Leased Date], "&lt;=" &amp; ($Q$2 - 7),
               unit_details[Beds], 0,
               unit_details[Property Name], B86),0)</f>
        <v>0</v>
      </c>
      <c r="K86" s="790">
        <f ca="1">COUNTIFS(unit_details[First Listed], "&gt;=" &amp; ($Q$2 - 7),
          unit_details[First Listed], "&lt;" &amp; $Q$2,
          unit_details[Beds], 0,
          unit_details[Property Name], B86)</f>
        <v>0</v>
      </c>
      <c r="L86" s="791">
        <f ca="1">COUNTIFS(
    unit_details[First Listed], "&gt;=" &amp; ($Q$2 - 7),
    unit_details[First Listed], "&lt;" &amp; $Q$2,
    unit_details[Beds], 0,
    unit_details[Property Name], B86
)
-
COUNTIFS(
    unit_details[First Listed], "&gt;=" &amp; ($Q$2 - 14),
    unit_details[First Listed], "&lt;=" &amp; ($Q$2 - 7),
    unit_details[Beds], 0,
    unit_details[Property Name], B86
)</f>
        <v>0</v>
      </c>
      <c r="M86" s="792" t="str">
        <f ca="1">IFERROR(AVERAGEIFS(unit_details[Asking Rent],unit_details[First Listed],"&gt;="&amp;($Q$2-7),
unit_details[First Listed],"&lt;="&amp;$Q$2,
unit_details[Beds],0,
unit_details[Property Name],B86),"")</f>
        <v/>
      </c>
      <c r="N86" s="793">
        <f ca="1">COUNTIFS(unit_details[Property Name], B86,
          unit_details[Beds], 0,
          unit_details[Leased Date], "")</f>
        <v>0</v>
      </c>
      <c r="O86" s="791">
        <f t="shared" ca="1" si="1"/>
        <v>0</v>
      </c>
      <c r="P86" s="792" t="str">
        <f ca="1">IFERROR(AVERAGEIFS(unit_details[Asking Rent],unit_details[Property Name], B86,
          unit_details[Beds], 0,
          unit_details[Leased Date], ""),"")</f>
        <v/>
      </c>
      <c r="Q86" s="794" t="str">
        <f ca="1">IFERROR(N86/SUMIFS(unit_mix_table['# Units],unit_mix_table[Beds],0,unit_mix_table[Property Name],B86),"")</f>
        <v/>
      </c>
    </row>
    <row r="87" spans="2:17" ht="15" x14ac:dyDescent="0.2">
      <c r="B87" s="795" t="s">
        <v>495</v>
      </c>
      <c r="C87" s="830"/>
      <c r="D87" s="796"/>
      <c r="E87" s="797" t="s">
        <v>385</v>
      </c>
      <c r="F87" s="798">
        <f ca="1">COUNTIFS(unit_details[Leased Date], "&gt;=" &amp; ($Q$2 - 7),
          unit_details[Leased Date], "&lt;" &amp; $Q$2,
          unit_details[Beds], 1,
          unit_details[Property Name], B86)</f>
        <v>0</v>
      </c>
      <c r="G87" s="804">
        <f ca="1">COUNTIFS(unit_details[Leased Date], "&gt;=" &amp; ($Q$2 - 7),
          unit_details[Leased Date], "&lt;" &amp; $Q$2,
          unit_details[Beds], 1,
          unit_details[Property Name], B86)
-
COUNTIFS(unit_details[Leased Date], "&gt;=" &amp; ($Q$2 - 14),
         unit_details[Leased Date], "&lt;=" &amp; ($Q$2 - 7),
         unit_details[Beds], 1,
         unit_details[Property Name], B86)</f>
        <v>0</v>
      </c>
      <c r="H87" s="800" t="str">
        <f ca="1">IFERROR(AVERAGEIFS(unit_details[Asking Rent],unit_details[Leased Date], "&gt;=" &amp; ($Q$2 - 7),
          unit_details[Leased Date], "&lt;" &amp; $Q$2,
          unit_details[Beds], 1,
          unit_details[Property Name], B86),"")</f>
        <v/>
      </c>
      <c r="I87" s="801">
        <f ca="1">IFERROR(
    AVERAGEIFS(unit_details[Asking Rent],
               unit_details[Leased Date], "&gt;=" &amp; ($Q$2 - 7),
               unit_details[Leased Date], "&lt;" &amp; $Q$2,
               unit_details[Beds], 1,
               unit_details[Property Name], B86)
    -
    AVERAGEIFS(unit_details[Asking Rent],
               unit_details[Leased Date], "&gt;=" &amp; ($Q$2 - 14),
               unit_details[Leased Date], "&lt;=" &amp; ($Q$2 - 7),
               unit_details[Beds], 1,
               unit_details[Property Name], B86),
0)</f>
        <v>0</v>
      </c>
      <c r="J87" s="802">
        <f ca="1">IFERROR(I87/AVERAGEIFS(unit_details[Asking Rent],
               unit_details[Leased Date], "&gt;=" &amp; ($Q$2 - 14),
               unit_details[Leased Date], "&lt;=" &amp; ($Q$2 - 7),
               unit_details[Beds], 1,
               unit_details[Property Name], B86),0)</f>
        <v>0</v>
      </c>
      <c r="K87" s="803">
        <f ca="1">COUNTIFS(unit_details[First Listed], "&gt;=" &amp; ($Q$2 - 7),
          unit_details[First Listed], "&lt;" &amp; $Q$2,
          unit_details[Beds], 1,
          unit_details[Property Name], B86)</f>
        <v>0</v>
      </c>
      <c r="L87" s="804">
        <f ca="1">COUNTIFS(
    unit_details[First Listed], "&gt;=" &amp; ($Q$2 - 7),
    unit_details[First Listed], "&lt;" &amp; $Q$2,
    unit_details[Beds], 1,
    unit_details[Property Name], B86
)
-
COUNTIFS(
    unit_details[First Listed], "&gt;=" &amp; ($Q$2 - 14),
    unit_details[First Listed], "&lt;=" &amp; ($Q$2 - 7),
    unit_details[Beds], 1,
    unit_details[Property Name], B86
)</f>
        <v>0</v>
      </c>
      <c r="M87" s="805" t="str">
        <f ca="1">IFERROR(AVERAGEIFS(unit_details[Asking Rent],unit_details[First Listed],"&gt;="&amp;($Q$2-7),
unit_details[First Listed],"&lt;="&amp;$Q$2,
unit_details[Beds],1,
unit_details[Property Name],B86),"")</f>
        <v/>
      </c>
      <c r="N87" s="806">
        <f ca="1">COUNTIFS(unit_details[Property Name], B86,
          unit_details[Beds], 1,
          unit_details[Leased Date], "")</f>
        <v>0</v>
      </c>
      <c r="O87" s="804">
        <f t="shared" ca="1" si="1"/>
        <v>0</v>
      </c>
      <c r="P87" s="805" t="str">
        <f ca="1">IFERROR(AVERAGEIFS(unit_details[Asking Rent],unit_details[Property Name], B86,
          unit_details[Beds], 1,
          unit_details[Leased Date], ""),"")</f>
        <v/>
      </c>
      <c r="Q87" s="807" t="str">
        <f ca="1">IFERROR(N87/SUMIFS(unit_mix_table['# Units],unit_mix_table[Beds],1,unit_mix_table[Property Name],B86),"")</f>
        <v/>
      </c>
    </row>
    <row r="88" spans="2:17" ht="15" x14ac:dyDescent="0.2">
      <c r="B88" s="795" t="s">
        <v>405</v>
      </c>
      <c r="C88" s="830"/>
      <c r="D88" s="796"/>
      <c r="E88" s="797" t="s">
        <v>386</v>
      </c>
      <c r="F88" s="798">
        <f ca="1">COUNTIFS(unit_details[Leased Date], "&gt;=" &amp; ($Q$2 - 7),
          unit_details[Leased Date], "&lt;" &amp; $Q$2,
          unit_details[Beds], 2,
          unit_details[Property Name], B86)</f>
        <v>0</v>
      </c>
      <c r="G88" s="804">
        <f ca="1">COUNTIFS(unit_details[Leased Date], "&gt;=" &amp; ($Q$2 - 7),
          unit_details[Leased Date], "&lt;" &amp; $Q$2,
          unit_details[Beds], 2,
          unit_details[Property Name], B86)
-
COUNTIFS(unit_details[Leased Date], "&gt;=" &amp; ($Q$2 - 14),
         unit_details[Leased Date], "&lt;=" &amp; ($Q$2 - 7),
         unit_details[Beds], 2,
         unit_details[Property Name], B86)</f>
        <v>0</v>
      </c>
      <c r="H88" s="800" t="str">
        <f ca="1">IFERROR(AVERAGEIFS(unit_details[Asking Rent],unit_details[Leased Date], "&gt;=" &amp; ($Q$2 - 7),
          unit_details[Leased Date], "&lt;" &amp; $Q$2,
          unit_details[Beds], 2,
          unit_details[Property Name], B86),"")</f>
        <v/>
      </c>
      <c r="I88" s="801">
        <f ca="1">IFERROR(
    AVERAGEIFS(unit_details[Asking Rent],
               unit_details[Leased Date], "&gt;=" &amp; ($Q$2 - 7),
               unit_details[Leased Date], "&lt;" &amp; $Q$2,
               unit_details[Beds], 2,
               unit_details[Property Name], B86)
    -
    AVERAGEIFS(unit_details[Asking Rent],
               unit_details[Leased Date], "&gt;=" &amp; ($Q$2 - 14),
               unit_details[Leased Date], "&lt;=" &amp; ($Q$2 - 7),
               unit_details[Beds], 2,
               unit_details[Property Name], B86),
0)</f>
        <v>0</v>
      </c>
      <c r="J88" s="802">
        <f ca="1">IFERROR(I88/AVERAGEIFS(unit_details[Asking Rent],
               unit_details[Leased Date], "&gt;=" &amp; ($Q$2 - 14),
               unit_details[Leased Date], "&lt;=" &amp; ($Q$2 - 7),
               unit_details[Beds], 2,
               unit_details[Property Name], B86),0)</f>
        <v>0</v>
      </c>
      <c r="K88" s="803">
        <f ca="1">COUNTIFS(unit_details[First Listed], "&gt;=" &amp; ($Q$2 - 7),
          unit_details[First Listed], "&lt;" &amp; $Q$2,
          unit_details[Beds], 2,
          unit_details[Property Name], B86)</f>
        <v>0</v>
      </c>
      <c r="L88" s="804">
        <f ca="1">COUNTIFS(
    unit_details[First Listed], "&gt;=" &amp; ($Q$2 - 7),
    unit_details[First Listed], "&lt;" &amp; $Q$2,
    unit_details[Beds], 2,
    unit_details[Property Name], B86
)
-
COUNTIFS(
    unit_details[First Listed], "&gt;=" &amp; ($Q$2 - 14),
    unit_details[First Listed], "&lt;=" &amp; ($Q$2 - 7),
    unit_details[Beds], 2,
    unit_details[Property Name], B86
)</f>
        <v>0</v>
      </c>
      <c r="M88" s="805" t="str">
        <f ca="1">IFERROR(AVERAGEIFS(unit_details[Asking Rent],unit_details[First Listed],"&gt;="&amp;($Q$2-7),
unit_details[First Listed],"&lt;="&amp;$Q$2,
unit_details[Beds],2,
unit_details[Property Name],B86),"")</f>
        <v/>
      </c>
      <c r="N88" s="806">
        <f ca="1">COUNTIFS(unit_details[Property Name], B86,
          unit_details[Beds], 2,
          unit_details[Leased Date], "")</f>
        <v>0</v>
      </c>
      <c r="O88" s="804">
        <f t="shared" ca="1" si="1"/>
        <v>0</v>
      </c>
      <c r="P88" s="805" t="str">
        <f ca="1">IFERROR(AVERAGEIFS(unit_details[Asking Rent],unit_details[Property Name], B86,
          unit_details[Beds], 2,
          unit_details[Leased Date], ""),"")</f>
        <v/>
      </c>
      <c r="Q88" s="807" t="str">
        <f ca="1">IFERROR(N88/SUMIFS(unit_mix_table['# Units],unit_mix_table[Beds],2,unit_mix_table[Property Name],B86),"")</f>
        <v/>
      </c>
    </row>
    <row r="89" spans="2:17" ht="16" thickBot="1" x14ac:dyDescent="0.25">
      <c r="B89" s="808" t="s">
        <v>405</v>
      </c>
      <c r="C89" s="831"/>
      <c r="D89" s="809"/>
      <c r="E89" s="810" t="s">
        <v>387</v>
      </c>
      <c r="F89" s="811">
        <f ca="1">COUNTIFS(unit_details[Leased Date], "&gt;=" &amp; ($Q$2 - 7),
          unit_details[Leased Date], "&lt;" &amp; $Q$2,
          unit_details[Beds], 3,
          unit_details[Property Name], B86)</f>
        <v>0</v>
      </c>
      <c r="G89" s="817">
        <f ca="1">COUNTIFS(unit_details[Leased Date], "&gt;=" &amp; ($Q$2 - 7),
          unit_details[Leased Date], "&lt;" &amp; $Q$2,
          unit_details[Beds], 3,
          unit_details[Property Name], B86)
-
COUNTIFS(unit_details[Leased Date], "&gt;=" &amp; ($Q$2 - 14),
         unit_details[Leased Date], "&lt;=" &amp; ($Q$2 - 7),
         unit_details[Beds], 3,
         unit_details[Property Name], B86)</f>
        <v>0</v>
      </c>
      <c r="H89" s="813" t="str">
        <f ca="1">IFERROR(AVERAGEIFS(unit_details[Asking Rent],unit_details[Leased Date], "&gt;=" &amp; ($Q$2 - 7),
          unit_details[Leased Date], "&lt;" &amp; $Q$2,
          unit_details[Beds], 3,
          unit_details[Property Name], B86),"")</f>
        <v/>
      </c>
      <c r="I89" s="814">
        <f ca="1">IFERROR(
    AVERAGEIFS(unit_details[Asking Rent],
               unit_details[Leased Date], "&gt;=" &amp; ($Q$2 - 7),
               unit_details[Leased Date], "&lt;" &amp; $Q$2,
               unit_details[Beds], 3,
               unit_details[Property Name], B86)
    -
    AVERAGEIFS(unit_details[Asking Rent],
               unit_details[Leased Date], "&gt;=" &amp; ($Q$2 - 14),
               unit_details[Leased Date], "&lt;=" &amp; ($Q$2 - 7),
               unit_details[Beds], 3,
               unit_details[Property Name], B86),
0)</f>
        <v>0</v>
      </c>
      <c r="J89" s="815">
        <f ca="1">IFERROR(I89/AVERAGEIFS(unit_details[Asking Rent],
               unit_details[Leased Date], "&gt;=" &amp; ($Q$2 - 14),
               unit_details[Leased Date], "&lt;=" &amp; ($Q$2 - 7),
               unit_details[Beds], 3,
               unit_details[Property Name], B86),0)</f>
        <v>0</v>
      </c>
      <c r="K89" s="816">
        <f ca="1">COUNTIFS(unit_details[First Listed], "&gt;=" &amp; ($Q$2 - 7),
          unit_details[First Listed], "&lt;" &amp; $Q$2,
          unit_details[Beds], 3,
          unit_details[Property Name], B86)</f>
        <v>0</v>
      </c>
      <c r="L89" s="817">
        <f ca="1">COUNTIFS(
    unit_details[First Listed], "&gt;=" &amp; ($Q$2 - 7),
    unit_details[First Listed], "&lt;" &amp; $Q$2,
    unit_details[Beds], 3,
    unit_details[Property Name], B86
)
-
COUNTIFS(
    unit_details[First Listed], "&gt;=" &amp; ($Q$2 - 14),
    unit_details[First Listed], "&lt;=" &amp; ($Q$2 - 7),
    unit_details[Beds], 3,
    unit_details[Property Name], B86
)</f>
        <v>0</v>
      </c>
      <c r="M89" s="818" t="str">
        <f ca="1">IFERROR(AVERAGEIFS(unit_details[Asking Rent],unit_details[First Listed],"&gt;="&amp;($Q$2-7),
unit_details[First Listed],"&lt;="&amp;$Q$2,
unit_details[Beds],3,
unit_details[Property Name],B86),"")</f>
        <v/>
      </c>
      <c r="N89" s="819">
        <f ca="1">COUNTIFS(unit_details[Property Name], B86,
          unit_details[Beds], 3,
          unit_details[Leased Date], "")</f>
        <v>0</v>
      </c>
      <c r="O89" s="817">
        <f t="shared" ca="1" si="1"/>
        <v>0</v>
      </c>
      <c r="P89" s="818" t="str">
        <f ca="1">IFERROR(AVERAGEIFS(unit_details[Asking Rent],unit_details[Property Name], B86,
          unit_details[Beds], 3,
          unit_details[Leased Date], ""),"")</f>
        <v/>
      </c>
      <c r="Q89" s="820" t="str">
        <f ca="1">IFERROR(N89/SUMIFS(unit_mix_table['# Units],unit_mix_table[Beds],3,unit_mix_table[Property Name],B86),"")</f>
        <v/>
      </c>
    </row>
  </sheetData>
  <mergeCells count="22">
    <mergeCell ref="C70:C73"/>
    <mergeCell ref="C74:C77"/>
    <mergeCell ref="C78:C81"/>
    <mergeCell ref="C82:C85"/>
    <mergeCell ref="C86:C89"/>
    <mergeCell ref="C50:C53"/>
    <mergeCell ref="C54:C57"/>
    <mergeCell ref="C58:C61"/>
    <mergeCell ref="C62:C65"/>
    <mergeCell ref="C66:C69"/>
    <mergeCell ref="I3:J3"/>
    <mergeCell ref="C6:C9"/>
    <mergeCell ref="C10:C13"/>
    <mergeCell ref="C14:C17"/>
    <mergeCell ref="C18:C21"/>
    <mergeCell ref="C42:C45"/>
    <mergeCell ref="C46:C49"/>
    <mergeCell ref="C22:C25"/>
    <mergeCell ref="C26:C29"/>
    <mergeCell ref="C30:C33"/>
    <mergeCell ref="C34:C37"/>
    <mergeCell ref="C38:C41"/>
  </mergeCells>
  <conditionalFormatting sqref="G6:G89">
    <cfRule type="cellIs" dxfId="2408" priority="31" operator="lessThan">
      <formula>0</formula>
    </cfRule>
    <cfRule type="cellIs" dxfId="2407" priority="32" operator="greaterThan">
      <formula>0</formula>
    </cfRule>
  </conditionalFormatting>
  <conditionalFormatting sqref="I6:J89">
    <cfRule type="cellIs" dxfId="2406" priority="1" operator="lessThan">
      <formula>0</formula>
    </cfRule>
    <cfRule type="cellIs" dxfId="2405" priority="2" operator="greaterThan">
      <formula>0</formula>
    </cfRule>
  </conditionalFormatting>
  <conditionalFormatting sqref="L6:L89">
    <cfRule type="cellIs" dxfId="2404" priority="25" operator="lessThan">
      <formula>0</formula>
    </cfRule>
    <cfRule type="cellIs" dxfId="2403" priority="26" operator="greaterThan">
      <formula>0</formula>
    </cfRule>
  </conditionalFormatting>
  <conditionalFormatting sqref="O6:O89">
    <cfRule type="cellIs" dxfId="2402" priority="23" operator="lessThan">
      <formula>0</formula>
    </cfRule>
    <cfRule type="cellIs" dxfId="2401" priority="2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1"/>
  </sheetPr>
  <dimension ref="B1:P11"/>
  <sheetViews>
    <sheetView showGridLines="0" zoomScale="85" zoomScaleNormal="85" workbookViewId="0"/>
  </sheetViews>
  <sheetFormatPr baseColWidth="10" defaultColWidth="8.6640625" defaultRowHeight="14" x14ac:dyDescent="0.2"/>
  <cols>
    <col min="1" max="1" width="2.5" style="1" customWidth="1"/>
    <col min="2" max="2" width="30.83203125" style="1" customWidth="1"/>
    <col min="3" max="4" width="18.6640625" style="1" customWidth="1"/>
    <col min="5" max="6" width="18.6640625" style="2" customWidth="1"/>
    <col min="7" max="7" width="20.33203125" style="3" customWidth="1"/>
    <col min="8" max="8" width="19.5" style="4" customWidth="1"/>
    <col min="9" max="9" width="2.5" style="4" customWidth="1"/>
    <col min="10" max="10" width="16" style="4" customWidth="1"/>
    <col min="11" max="11" width="18.1640625" style="5" customWidth="1"/>
    <col min="12" max="12" width="18.6640625" style="6" customWidth="1"/>
    <col min="13" max="13" width="18.6640625" style="5" customWidth="1"/>
    <col min="14" max="14" width="18.6640625" style="6" customWidth="1"/>
    <col min="15" max="15" width="18.6640625" style="5" customWidth="1"/>
    <col min="16" max="16" width="24.1640625" style="5" customWidth="1"/>
    <col min="17" max="16384" width="8.6640625" style="1"/>
  </cols>
  <sheetData>
    <row r="1" spans="2:16" ht="8" customHeight="1" x14ac:dyDescent="0.2"/>
    <row r="2" spans="2:16" s="7" customFormat="1" ht="24" x14ac:dyDescent="0.2">
      <c r="B2" s="521" t="s">
        <v>450</v>
      </c>
      <c r="C2" s="32"/>
      <c r="D2" s="32"/>
      <c r="E2" s="32"/>
      <c r="F2" s="33"/>
      <c r="G2" s="33"/>
      <c r="H2" s="33"/>
      <c r="I2" s="33"/>
      <c r="J2" s="33"/>
      <c r="K2" s="32"/>
      <c r="L2" s="32"/>
      <c r="M2" s="32"/>
      <c r="N2" s="32"/>
      <c r="O2" s="507" t="s">
        <v>388</v>
      </c>
      <c r="P2" s="507">
        <v>45978</v>
      </c>
    </row>
    <row r="3" spans="2:16" ht="15" x14ac:dyDescent="0.2">
      <c r="B3" s="560" t="s">
        <v>449</v>
      </c>
      <c r="F3" s="34"/>
      <c r="G3" s="34"/>
      <c r="H3" s="34"/>
      <c r="I3" s="34"/>
      <c r="K3" s="34"/>
      <c r="P3" s="465"/>
    </row>
    <row r="4" spans="2:16" x14ac:dyDescent="0.2">
      <c r="F4" s="34"/>
      <c r="G4" s="34"/>
      <c r="H4" s="34"/>
      <c r="I4" s="34"/>
      <c r="J4" s="34"/>
      <c r="K4" s="34"/>
    </row>
    <row r="5" spans="2:16" ht="15" x14ac:dyDescent="0.2">
      <c r="B5" s="28"/>
      <c r="C5" s="29" t="s">
        <v>330</v>
      </c>
      <c r="D5" s="29" t="s">
        <v>145</v>
      </c>
      <c r="E5" s="29" t="s">
        <v>165</v>
      </c>
      <c r="F5" s="29" t="s">
        <v>331</v>
      </c>
      <c r="G5" s="29" t="s">
        <v>146</v>
      </c>
      <c r="H5" s="51" t="s">
        <v>166</v>
      </c>
      <c r="I5" s="51"/>
      <c r="J5" s="51" t="s">
        <v>290</v>
      </c>
      <c r="K5" s="51" t="s">
        <v>128</v>
      </c>
    </row>
    <row r="6" spans="2:16" ht="31" x14ac:dyDescent="0.35">
      <c r="B6" s="667" t="s">
        <v>496</v>
      </c>
      <c r="C6" s="35" cm="1">
        <f t="array" aca="1" ref="C6" ca="1">IF(ISNUMBER(INDIRECT("'Rent Comps'!Y4"))=TRUE,INDIRECT("'Rent Comps'!Y4"),"")</f>
        <v>1438</v>
      </c>
      <c r="D6" s="35" cm="1">
        <f t="array" aca="1" ref="D6" ca="1">IF(ISNUMBER(INDIRECT("'Rent Comps'!AM4"))=TRUE,INDIRECT("'Rent Comps'!AM4"),"")</f>
        <v>1438</v>
      </c>
      <c r="E6" s="75" cm="1">
        <f t="array" aca="1" ref="E6" ca="1">IF(ISNUMBER(INDIRECT("'Rent Comps'!J4"))=TRUE, INDIRECT("'Rent Comps'!J4"), "")</f>
        <v>1113</v>
      </c>
      <c r="F6" s="36">
        <f ca="1">IF(ISNUMBER(INDIRECT("'Rent Comps'!Z4")), INDIRECT("'Rent Comps'!Z4"), "")</f>
        <v>1.2920035938903864</v>
      </c>
      <c r="G6" s="36">
        <f ca="1">IF(ISNUMBER(INDIRECT("'Rent Comps'!AN4")), INDIRECT("'Rent Comps'!AN4"), "")</f>
        <v>1.2920035938903864</v>
      </c>
      <c r="H6" s="471">
        <f ca="1">IFERROR((C6-D6)/C6,"")</f>
        <v>0</v>
      </c>
      <c r="I6" s="74"/>
      <c r="J6" s="74" t="str" cm="1">
        <f t="array" aca="1" ref="J6" ca="1">IF(ISNUMBER(INDIRECT("'Rent Comps'!K4")), INDIRECT("'Rent Comps'!K4"), "")</f>
        <v/>
      </c>
      <c r="K6" s="74" t="str" cm="1">
        <f t="array" aca="1" ref="K6" ca="1">IF(ISNUMBER(INDIRECT("'Rent Comps'!L4")), INDIRECT("'Rent Comps'!L4"), "")</f>
        <v/>
      </c>
    </row>
    <row r="7" spans="2:16" ht="31" x14ac:dyDescent="0.35">
      <c r="B7" s="669" t="s">
        <v>147</v>
      </c>
      <c r="C7" s="37">
        <f>'Rent Comps'!Y5</f>
        <v>1256.7708333333335</v>
      </c>
      <c r="D7" s="37">
        <f>'Rent Comps'!AM5</f>
        <v>1256.7708333333335</v>
      </c>
      <c r="E7" s="441">
        <f>'Rent Comps'!J5</f>
        <v>895.88235294117646</v>
      </c>
      <c r="F7" s="38">
        <f>'Rent Comps'!Z5</f>
        <v>1.5612374990596145</v>
      </c>
      <c r="G7" s="38">
        <f>'Rent Comps'!AN5</f>
        <v>1.5612374990596145</v>
      </c>
      <c r="H7" s="442" cm="1">
        <f t="array" aca="1" ref="H7" ca="1">IFERROR((INDIRECT("C7")-INDIRECT("D7"))/INDIRECT("C7"),"")</f>
        <v>0</v>
      </c>
      <c r="I7" s="443"/>
      <c r="J7" s="443">
        <f>'Rent Comps'!K5</f>
        <v>1</v>
      </c>
      <c r="K7" s="443">
        <f>'Rent Comps'!L5</f>
        <v>0</v>
      </c>
    </row>
    <row r="8" spans="2:16" ht="21" x14ac:dyDescent="0.2">
      <c r="B8" s="39" t="s">
        <v>148</v>
      </c>
      <c r="C8" s="668">
        <f t="shared" ref="C8:H8" ca="1" si="0">IFERROR(C6-C7,0)</f>
        <v>181.22916666666652</v>
      </c>
      <c r="D8" s="668">
        <f t="shared" ca="1" si="0"/>
        <v>181.22916666666652</v>
      </c>
      <c r="E8" s="666">
        <f t="shared" ca="1" si="0"/>
        <v>217.11764705882354</v>
      </c>
      <c r="F8" s="40">
        <f t="shared" ca="1" si="0"/>
        <v>-0.26923390516922807</v>
      </c>
      <c r="G8" s="40">
        <f t="shared" ca="1" si="0"/>
        <v>-0.26923390516922807</v>
      </c>
      <c r="H8" s="59">
        <f t="shared" ca="1" si="0"/>
        <v>0</v>
      </c>
      <c r="I8" s="59"/>
      <c r="J8" s="59">
        <f ca="1">IFERROR(J6-J7,0)</f>
        <v>0</v>
      </c>
      <c r="K8" s="59">
        <f ca="1">IFERROR(K6-K7,0)</f>
        <v>0</v>
      </c>
    </row>
    <row r="9" spans="2:16" x14ac:dyDescent="0.2">
      <c r="C9" s="3" t="str">
        <f t="shared" ref="C9:H9" ca="1" si="1">IFERROR(IF(C6-C7&gt;0,"above market","below market"),"")</f>
        <v>above market</v>
      </c>
      <c r="D9" s="3" t="str">
        <f t="shared" ca="1" si="1"/>
        <v>above market</v>
      </c>
      <c r="E9" s="3" t="str">
        <f t="shared" ca="1" si="1"/>
        <v>above market</v>
      </c>
      <c r="F9" s="3" t="str">
        <f t="shared" ca="1" si="1"/>
        <v>below market</v>
      </c>
      <c r="G9" s="3" t="str">
        <f t="shared" ca="1" si="1"/>
        <v>below market</v>
      </c>
      <c r="H9" s="3" t="str">
        <f t="shared" ca="1" si="1"/>
        <v>below market</v>
      </c>
      <c r="I9" s="3"/>
      <c r="J9" s="3" t="str">
        <f ca="1">IFERROR(IF(J6-J7&gt;0,"above market","below market"),"")</f>
        <v/>
      </c>
      <c r="K9" s="3" t="str">
        <f ca="1">IFERROR(IF(K6-K7&gt;0,"above market","below market"),"")</f>
        <v/>
      </c>
    </row>
    <row r="10" spans="2:16" ht="7" customHeight="1" x14ac:dyDescent="0.2">
      <c r="F10" s="34"/>
      <c r="G10" s="34"/>
      <c r="H10" s="34"/>
      <c r="I10" s="34"/>
      <c r="J10" s="34"/>
      <c r="K10" s="34"/>
    </row>
    <row r="11" spans="2:16" ht="30" customHeight="1" x14ac:dyDescent="0.2">
      <c r="B11" s="84" t="s">
        <v>160</v>
      </c>
      <c r="C11" s="85"/>
      <c r="D11" s="85"/>
      <c r="E11" s="86"/>
      <c r="F11" s="48"/>
      <c r="G11" s="48"/>
      <c r="H11" s="48"/>
      <c r="I11" s="41"/>
      <c r="J11" s="84" t="s">
        <v>159</v>
      </c>
      <c r="K11" s="48"/>
      <c r="L11" s="87"/>
      <c r="M11" s="88"/>
      <c r="N11" s="89"/>
      <c r="O11" s="88"/>
      <c r="P11" s="88"/>
    </row>
  </sheetData>
  <conditionalFormatting sqref="C8:G8">
    <cfRule type="cellIs" dxfId="2400" priority="21" operator="lessThan">
      <formula>0</formula>
    </cfRule>
    <cfRule type="cellIs" dxfId="2399" priority="22" operator="greaterThan">
      <formula>0</formula>
    </cfRule>
  </conditionalFormatting>
  <conditionalFormatting sqref="C9:G9">
    <cfRule type="cellIs" dxfId="2398" priority="65" operator="equal">
      <formula>"below market"</formula>
    </cfRule>
    <cfRule type="cellIs" dxfId="2397" priority="66" operator="equal">
      <formula>"above market"</formula>
    </cfRule>
  </conditionalFormatting>
  <conditionalFormatting sqref="H8:K8">
    <cfRule type="cellIs" dxfId="2396" priority="63" operator="lessThan">
      <formula>0</formula>
    </cfRule>
    <cfRule type="cellIs" dxfId="2395" priority="64" operator="greaterThan">
      <formula>0</formula>
    </cfRule>
  </conditionalFormatting>
  <conditionalFormatting sqref="H9:K9">
    <cfRule type="cellIs" dxfId="2394" priority="61" operator="equal">
      <formula>"below market"</formula>
    </cfRule>
    <cfRule type="cellIs" dxfId="2393" priority="62" operator="equal">
      <formula>"above market"</formula>
    </cfRule>
  </conditionalFormatting>
  <conditionalFormatting sqref="I8:J8">
    <cfRule type="cellIs" dxfId="2392" priority="59" operator="lessThan">
      <formula>0</formula>
    </cfRule>
    <cfRule type="cellIs" dxfId="2391" priority="60" operator="greaterThan">
      <formula>0</formula>
    </cfRule>
  </conditionalFormatting>
  <conditionalFormatting sqref="I9:J9">
    <cfRule type="cellIs" dxfId="2390" priority="57" operator="equal">
      <formula>"below market"</formula>
    </cfRule>
    <cfRule type="cellIs" dxfId="2389" priority="58" operator="equal">
      <formula>"above market"</formula>
    </cfRule>
  </conditionalFormatting>
  <pageMargins left="0.25" right="0.25" top="0.75" bottom="0.75" header="0.3" footer="0.3"/>
  <pageSetup scale="46" fitToHeight="0" orientation="landscape" r:id="rId1"/>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37"/>
  <sheetViews>
    <sheetView zoomScaleNormal="100" workbookViewId="0"/>
  </sheetViews>
  <sheetFormatPr baseColWidth="10" defaultColWidth="8.83203125" defaultRowHeight="15" x14ac:dyDescent="0.2"/>
  <cols>
    <col min="1" max="1" width="54" bestFit="1" customWidth="1"/>
    <col min="2" max="2" width="10.6640625" bestFit="1" customWidth="1"/>
    <col min="3" max="3" width="9.6640625" bestFit="1" customWidth="1"/>
    <col min="4" max="4" width="2.5" customWidth="1"/>
    <col min="5" max="5" width="54" bestFit="1" customWidth="1"/>
    <col min="6" max="6" width="12.33203125" bestFit="1" customWidth="1"/>
    <col min="7" max="7" width="11.33203125" bestFit="1" customWidth="1"/>
    <col min="8" max="8" width="2.5" style="93" customWidth="1"/>
    <col min="9" max="9" width="12.1640625" bestFit="1" customWidth="1"/>
    <col min="10" max="10" width="6.1640625" bestFit="1" customWidth="1"/>
    <col min="11" max="11" width="7.83203125" bestFit="1" customWidth="1"/>
    <col min="12" max="12" width="2.5" customWidth="1"/>
    <col min="13" max="13" width="12.1640625" bestFit="1" customWidth="1"/>
    <col min="14" max="14" width="6.6640625" bestFit="1" customWidth="1"/>
    <col min="15" max="15" width="7.83203125" bestFit="1" customWidth="1"/>
    <col min="16" max="16" width="2.5" customWidth="1"/>
    <col min="17" max="17" width="26.33203125" bestFit="1" customWidth="1"/>
    <col min="18" max="18" width="6.6640625" bestFit="1" customWidth="1"/>
    <col min="19" max="19" width="7.83203125" bestFit="1" customWidth="1"/>
    <col min="20" max="20" width="2.5" customWidth="1"/>
    <col min="21" max="21" width="12.1640625" bestFit="1" customWidth="1"/>
    <col min="22" max="22" width="6.1640625" bestFit="1" customWidth="1"/>
    <col min="23" max="23" width="7.83203125" bestFit="1" customWidth="1"/>
    <col min="24" max="24" width="2.6640625" customWidth="1"/>
    <col min="25" max="25" width="12.1640625" bestFit="1" customWidth="1"/>
    <col min="26" max="26" width="6.1640625" style="94" bestFit="1" customWidth="1"/>
    <col min="27" max="27" width="7.83203125" style="94" bestFit="1" customWidth="1"/>
    <col min="28" max="28" width="2.6640625" customWidth="1"/>
    <col min="29" max="29" width="26.33203125" bestFit="1" customWidth="1"/>
    <col min="30" max="30" width="7.33203125" style="94" bestFit="1" customWidth="1"/>
    <col min="31" max="31" width="7.83203125" style="94" bestFit="1" customWidth="1"/>
    <col min="32" max="32" width="2.6640625" customWidth="1"/>
    <col min="33" max="33" width="26.33203125" bestFit="1" customWidth="1"/>
    <col min="34" max="34" width="16.83203125" style="438" bestFit="1" customWidth="1"/>
    <col min="35" max="35" width="18.5" style="438" bestFit="1" customWidth="1"/>
    <col min="36" max="36" width="2.6640625" customWidth="1"/>
    <col min="37" max="37" width="2" customWidth="1"/>
    <col min="38" max="38" width="2.5" customWidth="1"/>
    <col min="39" max="39" width="54" bestFit="1" customWidth="1"/>
    <col min="40" max="40" width="20.83203125" bestFit="1" customWidth="1"/>
    <col min="41" max="41" width="2.5" customWidth="1"/>
    <col min="42" max="42" width="54" bestFit="1" customWidth="1"/>
    <col min="43" max="43" width="21.33203125" customWidth="1"/>
    <col min="44" max="44" width="2.5" customWidth="1"/>
    <col min="45" max="45" width="10.6640625" bestFit="1" customWidth="1"/>
    <col min="46" max="46" width="20.83203125" bestFit="1" customWidth="1"/>
    <col min="47" max="47" width="2.5" customWidth="1"/>
    <col min="48" max="48" width="54" bestFit="1" customWidth="1"/>
    <col min="49" max="49" width="20.1640625" style="94" bestFit="1" customWidth="1"/>
    <col min="50" max="50" width="22" style="94" bestFit="1" customWidth="1"/>
    <col min="51" max="51" width="2.5" customWidth="1"/>
    <col min="52" max="52" width="54" bestFit="1" customWidth="1"/>
    <col min="53" max="53" width="20.1640625" bestFit="1" customWidth="1"/>
    <col min="54" max="54" width="22" bestFit="1" customWidth="1"/>
    <col min="55" max="55" width="2" customWidth="1"/>
    <col min="56" max="56" width="54" bestFit="1" customWidth="1"/>
    <col min="57" max="57" width="19.1640625" style="94" bestFit="1" customWidth="1"/>
    <col min="58" max="58" width="21.83203125" style="94" customWidth="1"/>
    <col min="59" max="59" width="2.5" customWidth="1"/>
    <col min="60" max="60" width="54" bestFit="1" customWidth="1"/>
    <col min="61" max="62" width="20.83203125" bestFit="1" customWidth="1"/>
    <col min="63" max="63" width="2.5" customWidth="1"/>
    <col min="64" max="64" width="36" bestFit="1" customWidth="1"/>
    <col min="65" max="65" width="37.6640625" bestFit="1" customWidth="1"/>
    <col min="66" max="66" width="2.5" customWidth="1"/>
    <col min="67" max="67" width="10.6640625" bestFit="1" customWidth="1"/>
    <col min="68" max="68" width="37.6640625" bestFit="1" customWidth="1"/>
    <col min="69" max="69" width="2.6640625" customWidth="1"/>
    <col min="70" max="70" width="10.6640625" bestFit="1" customWidth="1"/>
    <col min="71" max="71" width="7.6640625" bestFit="1" customWidth="1"/>
    <col min="72" max="72" width="2.6640625" customWidth="1"/>
    <col min="73" max="73" width="54" bestFit="1" customWidth="1"/>
    <col min="74" max="74" width="20.83203125" bestFit="1" customWidth="1"/>
    <col min="75" max="75" width="2.6640625" customWidth="1"/>
    <col min="76" max="76" width="54" bestFit="1" customWidth="1"/>
    <col min="77" max="77" width="19.83203125" style="95" bestFit="1" customWidth="1"/>
    <col min="78" max="78" width="10.83203125" style="95" bestFit="1" customWidth="1"/>
    <col min="79" max="79" width="2.6640625" customWidth="1"/>
    <col min="80" max="80" width="19.83203125" style="90" customWidth="1"/>
    <col min="81" max="86" width="6.33203125" style="94" bestFit="1" customWidth="1"/>
    <col min="87" max="87" width="2.6640625" style="94" customWidth="1"/>
    <col min="88" max="88" width="14.33203125" style="94" bestFit="1" customWidth="1"/>
    <col min="89" max="89" width="20.6640625" style="337" customWidth="1"/>
    <col min="90" max="90" width="17.5" style="337" customWidth="1"/>
    <col min="91" max="91" width="2.6640625" style="94" customWidth="1"/>
    <col min="92" max="92" width="14.33203125" style="94" bestFit="1" customWidth="1"/>
    <col min="93" max="93" width="20.1640625" style="337" bestFit="1" customWidth="1"/>
    <col min="94" max="94" width="22" style="336" bestFit="1" customWidth="1"/>
    <col min="95" max="95" width="2.6640625" style="94" customWidth="1"/>
    <col min="96" max="96" width="10.6640625" style="94" bestFit="1" customWidth="1"/>
    <col min="97" max="97" width="14.83203125" style="94" bestFit="1" customWidth="1"/>
    <col min="98" max="98" width="2.6640625" style="94" customWidth="1"/>
    <col min="99" max="99" width="10.6640625" style="94" bestFit="1" customWidth="1"/>
    <col min="100" max="100" width="10.83203125" style="94" customWidth="1"/>
    <col min="101" max="101" width="5.33203125" style="94" customWidth="1"/>
    <col min="103" max="103" width="56.6640625" bestFit="1" customWidth="1"/>
    <col min="104" max="104" width="13" style="94" bestFit="1" customWidth="1"/>
    <col min="105" max="105" width="6.6640625" style="94" bestFit="1" customWidth="1"/>
    <col min="106" max="106" width="6.5" style="94" bestFit="1" customWidth="1"/>
    <col min="107" max="107" width="5.83203125" style="94" bestFit="1" customWidth="1"/>
    <col min="108" max="108" width="6.33203125" style="94" bestFit="1" customWidth="1"/>
    <col min="109" max="109" width="6.5" style="94" bestFit="1" customWidth="1"/>
    <col min="110" max="110" width="5.83203125" style="94" bestFit="1" customWidth="1"/>
    <col min="111" max="111" width="5.6640625" style="94" bestFit="1" customWidth="1"/>
    <col min="112" max="112" width="6.6640625" style="94" bestFit="1" customWidth="1"/>
    <col min="113" max="113" width="5.6640625" style="94" bestFit="1" customWidth="1"/>
    <col min="114" max="114" width="6.1640625" style="94" bestFit="1" customWidth="1"/>
    <col min="115" max="115" width="6.5" style="94" bestFit="1" customWidth="1"/>
    <col min="116" max="116" width="6.33203125" style="94" bestFit="1" customWidth="1"/>
    <col min="117" max="117" width="5.5" style="94" bestFit="1" customWidth="1"/>
    <col min="118" max="118" width="6.6640625" style="94" bestFit="1" customWidth="1"/>
    <col min="119" max="119" width="10.6640625" bestFit="1" customWidth="1"/>
    <col min="120" max="124" width="8.5" bestFit="1" customWidth="1"/>
    <col min="125" max="146" width="9.5" bestFit="1" customWidth="1"/>
    <col min="147" max="155" width="8.5" bestFit="1" customWidth="1"/>
    <col min="156" max="177" width="9.5" bestFit="1" customWidth="1"/>
    <col min="178" max="186" width="8.5" bestFit="1" customWidth="1"/>
    <col min="187" max="213" width="9.5" bestFit="1" customWidth="1"/>
    <col min="214" max="232" width="10.5" bestFit="1" customWidth="1"/>
    <col min="233" max="240" width="9.5" bestFit="1" customWidth="1"/>
    <col min="241" max="259" width="10.5" bestFit="1" customWidth="1"/>
    <col min="260" max="267" width="9.5" bestFit="1" customWidth="1"/>
    <col min="268" max="288" width="10.5" bestFit="1" customWidth="1"/>
    <col min="289" max="296" width="8.5" bestFit="1" customWidth="1"/>
    <col min="297" max="317" width="9.5" bestFit="1" customWidth="1"/>
    <col min="318" max="326" width="8.5" bestFit="1" customWidth="1"/>
    <col min="327" max="345" width="9.5" bestFit="1" customWidth="1"/>
    <col min="346" max="354" width="8.5" bestFit="1" customWidth="1"/>
    <col min="355" max="376" width="9.5" bestFit="1" customWidth="1"/>
    <col min="377" max="385" width="8.5" bestFit="1" customWidth="1"/>
    <col min="386" max="406" width="9.5" bestFit="1" customWidth="1"/>
    <col min="407" max="415" width="8.5" bestFit="1" customWidth="1"/>
    <col min="416" max="436" width="9.5" bestFit="1" customWidth="1"/>
    <col min="437" max="445" width="8.5" bestFit="1" customWidth="1"/>
    <col min="446" max="449" width="9.5" bestFit="1" customWidth="1"/>
    <col min="450" max="450" width="6.6640625" bestFit="1" customWidth="1"/>
    <col min="451" max="451" width="10.6640625" bestFit="1" customWidth="1"/>
  </cols>
  <sheetData>
    <row r="1" spans="1:118" ht="24" x14ac:dyDescent="0.3">
      <c r="A1" s="92" t="s">
        <v>144</v>
      </c>
      <c r="AK1" s="50"/>
      <c r="AM1" s="92" t="s">
        <v>156</v>
      </c>
    </row>
    <row r="2" spans="1:118" s="96" customFormat="1" x14ac:dyDescent="0.2">
      <c r="A2" s="96" t="s">
        <v>157</v>
      </c>
      <c r="E2" s="96" t="s">
        <v>158</v>
      </c>
      <c r="H2" s="97"/>
      <c r="I2" s="96" t="s">
        <v>149</v>
      </c>
      <c r="M2" s="96" t="s">
        <v>150</v>
      </c>
      <c r="Q2" s="96" t="s">
        <v>151</v>
      </c>
      <c r="U2" s="96" t="s">
        <v>152</v>
      </c>
      <c r="Y2" s="96" t="s">
        <v>173</v>
      </c>
      <c r="Z2" s="98"/>
      <c r="AA2" s="98"/>
      <c r="AC2" s="96" t="s">
        <v>174</v>
      </c>
      <c r="AD2" s="98"/>
      <c r="AE2" s="98"/>
      <c r="AG2" s="96" t="s">
        <v>291</v>
      </c>
      <c r="AH2" s="440"/>
      <c r="AI2" s="440"/>
      <c r="AK2" s="30"/>
      <c r="AW2" s="98"/>
      <c r="AX2" s="98"/>
      <c r="BE2" s="98"/>
      <c r="BF2" s="98"/>
      <c r="BY2" s="99"/>
      <c r="BZ2" s="99"/>
      <c r="CB2" s="90"/>
      <c r="CC2" s="94"/>
      <c r="CD2" s="94"/>
      <c r="CE2" s="94"/>
      <c r="CF2" s="94"/>
      <c r="CG2" s="94"/>
      <c r="CH2" s="94"/>
      <c r="CI2" s="94"/>
      <c r="CJ2" s="94"/>
      <c r="CK2" s="337"/>
      <c r="CL2" s="337"/>
      <c r="CM2" s="94"/>
      <c r="CN2" s="94"/>
      <c r="CO2" s="337"/>
      <c r="CP2" s="336"/>
      <c r="CQ2" s="94"/>
      <c r="CR2" s="94"/>
      <c r="CS2" s="94"/>
      <c r="CT2" s="94"/>
      <c r="CU2" s="94"/>
      <c r="CV2" s="94"/>
      <c r="CZ2" s="98"/>
      <c r="DA2" s="98"/>
      <c r="DB2" s="98"/>
      <c r="DC2" s="98"/>
      <c r="DD2" s="98"/>
      <c r="DE2" s="98"/>
      <c r="DF2" s="98"/>
      <c r="DG2" s="98"/>
      <c r="DH2" s="98"/>
      <c r="DI2" s="98"/>
      <c r="DJ2" s="98"/>
      <c r="DK2" s="98"/>
      <c r="DL2" s="98"/>
      <c r="DM2" s="98"/>
      <c r="DN2" s="98"/>
    </row>
    <row r="3" spans="1:118" x14ac:dyDescent="0.2">
      <c r="A3" s="880" t="s">
        <v>134</v>
      </c>
      <c r="B3" s="885" t="s">
        <v>124</v>
      </c>
      <c r="C3" s="885" t="s">
        <v>161</v>
      </c>
      <c r="E3" s="880" t="s">
        <v>134</v>
      </c>
      <c r="F3" s="885" t="s">
        <v>145</v>
      </c>
      <c r="G3" s="886" t="s">
        <v>155</v>
      </c>
      <c r="I3" s="880" t="s">
        <v>134</v>
      </c>
      <c r="J3" s="880" t="s">
        <v>153</v>
      </c>
      <c r="K3" s="885" t="s">
        <v>154</v>
      </c>
      <c r="M3" s="880" t="s">
        <v>134</v>
      </c>
      <c r="N3" s="880" t="s">
        <v>153</v>
      </c>
      <c r="O3" s="880" t="s">
        <v>154</v>
      </c>
      <c r="Q3" s="880" t="s">
        <v>134</v>
      </c>
      <c r="R3" s="880" t="s">
        <v>153</v>
      </c>
      <c r="S3" s="880" t="s">
        <v>154</v>
      </c>
      <c r="U3" s="880" t="s">
        <v>134</v>
      </c>
      <c r="V3" s="880" t="s">
        <v>153</v>
      </c>
      <c r="W3" s="880" t="s">
        <v>154</v>
      </c>
      <c r="Y3" s="880" t="s">
        <v>134</v>
      </c>
      <c r="Z3" s="885" t="s">
        <v>153</v>
      </c>
      <c r="AA3" s="885" t="s">
        <v>154</v>
      </c>
      <c r="AC3" s="880" t="s">
        <v>134</v>
      </c>
      <c r="AD3" s="885" t="s">
        <v>153</v>
      </c>
      <c r="AE3" s="885" t="s">
        <v>154</v>
      </c>
      <c r="AF3" s="563"/>
      <c r="AG3" s="880" t="s">
        <v>134</v>
      </c>
      <c r="AH3" s="897" t="s">
        <v>345</v>
      </c>
      <c r="AI3" s="897" t="s">
        <v>346</v>
      </c>
      <c r="AK3" s="50"/>
      <c r="AM3" s="880" t="s">
        <v>134</v>
      </c>
      <c r="AN3" s="881" t="s">
        <v>133</v>
      </c>
      <c r="AP3" s="880" t="s">
        <v>127</v>
      </c>
      <c r="AQ3" s="880" t="s">
        <v>135</v>
      </c>
      <c r="AS3" s="880" t="s">
        <v>134</v>
      </c>
      <c r="AT3" s="881" t="s">
        <v>133</v>
      </c>
      <c r="AZ3" s="880" t="s">
        <v>127</v>
      </c>
      <c r="BA3" s="880" t="s">
        <v>135</v>
      </c>
      <c r="BH3" s="880" t="s">
        <v>127</v>
      </c>
      <c r="BI3" s="880" t="s">
        <v>135</v>
      </c>
      <c r="BN3" s="91"/>
      <c r="BU3" s="880" t="s">
        <v>134</v>
      </c>
      <c r="BV3" s="881" t="s">
        <v>133</v>
      </c>
      <c r="BX3" s="880" t="s">
        <v>134</v>
      </c>
      <c r="BY3" s="885" t="s">
        <v>303</v>
      </c>
      <c r="BZ3" s="939" t="s">
        <v>177</v>
      </c>
      <c r="CB3" s="892" t="s">
        <v>137</v>
      </c>
      <c r="CC3" s="889" t="s">
        <v>191</v>
      </c>
      <c r="CD3" s="888"/>
      <c r="CE3"/>
      <c r="CF3"/>
      <c r="CG3"/>
      <c r="CJ3" s="888" t="s">
        <v>134</v>
      </c>
      <c r="CK3" s="888" t="s">
        <v>195</v>
      </c>
      <c r="CL3" s="890" t="s">
        <v>162</v>
      </c>
      <c r="CN3" s="888" t="s">
        <v>134</v>
      </c>
      <c r="CO3" s="889" t="s">
        <v>137</v>
      </c>
      <c r="CP3" s="894" t="s">
        <v>193</v>
      </c>
      <c r="CR3" s="888" t="s">
        <v>134</v>
      </c>
      <c r="CS3" s="888" t="s">
        <v>169</v>
      </c>
      <c r="CU3" s="888" t="s">
        <v>134</v>
      </c>
      <c r="CV3" s="888" t="s">
        <v>192</v>
      </c>
    </row>
    <row r="4" spans="1:118" x14ac:dyDescent="0.2">
      <c r="A4" s="882" t="s">
        <v>498</v>
      </c>
      <c r="B4" s="893">
        <v>1150</v>
      </c>
      <c r="C4" s="886">
        <v>1.452020202020202</v>
      </c>
      <c r="E4" s="882" t="s">
        <v>498</v>
      </c>
      <c r="F4" s="937">
        <v>1150</v>
      </c>
      <c r="G4" s="938">
        <v>1.452020202020202</v>
      </c>
      <c r="I4" s="882" t="s">
        <v>129</v>
      </c>
      <c r="J4" s="937"/>
      <c r="K4" s="937"/>
      <c r="M4" s="882" t="s">
        <v>196</v>
      </c>
      <c r="N4" s="937">
        <v>1029.1666666666665</v>
      </c>
      <c r="O4" s="937">
        <v>1029.1666666666665</v>
      </c>
      <c r="Q4" s="882" t="s">
        <v>498</v>
      </c>
      <c r="R4" s="937">
        <v>1150</v>
      </c>
      <c r="S4" s="937">
        <v>1150</v>
      </c>
      <c r="U4" s="882" t="s">
        <v>129</v>
      </c>
      <c r="V4" s="937"/>
      <c r="W4" s="937"/>
      <c r="X4" s="101"/>
      <c r="Y4" s="882" t="s">
        <v>129</v>
      </c>
      <c r="Z4" s="893"/>
      <c r="AA4" s="893"/>
      <c r="AC4" s="882" t="s">
        <v>196</v>
      </c>
      <c r="AD4" s="893"/>
      <c r="AE4" s="893"/>
      <c r="AF4" s="562"/>
      <c r="AG4" s="882" t="s">
        <v>196</v>
      </c>
      <c r="AH4" s="897">
        <v>1</v>
      </c>
      <c r="AI4" s="897">
        <v>0</v>
      </c>
      <c r="AK4" s="50"/>
      <c r="AM4" s="882" t="s">
        <v>499</v>
      </c>
      <c r="AN4" s="883">
        <v>15.333333333333334</v>
      </c>
      <c r="AP4" s="100"/>
      <c r="AQ4" s="100"/>
      <c r="AS4" s="882" t="s">
        <v>116</v>
      </c>
      <c r="AT4" s="883">
        <v>55.337499999999999</v>
      </c>
      <c r="AV4" s="100"/>
      <c r="BD4" s="100"/>
      <c r="BL4" s="100"/>
      <c r="BM4" s="100"/>
      <c r="BN4" s="91"/>
      <c r="BO4" s="100"/>
      <c r="BP4" s="100"/>
      <c r="BR4" s="100"/>
      <c r="BS4" s="100"/>
      <c r="BU4" s="882" t="s">
        <v>499</v>
      </c>
      <c r="BV4" s="883">
        <v>15.333333333333334</v>
      </c>
      <c r="BX4" s="882" t="s">
        <v>196</v>
      </c>
      <c r="BY4" s="939">
        <v>1</v>
      </c>
      <c r="BZ4" s="939">
        <v>0</v>
      </c>
      <c r="CB4" s="892" t="s">
        <v>134</v>
      </c>
      <c r="CC4" s="889">
        <v>1</v>
      </c>
      <c r="CD4" s="889">
        <v>2</v>
      </c>
      <c r="CE4"/>
      <c r="CF4"/>
      <c r="CG4"/>
      <c r="CJ4" s="888" t="s">
        <v>131</v>
      </c>
      <c r="CK4" s="890"/>
      <c r="CL4" s="890"/>
      <c r="CN4" s="888" t="s">
        <v>131</v>
      </c>
      <c r="CO4" s="894">
        <v>1183.3333333333333</v>
      </c>
      <c r="CP4" s="894">
        <v>1183.3333333333333</v>
      </c>
      <c r="CR4" s="888" t="s">
        <v>131</v>
      </c>
      <c r="CS4" s="895"/>
      <c r="CU4" s="888" t="s">
        <v>131</v>
      </c>
      <c r="CV4" s="895"/>
    </row>
    <row r="5" spans="1:118" x14ac:dyDescent="0.2">
      <c r="A5" s="882" t="s">
        <v>499</v>
      </c>
      <c r="B5" s="893">
        <v>1150</v>
      </c>
      <c r="C5" s="886">
        <v>1.5862068965517242</v>
      </c>
      <c r="E5" s="882" t="s">
        <v>499</v>
      </c>
      <c r="F5" s="937">
        <v>1150</v>
      </c>
      <c r="G5" s="938">
        <v>1.5862068965517242</v>
      </c>
      <c r="M5" s="882" t="s">
        <v>424</v>
      </c>
      <c r="N5" s="937">
        <v>1029.1666666666665</v>
      </c>
      <c r="O5" s="937">
        <v>1029.1666666666665</v>
      </c>
      <c r="Q5" s="882" t="s">
        <v>499</v>
      </c>
      <c r="R5" s="937">
        <v>1150</v>
      </c>
      <c r="S5" s="937">
        <v>1150</v>
      </c>
      <c r="X5" s="101"/>
      <c r="Z5"/>
      <c r="AA5"/>
      <c r="AC5" s="882" t="s">
        <v>424</v>
      </c>
      <c r="AD5" s="893" t="e">
        <v>#DIV/0!</v>
      </c>
      <c r="AE5" s="893" t="e">
        <v>#DIV/0!</v>
      </c>
      <c r="AF5" s="562"/>
      <c r="AG5" s="882" t="s">
        <v>424</v>
      </c>
      <c r="AH5" s="897">
        <v>1</v>
      </c>
      <c r="AI5" s="897">
        <v>0</v>
      </c>
      <c r="AK5" s="50"/>
      <c r="AM5" s="882" t="s">
        <v>496</v>
      </c>
      <c r="AN5" s="883">
        <v>38.324324324324323</v>
      </c>
      <c r="AP5" s="880" t="s">
        <v>134</v>
      </c>
      <c r="AQ5" s="881" t="s">
        <v>329</v>
      </c>
      <c r="AS5" s="882" t="s">
        <v>115</v>
      </c>
      <c r="AT5" s="883">
        <v>63.9</v>
      </c>
      <c r="AV5" s="880" t="s">
        <v>134</v>
      </c>
      <c r="AW5" s="880" t="s">
        <v>137</v>
      </c>
      <c r="AX5" s="885" t="s">
        <v>193</v>
      </c>
      <c r="AZ5" s="880" t="s">
        <v>134</v>
      </c>
      <c r="BA5" s="880" t="s">
        <v>137</v>
      </c>
      <c r="BB5" s="885" t="s">
        <v>193</v>
      </c>
      <c r="BD5" s="880" t="s">
        <v>134</v>
      </c>
      <c r="BE5" s="880" t="s">
        <v>195</v>
      </c>
      <c r="BF5" s="885" t="s">
        <v>194</v>
      </c>
      <c r="BH5" s="880" t="s">
        <v>134</v>
      </c>
      <c r="BI5" s="880" t="s">
        <v>195</v>
      </c>
      <c r="BJ5" s="885" t="s">
        <v>194</v>
      </c>
      <c r="BL5" s="880" t="s">
        <v>134</v>
      </c>
      <c r="BM5" s="881" t="s">
        <v>136</v>
      </c>
      <c r="BN5" s="91"/>
      <c r="BO5" s="880" t="s">
        <v>134</v>
      </c>
      <c r="BP5" s="881" t="s">
        <v>136</v>
      </c>
      <c r="BR5" s="880" t="s">
        <v>134</v>
      </c>
      <c r="BS5" s="881" t="s">
        <v>165</v>
      </c>
      <c r="BU5" s="882" t="s">
        <v>496</v>
      </c>
      <c r="BV5" s="883">
        <v>38.324324324324323</v>
      </c>
      <c r="BX5" s="882" t="s">
        <v>424</v>
      </c>
      <c r="BY5" s="939">
        <v>1</v>
      </c>
      <c r="BZ5" s="939">
        <v>0</v>
      </c>
      <c r="CB5" s="892" t="s">
        <v>131</v>
      </c>
      <c r="CC5" s="894"/>
      <c r="CD5" s="894"/>
      <c r="CE5"/>
      <c r="CF5"/>
      <c r="CG5"/>
      <c r="CJ5" s="891" t="s">
        <v>183</v>
      </c>
      <c r="CK5" s="890">
        <v>1.3201447245564895</v>
      </c>
      <c r="CL5" s="890">
        <v>1.3201447245564895</v>
      </c>
      <c r="CN5" s="891" t="s">
        <v>183</v>
      </c>
      <c r="CO5" s="894">
        <v>1225</v>
      </c>
      <c r="CP5" s="894">
        <v>1225</v>
      </c>
      <c r="CR5" s="891" t="s">
        <v>183</v>
      </c>
      <c r="CS5" s="895">
        <v>32.5</v>
      </c>
      <c r="CU5" s="891" t="s">
        <v>183</v>
      </c>
      <c r="CV5" s="895">
        <v>2</v>
      </c>
    </row>
    <row r="6" spans="1:118" x14ac:dyDescent="0.2">
      <c r="A6" s="882" t="s">
        <v>424</v>
      </c>
      <c r="B6" s="893">
        <v>1256.7708333333335</v>
      </c>
      <c r="C6" s="886">
        <v>1.5612374990596145</v>
      </c>
      <c r="E6" s="882" t="s">
        <v>424</v>
      </c>
      <c r="F6" s="937">
        <v>1256.7708333333335</v>
      </c>
      <c r="G6" s="938">
        <v>1.5612374990596145</v>
      </c>
      <c r="M6" s="882" t="s">
        <v>129</v>
      </c>
      <c r="N6" s="937">
        <v>1029.1666666666665</v>
      </c>
      <c r="O6" s="937">
        <v>1029.1666666666665</v>
      </c>
      <c r="Q6" s="882" t="s">
        <v>424</v>
      </c>
      <c r="R6" s="937">
        <v>1282.8125</v>
      </c>
      <c r="S6" s="937">
        <v>1282.8125</v>
      </c>
      <c r="X6" s="101"/>
      <c r="Z6"/>
      <c r="AA6"/>
      <c r="AC6" s="882" t="s">
        <v>496</v>
      </c>
      <c r="AD6" s="893"/>
      <c r="AE6" s="893"/>
      <c r="AF6" s="562"/>
      <c r="AG6" s="882" t="s">
        <v>496</v>
      </c>
      <c r="AH6" s="897"/>
      <c r="AI6" s="897"/>
      <c r="AK6" s="50"/>
      <c r="AM6" s="882" t="s">
        <v>498</v>
      </c>
      <c r="AN6" s="883">
        <v>48</v>
      </c>
      <c r="AP6" s="882" t="s">
        <v>498</v>
      </c>
      <c r="AQ6" s="883">
        <v>2</v>
      </c>
      <c r="AS6" s="882" t="s">
        <v>129</v>
      </c>
      <c r="AT6" s="883">
        <v>56.288888888888891</v>
      </c>
      <c r="AV6" s="882" t="s">
        <v>499</v>
      </c>
      <c r="AW6" s="893">
        <v>1150</v>
      </c>
      <c r="AX6" s="893">
        <v>1150</v>
      </c>
      <c r="AZ6" s="882" t="s">
        <v>129</v>
      </c>
      <c r="BA6" s="893"/>
      <c r="BB6" s="893"/>
      <c r="BD6" s="882" t="s">
        <v>497</v>
      </c>
      <c r="BE6" s="886"/>
      <c r="BF6" s="886"/>
      <c r="BH6" s="882" t="s">
        <v>129</v>
      </c>
      <c r="BI6" s="886"/>
      <c r="BJ6" s="886"/>
      <c r="BL6" s="882" t="s">
        <v>129</v>
      </c>
      <c r="BM6" s="884"/>
      <c r="BN6" s="91"/>
      <c r="BO6" s="882" t="s">
        <v>115</v>
      </c>
      <c r="BP6" s="884">
        <v>0</v>
      </c>
      <c r="BR6" s="882" t="s">
        <v>115</v>
      </c>
      <c r="BS6" s="883">
        <v>578</v>
      </c>
      <c r="BU6" s="882" t="s">
        <v>498</v>
      </c>
      <c r="BV6" s="883">
        <v>48</v>
      </c>
      <c r="BX6" s="882" t="s">
        <v>496</v>
      </c>
      <c r="BY6" s="939"/>
      <c r="BZ6" s="939"/>
      <c r="CB6" s="891" t="s">
        <v>183</v>
      </c>
      <c r="CC6" s="894"/>
      <c r="CD6" s="894">
        <v>1225</v>
      </c>
      <c r="CE6"/>
      <c r="CF6"/>
      <c r="CG6"/>
      <c r="CJ6" s="891" t="s">
        <v>184</v>
      </c>
      <c r="CK6" s="890"/>
      <c r="CL6" s="890"/>
      <c r="CN6" s="891" t="s">
        <v>184</v>
      </c>
      <c r="CO6" s="894">
        <v>1100</v>
      </c>
      <c r="CP6" s="894">
        <v>1100</v>
      </c>
      <c r="CR6" s="891" t="s">
        <v>184</v>
      </c>
      <c r="CS6" s="895">
        <v>10</v>
      </c>
      <c r="CU6" s="891" t="s">
        <v>184</v>
      </c>
      <c r="CV6" s="895">
        <v>1</v>
      </c>
    </row>
    <row r="7" spans="1:118" x14ac:dyDescent="0.2">
      <c r="A7" s="882" t="s">
        <v>196</v>
      </c>
      <c r="B7" s="893">
        <v>1292.3611111111111</v>
      </c>
      <c r="C7" s="886">
        <v>1.5780870789690749</v>
      </c>
      <c r="E7" s="882" t="s">
        <v>196</v>
      </c>
      <c r="F7" s="937">
        <v>1292.3611111111111</v>
      </c>
      <c r="G7" s="938">
        <v>1.5780870789690749</v>
      </c>
      <c r="Q7" s="882" t="s">
        <v>196</v>
      </c>
      <c r="R7" s="937">
        <v>1327.0833333333333</v>
      </c>
      <c r="S7" s="937">
        <v>1327.0833333333333</v>
      </c>
      <c r="X7" s="101"/>
      <c r="Z7"/>
      <c r="AA7"/>
      <c r="AC7" s="882" t="s">
        <v>497</v>
      </c>
      <c r="AD7" s="893"/>
      <c r="AE7" s="893"/>
      <c r="AF7" s="562"/>
      <c r="AG7" s="882" t="s">
        <v>497</v>
      </c>
      <c r="AH7" s="897"/>
      <c r="AI7" s="897"/>
      <c r="AK7" s="50"/>
      <c r="AM7" s="882" t="s">
        <v>497</v>
      </c>
      <c r="AN7" s="883">
        <v>62</v>
      </c>
      <c r="AP7" s="882" t="s">
        <v>496</v>
      </c>
      <c r="AQ7" s="883">
        <v>4</v>
      </c>
      <c r="AV7" s="882" t="s">
        <v>498</v>
      </c>
      <c r="AW7" s="893">
        <v>1200</v>
      </c>
      <c r="AX7" s="893">
        <v>1200</v>
      </c>
      <c r="BD7" s="882" t="s">
        <v>496</v>
      </c>
      <c r="BE7" s="886">
        <v>1.2866370413540229</v>
      </c>
      <c r="BF7" s="886">
        <v>1.2866370413540229</v>
      </c>
      <c r="BN7" s="91"/>
      <c r="BO7" s="882" t="s">
        <v>116</v>
      </c>
      <c r="BP7" s="884">
        <v>0</v>
      </c>
      <c r="BR7" s="882" t="s">
        <v>116</v>
      </c>
      <c r="BS7" s="883">
        <v>1007.0704225352113</v>
      </c>
      <c r="BU7" s="882" t="s">
        <v>497</v>
      </c>
      <c r="BV7" s="883">
        <v>62</v>
      </c>
      <c r="BX7" s="882" t="s">
        <v>497</v>
      </c>
      <c r="BY7" s="939"/>
      <c r="BZ7" s="939"/>
      <c r="CB7" s="891" t="s">
        <v>184</v>
      </c>
      <c r="CC7" s="894"/>
      <c r="CD7" s="894">
        <v>1100</v>
      </c>
      <c r="CE7"/>
      <c r="CF7"/>
      <c r="CG7"/>
      <c r="CJ7" s="888" t="s">
        <v>178</v>
      </c>
      <c r="CK7" s="890"/>
      <c r="CL7" s="890"/>
      <c r="CN7" s="888" t="s">
        <v>178</v>
      </c>
      <c r="CO7" s="894">
        <v>1305.952380952381</v>
      </c>
      <c r="CP7" s="894">
        <v>1305.952380952381</v>
      </c>
      <c r="CR7" s="888" t="s">
        <v>178</v>
      </c>
      <c r="CS7" s="895"/>
      <c r="CU7" s="888" t="s">
        <v>178</v>
      </c>
      <c r="CV7" s="895"/>
    </row>
    <row r="8" spans="1:118" x14ac:dyDescent="0.2">
      <c r="A8" s="882" t="s">
        <v>496</v>
      </c>
      <c r="B8" s="893">
        <v>1438</v>
      </c>
      <c r="C8" s="886">
        <v>1.2920035938903864</v>
      </c>
      <c r="E8" s="882" t="s">
        <v>496</v>
      </c>
      <c r="F8" s="937">
        <v>1438</v>
      </c>
      <c r="G8" s="938">
        <v>1.2920035938903864</v>
      </c>
      <c r="Q8" s="882" t="s">
        <v>496</v>
      </c>
      <c r="R8" s="937">
        <v>1438</v>
      </c>
      <c r="S8" s="937">
        <v>1438</v>
      </c>
      <c r="X8" s="101"/>
      <c r="Z8"/>
      <c r="AA8"/>
      <c r="AC8" s="882" t="s">
        <v>498</v>
      </c>
      <c r="AD8" s="893"/>
      <c r="AE8" s="893"/>
      <c r="AF8" s="562"/>
      <c r="AG8" s="882" t="s">
        <v>498</v>
      </c>
      <c r="AH8" s="897"/>
      <c r="AI8" s="897"/>
      <c r="AK8" s="50"/>
      <c r="AM8" s="882" t="s">
        <v>196</v>
      </c>
      <c r="AN8" s="883">
        <v>73.276595744680847</v>
      </c>
      <c r="AP8" s="882" t="s">
        <v>196</v>
      </c>
      <c r="AQ8" s="883">
        <v>16</v>
      </c>
      <c r="AV8" s="882" t="s">
        <v>196</v>
      </c>
      <c r="AW8" s="893">
        <v>1209.5744680851064</v>
      </c>
      <c r="AX8" s="893">
        <v>1209.5744680851064</v>
      </c>
      <c r="BD8" s="882" t="s">
        <v>196</v>
      </c>
      <c r="BE8" s="886">
        <v>1.4486529807753401</v>
      </c>
      <c r="BF8" s="886">
        <v>1.4486529807753401</v>
      </c>
      <c r="BN8" s="91"/>
      <c r="BO8" s="882" t="s">
        <v>129</v>
      </c>
      <c r="BP8" s="884">
        <v>0</v>
      </c>
      <c r="BR8" s="882" t="s">
        <v>129</v>
      </c>
      <c r="BS8" s="883">
        <v>989.67567567567562</v>
      </c>
      <c r="BU8" s="882" t="s">
        <v>196</v>
      </c>
      <c r="BV8" s="883">
        <v>73.276595744680847</v>
      </c>
      <c r="BX8" s="882" t="s">
        <v>498</v>
      </c>
      <c r="BY8" s="939"/>
      <c r="BZ8" s="939"/>
      <c r="CB8" s="892" t="s">
        <v>178</v>
      </c>
      <c r="CC8" s="894"/>
      <c r="CD8" s="894"/>
      <c r="CE8"/>
      <c r="CF8"/>
      <c r="CG8"/>
      <c r="CJ8" s="891" t="s">
        <v>188</v>
      </c>
      <c r="CK8" s="890">
        <v>1.6333333333333333</v>
      </c>
      <c r="CL8" s="890">
        <v>1.6333333333333333</v>
      </c>
      <c r="CN8" s="891" t="s">
        <v>188</v>
      </c>
      <c r="CO8" s="894">
        <v>1225</v>
      </c>
      <c r="CP8" s="894">
        <v>1225</v>
      </c>
      <c r="CR8" s="891" t="s">
        <v>188</v>
      </c>
      <c r="CS8" s="895">
        <v>8</v>
      </c>
      <c r="CU8" s="891" t="s">
        <v>188</v>
      </c>
      <c r="CV8" s="895">
        <v>1</v>
      </c>
    </row>
    <row r="9" spans="1:118" x14ac:dyDescent="0.2">
      <c r="A9" s="882" t="s">
        <v>129</v>
      </c>
      <c r="B9" s="893">
        <v>1274.89375</v>
      </c>
      <c r="C9" s="886">
        <v>1.5313226207074782</v>
      </c>
      <c r="E9" s="882" t="s">
        <v>129</v>
      </c>
      <c r="F9" s="937">
        <v>1274.89375</v>
      </c>
      <c r="G9" s="938">
        <v>1.5313226207074782</v>
      </c>
      <c r="Q9" s="882" t="s">
        <v>129</v>
      </c>
      <c r="R9" s="937">
        <v>1298.33125</v>
      </c>
      <c r="S9" s="937">
        <v>1298.33125</v>
      </c>
      <c r="X9" s="101"/>
      <c r="Z9"/>
      <c r="AA9"/>
      <c r="AC9" s="882" t="s">
        <v>499</v>
      </c>
      <c r="AD9" s="893"/>
      <c r="AE9" s="893"/>
      <c r="AF9" s="562"/>
      <c r="AG9" s="882" t="s">
        <v>499</v>
      </c>
      <c r="AH9" s="897"/>
      <c r="AI9" s="897"/>
      <c r="AK9" s="50"/>
      <c r="AM9" s="882" t="s">
        <v>129</v>
      </c>
      <c r="AN9" s="883">
        <v>56.288888888888891</v>
      </c>
      <c r="AP9" s="882" t="s">
        <v>129</v>
      </c>
      <c r="AQ9" s="883">
        <v>22</v>
      </c>
      <c r="AV9" s="882" t="s">
        <v>497</v>
      </c>
      <c r="AW9" s="893">
        <v>1300</v>
      </c>
      <c r="AX9" s="893">
        <v>1300</v>
      </c>
      <c r="BD9" s="882" t="s">
        <v>498</v>
      </c>
      <c r="BE9" s="886">
        <v>1.5151515151515151</v>
      </c>
      <c r="BF9" s="886">
        <v>1.5151515151515151</v>
      </c>
      <c r="BN9" s="91"/>
      <c r="BU9" s="882" t="s">
        <v>129</v>
      </c>
      <c r="BV9" s="883">
        <v>56.288888888888891</v>
      </c>
      <c r="BX9" s="882" t="s">
        <v>499</v>
      </c>
      <c r="BY9" s="939"/>
      <c r="BZ9" s="939"/>
      <c r="CB9" s="891" t="s">
        <v>188</v>
      </c>
      <c r="CC9" s="894"/>
      <c r="CD9" s="894">
        <v>1225</v>
      </c>
      <c r="CE9"/>
      <c r="CF9"/>
      <c r="CG9"/>
      <c r="CJ9" s="891" t="s">
        <v>189</v>
      </c>
      <c r="CK9" s="890">
        <v>1.5862068965517242</v>
      </c>
      <c r="CL9" s="890">
        <v>1.5862068965517242</v>
      </c>
      <c r="CN9" s="891" t="s">
        <v>189</v>
      </c>
      <c r="CO9" s="894">
        <v>1150</v>
      </c>
      <c r="CP9" s="894">
        <v>1150</v>
      </c>
      <c r="CR9" s="891" t="s">
        <v>189</v>
      </c>
      <c r="CS9" s="895">
        <v>20</v>
      </c>
      <c r="CU9" s="891" t="s">
        <v>189</v>
      </c>
      <c r="CV9" s="895">
        <v>1</v>
      </c>
    </row>
    <row r="10" spans="1:118" x14ac:dyDescent="0.2">
      <c r="X10" s="101"/>
      <c r="AC10" s="882" t="s">
        <v>500</v>
      </c>
      <c r="AD10" s="893"/>
      <c r="AE10" s="893"/>
      <c r="AF10" s="562"/>
      <c r="AG10" s="882" t="s">
        <v>500</v>
      </c>
      <c r="AH10" s="897">
        <v>1</v>
      </c>
      <c r="AI10" s="897">
        <v>0</v>
      </c>
      <c r="AK10" s="50"/>
      <c r="AV10" s="882" t="s">
        <v>496</v>
      </c>
      <c r="AW10" s="893">
        <v>1432.0270270270271</v>
      </c>
      <c r="AX10" s="893">
        <v>1432.0270270270271</v>
      </c>
      <c r="BD10" s="882" t="s">
        <v>499</v>
      </c>
      <c r="BE10" s="886">
        <v>1.5862068965517242</v>
      </c>
      <c r="BF10" s="886">
        <v>1.5862068965517242</v>
      </c>
      <c r="BN10" s="91"/>
      <c r="BX10" s="882" t="s">
        <v>500</v>
      </c>
      <c r="BY10" s="939">
        <v>1</v>
      </c>
      <c r="BZ10" s="939">
        <v>0</v>
      </c>
      <c r="CB10" s="891" t="s">
        <v>189</v>
      </c>
      <c r="CC10" s="894"/>
      <c r="CD10" s="894">
        <v>1150</v>
      </c>
      <c r="CE10"/>
      <c r="CF10"/>
      <c r="CG10"/>
      <c r="CJ10" s="891" t="s">
        <v>190</v>
      </c>
      <c r="CK10" s="890"/>
      <c r="CL10" s="890"/>
      <c r="CN10" s="891" t="s">
        <v>190</v>
      </c>
      <c r="CO10" s="894">
        <v>900</v>
      </c>
      <c r="CP10" s="894">
        <v>900</v>
      </c>
      <c r="CR10" s="891" t="s">
        <v>190</v>
      </c>
      <c r="CS10" s="895">
        <v>19</v>
      </c>
      <c r="CU10" s="891" t="s">
        <v>190</v>
      </c>
      <c r="CV10" s="895">
        <v>1</v>
      </c>
    </row>
    <row r="11" spans="1:118" x14ac:dyDescent="0.2">
      <c r="X11" s="101"/>
      <c r="AC11" s="882" t="s">
        <v>129</v>
      </c>
      <c r="AD11" s="893" t="e">
        <v>#DIV/0!</v>
      </c>
      <c r="AE11" s="893" t="e">
        <v>#DIV/0!</v>
      </c>
      <c r="AF11" s="562"/>
      <c r="AG11" s="882" t="s">
        <v>129</v>
      </c>
      <c r="AH11" s="897">
        <v>1</v>
      </c>
      <c r="AI11" s="897">
        <v>0</v>
      </c>
      <c r="AK11" s="50"/>
      <c r="AV11" s="882" t="s">
        <v>129</v>
      </c>
      <c r="AW11" s="893">
        <v>1299.8333333333333</v>
      </c>
      <c r="AX11" s="893">
        <v>1299.8333333333333</v>
      </c>
      <c r="BD11" s="882" t="s">
        <v>129</v>
      </c>
      <c r="BE11" s="886">
        <v>1.3750187788495674</v>
      </c>
      <c r="BF11" s="886">
        <v>1.3750187788495674</v>
      </c>
      <c r="BN11" s="91"/>
      <c r="BX11" s="882" t="s">
        <v>129</v>
      </c>
      <c r="BY11" s="939">
        <v>1</v>
      </c>
      <c r="BZ11" s="939">
        <v>0</v>
      </c>
      <c r="CB11" s="891" t="s">
        <v>190</v>
      </c>
      <c r="CC11" s="894">
        <v>900</v>
      </c>
      <c r="CD11" s="894"/>
      <c r="CE11"/>
      <c r="CF11"/>
      <c r="CG11"/>
      <c r="CJ11" s="891" t="s">
        <v>186</v>
      </c>
      <c r="CK11" s="890">
        <v>1.3333333333333333</v>
      </c>
      <c r="CL11" s="890">
        <v>1.3333333333333333</v>
      </c>
      <c r="CN11" s="891" t="s">
        <v>186</v>
      </c>
      <c r="CO11" s="894">
        <v>1200</v>
      </c>
      <c r="CP11" s="894">
        <v>1200</v>
      </c>
      <c r="CR11" s="891" t="s">
        <v>186</v>
      </c>
      <c r="CS11" s="895">
        <v>6</v>
      </c>
      <c r="CU11" s="891" t="s">
        <v>186</v>
      </c>
      <c r="CV11" s="895">
        <v>1</v>
      </c>
    </row>
    <row r="12" spans="1:118" x14ac:dyDescent="0.2">
      <c r="X12" s="101"/>
      <c r="AD12"/>
      <c r="AE12"/>
      <c r="AF12" s="562"/>
      <c r="AH12"/>
      <c r="AI12"/>
      <c r="AK12" s="50"/>
      <c r="AW12"/>
      <c r="AX12"/>
      <c r="BE12"/>
      <c r="BF12"/>
      <c r="BN12" s="91"/>
      <c r="BY12"/>
      <c r="BZ12"/>
      <c r="CB12" s="891" t="s">
        <v>186</v>
      </c>
      <c r="CC12" s="894"/>
      <c r="CD12" s="894">
        <v>1200</v>
      </c>
      <c r="CE12"/>
      <c r="CF12"/>
      <c r="CG12"/>
      <c r="CJ12" s="891" t="s">
        <v>187</v>
      </c>
      <c r="CK12" s="890">
        <v>1.3888888888888888</v>
      </c>
      <c r="CL12" s="890">
        <v>1.3888888888888888</v>
      </c>
      <c r="CN12" s="891" t="s">
        <v>187</v>
      </c>
      <c r="CO12" s="894">
        <v>1250</v>
      </c>
      <c r="CP12" s="894">
        <v>1250</v>
      </c>
      <c r="CR12" s="891" t="s">
        <v>187</v>
      </c>
      <c r="CS12" s="895">
        <v>29</v>
      </c>
      <c r="CU12" s="891" t="s">
        <v>187</v>
      </c>
      <c r="CV12" s="895">
        <v>2</v>
      </c>
    </row>
    <row r="13" spans="1:118" x14ac:dyDescent="0.2">
      <c r="X13" s="101"/>
      <c r="AD13"/>
      <c r="AE13"/>
      <c r="AF13" s="562"/>
      <c r="AH13"/>
      <c r="AI13"/>
      <c r="AK13" s="50"/>
      <c r="AW13"/>
      <c r="AX13"/>
      <c r="BE13"/>
      <c r="BF13"/>
      <c r="BN13" s="91"/>
      <c r="BY13"/>
      <c r="BZ13"/>
      <c r="CB13" s="891" t="s">
        <v>187</v>
      </c>
      <c r="CC13" s="894"/>
      <c r="CD13" s="894">
        <v>1250</v>
      </c>
      <c r="CE13"/>
      <c r="CF13"/>
      <c r="CG13"/>
      <c r="CJ13" s="891" t="s">
        <v>179</v>
      </c>
      <c r="CK13" s="890">
        <v>1.2803234501347709</v>
      </c>
      <c r="CL13" s="890">
        <v>1.2803234501347709</v>
      </c>
      <c r="CN13" s="891" t="s">
        <v>179</v>
      </c>
      <c r="CO13" s="894">
        <v>1425</v>
      </c>
      <c r="CP13" s="894">
        <v>1425</v>
      </c>
      <c r="CR13" s="891" t="s">
        <v>179</v>
      </c>
      <c r="CS13" s="895">
        <v>19.666666666666668</v>
      </c>
      <c r="CU13" s="891" t="s">
        <v>179</v>
      </c>
      <c r="CV13" s="895">
        <v>3</v>
      </c>
    </row>
    <row r="14" spans="1:118" x14ac:dyDescent="0.2">
      <c r="X14" s="101"/>
      <c r="AD14"/>
      <c r="AE14"/>
      <c r="AF14" s="562"/>
      <c r="AH14"/>
      <c r="AI14"/>
      <c r="AK14" s="50"/>
      <c r="AW14"/>
      <c r="AX14"/>
      <c r="BE14"/>
      <c r="BF14"/>
      <c r="BN14" s="91"/>
      <c r="BY14"/>
      <c r="BZ14"/>
      <c r="CB14" s="891" t="s">
        <v>180</v>
      </c>
      <c r="CC14" s="894">
        <v>950</v>
      </c>
      <c r="CD14" s="894">
        <v>1275</v>
      </c>
      <c r="CE14"/>
      <c r="CF14"/>
      <c r="CG14"/>
      <c r="CJ14" s="891" t="s">
        <v>180</v>
      </c>
      <c r="CK14" s="890">
        <v>1.2738529618194905</v>
      </c>
      <c r="CL14" s="890">
        <v>1.2738529618194905</v>
      </c>
      <c r="CN14" s="891" t="s">
        <v>180</v>
      </c>
      <c r="CO14" s="894">
        <v>1193.75</v>
      </c>
      <c r="CP14" s="894">
        <v>1193.75</v>
      </c>
      <c r="CR14" s="891" t="s">
        <v>180</v>
      </c>
      <c r="CS14" s="895">
        <v>25.75</v>
      </c>
      <c r="CU14" s="891" t="s">
        <v>180</v>
      </c>
      <c r="CV14" s="895">
        <v>4</v>
      </c>
    </row>
    <row r="15" spans="1:118" x14ac:dyDescent="0.2">
      <c r="AD15"/>
      <c r="AE15"/>
      <c r="AH15"/>
      <c r="AI15"/>
      <c r="AK15" s="50"/>
      <c r="AW15"/>
      <c r="AX15"/>
      <c r="BE15"/>
      <c r="BF15"/>
      <c r="BN15" s="91"/>
      <c r="BY15"/>
      <c r="BZ15"/>
      <c r="CB15" s="891" t="s">
        <v>181</v>
      </c>
      <c r="CC15" s="894"/>
      <c r="CD15" s="894">
        <v>1425</v>
      </c>
      <c r="CE15"/>
      <c r="CF15"/>
      <c r="CG15"/>
      <c r="CJ15" s="891" t="s">
        <v>181</v>
      </c>
      <c r="CK15" s="890">
        <v>1.2803234501347709</v>
      </c>
      <c r="CL15" s="890">
        <v>1.2803234501347709</v>
      </c>
      <c r="CN15" s="891" t="s">
        <v>181</v>
      </c>
      <c r="CO15" s="894">
        <v>1425</v>
      </c>
      <c r="CP15" s="894">
        <v>1425</v>
      </c>
      <c r="CR15" s="891" t="s">
        <v>181</v>
      </c>
      <c r="CS15" s="895">
        <v>43</v>
      </c>
      <c r="CU15" s="891" t="s">
        <v>181</v>
      </c>
      <c r="CV15" s="895">
        <v>1</v>
      </c>
    </row>
    <row r="16" spans="1:118" x14ac:dyDescent="0.2">
      <c r="AD16"/>
      <c r="AE16"/>
      <c r="AH16"/>
      <c r="AI16"/>
      <c r="AK16" s="50"/>
      <c r="AW16"/>
      <c r="AX16"/>
      <c r="BE16"/>
      <c r="BF16"/>
      <c r="BN16" s="91"/>
      <c r="BY16"/>
      <c r="BZ16"/>
      <c r="CB16" s="891" t="s">
        <v>184</v>
      </c>
      <c r="CC16" s="894"/>
      <c r="CD16" s="894">
        <v>1425</v>
      </c>
      <c r="CE16"/>
      <c r="CF16"/>
      <c r="CG16"/>
      <c r="CJ16" s="891" t="s">
        <v>184</v>
      </c>
      <c r="CK16" s="890">
        <v>1.2803234501347709</v>
      </c>
      <c r="CL16" s="890">
        <v>1.2803234501347709</v>
      </c>
      <c r="CN16" s="891" t="s">
        <v>184</v>
      </c>
      <c r="CO16" s="894">
        <v>1425</v>
      </c>
      <c r="CP16" s="894">
        <v>1425</v>
      </c>
      <c r="CR16" s="891" t="s">
        <v>184</v>
      </c>
      <c r="CS16" s="895">
        <v>25.2</v>
      </c>
      <c r="CU16" s="891" t="s">
        <v>184</v>
      </c>
      <c r="CV16" s="895">
        <v>5</v>
      </c>
    </row>
    <row r="17" spans="80:100" x14ac:dyDescent="0.2">
      <c r="CB17" s="891" t="s">
        <v>185</v>
      </c>
      <c r="CC17" s="894"/>
      <c r="CD17" s="894">
        <v>1425</v>
      </c>
      <c r="CE17"/>
      <c r="CF17"/>
      <c r="CG17"/>
      <c r="CJ17" s="891" t="s">
        <v>185</v>
      </c>
      <c r="CK17" s="890">
        <v>1.2803234501347709</v>
      </c>
      <c r="CL17" s="890">
        <v>1.2803234501347709</v>
      </c>
      <c r="CN17" s="891" t="s">
        <v>185</v>
      </c>
      <c r="CO17" s="894">
        <v>1425</v>
      </c>
      <c r="CP17" s="894">
        <v>1425</v>
      </c>
      <c r="CR17" s="891" t="s">
        <v>185</v>
      </c>
      <c r="CS17" s="895">
        <v>21</v>
      </c>
      <c r="CU17" s="891" t="s">
        <v>185</v>
      </c>
      <c r="CV17" s="895">
        <v>2</v>
      </c>
    </row>
    <row r="18" spans="80:100" x14ac:dyDescent="0.2">
      <c r="CB18" s="892" t="s">
        <v>132</v>
      </c>
      <c r="CC18" s="894"/>
      <c r="CD18" s="894"/>
      <c r="CE18"/>
      <c r="CF18"/>
      <c r="CG18"/>
      <c r="CJ18" s="892" t="s">
        <v>132</v>
      </c>
      <c r="CK18" s="890"/>
      <c r="CL18" s="890"/>
      <c r="CN18" s="892" t="s">
        <v>132</v>
      </c>
      <c r="CO18" s="894">
        <v>1303.1818181818182</v>
      </c>
      <c r="CP18" s="894">
        <v>1303.1818181818182</v>
      </c>
      <c r="CR18" s="892" t="s">
        <v>132</v>
      </c>
      <c r="CS18" s="895"/>
      <c r="CU18" s="892" t="s">
        <v>132</v>
      </c>
      <c r="CV18" s="895"/>
    </row>
    <row r="19" spans="80:100" x14ac:dyDescent="0.2">
      <c r="CB19" s="891" t="s">
        <v>188</v>
      </c>
      <c r="CC19" s="894"/>
      <c r="CD19" s="894">
        <v>1362.5</v>
      </c>
      <c r="CE19"/>
      <c r="CF19"/>
      <c r="CG19"/>
      <c r="CJ19" s="891" t="s">
        <v>188</v>
      </c>
      <c r="CK19" s="890">
        <v>1.2803234501347709</v>
      </c>
      <c r="CL19" s="890">
        <v>1.2803234501347709</v>
      </c>
      <c r="CN19" s="891" t="s">
        <v>188</v>
      </c>
      <c r="CO19" s="894">
        <v>1362.5</v>
      </c>
      <c r="CP19" s="894">
        <v>1362.5</v>
      </c>
      <c r="CR19" s="891" t="s">
        <v>188</v>
      </c>
      <c r="CS19" s="895">
        <v>45</v>
      </c>
      <c r="CU19" s="891" t="s">
        <v>188</v>
      </c>
      <c r="CV19" s="895">
        <v>2</v>
      </c>
    </row>
    <row r="20" spans="80:100" x14ac:dyDescent="0.2">
      <c r="CB20" s="891" t="s">
        <v>189</v>
      </c>
      <c r="CC20" s="894"/>
      <c r="CD20" s="894">
        <v>1425</v>
      </c>
      <c r="CE20"/>
      <c r="CF20"/>
      <c r="CG20"/>
      <c r="CJ20" s="891" t="s">
        <v>189</v>
      </c>
      <c r="CK20" s="890">
        <v>1.2803234501347709</v>
      </c>
      <c r="CL20" s="890">
        <v>1.2803234501347709</v>
      </c>
      <c r="CN20" s="891" t="s">
        <v>189</v>
      </c>
      <c r="CO20" s="894">
        <v>1425</v>
      </c>
      <c r="CP20" s="894">
        <v>1425</v>
      </c>
      <c r="CR20" s="891" t="s">
        <v>189</v>
      </c>
      <c r="CS20" s="895">
        <v>18</v>
      </c>
      <c r="CU20" s="891" t="s">
        <v>189</v>
      </c>
      <c r="CV20" s="895">
        <v>1</v>
      </c>
    </row>
    <row r="21" spans="80:100" x14ac:dyDescent="0.2">
      <c r="CB21" s="891" t="s">
        <v>190</v>
      </c>
      <c r="CC21" s="894"/>
      <c r="CD21" s="894">
        <v>1425</v>
      </c>
      <c r="CE21"/>
      <c r="CF21"/>
      <c r="CG21"/>
      <c r="CJ21" s="891" t="s">
        <v>190</v>
      </c>
      <c r="CK21" s="890">
        <v>1.2803234501347709</v>
      </c>
      <c r="CL21" s="890">
        <v>1.2803234501347709</v>
      </c>
      <c r="CN21" s="891" t="s">
        <v>190</v>
      </c>
      <c r="CO21" s="894">
        <v>1425</v>
      </c>
      <c r="CP21" s="894">
        <v>1425</v>
      </c>
      <c r="CR21" s="891" t="s">
        <v>190</v>
      </c>
      <c r="CS21" s="895">
        <v>30</v>
      </c>
      <c r="CU21" s="891" t="s">
        <v>190</v>
      </c>
      <c r="CV21" s="895">
        <v>2</v>
      </c>
    </row>
    <row r="22" spans="80:100" x14ac:dyDescent="0.2">
      <c r="CB22" s="891" t="s">
        <v>186</v>
      </c>
      <c r="CC22" s="894">
        <v>1050</v>
      </c>
      <c r="CD22" s="894">
        <v>1306.25</v>
      </c>
      <c r="CE22"/>
      <c r="CF22"/>
      <c r="CG22"/>
      <c r="CJ22" s="891" t="s">
        <v>186</v>
      </c>
      <c r="CK22" s="890">
        <v>1.5098923459078843</v>
      </c>
      <c r="CL22" s="890">
        <v>1.5098923459078843</v>
      </c>
      <c r="CN22" s="891" t="s">
        <v>186</v>
      </c>
      <c r="CO22" s="894">
        <v>1255</v>
      </c>
      <c r="CP22" s="894">
        <v>1255</v>
      </c>
      <c r="CR22" s="891" t="s">
        <v>186</v>
      </c>
      <c r="CS22" s="895">
        <v>54.6</v>
      </c>
      <c r="CU22" s="891" t="s">
        <v>186</v>
      </c>
      <c r="CV22" s="895">
        <v>10</v>
      </c>
    </row>
    <row r="23" spans="80:100" x14ac:dyDescent="0.2">
      <c r="CB23" s="891" t="s">
        <v>187</v>
      </c>
      <c r="CC23" s="894"/>
      <c r="CD23" s="894">
        <v>1395.8333333333333</v>
      </c>
      <c r="CE23"/>
      <c r="CF23"/>
      <c r="CG23"/>
      <c r="CJ23" s="891" t="s">
        <v>187</v>
      </c>
      <c r="CK23" s="890">
        <v>1.3545643541625925</v>
      </c>
      <c r="CL23" s="890">
        <v>1.3545643541625925</v>
      </c>
      <c r="CN23" s="891" t="s">
        <v>187</v>
      </c>
      <c r="CO23" s="894">
        <v>1395.8333333333333</v>
      </c>
      <c r="CP23" s="894">
        <v>1395.8333333333333</v>
      </c>
      <c r="CR23" s="891" t="s">
        <v>187</v>
      </c>
      <c r="CS23" s="895">
        <v>80.666666666666671</v>
      </c>
      <c r="CU23" s="891" t="s">
        <v>187</v>
      </c>
      <c r="CV23" s="895">
        <v>6</v>
      </c>
    </row>
    <row r="24" spans="80:100" x14ac:dyDescent="0.2">
      <c r="CB24" s="891" t="s">
        <v>180</v>
      </c>
      <c r="CC24" s="894">
        <v>1050</v>
      </c>
      <c r="CD24" s="894">
        <v>1278.8461538461538</v>
      </c>
      <c r="CE24"/>
      <c r="CF24"/>
      <c r="CG24"/>
      <c r="CJ24" s="891" t="s">
        <v>179</v>
      </c>
      <c r="CK24" s="890">
        <v>1.3095238095238095</v>
      </c>
      <c r="CL24" s="890">
        <v>1.3095238095238095</v>
      </c>
      <c r="CN24" s="891" t="s">
        <v>179</v>
      </c>
      <c r="CO24" s="894">
        <v>1457.5</v>
      </c>
      <c r="CP24" s="894">
        <v>1457.5</v>
      </c>
      <c r="CR24" s="891" t="s">
        <v>179</v>
      </c>
      <c r="CS24" s="895">
        <v>42.166666666666664</v>
      </c>
      <c r="CU24" s="891" t="s">
        <v>179</v>
      </c>
      <c r="CV24" s="895">
        <v>6</v>
      </c>
    </row>
    <row r="25" spans="80:100" x14ac:dyDescent="0.2">
      <c r="CB25" s="891" t="s">
        <v>181</v>
      </c>
      <c r="CC25" s="894"/>
      <c r="CD25" s="894">
        <v>1266.6666666666667</v>
      </c>
      <c r="CE25"/>
      <c r="CF25"/>
      <c r="CG25"/>
      <c r="CJ25" s="891" t="s">
        <v>180</v>
      </c>
      <c r="CK25" s="890">
        <v>1.4108556115733479</v>
      </c>
      <c r="CL25" s="890">
        <v>1.4108556115733479</v>
      </c>
      <c r="CN25" s="891" t="s">
        <v>180</v>
      </c>
      <c r="CO25" s="894">
        <v>1235.9375</v>
      </c>
      <c r="CP25" s="894">
        <v>1235.9375</v>
      </c>
      <c r="CR25" s="891" t="s">
        <v>180</v>
      </c>
      <c r="CS25" s="895">
        <v>58.625</v>
      </c>
      <c r="CU25" s="891" t="s">
        <v>180</v>
      </c>
      <c r="CV25" s="895">
        <v>16</v>
      </c>
    </row>
    <row r="26" spans="80:100" x14ac:dyDescent="0.2">
      <c r="CB26" s="891" t="s">
        <v>182</v>
      </c>
      <c r="CC26" s="894">
        <v>1100</v>
      </c>
      <c r="CD26" s="894">
        <v>1342.8571428571429</v>
      </c>
      <c r="CE26"/>
      <c r="CF26"/>
      <c r="CG26"/>
      <c r="CJ26" s="891" t="s">
        <v>181</v>
      </c>
      <c r="CK26" s="890">
        <v>1.2757711889787362</v>
      </c>
      <c r="CL26" s="890">
        <v>1.2757711889787362</v>
      </c>
      <c r="CN26" s="891" t="s">
        <v>181</v>
      </c>
      <c r="CO26" s="894">
        <v>1266.6666666666667</v>
      </c>
      <c r="CP26" s="894">
        <v>1266.6666666666667</v>
      </c>
      <c r="CR26" s="891" t="s">
        <v>181</v>
      </c>
      <c r="CS26" s="895">
        <v>14.333333333333334</v>
      </c>
      <c r="CU26" s="891" t="s">
        <v>181</v>
      </c>
      <c r="CV26" s="895">
        <v>3</v>
      </c>
    </row>
    <row r="27" spans="80:100" x14ac:dyDescent="0.2">
      <c r="CB27" s="891" t="s">
        <v>183</v>
      </c>
      <c r="CC27" s="894"/>
      <c r="CD27" s="894">
        <v>1286.1111111111111</v>
      </c>
      <c r="CE27"/>
      <c r="CF27"/>
      <c r="CG27"/>
      <c r="CJ27" s="891" t="s">
        <v>182</v>
      </c>
      <c r="CK27" s="890">
        <v>1.4238685517961871</v>
      </c>
      <c r="CL27" s="890">
        <v>1.4238685517961871</v>
      </c>
      <c r="CN27" s="891" t="s">
        <v>182</v>
      </c>
      <c r="CO27" s="894">
        <v>1270</v>
      </c>
      <c r="CP27" s="894">
        <v>1270</v>
      </c>
      <c r="CR27" s="891" t="s">
        <v>182</v>
      </c>
      <c r="CS27" s="895">
        <v>163.30000000000001</v>
      </c>
      <c r="CU27" s="891" t="s">
        <v>182</v>
      </c>
      <c r="CV27" s="895">
        <v>10</v>
      </c>
    </row>
    <row r="28" spans="80:100" x14ac:dyDescent="0.2">
      <c r="CB28" s="891" t="s">
        <v>184</v>
      </c>
      <c r="CC28" s="894"/>
      <c r="CD28" s="894">
        <v>1490</v>
      </c>
      <c r="CE28"/>
      <c r="CF28"/>
      <c r="CG28"/>
      <c r="CJ28" s="891" t="s">
        <v>183</v>
      </c>
      <c r="CK28" s="890">
        <v>1.4550065443487794</v>
      </c>
      <c r="CL28" s="890">
        <v>1.4550065443487794</v>
      </c>
      <c r="CN28" s="891" t="s">
        <v>183</v>
      </c>
      <c r="CO28" s="894">
        <v>1286.1111111111111</v>
      </c>
      <c r="CP28" s="894">
        <v>1286.1111111111111</v>
      </c>
      <c r="CR28" s="891" t="s">
        <v>183</v>
      </c>
      <c r="CS28" s="895">
        <v>43.888888888888886</v>
      </c>
      <c r="CU28" s="891" t="s">
        <v>183</v>
      </c>
      <c r="CV28" s="895">
        <v>9</v>
      </c>
    </row>
    <row r="29" spans="80:100" x14ac:dyDescent="0.2">
      <c r="CB29" s="892" t="s">
        <v>129</v>
      </c>
      <c r="CC29" s="894">
        <v>1040</v>
      </c>
      <c r="CD29" s="894">
        <v>1317.8169014084508</v>
      </c>
      <c r="CE29"/>
      <c r="CF29"/>
      <c r="CG29"/>
      <c r="CJ29" s="891" t="s">
        <v>184</v>
      </c>
      <c r="CK29" s="890">
        <v>1.3387241689128482</v>
      </c>
      <c r="CL29" s="890">
        <v>1.3387241689128482</v>
      </c>
      <c r="CN29" s="891" t="s">
        <v>184</v>
      </c>
      <c r="CO29" s="894">
        <v>1490</v>
      </c>
      <c r="CP29" s="894">
        <v>1490</v>
      </c>
      <c r="CR29" s="891" t="s">
        <v>184</v>
      </c>
      <c r="CS29" s="895">
        <v>47</v>
      </c>
      <c r="CU29" s="891" t="s">
        <v>184</v>
      </c>
      <c r="CV29" s="895">
        <v>1</v>
      </c>
    </row>
    <row r="30" spans="80:100" x14ac:dyDescent="0.2">
      <c r="CB30"/>
      <c r="CC30"/>
      <c r="CD30"/>
      <c r="CE30"/>
      <c r="CF30"/>
      <c r="CG30"/>
      <c r="CJ30" s="892" t="s">
        <v>129</v>
      </c>
      <c r="CK30" s="890">
        <v>1.3750187788495671</v>
      </c>
      <c r="CL30" s="890">
        <v>1.3750187788495671</v>
      </c>
      <c r="CN30" s="892" t="s">
        <v>129</v>
      </c>
      <c r="CO30" s="894">
        <v>1299.8333333333333</v>
      </c>
      <c r="CP30" s="894">
        <v>1299.8333333333333</v>
      </c>
      <c r="CR30" s="892" t="s">
        <v>129</v>
      </c>
      <c r="CS30" s="895">
        <v>56.288888888888891</v>
      </c>
      <c r="CU30" s="892" t="s">
        <v>129</v>
      </c>
      <c r="CV30" s="895">
        <v>90</v>
      </c>
    </row>
    <row r="31" spans="80:100" x14ac:dyDescent="0.2">
      <c r="CB31"/>
      <c r="CC31"/>
      <c r="CD31"/>
      <c r="CE31"/>
      <c r="CF31"/>
      <c r="CG31"/>
      <c r="CJ31"/>
      <c r="CK31"/>
      <c r="CL31"/>
      <c r="CN31"/>
      <c r="CO31"/>
      <c r="CP31"/>
      <c r="CR31"/>
      <c r="CS31"/>
      <c r="CU31"/>
      <c r="CV31"/>
    </row>
    <row r="32" spans="80:100" x14ac:dyDescent="0.2">
      <c r="CB32"/>
      <c r="CC32"/>
      <c r="CD32"/>
      <c r="CE32"/>
      <c r="CF32"/>
      <c r="CG32"/>
      <c r="CJ32"/>
      <c r="CK32"/>
      <c r="CL32"/>
      <c r="CN32"/>
      <c r="CO32"/>
      <c r="CP32"/>
      <c r="CR32"/>
      <c r="CS32"/>
      <c r="CU32"/>
      <c r="CV32"/>
    </row>
    <row r="33" spans="80:100" x14ac:dyDescent="0.2">
      <c r="CB33"/>
      <c r="CC33"/>
      <c r="CD33"/>
      <c r="CE33"/>
      <c r="CF33"/>
      <c r="CG33"/>
      <c r="CJ33"/>
      <c r="CK33"/>
      <c r="CL33"/>
      <c r="CN33"/>
      <c r="CO33"/>
      <c r="CP33"/>
      <c r="CR33"/>
      <c r="CS33"/>
      <c r="CU33"/>
      <c r="CV33"/>
    </row>
    <row r="34" spans="80:100" x14ac:dyDescent="0.2">
      <c r="CB34"/>
      <c r="CC34"/>
      <c r="CD34"/>
      <c r="CE34"/>
      <c r="CF34"/>
      <c r="CG34"/>
      <c r="CJ34"/>
      <c r="CK34"/>
      <c r="CL34"/>
      <c r="CN34"/>
      <c r="CO34"/>
      <c r="CP34"/>
      <c r="CR34"/>
      <c r="CS34"/>
      <c r="CU34"/>
      <c r="CV34"/>
    </row>
    <row r="35" spans="80:100" x14ac:dyDescent="0.2">
      <c r="CB35"/>
      <c r="CC35"/>
      <c r="CD35"/>
      <c r="CE35"/>
      <c r="CF35"/>
      <c r="CG35"/>
      <c r="CJ35"/>
      <c r="CK35"/>
      <c r="CL35"/>
      <c r="CN35"/>
      <c r="CO35"/>
      <c r="CP35"/>
      <c r="CR35"/>
      <c r="CS35"/>
      <c r="CU35"/>
      <c r="CV35"/>
    </row>
    <row r="36" spans="80:100" x14ac:dyDescent="0.2">
      <c r="CB36"/>
      <c r="CC36"/>
      <c r="CD36"/>
      <c r="CE36"/>
      <c r="CF36"/>
      <c r="CG36"/>
      <c r="CJ36"/>
      <c r="CK36"/>
      <c r="CL36"/>
      <c r="CN36"/>
      <c r="CO36"/>
      <c r="CP36"/>
      <c r="CR36"/>
      <c r="CS36"/>
      <c r="CU36"/>
      <c r="CV36"/>
    </row>
    <row r="37" spans="80:100" x14ac:dyDescent="0.2">
      <c r="CJ37"/>
      <c r="CK37"/>
      <c r="CL37"/>
      <c r="CN37"/>
      <c r="CO37"/>
      <c r="CP37"/>
      <c r="CR37"/>
      <c r="CS37"/>
      <c r="CU37"/>
      <c r="CV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1"/>
  </sheetPr>
  <dimension ref="A1:K446"/>
  <sheetViews>
    <sheetView showGridLines="0" zoomScale="85" zoomScaleNormal="85" workbookViewId="0">
      <pane ySplit="5" topLeftCell="A6" activePane="bottomLeft" state="frozen"/>
      <selection pane="bottomLeft"/>
    </sheetView>
  </sheetViews>
  <sheetFormatPr baseColWidth="10" defaultColWidth="8.6640625" defaultRowHeight="14.5" customHeight="1" x14ac:dyDescent="0.2"/>
  <cols>
    <col min="1" max="1" width="3.1640625" style="31" customWidth="1"/>
    <col min="2" max="2" width="30" style="44" customWidth="1"/>
    <col min="3" max="3" width="9.83203125" style="373" customWidth="1"/>
    <col min="4" max="5" width="22" style="44" customWidth="1"/>
    <col min="6" max="6" width="28.1640625" style="371" customWidth="1"/>
    <col min="7" max="7" width="20.1640625" style="370" customWidth="1"/>
    <col min="8" max="8" width="19.5" style="372" customWidth="1"/>
    <col min="9" max="9" width="23.83203125" style="370" customWidth="1"/>
    <col min="10" max="10" width="22.5" style="45" customWidth="1"/>
    <col min="11" max="11" width="19" style="45" customWidth="1"/>
    <col min="12" max="16384" width="8.6640625" style="31"/>
  </cols>
  <sheetData>
    <row r="1" spans="1:11" ht="31" x14ac:dyDescent="0.2">
      <c r="A1" s="49"/>
      <c r="B1" s="520" t="s">
        <v>448</v>
      </c>
      <c r="C1" s="46"/>
      <c r="D1" s="47"/>
      <c r="E1" s="511"/>
      <c r="F1" s="511"/>
      <c r="G1" s="511"/>
      <c r="H1" s="511"/>
      <c r="I1" s="511"/>
      <c r="J1" s="507" t="s">
        <v>388</v>
      </c>
      <c r="K1" s="507">
        <v>45978</v>
      </c>
    </row>
    <row r="2" spans="1:11" ht="41.5" customHeight="1" x14ac:dyDescent="0.2">
      <c r="A2" s="836" t="s">
        <v>130</v>
      </c>
      <c r="B2" s="80"/>
      <c r="C2" s="80"/>
      <c r="D2" s="81"/>
      <c r="E2" s="81"/>
      <c r="F2" s="82"/>
      <c r="G2" s="82"/>
      <c r="H2" s="82"/>
      <c r="I2" s="83"/>
      <c r="J2" s="512"/>
      <c r="K2" s="513" t="s">
        <v>357</v>
      </c>
    </row>
    <row r="3" spans="1:11" ht="80" customHeight="1" x14ac:dyDescent="0.2">
      <c r="A3" s="836"/>
      <c r="B3" s="80"/>
      <c r="C3" s="80"/>
      <c r="D3" s="81"/>
      <c r="E3" s="81"/>
      <c r="F3" s="82"/>
      <c r="G3" s="82"/>
      <c r="H3" s="82"/>
      <c r="I3" s="83"/>
      <c r="J3" s="512"/>
      <c r="K3" s="512"/>
    </row>
    <row r="4" spans="1:11" ht="19" x14ac:dyDescent="0.2">
      <c r="A4" s="836"/>
      <c r="B4" s="80"/>
      <c r="C4" s="80"/>
      <c r="D4" s="51" t="s">
        <v>165</v>
      </c>
      <c r="E4" s="51" t="s">
        <v>330</v>
      </c>
      <c r="F4" s="51" t="s">
        <v>163</v>
      </c>
      <c r="G4" s="51" t="s">
        <v>331</v>
      </c>
      <c r="H4" s="51" t="s">
        <v>164</v>
      </c>
      <c r="I4" s="51" t="s">
        <v>166</v>
      </c>
      <c r="J4" s="51" t="s">
        <v>169</v>
      </c>
      <c r="K4" s="51" t="s">
        <v>192</v>
      </c>
    </row>
    <row r="5" spans="1:11" s="375" customFormat="1" ht="34" x14ac:dyDescent="0.2">
      <c r="A5" s="836"/>
      <c r="B5" s="374"/>
      <c r="C5" s="374"/>
      <c r="D5" s="421">
        <f>GETPIVOTDATA("Avg Sqft",$B$92)</f>
        <v>989.67567567567562</v>
      </c>
      <c r="E5" s="418">
        <f>GETPIVOTDATA("Avg Rent",$B$92)</f>
        <v>1299.8333333333333</v>
      </c>
      <c r="F5" s="418">
        <f>GETPIVOTDATA(" Avg Effective Rent",$B$92)</f>
        <v>1299.8333333333333</v>
      </c>
      <c r="G5" s="419">
        <f>GETPIVOTDATA("Avg Rent PSF",$B$92)</f>
        <v>1.3750187788495674</v>
      </c>
      <c r="H5" s="419">
        <f>GETPIVOTDATA("Avg Effective Rent PSF",$B$92)</f>
        <v>1.3750187788495674</v>
      </c>
      <c r="I5" s="420">
        <f>GETPIVOTDATA("Concession %",$B$92)</f>
        <v>0</v>
      </c>
      <c r="J5" s="421">
        <f>GETPIVOTDATA("Avg Days on Mkt",$B$92)</f>
        <v>56.288888888888891</v>
      </c>
      <c r="K5" s="421">
        <f>GETPIVOTDATA("# Leases",$B$92)</f>
        <v>76</v>
      </c>
    </row>
    <row r="6" spans="1:11" ht="8" customHeight="1" x14ac:dyDescent="0.2"/>
    <row r="7" spans="1:11" ht="15" x14ac:dyDescent="0.2"/>
    <row r="8" spans="1:11" ht="16" customHeight="1" x14ac:dyDescent="0.2"/>
    <row r="9" spans="1:11" ht="15" x14ac:dyDescent="0.2"/>
    <row r="10" spans="1:11" ht="15" customHeight="1" x14ac:dyDescent="0.2"/>
    <row r="11" spans="1:11" ht="15" customHeight="1" x14ac:dyDescent="0.2"/>
    <row r="12" spans="1:11" ht="15" customHeight="1" x14ac:dyDescent="0.2"/>
    <row r="13" spans="1:11" ht="15" customHeight="1" x14ac:dyDescent="0.2"/>
    <row r="14" spans="1:11" ht="15" customHeight="1" x14ac:dyDescent="0.2"/>
    <row r="15" spans="1:11" ht="15" customHeight="1" x14ac:dyDescent="0.2"/>
    <row r="16" spans="1:11" ht="15" customHeight="1" x14ac:dyDescent="0.2"/>
    <row r="17" ht="15" customHeight="1"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x14ac:dyDescent="0.2"/>
    <row r="29" ht="15" x14ac:dyDescent="0.2"/>
    <row r="30" ht="15" x14ac:dyDescent="0.2"/>
    <row r="31" ht="15" x14ac:dyDescent="0.2"/>
    <row r="32" ht="15" x14ac:dyDescent="0.2"/>
    <row r="33" ht="15" x14ac:dyDescent="0.2"/>
    <row r="34" ht="15" x14ac:dyDescent="0.2"/>
    <row r="35" ht="15" x14ac:dyDescent="0.2"/>
    <row r="36" ht="15" x14ac:dyDescent="0.2"/>
    <row r="37" ht="15" x14ac:dyDescent="0.2"/>
    <row r="38" ht="15" x14ac:dyDescent="0.2"/>
    <row r="39" ht="15" x14ac:dyDescent="0.2"/>
    <row r="40" ht="15" x14ac:dyDescent="0.2"/>
    <row r="41" ht="15" x14ac:dyDescent="0.2"/>
    <row r="42" ht="15" x14ac:dyDescent="0.2"/>
    <row r="43" ht="15" x14ac:dyDescent="0.2"/>
    <row r="44" ht="15" x14ac:dyDescent="0.2"/>
    <row r="45" ht="15" x14ac:dyDescent="0.2"/>
    <row r="46" ht="15" x14ac:dyDescent="0.2"/>
    <row r="47" ht="15" x14ac:dyDescent="0.2"/>
    <row r="48" ht="15" x14ac:dyDescent="0.2"/>
    <row r="49" ht="15" x14ac:dyDescent="0.2"/>
    <row r="50" ht="15" x14ac:dyDescent="0.2"/>
    <row r="51" ht="15" x14ac:dyDescent="0.2"/>
    <row r="52" ht="15" x14ac:dyDescent="0.2"/>
    <row r="53" ht="15" x14ac:dyDescent="0.2"/>
    <row r="54" ht="15" x14ac:dyDescent="0.2"/>
    <row r="55" ht="15" x14ac:dyDescent="0.2"/>
    <row r="56" ht="15" x14ac:dyDescent="0.2"/>
    <row r="57" ht="15" x14ac:dyDescent="0.2"/>
    <row r="58" ht="15" x14ac:dyDescent="0.2"/>
    <row r="59" ht="15" x14ac:dyDescent="0.2"/>
    <row r="60" ht="15" x14ac:dyDescent="0.2"/>
    <row r="61" ht="15" x14ac:dyDescent="0.2"/>
    <row r="62" ht="15" x14ac:dyDescent="0.2"/>
    <row r="63" ht="15" x14ac:dyDescent="0.2"/>
    <row r="64"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spans="2:11" ht="15" x14ac:dyDescent="0.2"/>
    <row r="82" spans="2:11" ht="15" x14ac:dyDescent="0.2"/>
    <row r="83" spans="2:11" ht="15" x14ac:dyDescent="0.2"/>
    <row r="84" spans="2:11" ht="15" x14ac:dyDescent="0.2"/>
    <row r="85" spans="2:11" ht="15" x14ac:dyDescent="0.2"/>
    <row r="86" spans="2:11" ht="15" x14ac:dyDescent="0.2"/>
    <row r="87" spans="2:11" ht="15" x14ac:dyDescent="0.2"/>
    <row r="88" spans="2:11" ht="15" x14ac:dyDescent="0.2"/>
    <row r="89" spans="2:11" ht="24" x14ac:dyDescent="0.2">
      <c r="B89" s="519" t="s">
        <v>452</v>
      </c>
      <c r="C89" s="561"/>
      <c r="D89" s="561"/>
      <c r="E89" s="561"/>
      <c r="F89" s="561"/>
      <c r="G89" s="561"/>
      <c r="H89" s="561"/>
      <c r="I89" s="561"/>
      <c r="J89" s="561"/>
      <c r="K89" s="561"/>
    </row>
    <row r="90" spans="2:11" ht="14.5" customHeight="1" x14ac:dyDescent="0.2">
      <c r="B90" s="556" t="s">
        <v>417</v>
      </c>
      <c r="C90" s="44"/>
      <c r="F90" s="44"/>
      <c r="G90" s="44"/>
      <c r="H90" s="44"/>
      <c r="I90" s="44"/>
      <c r="J90" s="44"/>
      <c r="K90" s="44"/>
    </row>
    <row r="91" spans="2:11" ht="15" x14ac:dyDescent="0.2"/>
    <row r="92" spans="2:11" ht="15" x14ac:dyDescent="0.2">
      <c r="B92" s="42" t="s">
        <v>197</v>
      </c>
      <c r="C92" s="377" t="s">
        <v>292</v>
      </c>
      <c r="D92" s="43" t="s">
        <v>165</v>
      </c>
      <c r="E92" s="43" t="s">
        <v>330</v>
      </c>
      <c r="F92" s="377" t="s">
        <v>381</v>
      </c>
      <c r="G92" s="43" t="s">
        <v>331</v>
      </c>
      <c r="H92" s="376" t="s">
        <v>164</v>
      </c>
      <c r="I92" s="376" t="s">
        <v>291</v>
      </c>
      <c r="J92" s="376" t="s">
        <v>169</v>
      </c>
      <c r="K92" s="43" t="s">
        <v>192</v>
      </c>
    </row>
    <row r="93" spans="2:11" ht="14.5" customHeight="1" x14ac:dyDescent="0.2">
      <c r="B93" s="882" t="s">
        <v>196</v>
      </c>
      <c r="C93" s="883"/>
      <c r="D93" s="883">
        <v>884.25</v>
      </c>
      <c r="E93" s="899">
        <v>1209.5744680851064</v>
      </c>
      <c r="F93" s="899">
        <v>1209.5744680851064</v>
      </c>
      <c r="G93" s="898">
        <v>1.4486529807753403</v>
      </c>
      <c r="H93" s="898">
        <v>1.4486529807753403</v>
      </c>
      <c r="I93" s="897">
        <v>0</v>
      </c>
      <c r="J93" s="883">
        <v>73.276595744680847</v>
      </c>
      <c r="K93" s="883">
        <v>36</v>
      </c>
    </row>
    <row r="94" spans="2:11" ht="14.5" customHeight="1" x14ac:dyDescent="0.2">
      <c r="B94" s="887" t="s">
        <v>115</v>
      </c>
      <c r="C94" s="883"/>
      <c r="D94" s="883">
        <v>578</v>
      </c>
      <c r="E94" s="899">
        <v>1040</v>
      </c>
      <c r="F94" s="899">
        <v>1040</v>
      </c>
      <c r="G94" s="898">
        <v>1.8396733403582719</v>
      </c>
      <c r="H94" s="898">
        <v>1.8396733403582719</v>
      </c>
      <c r="I94" s="897">
        <v>0</v>
      </c>
      <c r="J94" s="883">
        <v>63.9</v>
      </c>
      <c r="K94" s="883">
        <v>10</v>
      </c>
    </row>
    <row r="95" spans="2:11" ht="14.5" customHeight="1" x14ac:dyDescent="0.2">
      <c r="B95" s="896" t="s">
        <v>196</v>
      </c>
      <c r="C95" s="883"/>
      <c r="D95" s="883">
        <v>542</v>
      </c>
      <c r="E95" s="899">
        <v>975</v>
      </c>
      <c r="F95" s="899">
        <v>975</v>
      </c>
      <c r="G95" s="898">
        <v>1.9133561643835617</v>
      </c>
      <c r="H95" s="898">
        <v>1.9133561643835617</v>
      </c>
      <c r="I95" s="897">
        <v>0</v>
      </c>
      <c r="J95" s="883">
        <v>25.75</v>
      </c>
      <c r="K95" s="883">
        <v>4</v>
      </c>
    </row>
    <row r="96" spans="2:11" ht="14.5" customHeight="1" x14ac:dyDescent="0.2">
      <c r="B96" s="896" t="s">
        <v>530</v>
      </c>
      <c r="C96" s="883"/>
      <c r="D96" s="883">
        <v>650</v>
      </c>
      <c r="E96" s="899">
        <v>1100</v>
      </c>
      <c r="F96" s="899">
        <v>1100</v>
      </c>
      <c r="G96" s="898">
        <v>1.6923076923076923</v>
      </c>
      <c r="H96" s="898">
        <v>1.6923076923076923</v>
      </c>
      <c r="I96" s="897">
        <v>0</v>
      </c>
      <c r="J96" s="883">
        <v>221</v>
      </c>
      <c r="K96" s="883">
        <v>1</v>
      </c>
    </row>
    <row r="97" spans="2:11" ht="14.5" customHeight="1" x14ac:dyDescent="0.2">
      <c r="B97" s="896" t="s">
        <v>532</v>
      </c>
      <c r="C97" s="883"/>
      <c r="D97" s="883"/>
      <c r="E97" s="899">
        <v>1100</v>
      </c>
      <c r="F97" s="899">
        <v>1100</v>
      </c>
      <c r="G97" s="898"/>
      <c r="H97" s="898"/>
      <c r="I97" s="897">
        <v>0</v>
      </c>
      <c r="J97" s="883">
        <v>22</v>
      </c>
      <c r="K97" s="883">
        <v>1</v>
      </c>
    </row>
    <row r="98" spans="2:11" ht="14.5" customHeight="1" x14ac:dyDescent="0.2">
      <c r="B98" s="896" t="s">
        <v>533</v>
      </c>
      <c r="C98" s="883"/>
      <c r="D98" s="883"/>
      <c r="E98" s="899">
        <v>1100</v>
      </c>
      <c r="F98" s="899">
        <v>1100</v>
      </c>
      <c r="G98" s="898"/>
      <c r="H98" s="898"/>
      <c r="I98" s="897">
        <v>0</v>
      </c>
      <c r="J98" s="883">
        <v>22</v>
      </c>
      <c r="K98" s="883">
        <v>1</v>
      </c>
    </row>
    <row r="99" spans="2:11" ht="14.5" customHeight="1" x14ac:dyDescent="0.2">
      <c r="B99" s="896" t="s">
        <v>536</v>
      </c>
      <c r="C99" s="883"/>
      <c r="D99" s="883"/>
      <c r="E99" s="899">
        <v>1000</v>
      </c>
      <c r="F99" s="899">
        <v>1000</v>
      </c>
      <c r="G99" s="898"/>
      <c r="H99" s="898"/>
      <c r="I99" s="897">
        <v>0</v>
      </c>
      <c r="J99" s="883">
        <v>64</v>
      </c>
      <c r="K99" s="883">
        <v>1</v>
      </c>
    </row>
    <row r="100" spans="2:11" ht="14.5" customHeight="1" x14ac:dyDescent="0.2">
      <c r="B100" s="896" t="s">
        <v>537</v>
      </c>
      <c r="C100" s="883"/>
      <c r="D100" s="883"/>
      <c r="E100" s="899">
        <v>1100</v>
      </c>
      <c r="F100" s="899">
        <v>1100</v>
      </c>
      <c r="G100" s="898"/>
      <c r="H100" s="898"/>
      <c r="I100" s="897">
        <v>0</v>
      </c>
      <c r="J100" s="883">
        <v>50</v>
      </c>
      <c r="K100" s="883">
        <v>1</v>
      </c>
    </row>
    <row r="101" spans="2:11" ht="14.5" customHeight="1" x14ac:dyDescent="0.2">
      <c r="B101" s="896" t="s">
        <v>538</v>
      </c>
      <c r="C101" s="883"/>
      <c r="D101" s="883"/>
      <c r="E101" s="899">
        <v>1100</v>
      </c>
      <c r="F101" s="899">
        <v>1100</v>
      </c>
      <c r="G101" s="898"/>
      <c r="H101" s="898"/>
      <c r="I101" s="897">
        <v>0</v>
      </c>
      <c r="J101" s="883">
        <v>157</v>
      </c>
      <c r="K101" s="883">
        <v>1</v>
      </c>
    </row>
    <row r="102" spans="2:11" ht="14.5" customHeight="1" x14ac:dyDescent="0.2">
      <c r="B102" s="887" t="s">
        <v>116</v>
      </c>
      <c r="C102" s="883"/>
      <c r="D102" s="883">
        <v>915.93103448275861</v>
      </c>
      <c r="E102" s="899">
        <v>1255.4054054054054</v>
      </c>
      <c r="F102" s="899">
        <v>1255.4054054054054</v>
      </c>
      <c r="G102" s="898">
        <v>1.4082025987495199</v>
      </c>
      <c r="H102" s="898">
        <v>1.4082025987495199</v>
      </c>
      <c r="I102" s="897">
        <v>0</v>
      </c>
      <c r="J102" s="883">
        <v>75.810810810810807</v>
      </c>
      <c r="K102" s="883">
        <v>26</v>
      </c>
    </row>
    <row r="103" spans="2:11" ht="14.5" customHeight="1" x14ac:dyDescent="0.2">
      <c r="B103" s="896" t="s">
        <v>196</v>
      </c>
      <c r="C103" s="883"/>
      <c r="D103" s="883">
        <v>930.5</v>
      </c>
      <c r="E103" s="899">
        <v>1264.8148148148148</v>
      </c>
      <c r="F103" s="899">
        <v>1264.8148148148148</v>
      </c>
      <c r="G103" s="898">
        <v>1.4020644834914262</v>
      </c>
      <c r="H103" s="898">
        <v>1.4020644834914262</v>
      </c>
      <c r="I103" s="897">
        <v>0</v>
      </c>
      <c r="J103" s="883">
        <v>88.703703703703709</v>
      </c>
      <c r="K103" s="883">
        <v>18</v>
      </c>
    </row>
    <row r="104" spans="2:11" ht="14.5" customHeight="1" x14ac:dyDescent="0.2">
      <c r="B104" s="896" t="s">
        <v>534</v>
      </c>
      <c r="C104" s="883"/>
      <c r="D104" s="883"/>
      <c r="E104" s="899">
        <v>1200</v>
      </c>
      <c r="F104" s="899">
        <v>1200</v>
      </c>
      <c r="G104" s="898"/>
      <c r="H104" s="898"/>
      <c r="I104" s="897">
        <v>0</v>
      </c>
      <c r="J104" s="883">
        <v>46</v>
      </c>
      <c r="K104" s="883">
        <v>1</v>
      </c>
    </row>
    <row r="105" spans="2:11" ht="14.5" customHeight="1" x14ac:dyDescent="0.2">
      <c r="B105" s="896" t="s">
        <v>535</v>
      </c>
      <c r="C105" s="883"/>
      <c r="D105" s="883"/>
      <c r="E105" s="899">
        <v>1200</v>
      </c>
      <c r="F105" s="899">
        <v>1200</v>
      </c>
      <c r="G105" s="898"/>
      <c r="H105" s="898"/>
      <c r="I105" s="897">
        <v>0</v>
      </c>
      <c r="J105" s="883">
        <v>83</v>
      </c>
      <c r="K105" s="883">
        <v>1</v>
      </c>
    </row>
    <row r="106" spans="2:11" ht="14.5" customHeight="1" x14ac:dyDescent="0.2">
      <c r="B106" s="896" t="s">
        <v>539</v>
      </c>
      <c r="C106" s="883"/>
      <c r="D106" s="883"/>
      <c r="E106" s="899">
        <v>1200</v>
      </c>
      <c r="F106" s="899">
        <v>1200</v>
      </c>
      <c r="G106" s="898"/>
      <c r="H106" s="898"/>
      <c r="I106" s="897">
        <v>0</v>
      </c>
      <c r="J106" s="883">
        <v>36</v>
      </c>
      <c r="K106" s="883">
        <v>1</v>
      </c>
    </row>
    <row r="107" spans="2:11" ht="14.5" customHeight="1" x14ac:dyDescent="0.2">
      <c r="B107" s="896" t="s">
        <v>540</v>
      </c>
      <c r="C107" s="883"/>
      <c r="D107" s="883">
        <v>951</v>
      </c>
      <c r="E107" s="899">
        <v>1500</v>
      </c>
      <c r="F107" s="899">
        <v>1500</v>
      </c>
      <c r="G107" s="898">
        <v>1.5772870662460567</v>
      </c>
      <c r="H107" s="898">
        <v>1.5772870662460567</v>
      </c>
      <c r="I107" s="897">
        <v>0</v>
      </c>
      <c r="J107" s="883">
        <v>15</v>
      </c>
      <c r="K107" s="883">
        <v>1</v>
      </c>
    </row>
    <row r="108" spans="2:11" ht="14.5" customHeight="1" x14ac:dyDescent="0.2">
      <c r="B108" s="896" t="s">
        <v>541</v>
      </c>
      <c r="C108" s="883"/>
      <c r="D108" s="883">
        <v>900</v>
      </c>
      <c r="E108" s="899">
        <v>1200</v>
      </c>
      <c r="F108" s="899">
        <v>1200</v>
      </c>
      <c r="G108" s="898">
        <v>1.3333333333333333</v>
      </c>
      <c r="H108" s="898">
        <v>1.3333333333333333</v>
      </c>
      <c r="I108" s="897">
        <v>0</v>
      </c>
      <c r="J108" s="883">
        <v>27</v>
      </c>
      <c r="K108" s="883">
        <v>1</v>
      </c>
    </row>
    <row r="109" spans="2:11" ht="14.5" customHeight="1" x14ac:dyDescent="0.2">
      <c r="B109" s="896" t="s">
        <v>542</v>
      </c>
      <c r="C109" s="883"/>
      <c r="D109" s="883">
        <v>900</v>
      </c>
      <c r="E109" s="899">
        <v>1200</v>
      </c>
      <c r="F109" s="899">
        <v>1200</v>
      </c>
      <c r="G109" s="898">
        <v>1.3333333333333333</v>
      </c>
      <c r="H109" s="898">
        <v>1.3333333333333333</v>
      </c>
      <c r="I109" s="897">
        <v>0</v>
      </c>
      <c r="J109" s="883">
        <v>3</v>
      </c>
      <c r="K109" s="883">
        <v>1</v>
      </c>
    </row>
    <row r="110" spans="2:11" ht="14.5" customHeight="1" x14ac:dyDescent="0.2">
      <c r="B110" s="896" t="s">
        <v>545</v>
      </c>
      <c r="C110" s="883"/>
      <c r="D110" s="883">
        <v>835</v>
      </c>
      <c r="E110" s="899">
        <v>1200</v>
      </c>
      <c r="F110" s="899">
        <v>1200</v>
      </c>
      <c r="G110" s="898">
        <v>1.437125748502994</v>
      </c>
      <c r="H110" s="898">
        <v>1.437125748502994</v>
      </c>
      <c r="I110" s="897">
        <v>0</v>
      </c>
      <c r="J110" s="883">
        <v>40</v>
      </c>
      <c r="K110" s="883">
        <v>1</v>
      </c>
    </row>
    <row r="111" spans="2:11" ht="14.5" customHeight="1" x14ac:dyDescent="0.2">
      <c r="B111" s="896" t="s">
        <v>546</v>
      </c>
      <c r="C111" s="883"/>
      <c r="D111" s="883">
        <v>835</v>
      </c>
      <c r="E111" s="899">
        <v>1200</v>
      </c>
      <c r="F111" s="899">
        <v>1200</v>
      </c>
      <c r="G111" s="898">
        <v>1.437125748502994</v>
      </c>
      <c r="H111" s="898">
        <v>1.437125748502994</v>
      </c>
      <c r="I111" s="897">
        <v>0</v>
      </c>
      <c r="J111" s="883">
        <v>60</v>
      </c>
      <c r="K111" s="883">
        <v>1</v>
      </c>
    </row>
    <row r="112" spans="2:11" ht="14.5" customHeight="1" x14ac:dyDescent="0.2">
      <c r="B112" s="882" t="s">
        <v>497</v>
      </c>
      <c r="C112" s="883"/>
      <c r="D112" s="883"/>
      <c r="E112" s="899">
        <v>1300</v>
      </c>
      <c r="F112" s="899">
        <v>1300</v>
      </c>
      <c r="G112" s="898"/>
      <c r="H112" s="898"/>
      <c r="I112" s="897">
        <v>0</v>
      </c>
      <c r="J112" s="883">
        <v>62</v>
      </c>
      <c r="K112" s="883"/>
    </row>
    <row r="113" spans="2:11" ht="14.5" customHeight="1" x14ac:dyDescent="0.2">
      <c r="B113" s="887" t="s">
        <v>116</v>
      </c>
      <c r="C113" s="883"/>
      <c r="D113" s="883"/>
      <c r="E113" s="899">
        <v>1300</v>
      </c>
      <c r="F113" s="899">
        <v>1300</v>
      </c>
      <c r="G113" s="898"/>
      <c r="H113" s="898"/>
      <c r="I113" s="897">
        <v>0</v>
      </c>
      <c r="J113" s="883">
        <v>62</v>
      </c>
      <c r="K113" s="883"/>
    </row>
    <row r="114" spans="2:11" ht="14.5" customHeight="1" x14ac:dyDescent="0.2">
      <c r="B114" s="896" t="s">
        <v>196</v>
      </c>
      <c r="C114" s="883"/>
      <c r="D114" s="883"/>
      <c r="E114" s="899">
        <v>1300</v>
      </c>
      <c r="F114" s="899">
        <v>1300</v>
      </c>
      <c r="G114" s="898"/>
      <c r="H114" s="898"/>
      <c r="I114" s="897">
        <v>0</v>
      </c>
      <c r="J114" s="883">
        <v>62</v>
      </c>
      <c r="K114" s="883"/>
    </row>
    <row r="115" spans="2:11" ht="14.5" customHeight="1" x14ac:dyDescent="0.2">
      <c r="B115" s="882" t="s">
        <v>498</v>
      </c>
      <c r="C115" s="883"/>
      <c r="D115" s="883">
        <v>792</v>
      </c>
      <c r="E115" s="899">
        <v>1200</v>
      </c>
      <c r="F115" s="899">
        <v>1200</v>
      </c>
      <c r="G115" s="898">
        <v>1.5151515151515151</v>
      </c>
      <c r="H115" s="898">
        <v>1.5151515151515151</v>
      </c>
      <c r="I115" s="897">
        <v>0</v>
      </c>
      <c r="J115" s="883">
        <v>48</v>
      </c>
      <c r="K115" s="883">
        <v>1</v>
      </c>
    </row>
    <row r="116" spans="2:11" ht="14.5" customHeight="1" x14ac:dyDescent="0.2">
      <c r="B116" s="887" t="s">
        <v>116</v>
      </c>
      <c r="C116" s="883"/>
      <c r="D116" s="883">
        <v>792</v>
      </c>
      <c r="E116" s="899">
        <v>1200</v>
      </c>
      <c r="F116" s="899">
        <v>1200</v>
      </c>
      <c r="G116" s="898">
        <v>1.5151515151515151</v>
      </c>
      <c r="H116" s="898">
        <v>1.5151515151515151</v>
      </c>
      <c r="I116" s="897">
        <v>0</v>
      </c>
      <c r="J116" s="883">
        <v>48</v>
      </c>
      <c r="K116" s="883">
        <v>1</v>
      </c>
    </row>
    <row r="117" spans="2:11" ht="14.5" customHeight="1" x14ac:dyDescent="0.2">
      <c r="B117" s="896" t="s">
        <v>196</v>
      </c>
      <c r="C117" s="883"/>
      <c r="D117" s="883">
        <v>792</v>
      </c>
      <c r="E117" s="899">
        <v>1200</v>
      </c>
      <c r="F117" s="899">
        <v>1200</v>
      </c>
      <c r="G117" s="898">
        <v>1.5151515151515151</v>
      </c>
      <c r="H117" s="898">
        <v>1.5151515151515151</v>
      </c>
      <c r="I117" s="897">
        <v>0</v>
      </c>
      <c r="J117" s="883">
        <v>48</v>
      </c>
      <c r="K117" s="883">
        <v>1</v>
      </c>
    </row>
    <row r="118" spans="2:11" ht="14.5" customHeight="1" x14ac:dyDescent="0.2">
      <c r="B118" s="896" t="s">
        <v>543</v>
      </c>
      <c r="C118" s="883"/>
      <c r="D118" s="883">
        <v>792</v>
      </c>
      <c r="E118" s="899">
        <v>1200</v>
      </c>
      <c r="F118" s="899">
        <v>1200</v>
      </c>
      <c r="G118" s="898">
        <v>1.5151515151515151</v>
      </c>
      <c r="H118" s="898">
        <v>1.5151515151515151</v>
      </c>
      <c r="I118" s="897">
        <v>0</v>
      </c>
      <c r="J118" s="883">
        <v>48</v>
      </c>
      <c r="K118" s="883"/>
    </row>
    <row r="119" spans="2:11" ht="14.5" customHeight="1" x14ac:dyDescent="0.2">
      <c r="B119" s="882" t="s">
        <v>499</v>
      </c>
      <c r="C119" s="883"/>
      <c r="D119" s="883">
        <v>725</v>
      </c>
      <c r="E119" s="899">
        <v>1150</v>
      </c>
      <c r="F119" s="899">
        <v>1150</v>
      </c>
      <c r="G119" s="898">
        <v>1.5862068965517242</v>
      </c>
      <c r="H119" s="898">
        <v>1.5862068965517242</v>
      </c>
      <c r="I119" s="897">
        <v>0</v>
      </c>
      <c r="J119" s="883">
        <v>15.333333333333334</v>
      </c>
      <c r="K119" s="883">
        <v>2</v>
      </c>
    </row>
    <row r="120" spans="2:11" ht="14.5" customHeight="1" x14ac:dyDescent="0.2">
      <c r="B120" s="887" t="s">
        <v>116</v>
      </c>
      <c r="C120" s="883"/>
      <c r="D120" s="883">
        <v>725</v>
      </c>
      <c r="E120" s="899">
        <v>1150</v>
      </c>
      <c r="F120" s="899">
        <v>1150</v>
      </c>
      <c r="G120" s="898">
        <v>1.5862068965517242</v>
      </c>
      <c r="H120" s="898">
        <v>1.5862068965517242</v>
      </c>
      <c r="I120" s="897">
        <v>0</v>
      </c>
      <c r="J120" s="883">
        <v>15.333333333333334</v>
      </c>
      <c r="K120" s="883">
        <v>2</v>
      </c>
    </row>
    <row r="121" spans="2:11" ht="14.5" customHeight="1" x14ac:dyDescent="0.2">
      <c r="B121" s="896" t="s">
        <v>196</v>
      </c>
      <c r="C121" s="883"/>
      <c r="D121" s="883">
        <v>725</v>
      </c>
      <c r="E121" s="899">
        <v>1150</v>
      </c>
      <c r="F121" s="899">
        <v>1150</v>
      </c>
      <c r="G121" s="898">
        <v>1.5862068965517242</v>
      </c>
      <c r="H121" s="898">
        <v>1.5862068965517242</v>
      </c>
      <c r="I121" s="897">
        <v>0</v>
      </c>
      <c r="J121" s="883">
        <v>16.5</v>
      </c>
      <c r="K121" s="883">
        <v>2</v>
      </c>
    </row>
    <row r="122" spans="2:11" ht="14.5" customHeight="1" x14ac:dyDescent="0.2">
      <c r="B122" s="896" t="s">
        <v>499</v>
      </c>
      <c r="C122" s="883"/>
      <c r="D122" s="883">
        <v>725</v>
      </c>
      <c r="E122" s="899">
        <v>1150</v>
      </c>
      <c r="F122" s="899">
        <v>1150</v>
      </c>
      <c r="G122" s="898">
        <v>1.5862068965517242</v>
      </c>
      <c r="H122" s="898">
        <v>1.5862068965517242</v>
      </c>
      <c r="I122" s="897">
        <v>0</v>
      </c>
      <c r="J122" s="883">
        <v>13</v>
      </c>
      <c r="K122" s="883"/>
    </row>
    <row r="123" spans="2:11" ht="14.5" customHeight="1" x14ac:dyDescent="0.2">
      <c r="B123" s="882" t="s">
        <v>496</v>
      </c>
      <c r="C123" s="883"/>
      <c r="D123" s="883">
        <v>1113</v>
      </c>
      <c r="E123" s="899">
        <v>1432.0270270270271</v>
      </c>
      <c r="F123" s="899">
        <v>1432.0270270270271</v>
      </c>
      <c r="G123" s="898">
        <v>1.2866370413540229</v>
      </c>
      <c r="H123" s="898">
        <v>1.2866370413540229</v>
      </c>
      <c r="I123" s="897">
        <v>0</v>
      </c>
      <c r="J123" s="883">
        <v>38.324324324324323</v>
      </c>
      <c r="K123" s="883">
        <v>37</v>
      </c>
    </row>
    <row r="124" spans="2:11" ht="14.5" customHeight="1" x14ac:dyDescent="0.2">
      <c r="B124" s="887" t="s">
        <v>116</v>
      </c>
      <c r="C124" s="883"/>
      <c r="D124" s="883">
        <v>1113</v>
      </c>
      <c r="E124" s="899">
        <v>1432.0270270270271</v>
      </c>
      <c r="F124" s="899">
        <v>1432.0270270270271</v>
      </c>
      <c r="G124" s="898">
        <v>1.2866370413540229</v>
      </c>
      <c r="H124" s="898">
        <v>1.2866370413540229</v>
      </c>
      <c r="I124" s="897">
        <v>0</v>
      </c>
      <c r="J124" s="883">
        <v>38.324324324324323</v>
      </c>
      <c r="K124" s="883">
        <v>37</v>
      </c>
    </row>
    <row r="125" spans="2:11" ht="14.5" customHeight="1" x14ac:dyDescent="0.2">
      <c r="B125" s="896" t="s">
        <v>547</v>
      </c>
      <c r="C125" s="883"/>
      <c r="D125" s="883">
        <v>1113</v>
      </c>
      <c r="E125" s="899">
        <v>1432.0270270270271</v>
      </c>
      <c r="F125" s="899">
        <v>1432.0270270270271</v>
      </c>
      <c r="G125" s="898">
        <v>1.2866370413540229</v>
      </c>
      <c r="H125" s="898">
        <v>1.2866370413540229</v>
      </c>
      <c r="I125" s="897">
        <v>0</v>
      </c>
      <c r="J125" s="883">
        <v>38.324324324324323</v>
      </c>
      <c r="K125" s="883">
        <v>37</v>
      </c>
    </row>
    <row r="126" spans="2:11" ht="14.5" customHeight="1" x14ac:dyDescent="0.2">
      <c r="B126" s="882" t="s">
        <v>129</v>
      </c>
      <c r="C126" s="883"/>
      <c r="D126" s="883">
        <v>989.67567567567562</v>
      </c>
      <c r="E126" s="899">
        <v>1299.8333333333333</v>
      </c>
      <c r="F126" s="899">
        <v>1299.8333333333333</v>
      </c>
      <c r="G126" s="898">
        <v>1.3750187788495674</v>
      </c>
      <c r="H126" s="898">
        <v>1.3750187788495674</v>
      </c>
      <c r="I126" s="897">
        <v>0</v>
      </c>
      <c r="J126" s="883">
        <v>56.288888888888891</v>
      </c>
      <c r="K126" s="883">
        <v>76</v>
      </c>
    </row>
    <row r="127" spans="2:11" ht="14.5" customHeight="1" x14ac:dyDescent="0.2">
      <c r="B127"/>
      <c r="C127"/>
      <c r="D127"/>
      <c r="E127"/>
      <c r="F127"/>
      <c r="G127"/>
      <c r="H127"/>
      <c r="I127"/>
      <c r="J127"/>
      <c r="K127"/>
    </row>
    <row r="128" spans="2:11" ht="14.5" customHeight="1" x14ac:dyDescent="0.2">
      <c r="B128"/>
      <c r="C128"/>
      <c r="D128"/>
      <c r="E128"/>
      <c r="F128"/>
      <c r="G128"/>
      <c r="H128"/>
      <c r="I128"/>
      <c r="J128"/>
      <c r="K128"/>
    </row>
    <row r="129" spans="2:11" ht="14.5" customHeight="1" x14ac:dyDescent="0.2">
      <c r="B129"/>
      <c r="C129"/>
      <c r="D129"/>
      <c r="E129"/>
      <c r="F129"/>
      <c r="G129"/>
      <c r="H129"/>
      <c r="I129"/>
      <c r="J129"/>
      <c r="K129"/>
    </row>
    <row r="130" spans="2:11" ht="14.5" customHeight="1" x14ac:dyDescent="0.2">
      <c r="B130"/>
      <c r="C130"/>
      <c r="D130"/>
      <c r="E130"/>
      <c r="F130"/>
      <c r="G130"/>
      <c r="H130"/>
      <c r="I130"/>
      <c r="J130"/>
      <c r="K130"/>
    </row>
    <row r="131" spans="2:11" ht="14.5" customHeight="1" x14ac:dyDescent="0.2">
      <c r="B131"/>
      <c r="C131"/>
      <c r="D131"/>
      <c r="E131"/>
      <c r="F131"/>
      <c r="G131"/>
      <c r="H131"/>
      <c r="I131"/>
      <c r="J131"/>
      <c r="K131"/>
    </row>
    <row r="132" spans="2:11" ht="14.5" customHeight="1" x14ac:dyDescent="0.2">
      <c r="B132"/>
      <c r="C132"/>
      <c r="D132"/>
      <c r="E132"/>
      <c r="F132"/>
      <c r="G132"/>
      <c r="H132"/>
      <c r="I132"/>
      <c r="J132"/>
      <c r="K132"/>
    </row>
    <row r="133" spans="2:11" ht="14.5" customHeight="1" x14ac:dyDescent="0.2">
      <c r="B133"/>
      <c r="C133"/>
      <c r="D133"/>
      <c r="E133"/>
      <c r="F133"/>
      <c r="G133"/>
      <c r="H133"/>
      <c r="I133"/>
      <c r="J133"/>
      <c r="K133"/>
    </row>
    <row r="134" spans="2:11" ht="14.5" customHeight="1" x14ac:dyDescent="0.2">
      <c r="B134"/>
      <c r="C134"/>
      <c r="D134"/>
      <c r="E134"/>
      <c r="F134"/>
      <c r="G134"/>
      <c r="H134"/>
      <c r="I134"/>
      <c r="J134"/>
      <c r="K134"/>
    </row>
    <row r="135" spans="2:11" ht="14.5" customHeight="1" x14ac:dyDescent="0.2">
      <c r="B135"/>
      <c r="C135"/>
      <c r="D135"/>
      <c r="E135"/>
      <c r="F135"/>
      <c r="G135"/>
      <c r="H135"/>
      <c r="I135"/>
      <c r="J135"/>
      <c r="K135"/>
    </row>
    <row r="136" spans="2:11" ht="14.5" customHeight="1" x14ac:dyDescent="0.2">
      <c r="B136"/>
      <c r="C136"/>
      <c r="D136"/>
      <c r="E136"/>
      <c r="F136"/>
      <c r="G136"/>
      <c r="H136"/>
      <c r="I136"/>
      <c r="J136"/>
      <c r="K136"/>
    </row>
    <row r="137" spans="2:11" ht="14.5" customHeight="1" x14ac:dyDescent="0.2">
      <c r="B137"/>
      <c r="C137"/>
      <c r="D137"/>
      <c r="E137"/>
      <c r="F137"/>
      <c r="G137"/>
      <c r="H137"/>
      <c r="I137"/>
      <c r="J137"/>
      <c r="K137"/>
    </row>
    <row r="138" spans="2:11" ht="14.5" customHeight="1" x14ac:dyDescent="0.2">
      <c r="B138"/>
      <c r="C138"/>
      <c r="D138"/>
      <c r="E138"/>
      <c r="F138"/>
      <c r="G138"/>
      <c r="H138"/>
      <c r="I138"/>
      <c r="J138"/>
      <c r="K138"/>
    </row>
    <row r="139" spans="2:11" ht="14.5" customHeight="1" x14ac:dyDescent="0.2">
      <c r="B139"/>
      <c r="C139"/>
      <c r="D139"/>
      <c r="E139"/>
      <c r="F139"/>
      <c r="G139"/>
      <c r="H139"/>
      <c r="I139"/>
      <c r="J139"/>
      <c r="K139"/>
    </row>
    <row r="140" spans="2:11" ht="14.5" customHeight="1" x14ac:dyDescent="0.2">
      <c r="B140"/>
      <c r="C140"/>
      <c r="D140"/>
      <c r="E140"/>
      <c r="F140"/>
      <c r="G140"/>
      <c r="H140"/>
      <c r="I140"/>
      <c r="J140"/>
      <c r="K140"/>
    </row>
    <row r="141" spans="2:11" ht="14.5" customHeight="1" x14ac:dyDescent="0.2">
      <c r="B141"/>
      <c r="C141"/>
      <c r="D141"/>
      <c r="E141"/>
      <c r="F141"/>
      <c r="G141"/>
      <c r="H141"/>
      <c r="I141"/>
      <c r="J141"/>
      <c r="K141"/>
    </row>
    <row r="142" spans="2:11" ht="14.5" customHeight="1" x14ac:dyDescent="0.2">
      <c r="B142"/>
      <c r="C142"/>
      <c r="D142"/>
      <c r="E142"/>
      <c r="F142"/>
      <c r="G142"/>
      <c r="H142"/>
      <c r="I142"/>
      <c r="J142"/>
      <c r="K142"/>
    </row>
    <row r="143" spans="2:11" ht="14.5" customHeight="1" x14ac:dyDescent="0.2">
      <c r="B143"/>
      <c r="C143"/>
      <c r="D143"/>
      <c r="E143"/>
      <c r="F143"/>
      <c r="G143"/>
      <c r="H143"/>
      <c r="I143"/>
      <c r="J143"/>
      <c r="K143"/>
    </row>
    <row r="144" spans="2:11" ht="14.5" customHeight="1" x14ac:dyDescent="0.2">
      <c r="B144"/>
      <c r="C144"/>
      <c r="D144"/>
      <c r="E144"/>
      <c r="F144"/>
      <c r="G144"/>
      <c r="H144"/>
      <c r="I144"/>
      <c r="J144"/>
      <c r="K144"/>
    </row>
    <row r="145" spans="2:11" ht="14.5" customHeight="1" x14ac:dyDescent="0.2">
      <c r="B145"/>
      <c r="C145"/>
      <c r="D145"/>
      <c r="E145"/>
      <c r="F145"/>
      <c r="G145"/>
      <c r="H145"/>
      <c r="I145"/>
      <c r="J145"/>
      <c r="K145"/>
    </row>
    <row r="146" spans="2:11" ht="14.5" customHeight="1" x14ac:dyDescent="0.2">
      <c r="B146"/>
      <c r="C146"/>
      <c r="D146"/>
      <c r="E146"/>
      <c r="F146"/>
      <c r="G146"/>
      <c r="H146"/>
      <c r="I146"/>
      <c r="J146"/>
      <c r="K146"/>
    </row>
    <row r="147" spans="2:11" ht="14.5" customHeight="1" x14ac:dyDescent="0.2">
      <c r="B147"/>
      <c r="C147"/>
      <c r="D147"/>
      <c r="E147"/>
      <c r="F147"/>
      <c r="G147"/>
      <c r="H147"/>
      <c r="I147"/>
      <c r="J147"/>
      <c r="K147"/>
    </row>
    <row r="148" spans="2:11" ht="14.5" customHeight="1" x14ac:dyDescent="0.2">
      <c r="B148"/>
      <c r="C148"/>
      <c r="D148"/>
      <c r="E148"/>
      <c r="F148"/>
      <c r="G148"/>
      <c r="H148"/>
      <c r="I148"/>
      <c r="J148"/>
      <c r="K148"/>
    </row>
    <row r="149" spans="2:11" ht="14.5" customHeight="1" x14ac:dyDescent="0.2">
      <c r="B149"/>
      <c r="C149"/>
      <c r="D149"/>
      <c r="E149"/>
      <c r="F149"/>
      <c r="G149"/>
      <c r="H149"/>
      <c r="I149"/>
      <c r="J149"/>
      <c r="K149"/>
    </row>
    <row r="150" spans="2:11" ht="14.5" customHeight="1" x14ac:dyDescent="0.2">
      <c r="B150"/>
      <c r="C150"/>
      <c r="D150"/>
      <c r="E150"/>
      <c r="F150"/>
      <c r="G150"/>
      <c r="H150"/>
      <c r="I150"/>
      <c r="J150"/>
      <c r="K150"/>
    </row>
    <row r="151" spans="2:11" ht="14.5" customHeight="1" x14ac:dyDescent="0.2">
      <c r="B151"/>
      <c r="C151"/>
      <c r="D151"/>
      <c r="E151"/>
      <c r="F151"/>
      <c r="G151"/>
      <c r="H151"/>
      <c r="I151"/>
      <c r="J151"/>
      <c r="K151"/>
    </row>
    <row r="152" spans="2:11" ht="14.5" customHeight="1" x14ac:dyDescent="0.2">
      <c r="B152"/>
      <c r="C152"/>
      <c r="D152"/>
      <c r="E152"/>
      <c r="F152"/>
      <c r="G152"/>
      <c r="H152"/>
      <c r="I152"/>
      <c r="J152"/>
      <c r="K152"/>
    </row>
    <row r="153" spans="2:11" ht="14.5" customHeight="1" x14ac:dyDescent="0.2">
      <c r="B153"/>
      <c r="C153"/>
      <c r="D153"/>
      <c r="E153"/>
      <c r="F153"/>
      <c r="G153"/>
      <c r="H153"/>
      <c r="I153"/>
      <c r="J153"/>
      <c r="K153"/>
    </row>
    <row r="154" spans="2:11" ht="14.5" customHeight="1" x14ac:dyDescent="0.2">
      <c r="B154"/>
      <c r="C154"/>
      <c r="D154"/>
      <c r="E154"/>
      <c r="F154"/>
      <c r="G154"/>
      <c r="H154"/>
      <c r="I154"/>
      <c r="J154"/>
      <c r="K154"/>
    </row>
    <row r="155" spans="2:11" ht="14.5" customHeight="1" x14ac:dyDescent="0.2">
      <c r="B155"/>
      <c r="C155"/>
      <c r="D155"/>
      <c r="E155"/>
      <c r="F155"/>
      <c r="G155"/>
      <c r="H155"/>
      <c r="I155"/>
      <c r="J155"/>
      <c r="K155"/>
    </row>
    <row r="156" spans="2:11" ht="14.5" customHeight="1" x14ac:dyDescent="0.2">
      <c r="B156"/>
      <c r="C156"/>
      <c r="D156"/>
      <c r="E156"/>
      <c r="F156"/>
      <c r="G156"/>
      <c r="H156"/>
      <c r="I156"/>
      <c r="J156"/>
      <c r="K156"/>
    </row>
    <row r="157" spans="2:11" ht="14.5" customHeight="1" x14ac:dyDescent="0.2">
      <c r="B157"/>
      <c r="C157"/>
      <c r="D157"/>
      <c r="E157"/>
      <c r="F157"/>
      <c r="G157"/>
      <c r="H157"/>
      <c r="I157"/>
      <c r="J157"/>
      <c r="K157"/>
    </row>
    <row r="158" spans="2:11" ht="14.5" customHeight="1" x14ac:dyDescent="0.2">
      <c r="B158"/>
      <c r="C158"/>
      <c r="D158"/>
      <c r="E158"/>
      <c r="F158"/>
      <c r="G158"/>
      <c r="H158"/>
      <c r="I158"/>
      <c r="J158"/>
      <c r="K158"/>
    </row>
    <row r="159" spans="2:11" ht="14.5" customHeight="1" x14ac:dyDescent="0.2">
      <c r="B159"/>
      <c r="C159"/>
      <c r="D159"/>
      <c r="E159"/>
      <c r="F159"/>
      <c r="G159"/>
      <c r="H159"/>
      <c r="I159"/>
      <c r="J159"/>
      <c r="K159"/>
    </row>
    <row r="160" spans="2:11" ht="14.5" customHeight="1" x14ac:dyDescent="0.2">
      <c r="B160"/>
      <c r="C160"/>
      <c r="D160"/>
      <c r="E160"/>
      <c r="F160"/>
      <c r="G160"/>
      <c r="H160"/>
      <c r="I160"/>
      <c r="J160"/>
      <c r="K160"/>
    </row>
    <row r="161" spans="2:11" ht="14.5" customHeight="1" x14ac:dyDescent="0.2">
      <c r="B161"/>
      <c r="C161"/>
      <c r="D161"/>
      <c r="E161"/>
      <c r="F161"/>
      <c r="G161"/>
      <c r="H161"/>
      <c r="I161"/>
      <c r="J161"/>
      <c r="K161"/>
    </row>
    <row r="162" spans="2:11" ht="14.5" customHeight="1" x14ac:dyDescent="0.2">
      <c r="B162"/>
      <c r="C162"/>
      <c r="D162"/>
      <c r="E162"/>
      <c r="F162"/>
      <c r="G162"/>
      <c r="H162"/>
      <c r="I162"/>
      <c r="J162"/>
      <c r="K162"/>
    </row>
    <row r="163" spans="2:11" ht="14.5" customHeight="1" x14ac:dyDescent="0.2">
      <c r="B163"/>
      <c r="C163"/>
      <c r="D163"/>
      <c r="E163"/>
      <c r="F163"/>
      <c r="G163"/>
      <c r="H163"/>
      <c r="I163"/>
      <c r="J163"/>
      <c r="K163"/>
    </row>
    <row r="164" spans="2:11" ht="14.5" customHeight="1" x14ac:dyDescent="0.2">
      <c r="B164"/>
      <c r="C164"/>
      <c r="D164"/>
      <c r="E164"/>
      <c r="F164"/>
      <c r="G164"/>
      <c r="H164"/>
      <c r="I164"/>
      <c r="J164"/>
      <c r="K164"/>
    </row>
    <row r="165" spans="2:11" ht="14.5" customHeight="1" x14ac:dyDescent="0.2">
      <c r="B165"/>
      <c r="C165"/>
      <c r="D165"/>
      <c r="E165"/>
      <c r="F165"/>
      <c r="G165"/>
      <c r="H165"/>
      <c r="I165"/>
      <c r="J165"/>
      <c r="K165"/>
    </row>
    <row r="166" spans="2:11" ht="14.5" customHeight="1" x14ac:dyDescent="0.2">
      <c r="B166"/>
      <c r="C166"/>
      <c r="D166"/>
      <c r="E166"/>
      <c r="F166"/>
      <c r="G166"/>
      <c r="H166"/>
      <c r="I166"/>
      <c r="J166"/>
      <c r="K166"/>
    </row>
    <row r="167" spans="2:11" ht="14.5" customHeight="1" x14ac:dyDescent="0.2">
      <c r="B167"/>
      <c r="C167"/>
      <c r="D167"/>
      <c r="E167"/>
      <c r="F167"/>
      <c r="G167"/>
      <c r="H167"/>
      <c r="I167"/>
      <c r="J167"/>
      <c r="K167"/>
    </row>
    <row r="168" spans="2:11" ht="14.5" customHeight="1" x14ac:dyDescent="0.2">
      <c r="B168"/>
      <c r="C168"/>
      <c r="D168"/>
      <c r="E168"/>
      <c r="F168"/>
      <c r="G168"/>
      <c r="H168"/>
      <c r="I168"/>
      <c r="J168"/>
      <c r="K168"/>
    </row>
    <row r="169" spans="2:11" ht="14.5" customHeight="1" x14ac:dyDescent="0.2">
      <c r="B169"/>
      <c r="C169"/>
      <c r="D169"/>
      <c r="E169"/>
      <c r="F169"/>
      <c r="G169"/>
      <c r="H169"/>
      <c r="I169"/>
      <c r="J169"/>
      <c r="K169"/>
    </row>
    <row r="170" spans="2:11" ht="14.5" customHeight="1" x14ac:dyDescent="0.2">
      <c r="B170"/>
      <c r="C170"/>
      <c r="D170"/>
      <c r="E170"/>
      <c r="F170"/>
      <c r="G170"/>
      <c r="H170"/>
      <c r="I170"/>
      <c r="J170"/>
      <c r="K170"/>
    </row>
    <row r="171" spans="2:11" ht="14.5" customHeight="1" x14ac:dyDescent="0.2">
      <c r="B171"/>
      <c r="C171"/>
      <c r="D171"/>
      <c r="E171"/>
      <c r="F171"/>
      <c r="G171"/>
      <c r="H171"/>
      <c r="I171"/>
      <c r="J171"/>
      <c r="K171"/>
    </row>
    <row r="172" spans="2:11" ht="14.5" customHeight="1" x14ac:dyDescent="0.2">
      <c r="B172"/>
      <c r="C172"/>
      <c r="D172"/>
      <c r="E172"/>
      <c r="F172"/>
      <c r="G172"/>
      <c r="H172"/>
      <c r="I172"/>
      <c r="J172"/>
      <c r="K172"/>
    </row>
    <row r="173" spans="2:11" ht="14.5" customHeight="1" x14ac:dyDescent="0.2">
      <c r="B173"/>
      <c r="C173"/>
      <c r="D173"/>
      <c r="E173"/>
      <c r="F173"/>
      <c r="G173"/>
      <c r="H173"/>
      <c r="I173"/>
      <c r="J173"/>
      <c r="K173"/>
    </row>
    <row r="174" spans="2:11" ht="14.5" customHeight="1" x14ac:dyDescent="0.2">
      <c r="B174"/>
      <c r="C174"/>
      <c r="D174"/>
      <c r="E174"/>
      <c r="F174"/>
      <c r="G174"/>
      <c r="H174"/>
      <c r="I174"/>
      <c r="J174"/>
      <c r="K174"/>
    </row>
    <row r="175" spans="2:11" ht="14.5" customHeight="1" x14ac:dyDescent="0.2">
      <c r="B175"/>
      <c r="C175"/>
      <c r="D175"/>
      <c r="E175"/>
      <c r="F175"/>
      <c r="G175"/>
      <c r="H175"/>
      <c r="I175"/>
      <c r="J175"/>
      <c r="K175"/>
    </row>
    <row r="176" spans="2:11" ht="14.5" customHeight="1" x14ac:dyDescent="0.2">
      <c r="B176"/>
      <c r="C176"/>
      <c r="D176"/>
      <c r="E176"/>
      <c r="F176"/>
      <c r="G176"/>
      <c r="H176"/>
      <c r="I176"/>
      <c r="J176"/>
      <c r="K176"/>
    </row>
    <row r="177" spans="2:11" ht="14.5" customHeight="1" x14ac:dyDescent="0.2">
      <c r="B177"/>
      <c r="C177"/>
      <c r="D177"/>
      <c r="E177"/>
      <c r="F177"/>
      <c r="G177"/>
      <c r="H177"/>
      <c r="I177"/>
      <c r="J177"/>
      <c r="K177"/>
    </row>
    <row r="178" spans="2:11" ht="14.5" customHeight="1" x14ac:dyDescent="0.2">
      <c r="B178"/>
      <c r="C178"/>
      <c r="D178"/>
      <c r="E178"/>
      <c r="F178"/>
      <c r="G178"/>
      <c r="H178"/>
      <c r="I178"/>
      <c r="J178"/>
      <c r="K178"/>
    </row>
    <row r="179" spans="2:11" ht="14.5" customHeight="1" x14ac:dyDescent="0.2">
      <c r="B179"/>
      <c r="C179"/>
      <c r="D179"/>
      <c r="E179"/>
      <c r="F179"/>
      <c r="G179"/>
      <c r="H179"/>
      <c r="I179"/>
      <c r="J179"/>
      <c r="K179"/>
    </row>
    <row r="180" spans="2:11" ht="14.5" customHeight="1" x14ac:dyDescent="0.2">
      <c r="B180"/>
      <c r="C180"/>
      <c r="D180"/>
      <c r="E180"/>
      <c r="F180"/>
      <c r="G180"/>
      <c r="H180"/>
      <c r="I180"/>
      <c r="J180"/>
      <c r="K180"/>
    </row>
    <row r="181" spans="2:11" ht="14.5" customHeight="1" x14ac:dyDescent="0.2">
      <c r="B181"/>
      <c r="C181"/>
      <c r="D181"/>
      <c r="E181"/>
      <c r="F181"/>
      <c r="G181"/>
      <c r="H181"/>
      <c r="I181"/>
      <c r="J181"/>
      <c r="K181"/>
    </row>
    <row r="182" spans="2:11" ht="14.5" customHeight="1" x14ac:dyDescent="0.2">
      <c r="B182"/>
      <c r="C182"/>
      <c r="D182"/>
      <c r="E182"/>
      <c r="F182"/>
      <c r="G182"/>
      <c r="H182"/>
      <c r="I182"/>
      <c r="J182"/>
      <c r="K182"/>
    </row>
    <row r="183" spans="2:11" ht="14.5" customHeight="1" x14ac:dyDescent="0.2">
      <c r="B183"/>
      <c r="C183"/>
      <c r="D183"/>
      <c r="E183"/>
      <c r="F183"/>
      <c r="G183"/>
      <c r="H183"/>
      <c r="I183"/>
      <c r="J183"/>
      <c r="K183"/>
    </row>
    <row r="184" spans="2:11" ht="14.5" customHeight="1" x14ac:dyDescent="0.2">
      <c r="B184"/>
      <c r="C184"/>
      <c r="D184"/>
      <c r="E184"/>
      <c r="F184"/>
      <c r="G184"/>
      <c r="H184"/>
      <c r="I184"/>
      <c r="J184"/>
      <c r="K184"/>
    </row>
    <row r="185" spans="2:11" ht="14.5" customHeight="1" x14ac:dyDescent="0.2">
      <c r="B185"/>
      <c r="C185"/>
      <c r="D185"/>
      <c r="E185"/>
      <c r="F185"/>
      <c r="G185"/>
      <c r="H185"/>
      <c r="I185"/>
      <c r="J185"/>
      <c r="K185"/>
    </row>
    <row r="186" spans="2:11" ht="14.5" customHeight="1" x14ac:dyDescent="0.2">
      <c r="B186"/>
      <c r="C186"/>
      <c r="D186"/>
      <c r="E186"/>
      <c r="F186"/>
      <c r="G186"/>
      <c r="H186"/>
      <c r="I186"/>
      <c r="J186"/>
      <c r="K186"/>
    </row>
    <row r="187" spans="2:11" ht="14.5" customHeight="1" x14ac:dyDescent="0.2">
      <c r="B187"/>
      <c r="C187"/>
      <c r="D187"/>
      <c r="E187"/>
      <c r="F187"/>
      <c r="G187"/>
      <c r="H187"/>
      <c r="I187"/>
      <c r="J187"/>
      <c r="K187"/>
    </row>
    <row r="188" spans="2:11" ht="14.5" customHeight="1" x14ac:dyDescent="0.2">
      <c r="B188"/>
      <c r="C188"/>
      <c r="D188"/>
      <c r="E188"/>
      <c r="F188"/>
      <c r="G188"/>
      <c r="H188"/>
      <c r="I188"/>
      <c r="J188"/>
      <c r="K188"/>
    </row>
    <row r="189" spans="2:11" ht="14.5" customHeight="1" x14ac:dyDescent="0.2">
      <c r="B189"/>
      <c r="C189"/>
      <c r="D189"/>
      <c r="E189"/>
      <c r="F189"/>
      <c r="G189"/>
      <c r="H189"/>
      <c r="I189"/>
      <c r="J189"/>
      <c r="K189"/>
    </row>
    <row r="190" spans="2:11" ht="14.5" customHeight="1" x14ac:dyDescent="0.2">
      <c r="B190"/>
      <c r="C190"/>
      <c r="D190"/>
      <c r="E190"/>
      <c r="F190"/>
      <c r="G190"/>
      <c r="H190"/>
      <c r="I190"/>
      <c r="J190"/>
      <c r="K190"/>
    </row>
    <row r="191" spans="2:11" ht="14.5" customHeight="1" x14ac:dyDescent="0.2">
      <c r="B191"/>
      <c r="C191"/>
      <c r="D191"/>
      <c r="E191"/>
      <c r="F191"/>
      <c r="G191"/>
      <c r="H191"/>
      <c r="I191"/>
      <c r="J191"/>
      <c r="K191"/>
    </row>
    <row r="192" spans="2:11" ht="14.5" customHeight="1" x14ac:dyDescent="0.2">
      <c r="B192"/>
      <c r="C192"/>
      <c r="D192"/>
      <c r="E192"/>
      <c r="F192"/>
      <c r="G192"/>
      <c r="H192"/>
      <c r="I192"/>
      <c r="J192"/>
      <c r="K192"/>
    </row>
    <row r="193" spans="2:11" ht="14.5" customHeight="1" x14ac:dyDescent="0.2">
      <c r="B193"/>
      <c r="C193"/>
      <c r="D193"/>
      <c r="E193"/>
      <c r="F193"/>
      <c r="G193"/>
      <c r="H193"/>
      <c r="I193"/>
      <c r="J193"/>
      <c r="K193"/>
    </row>
    <row r="194" spans="2:11" ht="14.5" customHeight="1" x14ac:dyDescent="0.2">
      <c r="B194"/>
      <c r="C194"/>
      <c r="D194"/>
      <c r="E194"/>
      <c r="F194"/>
      <c r="G194"/>
      <c r="H194"/>
      <c r="I194"/>
      <c r="J194"/>
      <c r="K194"/>
    </row>
    <row r="195" spans="2:11" ht="14.5" customHeight="1" x14ac:dyDescent="0.2">
      <c r="B195"/>
      <c r="C195"/>
      <c r="D195"/>
      <c r="E195"/>
      <c r="F195"/>
      <c r="G195"/>
      <c r="H195"/>
      <c r="I195"/>
      <c r="J195"/>
      <c r="K195"/>
    </row>
    <row r="196" spans="2:11" ht="14.5" customHeight="1" x14ac:dyDescent="0.2">
      <c r="B196"/>
      <c r="C196"/>
      <c r="D196"/>
      <c r="E196"/>
      <c r="F196"/>
      <c r="G196"/>
      <c r="H196"/>
      <c r="I196"/>
      <c r="J196"/>
      <c r="K196"/>
    </row>
    <row r="197" spans="2:11" ht="14.5" customHeight="1" x14ac:dyDescent="0.2">
      <c r="B197"/>
      <c r="C197"/>
      <c r="D197"/>
      <c r="E197"/>
      <c r="F197"/>
      <c r="G197"/>
      <c r="H197"/>
      <c r="I197"/>
      <c r="J197"/>
      <c r="K197"/>
    </row>
    <row r="198" spans="2:11" ht="14.5" customHeight="1" x14ac:dyDescent="0.2">
      <c r="B198"/>
      <c r="C198"/>
      <c r="D198"/>
      <c r="E198"/>
      <c r="F198"/>
      <c r="G198"/>
      <c r="H198"/>
      <c r="I198"/>
      <c r="J198"/>
      <c r="K198"/>
    </row>
    <row r="199" spans="2:11" ht="14.5" customHeight="1" x14ac:dyDescent="0.2">
      <c r="B199"/>
      <c r="C199"/>
      <c r="D199"/>
      <c r="E199"/>
      <c r="F199"/>
      <c r="G199"/>
      <c r="H199"/>
      <c r="I199"/>
      <c r="J199"/>
      <c r="K199"/>
    </row>
    <row r="200" spans="2:11" ht="14.5" customHeight="1" x14ac:dyDescent="0.2">
      <c r="B200"/>
      <c r="C200"/>
      <c r="D200"/>
      <c r="E200"/>
      <c r="F200"/>
      <c r="G200"/>
      <c r="H200"/>
      <c r="I200"/>
      <c r="J200"/>
      <c r="K200"/>
    </row>
    <row r="201" spans="2:11" ht="14.5" customHeight="1" x14ac:dyDescent="0.2">
      <c r="B201"/>
      <c r="C201"/>
      <c r="D201"/>
      <c r="E201"/>
      <c r="F201"/>
      <c r="G201"/>
      <c r="H201"/>
      <c r="I201"/>
      <c r="J201"/>
      <c r="K201"/>
    </row>
    <row r="202" spans="2:11" ht="14.5" customHeight="1" x14ac:dyDescent="0.2">
      <c r="B202"/>
      <c r="C202"/>
      <c r="D202"/>
      <c r="E202"/>
      <c r="F202"/>
      <c r="G202"/>
      <c r="H202"/>
      <c r="I202"/>
      <c r="J202"/>
      <c r="K202"/>
    </row>
    <row r="203" spans="2:11" ht="14.5" customHeight="1" x14ac:dyDescent="0.2">
      <c r="B203"/>
      <c r="C203"/>
      <c r="D203"/>
      <c r="E203"/>
      <c r="F203"/>
      <c r="G203"/>
      <c r="H203"/>
      <c r="I203"/>
      <c r="J203"/>
      <c r="K203"/>
    </row>
    <row r="204" spans="2:11" ht="14.5" customHeight="1" x14ac:dyDescent="0.2">
      <c r="B204"/>
      <c r="C204"/>
      <c r="D204"/>
      <c r="E204"/>
      <c r="F204"/>
      <c r="G204"/>
      <c r="H204"/>
      <c r="I204"/>
      <c r="J204"/>
      <c r="K204"/>
    </row>
    <row r="205" spans="2:11" ht="14.5" customHeight="1" x14ac:dyDescent="0.2">
      <c r="B205"/>
      <c r="C205"/>
      <c r="D205"/>
      <c r="E205"/>
      <c r="F205"/>
      <c r="G205"/>
      <c r="H205"/>
      <c r="I205"/>
      <c r="J205"/>
      <c r="K205"/>
    </row>
    <row r="206" spans="2:11" ht="14.5" customHeight="1" x14ac:dyDescent="0.2">
      <c r="B206"/>
      <c r="C206"/>
      <c r="D206"/>
      <c r="E206"/>
      <c r="F206"/>
      <c r="G206"/>
      <c r="H206"/>
      <c r="I206"/>
      <c r="J206"/>
      <c r="K206"/>
    </row>
    <row r="207" spans="2:11" ht="14.5" customHeight="1" x14ac:dyDescent="0.2">
      <c r="B207"/>
      <c r="C207"/>
      <c r="D207"/>
      <c r="E207"/>
      <c r="F207"/>
      <c r="G207"/>
      <c r="H207"/>
      <c r="I207"/>
      <c r="J207"/>
      <c r="K207"/>
    </row>
    <row r="208" spans="2:11" ht="14.5" customHeight="1" x14ac:dyDescent="0.2">
      <c r="B208"/>
      <c r="C208"/>
      <c r="D208"/>
      <c r="E208"/>
      <c r="F208"/>
      <c r="G208"/>
      <c r="H208"/>
      <c r="I208"/>
      <c r="J208"/>
      <c r="K208"/>
    </row>
    <row r="209" spans="2:11" ht="14.5" customHeight="1" x14ac:dyDescent="0.2">
      <c r="B209"/>
      <c r="C209"/>
      <c r="D209"/>
      <c r="E209"/>
      <c r="F209"/>
      <c r="G209"/>
      <c r="H209"/>
      <c r="I209"/>
      <c r="J209"/>
      <c r="K209"/>
    </row>
    <row r="210" spans="2:11" ht="14.5" customHeight="1" x14ac:dyDescent="0.2">
      <c r="B210"/>
      <c r="C210"/>
      <c r="D210"/>
      <c r="E210"/>
      <c r="F210"/>
      <c r="G210"/>
      <c r="H210"/>
      <c r="I210"/>
      <c r="J210"/>
      <c r="K210"/>
    </row>
    <row r="211" spans="2:11" ht="14.5" customHeight="1" x14ac:dyDescent="0.2">
      <c r="B211"/>
      <c r="C211"/>
      <c r="D211"/>
      <c r="E211"/>
      <c r="F211"/>
      <c r="G211"/>
      <c r="H211"/>
      <c r="I211"/>
      <c r="J211"/>
      <c r="K211"/>
    </row>
    <row r="212" spans="2:11" ht="14.5" customHeight="1" x14ac:dyDescent="0.2">
      <c r="B212"/>
      <c r="C212"/>
      <c r="D212"/>
      <c r="E212"/>
      <c r="F212"/>
      <c r="G212"/>
      <c r="H212"/>
      <c r="I212"/>
      <c r="J212"/>
      <c r="K212"/>
    </row>
    <row r="213" spans="2:11" ht="14.5" customHeight="1" x14ac:dyDescent="0.2">
      <c r="B213"/>
      <c r="C213"/>
      <c r="D213"/>
      <c r="E213"/>
      <c r="F213"/>
      <c r="G213"/>
      <c r="H213"/>
      <c r="I213"/>
      <c r="J213"/>
      <c r="K213"/>
    </row>
    <row r="214" spans="2:11" ht="14.5" customHeight="1" x14ac:dyDescent="0.2">
      <c r="B214"/>
      <c r="C214"/>
      <c r="D214"/>
      <c r="E214"/>
      <c r="F214"/>
      <c r="G214"/>
      <c r="H214"/>
      <c r="I214"/>
      <c r="J214"/>
      <c r="K214"/>
    </row>
    <row r="215" spans="2:11" ht="14.5" customHeight="1" x14ac:dyDescent="0.2">
      <c r="B215"/>
      <c r="C215"/>
      <c r="D215"/>
      <c r="E215"/>
      <c r="F215"/>
      <c r="G215"/>
      <c r="H215"/>
      <c r="I215"/>
      <c r="J215"/>
      <c r="K215"/>
    </row>
    <row r="216" spans="2:11" ht="14.5" customHeight="1" x14ac:dyDescent="0.2">
      <c r="B216"/>
      <c r="C216"/>
      <c r="D216"/>
      <c r="E216"/>
      <c r="F216"/>
      <c r="G216"/>
      <c r="H216"/>
      <c r="I216"/>
      <c r="J216"/>
      <c r="K216"/>
    </row>
    <row r="217" spans="2:11" ht="14.5" customHeight="1" x14ac:dyDescent="0.2">
      <c r="B217"/>
      <c r="C217"/>
      <c r="D217"/>
      <c r="E217"/>
      <c r="F217"/>
      <c r="G217"/>
      <c r="H217"/>
      <c r="I217"/>
      <c r="J217"/>
      <c r="K217"/>
    </row>
    <row r="218" spans="2:11" ht="14.5" customHeight="1" x14ac:dyDescent="0.2">
      <c r="B218"/>
      <c r="C218"/>
      <c r="D218"/>
      <c r="E218"/>
      <c r="F218"/>
      <c r="G218"/>
      <c r="H218"/>
      <c r="I218"/>
      <c r="J218"/>
      <c r="K218"/>
    </row>
    <row r="219" spans="2:11" ht="14.5" customHeight="1" x14ac:dyDescent="0.2">
      <c r="B219"/>
      <c r="C219"/>
      <c r="D219"/>
      <c r="E219"/>
      <c r="F219"/>
      <c r="G219"/>
      <c r="H219"/>
      <c r="I219"/>
      <c r="J219"/>
      <c r="K219"/>
    </row>
    <row r="220" spans="2:11" ht="14.5" customHeight="1" x14ac:dyDescent="0.2">
      <c r="B220"/>
      <c r="C220"/>
      <c r="D220"/>
      <c r="E220"/>
      <c r="F220"/>
      <c r="G220"/>
      <c r="H220"/>
      <c r="I220"/>
      <c r="J220"/>
      <c r="K220"/>
    </row>
    <row r="221" spans="2:11" ht="14.5" customHeight="1" x14ac:dyDescent="0.2">
      <c r="B221"/>
      <c r="C221"/>
      <c r="D221"/>
      <c r="E221"/>
      <c r="F221"/>
      <c r="G221"/>
      <c r="H221"/>
      <c r="I221"/>
      <c r="J221"/>
      <c r="K221"/>
    </row>
    <row r="222" spans="2:11" ht="14.5" customHeight="1" x14ac:dyDescent="0.2">
      <c r="B222"/>
      <c r="C222"/>
      <c r="D222"/>
      <c r="E222"/>
      <c r="F222"/>
      <c r="G222"/>
      <c r="H222"/>
      <c r="I222"/>
      <c r="J222"/>
      <c r="K222"/>
    </row>
    <row r="223" spans="2:11" ht="14.5" customHeight="1" x14ac:dyDescent="0.2">
      <c r="B223"/>
      <c r="C223"/>
      <c r="D223"/>
      <c r="E223"/>
      <c r="F223"/>
      <c r="G223"/>
      <c r="H223"/>
      <c r="I223"/>
      <c r="J223"/>
      <c r="K223"/>
    </row>
    <row r="224" spans="2:11" ht="14.5" customHeight="1" x14ac:dyDescent="0.2">
      <c r="B224"/>
      <c r="C224"/>
      <c r="D224"/>
      <c r="E224"/>
      <c r="F224"/>
      <c r="G224"/>
      <c r="H224"/>
      <c r="I224"/>
      <c r="J224"/>
      <c r="K224"/>
    </row>
    <row r="225" spans="2:11" ht="14.5" customHeight="1" x14ac:dyDescent="0.2">
      <c r="B225"/>
      <c r="C225"/>
      <c r="D225"/>
      <c r="E225"/>
      <c r="F225"/>
      <c r="G225"/>
      <c r="H225"/>
      <c r="I225"/>
      <c r="J225"/>
      <c r="K225"/>
    </row>
    <row r="226" spans="2:11" ht="14.5" customHeight="1" x14ac:dyDescent="0.2">
      <c r="B226"/>
      <c r="C226"/>
      <c r="D226"/>
      <c r="E226"/>
      <c r="F226"/>
      <c r="G226"/>
      <c r="H226"/>
      <c r="I226"/>
      <c r="J226"/>
      <c r="K226"/>
    </row>
    <row r="227" spans="2:11" ht="14.5" customHeight="1" x14ac:dyDescent="0.2">
      <c r="B227"/>
      <c r="C227"/>
      <c r="D227"/>
      <c r="E227"/>
      <c r="F227"/>
      <c r="G227"/>
      <c r="H227"/>
      <c r="I227"/>
      <c r="J227"/>
      <c r="K227"/>
    </row>
    <row r="228" spans="2:11" ht="14.5" customHeight="1" x14ac:dyDescent="0.2">
      <c r="B228"/>
      <c r="C228"/>
      <c r="D228"/>
      <c r="E228"/>
      <c r="F228"/>
      <c r="G228"/>
      <c r="H228"/>
      <c r="I228"/>
      <c r="J228"/>
      <c r="K228"/>
    </row>
    <row r="229" spans="2:11" ht="14.5" customHeight="1" x14ac:dyDescent="0.2">
      <c r="B229"/>
      <c r="C229"/>
      <c r="D229"/>
      <c r="E229"/>
      <c r="F229"/>
      <c r="G229"/>
      <c r="H229"/>
      <c r="I229"/>
      <c r="J229"/>
      <c r="K229"/>
    </row>
    <row r="230" spans="2:11" ht="14.5" customHeight="1" x14ac:dyDescent="0.2">
      <c r="B230"/>
      <c r="C230"/>
      <c r="D230"/>
      <c r="E230"/>
      <c r="F230"/>
      <c r="G230"/>
      <c r="H230"/>
      <c r="I230"/>
      <c r="J230"/>
      <c r="K230"/>
    </row>
    <row r="231" spans="2:11" ht="14.5" customHeight="1" x14ac:dyDescent="0.2">
      <c r="B231"/>
      <c r="C231"/>
      <c r="D231"/>
      <c r="E231"/>
      <c r="F231"/>
      <c r="G231"/>
      <c r="H231"/>
      <c r="I231"/>
      <c r="J231"/>
      <c r="K231"/>
    </row>
    <row r="232" spans="2:11" ht="14.5" customHeight="1" x14ac:dyDescent="0.2">
      <c r="B232"/>
      <c r="C232"/>
      <c r="D232"/>
      <c r="E232"/>
      <c r="F232"/>
      <c r="G232"/>
      <c r="H232"/>
      <c r="I232"/>
      <c r="J232"/>
      <c r="K232"/>
    </row>
    <row r="233" spans="2:11" ht="14.5" customHeight="1" x14ac:dyDescent="0.2">
      <c r="B233"/>
      <c r="C233"/>
      <c r="D233"/>
      <c r="E233"/>
      <c r="F233"/>
      <c r="G233"/>
      <c r="H233"/>
      <c r="I233"/>
      <c r="J233"/>
      <c r="K233"/>
    </row>
    <row r="234" spans="2:11" ht="14.5" customHeight="1" x14ac:dyDescent="0.2">
      <c r="B234"/>
      <c r="C234"/>
      <c r="D234"/>
      <c r="E234"/>
      <c r="F234"/>
      <c r="G234"/>
      <c r="H234"/>
      <c r="I234"/>
      <c r="J234"/>
      <c r="K234"/>
    </row>
    <row r="235" spans="2:11" ht="14.5" customHeight="1" x14ac:dyDescent="0.2">
      <c r="B235"/>
      <c r="C235"/>
      <c r="D235"/>
      <c r="E235"/>
      <c r="F235"/>
      <c r="G235"/>
      <c r="H235"/>
      <c r="I235"/>
      <c r="J235"/>
      <c r="K235"/>
    </row>
    <row r="236" spans="2:11" ht="14.5" customHeight="1" x14ac:dyDescent="0.2">
      <c r="B236"/>
      <c r="C236"/>
      <c r="D236"/>
      <c r="E236"/>
      <c r="F236"/>
      <c r="G236"/>
      <c r="H236"/>
      <c r="I236"/>
      <c r="J236"/>
      <c r="K236"/>
    </row>
    <row r="237" spans="2:11" ht="14.5" customHeight="1" x14ac:dyDescent="0.2">
      <c r="B237"/>
      <c r="C237"/>
      <c r="D237"/>
      <c r="E237"/>
      <c r="F237"/>
      <c r="G237"/>
      <c r="H237"/>
      <c r="I237"/>
      <c r="J237"/>
      <c r="K237"/>
    </row>
    <row r="238" spans="2:11" ht="14.5" customHeight="1" x14ac:dyDescent="0.2">
      <c r="B238"/>
      <c r="C238"/>
      <c r="D238"/>
      <c r="E238"/>
      <c r="F238"/>
      <c r="G238"/>
      <c r="H238"/>
      <c r="I238"/>
      <c r="J238"/>
      <c r="K238"/>
    </row>
    <row r="239" spans="2:11" ht="14.5" customHeight="1" x14ac:dyDescent="0.2">
      <c r="B239"/>
      <c r="C239"/>
      <c r="D239"/>
      <c r="E239"/>
      <c r="F239"/>
      <c r="G239"/>
      <c r="H239"/>
      <c r="I239"/>
      <c r="J239"/>
      <c r="K239"/>
    </row>
    <row r="240" spans="2:11" ht="14.5" customHeight="1" x14ac:dyDescent="0.2">
      <c r="B240"/>
      <c r="C240"/>
      <c r="D240"/>
      <c r="E240"/>
      <c r="F240"/>
      <c r="G240"/>
      <c r="H240"/>
      <c r="I240"/>
      <c r="J240"/>
      <c r="K240"/>
    </row>
    <row r="241" spans="2:11" ht="14.5" customHeight="1" x14ac:dyDescent="0.2">
      <c r="B241"/>
      <c r="C241"/>
      <c r="D241"/>
      <c r="E241"/>
      <c r="F241"/>
      <c r="G241"/>
      <c r="H241"/>
      <c r="I241"/>
      <c r="J241"/>
      <c r="K241"/>
    </row>
    <row r="242" spans="2:11" ht="14.5" customHeight="1" x14ac:dyDescent="0.2">
      <c r="B242"/>
      <c r="C242"/>
      <c r="D242"/>
      <c r="E242"/>
      <c r="F242"/>
      <c r="G242"/>
      <c r="H242"/>
      <c r="I242"/>
      <c r="J242"/>
      <c r="K242"/>
    </row>
    <row r="243" spans="2:11" ht="14.5" customHeight="1" x14ac:dyDescent="0.2">
      <c r="B243"/>
      <c r="C243"/>
      <c r="D243"/>
      <c r="E243"/>
      <c r="F243"/>
      <c r="G243"/>
      <c r="H243"/>
      <c r="I243"/>
      <c r="J243"/>
      <c r="K243"/>
    </row>
    <row r="244" spans="2:11" ht="14.5" customHeight="1" x14ac:dyDescent="0.2">
      <c r="B244"/>
      <c r="C244"/>
      <c r="D244"/>
      <c r="E244"/>
      <c r="F244"/>
      <c r="G244"/>
      <c r="H244"/>
      <c r="I244"/>
      <c r="J244"/>
      <c r="K244"/>
    </row>
    <row r="245" spans="2:11" ht="14.5" customHeight="1" x14ac:dyDescent="0.2">
      <c r="B245"/>
      <c r="C245"/>
      <c r="D245"/>
      <c r="E245"/>
      <c r="F245"/>
      <c r="G245"/>
      <c r="H245"/>
      <c r="I245"/>
      <c r="J245"/>
      <c r="K245"/>
    </row>
    <row r="246" spans="2:11" ht="14.5" customHeight="1" x14ac:dyDescent="0.2">
      <c r="B246"/>
      <c r="C246"/>
      <c r="D246"/>
      <c r="E246"/>
      <c r="F246"/>
      <c r="G246"/>
      <c r="H246"/>
      <c r="I246"/>
      <c r="J246"/>
      <c r="K246"/>
    </row>
    <row r="247" spans="2:11" ht="14.5" customHeight="1" x14ac:dyDescent="0.2">
      <c r="B247"/>
      <c r="C247"/>
      <c r="D247"/>
      <c r="E247"/>
      <c r="F247"/>
      <c r="G247"/>
      <c r="H247"/>
      <c r="I247"/>
      <c r="J247"/>
      <c r="K247"/>
    </row>
    <row r="248" spans="2:11" ht="14.5" customHeight="1" x14ac:dyDescent="0.2">
      <c r="B248"/>
      <c r="C248"/>
      <c r="D248"/>
      <c r="E248"/>
      <c r="F248"/>
      <c r="G248"/>
      <c r="H248"/>
      <c r="I248"/>
      <c r="J248"/>
      <c r="K248"/>
    </row>
    <row r="249" spans="2:11" ht="14.5" customHeight="1" x14ac:dyDescent="0.2">
      <c r="B249"/>
      <c r="C249"/>
      <c r="D249"/>
      <c r="E249"/>
      <c r="F249"/>
      <c r="G249"/>
      <c r="H249"/>
      <c r="I249"/>
      <c r="J249"/>
      <c r="K249"/>
    </row>
    <row r="250" spans="2:11" ht="14.5" customHeight="1" x14ac:dyDescent="0.2">
      <c r="B250"/>
      <c r="C250"/>
      <c r="D250"/>
      <c r="E250"/>
      <c r="F250"/>
      <c r="G250"/>
      <c r="H250"/>
      <c r="I250"/>
      <c r="J250"/>
      <c r="K250"/>
    </row>
    <row r="251" spans="2:11" ht="14.5" customHeight="1" x14ac:dyDescent="0.2">
      <c r="B251"/>
      <c r="C251"/>
      <c r="D251"/>
      <c r="E251"/>
      <c r="F251"/>
      <c r="G251"/>
      <c r="H251"/>
      <c r="I251"/>
      <c r="J251"/>
      <c r="K251"/>
    </row>
    <row r="252" spans="2:11" ht="14.5" customHeight="1" x14ac:dyDescent="0.2">
      <c r="B252"/>
      <c r="C252"/>
      <c r="D252"/>
      <c r="E252"/>
      <c r="F252"/>
      <c r="G252"/>
      <c r="H252"/>
      <c r="I252"/>
      <c r="J252"/>
      <c r="K252"/>
    </row>
    <row r="253" spans="2:11" ht="14.5" customHeight="1" x14ac:dyDescent="0.2">
      <c r="B253"/>
      <c r="C253"/>
      <c r="D253"/>
      <c r="E253"/>
      <c r="F253"/>
      <c r="G253"/>
      <c r="H253"/>
      <c r="I253"/>
      <c r="J253"/>
      <c r="K253"/>
    </row>
    <row r="254" spans="2:11" ht="14.5" customHeight="1" x14ac:dyDescent="0.2">
      <c r="B254"/>
      <c r="C254"/>
      <c r="D254"/>
      <c r="E254"/>
      <c r="F254"/>
      <c r="G254"/>
      <c r="H254"/>
      <c r="I254"/>
      <c r="J254"/>
      <c r="K254"/>
    </row>
    <row r="255" spans="2:11" ht="14.5" customHeight="1" x14ac:dyDescent="0.2">
      <c r="B255"/>
      <c r="C255"/>
      <c r="D255"/>
      <c r="E255"/>
      <c r="F255"/>
      <c r="G255"/>
      <c r="H255"/>
      <c r="I255"/>
      <c r="J255"/>
      <c r="K255"/>
    </row>
    <row r="256" spans="2:11" ht="14.5" customHeight="1" x14ac:dyDescent="0.2">
      <c r="B256"/>
      <c r="C256"/>
      <c r="D256"/>
      <c r="E256"/>
      <c r="F256"/>
      <c r="G256"/>
      <c r="H256"/>
      <c r="I256"/>
      <c r="J256"/>
      <c r="K256"/>
    </row>
    <row r="257" spans="2:11" ht="14.5" customHeight="1" x14ac:dyDescent="0.2">
      <c r="B257"/>
      <c r="C257"/>
      <c r="D257"/>
      <c r="E257"/>
      <c r="F257"/>
      <c r="G257"/>
      <c r="H257"/>
      <c r="I257"/>
      <c r="J257"/>
      <c r="K257"/>
    </row>
    <row r="258" spans="2:11" ht="14.5" customHeight="1" x14ac:dyDescent="0.2">
      <c r="B258"/>
      <c r="C258"/>
      <c r="D258"/>
      <c r="E258"/>
      <c r="F258"/>
      <c r="G258"/>
      <c r="H258"/>
      <c r="I258"/>
      <c r="J258"/>
      <c r="K258"/>
    </row>
    <row r="259" spans="2:11" ht="14.5" customHeight="1" x14ac:dyDescent="0.2">
      <c r="B259"/>
      <c r="C259"/>
      <c r="D259"/>
      <c r="E259"/>
      <c r="F259"/>
      <c r="G259"/>
      <c r="H259"/>
      <c r="I259"/>
      <c r="J259"/>
      <c r="K259"/>
    </row>
    <row r="260" spans="2:11" ht="14.5" customHeight="1" x14ac:dyDescent="0.2">
      <c r="B260"/>
      <c r="C260"/>
      <c r="D260"/>
      <c r="E260"/>
      <c r="F260"/>
      <c r="G260"/>
      <c r="H260"/>
      <c r="I260"/>
      <c r="J260"/>
      <c r="K260"/>
    </row>
    <row r="261" spans="2:11" ht="14.5" customHeight="1" x14ac:dyDescent="0.2">
      <c r="B261"/>
      <c r="C261"/>
      <c r="D261"/>
      <c r="E261"/>
      <c r="F261"/>
      <c r="G261"/>
      <c r="H261"/>
      <c r="I261"/>
      <c r="J261"/>
      <c r="K261"/>
    </row>
    <row r="262" spans="2:11" ht="14.5" customHeight="1" x14ac:dyDescent="0.2">
      <c r="B262"/>
      <c r="C262"/>
      <c r="D262"/>
      <c r="E262"/>
      <c r="F262"/>
      <c r="G262"/>
      <c r="H262"/>
      <c r="I262"/>
      <c r="J262"/>
      <c r="K262"/>
    </row>
    <row r="263" spans="2:11" ht="14.5" customHeight="1" x14ac:dyDescent="0.2">
      <c r="B263"/>
      <c r="C263"/>
      <c r="D263"/>
      <c r="E263"/>
      <c r="F263"/>
      <c r="G263"/>
      <c r="H263"/>
      <c r="I263"/>
      <c r="J263"/>
      <c r="K263"/>
    </row>
    <row r="264" spans="2:11" ht="14.5" customHeight="1" x14ac:dyDescent="0.2">
      <c r="B264"/>
      <c r="C264"/>
      <c r="D264"/>
      <c r="E264"/>
      <c r="F264"/>
      <c r="G264"/>
      <c r="H264"/>
      <c r="I264"/>
      <c r="J264"/>
      <c r="K264"/>
    </row>
    <row r="265" spans="2:11" ht="14.5" customHeight="1" x14ac:dyDescent="0.2">
      <c r="B265"/>
      <c r="C265"/>
      <c r="D265"/>
      <c r="E265"/>
      <c r="F265"/>
      <c r="G265"/>
      <c r="H265"/>
      <c r="I265"/>
      <c r="J265"/>
      <c r="K265"/>
    </row>
    <row r="266" spans="2:11" ht="14.5" customHeight="1" x14ac:dyDescent="0.2">
      <c r="B266"/>
      <c r="C266"/>
      <c r="D266"/>
      <c r="E266"/>
      <c r="F266"/>
      <c r="G266"/>
      <c r="H266"/>
      <c r="I266"/>
      <c r="J266"/>
      <c r="K266"/>
    </row>
    <row r="267" spans="2:11" ht="14.5" customHeight="1" x14ac:dyDescent="0.2">
      <c r="B267"/>
      <c r="C267"/>
      <c r="D267"/>
      <c r="E267"/>
      <c r="F267"/>
      <c r="G267"/>
      <c r="H267"/>
      <c r="I267"/>
      <c r="J267"/>
      <c r="K267"/>
    </row>
    <row r="268" spans="2:11" ht="14.5" customHeight="1" x14ac:dyDescent="0.2">
      <c r="B268"/>
      <c r="C268"/>
      <c r="D268"/>
      <c r="E268"/>
      <c r="F268"/>
      <c r="G268"/>
      <c r="H268"/>
      <c r="I268"/>
      <c r="J268"/>
      <c r="K268"/>
    </row>
    <row r="269" spans="2:11" ht="14.5" customHeight="1" x14ac:dyDescent="0.2">
      <c r="B269"/>
      <c r="C269"/>
      <c r="D269"/>
      <c r="E269"/>
      <c r="F269"/>
      <c r="G269"/>
      <c r="H269"/>
      <c r="I269"/>
      <c r="J269"/>
      <c r="K269"/>
    </row>
    <row r="270" spans="2:11" ht="14.5" customHeight="1" x14ac:dyDescent="0.2">
      <c r="B270"/>
      <c r="C270"/>
      <c r="D270"/>
      <c r="E270"/>
      <c r="F270"/>
      <c r="G270"/>
      <c r="H270"/>
      <c r="I270"/>
      <c r="J270"/>
      <c r="K270"/>
    </row>
    <row r="271" spans="2:11" ht="14.5" customHeight="1" x14ac:dyDescent="0.2">
      <c r="B271"/>
      <c r="C271"/>
      <c r="D271"/>
      <c r="E271"/>
      <c r="F271"/>
      <c r="G271"/>
      <c r="H271"/>
      <c r="I271"/>
      <c r="J271"/>
      <c r="K271"/>
    </row>
    <row r="272" spans="2:11" ht="14.5" customHeight="1" x14ac:dyDescent="0.2">
      <c r="B272"/>
      <c r="C272"/>
      <c r="D272"/>
      <c r="E272"/>
      <c r="F272"/>
      <c r="G272"/>
      <c r="H272"/>
      <c r="I272"/>
      <c r="J272"/>
      <c r="K272"/>
    </row>
    <row r="273" spans="2:11" ht="14.5" customHeight="1" x14ac:dyDescent="0.2">
      <c r="B273"/>
      <c r="C273"/>
      <c r="D273"/>
      <c r="E273"/>
      <c r="F273"/>
      <c r="G273"/>
      <c r="H273"/>
      <c r="I273"/>
      <c r="J273"/>
      <c r="K273"/>
    </row>
    <row r="274" spans="2:11" ht="14.5" customHeight="1" x14ac:dyDescent="0.2">
      <c r="B274"/>
      <c r="C274"/>
      <c r="D274"/>
      <c r="E274"/>
      <c r="F274"/>
      <c r="G274"/>
      <c r="H274"/>
      <c r="I274"/>
      <c r="J274"/>
      <c r="K274"/>
    </row>
    <row r="275" spans="2:11" ht="14.5" customHeight="1" x14ac:dyDescent="0.2">
      <c r="B275"/>
      <c r="C275"/>
      <c r="D275"/>
      <c r="E275"/>
      <c r="F275"/>
      <c r="G275"/>
      <c r="H275"/>
      <c r="I275"/>
      <c r="J275"/>
      <c r="K275"/>
    </row>
    <row r="276" spans="2:11" ht="14.5" customHeight="1" x14ac:dyDescent="0.2">
      <c r="B276"/>
      <c r="C276"/>
      <c r="D276"/>
      <c r="E276"/>
      <c r="F276"/>
      <c r="G276"/>
      <c r="H276"/>
      <c r="I276"/>
      <c r="J276"/>
      <c r="K276"/>
    </row>
    <row r="277" spans="2:11" ht="14.5" customHeight="1" x14ac:dyDescent="0.2">
      <c r="B277"/>
      <c r="C277"/>
      <c r="D277"/>
      <c r="E277"/>
      <c r="F277"/>
      <c r="G277"/>
      <c r="H277"/>
      <c r="I277"/>
      <c r="J277"/>
      <c r="K277"/>
    </row>
    <row r="278" spans="2:11" ht="14.5" customHeight="1" x14ac:dyDescent="0.2">
      <c r="B278"/>
      <c r="C278"/>
      <c r="D278"/>
      <c r="E278"/>
      <c r="F278"/>
      <c r="G278"/>
      <c r="H278"/>
      <c r="I278"/>
      <c r="J278"/>
      <c r="K278"/>
    </row>
    <row r="279" spans="2:11" ht="14.5" customHeight="1" x14ac:dyDescent="0.2">
      <c r="B279"/>
      <c r="C279"/>
      <c r="D279"/>
      <c r="E279"/>
      <c r="F279"/>
      <c r="G279"/>
      <c r="H279"/>
      <c r="I279"/>
      <c r="J279"/>
      <c r="K279"/>
    </row>
    <row r="280" spans="2:11" ht="14.5" customHeight="1" x14ac:dyDescent="0.2">
      <c r="B280"/>
      <c r="C280"/>
      <c r="D280"/>
      <c r="E280"/>
      <c r="F280"/>
      <c r="G280"/>
      <c r="H280"/>
      <c r="I280"/>
      <c r="J280"/>
      <c r="K280"/>
    </row>
    <row r="281" spans="2:11" ht="14.5" customHeight="1" x14ac:dyDescent="0.2">
      <c r="B281"/>
      <c r="C281"/>
      <c r="D281"/>
      <c r="E281"/>
      <c r="F281"/>
      <c r="G281"/>
      <c r="H281"/>
      <c r="I281"/>
      <c r="J281"/>
      <c r="K281"/>
    </row>
    <row r="282" spans="2:11" ht="14.5" customHeight="1" x14ac:dyDescent="0.2">
      <c r="B282"/>
      <c r="C282"/>
      <c r="D282"/>
      <c r="E282"/>
      <c r="F282"/>
      <c r="G282"/>
      <c r="H282"/>
      <c r="I282"/>
      <c r="J282"/>
      <c r="K282"/>
    </row>
    <row r="283" spans="2:11" ht="14.5" customHeight="1" x14ac:dyDescent="0.2">
      <c r="B283"/>
      <c r="C283"/>
      <c r="D283"/>
      <c r="E283"/>
      <c r="F283"/>
      <c r="G283"/>
      <c r="H283"/>
      <c r="I283"/>
      <c r="J283"/>
      <c r="K283"/>
    </row>
    <row r="284" spans="2:11" ht="14.5" customHeight="1" x14ac:dyDescent="0.2">
      <c r="B284"/>
      <c r="C284"/>
      <c r="D284"/>
      <c r="E284"/>
      <c r="F284"/>
      <c r="G284"/>
      <c r="H284"/>
      <c r="I284"/>
      <c r="J284"/>
      <c r="K284"/>
    </row>
    <row r="285" spans="2:11" ht="14.5" customHeight="1" x14ac:dyDescent="0.2">
      <c r="B285"/>
      <c r="C285"/>
      <c r="D285"/>
      <c r="E285"/>
      <c r="F285"/>
      <c r="G285"/>
      <c r="H285"/>
      <c r="I285"/>
      <c r="J285"/>
      <c r="K285"/>
    </row>
    <row r="286" spans="2:11" ht="14.5" customHeight="1" x14ac:dyDescent="0.2">
      <c r="B286"/>
      <c r="C286"/>
      <c r="D286"/>
      <c r="E286"/>
      <c r="F286"/>
      <c r="G286"/>
      <c r="H286"/>
      <c r="I286"/>
      <c r="J286"/>
      <c r="K286"/>
    </row>
    <row r="287" spans="2:11" ht="14.5" customHeight="1" x14ac:dyDescent="0.2">
      <c r="B287"/>
      <c r="C287"/>
      <c r="D287"/>
      <c r="E287"/>
      <c r="F287"/>
      <c r="G287"/>
      <c r="H287"/>
      <c r="I287"/>
      <c r="J287"/>
      <c r="K287"/>
    </row>
    <row r="288" spans="2:11" ht="14.5" customHeight="1" x14ac:dyDescent="0.2">
      <c r="B288"/>
      <c r="C288"/>
      <c r="D288"/>
      <c r="E288"/>
      <c r="F288"/>
      <c r="G288"/>
      <c r="H288"/>
      <c r="I288"/>
      <c r="J288"/>
      <c r="K288"/>
    </row>
    <row r="289" spans="2:11" ht="14.5" customHeight="1" x14ac:dyDescent="0.2">
      <c r="B289"/>
      <c r="C289"/>
      <c r="D289"/>
      <c r="E289"/>
      <c r="F289"/>
      <c r="G289"/>
      <c r="H289"/>
      <c r="I289"/>
      <c r="J289"/>
      <c r="K289"/>
    </row>
    <row r="290" spans="2:11" ht="14.5" customHeight="1" x14ac:dyDescent="0.2">
      <c r="B290"/>
      <c r="C290"/>
      <c r="D290"/>
      <c r="E290"/>
      <c r="F290"/>
      <c r="G290"/>
      <c r="H290"/>
      <c r="I290"/>
      <c r="J290"/>
      <c r="K290"/>
    </row>
    <row r="291" spans="2:11" ht="14.5" customHeight="1" x14ac:dyDescent="0.2">
      <c r="B291"/>
      <c r="C291"/>
      <c r="D291"/>
      <c r="E291"/>
      <c r="F291"/>
      <c r="G291"/>
      <c r="H291"/>
      <c r="I291"/>
      <c r="J291"/>
      <c r="K291"/>
    </row>
    <row r="292" spans="2:11" ht="14.5" customHeight="1" x14ac:dyDescent="0.2">
      <c r="B292"/>
      <c r="C292"/>
      <c r="D292"/>
      <c r="E292"/>
      <c r="F292"/>
      <c r="G292"/>
      <c r="H292"/>
      <c r="I292"/>
      <c r="J292"/>
      <c r="K292"/>
    </row>
    <row r="293" spans="2:11" ht="14.5" customHeight="1" x14ac:dyDescent="0.2">
      <c r="B293"/>
      <c r="C293"/>
      <c r="D293"/>
      <c r="E293"/>
      <c r="F293"/>
      <c r="G293"/>
      <c r="H293"/>
      <c r="I293"/>
      <c r="J293"/>
      <c r="K293"/>
    </row>
    <row r="294" spans="2:11" ht="14.5" customHeight="1" x14ac:dyDescent="0.2">
      <c r="B294"/>
      <c r="C294"/>
      <c r="D294"/>
      <c r="E294"/>
      <c r="F294"/>
      <c r="G294"/>
      <c r="H294"/>
      <c r="I294"/>
      <c r="J294"/>
      <c r="K294"/>
    </row>
    <row r="295" spans="2:11" ht="14.5" customHeight="1" x14ac:dyDescent="0.2">
      <c r="B295"/>
      <c r="C295"/>
      <c r="D295"/>
      <c r="E295"/>
      <c r="F295"/>
      <c r="G295"/>
      <c r="H295"/>
      <c r="I295"/>
      <c r="J295"/>
      <c r="K295"/>
    </row>
    <row r="296" spans="2:11" ht="14.5" customHeight="1" x14ac:dyDescent="0.2">
      <c r="B296"/>
      <c r="C296"/>
      <c r="D296"/>
      <c r="E296"/>
      <c r="F296"/>
      <c r="G296"/>
      <c r="H296"/>
      <c r="I296"/>
      <c r="J296"/>
      <c r="K296"/>
    </row>
    <row r="297" spans="2:11" ht="14.5" customHeight="1" x14ac:dyDescent="0.2">
      <c r="B297"/>
      <c r="C297"/>
      <c r="D297"/>
      <c r="E297"/>
      <c r="F297"/>
      <c r="G297"/>
      <c r="H297"/>
      <c r="I297"/>
      <c r="J297"/>
      <c r="K297"/>
    </row>
    <row r="298" spans="2:11" ht="14.5" customHeight="1" x14ac:dyDescent="0.2">
      <c r="B298"/>
      <c r="C298"/>
      <c r="D298"/>
      <c r="E298"/>
      <c r="F298"/>
      <c r="G298"/>
      <c r="H298"/>
      <c r="I298"/>
      <c r="J298"/>
      <c r="K298"/>
    </row>
    <row r="299" spans="2:11" ht="14.5" customHeight="1" x14ac:dyDescent="0.2">
      <c r="B299"/>
      <c r="C299"/>
      <c r="D299"/>
      <c r="E299"/>
      <c r="F299"/>
      <c r="G299"/>
      <c r="H299"/>
      <c r="I299"/>
      <c r="J299"/>
      <c r="K299"/>
    </row>
    <row r="300" spans="2:11" ht="14.5" customHeight="1" x14ac:dyDescent="0.2">
      <c r="B300"/>
      <c r="C300"/>
      <c r="D300"/>
      <c r="E300"/>
      <c r="F300"/>
      <c r="G300"/>
      <c r="H300"/>
      <c r="I300"/>
      <c r="J300"/>
      <c r="K300"/>
    </row>
    <row r="301" spans="2:11" ht="14.5" customHeight="1" x14ac:dyDescent="0.2">
      <c r="B301"/>
      <c r="C301"/>
      <c r="D301"/>
      <c r="E301"/>
      <c r="F301"/>
      <c r="G301"/>
      <c r="H301"/>
      <c r="I301"/>
      <c r="J301"/>
      <c r="K301"/>
    </row>
    <row r="302" spans="2:11" ht="14.5" customHeight="1" x14ac:dyDescent="0.2">
      <c r="B302"/>
      <c r="C302"/>
      <c r="D302"/>
      <c r="E302"/>
      <c r="F302"/>
      <c r="G302"/>
      <c r="H302"/>
      <c r="I302"/>
      <c r="J302"/>
      <c r="K302"/>
    </row>
    <row r="303" spans="2:11" ht="14.5" customHeight="1" x14ac:dyDescent="0.2">
      <c r="B303"/>
      <c r="C303"/>
      <c r="D303"/>
      <c r="E303"/>
      <c r="F303"/>
      <c r="G303"/>
      <c r="H303"/>
      <c r="I303"/>
      <c r="J303"/>
      <c r="K303"/>
    </row>
    <row r="304" spans="2:11" ht="14.5" customHeight="1" x14ac:dyDescent="0.2">
      <c r="B304"/>
      <c r="C304"/>
      <c r="D304"/>
      <c r="E304"/>
      <c r="F304"/>
      <c r="G304"/>
      <c r="H304"/>
      <c r="I304"/>
      <c r="J304"/>
      <c r="K304"/>
    </row>
    <row r="305" spans="2:11" ht="14.5" customHeight="1" x14ac:dyDescent="0.2">
      <c r="B305"/>
      <c r="C305"/>
      <c r="D305"/>
      <c r="E305"/>
      <c r="F305"/>
      <c r="G305"/>
      <c r="H305"/>
      <c r="I305"/>
      <c r="J305"/>
      <c r="K305"/>
    </row>
    <row r="306" spans="2:11" ht="14.5" customHeight="1" x14ac:dyDescent="0.2">
      <c r="B306"/>
      <c r="C306"/>
      <c r="D306"/>
      <c r="E306"/>
      <c r="F306"/>
      <c r="G306"/>
      <c r="H306"/>
      <c r="I306"/>
      <c r="J306"/>
      <c r="K306"/>
    </row>
    <row r="307" spans="2:11" ht="14.5" customHeight="1" x14ac:dyDescent="0.2">
      <c r="B307"/>
      <c r="C307"/>
      <c r="D307"/>
      <c r="E307"/>
      <c r="F307"/>
      <c r="G307"/>
      <c r="H307"/>
      <c r="I307"/>
      <c r="J307"/>
      <c r="K307"/>
    </row>
    <row r="308" spans="2:11" ht="14.5" customHeight="1" x14ac:dyDescent="0.2">
      <c r="B308"/>
      <c r="C308"/>
      <c r="D308"/>
      <c r="E308"/>
      <c r="F308"/>
      <c r="G308"/>
      <c r="H308"/>
      <c r="I308"/>
      <c r="J308"/>
      <c r="K308"/>
    </row>
    <row r="309" spans="2:11" ht="14.5" customHeight="1" x14ac:dyDescent="0.2">
      <c r="B309"/>
      <c r="C309"/>
      <c r="D309"/>
      <c r="E309"/>
      <c r="F309"/>
      <c r="G309"/>
      <c r="H309"/>
      <c r="I309"/>
      <c r="J309"/>
      <c r="K309"/>
    </row>
    <row r="310" spans="2:11" ht="14.5" customHeight="1" x14ac:dyDescent="0.2">
      <c r="B310"/>
      <c r="C310"/>
      <c r="D310"/>
      <c r="E310"/>
      <c r="F310"/>
      <c r="G310"/>
      <c r="H310"/>
      <c r="I310"/>
      <c r="J310"/>
      <c r="K310"/>
    </row>
    <row r="311" spans="2:11" ht="14.5" customHeight="1" x14ac:dyDescent="0.2">
      <c r="B311"/>
      <c r="C311"/>
      <c r="D311"/>
      <c r="E311"/>
      <c r="F311"/>
      <c r="G311"/>
      <c r="H311"/>
      <c r="I311"/>
      <c r="J311"/>
      <c r="K311"/>
    </row>
    <row r="312" spans="2:11" ht="14.5" customHeight="1" x14ac:dyDescent="0.2">
      <c r="B312"/>
      <c r="C312"/>
      <c r="D312"/>
      <c r="E312"/>
      <c r="F312"/>
      <c r="G312"/>
      <c r="H312"/>
      <c r="I312"/>
      <c r="J312"/>
      <c r="K312"/>
    </row>
    <row r="313" spans="2:11" ht="14.5" customHeight="1" x14ac:dyDescent="0.2">
      <c r="B313"/>
      <c r="C313"/>
      <c r="D313"/>
      <c r="E313"/>
      <c r="F313"/>
      <c r="G313"/>
      <c r="H313"/>
      <c r="I313"/>
      <c r="J313"/>
      <c r="K313"/>
    </row>
    <row r="314" spans="2:11" ht="14.5" customHeight="1" x14ac:dyDescent="0.2">
      <c r="B314"/>
      <c r="C314"/>
      <c r="D314"/>
      <c r="E314"/>
      <c r="F314"/>
      <c r="G314"/>
      <c r="H314"/>
      <c r="I314"/>
      <c r="J314"/>
      <c r="K314"/>
    </row>
    <row r="315" spans="2:11" ht="14.5" customHeight="1" x14ac:dyDescent="0.2">
      <c r="B315"/>
      <c r="C315"/>
      <c r="D315"/>
      <c r="E315"/>
      <c r="F315"/>
      <c r="G315"/>
      <c r="H315"/>
      <c r="I315"/>
      <c r="J315"/>
      <c r="K315"/>
    </row>
    <row r="316" spans="2:11" ht="14.5" customHeight="1" x14ac:dyDescent="0.2">
      <c r="B316"/>
      <c r="C316"/>
      <c r="D316"/>
      <c r="E316"/>
      <c r="F316"/>
      <c r="G316"/>
      <c r="H316"/>
      <c r="I316"/>
      <c r="J316"/>
      <c r="K316"/>
    </row>
    <row r="317" spans="2:11" ht="14.5" customHeight="1" x14ac:dyDescent="0.2">
      <c r="B317"/>
      <c r="C317"/>
      <c r="D317"/>
      <c r="E317"/>
      <c r="F317"/>
      <c r="G317"/>
      <c r="H317"/>
      <c r="I317"/>
      <c r="J317"/>
      <c r="K317"/>
    </row>
    <row r="318" spans="2:11" ht="14.5" customHeight="1" x14ac:dyDescent="0.2">
      <c r="B318"/>
      <c r="C318"/>
      <c r="D318"/>
      <c r="E318"/>
      <c r="F318"/>
      <c r="G318"/>
      <c r="H318"/>
      <c r="I318"/>
      <c r="J318"/>
      <c r="K318"/>
    </row>
    <row r="319" spans="2:11" ht="14.5" customHeight="1" x14ac:dyDescent="0.2">
      <c r="B319"/>
      <c r="C319"/>
      <c r="D319"/>
      <c r="E319"/>
      <c r="F319"/>
      <c r="G319"/>
      <c r="H319"/>
      <c r="I319"/>
      <c r="J319"/>
      <c r="K319"/>
    </row>
    <row r="320" spans="2:11" ht="14.5" customHeight="1" x14ac:dyDescent="0.2">
      <c r="B320"/>
      <c r="C320"/>
      <c r="D320"/>
      <c r="E320"/>
      <c r="F320"/>
      <c r="G320"/>
      <c r="H320"/>
      <c r="I320"/>
      <c r="J320"/>
      <c r="K320"/>
    </row>
    <row r="321" spans="2:11" ht="14.5" customHeight="1" x14ac:dyDescent="0.2">
      <c r="B321"/>
      <c r="C321"/>
      <c r="D321"/>
      <c r="E321"/>
      <c r="F321"/>
      <c r="G321"/>
      <c r="H321"/>
      <c r="I321"/>
      <c r="J321"/>
      <c r="K321"/>
    </row>
    <row r="322" spans="2:11" ht="14.5" customHeight="1" x14ac:dyDescent="0.2">
      <c r="B322"/>
      <c r="C322"/>
      <c r="D322"/>
      <c r="E322"/>
      <c r="F322"/>
      <c r="G322"/>
      <c r="H322"/>
      <c r="I322"/>
      <c r="J322"/>
      <c r="K322"/>
    </row>
    <row r="323" spans="2:11" ht="14.5" customHeight="1" x14ac:dyDescent="0.2">
      <c r="B323"/>
      <c r="C323"/>
      <c r="D323"/>
      <c r="E323"/>
      <c r="F323"/>
      <c r="G323"/>
      <c r="H323"/>
      <c r="I323"/>
      <c r="J323"/>
      <c r="K323"/>
    </row>
    <row r="324" spans="2:11" ht="14.5" customHeight="1" x14ac:dyDescent="0.2">
      <c r="B324"/>
      <c r="C324"/>
      <c r="D324"/>
      <c r="E324"/>
      <c r="F324"/>
      <c r="G324"/>
      <c r="H324"/>
      <c r="I324"/>
      <c r="J324"/>
      <c r="K324"/>
    </row>
    <row r="325" spans="2:11" ht="14.5" customHeight="1" x14ac:dyDescent="0.2">
      <c r="B325"/>
      <c r="C325"/>
      <c r="D325"/>
      <c r="E325"/>
      <c r="F325"/>
      <c r="G325"/>
      <c r="H325"/>
      <c r="I325"/>
      <c r="J325"/>
      <c r="K325"/>
    </row>
    <row r="326" spans="2:11" ht="14.5" customHeight="1" x14ac:dyDescent="0.2">
      <c r="B326"/>
      <c r="C326"/>
      <c r="D326"/>
      <c r="E326"/>
      <c r="F326"/>
      <c r="G326"/>
      <c r="H326"/>
      <c r="I326"/>
      <c r="J326"/>
      <c r="K326"/>
    </row>
    <row r="327" spans="2:11" ht="14.5" customHeight="1" x14ac:dyDescent="0.2">
      <c r="B327"/>
      <c r="C327"/>
      <c r="D327"/>
      <c r="E327"/>
      <c r="F327"/>
      <c r="G327"/>
      <c r="H327"/>
      <c r="I327"/>
      <c r="J327"/>
      <c r="K327"/>
    </row>
    <row r="328" spans="2:11" ht="14.5" customHeight="1" x14ac:dyDescent="0.2">
      <c r="B328"/>
      <c r="C328"/>
      <c r="D328"/>
      <c r="E328"/>
      <c r="F328"/>
      <c r="G328"/>
      <c r="H328"/>
      <c r="I328"/>
      <c r="J328"/>
      <c r="K328"/>
    </row>
    <row r="329" spans="2:11" ht="14.5" customHeight="1" x14ac:dyDescent="0.2">
      <c r="B329"/>
      <c r="C329"/>
      <c r="D329"/>
      <c r="E329"/>
      <c r="F329"/>
      <c r="G329"/>
      <c r="H329"/>
      <c r="I329"/>
      <c r="J329"/>
      <c r="K329"/>
    </row>
    <row r="330" spans="2:11" ht="14.5" customHeight="1" x14ac:dyDescent="0.2">
      <c r="B330"/>
      <c r="C330"/>
      <c r="D330"/>
      <c r="E330"/>
      <c r="F330"/>
      <c r="G330"/>
      <c r="H330"/>
      <c r="I330"/>
      <c r="J330"/>
      <c r="K330"/>
    </row>
    <row r="331" spans="2:11" ht="14.5" customHeight="1" x14ac:dyDescent="0.2">
      <c r="B331"/>
      <c r="C331"/>
      <c r="D331"/>
      <c r="E331"/>
      <c r="F331"/>
      <c r="G331"/>
      <c r="H331"/>
      <c r="I331"/>
      <c r="J331"/>
      <c r="K331"/>
    </row>
    <row r="332" spans="2:11" ht="14.5" customHeight="1" x14ac:dyDescent="0.2">
      <c r="B332"/>
      <c r="C332"/>
      <c r="D332"/>
      <c r="E332"/>
      <c r="F332"/>
      <c r="G332"/>
      <c r="H332"/>
      <c r="I332"/>
      <c r="J332"/>
      <c r="K332"/>
    </row>
    <row r="333" spans="2:11" ht="14.5" customHeight="1" x14ac:dyDescent="0.2">
      <c r="B333"/>
      <c r="C333"/>
      <c r="D333"/>
      <c r="E333"/>
      <c r="F333"/>
      <c r="G333"/>
      <c r="H333"/>
      <c r="I333"/>
      <c r="J333"/>
      <c r="K333"/>
    </row>
    <row r="334" spans="2:11" ht="14.5" customHeight="1" x14ac:dyDescent="0.2">
      <c r="B334"/>
      <c r="C334"/>
      <c r="D334"/>
      <c r="E334"/>
      <c r="F334"/>
      <c r="G334"/>
      <c r="H334"/>
      <c r="I334"/>
      <c r="J334"/>
      <c r="K334"/>
    </row>
    <row r="335" spans="2:11" ht="14.5" customHeight="1" x14ac:dyDescent="0.2">
      <c r="B335"/>
      <c r="C335"/>
      <c r="D335"/>
      <c r="E335"/>
      <c r="F335"/>
      <c r="G335"/>
      <c r="H335"/>
      <c r="I335"/>
      <c r="J335"/>
      <c r="K335"/>
    </row>
    <row r="336" spans="2:11" ht="14.5" customHeight="1" x14ac:dyDescent="0.2">
      <c r="B336"/>
      <c r="C336"/>
      <c r="D336"/>
      <c r="E336"/>
      <c r="F336"/>
      <c r="G336"/>
      <c r="H336"/>
      <c r="I336"/>
      <c r="J336"/>
      <c r="K336"/>
    </row>
    <row r="337" spans="2:11" ht="14.5" customHeight="1" x14ac:dyDescent="0.2">
      <c r="B337"/>
      <c r="C337"/>
      <c r="D337"/>
      <c r="E337"/>
      <c r="F337"/>
      <c r="G337"/>
      <c r="H337"/>
      <c r="I337"/>
      <c r="J337"/>
      <c r="K337"/>
    </row>
    <row r="338" spans="2:11" ht="14.5" customHeight="1" x14ac:dyDescent="0.2">
      <c r="B338"/>
      <c r="C338"/>
      <c r="D338"/>
      <c r="E338"/>
      <c r="F338"/>
      <c r="G338"/>
      <c r="H338"/>
      <c r="I338"/>
      <c r="J338"/>
      <c r="K338"/>
    </row>
    <row r="339" spans="2:11" ht="14.5" customHeight="1" x14ac:dyDescent="0.2">
      <c r="B339"/>
      <c r="C339"/>
      <c r="D339"/>
      <c r="E339"/>
      <c r="F339"/>
      <c r="G339"/>
      <c r="H339"/>
      <c r="I339"/>
      <c r="J339"/>
      <c r="K339"/>
    </row>
    <row r="340" spans="2:11" ht="14.5" customHeight="1" x14ac:dyDescent="0.2">
      <c r="B340"/>
      <c r="C340"/>
      <c r="D340"/>
      <c r="E340"/>
      <c r="F340"/>
      <c r="G340"/>
      <c r="H340"/>
      <c r="I340"/>
      <c r="J340"/>
      <c r="K340"/>
    </row>
    <row r="341" spans="2:11" ht="14.5" customHeight="1" x14ac:dyDescent="0.2">
      <c r="B341"/>
      <c r="C341"/>
      <c r="D341"/>
      <c r="E341"/>
      <c r="F341"/>
      <c r="G341"/>
      <c r="H341"/>
      <c r="I341"/>
      <c r="J341"/>
      <c r="K341"/>
    </row>
    <row r="342" spans="2:11" ht="14.5" customHeight="1" x14ac:dyDescent="0.2">
      <c r="B342"/>
      <c r="C342"/>
      <c r="D342"/>
      <c r="E342"/>
      <c r="F342"/>
      <c r="G342"/>
      <c r="H342"/>
      <c r="I342"/>
      <c r="J342"/>
      <c r="K342"/>
    </row>
    <row r="343" spans="2:11" ht="14.5" customHeight="1" x14ac:dyDescent="0.2">
      <c r="B343"/>
      <c r="C343"/>
      <c r="D343"/>
      <c r="E343"/>
      <c r="F343"/>
      <c r="G343"/>
      <c r="H343"/>
      <c r="I343"/>
      <c r="J343"/>
      <c r="K343"/>
    </row>
    <row r="344" spans="2:11" ht="14.5" customHeight="1" x14ac:dyDescent="0.2">
      <c r="B344"/>
      <c r="C344"/>
      <c r="D344"/>
      <c r="E344"/>
      <c r="F344"/>
      <c r="G344"/>
      <c r="H344"/>
      <c r="I344"/>
      <c r="J344"/>
      <c r="K344"/>
    </row>
    <row r="345" spans="2:11" ht="14.5" customHeight="1" x14ac:dyDescent="0.2">
      <c r="B345"/>
      <c r="C345"/>
      <c r="D345"/>
      <c r="E345"/>
      <c r="F345"/>
      <c r="G345"/>
      <c r="H345"/>
      <c r="I345"/>
      <c r="J345"/>
      <c r="K345"/>
    </row>
    <row r="346" spans="2:11" ht="14.5" customHeight="1" x14ac:dyDescent="0.2">
      <c r="B346"/>
      <c r="C346"/>
      <c r="D346"/>
      <c r="E346"/>
      <c r="F346"/>
      <c r="G346"/>
      <c r="H346"/>
      <c r="I346"/>
      <c r="J346"/>
      <c r="K346"/>
    </row>
    <row r="347" spans="2:11" ht="14.5" customHeight="1" x14ac:dyDescent="0.2">
      <c r="B347"/>
      <c r="C347"/>
      <c r="D347"/>
      <c r="E347"/>
      <c r="F347"/>
      <c r="G347"/>
      <c r="H347"/>
      <c r="I347"/>
      <c r="J347"/>
      <c r="K347"/>
    </row>
    <row r="348" spans="2:11" ht="14.5" customHeight="1" x14ac:dyDescent="0.2">
      <c r="B348"/>
      <c r="C348"/>
      <c r="D348"/>
      <c r="E348"/>
      <c r="F348"/>
      <c r="G348"/>
      <c r="H348"/>
      <c r="I348"/>
      <c r="J348"/>
      <c r="K348"/>
    </row>
    <row r="349" spans="2:11" ht="14.5" customHeight="1" x14ac:dyDescent="0.2">
      <c r="B349"/>
      <c r="C349"/>
      <c r="D349"/>
      <c r="E349"/>
      <c r="F349"/>
      <c r="G349"/>
      <c r="H349"/>
      <c r="I349"/>
      <c r="J349"/>
      <c r="K349"/>
    </row>
    <row r="350" spans="2:11" ht="14.5" customHeight="1" x14ac:dyDescent="0.2">
      <c r="B350"/>
      <c r="C350"/>
      <c r="D350"/>
      <c r="E350"/>
      <c r="F350"/>
      <c r="G350"/>
      <c r="H350"/>
      <c r="I350"/>
      <c r="J350"/>
      <c r="K350"/>
    </row>
    <row r="351" spans="2:11" ht="14.5" customHeight="1" x14ac:dyDescent="0.2">
      <c r="B351"/>
      <c r="C351"/>
      <c r="D351"/>
      <c r="E351"/>
      <c r="F351"/>
      <c r="G351"/>
      <c r="H351"/>
      <c r="I351"/>
      <c r="J351"/>
      <c r="K351"/>
    </row>
    <row r="352" spans="2:11" ht="14.5" customHeight="1" x14ac:dyDescent="0.2">
      <c r="B352"/>
      <c r="C352"/>
      <c r="D352"/>
      <c r="E352"/>
      <c r="F352"/>
      <c r="G352"/>
      <c r="H352"/>
      <c r="I352"/>
      <c r="J352"/>
      <c r="K352"/>
    </row>
    <row r="353" spans="2:11" ht="14.5" customHeight="1" x14ac:dyDescent="0.2">
      <c r="B353"/>
      <c r="C353"/>
      <c r="D353"/>
      <c r="E353"/>
      <c r="F353"/>
      <c r="G353"/>
      <c r="H353"/>
      <c r="I353"/>
      <c r="J353"/>
      <c r="K353"/>
    </row>
    <row r="354" spans="2:11" ht="14.5" customHeight="1" x14ac:dyDescent="0.2">
      <c r="B354"/>
      <c r="C354"/>
      <c r="D354"/>
      <c r="E354"/>
      <c r="F354"/>
      <c r="G354"/>
      <c r="H354"/>
      <c r="I354"/>
      <c r="J354"/>
      <c r="K354"/>
    </row>
    <row r="355" spans="2:11" ht="14.5" customHeight="1" x14ac:dyDescent="0.2">
      <c r="B355"/>
      <c r="C355"/>
      <c r="D355"/>
      <c r="E355"/>
      <c r="F355"/>
      <c r="G355"/>
      <c r="H355"/>
      <c r="I355"/>
      <c r="J355"/>
      <c r="K355"/>
    </row>
    <row r="356" spans="2:11" ht="14.5" customHeight="1" x14ac:dyDescent="0.2">
      <c r="B356"/>
      <c r="C356"/>
      <c r="D356"/>
      <c r="E356"/>
      <c r="F356"/>
      <c r="G356"/>
      <c r="H356"/>
      <c r="I356"/>
      <c r="J356"/>
      <c r="K356"/>
    </row>
    <row r="357" spans="2:11" ht="14.5" customHeight="1" x14ac:dyDescent="0.2">
      <c r="B357"/>
      <c r="C357"/>
      <c r="D357"/>
      <c r="E357"/>
      <c r="F357"/>
      <c r="G357"/>
      <c r="H357"/>
      <c r="I357"/>
      <c r="J357"/>
      <c r="K357"/>
    </row>
    <row r="358" spans="2:11" ht="14.5" customHeight="1" x14ac:dyDescent="0.2">
      <c r="B358"/>
      <c r="C358"/>
      <c r="D358"/>
      <c r="E358"/>
      <c r="F358"/>
      <c r="G358"/>
      <c r="H358"/>
      <c r="I358"/>
      <c r="J358"/>
      <c r="K358"/>
    </row>
    <row r="359" spans="2:11" ht="14.5" customHeight="1" x14ac:dyDescent="0.2">
      <c r="B359"/>
      <c r="C359"/>
      <c r="D359"/>
      <c r="E359"/>
      <c r="F359"/>
      <c r="G359"/>
      <c r="H359"/>
      <c r="I359"/>
      <c r="J359"/>
      <c r="K359"/>
    </row>
    <row r="360" spans="2:11" ht="14.5" customHeight="1" x14ac:dyDescent="0.2">
      <c r="B360"/>
      <c r="C360"/>
      <c r="D360"/>
      <c r="E360"/>
      <c r="F360"/>
      <c r="G360"/>
      <c r="H360"/>
      <c r="I360"/>
      <c r="J360"/>
      <c r="K360"/>
    </row>
    <row r="361" spans="2:11" ht="14.5" customHeight="1" x14ac:dyDescent="0.2">
      <c r="B361"/>
      <c r="C361"/>
      <c r="D361"/>
      <c r="E361"/>
      <c r="F361"/>
      <c r="G361"/>
      <c r="H361"/>
      <c r="I361"/>
      <c r="J361"/>
      <c r="K361"/>
    </row>
    <row r="362" spans="2:11" ht="14.5" customHeight="1" x14ac:dyDescent="0.2">
      <c r="B362"/>
      <c r="C362"/>
      <c r="D362"/>
      <c r="E362"/>
      <c r="F362"/>
      <c r="G362"/>
      <c r="H362"/>
      <c r="I362"/>
      <c r="J362"/>
      <c r="K362"/>
    </row>
    <row r="363" spans="2:11" ht="14.5" customHeight="1" x14ac:dyDescent="0.2">
      <c r="B363"/>
      <c r="C363"/>
      <c r="D363"/>
      <c r="E363"/>
      <c r="F363"/>
      <c r="G363"/>
      <c r="H363"/>
      <c r="I363"/>
      <c r="J363"/>
      <c r="K363"/>
    </row>
    <row r="364" spans="2:11" ht="14.5" customHeight="1" x14ac:dyDescent="0.2">
      <c r="B364"/>
      <c r="C364"/>
      <c r="D364"/>
      <c r="E364"/>
      <c r="F364"/>
      <c r="G364"/>
      <c r="H364"/>
      <c r="I364"/>
      <c r="J364"/>
      <c r="K364"/>
    </row>
    <row r="365" spans="2:11" ht="14.5" customHeight="1" x14ac:dyDescent="0.2">
      <c r="B365"/>
      <c r="C365"/>
      <c r="D365"/>
      <c r="E365"/>
      <c r="F365"/>
      <c r="G365"/>
      <c r="H365"/>
      <c r="I365"/>
      <c r="J365"/>
      <c r="K365"/>
    </row>
    <row r="366" spans="2:11" ht="14.5" customHeight="1" x14ac:dyDescent="0.2">
      <c r="B366"/>
      <c r="C366"/>
      <c r="D366"/>
      <c r="E366"/>
      <c r="F366"/>
      <c r="G366"/>
      <c r="H366"/>
      <c r="I366"/>
      <c r="J366"/>
      <c r="K366"/>
    </row>
    <row r="367" spans="2:11" ht="14.5" customHeight="1" x14ac:dyDescent="0.2">
      <c r="B367"/>
      <c r="C367"/>
      <c r="D367"/>
      <c r="E367"/>
      <c r="F367"/>
      <c r="G367"/>
      <c r="H367"/>
      <c r="I367"/>
      <c r="J367"/>
      <c r="K367"/>
    </row>
    <row r="368" spans="2:11" ht="14.5" customHeight="1" x14ac:dyDescent="0.2">
      <c r="B368"/>
      <c r="C368"/>
      <c r="D368"/>
      <c r="E368"/>
      <c r="F368"/>
      <c r="G368"/>
      <c r="H368"/>
      <c r="I368"/>
      <c r="J368"/>
      <c r="K368"/>
    </row>
    <row r="369" spans="2:11" ht="14.5" customHeight="1" x14ac:dyDescent="0.2">
      <c r="B369"/>
      <c r="C369"/>
      <c r="D369"/>
      <c r="E369"/>
      <c r="F369"/>
      <c r="G369"/>
      <c r="H369"/>
      <c r="I369"/>
      <c r="J369"/>
      <c r="K369"/>
    </row>
    <row r="370" spans="2:11" ht="14.5" customHeight="1" x14ac:dyDescent="0.2">
      <c r="B370"/>
      <c r="C370"/>
      <c r="D370"/>
      <c r="E370"/>
      <c r="F370"/>
      <c r="G370"/>
      <c r="H370"/>
      <c r="I370"/>
      <c r="J370"/>
      <c r="K370"/>
    </row>
    <row r="371" spans="2:11" ht="14.5" customHeight="1" x14ac:dyDescent="0.2">
      <c r="B371"/>
      <c r="C371"/>
      <c r="D371"/>
      <c r="E371"/>
      <c r="F371"/>
      <c r="G371"/>
      <c r="H371"/>
      <c r="I371"/>
      <c r="J371"/>
      <c r="K371"/>
    </row>
    <row r="372" spans="2:11" ht="14.5" customHeight="1" x14ac:dyDescent="0.2">
      <c r="B372"/>
      <c r="C372"/>
      <c r="D372"/>
      <c r="E372"/>
      <c r="F372"/>
      <c r="G372"/>
      <c r="H372"/>
      <c r="I372"/>
      <c r="J372"/>
      <c r="K372"/>
    </row>
    <row r="373" spans="2:11" ht="14.5" customHeight="1" x14ac:dyDescent="0.2">
      <c r="B373"/>
      <c r="C373"/>
      <c r="D373"/>
      <c r="E373"/>
      <c r="F373"/>
      <c r="G373"/>
      <c r="H373"/>
      <c r="I373"/>
      <c r="J373"/>
      <c r="K373"/>
    </row>
    <row r="374" spans="2:11" ht="14.5" customHeight="1" x14ac:dyDescent="0.2">
      <c r="B374"/>
      <c r="C374"/>
      <c r="D374"/>
      <c r="E374"/>
      <c r="F374"/>
      <c r="G374"/>
      <c r="H374"/>
      <c r="I374"/>
      <c r="J374"/>
      <c r="K374"/>
    </row>
    <row r="375" spans="2:11" ht="14.5" customHeight="1" x14ac:dyDescent="0.2">
      <c r="B375"/>
      <c r="C375"/>
      <c r="D375"/>
      <c r="E375"/>
      <c r="F375"/>
      <c r="G375"/>
      <c r="H375"/>
      <c r="I375"/>
      <c r="J375"/>
      <c r="K375"/>
    </row>
    <row r="376" spans="2:11" ht="14.5" customHeight="1" x14ac:dyDescent="0.2">
      <c r="B376"/>
      <c r="C376"/>
      <c r="D376"/>
      <c r="E376"/>
      <c r="F376"/>
      <c r="G376"/>
      <c r="H376"/>
      <c r="I376"/>
      <c r="J376"/>
      <c r="K376"/>
    </row>
    <row r="377" spans="2:11" ht="14.5" customHeight="1" x14ac:dyDescent="0.2">
      <c r="B377"/>
      <c r="C377"/>
      <c r="D377"/>
      <c r="E377"/>
      <c r="F377"/>
      <c r="G377"/>
      <c r="H377"/>
      <c r="I377"/>
      <c r="J377"/>
      <c r="K377"/>
    </row>
    <row r="378" spans="2:11" ht="14.5" customHeight="1" x14ac:dyDescent="0.2">
      <c r="B378"/>
      <c r="C378"/>
      <c r="D378"/>
      <c r="E378"/>
      <c r="F378"/>
      <c r="G378"/>
      <c r="H378"/>
      <c r="I378"/>
      <c r="J378"/>
      <c r="K378"/>
    </row>
    <row r="379" spans="2:11" ht="14.5" customHeight="1" x14ac:dyDescent="0.2">
      <c r="B379"/>
      <c r="C379"/>
      <c r="D379"/>
      <c r="E379"/>
      <c r="F379"/>
      <c r="G379"/>
      <c r="H379"/>
      <c r="I379"/>
      <c r="J379"/>
      <c r="K379"/>
    </row>
    <row r="380" spans="2:11" ht="14.5" customHeight="1" x14ac:dyDescent="0.2">
      <c r="B380"/>
      <c r="C380"/>
      <c r="D380"/>
      <c r="E380"/>
      <c r="F380"/>
      <c r="G380"/>
      <c r="H380"/>
      <c r="I380"/>
      <c r="J380"/>
      <c r="K380"/>
    </row>
    <row r="381" spans="2:11" ht="14.5" customHeight="1" x14ac:dyDescent="0.2">
      <c r="B381"/>
      <c r="C381"/>
      <c r="D381"/>
      <c r="E381"/>
      <c r="F381"/>
      <c r="G381"/>
      <c r="H381"/>
      <c r="I381"/>
      <c r="J381"/>
      <c r="K381"/>
    </row>
    <row r="382" spans="2:11" ht="14.5" customHeight="1" x14ac:dyDescent="0.2">
      <c r="B382"/>
      <c r="C382"/>
      <c r="D382"/>
      <c r="E382"/>
      <c r="F382"/>
      <c r="G382"/>
      <c r="H382"/>
      <c r="I382"/>
      <c r="J382"/>
      <c r="K382"/>
    </row>
    <row r="383" spans="2:11" ht="14.5" customHeight="1" x14ac:dyDescent="0.2">
      <c r="B383"/>
      <c r="C383"/>
      <c r="D383"/>
      <c r="E383"/>
      <c r="F383"/>
      <c r="G383"/>
      <c r="H383"/>
      <c r="I383"/>
      <c r="J383"/>
      <c r="K383"/>
    </row>
    <row r="384" spans="2:11" ht="14.5" customHeight="1" x14ac:dyDescent="0.2">
      <c r="B384"/>
      <c r="C384"/>
      <c r="D384"/>
      <c r="E384"/>
      <c r="F384"/>
      <c r="G384"/>
      <c r="H384"/>
      <c r="I384"/>
      <c r="J384"/>
      <c r="K384"/>
    </row>
    <row r="385" spans="2:11" ht="14.5" customHeight="1" x14ac:dyDescent="0.2">
      <c r="B385"/>
      <c r="C385"/>
      <c r="D385"/>
      <c r="E385"/>
      <c r="F385"/>
      <c r="G385"/>
      <c r="H385"/>
      <c r="I385"/>
      <c r="J385"/>
      <c r="K385"/>
    </row>
    <row r="386" spans="2:11" ht="14.5" customHeight="1" x14ac:dyDescent="0.2">
      <c r="B386"/>
      <c r="C386"/>
      <c r="D386"/>
      <c r="E386"/>
      <c r="F386"/>
      <c r="G386"/>
      <c r="H386"/>
      <c r="I386"/>
      <c r="J386"/>
      <c r="K386"/>
    </row>
    <row r="387" spans="2:11" ht="14.5" customHeight="1" x14ac:dyDescent="0.2">
      <c r="B387"/>
      <c r="C387"/>
      <c r="D387"/>
      <c r="E387"/>
      <c r="F387"/>
      <c r="G387"/>
      <c r="H387"/>
      <c r="I387"/>
      <c r="J387"/>
      <c r="K387"/>
    </row>
    <row r="388" spans="2:11" ht="14.5" customHeight="1" x14ac:dyDescent="0.2">
      <c r="B388"/>
      <c r="C388"/>
      <c r="D388"/>
      <c r="E388"/>
      <c r="F388"/>
      <c r="G388"/>
      <c r="H388"/>
      <c r="I388"/>
      <c r="J388"/>
      <c r="K388"/>
    </row>
    <row r="389" spans="2:11" ht="14.5" customHeight="1" x14ac:dyDescent="0.2">
      <c r="B389"/>
      <c r="C389"/>
      <c r="D389"/>
      <c r="E389"/>
      <c r="F389"/>
      <c r="G389"/>
      <c r="H389"/>
      <c r="I389"/>
      <c r="J389"/>
      <c r="K389"/>
    </row>
    <row r="390" spans="2:11" ht="14.5" customHeight="1" x14ac:dyDescent="0.2">
      <c r="B390"/>
      <c r="C390"/>
      <c r="D390"/>
      <c r="E390"/>
      <c r="F390"/>
      <c r="G390"/>
      <c r="H390"/>
      <c r="I390"/>
      <c r="J390"/>
      <c r="K390"/>
    </row>
    <row r="391" spans="2:11" ht="14.5" customHeight="1" x14ac:dyDescent="0.2">
      <c r="B391"/>
      <c r="C391"/>
      <c r="D391"/>
      <c r="E391"/>
      <c r="F391"/>
      <c r="G391"/>
      <c r="H391"/>
      <c r="I391"/>
      <c r="J391"/>
      <c r="K391"/>
    </row>
    <row r="392" spans="2:11" ht="14.5" customHeight="1" x14ac:dyDescent="0.2">
      <c r="B392"/>
      <c r="C392"/>
      <c r="D392"/>
      <c r="E392"/>
      <c r="F392"/>
      <c r="G392"/>
      <c r="H392"/>
      <c r="I392"/>
      <c r="J392"/>
      <c r="K392"/>
    </row>
    <row r="393" spans="2:11" ht="14.5" customHeight="1" x14ac:dyDescent="0.2">
      <c r="B393"/>
      <c r="C393"/>
      <c r="D393"/>
      <c r="E393"/>
      <c r="F393"/>
      <c r="G393"/>
      <c r="H393"/>
      <c r="I393"/>
      <c r="J393"/>
      <c r="K393"/>
    </row>
    <row r="394" spans="2:11" ht="14.5" customHeight="1" x14ac:dyDescent="0.2">
      <c r="B394"/>
      <c r="C394"/>
      <c r="D394"/>
      <c r="E394"/>
      <c r="F394"/>
      <c r="G394"/>
      <c r="H394"/>
      <c r="I394"/>
      <c r="J394"/>
      <c r="K394"/>
    </row>
    <row r="395" spans="2:11" ht="14.5" customHeight="1" x14ac:dyDescent="0.2">
      <c r="B395"/>
      <c r="C395"/>
      <c r="D395"/>
      <c r="E395"/>
      <c r="F395"/>
      <c r="G395"/>
      <c r="H395"/>
      <c r="I395"/>
      <c r="J395"/>
      <c r="K395"/>
    </row>
    <row r="396" spans="2:11" ht="14.5" customHeight="1" x14ac:dyDescent="0.2">
      <c r="B396"/>
      <c r="C396"/>
      <c r="D396"/>
      <c r="E396"/>
      <c r="F396"/>
      <c r="G396"/>
      <c r="H396"/>
      <c r="I396"/>
      <c r="J396"/>
      <c r="K396"/>
    </row>
    <row r="397" spans="2:11" ht="14.5" customHeight="1" x14ac:dyDescent="0.2">
      <c r="B397"/>
      <c r="C397"/>
      <c r="D397"/>
      <c r="E397"/>
      <c r="F397"/>
      <c r="G397"/>
      <c r="H397"/>
      <c r="I397"/>
      <c r="J397"/>
      <c r="K397"/>
    </row>
    <row r="398" spans="2:11" ht="14.5" customHeight="1" x14ac:dyDescent="0.2">
      <c r="B398"/>
      <c r="C398"/>
      <c r="D398"/>
      <c r="E398"/>
      <c r="F398"/>
      <c r="G398"/>
      <c r="H398"/>
      <c r="I398"/>
      <c r="J398"/>
      <c r="K398"/>
    </row>
    <row r="399" spans="2:11" ht="14.5" customHeight="1" x14ac:dyDescent="0.2">
      <c r="B399"/>
      <c r="C399"/>
      <c r="D399"/>
      <c r="E399"/>
      <c r="F399"/>
      <c r="G399"/>
      <c r="H399"/>
      <c r="I399"/>
      <c r="J399"/>
      <c r="K399"/>
    </row>
    <row r="400" spans="2:11" ht="14.5" customHeight="1" x14ac:dyDescent="0.2">
      <c r="B400"/>
      <c r="C400"/>
      <c r="D400"/>
      <c r="E400"/>
      <c r="F400"/>
      <c r="G400"/>
      <c r="H400"/>
      <c r="I400"/>
      <c r="J400"/>
      <c r="K400"/>
    </row>
    <row r="401" spans="2:11" ht="14.5" customHeight="1" x14ac:dyDescent="0.2">
      <c r="B401"/>
      <c r="C401"/>
      <c r="D401"/>
      <c r="E401"/>
      <c r="F401"/>
      <c r="G401"/>
      <c r="H401"/>
      <c r="I401"/>
      <c r="J401"/>
      <c r="K401"/>
    </row>
    <row r="402" spans="2:11" ht="14.5" customHeight="1" x14ac:dyDescent="0.2">
      <c r="B402"/>
      <c r="C402"/>
      <c r="D402"/>
      <c r="E402"/>
      <c r="F402"/>
      <c r="G402"/>
      <c r="H402"/>
      <c r="I402"/>
      <c r="J402"/>
      <c r="K402"/>
    </row>
    <row r="403" spans="2:11" ht="14.5" customHeight="1" x14ac:dyDescent="0.2">
      <c r="B403"/>
      <c r="C403"/>
      <c r="D403"/>
      <c r="E403"/>
      <c r="F403"/>
      <c r="G403"/>
      <c r="H403"/>
      <c r="I403"/>
      <c r="J403"/>
      <c r="K403"/>
    </row>
    <row r="404" spans="2:11" ht="14.5" customHeight="1" x14ac:dyDescent="0.2">
      <c r="B404"/>
      <c r="C404"/>
      <c r="D404"/>
      <c r="E404"/>
      <c r="F404"/>
      <c r="G404"/>
      <c r="H404"/>
      <c r="I404"/>
      <c r="J404"/>
      <c r="K404"/>
    </row>
    <row r="405" spans="2:11" ht="14.5" customHeight="1" x14ac:dyDescent="0.2">
      <c r="B405"/>
      <c r="C405"/>
      <c r="D405"/>
      <c r="E405"/>
      <c r="F405"/>
      <c r="G405"/>
      <c r="H405"/>
      <c r="I405"/>
      <c r="J405"/>
      <c r="K405"/>
    </row>
    <row r="406" spans="2:11" ht="14.5" customHeight="1" x14ac:dyDescent="0.2">
      <c r="B406"/>
      <c r="C406"/>
      <c r="D406"/>
      <c r="E406"/>
      <c r="F406"/>
      <c r="G406"/>
      <c r="H406"/>
      <c r="I406"/>
      <c r="J406"/>
      <c r="K406"/>
    </row>
    <row r="407" spans="2:11" ht="14.5" customHeight="1" x14ac:dyDescent="0.2">
      <c r="B407"/>
      <c r="C407"/>
      <c r="D407"/>
      <c r="E407"/>
      <c r="F407"/>
      <c r="G407"/>
      <c r="H407"/>
      <c r="I407"/>
      <c r="J407"/>
      <c r="K407"/>
    </row>
    <row r="408" spans="2:11" ht="14.5" customHeight="1" x14ac:dyDescent="0.2">
      <c r="B408"/>
      <c r="C408"/>
      <c r="D408"/>
      <c r="E408"/>
      <c r="F408"/>
      <c r="G408"/>
      <c r="H408"/>
      <c r="I408"/>
      <c r="J408"/>
      <c r="K408"/>
    </row>
    <row r="409" spans="2:11" ht="14.5" customHeight="1" x14ac:dyDescent="0.2">
      <c r="B409"/>
      <c r="C409"/>
      <c r="D409"/>
      <c r="E409"/>
      <c r="F409"/>
      <c r="G409"/>
      <c r="H409"/>
      <c r="I409"/>
      <c r="J409"/>
      <c r="K409"/>
    </row>
    <row r="410" spans="2:11" ht="14.5" customHeight="1" x14ac:dyDescent="0.2">
      <c r="B410"/>
      <c r="C410"/>
      <c r="D410"/>
      <c r="E410"/>
      <c r="F410"/>
      <c r="G410"/>
      <c r="H410"/>
      <c r="I410"/>
      <c r="J410"/>
      <c r="K410"/>
    </row>
    <row r="411" spans="2:11" ht="14.5" customHeight="1" x14ac:dyDescent="0.2">
      <c r="B411"/>
      <c r="C411"/>
      <c r="D411"/>
      <c r="E411"/>
      <c r="F411"/>
      <c r="G411"/>
      <c r="H411"/>
      <c r="I411"/>
      <c r="J411"/>
      <c r="K411"/>
    </row>
    <row r="412" spans="2:11" ht="14.5" customHeight="1" x14ac:dyDescent="0.2">
      <c r="B412"/>
      <c r="C412"/>
      <c r="D412"/>
      <c r="E412"/>
      <c r="F412"/>
      <c r="G412"/>
      <c r="H412"/>
      <c r="I412"/>
      <c r="J412"/>
      <c r="K412"/>
    </row>
    <row r="413" spans="2:11" ht="14.5" customHeight="1" x14ac:dyDescent="0.2">
      <c r="B413"/>
      <c r="C413"/>
      <c r="D413"/>
      <c r="E413"/>
      <c r="F413"/>
      <c r="G413"/>
      <c r="H413"/>
      <c r="I413"/>
      <c r="J413"/>
      <c r="K413"/>
    </row>
    <row r="414" spans="2:11" ht="14.5" customHeight="1" x14ac:dyDescent="0.2">
      <c r="B414"/>
      <c r="C414"/>
      <c r="D414"/>
      <c r="E414"/>
      <c r="F414"/>
      <c r="G414"/>
      <c r="H414"/>
      <c r="I414"/>
      <c r="J414"/>
      <c r="K414"/>
    </row>
    <row r="415" spans="2:11" ht="14.5" customHeight="1" x14ac:dyDescent="0.2">
      <c r="B415"/>
      <c r="C415"/>
      <c r="D415"/>
      <c r="E415"/>
      <c r="F415"/>
      <c r="G415"/>
      <c r="H415"/>
      <c r="I415"/>
      <c r="J415"/>
      <c r="K415"/>
    </row>
    <row r="416" spans="2:11" ht="14.5" customHeight="1" x14ac:dyDescent="0.2">
      <c r="B416"/>
      <c r="C416"/>
      <c r="D416"/>
      <c r="E416"/>
      <c r="F416"/>
      <c r="G416"/>
      <c r="H416"/>
      <c r="I416"/>
      <c r="J416"/>
      <c r="K416"/>
    </row>
    <row r="417" spans="2:11" ht="14.5" customHeight="1" x14ac:dyDescent="0.2">
      <c r="B417"/>
      <c r="C417"/>
      <c r="D417"/>
      <c r="E417"/>
      <c r="F417"/>
      <c r="G417"/>
      <c r="H417"/>
      <c r="I417"/>
      <c r="J417"/>
      <c r="K417"/>
    </row>
    <row r="418" spans="2:11" ht="14.5" customHeight="1" x14ac:dyDescent="0.2">
      <c r="B418"/>
      <c r="C418"/>
      <c r="D418"/>
      <c r="E418"/>
      <c r="F418"/>
      <c r="G418"/>
      <c r="H418"/>
      <c r="I418"/>
      <c r="J418"/>
      <c r="K418"/>
    </row>
    <row r="419" spans="2:11" ht="14.5" customHeight="1" x14ac:dyDescent="0.2">
      <c r="B419"/>
      <c r="C419"/>
      <c r="D419"/>
      <c r="E419"/>
      <c r="F419"/>
      <c r="G419"/>
      <c r="H419"/>
      <c r="I419"/>
      <c r="J419"/>
      <c r="K419"/>
    </row>
    <row r="420" spans="2:11" ht="14.5" customHeight="1" x14ac:dyDescent="0.2">
      <c r="B420"/>
      <c r="C420"/>
      <c r="D420"/>
      <c r="E420"/>
      <c r="F420"/>
      <c r="G420"/>
      <c r="H420"/>
      <c r="I420"/>
      <c r="J420"/>
      <c r="K420"/>
    </row>
    <row r="421" spans="2:11" ht="14.5" customHeight="1" x14ac:dyDescent="0.2">
      <c r="B421"/>
      <c r="C421"/>
      <c r="D421"/>
      <c r="E421"/>
      <c r="F421"/>
      <c r="G421"/>
      <c r="H421"/>
      <c r="I421"/>
      <c r="J421"/>
      <c r="K421"/>
    </row>
    <row r="422" spans="2:11" ht="14.5" customHeight="1" x14ac:dyDescent="0.2">
      <c r="B422"/>
      <c r="C422"/>
      <c r="D422"/>
      <c r="E422"/>
      <c r="F422"/>
      <c r="G422"/>
      <c r="H422"/>
      <c r="I422"/>
      <c r="J422"/>
      <c r="K422"/>
    </row>
    <row r="423" spans="2:11" ht="14.5" customHeight="1" x14ac:dyDescent="0.2">
      <c r="B423"/>
      <c r="C423"/>
      <c r="D423"/>
      <c r="E423"/>
      <c r="F423"/>
      <c r="G423"/>
      <c r="H423"/>
      <c r="I423"/>
      <c r="J423"/>
      <c r="K423"/>
    </row>
    <row r="424" spans="2:11" ht="14.5" customHeight="1" x14ac:dyDescent="0.2">
      <c r="B424"/>
      <c r="C424"/>
      <c r="D424"/>
      <c r="E424"/>
      <c r="F424"/>
      <c r="G424"/>
      <c r="H424"/>
      <c r="I424"/>
      <c r="J424"/>
      <c r="K424"/>
    </row>
    <row r="425" spans="2:11" ht="14.5" customHeight="1" x14ac:dyDescent="0.2">
      <c r="B425"/>
      <c r="C425"/>
      <c r="D425"/>
      <c r="E425"/>
      <c r="F425"/>
      <c r="G425"/>
      <c r="H425"/>
      <c r="I425"/>
      <c r="J425"/>
      <c r="K425"/>
    </row>
    <row r="426" spans="2:11" ht="14.5" customHeight="1" x14ac:dyDescent="0.2">
      <c r="B426"/>
      <c r="C426"/>
      <c r="D426"/>
      <c r="E426"/>
      <c r="F426"/>
      <c r="G426"/>
      <c r="H426"/>
      <c r="I426"/>
      <c r="J426"/>
      <c r="K426"/>
    </row>
    <row r="427" spans="2:11" ht="14.5" customHeight="1" x14ac:dyDescent="0.2">
      <c r="B427"/>
      <c r="C427"/>
      <c r="D427"/>
      <c r="E427"/>
      <c r="F427"/>
      <c r="G427"/>
      <c r="H427"/>
      <c r="I427"/>
      <c r="J427"/>
      <c r="K427"/>
    </row>
    <row r="428" spans="2:11" ht="14.5" customHeight="1" x14ac:dyDescent="0.2">
      <c r="B428"/>
      <c r="C428"/>
      <c r="D428"/>
      <c r="E428"/>
      <c r="F428"/>
      <c r="G428"/>
      <c r="H428"/>
      <c r="I428"/>
      <c r="J428"/>
      <c r="K428"/>
    </row>
    <row r="429" spans="2:11" ht="14.5" customHeight="1" x14ac:dyDescent="0.2">
      <c r="B429"/>
      <c r="C429"/>
      <c r="D429"/>
      <c r="E429"/>
      <c r="F429"/>
      <c r="G429"/>
      <c r="H429"/>
      <c r="I429"/>
      <c r="J429"/>
      <c r="K429"/>
    </row>
    <row r="430" spans="2:11" ht="14.5" customHeight="1" x14ac:dyDescent="0.2">
      <c r="B430"/>
      <c r="C430"/>
      <c r="D430"/>
      <c r="E430"/>
      <c r="F430"/>
      <c r="G430"/>
      <c r="H430"/>
      <c r="I430"/>
      <c r="J430"/>
      <c r="K430"/>
    </row>
    <row r="431" spans="2:11" ht="14.5" customHeight="1" x14ac:dyDescent="0.2">
      <c r="B431"/>
      <c r="C431"/>
      <c r="D431"/>
      <c r="E431"/>
      <c r="F431"/>
      <c r="G431"/>
      <c r="H431"/>
      <c r="I431"/>
      <c r="J431"/>
      <c r="K431"/>
    </row>
    <row r="432" spans="2:11" ht="14.5" customHeight="1" x14ac:dyDescent="0.2">
      <c r="B432"/>
      <c r="C432"/>
      <c r="D432"/>
      <c r="E432"/>
      <c r="F432"/>
      <c r="G432"/>
      <c r="H432"/>
      <c r="I432"/>
      <c r="J432"/>
      <c r="K432"/>
    </row>
    <row r="433" spans="2:11" ht="14.5" customHeight="1" x14ac:dyDescent="0.2">
      <c r="B433"/>
      <c r="C433"/>
      <c r="D433"/>
      <c r="E433"/>
      <c r="F433"/>
      <c r="G433"/>
      <c r="H433"/>
      <c r="I433"/>
      <c r="J433"/>
      <c r="K433"/>
    </row>
    <row r="434" spans="2:11" ht="14.5" customHeight="1" x14ac:dyDescent="0.2">
      <c r="B434"/>
      <c r="C434"/>
      <c r="D434"/>
      <c r="E434"/>
      <c r="F434"/>
      <c r="G434"/>
      <c r="H434"/>
      <c r="I434"/>
      <c r="J434"/>
      <c r="K434"/>
    </row>
    <row r="435" spans="2:11" ht="14.5" customHeight="1" x14ac:dyDescent="0.2">
      <c r="B435"/>
      <c r="C435"/>
      <c r="D435"/>
      <c r="E435"/>
      <c r="F435"/>
      <c r="G435"/>
      <c r="H435"/>
      <c r="I435"/>
      <c r="J435"/>
      <c r="K435"/>
    </row>
    <row r="436" spans="2:11" ht="14.5" customHeight="1" x14ac:dyDescent="0.2">
      <c r="B436"/>
      <c r="C436"/>
      <c r="D436"/>
      <c r="E436"/>
      <c r="F436"/>
      <c r="G436"/>
      <c r="H436"/>
      <c r="I436"/>
      <c r="J436"/>
      <c r="K436"/>
    </row>
    <row r="437" spans="2:11" ht="14.5" customHeight="1" x14ac:dyDescent="0.2">
      <c r="B437"/>
      <c r="C437"/>
      <c r="D437"/>
      <c r="E437"/>
      <c r="F437"/>
      <c r="G437"/>
      <c r="H437"/>
      <c r="I437"/>
      <c r="J437"/>
      <c r="K437"/>
    </row>
    <row r="438" spans="2:11" ht="14.5" customHeight="1" x14ac:dyDescent="0.2">
      <c r="B438"/>
      <c r="C438"/>
      <c r="D438"/>
      <c r="E438"/>
      <c r="F438"/>
      <c r="G438"/>
      <c r="H438"/>
      <c r="I438"/>
      <c r="J438"/>
      <c r="K438"/>
    </row>
    <row r="439" spans="2:11" ht="14.5" customHeight="1" x14ac:dyDescent="0.2">
      <c r="B439"/>
      <c r="C439"/>
      <c r="D439"/>
      <c r="E439"/>
      <c r="F439"/>
      <c r="G439"/>
      <c r="H439"/>
      <c r="I439"/>
      <c r="J439"/>
      <c r="K439"/>
    </row>
    <row r="440" spans="2:11" ht="14.5" customHeight="1" x14ac:dyDescent="0.2">
      <c r="B440"/>
      <c r="C440"/>
      <c r="D440"/>
      <c r="E440"/>
      <c r="F440"/>
      <c r="G440"/>
      <c r="H440"/>
      <c r="I440"/>
      <c r="J440"/>
      <c r="K440"/>
    </row>
    <row r="441" spans="2:11" ht="14.5" customHeight="1" x14ac:dyDescent="0.2">
      <c r="B441"/>
      <c r="C441"/>
      <c r="D441"/>
      <c r="E441"/>
      <c r="F441"/>
      <c r="G441"/>
      <c r="H441"/>
      <c r="I441"/>
      <c r="J441"/>
      <c r="K441"/>
    </row>
    <row r="442" spans="2:11" ht="14.5" customHeight="1" x14ac:dyDescent="0.2">
      <c r="B442"/>
      <c r="C442"/>
      <c r="D442"/>
      <c r="E442"/>
      <c r="F442"/>
      <c r="G442"/>
      <c r="H442"/>
      <c r="I442"/>
      <c r="J442"/>
      <c r="K442"/>
    </row>
    <row r="443" spans="2:11" ht="14.5" customHeight="1" x14ac:dyDescent="0.2">
      <c r="B443"/>
      <c r="C443"/>
      <c r="D443"/>
      <c r="E443"/>
      <c r="F443"/>
      <c r="G443"/>
      <c r="H443"/>
      <c r="I443"/>
      <c r="J443"/>
      <c r="K443"/>
    </row>
    <row r="444" spans="2:11" ht="14.5" customHeight="1" x14ac:dyDescent="0.2">
      <c r="B444"/>
      <c r="C444"/>
      <c r="D444"/>
      <c r="E444"/>
      <c r="F444"/>
      <c r="G444"/>
      <c r="H444"/>
      <c r="I444"/>
      <c r="J444"/>
      <c r="K444"/>
    </row>
    <row r="445" spans="2:11" ht="14.5" customHeight="1" x14ac:dyDescent="0.2">
      <c r="B445"/>
      <c r="C445"/>
      <c r="D445"/>
      <c r="E445"/>
      <c r="F445"/>
      <c r="G445"/>
      <c r="H445"/>
      <c r="I445"/>
      <c r="J445"/>
      <c r="K445"/>
    </row>
    <row r="446" spans="2:11" ht="14.5" customHeight="1" x14ac:dyDescent="0.2">
      <c r="B446"/>
      <c r="C446"/>
      <c r="D446"/>
      <c r="E446"/>
      <c r="F446"/>
      <c r="G446"/>
      <c r="H446"/>
      <c r="I446"/>
      <c r="J446"/>
      <c r="K446"/>
    </row>
  </sheetData>
  <mergeCells count="1">
    <mergeCell ref="A2:A5"/>
  </mergeCells>
  <pageMargins left="0.25" right="0.25" top="0.75" bottom="0.75" header="0.3" footer="0.3"/>
  <pageSetup scale="46" fitToHeight="0"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V40"/>
  <sheetViews>
    <sheetView showGridLines="0" zoomScale="85" zoomScaleNormal="85" workbookViewId="0"/>
  </sheetViews>
  <sheetFormatPr baseColWidth="10" defaultColWidth="8.6640625" defaultRowHeight="15" x14ac:dyDescent="0.2"/>
  <cols>
    <col min="1" max="1" width="2.6640625" style="44" customWidth="1"/>
    <col min="2" max="2" width="8.1640625" style="44" customWidth="1"/>
    <col min="3" max="22" width="13.1640625" style="44" customWidth="1"/>
    <col min="23" max="16384" width="8.6640625" style="44"/>
  </cols>
  <sheetData>
    <row r="1" spans="2:22" ht="8" customHeight="1" x14ac:dyDescent="0.2"/>
    <row r="2" spans="2:22" ht="24" x14ac:dyDescent="0.2">
      <c r="B2" s="519" t="s">
        <v>415</v>
      </c>
      <c r="C2" s="561"/>
      <c r="D2" s="561"/>
      <c r="E2" s="561"/>
      <c r="F2" s="561"/>
      <c r="G2" s="561"/>
      <c r="H2" s="561"/>
      <c r="I2" s="561"/>
      <c r="J2" s="561"/>
      <c r="K2" s="561"/>
      <c r="L2" s="561"/>
      <c r="M2" s="561"/>
      <c r="N2" s="561"/>
      <c r="O2" s="561"/>
      <c r="P2" s="561"/>
      <c r="Q2" s="561"/>
      <c r="R2" s="561"/>
      <c r="S2" s="561"/>
      <c r="T2" s="561"/>
      <c r="U2" s="561"/>
      <c r="V2" s="561"/>
    </row>
    <row r="3" spans="2:22" x14ac:dyDescent="0.2">
      <c r="B3" s="556" t="s">
        <v>417</v>
      </c>
    </row>
    <row r="4" spans="2:22" x14ac:dyDescent="0.2">
      <c r="B4" s="100"/>
      <c r="C4" s="100"/>
      <c r="D4" s="100"/>
      <c r="E4" s="100"/>
      <c r="F4" s="100"/>
      <c r="G4" s="100"/>
      <c r="H4" s="100"/>
      <c r="I4" s="100"/>
      <c r="J4" s="100"/>
      <c r="K4" s="100"/>
      <c r="L4" s="100"/>
      <c r="M4" s="100"/>
      <c r="N4" s="100"/>
      <c r="O4" s="100"/>
      <c r="P4" s="100"/>
      <c r="Q4" s="100"/>
      <c r="R4" s="100"/>
      <c r="S4" s="100"/>
      <c r="T4" s="100"/>
      <c r="U4" s="100"/>
      <c r="V4" s="100"/>
    </row>
    <row r="5" spans="2:22" hidden="1" x14ac:dyDescent="0.2">
      <c r="B5" s="913"/>
      <c r="C5" s="915" t="s">
        <v>380</v>
      </c>
      <c r="D5" s="916"/>
      <c r="E5" s="917"/>
      <c r="F5" s="918"/>
      <c r="G5" s="918"/>
      <c r="H5" s="918"/>
      <c r="I5" s="918"/>
      <c r="J5" s="918"/>
      <c r="K5" s="918"/>
      <c r="L5" s="919"/>
      <c r="M5"/>
      <c r="N5"/>
      <c r="O5"/>
      <c r="P5"/>
      <c r="Q5"/>
      <c r="R5"/>
      <c r="S5"/>
      <c r="T5"/>
      <c r="U5"/>
      <c r="V5"/>
    </row>
    <row r="6" spans="2:22" s="720" customFormat="1" ht="16" x14ac:dyDescent="0.2">
      <c r="B6" s="914"/>
      <c r="C6" s="923" t="s">
        <v>196</v>
      </c>
      <c r="D6" s="924"/>
      <c r="E6" s="924" t="s">
        <v>497</v>
      </c>
      <c r="F6" s="924"/>
      <c r="G6" s="924" t="s">
        <v>498</v>
      </c>
      <c r="H6" s="924"/>
      <c r="I6" s="924" t="s">
        <v>499</v>
      </c>
      <c r="J6" s="924"/>
      <c r="K6" s="924" t="s">
        <v>496</v>
      </c>
      <c r="L6" s="925"/>
      <c r="M6"/>
      <c r="N6"/>
      <c r="O6"/>
      <c r="P6"/>
      <c r="Q6"/>
      <c r="R6"/>
      <c r="S6"/>
      <c r="T6"/>
      <c r="U6"/>
      <c r="V6"/>
    </row>
    <row r="7" spans="2:22" x14ac:dyDescent="0.2">
      <c r="B7" s="916" t="s">
        <v>405</v>
      </c>
      <c r="C7" s="902" t="s">
        <v>330</v>
      </c>
      <c r="D7" s="902" t="s">
        <v>192</v>
      </c>
      <c r="E7" s="902" t="s">
        <v>330</v>
      </c>
      <c r="F7" s="902" t="s">
        <v>192</v>
      </c>
      <c r="G7" s="902" t="s">
        <v>330</v>
      </c>
      <c r="H7" s="902" t="s">
        <v>192</v>
      </c>
      <c r="I7" s="902" t="s">
        <v>330</v>
      </c>
      <c r="J7" s="902" t="s">
        <v>192</v>
      </c>
      <c r="K7" s="902" t="s">
        <v>330</v>
      </c>
      <c r="L7" s="904" t="s">
        <v>192</v>
      </c>
      <c r="M7"/>
      <c r="N7"/>
      <c r="O7"/>
      <c r="P7"/>
      <c r="Q7"/>
      <c r="R7"/>
      <c r="S7"/>
      <c r="T7"/>
      <c r="U7"/>
      <c r="V7"/>
    </row>
    <row r="8" spans="2:22" x14ac:dyDescent="0.2">
      <c r="B8" s="915" t="s">
        <v>131</v>
      </c>
      <c r="C8" s="909"/>
      <c r="D8" s="901"/>
      <c r="E8" s="901"/>
      <c r="F8" s="901"/>
      <c r="G8" s="901"/>
      <c r="H8" s="901"/>
      <c r="I8" s="901"/>
      <c r="J8" s="901"/>
      <c r="K8" s="901"/>
      <c r="L8" s="910"/>
      <c r="M8"/>
      <c r="N8"/>
      <c r="O8"/>
      <c r="P8"/>
      <c r="Q8"/>
      <c r="R8"/>
      <c r="S8"/>
      <c r="T8"/>
      <c r="U8"/>
      <c r="V8"/>
    </row>
    <row r="9" spans="2:22" x14ac:dyDescent="0.2">
      <c r="B9" s="920" t="s">
        <v>183</v>
      </c>
      <c r="C9" s="911">
        <v>1225</v>
      </c>
      <c r="D9" s="903">
        <v>2</v>
      </c>
      <c r="E9" s="903"/>
      <c r="F9" s="903"/>
      <c r="G9" s="903"/>
      <c r="H9" s="903"/>
      <c r="I9" s="903"/>
      <c r="J9" s="903"/>
      <c r="K9" s="903"/>
      <c r="L9" s="905"/>
      <c r="M9"/>
      <c r="N9"/>
      <c r="O9"/>
      <c r="P9"/>
      <c r="Q9"/>
      <c r="R9"/>
      <c r="S9"/>
      <c r="T9"/>
      <c r="U9"/>
      <c r="V9"/>
    </row>
    <row r="10" spans="2:22" x14ac:dyDescent="0.2">
      <c r="B10" s="921" t="s">
        <v>184</v>
      </c>
      <c r="C10" s="911">
        <v>1100</v>
      </c>
      <c r="D10" s="903">
        <v>1</v>
      </c>
      <c r="E10" s="903"/>
      <c r="F10" s="903"/>
      <c r="G10" s="903"/>
      <c r="H10" s="903"/>
      <c r="I10" s="903"/>
      <c r="J10" s="903"/>
      <c r="K10" s="903"/>
      <c r="L10" s="905"/>
      <c r="M10"/>
      <c r="N10"/>
      <c r="O10"/>
      <c r="P10"/>
      <c r="Q10"/>
      <c r="R10"/>
      <c r="S10"/>
      <c r="T10"/>
      <c r="U10"/>
      <c r="V10"/>
    </row>
    <row r="11" spans="2:22" x14ac:dyDescent="0.2">
      <c r="B11" s="915" t="s">
        <v>178</v>
      </c>
      <c r="C11" s="911"/>
      <c r="D11" s="903"/>
      <c r="E11" s="903"/>
      <c r="F11" s="903"/>
      <c r="G11" s="903"/>
      <c r="H11" s="903"/>
      <c r="I11" s="903"/>
      <c r="J11" s="903"/>
      <c r="K11" s="903"/>
      <c r="L11" s="905"/>
      <c r="M11"/>
      <c r="N11"/>
      <c r="O11"/>
      <c r="P11"/>
      <c r="Q11"/>
      <c r="R11"/>
      <c r="S11"/>
      <c r="T11"/>
      <c r="U11"/>
      <c r="V11"/>
    </row>
    <row r="12" spans="2:22" x14ac:dyDescent="0.2">
      <c r="B12" s="920" t="s">
        <v>188</v>
      </c>
      <c r="C12" s="911">
        <v>1225</v>
      </c>
      <c r="D12" s="903">
        <v>1</v>
      </c>
      <c r="E12" s="903"/>
      <c r="F12" s="903"/>
      <c r="G12" s="903"/>
      <c r="H12" s="903"/>
      <c r="I12" s="903"/>
      <c r="J12" s="903"/>
      <c r="K12" s="903"/>
      <c r="L12" s="905"/>
      <c r="M12"/>
      <c r="N12"/>
      <c r="O12"/>
      <c r="P12"/>
      <c r="Q12"/>
      <c r="R12"/>
      <c r="S12"/>
      <c r="T12"/>
      <c r="U12"/>
      <c r="V12"/>
    </row>
    <row r="13" spans="2:22" x14ac:dyDescent="0.2">
      <c r="B13" s="922" t="s">
        <v>189</v>
      </c>
      <c r="C13" s="911"/>
      <c r="D13" s="903"/>
      <c r="E13" s="903"/>
      <c r="F13" s="903"/>
      <c r="G13" s="903"/>
      <c r="H13" s="903"/>
      <c r="I13" s="903">
        <v>1150</v>
      </c>
      <c r="J13" s="903">
        <v>1</v>
      </c>
      <c r="K13" s="903"/>
      <c r="L13" s="905"/>
      <c r="M13"/>
      <c r="N13"/>
      <c r="O13"/>
      <c r="P13"/>
      <c r="Q13"/>
      <c r="R13"/>
      <c r="S13"/>
      <c r="T13"/>
      <c r="U13"/>
      <c r="V13"/>
    </row>
    <row r="14" spans="2:22" x14ac:dyDescent="0.2">
      <c r="B14" s="922" t="s">
        <v>190</v>
      </c>
      <c r="C14" s="911">
        <v>900</v>
      </c>
      <c r="D14" s="903">
        <v>1</v>
      </c>
      <c r="E14" s="903"/>
      <c r="F14" s="903"/>
      <c r="G14" s="903"/>
      <c r="H14" s="903"/>
      <c r="I14" s="903"/>
      <c r="J14" s="903"/>
      <c r="K14" s="903"/>
      <c r="L14" s="905"/>
      <c r="M14"/>
      <c r="N14"/>
      <c r="O14"/>
      <c r="P14"/>
      <c r="Q14"/>
      <c r="R14"/>
      <c r="S14"/>
      <c r="T14"/>
      <c r="U14"/>
      <c r="V14"/>
    </row>
    <row r="15" spans="2:22" x14ac:dyDescent="0.2">
      <c r="B15" s="922" t="s">
        <v>186</v>
      </c>
      <c r="C15" s="911">
        <v>1200</v>
      </c>
      <c r="D15" s="903">
        <v>1</v>
      </c>
      <c r="E15" s="903"/>
      <c r="F15" s="903"/>
      <c r="G15" s="903"/>
      <c r="H15" s="903"/>
      <c r="I15" s="903"/>
      <c r="J15" s="903"/>
      <c r="K15" s="903"/>
      <c r="L15" s="905"/>
      <c r="M15"/>
      <c r="N15"/>
      <c r="O15"/>
      <c r="P15"/>
      <c r="Q15"/>
      <c r="R15"/>
      <c r="S15"/>
      <c r="T15"/>
      <c r="U15"/>
      <c r="V15"/>
    </row>
    <row r="16" spans="2:22" x14ac:dyDescent="0.2">
      <c r="B16" s="922" t="s">
        <v>187</v>
      </c>
      <c r="C16" s="911">
        <v>1250</v>
      </c>
      <c r="D16" s="903">
        <v>2</v>
      </c>
      <c r="E16" s="903"/>
      <c r="F16" s="903"/>
      <c r="G16" s="903"/>
      <c r="H16" s="903"/>
      <c r="I16" s="903"/>
      <c r="J16" s="903"/>
      <c r="K16" s="903"/>
      <c r="L16" s="905"/>
      <c r="M16"/>
      <c r="N16"/>
      <c r="O16"/>
      <c r="P16"/>
      <c r="Q16"/>
      <c r="R16"/>
      <c r="S16"/>
      <c r="T16"/>
      <c r="U16"/>
      <c r="V16"/>
    </row>
    <row r="17" spans="2:22" x14ac:dyDescent="0.2">
      <c r="B17" s="922" t="s">
        <v>179</v>
      </c>
      <c r="C17" s="911"/>
      <c r="D17" s="903"/>
      <c r="E17" s="903"/>
      <c r="F17" s="903"/>
      <c r="G17" s="903"/>
      <c r="H17" s="903"/>
      <c r="I17" s="903"/>
      <c r="J17" s="903"/>
      <c r="K17" s="903">
        <v>1425</v>
      </c>
      <c r="L17" s="905">
        <v>3</v>
      </c>
      <c r="M17"/>
      <c r="N17"/>
      <c r="O17"/>
      <c r="P17"/>
      <c r="Q17"/>
      <c r="R17"/>
      <c r="S17"/>
      <c r="T17"/>
      <c r="U17"/>
      <c r="V17"/>
    </row>
    <row r="18" spans="2:22" x14ac:dyDescent="0.2">
      <c r="B18" s="922" t="s">
        <v>180</v>
      </c>
      <c r="C18" s="911">
        <v>1116.6666666666667</v>
      </c>
      <c r="D18" s="903">
        <v>3</v>
      </c>
      <c r="E18" s="903"/>
      <c r="F18" s="903"/>
      <c r="G18" s="903"/>
      <c r="H18" s="903"/>
      <c r="I18" s="903"/>
      <c r="J18" s="903"/>
      <c r="K18" s="903">
        <v>1425</v>
      </c>
      <c r="L18" s="905">
        <v>1</v>
      </c>
      <c r="M18"/>
      <c r="N18"/>
      <c r="O18"/>
      <c r="P18"/>
      <c r="Q18"/>
      <c r="R18"/>
      <c r="S18"/>
      <c r="T18"/>
      <c r="U18"/>
      <c r="V18"/>
    </row>
    <row r="19" spans="2:22" x14ac:dyDescent="0.2">
      <c r="B19" s="922" t="s">
        <v>181</v>
      </c>
      <c r="C19" s="911"/>
      <c r="D19" s="903"/>
      <c r="E19" s="903"/>
      <c r="F19" s="903"/>
      <c r="G19" s="903"/>
      <c r="H19" s="903"/>
      <c r="I19" s="903"/>
      <c r="J19" s="903"/>
      <c r="K19" s="903">
        <v>1425</v>
      </c>
      <c r="L19" s="905">
        <v>1</v>
      </c>
      <c r="M19"/>
      <c r="N19"/>
      <c r="O19"/>
      <c r="P19"/>
      <c r="Q19"/>
      <c r="R19"/>
      <c r="S19"/>
      <c r="T19"/>
      <c r="U19"/>
      <c r="V19"/>
    </row>
    <row r="20" spans="2:22" x14ac:dyDescent="0.2">
      <c r="B20" s="922" t="s">
        <v>184</v>
      </c>
      <c r="C20" s="911"/>
      <c r="D20" s="903"/>
      <c r="E20" s="903"/>
      <c r="F20" s="903"/>
      <c r="G20" s="903"/>
      <c r="H20" s="903"/>
      <c r="I20" s="903"/>
      <c r="J20" s="903"/>
      <c r="K20" s="903">
        <v>1425</v>
      </c>
      <c r="L20" s="905">
        <v>5</v>
      </c>
      <c r="M20"/>
      <c r="N20"/>
      <c r="O20"/>
      <c r="P20"/>
      <c r="Q20"/>
      <c r="R20"/>
      <c r="S20"/>
      <c r="T20"/>
      <c r="U20"/>
      <c r="V20"/>
    </row>
    <row r="21" spans="2:22" x14ac:dyDescent="0.2">
      <c r="B21" s="921" t="s">
        <v>185</v>
      </c>
      <c r="C21" s="911"/>
      <c r="D21" s="903"/>
      <c r="E21" s="903"/>
      <c r="F21" s="903"/>
      <c r="G21" s="903"/>
      <c r="H21" s="903"/>
      <c r="I21" s="903"/>
      <c r="J21" s="903"/>
      <c r="K21" s="903">
        <v>1425</v>
      </c>
      <c r="L21" s="905">
        <v>2</v>
      </c>
      <c r="M21"/>
      <c r="N21"/>
      <c r="O21"/>
      <c r="P21"/>
      <c r="Q21"/>
      <c r="R21"/>
      <c r="S21"/>
      <c r="T21"/>
      <c r="U21"/>
      <c r="V21"/>
    </row>
    <row r="22" spans="2:22" x14ac:dyDescent="0.2">
      <c r="B22" s="915" t="s">
        <v>132</v>
      </c>
      <c r="C22" s="911"/>
      <c r="D22" s="903"/>
      <c r="E22" s="903"/>
      <c r="F22" s="903"/>
      <c r="G22" s="903"/>
      <c r="H22" s="903"/>
      <c r="I22" s="903"/>
      <c r="J22" s="903"/>
      <c r="K22" s="903"/>
      <c r="L22" s="905"/>
      <c r="M22"/>
      <c r="N22"/>
      <c r="O22"/>
      <c r="P22"/>
      <c r="Q22"/>
      <c r="R22"/>
      <c r="S22"/>
      <c r="T22"/>
      <c r="U22"/>
      <c r="V22"/>
    </row>
    <row r="23" spans="2:22" x14ac:dyDescent="0.2">
      <c r="B23" s="920" t="s">
        <v>188</v>
      </c>
      <c r="C23" s="911"/>
      <c r="D23" s="903"/>
      <c r="E23" s="903">
        <v>1300</v>
      </c>
      <c r="F23" s="903">
        <v>1</v>
      </c>
      <c r="G23" s="903"/>
      <c r="H23" s="903"/>
      <c r="I23" s="903"/>
      <c r="J23" s="903"/>
      <c r="K23" s="903">
        <v>1425</v>
      </c>
      <c r="L23" s="905">
        <v>1</v>
      </c>
      <c r="M23"/>
      <c r="N23"/>
      <c r="O23"/>
      <c r="P23"/>
      <c r="Q23"/>
      <c r="R23"/>
      <c r="S23"/>
      <c r="T23"/>
      <c r="U23"/>
      <c r="V23"/>
    </row>
    <row r="24" spans="2:22" x14ac:dyDescent="0.2">
      <c r="B24" s="922" t="s">
        <v>189</v>
      </c>
      <c r="C24" s="911"/>
      <c r="D24" s="903"/>
      <c r="E24" s="903"/>
      <c r="F24" s="903"/>
      <c r="G24" s="903"/>
      <c r="H24" s="903"/>
      <c r="I24" s="903"/>
      <c r="J24" s="903"/>
      <c r="K24" s="903">
        <v>1425</v>
      </c>
      <c r="L24" s="905">
        <v>1</v>
      </c>
      <c r="M24"/>
      <c r="N24"/>
      <c r="O24"/>
      <c r="P24"/>
      <c r="Q24"/>
      <c r="R24"/>
      <c r="S24"/>
      <c r="T24"/>
      <c r="U24"/>
      <c r="V24"/>
    </row>
    <row r="25" spans="2:22" x14ac:dyDescent="0.2">
      <c r="B25" s="922" t="s">
        <v>190</v>
      </c>
      <c r="C25" s="911"/>
      <c r="D25" s="903"/>
      <c r="E25" s="903"/>
      <c r="F25" s="903"/>
      <c r="G25" s="903"/>
      <c r="H25" s="903"/>
      <c r="I25" s="903"/>
      <c r="J25" s="903"/>
      <c r="K25" s="903">
        <v>1425</v>
      </c>
      <c r="L25" s="905">
        <v>2</v>
      </c>
      <c r="M25"/>
      <c r="N25"/>
      <c r="O25"/>
      <c r="P25"/>
      <c r="Q25"/>
      <c r="R25"/>
      <c r="S25"/>
      <c r="T25"/>
      <c r="U25"/>
      <c r="V25"/>
    </row>
    <row r="26" spans="2:22" x14ac:dyDescent="0.2">
      <c r="B26" s="921" t="s">
        <v>186</v>
      </c>
      <c r="C26" s="911">
        <v>1212.5</v>
      </c>
      <c r="D26" s="903">
        <v>8</v>
      </c>
      <c r="E26" s="903"/>
      <c r="F26" s="903"/>
      <c r="G26" s="903"/>
      <c r="H26" s="903"/>
      <c r="I26" s="903"/>
      <c r="J26" s="903"/>
      <c r="K26" s="903">
        <v>1425</v>
      </c>
      <c r="L26" s="905">
        <v>2</v>
      </c>
      <c r="M26"/>
      <c r="N26"/>
      <c r="O26"/>
      <c r="P26"/>
      <c r="Q26"/>
      <c r="R26"/>
      <c r="S26"/>
      <c r="T26"/>
      <c r="U26"/>
      <c r="V26"/>
    </row>
    <row r="27" spans="2:22" x14ac:dyDescent="0.2">
      <c r="B27" s="906" t="s">
        <v>187</v>
      </c>
      <c r="C27" s="911">
        <v>1366.6666666666667</v>
      </c>
      <c r="D27" s="903">
        <v>3</v>
      </c>
      <c r="E27" s="903"/>
      <c r="F27" s="903"/>
      <c r="G27" s="903"/>
      <c r="H27" s="903"/>
      <c r="I27" s="903"/>
      <c r="J27" s="903"/>
      <c r="K27" s="903">
        <v>1425</v>
      </c>
      <c r="L27" s="905">
        <v>3</v>
      </c>
      <c r="M27"/>
      <c r="N27"/>
      <c r="O27"/>
      <c r="P27"/>
      <c r="Q27"/>
      <c r="R27"/>
      <c r="S27"/>
      <c r="T27"/>
      <c r="U27"/>
      <c r="V27"/>
    </row>
    <row r="28" spans="2:22" x14ac:dyDescent="0.2">
      <c r="B28" s="906" t="s">
        <v>179</v>
      </c>
      <c r="C28" s="911"/>
      <c r="D28" s="903"/>
      <c r="E28" s="903"/>
      <c r="F28" s="903"/>
      <c r="G28" s="903"/>
      <c r="H28" s="903"/>
      <c r="I28" s="903"/>
      <c r="J28" s="903"/>
      <c r="K28" s="903">
        <v>1457.5</v>
      </c>
      <c r="L28" s="905">
        <v>6</v>
      </c>
      <c r="M28"/>
      <c r="N28"/>
      <c r="O28"/>
      <c r="P28"/>
      <c r="Q28"/>
      <c r="R28"/>
      <c r="S28"/>
      <c r="T28"/>
      <c r="U28"/>
      <c r="V28"/>
    </row>
    <row r="29" spans="2:22" x14ac:dyDescent="0.2">
      <c r="B29" s="906" t="s">
        <v>180</v>
      </c>
      <c r="C29" s="911">
        <v>1138.8888888888889</v>
      </c>
      <c r="D29" s="903">
        <v>9</v>
      </c>
      <c r="E29" s="903"/>
      <c r="F29" s="903"/>
      <c r="G29" s="903">
        <v>1200</v>
      </c>
      <c r="H29" s="903">
        <v>2</v>
      </c>
      <c r="I29" s="903"/>
      <c r="J29" s="903"/>
      <c r="K29" s="903">
        <v>1425</v>
      </c>
      <c r="L29" s="905">
        <v>5</v>
      </c>
      <c r="M29"/>
      <c r="N29"/>
      <c r="O29"/>
      <c r="P29"/>
      <c r="Q29"/>
      <c r="R29"/>
      <c r="S29"/>
      <c r="T29"/>
      <c r="U29"/>
      <c r="V29"/>
    </row>
    <row r="30" spans="2:22" x14ac:dyDescent="0.2">
      <c r="B30" s="906" t="s">
        <v>181</v>
      </c>
      <c r="C30" s="911">
        <v>950</v>
      </c>
      <c r="D30" s="903">
        <v>1</v>
      </c>
      <c r="E30" s="903"/>
      <c r="F30" s="903"/>
      <c r="G30" s="903"/>
      <c r="H30" s="903"/>
      <c r="I30" s="903"/>
      <c r="J30" s="903"/>
      <c r="K30" s="903">
        <v>1425</v>
      </c>
      <c r="L30" s="905">
        <v>2</v>
      </c>
      <c r="M30"/>
      <c r="N30"/>
      <c r="O30"/>
      <c r="P30"/>
      <c r="Q30"/>
      <c r="R30"/>
      <c r="S30"/>
      <c r="T30"/>
      <c r="U30"/>
      <c r="V30"/>
    </row>
    <row r="31" spans="2:22" x14ac:dyDescent="0.2">
      <c r="B31" s="906" t="s">
        <v>182</v>
      </c>
      <c r="C31" s="911">
        <v>1252.7777777777778</v>
      </c>
      <c r="D31" s="903">
        <v>9</v>
      </c>
      <c r="E31" s="903"/>
      <c r="F31" s="903"/>
      <c r="G31" s="903"/>
      <c r="H31" s="903"/>
      <c r="I31" s="903"/>
      <c r="J31" s="903"/>
      <c r="K31" s="903">
        <v>1425</v>
      </c>
      <c r="L31" s="905">
        <v>1</v>
      </c>
      <c r="M31"/>
      <c r="N31"/>
      <c r="O31"/>
      <c r="P31"/>
      <c r="Q31"/>
      <c r="R31"/>
      <c r="S31"/>
      <c r="T31"/>
      <c r="U31"/>
      <c r="V31"/>
    </row>
    <row r="32" spans="2:22" x14ac:dyDescent="0.2">
      <c r="B32" s="906" t="s">
        <v>183</v>
      </c>
      <c r="C32" s="911">
        <v>1308.3333333333333</v>
      </c>
      <c r="D32" s="903">
        <v>6</v>
      </c>
      <c r="E32" s="903"/>
      <c r="F32" s="903"/>
      <c r="G32" s="903"/>
      <c r="H32" s="903"/>
      <c r="I32" s="903">
        <v>1150</v>
      </c>
      <c r="J32" s="903">
        <v>2</v>
      </c>
      <c r="K32" s="903">
        <v>1425</v>
      </c>
      <c r="L32" s="905">
        <v>1</v>
      </c>
      <c r="M32"/>
      <c r="N32"/>
      <c r="O32"/>
      <c r="P32"/>
      <c r="Q32"/>
      <c r="R32"/>
      <c r="S32"/>
      <c r="T32"/>
      <c r="U32"/>
      <c r="V32"/>
    </row>
    <row r="33" spans="2:22" x14ac:dyDescent="0.2">
      <c r="B33" s="907" t="s">
        <v>184</v>
      </c>
      <c r="C33" s="912"/>
      <c r="D33" s="900"/>
      <c r="E33" s="900"/>
      <c r="F33" s="900"/>
      <c r="G33" s="900"/>
      <c r="H33" s="900"/>
      <c r="I33" s="900"/>
      <c r="J33" s="900"/>
      <c r="K33" s="900">
        <v>1490</v>
      </c>
      <c r="L33" s="908">
        <v>1</v>
      </c>
      <c r="M33"/>
      <c r="N33"/>
      <c r="O33"/>
      <c r="P33"/>
      <c r="Q33"/>
      <c r="R33"/>
      <c r="S33"/>
      <c r="T33"/>
      <c r="U33"/>
      <c r="V33"/>
    </row>
    <row r="34" spans="2:22" x14ac:dyDescent="0.2">
      <c r="B34"/>
      <c r="C34"/>
      <c r="D34"/>
      <c r="E34"/>
      <c r="F34"/>
      <c r="G34"/>
      <c r="H34"/>
      <c r="I34"/>
      <c r="J34"/>
      <c r="K34"/>
      <c r="L34"/>
      <c r="M34"/>
      <c r="N34"/>
      <c r="O34"/>
      <c r="P34"/>
      <c r="Q34"/>
      <c r="R34"/>
      <c r="S34"/>
      <c r="T34"/>
      <c r="U34"/>
      <c r="V34"/>
    </row>
    <row r="35" spans="2:22" x14ac:dyDescent="0.2">
      <c r="B35"/>
      <c r="C35"/>
      <c r="D35"/>
      <c r="E35"/>
      <c r="F35"/>
      <c r="G35"/>
      <c r="H35"/>
      <c r="I35"/>
      <c r="J35"/>
      <c r="K35"/>
      <c r="L35"/>
      <c r="M35"/>
      <c r="N35"/>
      <c r="O35"/>
      <c r="P35"/>
      <c r="Q35"/>
      <c r="R35"/>
      <c r="S35"/>
      <c r="T35"/>
      <c r="U35"/>
      <c r="V35"/>
    </row>
    <row r="36" spans="2:22" x14ac:dyDescent="0.2">
      <c r="B36"/>
      <c r="C36"/>
      <c r="D36"/>
      <c r="E36"/>
      <c r="F36"/>
      <c r="G36"/>
      <c r="H36"/>
      <c r="I36"/>
      <c r="J36"/>
      <c r="K36"/>
      <c r="L36"/>
      <c r="M36"/>
      <c r="N36"/>
      <c r="O36"/>
      <c r="P36"/>
      <c r="Q36"/>
      <c r="R36"/>
      <c r="S36"/>
      <c r="T36"/>
      <c r="U36"/>
      <c r="V36"/>
    </row>
    <row r="37" spans="2:22" x14ac:dyDescent="0.2">
      <c r="B37"/>
      <c r="C37"/>
      <c r="D37"/>
      <c r="E37"/>
      <c r="F37"/>
      <c r="G37"/>
      <c r="H37"/>
      <c r="I37"/>
      <c r="J37"/>
      <c r="K37"/>
      <c r="L37"/>
      <c r="M37"/>
      <c r="N37"/>
      <c r="O37"/>
      <c r="P37"/>
      <c r="Q37"/>
      <c r="R37"/>
      <c r="S37"/>
      <c r="T37"/>
      <c r="U37"/>
      <c r="V37"/>
    </row>
    <row r="38" spans="2:22" x14ac:dyDescent="0.2">
      <c r="B38"/>
      <c r="C38"/>
      <c r="D38"/>
      <c r="E38"/>
      <c r="F38"/>
      <c r="G38"/>
      <c r="H38"/>
      <c r="I38"/>
      <c r="J38"/>
      <c r="K38"/>
      <c r="L38"/>
      <c r="M38"/>
      <c r="N38"/>
      <c r="O38"/>
      <c r="P38"/>
      <c r="Q38"/>
      <c r="R38"/>
      <c r="S38"/>
      <c r="T38"/>
      <c r="U38"/>
      <c r="V38"/>
    </row>
    <row r="39" spans="2:22" x14ac:dyDescent="0.2">
      <c r="B39"/>
      <c r="C39"/>
      <c r="D39"/>
      <c r="E39"/>
      <c r="F39"/>
      <c r="G39"/>
      <c r="H39"/>
      <c r="I39"/>
      <c r="J39"/>
      <c r="K39"/>
      <c r="L39"/>
      <c r="M39"/>
      <c r="N39"/>
      <c r="O39"/>
      <c r="P39"/>
      <c r="Q39"/>
      <c r="R39"/>
      <c r="S39"/>
      <c r="T39"/>
      <c r="U39"/>
      <c r="V39"/>
    </row>
    <row r="40" spans="2:22" x14ac:dyDescent="0.2">
      <c r="B40"/>
      <c r="C40"/>
      <c r="D40"/>
      <c r="E40"/>
      <c r="F40"/>
      <c r="G40"/>
      <c r="H40"/>
      <c r="I40"/>
      <c r="J40"/>
      <c r="K40"/>
      <c r="L40"/>
      <c r="M40"/>
      <c r="N40"/>
      <c r="O40"/>
      <c r="P40"/>
      <c r="Q40"/>
      <c r="R40"/>
      <c r="S40"/>
      <c r="T40"/>
      <c r="U40"/>
      <c r="V4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1"/>
  </sheetPr>
  <dimension ref="B1:CS29"/>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4" x14ac:dyDescent="0.2"/>
  <cols>
    <col min="1" max="1" width="2.5" style="1" customWidth="1"/>
    <col min="2" max="2" width="31.6640625" style="1" customWidth="1"/>
    <col min="3" max="3" width="29.1640625" style="1" customWidth="1"/>
    <col min="4" max="4" width="9.1640625" style="27" customWidth="1"/>
    <col min="5" max="5" width="9.6640625" style="17" customWidth="1"/>
    <col min="6" max="6" width="8.5" style="2" customWidth="1"/>
    <col min="7" max="7" width="8.5" style="3" customWidth="1"/>
    <col min="8" max="8" width="8.1640625" style="4" customWidth="1"/>
    <col min="9" max="10" width="8" style="4" customWidth="1"/>
    <col min="11" max="12" width="10.6640625" style="27" customWidth="1"/>
    <col min="13" max="13" width="8.6640625" style="5" customWidth="1"/>
    <col min="14" max="14" width="8.6640625" style="6" customWidth="1"/>
    <col min="15" max="15" width="8.6640625" style="5" customWidth="1"/>
    <col min="16" max="16" width="8.6640625" style="6" customWidth="1"/>
    <col min="17" max="17" width="8.6640625" style="5" customWidth="1"/>
    <col min="18" max="18" width="8.6640625" style="6" customWidth="1"/>
    <col min="19" max="19" width="8.6640625" style="5" customWidth="1"/>
    <col min="20" max="20" width="8.6640625" style="6" customWidth="1"/>
    <col min="21" max="21" width="8.6640625" style="5" customWidth="1"/>
    <col min="22" max="24" width="8.6640625" style="6" customWidth="1"/>
    <col min="25" max="25" width="8.6640625" style="5" customWidth="1"/>
    <col min="26" max="26" width="8.6640625" style="6" customWidth="1"/>
    <col min="27" max="27" width="8.6640625" style="5" customWidth="1"/>
    <col min="28" max="28" width="8.6640625" style="6" customWidth="1"/>
    <col min="29" max="29" width="8.6640625" style="5" customWidth="1"/>
    <col min="30" max="30" width="8.6640625" style="6" customWidth="1"/>
    <col min="31" max="31" width="8.6640625" style="5" customWidth="1"/>
    <col min="32" max="32" width="8.6640625" style="6" customWidth="1"/>
    <col min="33" max="33" width="8.6640625" style="5" customWidth="1"/>
    <col min="34" max="34" width="8.6640625" style="6" customWidth="1"/>
    <col min="35" max="35" width="8.6640625" style="5" customWidth="1"/>
    <col min="36" max="38" width="8.6640625" style="6" customWidth="1"/>
    <col min="39" max="39" width="8.6640625" style="5" customWidth="1"/>
    <col min="40" max="40" width="8.6640625" style="6" customWidth="1"/>
    <col min="41" max="41" width="8.6640625" style="5" customWidth="1"/>
    <col min="42" max="42" width="8.6640625" style="6" customWidth="1"/>
    <col min="43" max="43" width="8.6640625" style="5" customWidth="1"/>
    <col min="44" max="44" width="8.6640625" style="6" customWidth="1"/>
    <col min="45" max="45" width="8.6640625" style="5" customWidth="1"/>
    <col min="46" max="46" width="8.6640625" style="6" customWidth="1"/>
    <col min="47" max="47" width="8.6640625" style="5" customWidth="1"/>
    <col min="48" max="48" width="8.6640625" style="6" customWidth="1"/>
    <col min="49" max="49" width="8.6640625" style="5" customWidth="1"/>
    <col min="50" max="52" width="8.6640625" style="6" customWidth="1"/>
    <col min="53" max="53" width="8.6640625" style="5" customWidth="1"/>
    <col min="54" max="54" width="8.6640625" style="6" customWidth="1"/>
    <col min="55" max="55" width="8.6640625" style="5" customWidth="1"/>
    <col min="56" max="56" width="8.6640625" style="6" customWidth="1"/>
    <col min="57" max="57" width="8.6640625" style="5" customWidth="1"/>
    <col min="58" max="58" width="8.6640625" style="6" customWidth="1"/>
    <col min="59" max="59" width="8.6640625" style="5" customWidth="1"/>
    <col min="60" max="60" width="8.6640625" style="6" customWidth="1"/>
    <col min="61" max="61" width="8.6640625" style="5" customWidth="1"/>
    <col min="62" max="62" width="8.6640625" style="6" customWidth="1"/>
    <col min="63" max="63" width="8.6640625" style="5" customWidth="1"/>
    <col min="64" max="66" width="8.6640625" style="6" customWidth="1"/>
    <col min="67" max="67" width="8.6640625" style="5" customWidth="1"/>
    <col min="68" max="68" width="8.6640625" style="6" customWidth="1"/>
    <col min="69" max="69" width="8.6640625" style="5" customWidth="1"/>
    <col min="70" max="70" width="8.6640625" style="6" customWidth="1"/>
    <col min="71" max="71" width="8.6640625" style="5" customWidth="1"/>
    <col min="72" max="72" width="8.6640625" style="6" customWidth="1"/>
    <col min="73" max="73" width="8.6640625" style="5" customWidth="1"/>
    <col min="74" max="74" width="8.6640625" style="6" customWidth="1"/>
    <col min="75" max="75" width="8.6640625" style="5" customWidth="1"/>
    <col min="76" max="76" width="8.6640625" style="6" customWidth="1"/>
    <col min="77" max="77" width="8.6640625" style="5" customWidth="1"/>
    <col min="78" max="80" width="8.6640625" style="6" customWidth="1"/>
    <col min="81" max="81" width="8.6640625" style="5" customWidth="1"/>
    <col min="82" max="82" width="8.6640625" style="6" customWidth="1"/>
    <col min="83" max="83" width="8.6640625" style="5" customWidth="1"/>
    <col min="84" max="84" width="8.6640625" style="6" customWidth="1"/>
    <col min="85" max="85" width="8.6640625" style="5" customWidth="1"/>
    <col min="86" max="86" width="8.6640625" style="6" customWidth="1"/>
    <col min="87" max="87" width="8.6640625" style="5" customWidth="1"/>
    <col min="88" max="88" width="8.6640625" style="6" customWidth="1"/>
    <col min="89" max="89" width="8.6640625" style="5" customWidth="1"/>
    <col min="90" max="90" width="8.6640625" style="6" customWidth="1"/>
    <col min="91" max="91" width="8.6640625" style="5" customWidth="1"/>
    <col min="92" max="94" width="8.6640625" style="6" customWidth="1"/>
    <col min="95" max="95" width="8.6640625" style="5" customWidth="1"/>
    <col min="96" max="96" width="8.6640625" style="6" customWidth="1"/>
    <col min="97" max="16384" width="8.6640625" style="1"/>
  </cols>
  <sheetData>
    <row r="1" spans="2:97" ht="8" customHeight="1" thickBot="1" x14ac:dyDescent="0.25"/>
    <row r="2" spans="2:97" s="7" customFormat="1" ht="24" customHeight="1" x14ac:dyDescent="0.2">
      <c r="B2" s="519" t="s">
        <v>4</v>
      </c>
      <c r="C2" s="32"/>
      <c r="D2" s="444"/>
      <c r="E2" s="445"/>
      <c r="F2" s="32"/>
      <c r="G2" s="32"/>
      <c r="H2" s="32"/>
      <c r="I2" s="32"/>
      <c r="J2" s="446"/>
      <c r="K2" s="444"/>
      <c r="L2" s="444"/>
      <c r="M2" s="840" t="s">
        <v>368</v>
      </c>
      <c r="N2" s="841"/>
      <c r="O2" s="841"/>
      <c r="P2" s="841"/>
      <c r="Q2" s="841"/>
      <c r="R2" s="841"/>
      <c r="S2" s="841"/>
      <c r="T2" s="841"/>
      <c r="U2" s="841"/>
      <c r="V2" s="841"/>
      <c r="W2" s="841"/>
      <c r="X2" s="841"/>
      <c r="Y2" s="841"/>
      <c r="Z2" s="837"/>
      <c r="AA2" s="837" t="s">
        <v>369</v>
      </c>
      <c r="AB2" s="838"/>
      <c r="AC2" s="838"/>
      <c r="AD2" s="838"/>
      <c r="AE2" s="838"/>
      <c r="AF2" s="838"/>
      <c r="AG2" s="838"/>
      <c r="AH2" s="838"/>
      <c r="AI2" s="838"/>
      <c r="AJ2" s="838"/>
      <c r="AK2" s="838"/>
      <c r="AL2" s="838"/>
      <c r="AM2" s="838"/>
      <c r="AN2" s="839"/>
      <c r="AO2" s="842" t="s">
        <v>371</v>
      </c>
      <c r="AP2" s="838"/>
      <c r="AQ2" s="838"/>
      <c r="AR2" s="838"/>
      <c r="AS2" s="838"/>
      <c r="AT2" s="838"/>
      <c r="AU2" s="838"/>
      <c r="AV2" s="838"/>
      <c r="AW2" s="838"/>
      <c r="AX2" s="838"/>
      <c r="AY2" s="838"/>
      <c r="AZ2" s="838"/>
      <c r="BA2" s="838"/>
      <c r="BB2" s="838"/>
      <c r="BC2" s="837" t="s">
        <v>375</v>
      </c>
      <c r="BD2" s="838"/>
      <c r="BE2" s="838"/>
      <c r="BF2" s="838"/>
      <c r="BG2" s="838"/>
      <c r="BH2" s="838"/>
      <c r="BI2" s="838"/>
      <c r="BJ2" s="838"/>
      <c r="BK2" s="838"/>
      <c r="BL2" s="838"/>
      <c r="BM2" s="838"/>
      <c r="BN2" s="838"/>
      <c r="BO2" s="838"/>
      <c r="BP2" s="839"/>
      <c r="BQ2" s="842" t="s">
        <v>370</v>
      </c>
      <c r="BR2" s="838"/>
      <c r="BS2" s="838"/>
      <c r="BT2" s="838"/>
      <c r="BU2" s="838"/>
      <c r="BV2" s="838"/>
      <c r="BW2" s="838"/>
      <c r="BX2" s="838"/>
      <c r="BY2" s="838"/>
      <c r="BZ2" s="838"/>
      <c r="CA2" s="838"/>
      <c r="CB2" s="838"/>
      <c r="CC2" s="838"/>
      <c r="CD2" s="838"/>
      <c r="CE2" s="837" t="s">
        <v>376</v>
      </c>
      <c r="CF2" s="838"/>
      <c r="CG2" s="838"/>
      <c r="CH2" s="838"/>
      <c r="CI2" s="838"/>
      <c r="CJ2" s="838"/>
      <c r="CK2" s="838"/>
      <c r="CL2" s="838"/>
      <c r="CM2" s="838"/>
      <c r="CN2" s="838"/>
      <c r="CO2" s="838"/>
      <c r="CP2" s="838"/>
      <c r="CQ2" s="838"/>
      <c r="CR2" s="839"/>
    </row>
    <row r="3" spans="2:97" x14ac:dyDescent="0.2">
      <c r="B3" s="721" t="s">
        <v>5</v>
      </c>
      <c r="C3" s="722" t="s">
        <v>10</v>
      </c>
      <c r="D3" s="723" t="s">
        <v>6</v>
      </c>
      <c r="E3" s="724" t="s">
        <v>126</v>
      </c>
      <c r="F3" s="725" t="s">
        <v>3</v>
      </c>
      <c r="G3" s="726" t="s">
        <v>0</v>
      </c>
      <c r="H3" s="726" t="s">
        <v>1</v>
      </c>
      <c r="I3" s="726" t="s">
        <v>2</v>
      </c>
      <c r="J3" s="727" t="s">
        <v>165</v>
      </c>
      <c r="K3" s="723" t="s">
        <v>290</v>
      </c>
      <c r="L3" s="447" t="s">
        <v>128</v>
      </c>
      <c r="M3" s="459" t="s">
        <v>7</v>
      </c>
      <c r="N3" s="466" t="s">
        <v>358</v>
      </c>
      <c r="O3" s="455" t="s">
        <v>115</v>
      </c>
      <c r="P3" s="467" t="s">
        <v>359</v>
      </c>
      <c r="Q3" s="456" t="s">
        <v>116</v>
      </c>
      <c r="R3" s="468" t="s">
        <v>360</v>
      </c>
      <c r="S3" s="457" t="s">
        <v>117</v>
      </c>
      <c r="T3" s="469" t="s">
        <v>361</v>
      </c>
      <c r="U3" s="458" t="s">
        <v>170</v>
      </c>
      <c r="V3" s="470" t="s">
        <v>362</v>
      </c>
      <c r="W3" s="474" t="s">
        <v>175</v>
      </c>
      <c r="X3" s="474" t="s">
        <v>377</v>
      </c>
      <c r="Y3" s="461" t="s">
        <v>101</v>
      </c>
      <c r="Z3" s="464" t="s">
        <v>102</v>
      </c>
      <c r="AA3" s="454" t="s">
        <v>143</v>
      </c>
      <c r="AB3" s="466" t="s">
        <v>367</v>
      </c>
      <c r="AC3" s="455" t="s">
        <v>142</v>
      </c>
      <c r="AD3" s="467" t="s">
        <v>366</v>
      </c>
      <c r="AE3" s="456" t="s">
        <v>141</v>
      </c>
      <c r="AF3" s="468" t="s">
        <v>365</v>
      </c>
      <c r="AG3" s="457" t="s">
        <v>140</v>
      </c>
      <c r="AH3" s="469" t="s">
        <v>364</v>
      </c>
      <c r="AI3" s="458" t="s">
        <v>176</v>
      </c>
      <c r="AJ3" s="470" t="s">
        <v>363</v>
      </c>
      <c r="AK3" s="474" t="s">
        <v>378</v>
      </c>
      <c r="AL3" s="474" t="s">
        <v>379</v>
      </c>
      <c r="AM3" s="461" t="s">
        <v>139</v>
      </c>
      <c r="AN3" s="462" t="s">
        <v>138</v>
      </c>
      <c r="AO3" s="459" t="s">
        <v>143</v>
      </c>
      <c r="AP3" s="466" t="s">
        <v>367</v>
      </c>
      <c r="AQ3" s="455" t="s">
        <v>142</v>
      </c>
      <c r="AR3" s="467" t="s">
        <v>366</v>
      </c>
      <c r="AS3" s="456" t="s">
        <v>141</v>
      </c>
      <c r="AT3" s="468" t="s">
        <v>365</v>
      </c>
      <c r="AU3" s="457" t="s">
        <v>140</v>
      </c>
      <c r="AV3" s="469" t="s">
        <v>364</v>
      </c>
      <c r="AW3" s="458" t="s">
        <v>176</v>
      </c>
      <c r="AX3" s="470" t="s">
        <v>363</v>
      </c>
      <c r="AY3" s="474" t="s">
        <v>378</v>
      </c>
      <c r="AZ3" s="474" t="s">
        <v>379</v>
      </c>
      <c r="BA3" s="461" t="s">
        <v>139</v>
      </c>
      <c r="BB3" s="464" t="s">
        <v>138</v>
      </c>
      <c r="BC3" s="454" t="s">
        <v>143</v>
      </c>
      <c r="BD3" s="466" t="s">
        <v>367</v>
      </c>
      <c r="BE3" s="455" t="s">
        <v>142</v>
      </c>
      <c r="BF3" s="467" t="s">
        <v>366</v>
      </c>
      <c r="BG3" s="456" t="s">
        <v>141</v>
      </c>
      <c r="BH3" s="468" t="s">
        <v>365</v>
      </c>
      <c r="BI3" s="457" t="s">
        <v>140</v>
      </c>
      <c r="BJ3" s="469" t="s">
        <v>364</v>
      </c>
      <c r="BK3" s="458" t="s">
        <v>176</v>
      </c>
      <c r="BL3" s="470" t="s">
        <v>363</v>
      </c>
      <c r="BM3" s="474" t="s">
        <v>378</v>
      </c>
      <c r="BN3" s="474" t="s">
        <v>379</v>
      </c>
      <c r="BO3" s="461" t="s">
        <v>139</v>
      </c>
      <c r="BP3" s="462" t="s">
        <v>138</v>
      </c>
      <c r="BQ3" s="459" t="s">
        <v>143</v>
      </c>
      <c r="BR3" s="466" t="s">
        <v>367</v>
      </c>
      <c r="BS3" s="455" t="s">
        <v>142</v>
      </c>
      <c r="BT3" s="467" t="s">
        <v>366</v>
      </c>
      <c r="BU3" s="456" t="s">
        <v>141</v>
      </c>
      <c r="BV3" s="468" t="s">
        <v>365</v>
      </c>
      <c r="BW3" s="457" t="s">
        <v>140</v>
      </c>
      <c r="BX3" s="469" t="s">
        <v>364</v>
      </c>
      <c r="BY3" s="458" t="s">
        <v>176</v>
      </c>
      <c r="BZ3" s="470" t="s">
        <v>363</v>
      </c>
      <c r="CA3" s="474" t="s">
        <v>378</v>
      </c>
      <c r="CB3" s="474" t="s">
        <v>379</v>
      </c>
      <c r="CC3" s="461" t="s">
        <v>139</v>
      </c>
      <c r="CD3" s="464" t="s">
        <v>138</v>
      </c>
      <c r="CE3" s="454" t="s">
        <v>143</v>
      </c>
      <c r="CF3" s="466" t="s">
        <v>367</v>
      </c>
      <c r="CG3" s="455" t="s">
        <v>142</v>
      </c>
      <c r="CH3" s="467" t="s">
        <v>366</v>
      </c>
      <c r="CI3" s="456" t="s">
        <v>141</v>
      </c>
      <c r="CJ3" s="468" t="s">
        <v>365</v>
      </c>
      <c r="CK3" s="457" t="s">
        <v>140</v>
      </c>
      <c r="CL3" s="469" t="s">
        <v>364</v>
      </c>
      <c r="CM3" s="458" t="s">
        <v>176</v>
      </c>
      <c r="CN3" s="470" t="s">
        <v>363</v>
      </c>
      <c r="CO3" s="474" t="s">
        <v>378</v>
      </c>
      <c r="CP3" s="474" t="s">
        <v>379</v>
      </c>
      <c r="CQ3" s="461" t="s">
        <v>139</v>
      </c>
      <c r="CR3" s="559" t="s">
        <v>138</v>
      </c>
      <c r="CS3" s="557"/>
    </row>
    <row r="4" spans="2:97" s="53" customFormat="1" x14ac:dyDescent="0.2">
      <c r="B4" s="598" t="s">
        <v>496</v>
      </c>
      <c r="C4" s="599" t="s">
        <v>474</v>
      </c>
      <c r="D4" s="600" t="s">
        <v>8</v>
      </c>
      <c r="E4" s="601" t="s">
        <v>8</v>
      </c>
      <c r="F4" s="602">
        <v>0.51493199658935951</v>
      </c>
      <c r="G4" s="603"/>
      <c r="H4" s="603"/>
      <c r="I4" s="603"/>
      <c r="J4" s="603">
        <v>1113</v>
      </c>
      <c r="K4" s="600"/>
      <c r="L4" s="600"/>
      <c r="M4" s="604"/>
      <c r="N4" s="605"/>
      <c r="O4" s="606"/>
      <c r="P4" s="607"/>
      <c r="Q4" s="606">
        <v>1438</v>
      </c>
      <c r="R4" s="607">
        <v>1.2920035938903864</v>
      </c>
      <c r="S4" s="606"/>
      <c r="T4" s="607"/>
      <c r="U4" s="606"/>
      <c r="V4" s="607"/>
      <c r="W4" s="606"/>
      <c r="X4" s="607"/>
      <c r="Y4" s="606">
        <v>1438</v>
      </c>
      <c r="Z4" s="607">
        <v>1.2920035938903864</v>
      </c>
      <c r="AA4" s="606"/>
      <c r="AB4" s="605"/>
      <c r="AC4" s="606"/>
      <c r="AD4" s="607"/>
      <c r="AE4" s="606">
        <v>1438</v>
      </c>
      <c r="AF4" s="607">
        <v>1.2920035938903864</v>
      </c>
      <c r="AG4" s="606"/>
      <c r="AH4" s="607"/>
      <c r="AI4" s="606"/>
      <c r="AJ4" s="607"/>
      <c r="AK4" s="606"/>
      <c r="AL4" s="607"/>
      <c r="AM4" s="606">
        <v>1438</v>
      </c>
      <c r="AN4" s="608">
        <v>1.2920035938903864</v>
      </c>
      <c r="AO4" s="604"/>
      <c r="AP4" s="605"/>
      <c r="AQ4" s="606"/>
      <c r="AR4" s="607"/>
      <c r="AS4" s="606">
        <v>1435.8333333333333</v>
      </c>
      <c r="AT4" s="607">
        <v>1.2900569032644504</v>
      </c>
      <c r="AU4" s="606"/>
      <c r="AV4" s="607"/>
      <c r="AW4" s="606"/>
      <c r="AX4" s="607"/>
      <c r="AY4" s="606"/>
      <c r="AZ4" s="607"/>
      <c r="BA4" s="606">
        <v>1435.8333333333333</v>
      </c>
      <c r="BB4" s="607">
        <v>1.2900569032644504</v>
      </c>
      <c r="BC4" s="606"/>
      <c r="BD4" s="605"/>
      <c r="BE4" s="606"/>
      <c r="BF4" s="607"/>
      <c r="BG4" s="606">
        <v>1435.8333333333333</v>
      </c>
      <c r="BH4" s="607">
        <v>1.2900569032644504</v>
      </c>
      <c r="BI4" s="606"/>
      <c r="BJ4" s="607"/>
      <c r="BK4" s="606"/>
      <c r="BL4" s="607"/>
      <c r="BM4" s="606"/>
      <c r="BN4" s="607"/>
      <c r="BO4" s="606">
        <v>1435.8333333333333</v>
      </c>
      <c r="BP4" s="608">
        <v>1.2900569032644504</v>
      </c>
      <c r="BQ4" s="604"/>
      <c r="BR4" s="605"/>
      <c r="BS4" s="606"/>
      <c r="BT4" s="607"/>
      <c r="BU4" s="606">
        <v>1432.2222222222222</v>
      </c>
      <c r="BV4" s="607">
        <v>1.2868124188878909</v>
      </c>
      <c r="BW4" s="606"/>
      <c r="BX4" s="607"/>
      <c r="BY4" s="606"/>
      <c r="BZ4" s="607"/>
      <c r="CA4" s="606"/>
      <c r="CB4" s="607"/>
      <c r="CC4" s="606">
        <v>1432.2222222222222</v>
      </c>
      <c r="CD4" s="607">
        <v>1.2868124188878907</v>
      </c>
      <c r="CE4" s="606"/>
      <c r="CF4" s="605"/>
      <c r="CG4" s="606"/>
      <c r="CH4" s="607"/>
      <c r="CI4" s="606">
        <v>1432.2222222222222</v>
      </c>
      <c r="CJ4" s="607">
        <v>1.2868124188878909</v>
      </c>
      <c r="CK4" s="606"/>
      <c r="CL4" s="607"/>
      <c r="CM4" s="606"/>
      <c r="CN4" s="607"/>
      <c r="CO4" s="606"/>
      <c r="CP4" s="607"/>
      <c r="CQ4" s="606">
        <v>1432.2222222222222</v>
      </c>
      <c r="CR4" s="608">
        <v>1.2868124188878907</v>
      </c>
      <c r="CS4" s="558"/>
    </row>
    <row r="5" spans="2:97" s="53" customFormat="1" x14ac:dyDescent="0.2">
      <c r="B5" s="587" t="s">
        <v>424</v>
      </c>
      <c r="C5" s="588" t="s">
        <v>8</v>
      </c>
      <c r="D5" s="589">
        <f t="shared" ref="D5:AI5" si="0">IFERROR(SUBTOTAL(101,D6:D25),"")</f>
        <v>0.53768854676963451</v>
      </c>
      <c r="E5" s="590">
        <f t="shared" si="0"/>
        <v>4.1773500763741627</v>
      </c>
      <c r="F5" s="591">
        <f t="shared" si="0"/>
        <v>0.32236850914347692</v>
      </c>
      <c r="G5" s="592">
        <f t="shared" si="0"/>
        <v>1975.6</v>
      </c>
      <c r="H5" s="592">
        <f t="shared" si="0"/>
        <v>1.5</v>
      </c>
      <c r="I5" s="592">
        <f t="shared" si="0"/>
        <v>1</v>
      </c>
      <c r="J5" s="734">
        <f t="shared" si="0"/>
        <v>895.88235294117646</v>
      </c>
      <c r="K5" s="589">
        <f t="shared" si="0"/>
        <v>1</v>
      </c>
      <c r="L5" s="589">
        <f t="shared" si="0"/>
        <v>0</v>
      </c>
      <c r="M5" s="593" t="str">
        <f t="shared" si="0"/>
        <v/>
      </c>
      <c r="N5" s="594" t="str">
        <f t="shared" si="0"/>
        <v/>
      </c>
      <c r="O5" s="595">
        <f t="shared" si="0"/>
        <v>1029.1666666666665</v>
      </c>
      <c r="P5" s="596">
        <f t="shared" si="0"/>
        <v>1.6923076923076923</v>
      </c>
      <c r="Q5" s="595">
        <f t="shared" si="0"/>
        <v>1282.8125</v>
      </c>
      <c r="R5" s="596">
        <f t="shared" si="0"/>
        <v>1.5393924668516012</v>
      </c>
      <c r="S5" s="595" t="str">
        <f t="shared" si="0"/>
        <v/>
      </c>
      <c r="T5" s="596" t="str">
        <f t="shared" si="0"/>
        <v/>
      </c>
      <c r="U5" s="595" t="str">
        <f t="shared" si="0"/>
        <v/>
      </c>
      <c r="V5" s="596" t="str">
        <f t="shared" si="0"/>
        <v/>
      </c>
      <c r="W5" s="595" t="str">
        <f t="shared" si="0"/>
        <v/>
      </c>
      <c r="X5" s="596" t="str">
        <f t="shared" si="0"/>
        <v/>
      </c>
      <c r="Y5" s="595">
        <f t="shared" si="0"/>
        <v>1256.7708333333335</v>
      </c>
      <c r="Z5" s="596">
        <f t="shared" si="0"/>
        <v>1.5612374990596145</v>
      </c>
      <c r="AA5" s="595" t="str">
        <f t="shared" si="0"/>
        <v/>
      </c>
      <c r="AB5" s="594" t="str">
        <f t="shared" si="0"/>
        <v/>
      </c>
      <c r="AC5" s="595">
        <f t="shared" si="0"/>
        <v>1029.1666666666665</v>
      </c>
      <c r="AD5" s="596">
        <f t="shared" si="0"/>
        <v>1.6923076923076923</v>
      </c>
      <c r="AE5" s="595">
        <f t="shared" si="0"/>
        <v>1282.8125</v>
      </c>
      <c r="AF5" s="596">
        <f t="shared" si="0"/>
        <v>1.5393924668516012</v>
      </c>
      <c r="AG5" s="595" t="str">
        <f t="shared" si="0"/>
        <v/>
      </c>
      <c r="AH5" s="596" t="str">
        <f t="shared" si="0"/>
        <v/>
      </c>
      <c r="AI5" s="595" t="str">
        <f t="shared" si="0"/>
        <v/>
      </c>
      <c r="AJ5" s="596" t="str">
        <f t="shared" ref="AJ5:BO5" si="1">IFERROR(SUBTOTAL(101,AJ6:AJ25),"")</f>
        <v/>
      </c>
      <c r="AK5" s="595" t="str">
        <f t="shared" si="1"/>
        <v/>
      </c>
      <c r="AL5" s="596" t="str">
        <f t="shared" si="1"/>
        <v/>
      </c>
      <c r="AM5" s="595">
        <f t="shared" si="1"/>
        <v>1256.7708333333335</v>
      </c>
      <c r="AN5" s="597">
        <f t="shared" si="1"/>
        <v>1.5612374990596145</v>
      </c>
      <c r="AO5" s="593" t="str">
        <f t="shared" si="1"/>
        <v/>
      </c>
      <c r="AP5" s="594" t="str">
        <f t="shared" si="1"/>
        <v/>
      </c>
      <c r="AQ5" s="595">
        <f t="shared" si="1"/>
        <v>1050</v>
      </c>
      <c r="AR5" s="596">
        <f t="shared" si="1"/>
        <v>1.6923076923076923</v>
      </c>
      <c r="AS5" s="595">
        <f t="shared" si="1"/>
        <v>1278.2407407407409</v>
      </c>
      <c r="AT5" s="596">
        <f t="shared" si="1"/>
        <v>1.4785701663922814</v>
      </c>
      <c r="AU5" s="595" t="str">
        <f t="shared" si="1"/>
        <v/>
      </c>
      <c r="AV5" s="596" t="str">
        <f t="shared" si="1"/>
        <v/>
      </c>
      <c r="AW5" s="595" t="str">
        <f t="shared" si="1"/>
        <v/>
      </c>
      <c r="AX5" s="596" t="str">
        <f t="shared" si="1"/>
        <v/>
      </c>
      <c r="AY5" s="595" t="str">
        <f t="shared" si="1"/>
        <v/>
      </c>
      <c r="AZ5" s="596" t="str">
        <f t="shared" si="1"/>
        <v/>
      </c>
      <c r="BA5" s="595">
        <f t="shared" si="1"/>
        <v>1256.4814814814813</v>
      </c>
      <c r="BB5" s="596">
        <f t="shared" si="1"/>
        <v>1.5052873571317082</v>
      </c>
      <c r="BC5" s="595" t="str">
        <f t="shared" si="1"/>
        <v/>
      </c>
      <c r="BD5" s="594" t="str">
        <f t="shared" si="1"/>
        <v/>
      </c>
      <c r="BE5" s="595">
        <f t="shared" si="1"/>
        <v>1050</v>
      </c>
      <c r="BF5" s="596">
        <f t="shared" si="1"/>
        <v>1.6923076923076923</v>
      </c>
      <c r="BG5" s="595">
        <f t="shared" si="1"/>
        <v>1278.2407407407409</v>
      </c>
      <c r="BH5" s="596">
        <f t="shared" si="1"/>
        <v>1.4785701663922814</v>
      </c>
      <c r="BI5" s="595" t="str">
        <f t="shared" si="1"/>
        <v/>
      </c>
      <c r="BJ5" s="596" t="str">
        <f t="shared" si="1"/>
        <v/>
      </c>
      <c r="BK5" s="595" t="str">
        <f t="shared" si="1"/>
        <v/>
      </c>
      <c r="BL5" s="596" t="str">
        <f t="shared" si="1"/>
        <v/>
      </c>
      <c r="BM5" s="595" t="str">
        <f t="shared" si="1"/>
        <v/>
      </c>
      <c r="BN5" s="596" t="str">
        <f t="shared" si="1"/>
        <v/>
      </c>
      <c r="BO5" s="595">
        <f t="shared" si="1"/>
        <v>1256.4814814814813</v>
      </c>
      <c r="BP5" s="597">
        <f t="shared" ref="BP5:CR5" si="2">IFERROR(SUBTOTAL(101,BP6:BP25),"")</f>
        <v>1.5052873571317082</v>
      </c>
      <c r="BQ5" s="593" t="str">
        <f t="shared" si="2"/>
        <v/>
      </c>
      <c r="BR5" s="594" t="str">
        <f t="shared" si="2"/>
        <v/>
      </c>
      <c r="BS5" s="595">
        <f t="shared" si="2"/>
        <v>1050</v>
      </c>
      <c r="BT5" s="596">
        <f t="shared" si="2"/>
        <v>1.6923076923076923</v>
      </c>
      <c r="BU5" s="595">
        <f t="shared" si="2"/>
        <v>1332.4242424242425</v>
      </c>
      <c r="BV5" s="596">
        <f t="shared" si="2"/>
        <v>1.5142205751913358</v>
      </c>
      <c r="BW5" s="595" t="str">
        <f t="shared" si="2"/>
        <v/>
      </c>
      <c r="BX5" s="596" t="str">
        <f t="shared" si="2"/>
        <v/>
      </c>
      <c r="BY5" s="595" t="str">
        <f t="shared" si="2"/>
        <v/>
      </c>
      <c r="BZ5" s="596" t="str">
        <f t="shared" si="2"/>
        <v/>
      </c>
      <c r="CA5" s="595" t="str">
        <f t="shared" si="2"/>
        <v/>
      </c>
      <c r="CB5" s="596" t="str">
        <f t="shared" si="2"/>
        <v/>
      </c>
      <c r="CC5" s="595">
        <f t="shared" si="2"/>
        <v>1314.621212121212</v>
      </c>
      <c r="CD5" s="596">
        <f t="shared" si="2"/>
        <v>1.5320292869029712</v>
      </c>
      <c r="CE5" s="595" t="str">
        <f t="shared" si="2"/>
        <v/>
      </c>
      <c r="CF5" s="594" t="str">
        <f t="shared" si="2"/>
        <v/>
      </c>
      <c r="CG5" s="595">
        <f t="shared" si="2"/>
        <v>1050</v>
      </c>
      <c r="CH5" s="596">
        <f t="shared" si="2"/>
        <v>1.6923076923076923</v>
      </c>
      <c r="CI5" s="595">
        <f t="shared" si="2"/>
        <v>1332.4242424242425</v>
      </c>
      <c r="CJ5" s="596">
        <f t="shared" si="2"/>
        <v>1.5142205751913358</v>
      </c>
      <c r="CK5" s="595" t="str">
        <f t="shared" si="2"/>
        <v/>
      </c>
      <c r="CL5" s="596" t="str">
        <f t="shared" si="2"/>
        <v/>
      </c>
      <c r="CM5" s="595" t="str">
        <f t="shared" si="2"/>
        <v/>
      </c>
      <c r="CN5" s="596" t="str">
        <f t="shared" si="2"/>
        <v/>
      </c>
      <c r="CO5" s="595" t="str">
        <f t="shared" si="2"/>
        <v/>
      </c>
      <c r="CP5" s="596" t="str">
        <f t="shared" si="2"/>
        <v/>
      </c>
      <c r="CQ5" s="595">
        <f t="shared" si="2"/>
        <v>1314.621212121212</v>
      </c>
      <c r="CR5" s="597">
        <f t="shared" si="2"/>
        <v>1.5320292869029712</v>
      </c>
      <c r="CS5" s="558"/>
    </row>
    <row r="6" spans="2:97" s="53" customFormat="1" x14ac:dyDescent="0.2">
      <c r="B6" s="448"/>
      <c r="C6" s="449" t="s">
        <v>475</v>
      </c>
      <c r="D6" s="450">
        <v>0.68899687175568192</v>
      </c>
      <c r="E6" s="451">
        <v>4.2283875612071613</v>
      </c>
      <c r="F6" s="452">
        <v>0.30491646007743156</v>
      </c>
      <c r="G6" s="586">
        <v>1993</v>
      </c>
      <c r="H6" s="586"/>
      <c r="I6" s="586"/>
      <c r="J6" s="586">
        <v>952</v>
      </c>
      <c r="K6" s="450"/>
      <c r="L6" s="450"/>
      <c r="M6" s="472"/>
      <c r="N6" s="453"/>
      <c r="O6" s="473"/>
      <c r="P6" s="463"/>
      <c r="Q6" s="473"/>
      <c r="R6" s="463"/>
      <c r="S6" s="473"/>
      <c r="T6" s="463"/>
      <c r="U6" s="473"/>
      <c r="V6" s="463"/>
      <c r="W6" s="473"/>
      <c r="X6" s="463"/>
      <c r="Y6" s="473"/>
      <c r="Z6" s="463"/>
      <c r="AA6" s="473"/>
      <c r="AB6" s="453"/>
      <c r="AC6" s="473"/>
      <c r="AD6" s="463"/>
      <c r="AE6" s="473"/>
      <c r="AF6" s="463"/>
      <c r="AG6" s="473"/>
      <c r="AH6" s="463"/>
      <c r="AI6" s="473"/>
      <c r="AJ6" s="463"/>
      <c r="AK6" s="473"/>
      <c r="AL6" s="463"/>
      <c r="AM6" s="473"/>
      <c r="AN6" s="460"/>
      <c r="AO6" s="472"/>
      <c r="AP6" s="453"/>
      <c r="AQ6" s="473"/>
      <c r="AR6" s="463"/>
      <c r="AS6" s="473"/>
      <c r="AT6" s="463"/>
      <c r="AU6" s="473"/>
      <c r="AV6" s="463"/>
      <c r="AW6" s="473"/>
      <c r="AX6" s="463"/>
      <c r="AY6" s="473"/>
      <c r="AZ6" s="463"/>
      <c r="BA6" s="473"/>
      <c r="BB6" s="463"/>
      <c r="BC6" s="473"/>
      <c r="BD6" s="453"/>
      <c r="BE6" s="473"/>
      <c r="BF6" s="463"/>
      <c r="BG6" s="473"/>
      <c r="BH6" s="463"/>
      <c r="BI6" s="473"/>
      <c r="BJ6" s="463"/>
      <c r="BK6" s="473"/>
      <c r="BL6" s="463"/>
      <c r="BM6" s="473"/>
      <c r="BN6" s="463"/>
      <c r="BO6" s="473"/>
      <c r="BP6" s="460"/>
      <c r="BQ6" s="472"/>
      <c r="BR6" s="453"/>
      <c r="BS6" s="473"/>
      <c r="BT6" s="463"/>
      <c r="BU6" s="473"/>
      <c r="BV6" s="463"/>
      <c r="BW6" s="473"/>
      <c r="BX6" s="463"/>
      <c r="BY6" s="473"/>
      <c r="BZ6" s="463"/>
      <c r="CA6" s="473"/>
      <c r="CB6" s="463"/>
      <c r="CC6" s="473"/>
      <c r="CD6" s="463"/>
      <c r="CE6" s="473"/>
      <c r="CF6" s="453"/>
      <c r="CG6" s="473"/>
      <c r="CH6" s="463"/>
      <c r="CI6" s="473"/>
      <c r="CJ6" s="463"/>
      <c r="CK6" s="473"/>
      <c r="CL6" s="463"/>
      <c r="CM6" s="473"/>
      <c r="CN6" s="463"/>
      <c r="CO6" s="473"/>
      <c r="CP6" s="463"/>
      <c r="CQ6" s="473"/>
      <c r="CR6" s="460"/>
      <c r="CS6" s="558"/>
    </row>
    <row r="7" spans="2:97" x14ac:dyDescent="0.2">
      <c r="B7" s="448"/>
      <c r="C7" s="449" t="s">
        <v>476</v>
      </c>
      <c r="D7" s="450">
        <v>0.65016611941096358</v>
      </c>
      <c r="E7" s="451">
        <v>4.4823118423040533</v>
      </c>
      <c r="F7" s="452">
        <v>0.32871179623809271</v>
      </c>
      <c r="G7" s="586"/>
      <c r="H7" s="586">
        <v>2</v>
      </c>
      <c r="I7" s="586"/>
      <c r="J7" s="586">
        <v>925</v>
      </c>
      <c r="K7" s="450">
        <v>1</v>
      </c>
      <c r="L7" s="450">
        <v>0</v>
      </c>
      <c r="M7" s="472"/>
      <c r="N7" s="453"/>
      <c r="O7" s="473"/>
      <c r="P7" s="463"/>
      <c r="Q7" s="473"/>
      <c r="R7" s="463"/>
      <c r="S7" s="473"/>
      <c r="T7" s="463"/>
      <c r="U7" s="473"/>
      <c r="V7" s="463"/>
      <c r="W7" s="473"/>
      <c r="X7" s="463"/>
      <c r="Y7" s="473"/>
      <c r="Z7" s="463"/>
      <c r="AA7" s="473"/>
      <c r="AB7" s="453"/>
      <c r="AC7" s="473"/>
      <c r="AD7" s="463"/>
      <c r="AE7" s="473"/>
      <c r="AF7" s="463"/>
      <c r="AG7" s="473"/>
      <c r="AH7" s="463"/>
      <c r="AI7" s="473"/>
      <c r="AJ7" s="463"/>
      <c r="AK7" s="473"/>
      <c r="AL7" s="463"/>
      <c r="AM7" s="473"/>
      <c r="AN7" s="460"/>
      <c r="AO7" s="472"/>
      <c r="AP7" s="453"/>
      <c r="AQ7" s="473"/>
      <c r="AR7" s="463"/>
      <c r="AS7" s="473">
        <v>1225</v>
      </c>
      <c r="AT7" s="463">
        <v>1.1136363636363635</v>
      </c>
      <c r="AU7" s="473"/>
      <c r="AV7" s="463"/>
      <c r="AW7" s="473"/>
      <c r="AX7" s="463"/>
      <c r="AY7" s="473"/>
      <c r="AZ7" s="463"/>
      <c r="BA7" s="473">
        <v>1225</v>
      </c>
      <c r="BB7" s="463">
        <v>1.1136363636363635</v>
      </c>
      <c r="BC7" s="473"/>
      <c r="BD7" s="453"/>
      <c r="BE7" s="473"/>
      <c r="BF7" s="463"/>
      <c r="BG7" s="473">
        <v>1225</v>
      </c>
      <c r="BH7" s="463">
        <v>1.1136363636363635</v>
      </c>
      <c r="BI7" s="473"/>
      <c r="BJ7" s="463"/>
      <c r="BK7" s="473"/>
      <c r="BL7" s="463"/>
      <c r="BM7" s="473"/>
      <c r="BN7" s="463"/>
      <c r="BO7" s="473">
        <v>1225</v>
      </c>
      <c r="BP7" s="460">
        <v>1.1136363636363635</v>
      </c>
      <c r="BQ7" s="472"/>
      <c r="BR7" s="453"/>
      <c r="BS7" s="473"/>
      <c r="BT7" s="463"/>
      <c r="BU7" s="473">
        <v>1225</v>
      </c>
      <c r="BV7" s="463">
        <v>1.1136363636363635</v>
      </c>
      <c r="BW7" s="473"/>
      <c r="BX7" s="463"/>
      <c r="BY7" s="473"/>
      <c r="BZ7" s="463"/>
      <c r="CA7" s="473"/>
      <c r="CB7" s="463"/>
      <c r="CC7" s="473">
        <v>1225</v>
      </c>
      <c r="CD7" s="463">
        <v>1.1136363636363635</v>
      </c>
      <c r="CE7" s="473"/>
      <c r="CF7" s="453"/>
      <c r="CG7" s="473"/>
      <c r="CH7" s="463"/>
      <c r="CI7" s="473">
        <v>1225</v>
      </c>
      <c r="CJ7" s="463">
        <v>1.1136363636363635</v>
      </c>
      <c r="CK7" s="473"/>
      <c r="CL7" s="463"/>
      <c r="CM7" s="473"/>
      <c r="CN7" s="463"/>
      <c r="CO7" s="473"/>
      <c r="CP7" s="463"/>
      <c r="CQ7" s="473">
        <v>1225</v>
      </c>
      <c r="CR7" s="460">
        <v>1.1136363636363635</v>
      </c>
    </row>
    <row r="8" spans="2:97" x14ac:dyDescent="0.2">
      <c r="B8" s="448"/>
      <c r="C8" s="449" t="s">
        <v>477</v>
      </c>
      <c r="D8" s="450">
        <v>0.64626414627484152</v>
      </c>
      <c r="E8" s="451">
        <v>4.2336276529097088</v>
      </c>
      <c r="F8" s="452">
        <v>0.29737036019806284</v>
      </c>
      <c r="G8" s="586">
        <v>1995</v>
      </c>
      <c r="H8" s="586"/>
      <c r="I8" s="586"/>
      <c r="J8" s="586">
        <v>952</v>
      </c>
      <c r="K8" s="450"/>
      <c r="L8" s="450"/>
      <c r="M8" s="472"/>
      <c r="N8" s="453"/>
      <c r="O8" s="473"/>
      <c r="P8" s="463"/>
      <c r="Q8" s="473"/>
      <c r="R8" s="463"/>
      <c r="S8" s="473"/>
      <c r="T8" s="463"/>
      <c r="U8" s="473"/>
      <c r="V8" s="463"/>
      <c r="W8" s="473"/>
      <c r="X8" s="463"/>
      <c r="Y8" s="473"/>
      <c r="Z8" s="463"/>
      <c r="AA8" s="473"/>
      <c r="AB8" s="453"/>
      <c r="AC8" s="473"/>
      <c r="AD8" s="463"/>
      <c r="AE8" s="473"/>
      <c r="AF8" s="463"/>
      <c r="AG8" s="473"/>
      <c r="AH8" s="463"/>
      <c r="AI8" s="473"/>
      <c r="AJ8" s="463"/>
      <c r="AK8" s="473"/>
      <c r="AL8" s="463"/>
      <c r="AM8" s="473"/>
      <c r="AN8" s="460"/>
      <c r="AO8" s="472"/>
      <c r="AP8" s="453"/>
      <c r="AQ8" s="473"/>
      <c r="AR8" s="463"/>
      <c r="AS8" s="473"/>
      <c r="AT8" s="463"/>
      <c r="AU8" s="473"/>
      <c r="AV8" s="463"/>
      <c r="AW8" s="473"/>
      <c r="AX8" s="463"/>
      <c r="AY8" s="473"/>
      <c r="AZ8" s="463"/>
      <c r="BA8" s="473"/>
      <c r="BB8" s="463"/>
      <c r="BC8" s="473"/>
      <c r="BD8" s="453"/>
      <c r="BE8" s="473"/>
      <c r="BF8" s="463"/>
      <c r="BG8" s="473"/>
      <c r="BH8" s="463"/>
      <c r="BI8" s="473"/>
      <c r="BJ8" s="463"/>
      <c r="BK8" s="473"/>
      <c r="BL8" s="463"/>
      <c r="BM8" s="473"/>
      <c r="BN8" s="463"/>
      <c r="BO8" s="473"/>
      <c r="BP8" s="460"/>
      <c r="BQ8" s="472"/>
      <c r="BR8" s="453"/>
      <c r="BS8" s="473"/>
      <c r="BT8" s="463"/>
      <c r="BU8" s="473"/>
      <c r="BV8" s="463"/>
      <c r="BW8" s="473"/>
      <c r="BX8" s="463"/>
      <c r="BY8" s="473"/>
      <c r="BZ8" s="463"/>
      <c r="CA8" s="473"/>
      <c r="CB8" s="463"/>
      <c r="CC8" s="473"/>
      <c r="CD8" s="463"/>
      <c r="CE8" s="473"/>
      <c r="CF8" s="453"/>
      <c r="CG8" s="473"/>
      <c r="CH8" s="463"/>
      <c r="CI8" s="473"/>
      <c r="CJ8" s="463"/>
      <c r="CK8" s="473"/>
      <c r="CL8" s="463"/>
      <c r="CM8" s="473"/>
      <c r="CN8" s="463"/>
      <c r="CO8" s="473"/>
      <c r="CP8" s="463"/>
      <c r="CQ8" s="473"/>
      <c r="CR8" s="460"/>
    </row>
    <row r="9" spans="2:97" x14ac:dyDescent="0.2">
      <c r="B9" s="448"/>
      <c r="C9" s="449" t="s">
        <v>478</v>
      </c>
      <c r="D9" s="450">
        <v>0.55152988555266547</v>
      </c>
      <c r="E9" s="451">
        <v>3.7591410443994473</v>
      </c>
      <c r="F9" s="452"/>
      <c r="G9" s="586"/>
      <c r="H9" s="586">
        <v>2</v>
      </c>
      <c r="I9" s="586"/>
      <c r="J9" s="586">
        <v>650</v>
      </c>
      <c r="K9" s="450">
        <v>1</v>
      </c>
      <c r="L9" s="450">
        <v>0</v>
      </c>
      <c r="M9" s="472"/>
      <c r="N9" s="453"/>
      <c r="O9" s="473">
        <v>1025</v>
      </c>
      <c r="P9" s="463">
        <v>1.6923076923076923</v>
      </c>
      <c r="Q9" s="473">
        <v>1150</v>
      </c>
      <c r="R9" s="463"/>
      <c r="S9" s="473"/>
      <c r="T9" s="463"/>
      <c r="U9" s="473"/>
      <c r="V9" s="463"/>
      <c r="W9" s="473"/>
      <c r="X9" s="463"/>
      <c r="Y9" s="473">
        <v>1066.6666666666667</v>
      </c>
      <c r="Z9" s="463">
        <v>1.6923076923076923</v>
      </c>
      <c r="AA9" s="473"/>
      <c r="AB9" s="453"/>
      <c r="AC9" s="473">
        <v>1025</v>
      </c>
      <c r="AD9" s="463">
        <v>1.6923076923076923</v>
      </c>
      <c r="AE9" s="473">
        <v>1150</v>
      </c>
      <c r="AF9" s="463"/>
      <c r="AG9" s="473"/>
      <c r="AH9" s="463"/>
      <c r="AI9" s="473"/>
      <c r="AJ9" s="463"/>
      <c r="AK9" s="473"/>
      <c r="AL9" s="463"/>
      <c r="AM9" s="473">
        <v>1066.6666666666667</v>
      </c>
      <c r="AN9" s="460">
        <v>1.6923076923076923</v>
      </c>
      <c r="AO9" s="472"/>
      <c r="AP9" s="453"/>
      <c r="AQ9" s="473">
        <v>1040</v>
      </c>
      <c r="AR9" s="463">
        <v>1.6923076923076923</v>
      </c>
      <c r="AS9" s="473">
        <v>1166.6666666666667</v>
      </c>
      <c r="AT9" s="463"/>
      <c r="AU9" s="473"/>
      <c r="AV9" s="463"/>
      <c r="AW9" s="473"/>
      <c r="AX9" s="463"/>
      <c r="AY9" s="473"/>
      <c r="AZ9" s="463"/>
      <c r="BA9" s="473">
        <v>1087.5</v>
      </c>
      <c r="BB9" s="463">
        <v>1.6923076923076923</v>
      </c>
      <c r="BC9" s="473"/>
      <c r="BD9" s="453"/>
      <c r="BE9" s="473">
        <v>1040</v>
      </c>
      <c r="BF9" s="463">
        <v>1.6923076923076923</v>
      </c>
      <c r="BG9" s="473">
        <v>1166.6666666666667</v>
      </c>
      <c r="BH9" s="463"/>
      <c r="BI9" s="473"/>
      <c r="BJ9" s="463"/>
      <c r="BK9" s="473"/>
      <c r="BL9" s="463"/>
      <c r="BM9" s="473"/>
      <c r="BN9" s="463"/>
      <c r="BO9" s="473">
        <v>1087.5</v>
      </c>
      <c r="BP9" s="460">
        <v>1.6923076923076923</v>
      </c>
      <c r="BQ9" s="472"/>
      <c r="BR9" s="453"/>
      <c r="BS9" s="473">
        <v>1040</v>
      </c>
      <c r="BT9" s="463">
        <v>1.6923076923076923</v>
      </c>
      <c r="BU9" s="473">
        <v>1166.6666666666667</v>
      </c>
      <c r="BV9" s="463"/>
      <c r="BW9" s="473"/>
      <c r="BX9" s="463"/>
      <c r="BY9" s="473"/>
      <c r="BZ9" s="463"/>
      <c r="CA9" s="473"/>
      <c r="CB9" s="463"/>
      <c r="CC9" s="473">
        <v>1087.5</v>
      </c>
      <c r="CD9" s="463">
        <v>1.6923076923076923</v>
      </c>
      <c r="CE9" s="473"/>
      <c r="CF9" s="453"/>
      <c r="CG9" s="473">
        <v>1040</v>
      </c>
      <c r="CH9" s="463">
        <v>1.6923076923076923</v>
      </c>
      <c r="CI9" s="473">
        <v>1166.6666666666667</v>
      </c>
      <c r="CJ9" s="463"/>
      <c r="CK9" s="473"/>
      <c r="CL9" s="463"/>
      <c r="CM9" s="473"/>
      <c r="CN9" s="463"/>
      <c r="CO9" s="473"/>
      <c r="CP9" s="463"/>
      <c r="CQ9" s="473">
        <v>1087.5</v>
      </c>
      <c r="CR9" s="460">
        <v>1.6923076923076923</v>
      </c>
    </row>
    <row r="10" spans="2:97" x14ac:dyDescent="0.2">
      <c r="B10" s="448"/>
      <c r="C10" s="449" t="s">
        <v>480</v>
      </c>
      <c r="D10" s="450">
        <v>0.54991274082290587</v>
      </c>
      <c r="E10" s="451">
        <v>3.7636159295529503</v>
      </c>
      <c r="F10" s="452"/>
      <c r="G10" s="586"/>
      <c r="H10" s="586">
        <v>1</v>
      </c>
      <c r="I10" s="586"/>
      <c r="J10" s="586"/>
      <c r="K10" s="450">
        <v>1</v>
      </c>
      <c r="L10" s="450">
        <v>0</v>
      </c>
      <c r="M10" s="472"/>
      <c r="N10" s="453"/>
      <c r="O10" s="473">
        <v>1033.3333333333333</v>
      </c>
      <c r="P10" s="463"/>
      <c r="Q10" s="473">
        <v>1200</v>
      </c>
      <c r="R10" s="463"/>
      <c r="S10" s="473"/>
      <c r="T10" s="463"/>
      <c r="U10" s="473"/>
      <c r="V10" s="463"/>
      <c r="W10" s="473"/>
      <c r="X10" s="463"/>
      <c r="Y10" s="473">
        <v>1075</v>
      </c>
      <c r="Z10" s="463"/>
      <c r="AA10" s="473"/>
      <c r="AB10" s="453"/>
      <c r="AC10" s="473">
        <v>1033.3333333333333</v>
      </c>
      <c r="AD10" s="463"/>
      <c r="AE10" s="473">
        <v>1200</v>
      </c>
      <c r="AF10" s="463"/>
      <c r="AG10" s="473"/>
      <c r="AH10" s="463"/>
      <c r="AI10" s="473"/>
      <c r="AJ10" s="463"/>
      <c r="AK10" s="473"/>
      <c r="AL10" s="463"/>
      <c r="AM10" s="473">
        <v>1075</v>
      </c>
      <c r="AN10" s="460"/>
      <c r="AO10" s="472"/>
      <c r="AP10" s="453"/>
      <c r="AQ10" s="473">
        <v>1060</v>
      </c>
      <c r="AR10" s="463"/>
      <c r="AS10" s="473">
        <v>1200</v>
      </c>
      <c r="AT10" s="463"/>
      <c r="AU10" s="473"/>
      <c r="AV10" s="463"/>
      <c r="AW10" s="473"/>
      <c r="AX10" s="463"/>
      <c r="AY10" s="473"/>
      <c r="AZ10" s="463"/>
      <c r="BA10" s="473">
        <v>1083.3333333333333</v>
      </c>
      <c r="BB10" s="463"/>
      <c r="BC10" s="473"/>
      <c r="BD10" s="453"/>
      <c r="BE10" s="473">
        <v>1060</v>
      </c>
      <c r="BF10" s="463"/>
      <c r="BG10" s="473">
        <v>1200</v>
      </c>
      <c r="BH10" s="463"/>
      <c r="BI10" s="473"/>
      <c r="BJ10" s="463"/>
      <c r="BK10" s="473"/>
      <c r="BL10" s="463"/>
      <c r="BM10" s="473"/>
      <c r="BN10" s="463"/>
      <c r="BO10" s="473">
        <v>1083.3333333333333</v>
      </c>
      <c r="BP10" s="460"/>
      <c r="BQ10" s="472"/>
      <c r="BR10" s="453"/>
      <c r="BS10" s="473">
        <v>1060</v>
      </c>
      <c r="BT10" s="463"/>
      <c r="BU10" s="473">
        <v>1200</v>
      </c>
      <c r="BV10" s="463"/>
      <c r="BW10" s="473"/>
      <c r="BX10" s="463"/>
      <c r="BY10" s="473"/>
      <c r="BZ10" s="463"/>
      <c r="CA10" s="473"/>
      <c r="CB10" s="463"/>
      <c r="CC10" s="473">
        <v>1083.3333333333333</v>
      </c>
      <c r="CD10" s="463"/>
      <c r="CE10" s="473"/>
      <c r="CF10" s="453"/>
      <c r="CG10" s="473">
        <v>1060</v>
      </c>
      <c r="CH10" s="463"/>
      <c r="CI10" s="473">
        <v>1200</v>
      </c>
      <c r="CJ10" s="463"/>
      <c r="CK10" s="473"/>
      <c r="CL10" s="463"/>
      <c r="CM10" s="473"/>
      <c r="CN10" s="463"/>
      <c r="CO10" s="473"/>
      <c r="CP10" s="463"/>
      <c r="CQ10" s="473">
        <v>1083.3333333333333</v>
      </c>
      <c r="CR10" s="460"/>
    </row>
    <row r="11" spans="2:97" x14ac:dyDescent="0.2">
      <c r="B11" s="448" t="s">
        <v>497</v>
      </c>
      <c r="C11" s="449" t="s">
        <v>481</v>
      </c>
      <c r="D11" s="450">
        <v>0.5466025708202914</v>
      </c>
      <c r="E11" s="451">
        <v>3.7363130110413976</v>
      </c>
      <c r="F11" s="452"/>
      <c r="G11" s="586"/>
      <c r="H11" s="586"/>
      <c r="I11" s="586"/>
      <c r="J11" s="586"/>
      <c r="K11" s="450"/>
      <c r="L11" s="450"/>
      <c r="M11" s="472"/>
      <c r="N11" s="453"/>
      <c r="O11" s="473"/>
      <c r="P11" s="463"/>
      <c r="Q11" s="473"/>
      <c r="R11" s="463"/>
      <c r="S11" s="473"/>
      <c r="T11" s="463"/>
      <c r="U11" s="473"/>
      <c r="V11" s="463"/>
      <c r="W11" s="473"/>
      <c r="X11" s="463"/>
      <c r="Y11" s="473"/>
      <c r="Z11" s="463"/>
      <c r="AA11" s="473"/>
      <c r="AB11" s="453"/>
      <c r="AC11" s="473"/>
      <c r="AD11" s="463"/>
      <c r="AE11" s="473"/>
      <c r="AF11" s="463"/>
      <c r="AG11" s="473"/>
      <c r="AH11" s="463"/>
      <c r="AI11" s="473"/>
      <c r="AJ11" s="463"/>
      <c r="AK11" s="473"/>
      <c r="AL11" s="463"/>
      <c r="AM11" s="473"/>
      <c r="AN11" s="460"/>
      <c r="AO11" s="472"/>
      <c r="AP11" s="453"/>
      <c r="AQ11" s="473"/>
      <c r="AR11" s="463"/>
      <c r="AS11" s="473"/>
      <c r="AT11" s="463"/>
      <c r="AU11" s="473"/>
      <c r="AV11" s="463"/>
      <c r="AW11" s="473"/>
      <c r="AX11" s="463"/>
      <c r="AY11" s="473"/>
      <c r="AZ11" s="463"/>
      <c r="BA11" s="473"/>
      <c r="BB11" s="463"/>
      <c r="BC11" s="473"/>
      <c r="BD11" s="453"/>
      <c r="BE11" s="473"/>
      <c r="BF11" s="463"/>
      <c r="BG11" s="473"/>
      <c r="BH11" s="463"/>
      <c r="BI11" s="473"/>
      <c r="BJ11" s="463"/>
      <c r="BK11" s="473"/>
      <c r="BL11" s="463"/>
      <c r="BM11" s="473"/>
      <c r="BN11" s="463"/>
      <c r="BO11" s="473"/>
      <c r="BP11" s="460"/>
      <c r="BQ11" s="472"/>
      <c r="BR11" s="453"/>
      <c r="BS11" s="473"/>
      <c r="BT11" s="463"/>
      <c r="BU11" s="473"/>
      <c r="BV11" s="463"/>
      <c r="BW11" s="473"/>
      <c r="BX11" s="463"/>
      <c r="BY11" s="473"/>
      <c r="BZ11" s="463"/>
      <c r="CA11" s="473"/>
      <c r="CB11" s="463"/>
      <c r="CC11" s="473"/>
      <c r="CD11" s="463"/>
      <c r="CE11" s="473"/>
      <c r="CF11" s="453"/>
      <c r="CG11" s="473"/>
      <c r="CH11" s="463"/>
      <c r="CI11" s="473"/>
      <c r="CJ11" s="463"/>
      <c r="CK11" s="473"/>
      <c r="CL11" s="463"/>
      <c r="CM11" s="473"/>
      <c r="CN11" s="463"/>
      <c r="CO11" s="473"/>
      <c r="CP11" s="463"/>
      <c r="CQ11" s="473"/>
      <c r="CR11" s="460"/>
    </row>
    <row r="12" spans="2:97" x14ac:dyDescent="0.2">
      <c r="B12" s="448"/>
      <c r="C12" s="449" t="s">
        <v>482</v>
      </c>
      <c r="D12" s="450">
        <v>0.54652372961838447</v>
      </c>
      <c r="E12" s="451">
        <v>4.2315267108493151</v>
      </c>
      <c r="F12" s="452"/>
      <c r="G12" s="586">
        <v>1994</v>
      </c>
      <c r="H12" s="586"/>
      <c r="I12" s="586"/>
      <c r="J12" s="586">
        <v>951</v>
      </c>
      <c r="K12" s="450"/>
      <c r="L12" s="450"/>
      <c r="M12" s="472"/>
      <c r="N12" s="453"/>
      <c r="O12" s="473"/>
      <c r="P12" s="463"/>
      <c r="Q12" s="473"/>
      <c r="R12" s="463"/>
      <c r="S12" s="473"/>
      <c r="T12" s="463"/>
      <c r="U12" s="473"/>
      <c r="V12" s="463"/>
      <c r="W12" s="473"/>
      <c r="X12" s="463"/>
      <c r="Y12" s="473"/>
      <c r="Z12" s="463"/>
      <c r="AA12" s="473"/>
      <c r="AB12" s="453"/>
      <c r="AC12" s="473"/>
      <c r="AD12" s="463"/>
      <c r="AE12" s="473"/>
      <c r="AF12" s="463"/>
      <c r="AG12" s="473"/>
      <c r="AH12" s="463"/>
      <c r="AI12" s="473"/>
      <c r="AJ12" s="463"/>
      <c r="AK12" s="473"/>
      <c r="AL12" s="463"/>
      <c r="AM12" s="473"/>
      <c r="AN12" s="460"/>
      <c r="AO12" s="472"/>
      <c r="AP12" s="453"/>
      <c r="AQ12" s="473"/>
      <c r="AR12" s="463"/>
      <c r="AS12" s="473"/>
      <c r="AT12" s="463"/>
      <c r="AU12" s="473"/>
      <c r="AV12" s="463"/>
      <c r="AW12" s="473"/>
      <c r="AX12" s="463"/>
      <c r="AY12" s="473"/>
      <c r="AZ12" s="463"/>
      <c r="BA12" s="473"/>
      <c r="BB12" s="463"/>
      <c r="BC12" s="473"/>
      <c r="BD12" s="453"/>
      <c r="BE12" s="473"/>
      <c r="BF12" s="463"/>
      <c r="BG12" s="473"/>
      <c r="BH12" s="463"/>
      <c r="BI12" s="473"/>
      <c r="BJ12" s="463"/>
      <c r="BK12" s="473"/>
      <c r="BL12" s="463"/>
      <c r="BM12" s="473"/>
      <c r="BN12" s="463"/>
      <c r="BO12" s="473"/>
      <c r="BP12" s="460"/>
      <c r="BQ12" s="472"/>
      <c r="BR12" s="453"/>
      <c r="BS12" s="473"/>
      <c r="BT12" s="463"/>
      <c r="BU12" s="473"/>
      <c r="BV12" s="463"/>
      <c r="BW12" s="473"/>
      <c r="BX12" s="463"/>
      <c r="BY12" s="473"/>
      <c r="BZ12" s="463"/>
      <c r="CA12" s="473"/>
      <c r="CB12" s="463"/>
      <c r="CC12" s="473"/>
      <c r="CD12" s="463"/>
      <c r="CE12" s="473"/>
      <c r="CF12" s="453"/>
      <c r="CG12" s="473"/>
      <c r="CH12" s="463"/>
      <c r="CI12" s="473"/>
      <c r="CJ12" s="463"/>
      <c r="CK12" s="473"/>
      <c r="CL12" s="463"/>
      <c r="CM12" s="473"/>
      <c r="CN12" s="463"/>
      <c r="CO12" s="473"/>
      <c r="CP12" s="463"/>
      <c r="CQ12" s="473"/>
      <c r="CR12" s="460"/>
    </row>
    <row r="13" spans="2:97" x14ac:dyDescent="0.2">
      <c r="B13" s="448"/>
      <c r="C13" s="449" t="s">
        <v>483</v>
      </c>
      <c r="D13" s="450">
        <v>0.54392076944813816</v>
      </c>
      <c r="E13" s="451">
        <v>4.3364955476273126</v>
      </c>
      <c r="F13" s="452"/>
      <c r="G13" s="586"/>
      <c r="H13" s="586"/>
      <c r="I13" s="586"/>
      <c r="J13" s="586">
        <v>1270</v>
      </c>
      <c r="K13" s="450"/>
      <c r="L13" s="450"/>
      <c r="M13" s="472"/>
      <c r="N13" s="453"/>
      <c r="O13" s="473"/>
      <c r="P13" s="463"/>
      <c r="Q13" s="473">
        <v>1850</v>
      </c>
      <c r="R13" s="463">
        <v>1.4566929133858268</v>
      </c>
      <c r="S13" s="473"/>
      <c r="T13" s="463"/>
      <c r="U13" s="473"/>
      <c r="V13" s="463"/>
      <c r="W13" s="473"/>
      <c r="X13" s="463"/>
      <c r="Y13" s="473">
        <v>1850</v>
      </c>
      <c r="Z13" s="463">
        <v>1.4566929133858268</v>
      </c>
      <c r="AA13" s="473"/>
      <c r="AB13" s="453"/>
      <c r="AC13" s="473"/>
      <c r="AD13" s="463"/>
      <c r="AE13" s="473">
        <v>1850</v>
      </c>
      <c r="AF13" s="463">
        <v>1.4566929133858268</v>
      </c>
      <c r="AG13" s="473"/>
      <c r="AH13" s="463"/>
      <c r="AI13" s="473"/>
      <c r="AJ13" s="463"/>
      <c r="AK13" s="473"/>
      <c r="AL13" s="463"/>
      <c r="AM13" s="473">
        <v>1850</v>
      </c>
      <c r="AN13" s="460">
        <v>1.4566929133858268</v>
      </c>
      <c r="AO13" s="472"/>
      <c r="AP13" s="453"/>
      <c r="AQ13" s="473"/>
      <c r="AR13" s="463"/>
      <c r="AS13" s="473">
        <v>1850</v>
      </c>
      <c r="AT13" s="463">
        <v>1.4566929133858268</v>
      </c>
      <c r="AU13" s="473"/>
      <c r="AV13" s="463"/>
      <c r="AW13" s="473"/>
      <c r="AX13" s="463"/>
      <c r="AY13" s="473"/>
      <c r="AZ13" s="463"/>
      <c r="BA13" s="473">
        <v>1850</v>
      </c>
      <c r="BB13" s="463">
        <v>1.4566929133858268</v>
      </c>
      <c r="BC13" s="473"/>
      <c r="BD13" s="453"/>
      <c r="BE13" s="473"/>
      <c r="BF13" s="463"/>
      <c r="BG13" s="473">
        <v>1850</v>
      </c>
      <c r="BH13" s="463">
        <v>1.4566929133858268</v>
      </c>
      <c r="BI13" s="473"/>
      <c r="BJ13" s="463"/>
      <c r="BK13" s="473"/>
      <c r="BL13" s="463"/>
      <c r="BM13" s="473"/>
      <c r="BN13" s="463"/>
      <c r="BO13" s="473">
        <v>1850</v>
      </c>
      <c r="BP13" s="460">
        <v>1.4566929133858268</v>
      </c>
      <c r="BQ13" s="472"/>
      <c r="BR13" s="453"/>
      <c r="BS13" s="473"/>
      <c r="BT13" s="463"/>
      <c r="BU13" s="473">
        <v>1850</v>
      </c>
      <c r="BV13" s="463">
        <v>1.4566929133858268</v>
      </c>
      <c r="BW13" s="473"/>
      <c r="BX13" s="463"/>
      <c r="BY13" s="473"/>
      <c r="BZ13" s="463"/>
      <c r="CA13" s="473"/>
      <c r="CB13" s="463"/>
      <c r="CC13" s="473">
        <v>1850</v>
      </c>
      <c r="CD13" s="463">
        <v>1.4566929133858268</v>
      </c>
      <c r="CE13" s="473"/>
      <c r="CF13" s="453"/>
      <c r="CG13" s="473"/>
      <c r="CH13" s="463"/>
      <c r="CI13" s="473">
        <v>1850</v>
      </c>
      <c r="CJ13" s="463">
        <v>1.4566929133858268</v>
      </c>
      <c r="CK13" s="473"/>
      <c r="CL13" s="463"/>
      <c r="CM13" s="473"/>
      <c r="CN13" s="463"/>
      <c r="CO13" s="473"/>
      <c r="CP13" s="463"/>
      <c r="CQ13" s="473">
        <v>1850</v>
      </c>
      <c r="CR13" s="460">
        <v>1.4566929133858268</v>
      </c>
    </row>
    <row r="14" spans="2:97" x14ac:dyDescent="0.2">
      <c r="B14" s="448"/>
      <c r="C14" s="449" t="s">
        <v>484</v>
      </c>
      <c r="D14" s="450">
        <v>0.5419164659290252</v>
      </c>
      <c r="E14" s="451">
        <v>4.7936759583349602</v>
      </c>
      <c r="F14" s="452"/>
      <c r="G14" s="586"/>
      <c r="H14" s="586">
        <v>1</v>
      </c>
      <c r="I14" s="586"/>
      <c r="J14" s="586">
        <v>900</v>
      </c>
      <c r="K14" s="450">
        <v>1</v>
      </c>
      <c r="L14" s="450">
        <v>0</v>
      </c>
      <c r="M14" s="472"/>
      <c r="N14" s="453"/>
      <c r="O14" s="473"/>
      <c r="P14" s="463"/>
      <c r="Q14" s="473"/>
      <c r="R14" s="463"/>
      <c r="S14" s="473"/>
      <c r="T14" s="463"/>
      <c r="U14" s="473"/>
      <c r="V14" s="463"/>
      <c r="W14" s="473"/>
      <c r="X14" s="463"/>
      <c r="Y14" s="473"/>
      <c r="Z14" s="463"/>
      <c r="AA14" s="473"/>
      <c r="AB14" s="453"/>
      <c r="AC14" s="473"/>
      <c r="AD14" s="463"/>
      <c r="AE14" s="473"/>
      <c r="AF14" s="463"/>
      <c r="AG14" s="473"/>
      <c r="AH14" s="463"/>
      <c r="AI14" s="473"/>
      <c r="AJ14" s="463"/>
      <c r="AK14" s="473"/>
      <c r="AL14" s="463"/>
      <c r="AM14" s="473"/>
      <c r="AN14" s="460"/>
      <c r="AO14" s="472"/>
      <c r="AP14" s="453"/>
      <c r="AQ14" s="473"/>
      <c r="AR14" s="463"/>
      <c r="AS14" s="473"/>
      <c r="AT14" s="463"/>
      <c r="AU14" s="473"/>
      <c r="AV14" s="463"/>
      <c r="AW14" s="473"/>
      <c r="AX14" s="463"/>
      <c r="AY14" s="473"/>
      <c r="AZ14" s="463"/>
      <c r="BA14" s="473"/>
      <c r="BB14" s="463"/>
      <c r="BC14" s="473"/>
      <c r="BD14" s="453"/>
      <c r="BE14" s="473"/>
      <c r="BF14" s="463"/>
      <c r="BG14" s="473"/>
      <c r="BH14" s="463"/>
      <c r="BI14" s="473"/>
      <c r="BJ14" s="463"/>
      <c r="BK14" s="473"/>
      <c r="BL14" s="463"/>
      <c r="BM14" s="473"/>
      <c r="BN14" s="463"/>
      <c r="BO14" s="473"/>
      <c r="BP14" s="460"/>
      <c r="BQ14" s="472"/>
      <c r="BR14" s="453"/>
      <c r="BS14" s="473"/>
      <c r="BT14" s="463"/>
      <c r="BU14" s="473"/>
      <c r="BV14" s="463"/>
      <c r="BW14" s="473"/>
      <c r="BX14" s="463"/>
      <c r="BY14" s="473"/>
      <c r="BZ14" s="463"/>
      <c r="CA14" s="473"/>
      <c r="CB14" s="463"/>
      <c r="CC14" s="473"/>
      <c r="CD14" s="463"/>
      <c r="CE14" s="473"/>
      <c r="CF14" s="453"/>
      <c r="CG14" s="473"/>
      <c r="CH14" s="463"/>
      <c r="CI14" s="473"/>
      <c r="CJ14" s="463"/>
      <c r="CK14" s="473"/>
      <c r="CL14" s="463"/>
      <c r="CM14" s="473"/>
      <c r="CN14" s="463"/>
      <c r="CO14" s="473"/>
      <c r="CP14" s="463"/>
      <c r="CQ14" s="473"/>
      <c r="CR14" s="460"/>
    </row>
    <row r="15" spans="2:97" x14ac:dyDescent="0.2">
      <c r="B15" s="448"/>
      <c r="C15" s="449" t="s">
        <v>485</v>
      </c>
      <c r="D15" s="450">
        <v>0.53609255083441543</v>
      </c>
      <c r="E15" s="451">
        <v>4.0799306585764503</v>
      </c>
      <c r="F15" s="452"/>
      <c r="G15" s="586"/>
      <c r="H15" s="586"/>
      <c r="I15" s="586"/>
      <c r="J15" s="586">
        <v>864</v>
      </c>
      <c r="K15" s="450"/>
      <c r="L15" s="450"/>
      <c r="M15" s="472"/>
      <c r="N15" s="453"/>
      <c r="O15" s="473"/>
      <c r="P15" s="463"/>
      <c r="Q15" s="473">
        <v>1325</v>
      </c>
      <c r="R15" s="463">
        <v>1.5335648148148149</v>
      </c>
      <c r="S15" s="473"/>
      <c r="T15" s="463"/>
      <c r="U15" s="473"/>
      <c r="V15" s="463"/>
      <c r="W15" s="473"/>
      <c r="X15" s="463"/>
      <c r="Y15" s="473">
        <v>1325</v>
      </c>
      <c r="Z15" s="463">
        <v>1.5335648148148149</v>
      </c>
      <c r="AA15" s="473"/>
      <c r="AB15" s="453"/>
      <c r="AC15" s="473"/>
      <c r="AD15" s="463"/>
      <c r="AE15" s="473">
        <v>1325</v>
      </c>
      <c r="AF15" s="463">
        <v>1.5335648148148149</v>
      </c>
      <c r="AG15" s="473"/>
      <c r="AH15" s="463"/>
      <c r="AI15" s="473"/>
      <c r="AJ15" s="463"/>
      <c r="AK15" s="473"/>
      <c r="AL15" s="463"/>
      <c r="AM15" s="473">
        <v>1325</v>
      </c>
      <c r="AN15" s="460">
        <v>1.5335648148148149</v>
      </c>
      <c r="AO15" s="472"/>
      <c r="AP15" s="453"/>
      <c r="AQ15" s="473"/>
      <c r="AR15" s="463"/>
      <c r="AS15" s="473">
        <v>1325</v>
      </c>
      <c r="AT15" s="463">
        <v>1.5335648148148149</v>
      </c>
      <c r="AU15" s="473"/>
      <c r="AV15" s="463"/>
      <c r="AW15" s="473"/>
      <c r="AX15" s="463"/>
      <c r="AY15" s="473"/>
      <c r="AZ15" s="463"/>
      <c r="BA15" s="473">
        <v>1325</v>
      </c>
      <c r="BB15" s="463">
        <v>1.5335648148148149</v>
      </c>
      <c r="BC15" s="473"/>
      <c r="BD15" s="453"/>
      <c r="BE15" s="473"/>
      <c r="BF15" s="463"/>
      <c r="BG15" s="473">
        <v>1325</v>
      </c>
      <c r="BH15" s="463">
        <v>1.5335648148148149</v>
      </c>
      <c r="BI15" s="473"/>
      <c r="BJ15" s="463"/>
      <c r="BK15" s="473"/>
      <c r="BL15" s="463"/>
      <c r="BM15" s="473"/>
      <c r="BN15" s="463"/>
      <c r="BO15" s="473">
        <v>1325</v>
      </c>
      <c r="BP15" s="460">
        <v>1.5335648148148149</v>
      </c>
      <c r="BQ15" s="472"/>
      <c r="BR15" s="453"/>
      <c r="BS15" s="473"/>
      <c r="BT15" s="463"/>
      <c r="BU15" s="473">
        <v>1325</v>
      </c>
      <c r="BV15" s="463">
        <v>1.5335648148148149</v>
      </c>
      <c r="BW15" s="473"/>
      <c r="BX15" s="463"/>
      <c r="BY15" s="473"/>
      <c r="BZ15" s="463"/>
      <c r="CA15" s="473"/>
      <c r="CB15" s="463"/>
      <c r="CC15" s="473">
        <v>1325</v>
      </c>
      <c r="CD15" s="463">
        <v>1.5335648148148149</v>
      </c>
      <c r="CE15" s="473"/>
      <c r="CF15" s="453"/>
      <c r="CG15" s="473"/>
      <c r="CH15" s="463"/>
      <c r="CI15" s="473">
        <v>1325</v>
      </c>
      <c r="CJ15" s="463">
        <v>1.5335648148148149</v>
      </c>
      <c r="CK15" s="473"/>
      <c r="CL15" s="463"/>
      <c r="CM15" s="473"/>
      <c r="CN15" s="463"/>
      <c r="CO15" s="473"/>
      <c r="CP15" s="463"/>
      <c r="CQ15" s="473">
        <v>1325</v>
      </c>
      <c r="CR15" s="460">
        <v>1.5335648148148149</v>
      </c>
    </row>
    <row r="16" spans="2:97" x14ac:dyDescent="0.2">
      <c r="B16" s="448"/>
      <c r="C16" s="449" t="s">
        <v>486</v>
      </c>
      <c r="D16" s="450">
        <v>0.52994815638741866</v>
      </c>
      <c r="E16" s="451">
        <v>3.5927930287883751</v>
      </c>
      <c r="F16" s="452"/>
      <c r="G16" s="586"/>
      <c r="H16" s="586">
        <v>2</v>
      </c>
      <c r="I16" s="586"/>
      <c r="J16" s="586"/>
      <c r="K16" s="450">
        <v>1</v>
      </c>
      <c r="L16" s="450">
        <v>0</v>
      </c>
      <c r="M16" s="472"/>
      <c r="N16" s="453"/>
      <c r="O16" s="473"/>
      <c r="P16" s="463"/>
      <c r="Q16" s="473"/>
      <c r="R16" s="463"/>
      <c r="S16" s="473"/>
      <c r="T16" s="463"/>
      <c r="U16" s="473"/>
      <c r="V16" s="463"/>
      <c r="W16" s="473"/>
      <c r="X16" s="463"/>
      <c r="Y16" s="473"/>
      <c r="Z16" s="463"/>
      <c r="AA16" s="473"/>
      <c r="AB16" s="453"/>
      <c r="AC16" s="473"/>
      <c r="AD16" s="463"/>
      <c r="AE16" s="473"/>
      <c r="AF16" s="463"/>
      <c r="AG16" s="473"/>
      <c r="AH16" s="463"/>
      <c r="AI16" s="473"/>
      <c r="AJ16" s="463"/>
      <c r="AK16" s="473"/>
      <c r="AL16" s="463"/>
      <c r="AM16" s="473"/>
      <c r="AN16" s="460"/>
      <c r="AO16" s="472"/>
      <c r="AP16" s="453"/>
      <c r="AQ16" s="473"/>
      <c r="AR16" s="463"/>
      <c r="AS16" s="473"/>
      <c r="AT16" s="463"/>
      <c r="AU16" s="473"/>
      <c r="AV16" s="463"/>
      <c r="AW16" s="473"/>
      <c r="AX16" s="463"/>
      <c r="AY16" s="473"/>
      <c r="AZ16" s="463"/>
      <c r="BA16" s="473"/>
      <c r="BB16" s="463"/>
      <c r="BC16" s="473"/>
      <c r="BD16" s="453"/>
      <c r="BE16" s="473"/>
      <c r="BF16" s="463"/>
      <c r="BG16" s="473"/>
      <c r="BH16" s="463"/>
      <c r="BI16" s="473"/>
      <c r="BJ16" s="463"/>
      <c r="BK16" s="473"/>
      <c r="BL16" s="463"/>
      <c r="BM16" s="473"/>
      <c r="BN16" s="463"/>
      <c r="BO16" s="473"/>
      <c r="BP16" s="460"/>
      <c r="BQ16" s="472"/>
      <c r="BR16" s="453"/>
      <c r="BS16" s="473"/>
      <c r="BT16" s="463"/>
      <c r="BU16" s="473"/>
      <c r="BV16" s="463"/>
      <c r="BW16" s="473"/>
      <c r="BX16" s="463"/>
      <c r="BY16" s="473"/>
      <c r="BZ16" s="463"/>
      <c r="CA16" s="473"/>
      <c r="CB16" s="463"/>
      <c r="CC16" s="473"/>
      <c r="CD16" s="463"/>
      <c r="CE16" s="473"/>
      <c r="CF16" s="453"/>
      <c r="CG16" s="473"/>
      <c r="CH16" s="463"/>
      <c r="CI16" s="473"/>
      <c r="CJ16" s="463"/>
      <c r="CK16" s="473"/>
      <c r="CL16" s="463"/>
      <c r="CM16" s="473"/>
      <c r="CN16" s="463"/>
      <c r="CO16" s="473"/>
      <c r="CP16" s="463"/>
      <c r="CQ16" s="473"/>
      <c r="CR16" s="460"/>
    </row>
    <row r="17" spans="2:96" x14ac:dyDescent="0.2">
      <c r="B17" s="448"/>
      <c r="C17" s="449" t="s">
        <v>487</v>
      </c>
      <c r="D17" s="450">
        <v>0.52472205280428796</v>
      </c>
      <c r="E17" s="451">
        <v>5.6926547083736336</v>
      </c>
      <c r="F17" s="452"/>
      <c r="G17" s="586"/>
      <c r="H17" s="586"/>
      <c r="I17" s="586"/>
      <c r="J17" s="586">
        <v>1250</v>
      </c>
      <c r="K17" s="450"/>
      <c r="L17" s="450"/>
      <c r="M17" s="472"/>
      <c r="N17" s="453"/>
      <c r="O17" s="473"/>
      <c r="P17" s="463"/>
      <c r="Q17" s="473"/>
      <c r="R17" s="463"/>
      <c r="S17" s="473"/>
      <c r="T17" s="463"/>
      <c r="U17" s="473"/>
      <c r="V17" s="463"/>
      <c r="W17" s="473"/>
      <c r="X17" s="463"/>
      <c r="Y17" s="473"/>
      <c r="Z17" s="463"/>
      <c r="AA17" s="473"/>
      <c r="AB17" s="453"/>
      <c r="AC17" s="473"/>
      <c r="AD17" s="463"/>
      <c r="AE17" s="473"/>
      <c r="AF17" s="463"/>
      <c r="AG17" s="473"/>
      <c r="AH17" s="463"/>
      <c r="AI17" s="473"/>
      <c r="AJ17" s="463"/>
      <c r="AK17" s="473"/>
      <c r="AL17" s="463"/>
      <c r="AM17" s="473"/>
      <c r="AN17" s="460"/>
      <c r="AO17" s="472"/>
      <c r="AP17" s="453"/>
      <c r="AQ17" s="473"/>
      <c r="AR17" s="463"/>
      <c r="AS17" s="473"/>
      <c r="AT17" s="463"/>
      <c r="AU17" s="473"/>
      <c r="AV17" s="463"/>
      <c r="AW17" s="473"/>
      <c r="AX17" s="463"/>
      <c r="AY17" s="473"/>
      <c r="AZ17" s="463"/>
      <c r="BA17" s="473"/>
      <c r="BB17" s="463"/>
      <c r="BC17" s="473"/>
      <c r="BD17" s="453"/>
      <c r="BE17" s="473"/>
      <c r="BF17" s="463"/>
      <c r="BG17" s="473"/>
      <c r="BH17" s="463"/>
      <c r="BI17" s="473"/>
      <c r="BJ17" s="463"/>
      <c r="BK17" s="473"/>
      <c r="BL17" s="463"/>
      <c r="BM17" s="473"/>
      <c r="BN17" s="463"/>
      <c r="BO17" s="473"/>
      <c r="BP17" s="460"/>
      <c r="BQ17" s="472"/>
      <c r="BR17" s="453"/>
      <c r="BS17" s="473"/>
      <c r="BT17" s="463"/>
      <c r="BU17" s="473"/>
      <c r="BV17" s="463"/>
      <c r="BW17" s="473"/>
      <c r="BX17" s="463"/>
      <c r="BY17" s="473"/>
      <c r="BZ17" s="463"/>
      <c r="CA17" s="473"/>
      <c r="CB17" s="463"/>
      <c r="CC17" s="473"/>
      <c r="CD17" s="463"/>
      <c r="CE17" s="473"/>
      <c r="CF17" s="453"/>
      <c r="CG17" s="473"/>
      <c r="CH17" s="463"/>
      <c r="CI17" s="473"/>
      <c r="CJ17" s="463"/>
      <c r="CK17" s="473"/>
      <c r="CL17" s="463"/>
      <c r="CM17" s="473"/>
      <c r="CN17" s="463"/>
      <c r="CO17" s="473"/>
      <c r="CP17" s="463"/>
      <c r="CQ17" s="473"/>
      <c r="CR17" s="460"/>
    </row>
    <row r="18" spans="2:96" x14ac:dyDescent="0.2">
      <c r="B18" s="448"/>
      <c r="C18" s="449" t="s">
        <v>488</v>
      </c>
      <c r="D18" s="450">
        <v>0.52411657131844114</v>
      </c>
      <c r="E18" s="451">
        <v>4.2464266486968603</v>
      </c>
      <c r="F18" s="452"/>
      <c r="G18" s="586"/>
      <c r="H18" s="586"/>
      <c r="I18" s="586"/>
      <c r="J18" s="586">
        <v>1200</v>
      </c>
      <c r="K18" s="450"/>
      <c r="L18" s="450"/>
      <c r="M18" s="472"/>
      <c r="N18" s="453"/>
      <c r="O18" s="473"/>
      <c r="P18" s="463"/>
      <c r="Q18" s="473"/>
      <c r="R18" s="463"/>
      <c r="S18" s="473"/>
      <c r="T18" s="463"/>
      <c r="U18" s="473"/>
      <c r="V18" s="463"/>
      <c r="W18" s="473"/>
      <c r="X18" s="463"/>
      <c r="Y18" s="473"/>
      <c r="Z18" s="463"/>
      <c r="AA18" s="473"/>
      <c r="AB18" s="453"/>
      <c r="AC18" s="473"/>
      <c r="AD18" s="463"/>
      <c r="AE18" s="473"/>
      <c r="AF18" s="463"/>
      <c r="AG18" s="473"/>
      <c r="AH18" s="463"/>
      <c r="AI18" s="473"/>
      <c r="AJ18" s="463"/>
      <c r="AK18" s="473"/>
      <c r="AL18" s="463"/>
      <c r="AM18" s="473"/>
      <c r="AN18" s="460"/>
      <c r="AO18" s="472"/>
      <c r="AP18" s="453"/>
      <c r="AQ18" s="473"/>
      <c r="AR18" s="463"/>
      <c r="AS18" s="473"/>
      <c r="AT18" s="463"/>
      <c r="AU18" s="473"/>
      <c r="AV18" s="463"/>
      <c r="AW18" s="473"/>
      <c r="AX18" s="463"/>
      <c r="AY18" s="473"/>
      <c r="AZ18" s="463"/>
      <c r="BA18" s="473"/>
      <c r="BB18" s="463"/>
      <c r="BC18" s="473"/>
      <c r="BD18" s="453"/>
      <c r="BE18" s="473"/>
      <c r="BF18" s="463"/>
      <c r="BG18" s="473"/>
      <c r="BH18" s="463"/>
      <c r="BI18" s="473"/>
      <c r="BJ18" s="463"/>
      <c r="BK18" s="473"/>
      <c r="BL18" s="463"/>
      <c r="BM18" s="473"/>
      <c r="BN18" s="463"/>
      <c r="BO18" s="473"/>
      <c r="BP18" s="460"/>
      <c r="BQ18" s="472"/>
      <c r="BR18" s="453"/>
      <c r="BS18" s="473"/>
      <c r="BT18" s="463"/>
      <c r="BU18" s="473">
        <v>1850</v>
      </c>
      <c r="BV18" s="463">
        <v>1.5416666666666667</v>
      </c>
      <c r="BW18" s="473"/>
      <c r="BX18" s="463"/>
      <c r="BY18" s="473"/>
      <c r="BZ18" s="463"/>
      <c r="CA18" s="473"/>
      <c r="CB18" s="463"/>
      <c r="CC18" s="473">
        <v>1850</v>
      </c>
      <c r="CD18" s="463">
        <v>1.5416666666666667</v>
      </c>
      <c r="CE18" s="473"/>
      <c r="CF18" s="453"/>
      <c r="CG18" s="473"/>
      <c r="CH18" s="463"/>
      <c r="CI18" s="473">
        <v>1850</v>
      </c>
      <c r="CJ18" s="463">
        <v>1.5416666666666667</v>
      </c>
      <c r="CK18" s="473"/>
      <c r="CL18" s="463"/>
      <c r="CM18" s="473"/>
      <c r="CN18" s="463"/>
      <c r="CO18" s="473"/>
      <c r="CP18" s="463"/>
      <c r="CQ18" s="473">
        <v>1850</v>
      </c>
      <c r="CR18" s="460">
        <v>1.5416666666666667</v>
      </c>
    </row>
    <row r="19" spans="2:96" x14ac:dyDescent="0.2">
      <c r="B19" s="448"/>
      <c r="C19" s="449" t="s">
        <v>489</v>
      </c>
      <c r="D19" s="450">
        <v>0.51603927885917189</v>
      </c>
      <c r="E19" s="451">
        <v>3.8401886248954358</v>
      </c>
      <c r="F19" s="452">
        <v>0.35847542006032074</v>
      </c>
      <c r="G19" s="586"/>
      <c r="H19" s="586"/>
      <c r="I19" s="586"/>
      <c r="J19" s="586">
        <v>572</v>
      </c>
      <c r="K19" s="450"/>
      <c r="L19" s="450"/>
      <c r="M19" s="472"/>
      <c r="N19" s="453"/>
      <c r="O19" s="473"/>
      <c r="P19" s="463"/>
      <c r="Q19" s="473"/>
      <c r="R19" s="463"/>
      <c r="S19" s="473"/>
      <c r="T19" s="463"/>
      <c r="U19" s="473"/>
      <c r="V19" s="463"/>
      <c r="W19" s="473"/>
      <c r="X19" s="463"/>
      <c r="Y19" s="473"/>
      <c r="Z19" s="463"/>
      <c r="AA19" s="473"/>
      <c r="AB19" s="453"/>
      <c r="AC19" s="473"/>
      <c r="AD19" s="463"/>
      <c r="AE19" s="473"/>
      <c r="AF19" s="463"/>
      <c r="AG19" s="473"/>
      <c r="AH19" s="463"/>
      <c r="AI19" s="473"/>
      <c r="AJ19" s="463"/>
      <c r="AK19" s="473"/>
      <c r="AL19" s="463"/>
      <c r="AM19" s="473"/>
      <c r="AN19" s="460"/>
      <c r="AO19" s="472"/>
      <c r="AP19" s="453"/>
      <c r="AQ19" s="473"/>
      <c r="AR19" s="463"/>
      <c r="AS19" s="473"/>
      <c r="AT19" s="463"/>
      <c r="AU19" s="473"/>
      <c r="AV19" s="463"/>
      <c r="AW19" s="473"/>
      <c r="AX19" s="463"/>
      <c r="AY19" s="473"/>
      <c r="AZ19" s="463"/>
      <c r="BA19" s="473"/>
      <c r="BB19" s="463"/>
      <c r="BC19" s="473"/>
      <c r="BD19" s="453"/>
      <c r="BE19" s="473"/>
      <c r="BF19" s="463"/>
      <c r="BG19" s="473"/>
      <c r="BH19" s="463"/>
      <c r="BI19" s="473"/>
      <c r="BJ19" s="463"/>
      <c r="BK19" s="473"/>
      <c r="BL19" s="463"/>
      <c r="BM19" s="473"/>
      <c r="BN19" s="463"/>
      <c r="BO19" s="473"/>
      <c r="BP19" s="460"/>
      <c r="BQ19" s="472"/>
      <c r="BR19" s="453"/>
      <c r="BS19" s="473"/>
      <c r="BT19" s="463"/>
      <c r="BU19" s="473"/>
      <c r="BV19" s="463"/>
      <c r="BW19" s="473"/>
      <c r="BX19" s="463"/>
      <c r="BY19" s="473"/>
      <c r="BZ19" s="463"/>
      <c r="CA19" s="473"/>
      <c r="CB19" s="463"/>
      <c r="CC19" s="473"/>
      <c r="CD19" s="463"/>
      <c r="CE19" s="473"/>
      <c r="CF19" s="453"/>
      <c r="CG19" s="473"/>
      <c r="CH19" s="463"/>
      <c r="CI19" s="473"/>
      <c r="CJ19" s="463"/>
      <c r="CK19" s="473"/>
      <c r="CL19" s="463"/>
      <c r="CM19" s="473"/>
      <c r="CN19" s="463"/>
      <c r="CO19" s="473"/>
      <c r="CP19" s="463"/>
      <c r="CQ19" s="473"/>
      <c r="CR19" s="460"/>
    </row>
    <row r="20" spans="2:96" x14ac:dyDescent="0.2">
      <c r="B20" s="448" t="s">
        <v>498</v>
      </c>
      <c r="C20" s="449" t="s">
        <v>490</v>
      </c>
      <c r="D20" s="450">
        <v>0.49804844558258426</v>
      </c>
      <c r="E20" s="451">
        <v>4.3142358985164515</v>
      </c>
      <c r="F20" s="452"/>
      <c r="G20" s="586">
        <v>1976</v>
      </c>
      <c r="H20" s="586"/>
      <c r="I20" s="586">
        <v>1</v>
      </c>
      <c r="J20" s="586">
        <v>792</v>
      </c>
      <c r="K20" s="450"/>
      <c r="L20" s="450"/>
      <c r="M20" s="472"/>
      <c r="N20" s="453"/>
      <c r="O20" s="473"/>
      <c r="P20" s="463"/>
      <c r="Q20" s="473">
        <v>1150</v>
      </c>
      <c r="R20" s="463">
        <v>1.452020202020202</v>
      </c>
      <c r="S20" s="473"/>
      <c r="T20" s="463"/>
      <c r="U20" s="473"/>
      <c r="V20" s="463"/>
      <c r="W20" s="473"/>
      <c r="X20" s="463"/>
      <c r="Y20" s="473">
        <v>1150</v>
      </c>
      <c r="Z20" s="463">
        <v>1.452020202020202</v>
      </c>
      <c r="AA20" s="473"/>
      <c r="AB20" s="453"/>
      <c r="AC20" s="473"/>
      <c r="AD20" s="463"/>
      <c r="AE20" s="473">
        <v>1150</v>
      </c>
      <c r="AF20" s="463">
        <v>1.452020202020202</v>
      </c>
      <c r="AG20" s="473"/>
      <c r="AH20" s="463"/>
      <c r="AI20" s="473"/>
      <c r="AJ20" s="463"/>
      <c r="AK20" s="473"/>
      <c r="AL20" s="463"/>
      <c r="AM20" s="473">
        <v>1150</v>
      </c>
      <c r="AN20" s="460">
        <v>1.452020202020202</v>
      </c>
      <c r="AO20" s="472"/>
      <c r="AP20" s="453"/>
      <c r="AQ20" s="473"/>
      <c r="AR20" s="463"/>
      <c r="AS20" s="473">
        <v>1150</v>
      </c>
      <c r="AT20" s="463">
        <v>1.452020202020202</v>
      </c>
      <c r="AU20" s="473"/>
      <c r="AV20" s="463"/>
      <c r="AW20" s="473"/>
      <c r="AX20" s="463"/>
      <c r="AY20" s="473"/>
      <c r="AZ20" s="463"/>
      <c r="BA20" s="473">
        <v>1150</v>
      </c>
      <c r="BB20" s="463">
        <v>1.452020202020202</v>
      </c>
      <c r="BC20" s="473"/>
      <c r="BD20" s="453"/>
      <c r="BE20" s="473"/>
      <c r="BF20" s="463"/>
      <c r="BG20" s="473">
        <v>1150</v>
      </c>
      <c r="BH20" s="463">
        <v>1.452020202020202</v>
      </c>
      <c r="BI20" s="473"/>
      <c r="BJ20" s="463"/>
      <c r="BK20" s="473"/>
      <c r="BL20" s="463"/>
      <c r="BM20" s="473"/>
      <c r="BN20" s="463"/>
      <c r="BO20" s="473">
        <v>1150</v>
      </c>
      <c r="BP20" s="460">
        <v>1.452020202020202</v>
      </c>
      <c r="BQ20" s="472"/>
      <c r="BR20" s="453"/>
      <c r="BS20" s="473"/>
      <c r="BT20" s="463"/>
      <c r="BU20" s="473">
        <v>1150</v>
      </c>
      <c r="BV20" s="463">
        <v>1.452020202020202</v>
      </c>
      <c r="BW20" s="473"/>
      <c r="BX20" s="463"/>
      <c r="BY20" s="473"/>
      <c r="BZ20" s="463"/>
      <c r="CA20" s="473"/>
      <c r="CB20" s="463"/>
      <c r="CC20" s="473">
        <v>1150</v>
      </c>
      <c r="CD20" s="463">
        <v>1.452020202020202</v>
      </c>
      <c r="CE20" s="473"/>
      <c r="CF20" s="453"/>
      <c r="CG20" s="473"/>
      <c r="CH20" s="463"/>
      <c r="CI20" s="473">
        <v>1150</v>
      </c>
      <c r="CJ20" s="463">
        <v>1.452020202020202</v>
      </c>
      <c r="CK20" s="473"/>
      <c r="CL20" s="463"/>
      <c r="CM20" s="473"/>
      <c r="CN20" s="463"/>
      <c r="CO20" s="473"/>
      <c r="CP20" s="463"/>
      <c r="CQ20" s="473">
        <v>1150</v>
      </c>
      <c r="CR20" s="460">
        <v>1.452020202020202</v>
      </c>
    </row>
    <row r="21" spans="2:96" x14ac:dyDescent="0.2">
      <c r="B21" s="448"/>
      <c r="C21" s="449" t="s">
        <v>491</v>
      </c>
      <c r="D21" s="450">
        <v>0.49088799015654805</v>
      </c>
      <c r="E21" s="451">
        <v>4.2979671236733461</v>
      </c>
      <c r="F21" s="452"/>
      <c r="G21" s="586"/>
      <c r="H21" s="586">
        <v>1</v>
      </c>
      <c r="I21" s="586"/>
      <c r="J21" s="586">
        <v>835</v>
      </c>
      <c r="K21" s="450"/>
      <c r="L21" s="450"/>
      <c r="M21" s="472"/>
      <c r="N21" s="453"/>
      <c r="O21" s="473"/>
      <c r="P21" s="463"/>
      <c r="Q21" s="473">
        <v>1187.5</v>
      </c>
      <c r="R21" s="463">
        <v>1.4221556886227547</v>
      </c>
      <c r="S21" s="473"/>
      <c r="T21" s="463"/>
      <c r="U21" s="473"/>
      <c r="V21" s="463"/>
      <c r="W21" s="473"/>
      <c r="X21" s="463"/>
      <c r="Y21" s="473">
        <v>1187.5</v>
      </c>
      <c r="Z21" s="463">
        <v>1.4221556886227544</v>
      </c>
      <c r="AA21" s="473"/>
      <c r="AB21" s="453"/>
      <c r="AC21" s="473"/>
      <c r="AD21" s="463"/>
      <c r="AE21" s="473">
        <v>1187.5</v>
      </c>
      <c r="AF21" s="463">
        <v>1.4221556886227547</v>
      </c>
      <c r="AG21" s="473"/>
      <c r="AH21" s="463"/>
      <c r="AI21" s="473"/>
      <c r="AJ21" s="463"/>
      <c r="AK21" s="473"/>
      <c r="AL21" s="463"/>
      <c r="AM21" s="473">
        <v>1187.5</v>
      </c>
      <c r="AN21" s="460">
        <v>1.4221556886227544</v>
      </c>
      <c r="AO21" s="472"/>
      <c r="AP21" s="453"/>
      <c r="AQ21" s="473"/>
      <c r="AR21" s="463"/>
      <c r="AS21" s="473">
        <v>1187.5</v>
      </c>
      <c r="AT21" s="463">
        <v>1.4221556886227547</v>
      </c>
      <c r="AU21" s="473"/>
      <c r="AV21" s="463"/>
      <c r="AW21" s="473"/>
      <c r="AX21" s="463"/>
      <c r="AY21" s="473"/>
      <c r="AZ21" s="463"/>
      <c r="BA21" s="473">
        <v>1187.5</v>
      </c>
      <c r="BB21" s="463">
        <v>1.4221556886227544</v>
      </c>
      <c r="BC21" s="473"/>
      <c r="BD21" s="453"/>
      <c r="BE21" s="473"/>
      <c r="BF21" s="463"/>
      <c r="BG21" s="473">
        <v>1187.5</v>
      </c>
      <c r="BH21" s="463">
        <v>1.4221556886227547</v>
      </c>
      <c r="BI21" s="473"/>
      <c r="BJ21" s="463"/>
      <c r="BK21" s="473"/>
      <c r="BL21" s="463"/>
      <c r="BM21" s="473"/>
      <c r="BN21" s="463"/>
      <c r="BO21" s="473">
        <v>1187.5</v>
      </c>
      <c r="BP21" s="460">
        <v>1.4221556886227544</v>
      </c>
      <c r="BQ21" s="472"/>
      <c r="BR21" s="453"/>
      <c r="BS21" s="473"/>
      <c r="BT21" s="463"/>
      <c r="BU21" s="473">
        <v>1190</v>
      </c>
      <c r="BV21" s="463">
        <v>1.4251497005988027</v>
      </c>
      <c r="BW21" s="473"/>
      <c r="BX21" s="463"/>
      <c r="BY21" s="473"/>
      <c r="BZ21" s="463"/>
      <c r="CA21" s="473"/>
      <c r="CB21" s="463"/>
      <c r="CC21" s="473">
        <v>1190</v>
      </c>
      <c r="CD21" s="463">
        <v>1.4251497005988023</v>
      </c>
      <c r="CE21" s="473"/>
      <c r="CF21" s="453"/>
      <c r="CG21" s="473"/>
      <c r="CH21" s="463"/>
      <c r="CI21" s="473">
        <v>1190</v>
      </c>
      <c r="CJ21" s="463">
        <v>1.4251497005988027</v>
      </c>
      <c r="CK21" s="473"/>
      <c r="CL21" s="463"/>
      <c r="CM21" s="473"/>
      <c r="CN21" s="463"/>
      <c r="CO21" s="473"/>
      <c r="CP21" s="463"/>
      <c r="CQ21" s="473">
        <v>1190</v>
      </c>
      <c r="CR21" s="460">
        <v>1.4251497005988023</v>
      </c>
    </row>
    <row r="22" spans="2:96" x14ac:dyDescent="0.2">
      <c r="B22" s="448"/>
      <c r="C22" s="449" t="s">
        <v>492</v>
      </c>
      <c r="D22" s="450">
        <v>0.47855736683655359</v>
      </c>
      <c r="E22" s="451">
        <v>4.2115154153375389</v>
      </c>
      <c r="F22" s="452"/>
      <c r="G22" s="586"/>
      <c r="H22" s="586"/>
      <c r="I22" s="586"/>
      <c r="J22" s="586">
        <v>600</v>
      </c>
      <c r="K22" s="450"/>
      <c r="L22" s="450"/>
      <c r="M22" s="472"/>
      <c r="N22" s="453"/>
      <c r="O22" s="473"/>
      <c r="P22" s="463"/>
      <c r="Q22" s="473">
        <v>1250</v>
      </c>
      <c r="R22" s="463">
        <v>1.7857142857142858</v>
      </c>
      <c r="S22" s="473"/>
      <c r="T22" s="463"/>
      <c r="U22" s="473"/>
      <c r="V22" s="463"/>
      <c r="W22" s="473"/>
      <c r="X22" s="463"/>
      <c r="Y22" s="473">
        <v>1250</v>
      </c>
      <c r="Z22" s="463">
        <v>1.7857142857142858</v>
      </c>
      <c r="AA22" s="473"/>
      <c r="AB22" s="453"/>
      <c r="AC22" s="473"/>
      <c r="AD22" s="463"/>
      <c r="AE22" s="473">
        <v>1250</v>
      </c>
      <c r="AF22" s="463">
        <v>1.7857142857142858</v>
      </c>
      <c r="AG22" s="473"/>
      <c r="AH22" s="463"/>
      <c r="AI22" s="473"/>
      <c r="AJ22" s="463"/>
      <c r="AK22" s="473"/>
      <c r="AL22" s="463"/>
      <c r="AM22" s="473">
        <v>1250</v>
      </c>
      <c r="AN22" s="460">
        <v>1.7857142857142858</v>
      </c>
      <c r="AO22" s="472"/>
      <c r="AP22" s="453"/>
      <c r="AQ22" s="473"/>
      <c r="AR22" s="463"/>
      <c r="AS22" s="473">
        <v>1250</v>
      </c>
      <c r="AT22" s="463">
        <v>1.7857142857142858</v>
      </c>
      <c r="AU22" s="473"/>
      <c r="AV22" s="463"/>
      <c r="AW22" s="473"/>
      <c r="AX22" s="463"/>
      <c r="AY22" s="473"/>
      <c r="AZ22" s="463"/>
      <c r="BA22" s="473">
        <v>1250</v>
      </c>
      <c r="BB22" s="463">
        <v>1.7857142857142858</v>
      </c>
      <c r="BC22" s="473"/>
      <c r="BD22" s="453"/>
      <c r="BE22" s="473"/>
      <c r="BF22" s="463"/>
      <c r="BG22" s="473">
        <v>1250</v>
      </c>
      <c r="BH22" s="463">
        <v>1.7857142857142858</v>
      </c>
      <c r="BI22" s="473"/>
      <c r="BJ22" s="463"/>
      <c r="BK22" s="473"/>
      <c r="BL22" s="463"/>
      <c r="BM22" s="473"/>
      <c r="BN22" s="463"/>
      <c r="BO22" s="473">
        <v>1250</v>
      </c>
      <c r="BP22" s="460">
        <v>1.7857142857142858</v>
      </c>
      <c r="BQ22" s="472"/>
      <c r="BR22" s="453"/>
      <c r="BS22" s="473"/>
      <c r="BT22" s="463"/>
      <c r="BU22" s="473">
        <v>1250</v>
      </c>
      <c r="BV22" s="463">
        <v>1.7857142857142858</v>
      </c>
      <c r="BW22" s="473"/>
      <c r="BX22" s="463"/>
      <c r="BY22" s="473"/>
      <c r="BZ22" s="463"/>
      <c r="CA22" s="473"/>
      <c r="CB22" s="463"/>
      <c r="CC22" s="473">
        <v>1250</v>
      </c>
      <c r="CD22" s="463">
        <v>1.7857142857142858</v>
      </c>
      <c r="CE22" s="473"/>
      <c r="CF22" s="453"/>
      <c r="CG22" s="473"/>
      <c r="CH22" s="463"/>
      <c r="CI22" s="473">
        <v>1250</v>
      </c>
      <c r="CJ22" s="463">
        <v>1.7857142857142858</v>
      </c>
      <c r="CK22" s="473"/>
      <c r="CL22" s="463"/>
      <c r="CM22" s="473"/>
      <c r="CN22" s="463"/>
      <c r="CO22" s="473"/>
      <c r="CP22" s="463"/>
      <c r="CQ22" s="473">
        <v>1250</v>
      </c>
      <c r="CR22" s="460">
        <v>1.7857142857142858</v>
      </c>
    </row>
    <row r="23" spans="2:96" x14ac:dyDescent="0.2">
      <c r="B23" s="448"/>
      <c r="C23" s="449" t="s">
        <v>493</v>
      </c>
      <c r="D23" s="450">
        <v>0.47033539700746602</v>
      </c>
      <c r="E23" s="451">
        <v>3.7747930722641514</v>
      </c>
      <c r="F23" s="452"/>
      <c r="G23" s="586">
        <v>1920</v>
      </c>
      <c r="H23" s="586"/>
      <c r="I23" s="586"/>
      <c r="J23" s="586">
        <v>1125</v>
      </c>
      <c r="K23" s="450"/>
      <c r="L23" s="450"/>
      <c r="M23" s="472"/>
      <c r="N23" s="453"/>
      <c r="O23" s="473"/>
      <c r="P23" s="463"/>
      <c r="Q23" s="473"/>
      <c r="R23" s="463"/>
      <c r="S23" s="473"/>
      <c r="T23" s="463"/>
      <c r="U23" s="473"/>
      <c r="V23" s="463"/>
      <c r="W23" s="473"/>
      <c r="X23" s="463"/>
      <c r="Y23" s="473"/>
      <c r="Z23" s="463"/>
      <c r="AA23" s="473"/>
      <c r="AB23" s="453"/>
      <c r="AC23" s="473"/>
      <c r="AD23" s="463"/>
      <c r="AE23" s="473"/>
      <c r="AF23" s="463"/>
      <c r="AG23" s="473"/>
      <c r="AH23" s="463"/>
      <c r="AI23" s="473"/>
      <c r="AJ23" s="463"/>
      <c r="AK23" s="473"/>
      <c r="AL23" s="463"/>
      <c r="AM23" s="473"/>
      <c r="AN23" s="460"/>
      <c r="AO23" s="472"/>
      <c r="AP23" s="453"/>
      <c r="AQ23" s="473"/>
      <c r="AR23" s="463"/>
      <c r="AS23" s="473"/>
      <c r="AT23" s="463"/>
      <c r="AU23" s="473"/>
      <c r="AV23" s="463"/>
      <c r="AW23" s="473"/>
      <c r="AX23" s="463"/>
      <c r="AY23" s="473"/>
      <c r="AZ23" s="463"/>
      <c r="BA23" s="473"/>
      <c r="BB23" s="463"/>
      <c r="BC23" s="473"/>
      <c r="BD23" s="453"/>
      <c r="BE23" s="473"/>
      <c r="BF23" s="463"/>
      <c r="BG23" s="473"/>
      <c r="BH23" s="463"/>
      <c r="BI23" s="473"/>
      <c r="BJ23" s="463"/>
      <c r="BK23" s="473"/>
      <c r="BL23" s="463"/>
      <c r="BM23" s="473"/>
      <c r="BN23" s="463"/>
      <c r="BO23" s="473"/>
      <c r="BP23" s="460"/>
      <c r="BQ23" s="472"/>
      <c r="BR23" s="453"/>
      <c r="BS23" s="473"/>
      <c r="BT23" s="463"/>
      <c r="BU23" s="473"/>
      <c r="BV23" s="463"/>
      <c r="BW23" s="473"/>
      <c r="BX23" s="463"/>
      <c r="BY23" s="473"/>
      <c r="BZ23" s="463"/>
      <c r="CA23" s="473"/>
      <c r="CB23" s="463"/>
      <c r="CC23" s="473"/>
      <c r="CD23" s="463"/>
      <c r="CE23" s="473"/>
      <c r="CF23" s="453"/>
      <c r="CG23" s="473"/>
      <c r="CH23" s="463"/>
      <c r="CI23" s="473"/>
      <c r="CJ23" s="463"/>
      <c r="CK23" s="473"/>
      <c r="CL23" s="463"/>
      <c r="CM23" s="473"/>
      <c r="CN23" s="463"/>
      <c r="CO23" s="473"/>
      <c r="CP23" s="463"/>
      <c r="CQ23" s="473"/>
      <c r="CR23" s="460"/>
    </row>
    <row r="24" spans="2:96" x14ac:dyDescent="0.2">
      <c r="B24" s="448"/>
      <c r="C24" s="449" t="s">
        <v>494</v>
      </c>
      <c r="D24" s="450">
        <v>0.46771442598035373</v>
      </c>
      <c r="E24" s="451">
        <v>3.7143555998874263</v>
      </c>
      <c r="F24" s="452"/>
      <c r="G24" s="586"/>
      <c r="H24" s="586"/>
      <c r="I24" s="586"/>
      <c r="J24" s="586">
        <v>667</v>
      </c>
      <c r="K24" s="450"/>
      <c r="L24" s="450"/>
      <c r="M24" s="472"/>
      <c r="N24" s="453"/>
      <c r="O24" s="473"/>
      <c r="P24" s="463"/>
      <c r="Q24" s="473"/>
      <c r="R24" s="463"/>
      <c r="S24" s="473"/>
      <c r="T24" s="463"/>
      <c r="U24" s="473"/>
      <c r="V24" s="463"/>
      <c r="W24" s="473"/>
      <c r="X24" s="463"/>
      <c r="Y24" s="473"/>
      <c r="Z24" s="463"/>
      <c r="AA24" s="473"/>
      <c r="AB24" s="453"/>
      <c r="AC24" s="473"/>
      <c r="AD24" s="463"/>
      <c r="AE24" s="473"/>
      <c r="AF24" s="463"/>
      <c r="AG24" s="473"/>
      <c r="AH24" s="463"/>
      <c r="AI24" s="473"/>
      <c r="AJ24" s="463"/>
      <c r="AK24" s="473"/>
      <c r="AL24" s="463"/>
      <c r="AM24" s="473"/>
      <c r="AN24" s="460"/>
      <c r="AO24" s="472"/>
      <c r="AP24" s="453"/>
      <c r="AQ24" s="473"/>
      <c r="AR24" s="463"/>
      <c r="AS24" s="473"/>
      <c r="AT24" s="463"/>
      <c r="AU24" s="473"/>
      <c r="AV24" s="463"/>
      <c r="AW24" s="473"/>
      <c r="AX24" s="463"/>
      <c r="AY24" s="473"/>
      <c r="AZ24" s="463"/>
      <c r="BA24" s="473"/>
      <c r="BB24" s="463"/>
      <c r="BC24" s="473"/>
      <c r="BD24" s="453"/>
      <c r="BE24" s="473"/>
      <c r="BF24" s="463"/>
      <c r="BG24" s="473"/>
      <c r="BH24" s="463"/>
      <c r="BI24" s="473"/>
      <c r="BJ24" s="463"/>
      <c r="BK24" s="473"/>
      <c r="BL24" s="463"/>
      <c r="BM24" s="473"/>
      <c r="BN24" s="463"/>
      <c r="BO24" s="473"/>
      <c r="BP24" s="460"/>
      <c r="BQ24" s="472"/>
      <c r="BR24" s="453"/>
      <c r="BS24" s="473"/>
      <c r="BT24" s="463"/>
      <c r="BU24" s="473">
        <v>1300</v>
      </c>
      <c r="BV24" s="463">
        <v>1.7333333333333334</v>
      </c>
      <c r="BW24" s="473"/>
      <c r="BX24" s="463"/>
      <c r="BY24" s="473"/>
      <c r="BZ24" s="463"/>
      <c r="CA24" s="473"/>
      <c r="CB24" s="463"/>
      <c r="CC24" s="473">
        <v>1300</v>
      </c>
      <c r="CD24" s="463">
        <v>1.7333333333333334</v>
      </c>
      <c r="CE24" s="473"/>
      <c r="CF24" s="453"/>
      <c r="CG24" s="473"/>
      <c r="CH24" s="463"/>
      <c r="CI24" s="473">
        <v>1300</v>
      </c>
      <c r="CJ24" s="463">
        <v>1.7333333333333334</v>
      </c>
      <c r="CK24" s="473"/>
      <c r="CL24" s="463"/>
      <c r="CM24" s="473"/>
      <c r="CN24" s="463"/>
      <c r="CO24" s="473"/>
      <c r="CP24" s="463"/>
      <c r="CQ24" s="473">
        <v>1300</v>
      </c>
      <c r="CR24" s="460">
        <v>1.7333333333333334</v>
      </c>
    </row>
    <row r="25" spans="2:96" x14ac:dyDescent="0.2">
      <c r="B25" s="448" t="s">
        <v>499</v>
      </c>
      <c r="C25" s="449" t="s">
        <v>495</v>
      </c>
      <c r="D25" s="450">
        <v>0.45147539999255293</v>
      </c>
      <c r="E25" s="451">
        <v>4.2170454902472674</v>
      </c>
      <c r="F25" s="452"/>
      <c r="G25" s="586"/>
      <c r="H25" s="586"/>
      <c r="I25" s="586"/>
      <c r="J25" s="586">
        <v>725</v>
      </c>
      <c r="K25" s="450"/>
      <c r="L25" s="450"/>
      <c r="M25" s="472"/>
      <c r="N25" s="453"/>
      <c r="O25" s="473"/>
      <c r="P25" s="463"/>
      <c r="Q25" s="473">
        <v>1150</v>
      </c>
      <c r="R25" s="463">
        <v>1.5862068965517242</v>
      </c>
      <c r="S25" s="473"/>
      <c r="T25" s="463"/>
      <c r="U25" s="473"/>
      <c r="V25" s="463"/>
      <c r="W25" s="473"/>
      <c r="X25" s="463"/>
      <c r="Y25" s="473">
        <v>1150</v>
      </c>
      <c r="Z25" s="463">
        <v>1.5862068965517242</v>
      </c>
      <c r="AA25" s="473"/>
      <c r="AB25" s="453"/>
      <c r="AC25" s="473"/>
      <c r="AD25" s="463"/>
      <c r="AE25" s="473">
        <v>1150</v>
      </c>
      <c r="AF25" s="463">
        <v>1.5862068965517242</v>
      </c>
      <c r="AG25" s="473"/>
      <c r="AH25" s="463"/>
      <c r="AI25" s="473"/>
      <c r="AJ25" s="463"/>
      <c r="AK25" s="473"/>
      <c r="AL25" s="463"/>
      <c r="AM25" s="473">
        <v>1150</v>
      </c>
      <c r="AN25" s="460">
        <v>1.5862068965517242</v>
      </c>
      <c r="AO25" s="472"/>
      <c r="AP25" s="453"/>
      <c r="AQ25" s="473"/>
      <c r="AR25" s="463"/>
      <c r="AS25" s="473">
        <v>1150</v>
      </c>
      <c r="AT25" s="463">
        <v>1.5862068965517242</v>
      </c>
      <c r="AU25" s="473"/>
      <c r="AV25" s="463"/>
      <c r="AW25" s="473"/>
      <c r="AX25" s="463"/>
      <c r="AY25" s="473"/>
      <c r="AZ25" s="463"/>
      <c r="BA25" s="473">
        <v>1150</v>
      </c>
      <c r="BB25" s="463">
        <v>1.5862068965517242</v>
      </c>
      <c r="BC25" s="473"/>
      <c r="BD25" s="453"/>
      <c r="BE25" s="473"/>
      <c r="BF25" s="463"/>
      <c r="BG25" s="473">
        <v>1150</v>
      </c>
      <c r="BH25" s="463">
        <v>1.5862068965517242</v>
      </c>
      <c r="BI25" s="473"/>
      <c r="BJ25" s="463"/>
      <c r="BK25" s="473"/>
      <c r="BL25" s="463"/>
      <c r="BM25" s="473"/>
      <c r="BN25" s="463"/>
      <c r="BO25" s="473">
        <v>1150</v>
      </c>
      <c r="BP25" s="460">
        <v>1.5862068965517242</v>
      </c>
      <c r="BQ25" s="472"/>
      <c r="BR25" s="453"/>
      <c r="BS25" s="473"/>
      <c r="BT25" s="463"/>
      <c r="BU25" s="473">
        <v>1150</v>
      </c>
      <c r="BV25" s="463">
        <v>1.5862068965517242</v>
      </c>
      <c r="BW25" s="473"/>
      <c r="BX25" s="463"/>
      <c r="BY25" s="473"/>
      <c r="BZ25" s="463"/>
      <c r="CA25" s="473"/>
      <c r="CB25" s="463"/>
      <c r="CC25" s="473">
        <v>1150</v>
      </c>
      <c r="CD25" s="463">
        <v>1.5862068965517242</v>
      </c>
      <c r="CE25" s="473"/>
      <c r="CF25" s="453"/>
      <c r="CG25" s="473"/>
      <c r="CH25" s="463"/>
      <c r="CI25" s="473">
        <v>1150</v>
      </c>
      <c r="CJ25" s="463">
        <v>1.5862068965517242</v>
      </c>
      <c r="CK25" s="473"/>
      <c r="CL25" s="463"/>
      <c r="CM25" s="473"/>
      <c r="CN25" s="463"/>
      <c r="CO25" s="473"/>
      <c r="CP25" s="463"/>
      <c r="CQ25" s="473">
        <v>1150</v>
      </c>
      <c r="CR25" s="460">
        <v>1.5862068965517242</v>
      </c>
    </row>
    <row r="26" spans="2:96" x14ac:dyDescent="0.2">
      <c r="B26" s="448"/>
      <c r="C26" s="449" t="s">
        <v>501</v>
      </c>
      <c r="D26" s="450">
        <v>0.44079777204590842</v>
      </c>
      <c r="E26" s="451">
        <v>6.5296983825113024</v>
      </c>
      <c r="F26" s="452"/>
      <c r="G26" s="586"/>
      <c r="H26" s="586"/>
      <c r="I26" s="586"/>
      <c r="J26" s="586">
        <v>936</v>
      </c>
      <c r="K26" s="450"/>
      <c r="L26" s="450"/>
      <c r="M26" s="472"/>
      <c r="N26" s="453"/>
      <c r="O26" s="473"/>
      <c r="P26" s="463"/>
      <c r="Q26" s="473"/>
      <c r="R26" s="463"/>
      <c r="S26" s="473"/>
      <c r="T26" s="463"/>
      <c r="U26" s="473"/>
      <c r="V26" s="463"/>
      <c r="W26" s="473"/>
      <c r="X26" s="463"/>
      <c r="Y26" s="473"/>
      <c r="Z26" s="463"/>
      <c r="AA26" s="473"/>
      <c r="AB26" s="453"/>
      <c r="AC26" s="473"/>
      <c r="AD26" s="463"/>
      <c r="AE26" s="473"/>
      <c r="AF26" s="463"/>
      <c r="AG26" s="473"/>
      <c r="AH26" s="463"/>
      <c r="AI26" s="473"/>
      <c r="AJ26" s="463"/>
      <c r="AK26" s="473"/>
      <c r="AL26" s="463"/>
      <c r="AM26" s="473"/>
      <c r="AN26" s="460"/>
      <c r="AO26" s="472"/>
      <c r="AP26" s="453"/>
      <c r="AQ26" s="473"/>
      <c r="AR26" s="463"/>
      <c r="AS26" s="473"/>
      <c r="AT26" s="463"/>
      <c r="AU26" s="473"/>
      <c r="AV26" s="463"/>
      <c r="AW26" s="473"/>
      <c r="AX26" s="463"/>
      <c r="AY26" s="473"/>
      <c r="AZ26" s="463"/>
      <c r="BA26" s="473"/>
      <c r="BB26" s="463"/>
      <c r="BC26" s="473"/>
      <c r="BD26" s="453"/>
      <c r="BE26" s="473"/>
      <c r="BF26" s="463"/>
      <c r="BG26" s="473"/>
      <c r="BH26" s="463"/>
      <c r="BI26" s="473"/>
      <c r="BJ26" s="463"/>
      <c r="BK26" s="473"/>
      <c r="BL26" s="463"/>
      <c r="BM26" s="473"/>
      <c r="BN26" s="463"/>
      <c r="BO26" s="473"/>
      <c r="BP26" s="460"/>
      <c r="BQ26" s="472"/>
      <c r="BR26" s="453"/>
      <c r="BS26" s="473"/>
      <c r="BT26" s="463"/>
      <c r="BU26" s="473"/>
      <c r="BV26" s="463"/>
      <c r="BW26" s="473"/>
      <c r="BX26" s="463"/>
      <c r="BY26" s="473"/>
      <c r="BZ26" s="463"/>
      <c r="CA26" s="473"/>
      <c r="CB26" s="463"/>
      <c r="CC26" s="473"/>
      <c r="CD26" s="463"/>
      <c r="CE26" s="473"/>
      <c r="CF26" s="453"/>
      <c r="CG26" s="473"/>
      <c r="CH26" s="463"/>
      <c r="CI26" s="473"/>
      <c r="CJ26" s="463"/>
      <c r="CK26" s="473"/>
      <c r="CL26" s="463"/>
      <c r="CM26" s="473"/>
      <c r="CN26" s="463"/>
      <c r="CO26" s="473"/>
      <c r="CP26" s="463"/>
      <c r="CQ26" s="473"/>
      <c r="CR26" s="460"/>
    </row>
    <row r="27" spans="2:96" x14ac:dyDescent="0.2">
      <c r="B27" s="448"/>
      <c r="C27" s="449" t="s">
        <v>502</v>
      </c>
      <c r="D27" s="450">
        <v>0.4244204447557901</v>
      </c>
      <c r="E27" s="451">
        <v>3.7351900077190714</v>
      </c>
      <c r="F27" s="452"/>
      <c r="G27" s="586"/>
      <c r="H27" s="586"/>
      <c r="I27" s="586"/>
      <c r="J27" s="586"/>
      <c r="K27" s="450"/>
      <c r="L27" s="450"/>
      <c r="M27" s="472"/>
      <c r="N27" s="453"/>
      <c r="O27" s="473"/>
      <c r="P27" s="463"/>
      <c r="Q27" s="473"/>
      <c r="R27" s="463"/>
      <c r="S27" s="473"/>
      <c r="T27" s="463"/>
      <c r="U27" s="473"/>
      <c r="V27" s="463"/>
      <c r="W27" s="473"/>
      <c r="X27" s="463"/>
      <c r="Y27" s="473"/>
      <c r="Z27" s="463"/>
      <c r="AA27" s="473"/>
      <c r="AB27" s="453"/>
      <c r="AC27" s="473"/>
      <c r="AD27" s="463"/>
      <c r="AE27" s="473"/>
      <c r="AF27" s="463"/>
      <c r="AG27" s="473"/>
      <c r="AH27" s="463"/>
      <c r="AI27" s="473"/>
      <c r="AJ27" s="463"/>
      <c r="AK27" s="473"/>
      <c r="AL27" s="463"/>
      <c r="AM27" s="473"/>
      <c r="AN27" s="460"/>
      <c r="AO27" s="472"/>
      <c r="AP27" s="453"/>
      <c r="AQ27" s="473"/>
      <c r="AR27" s="463"/>
      <c r="AS27" s="473"/>
      <c r="AT27" s="463"/>
      <c r="AU27" s="473"/>
      <c r="AV27" s="463"/>
      <c r="AW27" s="473"/>
      <c r="AX27" s="463"/>
      <c r="AY27" s="473"/>
      <c r="AZ27" s="463"/>
      <c r="BA27" s="473"/>
      <c r="BB27" s="463"/>
      <c r="BC27" s="473"/>
      <c r="BD27" s="453"/>
      <c r="BE27" s="473"/>
      <c r="BF27" s="463"/>
      <c r="BG27" s="473"/>
      <c r="BH27" s="463"/>
      <c r="BI27" s="473"/>
      <c r="BJ27" s="463"/>
      <c r="BK27" s="473"/>
      <c r="BL27" s="463"/>
      <c r="BM27" s="473"/>
      <c r="BN27" s="463"/>
      <c r="BO27" s="473"/>
      <c r="BP27" s="460"/>
      <c r="BQ27" s="472"/>
      <c r="BR27" s="453"/>
      <c r="BS27" s="473"/>
      <c r="BT27" s="463"/>
      <c r="BU27" s="473"/>
      <c r="BV27" s="463"/>
      <c r="BW27" s="473"/>
      <c r="BX27" s="463"/>
      <c r="BY27" s="473"/>
      <c r="BZ27" s="463"/>
      <c r="CA27" s="473"/>
      <c r="CB27" s="463"/>
      <c r="CC27" s="473"/>
      <c r="CD27" s="463"/>
      <c r="CE27" s="473"/>
      <c r="CF27" s="453"/>
      <c r="CG27" s="473"/>
      <c r="CH27" s="463"/>
      <c r="CI27" s="473"/>
      <c r="CJ27" s="463"/>
      <c r="CK27" s="473"/>
      <c r="CL27" s="463"/>
      <c r="CM27" s="473"/>
      <c r="CN27" s="463"/>
      <c r="CO27" s="473"/>
      <c r="CP27" s="463"/>
      <c r="CQ27" s="473"/>
      <c r="CR27" s="460"/>
    </row>
    <row r="28" spans="2:96" x14ac:dyDescent="0.2">
      <c r="B28" s="448"/>
      <c r="C28" s="449" t="s">
        <v>503</v>
      </c>
      <c r="D28" s="450">
        <v>0.39578955832430035</v>
      </c>
      <c r="E28" s="451">
        <v>3.8351393880951301</v>
      </c>
      <c r="F28" s="452"/>
      <c r="G28" s="586"/>
      <c r="H28" s="586"/>
      <c r="I28" s="586"/>
      <c r="J28" s="586">
        <v>584</v>
      </c>
      <c r="K28" s="450"/>
      <c r="L28" s="450"/>
      <c r="M28" s="472"/>
      <c r="N28" s="453"/>
      <c r="O28" s="473"/>
      <c r="P28" s="463"/>
      <c r="Q28" s="473"/>
      <c r="R28" s="463"/>
      <c r="S28" s="473"/>
      <c r="T28" s="463"/>
      <c r="U28" s="473"/>
      <c r="V28" s="463"/>
      <c r="W28" s="473"/>
      <c r="X28" s="463"/>
      <c r="Y28" s="473"/>
      <c r="Z28" s="463"/>
      <c r="AA28" s="473"/>
      <c r="AB28" s="453"/>
      <c r="AC28" s="473"/>
      <c r="AD28" s="463"/>
      <c r="AE28" s="473"/>
      <c r="AF28" s="463"/>
      <c r="AG28" s="473"/>
      <c r="AH28" s="463"/>
      <c r="AI28" s="473"/>
      <c r="AJ28" s="463"/>
      <c r="AK28" s="473"/>
      <c r="AL28" s="463"/>
      <c r="AM28" s="473"/>
      <c r="AN28" s="460"/>
      <c r="AO28" s="472"/>
      <c r="AP28" s="453"/>
      <c r="AQ28" s="473"/>
      <c r="AR28" s="463"/>
      <c r="AS28" s="473"/>
      <c r="AT28" s="463"/>
      <c r="AU28" s="473"/>
      <c r="AV28" s="463"/>
      <c r="AW28" s="473"/>
      <c r="AX28" s="463"/>
      <c r="AY28" s="473"/>
      <c r="AZ28" s="463"/>
      <c r="BA28" s="473"/>
      <c r="BB28" s="463"/>
      <c r="BC28" s="473"/>
      <c r="BD28" s="453"/>
      <c r="BE28" s="473"/>
      <c r="BF28" s="463"/>
      <c r="BG28" s="473"/>
      <c r="BH28" s="463"/>
      <c r="BI28" s="473"/>
      <c r="BJ28" s="463"/>
      <c r="BK28" s="473"/>
      <c r="BL28" s="463"/>
      <c r="BM28" s="473"/>
      <c r="BN28" s="463"/>
      <c r="BO28" s="473"/>
      <c r="BP28" s="460"/>
      <c r="BQ28" s="472"/>
      <c r="BR28" s="453"/>
      <c r="BS28" s="473"/>
      <c r="BT28" s="463"/>
      <c r="BU28" s="473"/>
      <c r="BV28" s="463"/>
      <c r="BW28" s="473"/>
      <c r="BX28" s="463"/>
      <c r="BY28" s="473"/>
      <c r="BZ28" s="463"/>
      <c r="CA28" s="473"/>
      <c r="CB28" s="463"/>
      <c r="CC28" s="473"/>
      <c r="CD28" s="463"/>
      <c r="CE28" s="473"/>
      <c r="CF28" s="453"/>
      <c r="CG28" s="473"/>
      <c r="CH28" s="463"/>
      <c r="CI28" s="473"/>
      <c r="CJ28" s="463"/>
      <c r="CK28" s="473"/>
      <c r="CL28" s="463"/>
      <c r="CM28" s="473"/>
      <c r="CN28" s="463"/>
      <c r="CO28" s="473"/>
      <c r="CP28" s="463"/>
      <c r="CQ28" s="473"/>
      <c r="CR28" s="460"/>
    </row>
    <row r="29" spans="2:96" x14ac:dyDescent="0.2">
      <c r="B29" s="448" t="s">
        <v>500</v>
      </c>
      <c r="C29" s="449" t="s">
        <v>504</v>
      </c>
      <c r="D29" s="450">
        <v>0.39187171841218188</v>
      </c>
      <c r="E29" s="451">
        <v>3.6314084707852365</v>
      </c>
      <c r="F29" s="452"/>
      <c r="G29" s="586">
        <v>2011</v>
      </c>
      <c r="H29" s="586">
        <v>40</v>
      </c>
      <c r="I29" s="586">
        <v>2</v>
      </c>
      <c r="J29" s="586"/>
      <c r="K29" s="450">
        <v>1</v>
      </c>
      <c r="L29" s="450">
        <v>0</v>
      </c>
      <c r="M29" s="472"/>
      <c r="N29" s="453"/>
      <c r="O29" s="473"/>
      <c r="P29" s="463"/>
      <c r="Q29" s="473"/>
      <c r="R29" s="463"/>
      <c r="S29" s="473"/>
      <c r="T29" s="463"/>
      <c r="U29" s="473"/>
      <c r="V29" s="463"/>
      <c r="W29" s="473"/>
      <c r="X29" s="463"/>
      <c r="Y29" s="473"/>
      <c r="Z29" s="463"/>
      <c r="AA29" s="473"/>
      <c r="AB29" s="453"/>
      <c r="AC29" s="473"/>
      <c r="AD29" s="463"/>
      <c r="AE29" s="473"/>
      <c r="AF29" s="463"/>
      <c r="AG29" s="473"/>
      <c r="AH29" s="463"/>
      <c r="AI29" s="473"/>
      <c r="AJ29" s="463"/>
      <c r="AK29" s="473"/>
      <c r="AL29" s="463"/>
      <c r="AM29" s="473"/>
      <c r="AN29" s="460"/>
      <c r="AO29" s="472"/>
      <c r="AP29" s="453"/>
      <c r="AQ29" s="473"/>
      <c r="AR29" s="463"/>
      <c r="AS29" s="473"/>
      <c r="AT29" s="463"/>
      <c r="AU29" s="473"/>
      <c r="AV29" s="463"/>
      <c r="AW29" s="473"/>
      <c r="AX29" s="463"/>
      <c r="AY29" s="473"/>
      <c r="AZ29" s="463"/>
      <c r="BA29" s="473"/>
      <c r="BB29" s="463"/>
      <c r="BC29" s="473"/>
      <c r="BD29" s="453"/>
      <c r="BE29" s="473"/>
      <c r="BF29" s="463"/>
      <c r="BG29" s="473"/>
      <c r="BH29" s="463"/>
      <c r="BI29" s="473"/>
      <c r="BJ29" s="463"/>
      <c r="BK29" s="473"/>
      <c r="BL29" s="463"/>
      <c r="BM29" s="473"/>
      <c r="BN29" s="463"/>
      <c r="BO29" s="473"/>
      <c r="BP29" s="460"/>
      <c r="BQ29" s="472"/>
      <c r="BR29" s="453"/>
      <c r="BS29" s="473"/>
      <c r="BT29" s="463"/>
      <c r="BU29" s="473"/>
      <c r="BV29" s="463"/>
      <c r="BW29" s="473"/>
      <c r="BX29" s="463"/>
      <c r="BY29" s="473"/>
      <c r="BZ29" s="463"/>
      <c r="CA29" s="473"/>
      <c r="CB29" s="463"/>
      <c r="CC29" s="473"/>
      <c r="CD29" s="463"/>
      <c r="CE29" s="473"/>
      <c r="CF29" s="453"/>
      <c r="CG29" s="473"/>
      <c r="CH29" s="463"/>
      <c r="CI29" s="473"/>
      <c r="CJ29" s="463"/>
      <c r="CK29" s="473"/>
      <c r="CL29" s="463"/>
      <c r="CM29" s="473"/>
      <c r="CN29" s="463"/>
      <c r="CO29" s="473"/>
      <c r="CP29" s="463"/>
      <c r="CQ29" s="473"/>
      <c r="CR29" s="460"/>
    </row>
  </sheetData>
  <mergeCells count="6">
    <mergeCell ref="CE2:CR2"/>
    <mergeCell ref="M2:Z2"/>
    <mergeCell ref="AA2:AN2"/>
    <mergeCell ref="AO2:BB2"/>
    <mergeCell ref="BC2:BP2"/>
    <mergeCell ref="BQ2:CD2"/>
  </mergeCells>
  <phoneticPr fontId="33" type="noConversion"/>
  <pageMargins left="0.25" right="0.25" top="0.75" bottom="0.75" header="0.3" footer="0.3"/>
  <pageSetup scale="22" fitToHeight="0" orientation="landscape" r:id="rId1"/>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1"/>
  </sheetPr>
  <dimension ref="B1:AD113"/>
  <sheetViews>
    <sheetView showGridLines="0" zoomScale="85" zoomScaleNormal="85" workbookViewId="0">
      <pane xSplit="3" ySplit="3" topLeftCell="D4" activePane="bottomRight" state="frozen"/>
      <selection pane="topRight" activeCell="D1" sqref="D1"/>
      <selection pane="bottomLeft" activeCell="A4" sqref="A4"/>
      <selection pane="bottomRight"/>
    </sheetView>
  </sheetViews>
  <sheetFormatPr baseColWidth="10" defaultColWidth="8.6640625" defaultRowHeight="14" outlineLevelCol="1" x14ac:dyDescent="0.2"/>
  <cols>
    <col min="1" max="1" width="2.6640625" style="1" customWidth="1"/>
    <col min="2" max="2" width="29.83203125" style="1" customWidth="1"/>
    <col min="3" max="3" width="15.6640625" style="3" customWidth="1"/>
    <col min="4" max="4" width="8.83203125" style="3" customWidth="1"/>
    <col min="5" max="6" width="6.6640625" style="3" customWidth="1"/>
    <col min="7" max="7" width="15.6640625" style="27" customWidth="1"/>
    <col min="8" max="8" width="15.6640625" style="17" customWidth="1"/>
    <col min="9" max="9" width="15.6640625" style="2" customWidth="1"/>
    <col min="10" max="16" width="15.6640625" style="3" customWidth="1"/>
    <col min="17" max="26" width="15.6640625" style="3" hidden="1" customWidth="1" outlineLevel="1"/>
    <col min="27" max="27" width="8.6640625" style="1" collapsed="1"/>
    <col min="28" max="16384" width="8.6640625" style="1"/>
  </cols>
  <sheetData>
    <row r="1" spans="2:30" ht="8" customHeight="1" x14ac:dyDescent="0.2"/>
    <row r="2" spans="2:30" ht="25" thickBot="1" x14ac:dyDescent="0.25">
      <c r="B2" s="519" t="s">
        <v>420</v>
      </c>
    </row>
    <row r="3" spans="2:30" s="501" customFormat="1" ht="42" customHeight="1" thickBot="1" x14ac:dyDescent="0.25">
      <c r="B3" s="502" t="s">
        <v>9</v>
      </c>
      <c r="C3" s="503" t="s">
        <v>496</v>
      </c>
      <c r="D3" s="503" t="s">
        <v>315</v>
      </c>
      <c r="E3" s="504" t="s">
        <v>326</v>
      </c>
      <c r="F3" s="505" t="s">
        <v>327</v>
      </c>
      <c r="G3" s="506"/>
      <c r="H3" s="506"/>
      <c r="I3" s="506"/>
      <c r="J3" s="506"/>
      <c r="K3" s="506"/>
      <c r="L3" s="506" t="s">
        <v>497</v>
      </c>
      <c r="M3" s="506"/>
      <c r="N3" s="506"/>
      <c r="O3" s="506"/>
      <c r="P3" s="506"/>
      <c r="Q3" s="506"/>
      <c r="R3" s="506"/>
      <c r="S3" s="506"/>
      <c r="T3" s="506"/>
      <c r="U3" s="506" t="s">
        <v>498</v>
      </c>
      <c r="V3" s="506"/>
      <c r="W3" s="506"/>
      <c r="X3" s="506"/>
      <c r="Y3" s="506"/>
      <c r="Z3" s="506" t="s">
        <v>499</v>
      </c>
      <c r="AA3" s="506"/>
      <c r="AB3" s="506"/>
      <c r="AC3" s="506"/>
      <c r="AD3" s="506" t="s">
        <v>500</v>
      </c>
    </row>
    <row r="4" spans="2:30" s="338" customFormat="1" ht="25" customHeight="1" x14ac:dyDescent="0.2">
      <c r="B4" s="424" t="s">
        <v>304</v>
      </c>
      <c r="C4" s="425"/>
      <c r="D4" s="426"/>
      <c r="E4" s="427"/>
      <c r="F4" s="428"/>
      <c r="G4" s="428"/>
      <c r="H4" s="428"/>
      <c r="I4" s="428"/>
      <c r="J4" s="428"/>
      <c r="K4" s="428"/>
      <c r="L4" s="428"/>
      <c r="M4" s="428"/>
      <c r="N4" s="428"/>
      <c r="O4" s="428"/>
      <c r="P4" s="428"/>
      <c r="Q4" s="428"/>
      <c r="R4" s="428"/>
      <c r="S4" s="428"/>
      <c r="T4" s="428"/>
      <c r="U4" s="428"/>
      <c r="V4" s="428"/>
      <c r="W4" s="428"/>
      <c r="X4" s="428"/>
      <c r="Y4" s="428"/>
      <c r="Z4" s="428"/>
      <c r="AA4" s="428"/>
      <c r="AB4" s="428"/>
      <c r="AC4" s="428"/>
      <c r="AD4" s="428" t="s">
        <v>505</v>
      </c>
    </row>
    <row r="5" spans="2:30" s="338" customFormat="1" ht="25" customHeight="1" x14ac:dyDescent="0.2">
      <c r="B5" s="424" t="s">
        <v>305</v>
      </c>
      <c r="C5" s="432"/>
      <c r="D5" s="429"/>
      <c r="E5" s="430"/>
      <c r="F5" s="431"/>
      <c r="G5" s="432"/>
      <c r="H5" s="432"/>
      <c r="I5" s="432"/>
      <c r="J5" s="432" t="s">
        <v>479</v>
      </c>
      <c r="K5" s="432" t="s">
        <v>479</v>
      </c>
      <c r="L5" s="432"/>
      <c r="M5" s="432"/>
      <c r="N5" s="432"/>
      <c r="O5" s="432" t="s">
        <v>479</v>
      </c>
      <c r="P5" s="432"/>
      <c r="Q5" s="432" t="s">
        <v>479</v>
      </c>
      <c r="R5" s="432"/>
      <c r="S5" s="432"/>
      <c r="T5" s="432"/>
      <c r="U5" s="432"/>
      <c r="V5" s="432" t="s">
        <v>479</v>
      </c>
      <c r="W5" s="432"/>
      <c r="X5" s="432"/>
      <c r="Y5" s="432"/>
      <c r="Z5" s="432"/>
      <c r="AA5" s="432"/>
      <c r="AB5" s="432"/>
      <c r="AC5" s="432"/>
      <c r="AD5" s="432"/>
    </row>
    <row r="6" spans="2:30" s="263" customFormat="1" x14ac:dyDescent="0.2">
      <c r="B6" s="433" t="s">
        <v>306</v>
      </c>
      <c r="C6" s="304" t="s">
        <v>8</v>
      </c>
      <c r="D6" s="643" t="s">
        <v>8</v>
      </c>
      <c r="E6" s="434" t="s">
        <v>8</v>
      </c>
      <c r="F6" s="434" t="s">
        <v>8</v>
      </c>
      <c r="G6" s="339">
        <v>4.2283875612071613</v>
      </c>
      <c r="H6" s="339">
        <v>4.4823118423040533</v>
      </c>
      <c r="I6" s="339">
        <v>4.2336276529097088</v>
      </c>
      <c r="J6" s="339">
        <v>3.7591410443994473</v>
      </c>
      <c r="K6" s="339">
        <v>3.7636159295529503</v>
      </c>
      <c r="L6" s="339">
        <v>3.7363130110413976</v>
      </c>
      <c r="M6" s="339">
        <v>4.2315267108493151</v>
      </c>
      <c r="N6" s="339">
        <v>4.3364955476273126</v>
      </c>
      <c r="O6" s="339">
        <v>4.7936759583349602</v>
      </c>
      <c r="P6" s="339">
        <v>4.0799306585764503</v>
      </c>
      <c r="Q6" s="339">
        <v>3.5927930287883751</v>
      </c>
      <c r="R6" s="339">
        <v>5.6926547083736336</v>
      </c>
      <c r="S6" s="339">
        <v>4.2464266486968603</v>
      </c>
      <c r="T6" s="339">
        <v>3.8401886248954358</v>
      </c>
      <c r="U6" s="339">
        <v>4.3142358985164515</v>
      </c>
      <c r="V6" s="339">
        <v>4.2979671236733461</v>
      </c>
      <c r="W6" s="339">
        <v>4.2115154153375389</v>
      </c>
      <c r="X6" s="339">
        <v>3.7747930722641514</v>
      </c>
      <c r="Y6" s="339">
        <v>3.7143555998874263</v>
      </c>
      <c r="Z6" s="339">
        <v>4.2170454902472674</v>
      </c>
      <c r="AA6" s="339">
        <v>6.5296983825113024</v>
      </c>
      <c r="AB6" s="339">
        <v>3.7351900077190714</v>
      </c>
      <c r="AC6" s="339">
        <v>3.8351393880951301</v>
      </c>
      <c r="AD6" s="339">
        <v>3.6314084707852365</v>
      </c>
    </row>
    <row r="7" spans="2:30" s="264" customFormat="1" x14ac:dyDescent="0.2">
      <c r="B7" s="435" t="s">
        <v>6</v>
      </c>
      <c r="C7" s="305" t="s">
        <v>8</v>
      </c>
      <c r="D7" s="327" t="s">
        <v>8</v>
      </c>
      <c r="E7" s="434" t="s">
        <v>8</v>
      </c>
      <c r="F7" s="434" t="s">
        <v>8</v>
      </c>
      <c r="G7" s="340">
        <v>0.68899687175568192</v>
      </c>
      <c r="H7" s="340">
        <v>0.65016611941096358</v>
      </c>
      <c r="I7" s="340">
        <v>0.64626414627484152</v>
      </c>
      <c r="J7" s="340">
        <v>0.55152988555266547</v>
      </c>
      <c r="K7" s="340">
        <v>0.54991274082290587</v>
      </c>
      <c r="L7" s="340">
        <v>0.5466025708202914</v>
      </c>
      <c r="M7" s="340">
        <v>0.54652372961838447</v>
      </c>
      <c r="N7" s="340">
        <v>0.54392076944813816</v>
      </c>
      <c r="O7" s="340">
        <v>0.5419164659290252</v>
      </c>
      <c r="P7" s="340">
        <v>0.53609255083441543</v>
      </c>
      <c r="Q7" s="340">
        <v>0.52994815638741866</v>
      </c>
      <c r="R7" s="340">
        <v>0.52472205280428796</v>
      </c>
      <c r="S7" s="340">
        <v>0.52411657131844114</v>
      </c>
      <c r="T7" s="340">
        <v>0.51603927885917189</v>
      </c>
      <c r="U7" s="340">
        <v>0.49804844558258426</v>
      </c>
      <c r="V7" s="340">
        <v>0.49088799015654805</v>
      </c>
      <c r="W7" s="340">
        <v>0.47855736683655359</v>
      </c>
      <c r="X7" s="340">
        <v>0.47033539700746602</v>
      </c>
      <c r="Y7" s="340">
        <v>0.46771442598035373</v>
      </c>
      <c r="Z7" s="340">
        <v>0.45147539999255293</v>
      </c>
      <c r="AA7" s="340">
        <v>0.44079777204590842</v>
      </c>
      <c r="AB7" s="340">
        <v>0.4244204447557901</v>
      </c>
      <c r="AC7" s="340">
        <v>0.39578955832430035</v>
      </c>
      <c r="AD7" s="340">
        <v>0.39187171841218188</v>
      </c>
    </row>
    <row r="8" spans="2:30" x14ac:dyDescent="0.2">
      <c r="B8" s="358" t="s">
        <v>307</v>
      </c>
      <c r="C8" s="306"/>
      <c r="D8" s="328"/>
      <c r="E8" s="335"/>
      <c r="F8" s="268"/>
      <c r="G8" s="341">
        <v>1993</v>
      </c>
      <c r="H8" s="341"/>
      <c r="I8" s="341">
        <v>1995</v>
      </c>
      <c r="J8" s="341"/>
      <c r="K8" s="341"/>
      <c r="L8" s="341"/>
      <c r="M8" s="341">
        <v>1994</v>
      </c>
      <c r="N8" s="341"/>
      <c r="O8" s="341"/>
      <c r="P8" s="341"/>
      <c r="Q8" s="341"/>
      <c r="R8" s="341"/>
      <c r="S8" s="341"/>
      <c r="T8" s="341"/>
      <c r="U8" s="341">
        <v>1976</v>
      </c>
      <c r="V8" s="341"/>
      <c r="W8" s="341"/>
      <c r="X8" s="341">
        <v>1920</v>
      </c>
      <c r="Y8" s="341"/>
      <c r="Z8" s="341"/>
      <c r="AA8" s="341"/>
      <c r="AB8" s="341"/>
      <c r="AC8" s="341"/>
      <c r="AD8" s="341">
        <v>2011</v>
      </c>
    </row>
    <row r="9" spans="2:30" s="265" customFormat="1" x14ac:dyDescent="0.2">
      <c r="B9" s="359" t="s">
        <v>1</v>
      </c>
      <c r="C9" s="307"/>
      <c r="D9" s="329">
        <f ca="1">IFERROR(AVERAGE(INDIRECT("G"&amp;ROW()&amp;":Z"&amp;ROW())),"")</f>
        <v>1.5</v>
      </c>
      <c r="E9" s="335"/>
      <c r="F9" s="268"/>
      <c r="G9" s="342"/>
      <c r="H9" s="342">
        <v>2</v>
      </c>
      <c r="I9" s="342"/>
      <c r="J9" s="342">
        <v>2</v>
      </c>
      <c r="K9" s="342">
        <v>1</v>
      </c>
      <c r="L9" s="342"/>
      <c r="M9" s="342"/>
      <c r="N9" s="342"/>
      <c r="O9" s="342">
        <v>1</v>
      </c>
      <c r="P9" s="342"/>
      <c r="Q9" s="342">
        <v>2</v>
      </c>
      <c r="R9" s="342"/>
      <c r="S9" s="342"/>
      <c r="T9" s="342"/>
      <c r="U9" s="342"/>
      <c r="V9" s="342">
        <v>1</v>
      </c>
      <c r="W9" s="342"/>
      <c r="X9" s="342"/>
      <c r="Y9" s="342"/>
      <c r="Z9" s="342"/>
      <c r="AA9" s="342"/>
      <c r="AB9" s="342"/>
      <c r="AC9" s="342"/>
      <c r="AD9" s="342">
        <v>40</v>
      </c>
    </row>
    <row r="10" spans="2:30" s="266" customFormat="1" x14ac:dyDescent="0.2">
      <c r="B10" s="360" t="s">
        <v>308</v>
      </c>
      <c r="C10" s="308"/>
      <c r="D10" s="330">
        <f ca="1">IFERROR(AVERAGE(INDIRECT("G"&amp;ROW()&amp;":Z"&amp;ROW())),"")</f>
        <v>1</v>
      </c>
      <c r="E10" s="334" t="str">
        <f>IF(C10&gt;0,IFERROR((C10-D10),""),"")</f>
        <v/>
      </c>
      <c r="F10" s="268" t="str">
        <f ca="1">IFERROR(E10/D10,"")</f>
        <v/>
      </c>
      <c r="G10" s="343"/>
      <c r="H10" s="343">
        <v>1</v>
      </c>
      <c r="I10" s="343"/>
      <c r="J10" s="343">
        <v>1</v>
      </c>
      <c r="K10" s="343">
        <v>1</v>
      </c>
      <c r="L10" s="343"/>
      <c r="M10" s="343"/>
      <c r="N10" s="343"/>
      <c r="O10" s="343">
        <v>1</v>
      </c>
      <c r="P10" s="343"/>
      <c r="Q10" s="343">
        <v>1</v>
      </c>
      <c r="R10" s="343"/>
      <c r="S10" s="343"/>
      <c r="T10" s="343"/>
      <c r="U10" s="343"/>
      <c r="V10" s="343"/>
      <c r="W10" s="343"/>
      <c r="X10" s="343"/>
      <c r="Y10" s="343"/>
      <c r="Z10" s="343"/>
      <c r="AA10" s="343"/>
      <c r="AB10" s="343"/>
      <c r="AC10" s="343"/>
      <c r="AD10" s="343">
        <v>1</v>
      </c>
    </row>
    <row r="11" spans="2:30" s="266" customFormat="1" x14ac:dyDescent="0.2">
      <c r="B11" s="360" t="s">
        <v>309</v>
      </c>
      <c r="C11" s="308"/>
      <c r="D11" s="330">
        <f ca="1">IFERROR(AVERAGE(INDIRECT("G"&amp;ROW()&amp;":Z"&amp;ROW())),"")</f>
        <v>0</v>
      </c>
      <c r="E11" s="334" t="str">
        <f>IF(C11&gt;0,IFERROR((C11-D11),""),"")</f>
        <v/>
      </c>
      <c r="F11" s="268" t="str">
        <f ca="1">IFERROR(E11/D11,"")</f>
        <v/>
      </c>
      <c r="G11" s="343"/>
      <c r="H11" s="343">
        <v>0</v>
      </c>
      <c r="I11" s="343"/>
      <c r="J11" s="343">
        <v>0</v>
      </c>
      <c r="K11" s="343">
        <v>0</v>
      </c>
      <c r="L11" s="343"/>
      <c r="M11" s="343"/>
      <c r="N11" s="343"/>
      <c r="O11" s="343">
        <v>0</v>
      </c>
      <c r="P11" s="343"/>
      <c r="Q11" s="343">
        <v>0</v>
      </c>
      <c r="R11" s="343"/>
      <c r="S11" s="343"/>
      <c r="T11" s="343"/>
      <c r="U11" s="343"/>
      <c r="V11" s="343"/>
      <c r="W11" s="343"/>
      <c r="X11" s="343"/>
      <c r="Y11" s="343"/>
      <c r="Z11" s="343"/>
      <c r="AA11" s="343"/>
      <c r="AB11" s="343"/>
      <c r="AC11" s="343"/>
      <c r="AD11" s="343">
        <v>0</v>
      </c>
    </row>
    <row r="12" spans="2:30" s="266" customFormat="1" x14ac:dyDescent="0.2">
      <c r="B12" s="360" t="s">
        <v>443</v>
      </c>
      <c r="C12" s="308" t="s">
        <v>405</v>
      </c>
      <c r="D12" s="330" t="str">
        <f ca="1">IFERROR(AVERAGE(INDIRECT("G"&amp;ROW()&amp;":Z"&amp;ROW())),"")</f>
        <v/>
      </c>
      <c r="E12" s="334" t="str">
        <f ca="1">IF(C12&gt;0,IFERROR((C12-D12),""),"")</f>
        <v/>
      </c>
      <c r="F12" s="268" t="str">
        <f ca="1">IFERROR(E12/D12,"")</f>
        <v/>
      </c>
      <c r="G12" s="343" t="s">
        <v>405</v>
      </c>
      <c r="H12" s="291"/>
      <c r="I12" s="27"/>
      <c r="J12" s="27"/>
      <c r="K12" s="27"/>
      <c r="L12" s="27"/>
      <c r="M12" s="27"/>
      <c r="N12" s="27"/>
      <c r="O12" s="27"/>
      <c r="P12" s="27"/>
      <c r="Q12" s="27"/>
      <c r="R12" s="27"/>
      <c r="S12" s="27"/>
      <c r="T12" s="27"/>
      <c r="U12" s="27"/>
      <c r="V12" s="27"/>
      <c r="W12" s="27"/>
      <c r="X12" s="27"/>
      <c r="Y12" s="27"/>
      <c r="Z12" s="670"/>
    </row>
    <row r="13" spans="2:30" s="266" customFormat="1" x14ac:dyDescent="0.2">
      <c r="B13" s="360" t="s">
        <v>425</v>
      </c>
      <c r="C13" s="636" t="s">
        <v>405</v>
      </c>
      <c r="D13" s="329" t="str">
        <f ca="1">IFERROR(AVERAGE(INDIRECT("G"&amp;ROW()&amp;":Z"&amp;ROW())),"")</f>
        <v/>
      </c>
      <c r="E13" s="335" t="str">
        <f ca="1">IF(C13&gt;0,IFERROR((C13-D13),""),"")</f>
        <v/>
      </c>
      <c r="F13" s="639" t="str">
        <f ca="1">IFERROR(E13/D13,"")</f>
        <v/>
      </c>
      <c r="G13" s="342" t="s">
        <v>405</v>
      </c>
      <c r="H13" s="291"/>
      <c r="I13" s="27"/>
      <c r="J13" s="27"/>
      <c r="K13" s="27"/>
      <c r="L13" s="27"/>
      <c r="M13" s="27"/>
      <c r="N13" s="27"/>
      <c r="O13" s="27"/>
      <c r="P13" s="27"/>
      <c r="Q13" s="27"/>
      <c r="R13" s="27"/>
      <c r="S13" s="27"/>
      <c r="T13" s="27"/>
      <c r="U13" s="27"/>
      <c r="V13" s="27"/>
      <c r="W13" s="27"/>
      <c r="X13" s="27"/>
      <c r="Y13" s="27"/>
      <c r="Z13" s="670"/>
    </row>
    <row r="14" spans="2:30" s="266" customFormat="1" x14ac:dyDescent="0.2">
      <c r="B14" s="360" t="s">
        <v>444</v>
      </c>
      <c r="C14" s="637" t="b">
        <v>0</v>
      </c>
      <c r="D14" s="640" t="s">
        <v>8</v>
      </c>
      <c r="E14" s="641" t="s">
        <v>8</v>
      </c>
      <c r="F14" s="642" t="s">
        <v>8</v>
      </c>
      <c r="G14" s="341"/>
      <c r="H14" s="341"/>
      <c r="I14" s="341"/>
      <c r="J14" s="341" t="b">
        <v>0</v>
      </c>
      <c r="K14" s="341" t="b">
        <v>0</v>
      </c>
      <c r="L14" s="341"/>
      <c r="M14" s="341"/>
      <c r="N14" s="341" t="b">
        <v>0</v>
      </c>
      <c r="O14" s="341" t="b">
        <v>0</v>
      </c>
      <c r="P14" s="341" t="b">
        <v>0</v>
      </c>
      <c r="Q14" s="341" t="b">
        <v>0</v>
      </c>
      <c r="R14" s="341"/>
      <c r="S14" s="341" t="b">
        <v>0</v>
      </c>
      <c r="T14" s="341"/>
      <c r="U14" s="341" t="b">
        <v>0</v>
      </c>
      <c r="V14" s="341" t="b">
        <v>0</v>
      </c>
      <c r="W14" s="341" t="b">
        <v>0</v>
      </c>
      <c r="X14" s="341" t="b">
        <v>0</v>
      </c>
      <c r="Y14" s="341" t="b">
        <v>0</v>
      </c>
      <c r="Z14" s="341" t="b">
        <v>0</v>
      </c>
      <c r="AA14" s="341"/>
      <c r="AB14" s="341"/>
      <c r="AC14" s="341" t="b">
        <v>0</v>
      </c>
      <c r="AD14" s="341"/>
    </row>
    <row r="15" spans="2:30" s="266" customFormat="1" x14ac:dyDescent="0.2">
      <c r="B15" s="360" t="s">
        <v>445</v>
      </c>
      <c r="C15" s="636">
        <v>37.380000000000003</v>
      </c>
      <c r="D15" s="329">
        <f ca="1">IFERROR(AVERAGE(INDIRECT("G"&amp;ROW()&amp;":Z"&amp;ROW())),"")</f>
        <v>61.92230769230769</v>
      </c>
      <c r="E15" s="335">
        <f ca="1">IF(C15&gt;0,IFERROR((C15-D15),""),"")</f>
        <v>-24.542307692307688</v>
      </c>
      <c r="F15" s="639">
        <f ca="1">IFERROR(E15/D15,"")</f>
        <v>-0.39634032720903362</v>
      </c>
      <c r="G15" s="342"/>
      <c r="H15" s="342"/>
      <c r="I15" s="342"/>
      <c r="J15" s="342">
        <v>84.31</v>
      </c>
      <c r="K15" s="342">
        <v>133.57</v>
      </c>
      <c r="L15" s="342"/>
      <c r="M15" s="342"/>
      <c r="N15" s="342">
        <v>38</v>
      </c>
      <c r="O15" s="342">
        <v>55.5</v>
      </c>
      <c r="P15" s="342">
        <v>48.5</v>
      </c>
      <c r="Q15" s="342">
        <v>86</v>
      </c>
      <c r="R15" s="342"/>
      <c r="S15" s="342">
        <v>85</v>
      </c>
      <c r="T15" s="342"/>
      <c r="U15" s="342">
        <v>51.2</v>
      </c>
      <c r="V15" s="342">
        <v>50.91</v>
      </c>
      <c r="W15" s="342">
        <v>17</v>
      </c>
      <c r="X15" s="342">
        <v>10</v>
      </c>
      <c r="Y15" s="342">
        <v>132</v>
      </c>
      <c r="Z15" s="342">
        <v>13</v>
      </c>
      <c r="AA15" s="342"/>
      <c r="AB15" s="342"/>
      <c r="AC15" s="342">
        <v>14</v>
      </c>
      <c r="AD15" s="342"/>
    </row>
    <row r="16" spans="2:30" s="266" customFormat="1" ht="15" x14ac:dyDescent="0.2">
      <c r="B16" s="638" t="s">
        <v>446</v>
      </c>
      <c r="C16" s="308">
        <v>4.5614033E-3</v>
      </c>
      <c r="D16" s="330">
        <f ca="1">IFERROR(AVERAGE(INDIRECT("G"&amp;ROW()&amp;":Z"&amp;ROW())),"")</f>
        <v>-4.5486920769230773E-3</v>
      </c>
      <c r="E16" s="334">
        <f ca="1">IF(C16&gt;0,IFERROR((C16-D16),""),"")</f>
        <v>9.1100953769230782E-3</v>
      </c>
      <c r="F16" s="268">
        <f ca="1">IFERROR(E16/D16,"")</f>
        <v>-2.0027944786901299</v>
      </c>
      <c r="G16" s="343"/>
      <c r="H16" s="343"/>
      <c r="I16" s="343"/>
      <c r="J16" s="343">
        <v>-2.9040403999999999E-2</v>
      </c>
      <c r="K16" s="343">
        <v>0</v>
      </c>
      <c r="L16" s="343"/>
      <c r="M16" s="343"/>
      <c r="N16" s="343">
        <v>0</v>
      </c>
      <c r="O16" s="343">
        <v>0</v>
      </c>
      <c r="P16" s="343">
        <v>0</v>
      </c>
      <c r="Q16" s="343">
        <v>0</v>
      </c>
      <c r="R16" s="343"/>
      <c r="S16" s="343">
        <v>0</v>
      </c>
      <c r="T16" s="343"/>
      <c r="U16" s="343">
        <v>-2.0833333999999998E-2</v>
      </c>
      <c r="V16" s="343">
        <v>-9.2592590000000006E-3</v>
      </c>
      <c r="W16" s="343">
        <v>0</v>
      </c>
      <c r="X16" s="343">
        <v>0</v>
      </c>
      <c r="Y16" s="343">
        <v>0</v>
      </c>
      <c r="Z16" s="343">
        <v>0</v>
      </c>
      <c r="AA16" s="343"/>
      <c r="AB16" s="343"/>
      <c r="AC16" s="343">
        <v>0</v>
      </c>
      <c r="AD16" s="343"/>
    </row>
    <row r="17" spans="2:30" s="27" customFormat="1" x14ac:dyDescent="0.2">
      <c r="B17" s="360" t="s">
        <v>3</v>
      </c>
      <c r="C17" s="309">
        <v>0.51493199658935951</v>
      </c>
      <c r="D17" s="330">
        <f ca="1">IFERROR(AVERAGE(INDIRECT("G"&amp;ROW()&amp;":Z"&amp;ROW())),"")</f>
        <v>0.32236850914347692</v>
      </c>
      <c r="E17" s="334">
        <f ca="1">IF(C17&gt;0,IFERROR((C17-D17),""),"")</f>
        <v>0.19256348744588259</v>
      </c>
      <c r="F17" s="268">
        <f ca="1">IFERROR(E17/D17,"")</f>
        <v>0.59733963456144579</v>
      </c>
      <c r="G17" s="343">
        <v>0.30491646007743156</v>
      </c>
      <c r="H17" s="343">
        <v>0.32871179623809271</v>
      </c>
      <c r="I17" s="343">
        <v>0.29737036019806284</v>
      </c>
      <c r="J17" s="343"/>
      <c r="K17" s="343"/>
      <c r="L17" s="343"/>
      <c r="M17" s="343"/>
      <c r="N17" s="343"/>
      <c r="O17" s="343"/>
      <c r="P17" s="343"/>
      <c r="Q17" s="343"/>
      <c r="R17" s="343"/>
      <c r="S17" s="343"/>
      <c r="T17" s="343">
        <v>0.35847542006032074</v>
      </c>
      <c r="U17" s="343"/>
      <c r="V17" s="343"/>
      <c r="W17" s="343"/>
      <c r="X17" s="343"/>
      <c r="Y17" s="343"/>
      <c r="Z17" s="343"/>
      <c r="AA17" s="343"/>
      <c r="AB17" s="343"/>
      <c r="AC17" s="343"/>
      <c r="AD17" s="343"/>
    </row>
    <row r="18" spans="2:30" x14ac:dyDescent="0.2">
      <c r="B18" s="361" t="s">
        <v>373</v>
      </c>
      <c r="C18" s="310"/>
      <c r="D18" s="310"/>
      <c r="E18" s="294"/>
      <c r="F18" s="269"/>
      <c r="G18" s="344"/>
      <c r="H18" s="292"/>
      <c r="I18" s="671"/>
      <c r="J18" s="671"/>
      <c r="K18" s="671"/>
      <c r="L18" s="671"/>
      <c r="M18" s="671"/>
      <c r="N18" s="671"/>
      <c r="O18" s="671"/>
      <c r="P18" s="671"/>
      <c r="Q18" s="671"/>
      <c r="R18" s="671"/>
      <c r="S18" s="671"/>
      <c r="T18" s="671"/>
      <c r="U18" s="671"/>
      <c r="V18" s="671"/>
      <c r="W18" s="671"/>
      <c r="X18" s="671"/>
      <c r="Y18" s="671"/>
      <c r="Z18" s="672"/>
    </row>
    <row r="19" spans="2:30" s="110" customFormat="1" x14ac:dyDescent="0.2">
      <c r="B19" s="362" t="s">
        <v>312</v>
      </c>
      <c r="C19" s="311">
        <v>1438</v>
      </c>
      <c r="D19" s="331">
        <f ca="1">IFERROR(AVERAGE(INDIRECT("G"&amp;ROW()&amp;":Z"&amp;ROW())),"")</f>
        <v>1256.7708333333335</v>
      </c>
      <c r="E19" s="324">
        <f ca="1">IF(C19&gt;0,IFERROR((C19-D19),""),"")</f>
        <v>181.22916666666652</v>
      </c>
      <c r="F19" s="268">
        <f ca="1">IFERROR(E19/D19,"")</f>
        <v>0.14420223787815983</v>
      </c>
      <c r="G19" s="345"/>
      <c r="H19" s="345"/>
      <c r="I19" s="345"/>
      <c r="J19" s="345">
        <v>1066.6666666666667</v>
      </c>
      <c r="K19" s="345">
        <v>1075</v>
      </c>
      <c r="L19" s="345"/>
      <c r="M19" s="345"/>
      <c r="N19" s="345">
        <v>1850</v>
      </c>
      <c r="O19" s="345"/>
      <c r="P19" s="345">
        <v>1325</v>
      </c>
      <c r="Q19" s="345"/>
      <c r="R19" s="345"/>
      <c r="S19" s="345"/>
      <c r="T19" s="345"/>
      <c r="U19" s="345">
        <v>1150</v>
      </c>
      <c r="V19" s="345">
        <v>1187.5</v>
      </c>
      <c r="W19" s="345">
        <v>1250</v>
      </c>
      <c r="X19" s="345"/>
      <c r="Y19" s="345"/>
      <c r="Z19" s="345">
        <v>1150</v>
      </c>
      <c r="AA19" s="345"/>
      <c r="AB19" s="345"/>
      <c r="AC19" s="345"/>
      <c r="AD19" s="345"/>
    </row>
    <row r="20" spans="2:30" s="110" customFormat="1" x14ac:dyDescent="0.2">
      <c r="B20" s="362" t="s">
        <v>313</v>
      </c>
      <c r="C20" s="311">
        <v>1435.8333333333333</v>
      </c>
      <c r="D20" s="331">
        <f ca="1">IFERROR(AVERAGE(INDIRECT("G"&amp;ROW()&amp;":Z"&amp;ROW())),"")</f>
        <v>1256.4814814814813</v>
      </c>
      <c r="E20" s="324">
        <f ca="1">IF(C20&gt;0,IFERROR((C20-D20),""),"")</f>
        <v>179.35185185185196</v>
      </c>
      <c r="F20" s="268">
        <f ca="1">IFERROR(E20/D20,"")</f>
        <v>0.14274134119380999</v>
      </c>
      <c r="G20" s="345"/>
      <c r="H20" s="345">
        <v>1225</v>
      </c>
      <c r="I20" s="345"/>
      <c r="J20" s="345">
        <v>1087.5</v>
      </c>
      <c r="K20" s="345">
        <v>1083.3333333333333</v>
      </c>
      <c r="L20" s="345"/>
      <c r="M20" s="345"/>
      <c r="N20" s="345">
        <v>1850</v>
      </c>
      <c r="O20" s="345"/>
      <c r="P20" s="345">
        <v>1325</v>
      </c>
      <c r="Q20" s="345"/>
      <c r="R20" s="345"/>
      <c r="S20" s="345"/>
      <c r="T20" s="345"/>
      <c r="U20" s="345">
        <v>1150</v>
      </c>
      <c r="V20" s="345">
        <v>1187.5</v>
      </c>
      <c r="W20" s="345">
        <v>1250</v>
      </c>
      <c r="X20" s="345"/>
      <c r="Y20" s="345"/>
      <c r="Z20" s="345">
        <v>1150</v>
      </c>
      <c r="AA20" s="345"/>
      <c r="AB20" s="345"/>
      <c r="AC20" s="345"/>
      <c r="AD20" s="345"/>
    </row>
    <row r="21" spans="2:30" s="110" customFormat="1" x14ac:dyDescent="0.2">
      <c r="B21" s="362" t="s">
        <v>314</v>
      </c>
      <c r="C21" s="311">
        <v>1432.2222222222222</v>
      </c>
      <c r="D21" s="331">
        <f ca="1">IFERROR(AVERAGE(INDIRECT("G"&amp;ROW()&amp;":Z"&amp;ROW())),"")</f>
        <v>1314.621212121212</v>
      </c>
      <c r="E21" s="324">
        <f ca="1">IF(C21&gt;0,IFERROR((C21-D21),""),"")</f>
        <v>117.60101010101016</v>
      </c>
      <c r="F21" s="268">
        <f ca="1">IFERROR(E21/D21,"")</f>
        <v>8.9456193933805925E-2</v>
      </c>
      <c r="G21" s="345"/>
      <c r="H21" s="345">
        <v>1225</v>
      </c>
      <c r="I21" s="345"/>
      <c r="J21" s="345">
        <v>1087.5</v>
      </c>
      <c r="K21" s="345">
        <v>1083.3333333333333</v>
      </c>
      <c r="L21" s="345"/>
      <c r="M21" s="345"/>
      <c r="N21" s="345">
        <v>1850</v>
      </c>
      <c r="O21" s="345"/>
      <c r="P21" s="345">
        <v>1325</v>
      </c>
      <c r="Q21" s="345"/>
      <c r="R21" s="345"/>
      <c r="S21" s="345">
        <v>1850</v>
      </c>
      <c r="T21" s="345"/>
      <c r="U21" s="345">
        <v>1150</v>
      </c>
      <c r="V21" s="345">
        <v>1190</v>
      </c>
      <c r="W21" s="345">
        <v>1250</v>
      </c>
      <c r="X21" s="345"/>
      <c r="Y21" s="345">
        <v>1300</v>
      </c>
      <c r="Z21" s="345">
        <v>1150</v>
      </c>
      <c r="AA21" s="345"/>
      <c r="AB21" s="345"/>
      <c r="AC21" s="345"/>
      <c r="AD21" s="345"/>
    </row>
    <row r="22" spans="2:30" x14ac:dyDescent="0.2">
      <c r="B22" s="361" t="s">
        <v>372</v>
      </c>
      <c r="C22" s="312"/>
      <c r="D22" s="312"/>
      <c r="E22" s="294"/>
      <c r="F22" s="269"/>
      <c r="G22" s="346"/>
      <c r="H22" s="279"/>
      <c r="I22" s="673"/>
      <c r="J22" s="673"/>
      <c r="K22" s="673"/>
      <c r="L22" s="673"/>
      <c r="M22" s="673"/>
      <c r="N22" s="673"/>
      <c r="O22" s="673"/>
      <c r="P22" s="673"/>
      <c r="Q22" s="673"/>
      <c r="R22" s="673"/>
      <c r="S22" s="673"/>
      <c r="T22" s="673"/>
      <c r="U22" s="673"/>
      <c r="V22" s="673"/>
      <c r="W22" s="673"/>
      <c r="X22" s="673"/>
      <c r="Y22" s="673"/>
      <c r="Z22" s="674"/>
    </row>
    <row r="23" spans="2:30" s="110" customFormat="1" x14ac:dyDescent="0.2">
      <c r="B23" s="362" t="s">
        <v>312</v>
      </c>
      <c r="C23" s="311">
        <v>1438</v>
      </c>
      <c r="D23" s="331">
        <f ca="1">IFERROR(AVERAGE(INDIRECT("G"&amp;ROW()&amp;":Z"&amp;ROW())),"")</f>
        <v>1256.7708333333335</v>
      </c>
      <c r="E23" s="324">
        <f ca="1">IF(C23&gt;0,IFERROR((C23-D23),""),"")</f>
        <v>181.22916666666652</v>
      </c>
      <c r="F23" s="268">
        <f ca="1">IFERROR(E23/D23,"")</f>
        <v>0.14420223787815983</v>
      </c>
      <c r="G23" s="345"/>
      <c r="H23" s="345"/>
      <c r="I23" s="345"/>
      <c r="J23" s="345">
        <v>1066.6666666666667</v>
      </c>
      <c r="K23" s="345">
        <v>1075</v>
      </c>
      <c r="L23" s="345"/>
      <c r="M23" s="345"/>
      <c r="N23" s="345">
        <v>1850</v>
      </c>
      <c r="O23" s="345"/>
      <c r="P23" s="345">
        <v>1325</v>
      </c>
      <c r="Q23" s="345"/>
      <c r="R23" s="345"/>
      <c r="S23" s="345"/>
      <c r="T23" s="345"/>
      <c r="U23" s="345">
        <v>1150</v>
      </c>
      <c r="V23" s="345">
        <v>1187.5</v>
      </c>
      <c r="W23" s="345">
        <v>1250</v>
      </c>
      <c r="X23" s="345"/>
      <c r="Y23" s="345"/>
      <c r="Z23" s="345">
        <v>1150</v>
      </c>
      <c r="AA23" s="345"/>
      <c r="AB23" s="345"/>
      <c r="AC23" s="345"/>
      <c r="AD23" s="345"/>
    </row>
    <row r="24" spans="2:30" s="110" customFormat="1" x14ac:dyDescent="0.2">
      <c r="B24" s="362" t="s">
        <v>313</v>
      </c>
      <c r="C24" s="311">
        <v>1435.8333333333333</v>
      </c>
      <c r="D24" s="331">
        <f ca="1">IFERROR(AVERAGE(INDIRECT("G"&amp;ROW()&amp;":Z"&amp;ROW())),"")</f>
        <v>1256.4814814814813</v>
      </c>
      <c r="E24" s="324">
        <f ca="1">IF(C24&gt;0,IFERROR((C24-D24),""),"")</f>
        <v>179.35185185185196</v>
      </c>
      <c r="F24" s="268">
        <f ca="1">IFERROR(E24/D24,"")</f>
        <v>0.14274134119380999</v>
      </c>
      <c r="G24" s="345"/>
      <c r="H24" s="345">
        <v>1225</v>
      </c>
      <c r="I24" s="345"/>
      <c r="J24" s="345">
        <v>1087.5</v>
      </c>
      <c r="K24" s="345">
        <v>1083.3333333333333</v>
      </c>
      <c r="L24" s="345"/>
      <c r="M24" s="345"/>
      <c r="N24" s="345">
        <v>1850</v>
      </c>
      <c r="O24" s="345"/>
      <c r="P24" s="345">
        <v>1325</v>
      </c>
      <c r="Q24" s="345"/>
      <c r="R24" s="345"/>
      <c r="S24" s="345"/>
      <c r="T24" s="345"/>
      <c r="U24" s="345">
        <v>1150</v>
      </c>
      <c r="V24" s="345">
        <v>1187.5</v>
      </c>
      <c r="W24" s="345">
        <v>1250</v>
      </c>
      <c r="X24" s="345"/>
      <c r="Y24" s="345"/>
      <c r="Z24" s="345">
        <v>1150</v>
      </c>
      <c r="AA24" s="345"/>
      <c r="AB24" s="345"/>
      <c r="AC24" s="345"/>
      <c r="AD24" s="345"/>
    </row>
    <row r="25" spans="2:30" s="110" customFormat="1" x14ac:dyDescent="0.2">
      <c r="B25" s="362" t="s">
        <v>314</v>
      </c>
      <c r="C25" s="311">
        <v>1432.2222222222222</v>
      </c>
      <c r="D25" s="331">
        <f ca="1">IFERROR(AVERAGE(INDIRECT("G"&amp;ROW()&amp;":Z"&amp;ROW())),"")</f>
        <v>1314.621212121212</v>
      </c>
      <c r="E25" s="324">
        <f ca="1">IF(C25&gt;0,IFERROR((C25-D25),""),"")</f>
        <v>117.60101010101016</v>
      </c>
      <c r="F25" s="268">
        <f ca="1">IFERROR(E25/D25,"")</f>
        <v>8.9456193933805925E-2</v>
      </c>
      <c r="G25" s="345"/>
      <c r="H25" s="345">
        <v>1225</v>
      </c>
      <c r="I25" s="345"/>
      <c r="J25" s="345">
        <v>1087.5</v>
      </c>
      <c r="K25" s="345">
        <v>1083.3333333333333</v>
      </c>
      <c r="L25" s="345"/>
      <c r="M25" s="345"/>
      <c r="N25" s="345">
        <v>1850</v>
      </c>
      <c r="O25" s="345"/>
      <c r="P25" s="345">
        <v>1325</v>
      </c>
      <c r="Q25" s="345"/>
      <c r="R25" s="345"/>
      <c r="S25" s="345">
        <v>1850</v>
      </c>
      <c r="T25" s="345"/>
      <c r="U25" s="345">
        <v>1150</v>
      </c>
      <c r="V25" s="345">
        <v>1190</v>
      </c>
      <c r="W25" s="345">
        <v>1250</v>
      </c>
      <c r="X25" s="345"/>
      <c r="Y25" s="345">
        <v>1300</v>
      </c>
      <c r="Z25" s="345">
        <v>1150</v>
      </c>
      <c r="AA25" s="345"/>
      <c r="AB25" s="345"/>
      <c r="AC25" s="345"/>
      <c r="AD25" s="345"/>
    </row>
    <row r="26" spans="2:30" x14ac:dyDescent="0.2">
      <c r="B26" s="361" t="s">
        <v>310</v>
      </c>
      <c r="C26" s="312"/>
      <c r="D26" s="312"/>
      <c r="E26" s="294"/>
      <c r="F26" s="269"/>
      <c r="G26" s="346"/>
      <c r="H26" s="279"/>
      <c r="I26" s="673"/>
      <c r="J26" s="673"/>
      <c r="K26" s="673"/>
      <c r="L26" s="673"/>
      <c r="M26" s="673"/>
      <c r="N26" s="673"/>
      <c r="O26" s="673"/>
      <c r="P26" s="673"/>
      <c r="Q26" s="673"/>
      <c r="R26" s="673"/>
      <c r="S26" s="673"/>
      <c r="T26" s="673"/>
      <c r="U26" s="673"/>
      <c r="V26" s="673"/>
      <c r="W26" s="673"/>
      <c r="X26" s="673"/>
      <c r="Y26" s="673"/>
      <c r="Z26" s="674"/>
    </row>
    <row r="27" spans="2:30" s="267" customFormat="1" x14ac:dyDescent="0.2">
      <c r="B27" s="363" t="s">
        <v>312</v>
      </c>
      <c r="C27" s="313">
        <v>1.2920035938903864</v>
      </c>
      <c r="D27" s="332">
        <f ca="1">IFERROR(AVERAGE(INDIRECT("G"&amp;ROW()&amp;":Z"&amp;ROW())),"")</f>
        <v>1.5612374990596145</v>
      </c>
      <c r="E27" s="325">
        <f ca="1">IF(C27&gt;0,IFERROR((C27-D27),""),"")</f>
        <v>-0.26923390516922807</v>
      </c>
      <c r="F27" s="268">
        <f ca="1">IFERROR(E27/D27,"")</f>
        <v>-0.17244903823498772</v>
      </c>
      <c r="G27" s="347"/>
      <c r="H27" s="347"/>
      <c r="I27" s="347"/>
      <c r="J27" s="347">
        <v>1.6923076923076923</v>
      </c>
      <c r="K27" s="347"/>
      <c r="L27" s="347"/>
      <c r="M27" s="347"/>
      <c r="N27" s="347">
        <v>1.4566929133858268</v>
      </c>
      <c r="O27" s="347"/>
      <c r="P27" s="347">
        <v>1.5335648148148149</v>
      </c>
      <c r="Q27" s="347"/>
      <c r="R27" s="347"/>
      <c r="S27" s="347"/>
      <c r="T27" s="347"/>
      <c r="U27" s="347">
        <v>1.452020202020202</v>
      </c>
      <c r="V27" s="347">
        <v>1.4221556886227544</v>
      </c>
      <c r="W27" s="347">
        <v>1.7857142857142858</v>
      </c>
      <c r="X27" s="347"/>
      <c r="Y27" s="347"/>
      <c r="Z27" s="347">
        <v>1.5862068965517242</v>
      </c>
      <c r="AA27" s="347"/>
      <c r="AB27" s="347"/>
      <c r="AC27" s="347"/>
      <c r="AD27" s="347"/>
    </row>
    <row r="28" spans="2:30" s="267" customFormat="1" x14ac:dyDescent="0.2">
      <c r="B28" s="363" t="s">
        <v>313</v>
      </c>
      <c r="C28" s="313">
        <v>1.2900569032644504</v>
      </c>
      <c r="D28" s="332">
        <f ca="1">IFERROR(AVERAGE(INDIRECT("G"&amp;ROW()&amp;":Z"&amp;ROW())),"")</f>
        <v>1.5052873571317082</v>
      </c>
      <c r="E28" s="325">
        <f ca="1">IF(C28&gt;0,IFERROR((C28-D28),""),"")</f>
        <v>-0.21523045386725781</v>
      </c>
      <c r="F28" s="268">
        <f ca="1">IFERROR(E28/D28,"")</f>
        <v>-0.14298296790147411</v>
      </c>
      <c r="G28" s="347"/>
      <c r="H28" s="347">
        <v>1.1136363636363635</v>
      </c>
      <c r="I28" s="347"/>
      <c r="J28" s="347">
        <v>1.6923076923076923</v>
      </c>
      <c r="K28" s="347"/>
      <c r="L28" s="347"/>
      <c r="M28" s="347"/>
      <c r="N28" s="347">
        <v>1.4566929133858268</v>
      </c>
      <c r="O28" s="347"/>
      <c r="P28" s="347">
        <v>1.5335648148148149</v>
      </c>
      <c r="Q28" s="347"/>
      <c r="R28" s="347"/>
      <c r="S28" s="347"/>
      <c r="T28" s="347"/>
      <c r="U28" s="347">
        <v>1.452020202020202</v>
      </c>
      <c r="V28" s="347">
        <v>1.4221556886227544</v>
      </c>
      <c r="W28" s="347">
        <v>1.7857142857142858</v>
      </c>
      <c r="X28" s="347"/>
      <c r="Y28" s="347"/>
      <c r="Z28" s="347">
        <v>1.5862068965517242</v>
      </c>
      <c r="AA28" s="347"/>
      <c r="AB28" s="347"/>
      <c r="AC28" s="347"/>
      <c r="AD28" s="347"/>
    </row>
    <row r="29" spans="2:30" s="267" customFormat="1" x14ac:dyDescent="0.2">
      <c r="B29" s="363" t="s">
        <v>314</v>
      </c>
      <c r="C29" s="313">
        <v>1.2868124188878907</v>
      </c>
      <c r="D29" s="332">
        <f ca="1">IFERROR(AVERAGE(INDIRECT("G"&amp;ROW()&amp;":Z"&amp;ROW())),"")</f>
        <v>1.5320292869029712</v>
      </c>
      <c r="E29" s="325">
        <f ca="1">IF(C29&gt;0,IFERROR((C29-D29),""),"")</f>
        <v>-0.24521686801508058</v>
      </c>
      <c r="F29" s="268">
        <f ca="1">IFERROR(E29/D29,"")</f>
        <v>-0.16006016994021799</v>
      </c>
      <c r="G29" s="347"/>
      <c r="H29" s="347">
        <v>1.1136363636363635</v>
      </c>
      <c r="I29" s="347"/>
      <c r="J29" s="347">
        <v>1.6923076923076923</v>
      </c>
      <c r="K29" s="347"/>
      <c r="L29" s="347"/>
      <c r="M29" s="347"/>
      <c r="N29" s="347">
        <v>1.4566929133858268</v>
      </c>
      <c r="O29" s="347"/>
      <c r="P29" s="347">
        <v>1.5335648148148149</v>
      </c>
      <c r="Q29" s="347"/>
      <c r="R29" s="347"/>
      <c r="S29" s="347">
        <v>1.5416666666666667</v>
      </c>
      <c r="T29" s="347"/>
      <c r="U29" s="347">
        <v>1.452020202020202</v>
      </c>
      <c r="V29" s="347">
        <v>1.4251497005988023</v>
      </c>
      <c r="W29" s="347">
        <v>1.7857142857142858</v>
      </c>
      <c r="X29" s="347"/>
      <c r="Y29" s="347">
        <v>1.7333333333333334</v>
      </c>
      <c r="Z29" s="347">
        <v>1.5862068965517242</v>
      </c>
      <c r="AA29" s="347"/>
      <c r="AB29" s="347"/>
      <c r="AC29" s="347"/>
      <c r="AD29" s="347"/>
    </row>
    <row r="30" spans="2:30" x14ac:dyDescent="0.2">
      <c r="B30" s="361" t="s">
        <v>311</v>
      </c>
      <c r="C30" s="312"/>
      <c r="D30" s="312"/>
      <c r="E30" s="326"/>
      <c r="F30" s="269"/>
      <c r="G30" s="346"/>
      <c r="H30" s="279"/>
      <c r="I30" s="673"/>
      <c r="J30" s="673"/>
      <c r="K30" s="673"/>
      <c r="L30" s="673"/>
      <c r="M30" s="673"/>
      <c r="N30" s="673"/>
      <c r="O30" s="673"/>
      <c r="P30" s="673"/>
      <c r="Q30" s="673"/>
      <c r="R30" s="673"/>
      <c r="S30" s="673"/>
      <c r="T30" s="673"/>
      <c r="U30" s="673"/>
      <c r="V30" s="673"/>
      <c r="W30" s="673"/>
      <c r="X30" s="673"/>
      <c r="Y30" s="673"/>
      <c r="Z30" s="674"/>
    </row>
    <row r="31" spans="2:30" s="267" customFormat="1" x14ac:dyDescent="0.2">
      <c r="B31" s="363" t="s">
        <v>312</v>
      </c>
      <c r="C31" s="313">
        <v>1.2920035938903864</v>
      </c>
      <c r="D31" s="332">
        <f ca="1">IFERROR(AVERAGE(INDIRECT("G"&amp;ROW()&amp;":Z"&amp;ROW())),"")</f>
        <v>1.5612374990596145</v>
      </c>
      <c r="E31" s="325">
        <f ca="1">IF(C31&gt;0,IFERROR((C31-D31),""),"")</f>
        <v>-0.26923390516922807</v>
      </c>
      <c r="F31" s="268">
        <f ca="1">IFERROR(E31/D31,"")</f>
        <v>-0.17244903823498772</v>
      </c>
      <c r="G31" s="347"/>
      <c r="H31" s="347"/>
      <c r="I31" s="347"/>
      <c r="J31" s="347">
        <v>1.6923076923076923</v>
      </c>
      <c r="K31" s="347"/>
      <c r="L31" s="347"/>
      <c r="M31" s="347"/>
      <c r="N31" s="347">
        <v>1.4566929133858268</v>
      </c>
      <c r="O31" s="347"/>
      <c r="P31" s="347">
        <v>1.5335648148148149</v>
      </c>
      <c r="Q31" s="347"/>
      <c r="R31" s="347"/>
      <c r="S31" s="347"/>
      <c r="T31" s="347"/>
      <c r="U31" s="347">
        <v>1.452020202020202</v>
      </c>
      <c r="V31" s="347">
        <v>1.4221556886227544</v>
      </c>
      <c r="W31" s="347">
        <v>1.7857142857142858</v>
      </c>
      <c r="X31" s="347"/>
      <c r="Y31" s="347"/>
      <c r="Z31" s="347">
        <v>1.5862068965517242</v>
      </c>
      <c r="AA31" s="347"/>
      <c r="AB31" s="347"/>
      <c r="AC31" s="347"/>
      <c r="AD31" s="347"/>
    </row>
    <row r="32" spans="2:30" s="267" customFormat="1" x14ac:dyDescent="0.2">
      <c r="B32" s="363" t="s">
        <v>313</v>
      </c>
      <c r="C32" s="313">
        <v>1.2900569032644504</v>
      </c>
      <c r="D32" s="332">
        <f ca="1">IFERROR(AVERAGE(INDIRECT("G"&amp;ROW()&amp;":Z"&amp;ROW())),"")</f>
        <v>1.5052873571317082</v>
      </c>
      <c r="E32" s="325">
        <f ca="1">IF(C32&gt;0,IFERROR((C32-D32),""),"")</f>
        <v>-0.21523045386725781</v>
      </c>
      <c r="F32" s="268">
        <f ca="1">IFERROR(E32/D32,"")</f>
        <v>-0.14298296790147411</v>
      </c>
      <c r="G32" s="347"/>
      <c r="H32" s="347">
        <v>1.1136363636363635</v>
      </c>
      <c r="I32" s="347"/>
      <c r="J32" s="347">
        <v>1.6923076923076923</v>
      </c>
      <c r="K32" s="347"/>
      <c r="L32" s="347"/>
      <c r="M32" s="347"/>
      <c r="N32" s="347">
        <v>1.4566929133858268</v>
      </c>
      <c r="O32" s="347"/>
      <c r="P32" s="347">
        <v>1.5335648148148149</v>
      </c>
      <c r="Q32" s="347"/>
      <c r="R32" s="347"/>
      <c r="S32" s="347"/>
      <c r="T32" s="347"/>
      <c r="U32" s="347">
        <v>1.452020202020202</v>
      </c>
      <c r="V32" s="347">
        <v>1.4221556886227544</v>
      </c>
      <c r="W32" s="347">
        <v>1.7857142857142858</v>
      </c>
      <c r="X32" s="347"/>
      <c r="Y32" s="347"/>
      <c r="Z32" s="347">
        <v>1.5862068965517242</v>
      </c>
      <c r="AA32" s="347"/>
      <c r="AB32" s="347"/>
      <c r="AC32" s="347"/>
      <c r="AD32" s="347"/>
    </row>
    <row r="33" spans="2:30" s="267" customFormat="1" x14ac:dyDescent="0.2">
      <c r="B33" s="363" t="s">
        <v>314</v>
      </c>
      <c r="C33" s="313">
        <v>1.2868124188878907</v>
      </c>
      <c r="D33" s="332">
        <f ca="1">IFERROR(AVERAGE(INDIRECT("G"&amp;ROW()&amp;":Z"&amp;ROW())),"")</f>
        <v>1.5320292869029712</v>
      </c>
      <c r="E33" s="325">
        <f ca="1">IF(C33&gt;0,IFERROR((C33-D33),""),"")</f>
        <v>-0.24521686801508058</v>
      </c>
      <c r="F33" s="268">
        <f ca="1">IFERROR(E33/D33,"")</f>
        <v>-0.16006016994021799</v>
      </c>
      <c r="G33" s="347"/>
      <c r="H33" s="347">
        <v>1.1136363636363635</v>
      </c>
      <c r="I33" s="347"/>
      <c r="J33" s="347">
        <v>1.6923076923076923</v>
      </c>
      <c r="K33" s="347"/>
      <c r="L33" s="347"/>
      <c r="M33" s="347"/>
      <c r="N33" s="347">
        <v>1.4566929133858268</v>
      </c>
      <c r="O33" s="347"/>
      <c r="P33" s="347">
        <v>1.5335648148148149</v>
      </c>
      <c r="Q33" s="347"/>
      <c r="R33" s="347"/>
      <c r="S33" s="347">
        <v>1.5416666666666667</v>
      </c>
      <c r="T33" s="347"/>
      <c r="U33" s="347">
        <v>1.452020202020202</v>
      </c>
      <c r="V33" s="347">
        <v>1.4251497005988023</v>
      </c>
      <c r="W33" s="347">
        <v>1.7857142857142858</v>
      </c>
      <c r="X33" s="347"/>
      <c r="Y33" s="347">
        <v>1.7333333333333334</v>
      </c>
      <c r="Z33" s="347">
        <v>1.5862068965517242</v>
      </c>
      <c r="AA33" s="347"/>
      <c r="AB33" s="347"/>
      <c r="AC33" s="347"/>
      <c r="AD33" s="347"/>
    </row>
    <row r="34" spans="2:30" x14ac:dyDescent="0.2">
      <c r="B34" s="364" t="s">
        <v>316</v>
      </c>
      <c r="C34" s="314"/>
      <c r="D34" s="314"/>
      <c r="E34" s="295"/>
      <c r="F34" s="270"/>
      <c r="G34" s="348"/>
      <c r="H34" s="280"/>
      <c r="I34" s="675"/>
      <c r="J34" s="675"/>
      <c r="K34" s="675"/>
      <c r="L34" s="675"/>
      <c r="M34" s="675"/>
      <c r="N34" s="675"/>
      <c r="O34" s="675"/>
      <c r="P34" s="675"/>
      <c r="Q34" s="675"/>
      <c r="R34" s="675"/>
      <c r="S34" s="675"/>
      <c r="T34" s="675"/>
      <c r="U34" s="675"/>
      <c r="V34" s="675"/>
      <c r="W34" s="675"/>
      <c r="X34" s="675"/>
      <c r="Y34" s="675"/>
      <c r="Z34" s="676"/>
    </row>
    <row r="35" spans="2:30" s="110" customFormat="1" x14ac:dyDescent="0.2">
      <c r="B35" s="362" t="s">
        <v>312</v>
      </c>
      <c r="C35" s="311"/>
      <c r="D35" s="331" t="str">
        <f ca="1">IFERROR(AVERAGE(INDIRECT("G"&amp;ROW()&amp;":Z"&amp;ROW())),"")</f>
        <v/>
      </c>
      <c r="E35" s="324" t="str">
        <f>IF(C35&gt;0,IFERROR((C35-D35),""),"")</f>
        <v/>
      </c>
      <c r="F35" s="268" t="str">
        <f ca="1">IFERROR(E35/D35,"")</f>
        <v/>
      </c>
      <c r="G35" s="345"/>
      <c r="H35" s="345"/>
      <c r="I35" s="345"/>
      <c r="J35" s="345"/>
      <c r="K35" s="345"/>
      <c r="L35" s="345"/>
      <c r="M35" s="345"/>
      <c r="N35" s="345"/>
      <c r="O35" s="345"/>
      <c r="P35" s="345"/>
      <c r="Q35" s="345"/>
      <c r="R35" s="345"/>
      <c r="S35" s="345"/>
      <c r="T35" s="345"/>
      <c r="U35" s="345"/>
      <c r="V35" s="345"/>
      <c r="W35" s="345"/>
      <c r="X35" s="345"/>
      <c r="Y35" s="345"/>
      <c r="Z35" s="345"/>
      <c r="AA35" s="345"/>
      <c r="AB35" s="345"/>
      <c r="AC35" s="345"/>
      <c r="AD35" s="345"/>
    </row>
    <row r="36" spans="2:30" s="110" customFormat="1" x14ac:dyDescent="0.2">
      <c r="B36" s="362" t="s">
        <v>313</v>
      </c>
      <c r="C36" s="311"/>
      <c r="D36" s="331" t="str">
        <f ca="1">IFERROR(AVERAGE(INDIRECT("G"&amp;ROW()&amp;":Z"&amp;ROW())),"")</f>
        <v/>
      </c>
      <c r="E36" s="324" t="str">
        <f>IF(C36&gt;0,IFERROR((C36-D36),""),"")</f>
        <v/>
      </c>
      <c r="F36" s="268" t="str">
        <f ca="1">IFERROR(E36/D36,"")</f>
        <v/>
      </c>
      <c r="G36" s="345"/>
      <c r="H36" s="345"/>
      <c r="I36" s="345"/>
      <c r="J36" s="345"/>
      <c r="K36" s="345"/>
      <c r="L36" s="345"/>
      <c r="M36" s="345"/>
      <c r="N36" s="345"/>
      <c r="O36" s="345"/>
      <c r="P36" s="345"/>
      <c r="Q36" s="345"/>
      <c r="R36" s="345"/>
      <c r="S36" s="345"/>
      <c r="T36" s="345"/>
      <c r="U36" s="345"/>
      <c r="V36" s="345"/>
      <c r="W36" s="345"/>
      <c r="X36" s="345"/>
      <c r="Y36" s="345"/>
      <c r="Z36" s="345"/>
      <c r="AA36" s="345"/>
      <c r="AB36" s="345"/>
      <c r="AC36" s="345"/>
      <c r="AD36" s="345"/>
    </row>
    <row r="37" spans="2:30" s="110" customFormat="1" x14ac:dyDescent="0.2">
      <c r="B37" s="362" t="s">
        <v>314</v>
      </c>
      <c r="C37" s="311"/>
      <c r="D37" s="331" t="str">
        <f ca="1">IFERROR(AVERAGE(INDIRECT("G"&amp;ROW()&amp;":Z"&amp;ROW())),"")</f>
        <v/>
      </c>
      <c r="E37" s="324" t="str">
        <f>IF(C37&gt;0,IFERROR((C37-D37),""),"")</f>
        <v/>
      </c>
      <c r="F37" s="268" t="str">
        <f ca="1">IFERROR(E37/D37,"")</f>
        <v/>
      </c>
      <c r="G37" s="345"/>
      <c r="H37" s="345"/>
      <c r="I37" s="345"/>
      <c r="J37" s="345"/>
      <c r="K37" s="345"/>
      <c r="L37" s="345"/>
      <c r="M37" s="345"/>
      <c r="N37" s="345"/>
      <c r="O37" s="345"/>
      <c r="P37" s="345"/>
      <c r="Q37" s="345"/>
      <c r="R37" s="345"/>
      <c r="S37" s="345"/>
      <c r="T37" s="345"/>
      <c r="U37" s="345"/>
      <c r="V37" s="345"/>
      <c r="W37" s="345"/>
      <c r="X37" s="345"/>
      <c r="Y37" s="345"/>
      <c r="Z37" s="345"/>
      <c r="AA37" s="345"/>
      <c r="AB37" s="345"/>
      <c r="AC37" s="345"/>
      <c r="AD37" s="345"/>
    </row>
    <row r="38" spans="2:30" x14ac:dyDescent="0.2">
      <c r="B38" s="364" t="s">
        <v>317</v>
      </c>
      <c r="C38" s="314"/>
      <c r="D38" s="314"/>
      <c r="E38" s="295"/>
      <c r="F38" s="270"/>
      <c r="G38" s="348"/>
      <c r="H38" s="280"/>
      <c r="I38" s="675"/>
      <c r="J38" s="675"/>
      <c r="K38" s="675"/>
      <c r="L38" s="675"/>
      <c r="M38" s="675"/>
      <c r="N38" s="675"/>
      <c r="O38" s="675"/>
      <c r="P38" s="675"/>
      <c r="Q38" s="675"/>
      <c r="R38" s="675"/>
      <c r="S38" s="675"/>
      <c r="T38" s="675"/>
      <c r="U38" s="675"/>
      <c r="V38" s="675"/>
      <c r="W38" s="675"/>
      <c r="X38" s="675"/>
      <c r="Y38" s="675"/>
      <c r="Z38" s="676"/>
    </row>
    <row r="39" spans="2:30" s="110" customFormat="1" x14ac:dyDescent="0.2">
      <c r="B39" s="362" t="s">
        <v>312</v>
      </c>
      <c r="C39" s="311"/>
      <c r="D39" s="331" t="str">
        <f ca="1">IFERROR(AVERAGE(INDIRECT("G"&amp;ROW()&amp;":Z"&amp;ROW())),"")</f>
        <v/>
      </c>
      <c r="E39" s="324" t="str">
        <f>IF(C39&gt;0,IFERROR((C39-D39),""),"")</f>
        <v/>
      </c>
      <c r="F39" s="268" t="str">
        <f ca="1">IFERROR(E39/D39,"")</f>
        <v/>
      </c>
      <c r="G39" s="345"/>
      <c r="H39" s="345"/>
      <c r="I39" s="345"/>
      <c r="J39" s="345"/>
      <c r="K39" s="345"/>
      <c r="L39" s="345"/>
      <c r="M39" s="345"/>
      <c r="N39" s="345"/>
      <c r="O39" s="345"/>
      <c r="P39" s="345"/>
      <c r="Q39" s="345"/>
      <c r="R39" s="345"/>
      <c r="S39" s="345"/>
      <c r="T39" s="345"/>
      <c r="U39" s="345"/>
      <c r="V39" s="345"/>
      <c r="W39" s="345"/>
      <c r="X39" s="345"/>
      <c r="Y39" s="345"/>
      <c r="Z39" s="345"/>
      <c r="AA39" s="345"/>
      <c r="AB39" s="345"/>
      <c r="AC39" s="345"/>
      <c r="AD39" s="345"/>
    </row>
    <row r="40" spans="2:30" s="110" customFormat="1" x14ac:dyDescent="0.2">
      <c r="B40" s="362" t="s">
        <v>313</v>
      </c>
      <c r="C40" s="311"/>
      <c r="D40" s="331" t="str">
        <f ca="1">IFERROR(AVERAGE(INDIRECT("G"&amp;ROW()&amp;":Z"&amp;ROW())),"")</f>
        <v/>
      </c>
      <c r="E40" s="324" t="str">
        <f>IF(C40&gt;0,IFERROR((C40-D40),""),"")</f>
        <v/>
      </c>
      <c r="F40" s="268" t="str">
        <f ca="1">IFERROR(E40/D40,"")</f>
        <v/>
      </c>
      <c r="G40" s="345"/>
      <c r="H40" s="345"/>
      <c r="I40" s="345"/>
      <c r="J40" s="345"/>
      <c r="K40" s="345"/>
      <c r="L40" s="345"/>
      <c r="M40" s="345"/>
      <c r="N40" s="345"/>
      <c r="O40" s="345"/>
      <c r="P40" s="345"/>
      <c r="Q40" s="345"/>
      <c r="R40" s="345"/>
      <c r="S40" s="345"/>
      <c r="T40" s="345"/>
      <c r="U40" s="345"/>
      <c r="V40" s="345"/>
      <c r="W40" s="345"/>
      <c r="X40" s="345"/>
      <c r="Y40" s="345"/>
      <c r="Z40" s="345"/>
      <c r="AA40" s="345"/>
      <c r="AB40" s="345"/>
      <c r="AC40" s="345"/>
      <c r="AD40" s="345"/>
    </row>
    <row r="41" spans="2:30" s="110" customFormat="1" x14ac:dyDescent="0.2">
      <c r="B41" s="362" t="s">
        <v>314</v>
      </c>
      <c r="C41" s="311"/>
      <c r="D41" s="331" t="str">
        <f ca="1">IFERROR(AVERAGE(INDIRECT("G"&amp;ROW()&amp;":Z"&amp;ROW())),"")</f>
        <v/>
      </c>
      <c r="E41" s="324" t="str">
        <f>IF(C41&gt;0,IFERROR((C41-D41),""),"")</f>
        <v/>
      </c>
      <c r="F41" s="268" t="str">
        <f ca="1">IFERROR(E41/D41,"")</f>
        <v/>
      </c>
      <c r="G41" s="345"/>
      <c r="H41" s="345"/>
      <c r="I41" s="345"/>
      <c r="J41" s="345"/>
      <c r="K41" s="345"/>
      <c r="L41" s="345"/>
      <c r="M41" s="345"/>
      <c r="N41" s="345"/>
      <c r="O41" s="345"/>
      <c r="P41" s="345"/>
      <c r="Q41" s="345"/>
      <c r="R41" s="345"/>
      <c r="S41" s="345"/>
      <c r="T41" s="345"/>
      <c r="U41" s="345"/>
      <c r="V41" s="345"/>
      <c r="W41" s="345"/>
      <c r="X41" s="345"/>
      <c r="Y41" s="345"/>
      <c r="Z41" s="345"/>
      <c r="AA41" s="345"/>
      <c r="AB41" s="345"/>
      <c r="AC41" s="345"/>
      <c r="AD41" s="345"/>
    </row>
    <row r="42" spans="2:30" s="110" customFormat="1" x14ac:dyDescent="0.2">
      <c r="B42" s="364" t="s">
        <v>347</v>
      </c>
      <c r="C42" s="314"/>
      <c r="D42" s="314"/>
      <c r="E42" s="295"/>
      <c r="F42" s="270"/>
      <c r="G42" s="348"/>
      <c r="H42" s="280"/>
      <c r="I42" s="675"/>
      <c r="J42" s="675"/>
      <c r="K42" s="675"/>
      <c r="L42" s="675"/>
      <c r="M42" s="675"/>
      <c r="N42" s="675"/>
      <c r="O42" s="675"/>
      <c r="P42" s="675"/>
      <c r="Q42" s="675"/>
      <c r="R42" s="675"/>
      <c r="S42" s="675"/>
      <c r="T42" s="675"/>
      <c r="U42" s="675"/>
      <c r="V42" s="675"/>
      <c r="W42" s="675"/>
      <c r="X42" s="675"/>
      <c r="Y42" s="675"/>
      <c r="Z42" s="676"/>
    </row>
    <row r="43" spans="2:30" s="267" customFormat="1" x14ac:dyDescent="0.2">
      <c r="B43" s="363" t="s">
        <v>312</v>
      </c>
      <c r="C43" s="313"/>
      <c r="D43" s="332" t="str">
        <f ca="1">IFERROR(AVERAGE(INDIRECT("G"&amp;ROW()&amp;":Z"&amp;ROW())),"")</f>
        <v/>
      </c>
      <c r="E43" s="325" t="str">
        <f>IF(C43&gt;0,IFERROR((C43-D43),""),"")</f>
        <v/>
      </c>
      <c r="F43" s="268" t="str">
        <f ca="1">IFERROR(E43/D43,"")</f>
        <v/>
      </c>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row>
    <row r="44" spans="2:30" s="267" customFormat="1" x14ac:dyDescent="0.2">
      <c r="B44" s="363" t="s">
        <v>313</v>
      </c>
      <c r="C44" s="313"/>
      <c r="D44" s="332" t="str">
        <f ca="1">IFERROR(AVERAGE(INDIRECT("G"&amp;ROW()&amp;":Z"&amp;ROW())),"")</f>
        <v/>
      </c>
      <c r="E44" s="325" t="str">
        <f>IF(C44&gt;0,IFERROR((C44-D44),""),"")</f>
        <v/>
      </c>
      <c r="F44" s="268" t="str">
        <f ca="1">IFERROR(E44/D44,"")</f>
        <v/>
      </c>
      <c r="G44" s="347"/>
      <c r="H44" s="347"/>
      <c r="I44" s="347"/>
      <c r="J44" s="347"/>
      <c r="K44" s="347"/>
      <c r="L44" s="347"/>
      <c r="M44" s="347"/>
      <c r="N44" s="347"/>
      <c r="O44" s="347"/>
      <c r="P44" s="347"/>
      <c r="Q44" s="347"/>
      <c r="R44" s="347"/>
      <c r="S44" s="347"/>
      <c r="T44" s="347"/>
      <c r="U44" s="347"/>
      <c r="V44" s="347"/>
      <c r="W44" s="347"/>
      <c r="X44" s="347"/>
      <c r="Y44" s="347"/>
      <c r="Z44" s="347"/>
      <c r="AA44" s="347"/>
      <c r="AB44" s="347"/>
      <c r="AC44" s="347"/>
      <c r="AD44" s="347"/>
    </row>
    <row r="45" spans="2:30" s="267" customFormat="1" x14ac:dyDescent="0.2">
      <c r="B45" s="363" t="s">
        <v>314</v>
      </c>
      <c r="C45" s="313"/>
      <c r="D45" s="332" t="str">
        <f ca="1">IFERROR(AVERAGE(INDIRECT("G"&amp;ROW()&amp;":Z"&amp;ROW())),"")</f>
        <v/>
      </c>
      <c r="E45" s="325" t="str">
        <f>IF(C45&gt;0,IFERROR((C45-D45),""),"")</f>
        <v/>
      </c>
      <c r="F45" s="268" t="str">
        <f ca="1">IFERROR(E45/D45,"")</f>
        <v/>
      </c>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row>
    <row r="46" spans="2:30" s="110" customFormat="1" x14ac:dyDescent="0.2">
      <c r="B46" s="364" t="s">
        <v>348</v>
      </c>
      <c r="C46" s="314"/>
      <c r="D46" s="314"/>
      <c r="E46" s="295"/>
      <c r="F46" s="270"/>
      <c r="G46" s="348"/>
      <c r="H46" s="280"/>
      <c r="I46" s="675"/>
      <c r="J46" s="675"/>
      <c r="K46" s="675"/>
      <c r="L46" s="675"/>
      <c r="M46" s="675"/>
      <c r="N46" s="675"/>
      <c r="O46" s="675"/>
      <c r="P46" s="675"/>
      <c r="Q46" s="675"/>
      <c r="R46" s="675"/>
      <c r="S46" s="675"/>
      <c r="T46" s="675"/>
      <c r="U46" s="675"/>
      <c r="V46" s="675"/>
      <c r="W46" s="675"/>
      <c r="X46" s="675"/>
      <c r="Y46" s="675"/>
      <c r="Z46" s="676"/>
    </row>
    <row r="47" spans="2:30" s="267" customFormat="1" x14ac:dyDescent="0.2">
      <c r="B47" s="363" t="s">
        <v>312</v>
      </c>
      <c r="C47" s="313"/>
      <c r="D47" s="332" t="str">
        <f ca="1">IFERROR(AVERAGE(INDIRECT("G"&amp;ROW()&amp;":Z"&amp;ROW())),"")</f>
        <v/>
      </c>
      <c r="E47" s="325" t="str">
        <f>IF(C47&gt;0,IFERROR((C47-D47),""),"")</f>
        <v/>
      </c>
      <c r="F47" s="268" t="str">
        <f ca="1">IFERROR(E47/D47,"")</f>
        <v/>
      </c>
      <c r="G47" s="347"/>
      <c r="H47" s="347"/>
      <c r="I47" s="347"/>
      <c r="J47" s="347"/>
      <c r="K47" s="347"/>
      <c r="L47" s="347"/>
      <c r="M47" s="347"/>
      <c r="N47" s="347"/>
      <c r="O47" s="347"/>
      <c r="P47" s="347"/>
      <c r="Q47" s="347"/>
      <c r="R47" s="347"/>
      <c r="S47" s="347"/>
      <c r="T47" s="347"/>
      <c r="U47" s="347"/>
      <c r="V47" s="347"/>
      <c r="W47" s="347"/>
      <c r="X47" s="347"/>
      <c r="Y47" s="347"/>
      <c r="Z47" s="347"/>
      <c r="AA47" s="347"/>
      <c r="AB47" s="347"/>
      <c r="AC47" s="347"/>
      <c r="AD47" s="347"/>
    </row>
    <row r="48" spans="2:30" s="267" customFormat="1" x14ac:dyDescent="0.2">
      <c r="B48" s="363" t="s">
        <v>313</v>
      </c>
      <c r="C48" s="313"/>
      <c r="D48" s="332" t="str">
        <f ca="1">IFERROR(AVERAGE(INDIRECT("G"&amp;ROW()&amp;":Z"&amp;ROW())),"")</f>
        <v/>
      </c>
      <c r="E48" s="325" t="str">
        <f>IF(C48&gt;0,IFERROR((C48-D48),""),"")</f>
        <v/>
      </c>
      <c r="F48" s="268" t="str">
        <f ca="1">IFERROR(E48/D48,"")</f>
        <v/>
      </c>
      <c r="G48" s="347"/>
      <c r="H48" s="347"/>
      <c r="I48" s="347"/>
      <c r="J48" s="347"/>
      <c r="K48" s="347"/>
      <c r="L48" s="347"/>
      <c r="M48" s="347"/>
      <c r="N48" s="347"/>
      <c r="O48" s="347"/>
      <c r="P48" s="347"/>
      <c r="Q48" s="347"/>
      <c r="R48" s="347"/>
      <c r="S48" s="347"/>
      <c r="T48" s="347"/>
      <c r="U48" s="347"/>
      <c r="V48" s="347"/>
      <c r="W48" s="347"/>
      <c r="X48" s="347"/>
      <c r="Y48" s="347"/>
      <c r="Z48" s="347"/>
      <c r="AA48" s="347"/>
      <c r="AB48" s="347"/>
      <c r="AC48" s="347"/>
      <c r="AD48" s="347"/>
    </row>
    <row r="49" spans="2:30" s="267" customFormat="1" x14ac:dyDescent="0.2">
      <c r="B49" s="363" t="s">
        <v>314</v>
      </c>
      <c r="C49" s="313"/>
      <c r="D49" s="332" t="str">
        <f ca="1">IFERROR(AVERAGE(INDIRECT("G"&amp;ROW()&amp;":Z"&amp;ROW())),"")</f>
        <v/>
      </c>
      <c r="E49" s="325" t="str">
        <f>IF(C49&gt;0,IFERROR((C49-D49),""),"")</f>
        <v/>
      </c>
      <c r="F49" s="268" t="str">
        <f ca="1">IFERROR(E49/D49,"")</f>
        <v/>
      </c>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row>
    <row r="50" spans="2:30" x14ac:dyDescent="0.2">
      <c r="B50" s="365" t="s">
        <v>318</v>
      </c>
      <c r="C50" s="315"/>
      <c r="D50" s="315"/>
      <c r="E50" s="296"/>
      <c r="F50" s="271"/>
      <c r="G50" s="349"/>
      <c r="H50" s="281"/>
      <c r="I50" s="677"/>
      <c r="J50" s="677"/>
      <c r="K50" s="677"/>
      <c r="L50" s="677"/>
      <c r="M50" s="677"/>
      <c r="N50" s="677"/>
      <c r="O50" s="677"/>
      <c r="P50" s="677"/>
      <c r="Q50" s="677"/>
      <c r="R50" s="677"/>
      <c r="S50" s="677"/>
      <c r="T50" s="677"/>
      <c r="U50" s="677"/>
      <c r="V50" s="677"/>
      <c r="W50" s="677"/>
      <c r="X50" s="677"/>
      <c r="Y50" s="677"/>
      <c r="Z50" s="678"/>
    </row>
    <row r="51" spans="2:30" s="110" customFormat="1" x14ac:dyDescent="0.2">
      <c r="B51" s="362" t="s">
        <v>312</v>
      </c>
      <c r="C51" s="311"/>
      <c r="D51" s="331">
        <f ca="1">IFERROR(AVERAGE(INDIRECT("G"&amp;ROW()&amp;":Z"&amp;ROW())),"")</f>
        <v>1029.1666666666665</v>
      </c>
      <c r="E51" s="324" t="str">
        <f>IF(C51&gt;0,IFERROR((C51-D51),""),"")</f>
        <v/>
      </c>
      <c r="F51" s="268" t="str">
        <f ca="1">IFERROR(E51/D51,"")</f>
        <v/>
      </c>
      <c r="G51" s="345"/>
      <c r="H51" s="345"/>
      <c r="I51" s="345"/>
      <c r="J51" s="345">
        <v>1025</v>
      </c>
      <c r="K51" s="345">
        <v>1033.3333333333333</v>
      </c>
      <c r="L51" s="345"/>
      <c r="M51" s="345"/>
      <c r="N51" s="345"/>
      <c r="O51" s="345"/>
      <c r="P51" s="345"/>
      <c r="Q51" s="345"/>
      <c r="R51" s="345"/>
      <c r="S51" s="345"/>
      <c r="T51" s="345"/>
      <c r="U51" s="345"/>
      <c r="V51" s="345"/>
      <c r="W51" s="345"/>
      <c r="X51" s="345"/>
      <c r="Y51" s="345"/>
      <c r="Z51" s="345"/>
      <c r="AA51" s="345"/>
      <c r="AB51" s="345"/>
      <c r="AC51" s="345"/>
      <c r="AD51" s="345"/>
    </row>
    <row r="52" spans="2:30" s="110" customFormat="1" x14ac:dyDescent="0.2">
      <c r="B52" s="362" t="s">
        <v>313</v>
      </c>
      <c r="C52" s="311"/>
      <c r="D52" s="331">
        <f ca="1">IFERROR(AVERAGE(INDIRECT("G"&amp;ROW()&amp;":Z"&amp;ROW())),"")</f>
        <v>1050</v>
      </c>
      <c r="E52" s="324" t="str">
        <f>IF(C52&gt;0,IFERROR((C52-D52),""),"")</f>
        <v/>
      </c>
      <c r="F52" s="268" t="str">
        <f ca="1">IFERROR(E52/D52,"")</f>
        <v/>
      </c>
      <c r="G52" s="345"/>
      <c r="H52" s="345"/>
      <c r="I52" s="345"/>
      <c r="J52" s="345">
        <v>1040</v>
      </c>
      <c r="K52" s="345">
        <v>1060</v>
      </c>
      <c r="L52" s="345"/>
      <c r="M52" s="345"/>
      <c r="N52" s="345"/>
      <c r="O52" s="345"/>
      <c r="P52" s="345"/>
      <c r="Q52" s="345"/>
      <c r="R52" s="345"/>
      <c r="S52" s="345"/>
      <c r="T52" s="345"/>
      <c r="U52" s="345"/>
      <c r="V52" s="345"/>
      <c r="W52" s="345"/>
      <c r="X52" s="345"/>
      <c r="Y52" s="345"/>
      <c r="Z52" s="345"/>
      <c r="AA52" s="345"/>
      <c r="AB52" s="345"/>
      <c r="AC52" s="345"/>
      <c r="AD52" s="345"/>
    </row>
    <row r="53" spans="2:30" s="110" customFormat="1" x14ac:dyDescent="0.2">
      <c r="B53" s="362" t="s">
        <v>314</v>
      </c>
      <c r="C53" s="311"/>
      <c r="D53" s="331">
        <f ca="1">IFERROR(AVERAGE(INDIRECT("G"&amp;ROW()&amp;":Z"&amp;ROW())),"")</f>
        <v>1050</v>
      </c>
      <c r="E53" s="324" t="str">
        <f>IF(C53&gt;0,IFERROR((C53-D53),""),"")</f>
        <v/>
      </c>
      <c r="F53" s="268" t="str">
        <f ca="1">IFERROR(E53/D53,"")</f>
        <v/>
      </c>
      <c r="G53" s="345"/>
      <c r="H53" s="345"/>
      <c r="I53" s="345"/>
      <c r="J53" s="345">
        <v>1040</v>
      </c>
      <c r="K53" s="345">
        <v>1060</v>
      </c>
      <c r="L53" s="345"/>
      <c r="M53" s="345"/>
      <c r="N53" s="345"/>
      <c r="O53" s="345"/>
      <c r="P53" s="345"/>
      <c r="Q53" s="345"/>
      <c r="R53" s="345"/>
      <c r="S53" s="345"/>
      <c r="T53" s="345"/>
      <c r="U53" s="345"/>
      <c r="V53" s="345"/>
      <c r="W53" s="345"/>
      <c r="X53" s="345"/>
      <c r="Y53" s="345"/>
      <c r="Z53" s="345"/>
      <c r="AA53" s="345"/>
      <c r="AB53" s="345"/>
      <c r="AC53" s="345"/>
      <c r="AD53" s="345"/>
    </row>
    <row r="54" spans="2:30" x14ac:dyDescent="0.2">
      <c r="B54" s="365" t="s">
        <v>319</v>
      </c>
      <c r="C54" s="316"/>
      <c r="D54" s="316"/>
      <c r="E54" s="297"/>
      <c r="F54" s="272"/>
      <c r="G54" s="350"/>
      <c r="H54" s="282"/>
      <c r="I54" s="679"/>
      <c r="J54" s="679"/>
      <c r="K54" s="679"/>
      <c r="L54" s="679"/>
      <c r="M54" s="679"/>
      <c r="N54" s="679"/>
      <c r="O54" s="679"/>
      <c r="P54" s="679"/>
      <c r="Q54" s="679"/>
      <c r="R54" s="679"/>
      <c r="S54" s="679"/>
      <c r="T54" s="679"/>
      <c r="U54" s="679"/>
      <c r="V54" s="679"/>
      <c r="W54" s="679"/>
      <c r="X54" s="679"/>
      <c r="Y54" s="679"/>
      <c r="Z54" s="680"/>
    </row>
    <row r="55" spans="2:30" s="110" customFormat="1" x14ac:dyDescent="0.2">
      <c r="B55" s="362" t="s">
        <v>312</v>
      </c>
      <c r="C55" s="311"/>
      <c r="D55" s="331">
        <f ca="1">IFERROR(AVERAGE(INDIRECT("G"&amp;ROW()&amp;":Z"&amp;ROW())),"")</f>
        <v>1029.1666666666665</v>
      </c>
      <c r="E55" s="324" t="str">
        <f>IF(C55&gt;0,IFERROR((C55-D55),""),"")</f>
        <v/>
      </c>
      <c r="F55" s="268" t="str">
        <f ca="1">IFERROR(E55/D55,"")</f>
        <v/>
      </c>
      <c r="G55" s="345"/>
      <c r="H55" s="345"/>
      <c r="I55" s="345"/>
      <c r="J55" s="345">
        <v>1025</v>
      </c>
      <c r="K55" s="345">
        <v>1033.3333333333333</v>
      </c>
      <c r="L55" s="345"/>
      <c r="M55" s="345"/>
      <c r="N55" s="345"/>
      <c r="O55" s="345"/>
      <c r="P55" s="345"/>
      <c r="Q55" s="345"/>
      <c r="R55" s="345"/>
      <c r="S55" s="345"/>
      <c r="T55" s="345"/>
      <c r="U55" s="345"/>
      <c r="V55" s="345"/>
      <c r="W55" s="345"/>
      <c r="X55" s="345"/>
      <c r="Y55" s="345"/>
      <c r="Z55" s="345"/>
      <c r="AA55" s="345"/>
      <c r="AB55" s="345"/>
      <c r="AC55" s="345"/>
      <c r="AD55" s="345"/>
    </row>
    <row r="56" spans="2:30" s="110" customFormat="1" x14ac:dyDescent="0.2">
      <c r="B56" s="362" t="s">
        <v>313</v>
      </c>
      <c r="C56" s="311"/>
      <c r="D56" s="331">
        <f ca="1">IFERROR(AVERAGE(INDIRECT("G"&amp;ROW()&amp;":Z"&amp;ROW())),"")</f>
        <v>1050</v>
      </c>
      <c r="E56" s="324" t="str">
        <f>IF(C56&gt;0,IFERROR((C56-D56),""),"")</f>
        <v/>
      </c>
      <c r="F56" s="268" t="str">
        <f ca="1">IFERROR(E56/D56,"")</f>
        <v/>
      </c>
      <c r="G56" s="345"/>
      <c r="H56" s="345"/>
      <c r="I56" s="345"/>
      <c r="J56" s="345">
        <v>1040</v>
      </c>
      <c r="K56" s="345">
        <v>1060</v>
      </c>
      <c r="L56" s="345"/>
      <c r="M56" s="345"/>
      <c r="N56" s="345"/>
      <c r="O56" s="345"/>
      <c r="P56" s="345"/>
      <c r="Q56" s="345"/>
      <c r="R56" s="345"/>
      <c r="S56" s="345"/>
      <c r="T56" s="345"/>
      <c r="U56" s="345"/>
      <c r="V56" s="345"/>
      <c r="W56" s="345"/>
      <c r="X56" s="345"/>
      <c r="Y56" s="345"/>
      <c r="Z56" s="345"/>
      <c r="AA56" s="345"/>
      <c r="AB56" s="345"/>
      <c r="AC56" s="345"/>
      <c r="AD56" s="345"/>
    </row>
    <row r="57" spans="2:30" s="110" customFormat="1" x14ac:dyDescent="0.2">
      <c r="B57" s="362" t="s">
        <v>314</v>
      </c>
      <c r="C57" s="311"/>
      <c r="D57" s="331">
        <f ca="1">IFERROR(AVERAGE(INDIRECT("G"&amp;ROW()&amp;":Z"&amp;ROW())),"")</f>
        <v>1050</v>
      </c>
      <c r="E57" s="324" t="str">
        <f>IF(C57&gt;0,IFERROR((C57-D57),""),"")</f>
        <v/>
      </c>
      <c r="F57" s="268" t="str">
        <f ca="1">IFERROR(E57/D57,"")</f>
        <v/>
      </c>
      <c r="G57" s="345"/>
      <c r="H57" s="345"/>
      <c r="I57" s="345"/>
      <c r="J57" s="345">
        <v>1040</v>
      </c>
      <c r="K57" s="345">
        <v>1060</v>
      </c>
      <c r="L57" s="345"/>
      <c r="M57" s="345"/>
      <c r="N57" s="345"/>
      <c r="O57" s="345"/>
      <c r="P57" s="345"/>
      <c r="Q57" s="345"/>
      <c r="R57" s="345"/>
      <c r="S57" s="345"/>
      <c r="T57" s="345"/>
      <c r="U57" s="345"/>
      <c r="V57" s="345"/>
      <c r="W57" s="345"/>
      <c r="X57" s="345"/>
      <c r="Y57" s="345"/>
      <c r="Z57" s="345"/>
      <c r="AA57" s="345"/>
      <c r="AB57" s="345"/>
      <c r="AC57" s="345"/>
      <c r="AD57" s="345"/>
    </row>
    <row r="58" spans="2:30" s="110" customFormat="1" x14ac:dyDescent="0.2">
      <c r="B58" s="365" t="s">
        <v>349</v>
      </c>
      <c r="C58" s="315"/>
      <c r="D58" s="315"/>
      <c r="E58" s="296"/>
      <c r="F58" s="271"/>
      <c r="G58" s="349"/>
      <c r="H58" s="281"/>
      <c r="I58" s="677"/>
      <c r="J58" s="677"/>
      <c r="K58" s="677"/>
      <c r="L58" s="677"/>
      <c r="M58" s="677"/>
      <c r="N58" s="677"/>
      <c r="O58" s="677"/>
      <c r="P58" s="677"/>
      <c r="Q58" s="677"/>
      <c r="R58" s="677"/>
      <c r="S58" s="677"/>
      <c r="T58" s="677"/>
      <c r="U58" s="677"/>
      <c r="V58" s="677"/>
      <c r="W58" s="677"/>
      <c r="X58" s="677"/>
      <c r="Y58" s="677"/>
      <c r="Z58" s="678"/>
    </row>
    <row r="59" spans="2:30" s="110" customFormat="1" x14ac:dyDescent="0.2">
      <c r="B59" s="363" t="s">
        <v>312</v>
      </c>
      <c r="C59" s="313"/>
      <c r="D59" s="332">
        <f ca="1">IFERROR(AVERAGE(INDIRECT("G"&amp;ROW()&amp;":Z"&amp;ROW())),"")</f>
        <v>1.6923076923076923</v>
      </c>
      <c r="E59" s="325" t="str">
        <f>IF(C59&gt;0,IFERROR((C59-D59),""),"")</f>
        <v/>
      </c>
      <c r="F59" s="268" t="str">
        <f ca="1">IFERROR(E59/D59,"")</f>
        <v/>
      </c>
      <c r="G59" s="347"/>
      <c r="H59" s="347"/>
      <c r="I59" s="347"/>
      <c r="J59" s="347">
        <v>1.6923076923076923</v>
      </c>
      <c r="K59" s="347"/>
      <c r="L59" s="347"/>
      <c r="M59" s="347"/>
      <c r="N59" s="347"/>
      <c r="O59" s="347"/>
      <c r="P59" s="347"/>
      <c r="Q59" s="347"/>
      <c r="R59" s="347"/>
      <c r="S59" s="347"/>
      <c r="T59" s="347"/>
      <c r="U59" s="347"/>
      <c r="V59" s="347"/>
      <c r="W59" s="347"/>
      <c r="X59" s="347"/>
      <c r="Y59" s="347"/>
      <c r="Z59" s="347"/>
      <c r="AA59" s="347"/>
      <c r="AB59" s="347"/>
      <c r="AC59" s="347"/>
      <c r="AD59" s="347"/>
    </row>
    <row r="60" spans="2:30" s="110" customFormat="1" x14ac:dyDescent="0.2">
      <c r="B60" s="363" t="s">
        <v>313</v>
      </c>
      <c r="C60" s="313"/>
      <c r="D60" s="332">
        <f ca="1">IFERROR(AVERAGE(INDIRECT("G"&amp;ROW()&amp;":Z"&amp;ROW())),"")</f>
        <v>1.6923076923076923</v>
      </c>
      <c r="E60" s="325" t="str">
        <f>IF(C60&gt;0,IFERROR((C60-D60),""),"")</f>
        <v/>
      </c>
      <c r="F60" s="268" t="str">
        <f ca="1">IFERROR(E60/D60,"")</f>
        <v/>
      </c>
      <c r="G60" s="347"/>
      <c r="H60" s="347"/>
      <c r="I60" s="347"/>
      <c r="J60" s="347">
        <v>1.6923076923076923</v>
      </c>
      <c r="K60" s="347"/>
      <c r="L60" s="347"/>
      <c r="M60" s="347"/>
      <c r="N60" s="347"/>
      <c r="O60" s="347"/>
      <c r="P60" s="347"/>
      <c r="Q60" s="347"/>
      <c r="R60" s="347"/>
      <c r="S60" s="347"/>
      <c r="T60" s="347"/>
      <c r="U60" s="347"/>
      <c r="V60" s="347"/>
      <c r="W60" s="347"/>
      <c r="X60" s="347"/>
      <c r="Y60" s="347"/>
      <c r="Z60" s="347"/>
      <c r="AA60" s="347"/>
      <c r="AB60" s="347"/>
      <c r="AC60" s="347"/>
      <c r="AD60" s="347"/>
    </row>
    <row r="61" spans="2:30" s="110" customFormat="1" x14ac:dyDescent="0.2">
      <c r="B61" s="363" t="s">
        <v>314</v>
      </c>
      <c r="C61" s="313"/>
      <c r="D61" s="332">
        <f ca="1">IFERROR(AVERAGE(INDIRECT("G"&amp;ROW()&amp;":Z"&amp;ROW())),"")</f>
        <v>1.6923076923076923</v>
      </c>
      <c r="E61" s="325" t="str">
        <f>IF(C61&gt;0,IFERROR((C61-D61),""),"")</f>
        <v/>
      </c>
      <c r="F61" s="268" t="str">
        <f ca="1">IFERROR(E61/D61,"")</f>
        <v/>
      </c>
      <c r="G61" s="347"/>
      <c r="H61" s="347"/>
      <c r="I61" s="347"/>
      <c r="J61" s="347">
        <v>1.6923076923076923</v>
      </c>
      <c r="K61" s="347"/>
      <c r="L61" s="347"/>
      <c r="M61" s="347"/>
      <c r="N61" s="347"/>
      <c r="O61" s="347"/>
      <c r="P61" s="347"/>
      <c r="Q61" s="347"/>
      <c r="R61" s="347"/>
      <c r="S61" s="347"/>
      <c r="T61" s="347"/>
      <c r="U61" s="347"/>
      <c r="V61" s="347"/>
      <c r="W61" s="347"/>
      <c r="X61" s="347"/>
      <c r="Y61" s="347"/>
      <c r="Z61" s="347"/>
      <c r="AA61" s="347"/>
      <c r="AB61" s="347"/>
      <c r="AC61" s="347"/>
      <c r="AD61" s="347"/>
    </row>
    <row r="62" spans="2:30" s="110" customFormat="1" x14ac:dyDescent="0.2">
      <c r="B62" s="365" t="s">
        <v>350</v>
      </c>
      <c r="C62" s="315"/>
      <c r="D62" s="315"/>
      <c r="E62" s="296"/>
      <c r="F62" s="271"/>
      <c r="G62" s="349"/>
      <c r="H62" s="281"/>
      <c r="I62" s="677"/>
      <c r="J62" s="677"/>
      <c r="K62" s="677"/>
      <c r="L62" s="677"/>
      <c r="M62" s="677"/>
      <c r="N62" s="677"/>
      <c r="O62" s="677"/>
      <c r="P62" s="677"/>
      <c r="Q62" s="677"/>
      <c r="R62" s="677"/>
      <c r="S62" s="677"/>
      <c r="T62" s="677"/>
      <c r="U62" s="677"/>
      <c r="V62" s="677"/>
      <c r="W62" s="677"/>
      <c r="X62" s="677"/>
      <c r="Y62" s="677"/>
      <c r="Z62" s="678"/>
    </row>
    <row r="63" spans="2:30" s="110" customFormat="1" x14ac:dyDescent="0.2">
      <c r="B63" s="363" t="s">
        <v>312</v>
      </c>
      <c r="C63" s="313"/>
      <c r="D63" s="332">
        <f ca="1">IFERROR(AVERAGE(INDIRECT("G"&amp;ROW()&amp;":Z"&amp;ROW())),"")</f>
        <v>1.6923076923076923</v>
      </c>
      <c r="E63" s="325" t="str">
        <f>IF(C63&gt;0,IFERROR((C63-D63),""),"")</f>
        <v/>
      </c>
      <c r="F63" s="268" t="str">
        <f ca="1">IFERROR(E63/D63,"")</f>
        <v/>
      </c>
      <c r="G63" s="347"/>
      <c r="H63" s="347"/>
      <c r="I63" s="347"/>
      <c r="J63" s="347">
        <v>1.6923076923076923</v>
      </c>
      <c r="K63" s="347"/>
      <c r="L63" s="347"/>
      <c r="M63" s="347"/>
      <c r="N63" s="347"/>
      <c r="O63" s="347"/>
      <c r="P63" s="347"/>
      <c r="Q63" s="347"/>
      <c r="R63" s="347"/>
      <c r="S63" s="347"/>
      <c r="T63" s="347"/>
      <c r="U63" s="347"/>
      <c r="V63" s="347"/>
      <c r="W63" s="347"/>
      <c r="X63" s="347"/>
      <c r="Y63" s="347"/>
      <c r="Z63" s="347"/>
      <c r="AA63" s="347"/>
      <c r="AB63" s="347"/>
      <c r="AC63" s="347"/>
      <c r="AD63" s="347"/>
    </row>
    <row r="64" spans="2:30" s="110" customFormat="1" x14ac:dyDescent="0.2">
      <c r="B64" s="363" t="s">
        <v>313</v>
      </c>
      <c r="C64" s="313"/>
      <c r="D64" s="332">
        <f ca="1">IFERROR(AVERAGE(INDIRECT("G"&amp;ROW()&amp;":Z"&amp;ROW())),"")</f>
        <v>1.6923076923076923</v>
      </c>
      <c r="E64" s="325" t="str">
        <f>IF(C64&gt;0,IFERROR((C64-D64),""),"")</f>
        <v/>
      </c>
      <c r="F64" s="268" t="str">
        <f ca="1">IFERROR(E64/D64,"")</f>
        <v/>
      </c>
      <c r="G64" s="347"/>
      <c r="H64" s="347"/>
      <c r="I64" s="347"/>
      <c r="J64" s="347">
        <v>1.6923076923076923</v>
      </c>
      <c r="K64" s="347"/>
      <c r="L64" s="347"/>
      <c r="M64" s="347"/>
      <c r="N64" s="347"/>
      <c r="O64" s="347"/>
      <c r="P64" s="347"/>
      <c r="Q64" s="347"/>
      <c r="R64" s="347"/>
      <c r="S64" s="347"/>
      <c r="T64" s="347"/>
      <c r="U64" s="347"/>
      <c r="V64" s="347"/>
      <c r="W64" s="347"/>
      <c r="X64" s="347"/>
      <c r="Y64" s="347"/>
      <c r="Z64" s="347"/>
      <c r="AA64" s="347"/>
      <c r="AB64" s="347"/>
      <c r="AC64" s="347"/>
      <c r="AD64" s="347"/>
    </row>
    <row r="65" spans="2:30" s="110" customFormat="1" x14ac:dyDescent="0.2">
      <c r="B65" s="363" t="s">
        <v>314</v>
      </c>
      <c r="C65" s="313"/>
      <c r="D65" s="332">
        <f ca="1">IFERROR(AVERAGE(INDIRECT("G"&amp;ROW()&amp;":Z"&amp;ROW())),"")</f>
        <v>1.6923076923076923</v>
      </c>
      <c r="E65" s="325" t="str">
        <f>IF(C65&gt;0,IFERROR((C65-D65),""),"")</f>
        <v/>
      </c>
      <c r="F65" s="268" t="str">
        <f ca="1">IFERROR(E65/D65,"")</f>
        <v/>
      </c>
      <c r="G65" s="347"/>
      <c r="H65" s="347"/>
      <c r="I65" s="347"/>
      <c r="J65" s="347">
        <v>1.6923076923076923</v>
      </c>
      <c r="K65" s="347"/>
      <c r="L65" s="347"/>
      <c r="M65" s="347"/>
      <c r="N65" s="347"/>
      <c r="O65" s="347"/>
      <c r="P65" s="347"/>
      <c r="Q65" s="347"/>
      <c r="R65" s="347"/>
      <c r="S65" s="347"/>
      <c r="T65" s="347"/>
      <c r="U65" s="347"/>
      <c r="V65" s="347"/>
      <c r="W65" s="347"/>
      <c r="X65" s="347"/>
      <c r="Y65" s="347"/>
      <c r="Z65" s="347"/>
      <c r="AA65" s="347"/>
      <c r="AB65" s="347"/>
      <c r="AC65" s="347"/>
      <c r="AD65" s="347"/>
    </row>
    <row r="66" spans="2:30" x14ac:dyDescent="0.2">
      <c r="B66" s="366" t="s">
        <v>320</v>
      </c>
      <c r="C66" s="317"/>
      <c r="D66" s="317"/>
      <c r="E66" s="298"/>
      <c r="F66" s="273"/>
      <c r="G66" s="351"/>
      <c r="H66" s="283"/>
      <c r="I66" s="681"/>
      <c r="J66" s="681"/>
      <c r="K66" s="681"/>
      <c r="L66" s="681"/>
      <c r="M66" s="681"/>
      <c r="N66" s="681"/>
      <c r="O66" s="681"/>
      <c r="P66" s="681"/>
      <c r="Q66" s="681"/>
      <c r="R66" s="681"/>
      <c r="S66" s="681"/>
      <c r="T66" s="681"/>
      <c r="U66" s="681"/>
      <c r="V66" s="681"/>
      <c r="W66" s="681"/>
      <c r="X66" s="681"/>
      <c r="Y66" s="681"/>
      <c r="Z66" s="682"/>
    </row>
    <row r="67" spans="2:30" s="110" customFormat="1" x14ac:dyDescent="0.2">
      <c r="B67" s="362" t="s">
        <v>312</v>
      </c>
      <c r="C67" s="311">
        <v>1438</v>
      </c>
      <c r="D67" s="331">
        <f ca="1">IFERROR(AVERAGE(INDIRECT("G"&amp;ROW()&amp;":Z"&amp;ROW())),"")</f>
        <v>1282.8125</v>
      </c>
      <c r="E67" s="324">
        <f ca="1">IF(C67&gt;0,IFERROR((C67-D67),""),"")</f>
        <v>155.1875</v>
      </c>
      <c r="F67" s="268">
        <f ca="1">IFERROR(E67/D67,"")</f>
        <v>0.12097442143727162</v>
      </c>
      <c r="G67" s="345"/>
      <c r="H67" s="345"/>
      <c r="I67" s="345"/>
      <c r="J67" s="345">
        <v>1150</v>
      </c>
      <c r="K67" s="345">
        <v>1200</v>
      </c>
      <c r="L67" s="345"/>
      <c r="M67" s="345"/>
      <c r="N67" s="345">
        <v>1850</v>
      </c>
      <c r="O67" s="345"/>
      <c r="P67" s="345">
        <v>1325</v>
      </c>
      <c r="Q67" s="345"/>
      <c r="R67" s="345"/>
      <c r="S67" s="345"/>
      <c r="T67" s="345"/>
      <c r="U67" s="345">
        <v>1150</v>
      </c>
      <c r="V67" s="345">
        <v>1187.5</v>
      </c>
      <c r="W67" s="345">
        <v>1250</v>
      </c>
      <c r="X67" s="345"/>
      <c r="Y67" s="345"/>
      <c r="Z67" s="345">
        <v>1150</v>
      </c>
      <c r="AA67" s="345"/>
      <c r="AB67" s="345"/>
      <c r="AC67" s="345"/>
      <c r="AD67" s="345"/>
    </row>
    <row r="68" spans="2:30" s="110" customFormat="1" x14ac:dyDescent="0.2">
      <c r="B68" s="362" t="s">
        <v>313</v>
      </c>
      <c r="C68" s="311">
        <v>1435.8333333333333</v>
      </c>
      <c r="D68" s="331">
        <f ca="1">IFERROR(AVERAGE(INDIRECT("G"&amp;ROW()&amp;":Z"&amp;ROW())),"")</f>
        <v>1278.2407407407409</v>
      </c>
      <c r="E68" s="324">
        <f ca="1">IF(C68&gt;0,IFERROR((C68-D68),""),"")</f>
        <v>157.59259259259238</v>
      </c>
      <c r="F68" s="268">
        <f ca="1">IFERROR(E68/D68,"")</f>
        <v>0.12328866352770718</v>
      </c>
      <c r="G68" s="345"/>
      <c r="H68" s="345">
        <v>1225</v>
      </c>
      <c r="I68" s="345"/>
      <c r="J68" s="345">
        <v>1166.6666666666667</v>
      </c>
      <c r="K68" s="345">
        <v>1200</v>
      </c>
      <c r="L68" s="345"/>
      <c r="M68" s="345"/>
      <c r="N68" s="345">
        <v>1850</v>
      </c>
      <c r="O68" s="345"/>
      <c r="P68" s="345">
        <v>1325</v>
      </c>
      <c r="Q68" s="345"/>
      <c r="R68" s="345"/>
      <c r="S68" s="345"/>
      <c r="T68" s="345"/>
      <c r="U68" s="345">
        <v>1150</v>
      </c>
      <c r="V68" s="345">
        <v>1187.5</v>
      </c>
      <c r="W68" s="345">
        <v>1250</v>
      </c>
      <c r="X68" s="345"/>
      <c r="Y68" s="345"/>
      <c r="Z68" s="345">
        <v>1150</v>
      </c>
      <c r="AA68" s="345"/>
      <c r="AB68" s="345"/>
      <c r="AC68" s="345"/>
      <c r="AD68" s="345"/>
    </row>
    <row r="69" spans="2:30" s="110" customFormat="1" x14ac:dyDescent="0.2">
      <c r="B69" s="362" t="s">
        <v>314</v>
      </c>
      <c r="C69" s="311">
        <v>1432.2222222222222</v>
      </c>
      <c r="D69" s="331">
        <f ca="1">IFERROR(AVERAGE(INDIRECT("G"&amp;ROW()&amp;":Z"&amp;ROW())),"")</f>
        <v>1332.4242424242425</v>
      </c>
      <c r="E69" s="324">
        <f ca="1">IF(C69&gt;0,IFERROR((C69-D69),""),"")</f>
        <v>99.797979797979679</v>
      </c>
      <c r="F69" s="268">
        <f ca="1">IFERROR(E69/D69,"")</f>
        <v>7.4899552725342947E-2</v>
      </c>
      <c r="G69" s="345"/>
      <c r="H69" s="345">
        <v>1225</v>
      </c>
      <c r="I69" s="345"/>
      <c r="J69" s="345">
        <v>1166.6666666666667</v>
      </c>
      <c r="K69" s="345">
        <v>1200</v>
      </c>
      <c r="L69" s="345"/>
      <c r="M69" s="345"/>
      <c r="N69" s="345">
        <v>1850</v>
      </c>
      <c r="O69" s="345"/>
      <c r="P69" s="345">
        <v>1325</v>
      </c>
      <c r="Q69" s="345"/>
      <c r="R69" s="345"/>
      <c r="S69" s="345">
        <v>1850</v>
      </c>
      <c r="T69" s="345"/>
      <c r="U69" s="345">
        <v>1150</v>
      </c>
      <c r="V69" s="345">
        <v>1190</v>
      </c>
      <c r="W69" s="345">
        <v>1250</v>
      </c>
      <c r="X69" s="345"/>
      <c r="Y69" s="345">
        <v>1300</v>
      </c>
      <c r="Z69" s="345">
        <v>1150</v>
      </c>
      <c r="AA69" s="345"/>
      <c r="AB69" s="345"/>
      <c r="AC69" s="345"/>
      <c r="AD69" s="345"/>
    </row>
    <row r="70" spans="2:30" x14ac:dyDescent="0.2">
      <c r="B70" s="366" t="s">
        <v>321</v>
      </c>
      <c r="C70" s="318"/>
      <c r="D70" s="318"/>
      <c r="E70" s="299"/>
      <c r="F70" s="274"/>
      <c r="G70" s="352"/>
      <c r="H70" s="284"/>
      <c r="I70" s="683"/>
      <c r="J70" s="683"/>
      <c r="K70" s="683"/>
      <c r="L70" s="683"/>
      <c r="M70" s="683"/>
      <c r="N70" s="683"/>
      <c r="O70" s="683"/>
      <c r="P70" s="683"/>
      <c r="Q70" s="683"/>
      <c r="R70" s="683"/>
      <c r="S70" s="683"/>
      <c r="T70" s="683"/>
      <c r="U70" s="683"/>
      <c r="V70" s="683"/>
      <c r="W70" s="683"/>
      <c r="X70" s="683"/>
      <c r="Y70" s="683"/>
      <c r="Z70" s="684"/>
    </row>
    <row r="71" spans="2:30" s="110" customFormat="1" x14ac:dyDescent="0.2">
      <c r="B71" s="362" t="s">
        <v>312</v>
      </c>
      <c r="C71" s="311">
        <v>1438</v>
      </c>
      <c r="D71" s="331">
        <f ca="1">IFERROR(AVERAGE(INDIRECT("G"&amp;ROW()&amp;":Z"&amp;ROW())),"")</f>
        <v>1282.8125</v>
      </c>
      <c r="E71" s="324">
        <f ca="1">IF(C71&gt;0,IFERROR((C71-D71),""),"")</f>
        <v>155.1875</v>
      </c>
      <c r="F71" s="268">
        <f ca="1">IFERROR(E71/D71,"")</f>
        <v>0.12097442143727162</v>
      </c>
      <c r="G71" s="345"/>
      <c r="H71" s="345"/>
      <c r="I71" s="345"/>
      <c r="J71" s="345">
        <v>1150</v>
      </c>
      <c r="K71" s="345">
        <v>1200</v>
      </c>
      <c r="L71" s="345"/>
      <c r="M71" s="345"/>
      <c r="N71" s="345">
        <v>1850</v>
      </c>
      <c r="O71" s="345"/>
      <c r="P71" s="345">
        <v>1325</v>
      </c>
      <c r="Q71" s="345"/>
      <c r="R71" s="345"/>
      <c r="S71" s="345"/>
      <c r="T71" s="345"/>
      <c r="U71" s="345">
        <v>1150</v>
      </c>
      <c r="V71" s="345">
        <v>1187.5</v>
      </c>
      <c r="W71" s="345">
        <v>1250</v>
      </c>
      <c r="X71" s="345"/>
      <c r="Y71" s="345"/>
      <c r="Z71" s="345">
        <v>1150</v>
      </c>
      <c r="AA71" s="345"/>
      <c r="AB71" s="345"/>
      <c r="AC71" s="345"/>
      <c r="AD71" s="345"/>
    </row>
    <row r="72" spans="2:30" s="110" customFormat="1" x14ac:dyDescent="0.2">
      <c r="B72" s="362" t="s">
        <v>313</v>
      </c>
      <c r="C72" s="311">
        <v>1435.8333333333333</v>
      </c>
      <c r="D72" s="331">
        <f ca="1">IFERROR(AVERAGE(INDIRECT("G"&amp;ROW()&amp;":Z"&amp;ROW())),"")</f>
        <v>1278.2407407407409</v>
      </c>
      <c r="E72" s="324">
        <f ca="1">IF(C72&gt;0,IFERROR((C72-D72),""),"")</f>
        <v>157.59259259259238</v>
      </c>
      <c r="F72" s="268">
        <f ca="1">IFERROR(E72/D72,"")</f>
        <v>0.12328866352770718</v>
      </c>
      <c r="G72" s="345"/>
      <c r="H72" s="345">
        <v>1225</v>
      </c>
      <c r="I72" s="345"/>
      <c r="J72" s="345">
        <v>1166.6666666666667</v>
      </c>
      <c r="K72" s="345">
        <v>1200</v>
      </c>
      <c r="L72" s="345"/>
      <c r="M72" s="345"/>
      <c r="N72" s="345">
        <v>1850</v>
      </c>
      <c r="O72" s="345"/>
      <c r="P72" s="345">
        <v>1325</v>
      </c>
      <c r="Q72" s="345"/>
      <c r="R72" s="345"/>
      <c r="S72" s="345"/>
      <c r="T72" s="345"/>
      <c r="U72" s="345">
        <v>1150</v>
      </c>
      <c r="V72" s="345">
        <v>1187.5</v>
      </c>
      <c r="W72" s="345">
        <v>1250</v>
      </c>
      <c r="X72" s="345"/>
      <c r="Y72" s="345"/>
      <c r="Z72" s="345">
        <v>1150</v>
      </c>
      <c r="AA72" s="345"/>
      <c r="AB72" s="345"/>
      <c r="AC72" s="345"/>
      <c r="AD72" s="345"/>
    </row>
    <row r="73" spans="2:30" s="110" customFormat="1" x14ac:dyDescent="0.2">
      <c r="B73" s="362" t="s">
        <v>314</v>
      </c>
      <c r="C73" s="311">
        <v>1432.2222222222222</v>
      </c>
      <c r="D73" s="331">
        <f ca="1">IFERROR(AVERAGE(INDIRECT("G"&amp;ROW()&amp;":Z"&amp;ROW())),"")</f>
        <v>1332.4242424242425</v>
      </c>
      <c r="E73" s="324">
        <f ca="1">IF(C73&gt;0,IFERROR((C73-D73),""),"")</f>
        <v>99.797979797979679</v>
      </c>
      <c r="F73" s="268">
        <f ca="1">IFERROR(E73/D73,"")</f>
        <v>7.4899552725342947E-2</v>
      </c>
      <c r="G73" s="345"/>
      <c r="H73" s="345">
        <v>1225</v>
      </c>
      <c r="I73" s="345"/>
      <c r="J73" s="345">
        <v>1166.6666666666667</v>
      </c>
      <c r="K73" s="345">
        <v>1200</v>
      </c>
      <c r="L73" s="345"/>
      <c r="M73" s="345"/>
      <c r="N73" s="345">
        <v>1850</v>
      </c>
      <c r="O73" s="345"/>
      <c r="P73" s="345">
        <v>1325</v>
      </c>
      <c r="Q73" s="345"/>
      <c r="R73" s="345"/>
      <c r="S73" s="345">
        <v>1850</v>
      </c>
      <c r="T73" s="345"/>
      <c r="U73" s="345">
        <v>1150</v>
      </c>
      <c r="V73" s="345">
        <v>1190</v>
      </c>
      <c r="W73" s="345">
        <v>1250</v>
      </c>
      <c r="X73" s="345"/>
      <c r="Y73" s="345">
        <v>1300</v>
      </c>
      <c r="Z73" s="345">
        <v>1150</v>
      </c>
      <c r="AA73" s="345"/>
      <c r="AB73" s="345"/>
      <c r="AC73" s="345"/>
      <c r="AD73" s="345"/>
    </row>
    <row r="74" spans="2:30" s="110" customFormat="1" x14ac:dyDescent="0.2">
      <c r="B74" s="366" t="s">
        <v>351</v>
      </c>
      <c r="C74" s="317"/>
      <c r="D74" s="317"/>
      <c r="E74" s="298"/>
      <c r="F74" s="273"/>
      <c r="G74" s="351"/>
      <c r="H74" s="283"/>
      <c r="I74" s="681"/>
      <c r="J74" s="681"/>
      <c r="K74" s="681"/>
      <c r="L74" s="681"/>
      <c r="M74" s="681"/>
      <c r="N74" s="681"/>
      <c r="O74" s="681"/>
      <c r="P74" s="681"/>
      <c r="Q74" s="681"/>
      <c r="R74" s="681"/>
      <c r="S74" s="681"/>
      <c r="T74" s="681"/>
      <c r="U74" s="681"/>
      <c r="V74" s="681"/>
      <c r="W74" s="681"/>
      <c r="X74" s="681"/>
      <c r="Y74" s="681"/>
      <c r="Z74" s="682"/>
    </row>
    <row r="75" spans="2:30" s="110" customFormat="1" x14ac:dyDescent="0.2">
      <c r="B75" s="363" t="s">
        <v>312</v>
      </c>
      <c r="C75" s="313">
        <v>1.2920035938903864</v>
      </c>
      <c r="D75" s="332">
        <f ca="1">IFERROR(AVERAGE(INDIRECT("G"&amp;ROW()&amp;":Z"&amp;ROW())),"")</f>
        <v>1.5393924668516012</v>
      </c>
      <c r="E75" s="325">
        <f ca="1">IF(C75&gt;0,IFERROR((C75-D75),""),"")</f>
        <v>-0.24738887296121481</v>
      </c>
      <c r="F75" s="268">
        <f ca="1">IFERROR(E75/D75,"")</f>
        <v>-0.16070552395724003</v>
      </c>
      <c r="G75" s="347"/>
      <c r="H75" s="347"/>
      <c r="I75" s="347"/>
      <c r="J75" s="347"/>
      <c r="K75" s="347"/>
      <c r="L75" s="347"/>
      <c r="M75" s="347"/>
      <c r="N75" s="347">
        <v>1.4566929133858268</v>
      </c>
      <c r="O75" s="347"/>
      <c r="P75" s="347">
        <v>1.5335648148148149</v>
      </c>
      <c r="Q75" s="347"/>
      <c r="R75" s="347"/>
      <c r="S75" s="347"/>
      <c r="T75" s="347"/>
      <c r="U75" s="347">
        <v>1.452020202020202</v>
      </c>
      <c r="V75" s="347">
        <v>1.4221556886227547</v>
      </c>
      <c r="W75" s="347">
        <v>1.7857142857142858</v>
      </c>
      <c r="X75" s="347"/>
      <c r="Y75" s="347"/>
      <c r="Z75" s="347">
        <v>1.5862068965517242</v>
      </c>
      <c r="AA75" s="347"/>
      <c r="AB75" s="347"/>
      <c r="AC75" s="347"/>
      <c r="AD75" s="347"/>
    </row>
    <row r="76" spans="2:30" s="110" customFormat="1" x14ac:dyDescent="0.2">
      <c r="B76" s="363" t="s">
        <v>313</v>
      </c>
      <c r="C76" s="313">
        <v>1.2900569032644504</v>
      </c>
      <c r="D76" s="332">
        <f ca="1">IFERROR(AVERAGE(INDIRECT("G"&amp;ROW()&amp;":Z"&amp;ROW())),"")</f>
        <v>1.4785701663922814</v>
      </c>
      <c r="E76" s="325">
        <f ca="1">IF(C76&gt;0,IFERROR((C76-D76),""),"")</f>
        <v>-0.18851326312783101</v>
      </c>
      <c r="F76" s="268">
        <f ca="1">IFERROR(E76/D76,"")</f>
        <v>-0.12749700177422374</v>
      </c>
      <c r="G76" s="347"/>
      <c r="H76" s="347">
        <v>1.1136363636363635</v>
      </c>
      <c r="I76" s="347"/>
      <c r="J76" s="347"/>
      <c r="K76" s="347"/>
      <c r="L76" s="347"/>
      <c r="M76" s="347"/>
      <c r="N76" s="347">
        <v>1.4566929133858268</v>
      </c>
      <c r="O76" s="347"/>
      <c r="P76" s="347">
        <v>1.5335648148148149</v>
      </c>
      <c r="Q76" s="347"/>
      <c r="R76" s="347"/>
      <c r="S76" s="347"/>
      <c r="T76" s="347"/>
      <c r="U76" s="347">
        <v>1.452020202020202</v>
      </c>
      <c r="V76" s="347">
        <v>1.4221556886227547</v>
      </c>
      <c r="W76" s="347">
        <v>1.7857142857142858</v>
      </c>
      <c r="X76" s="347"/>
      <c r="Y76" s="347"/>
      <c r="Z76" s="347">
        <v>1.5862068965517242</v>
      </c>
      <c r="AA76" s="347"/>
      <c r="AB76" s="347"/>
      <c r="AC76" s="347"/>
      <c r="AD76" s="347"/>
    </row>
    <row r="77" spans="2:30" s="110" customFormat="1" x14ac:dyDescent="0.2">
      <c r="B77" s="363" t="s">
        <v>314</v>
      </c>
      <c r="C77" s="313">
        <v>1.2868124188878909</v>
      </c>
      <c r="D77" s="332">
        <f ca="1">IFERROR(AVERAGE(INDIRECT("G"&amp;ROW()&amp;":Z"&amp;ROW())),"")</f>
        <v>1.5142205751913358</v>
      </c>
      <c r="E77" s="325">
        <f ca="1">IF(C77&gt;0,IFERROR((C77-D77),""),"")</f>
        <v>-0.22740815630344491</v>
      </c>
      <c r="F77" s="268">
        <f ca="1">IFERROR(E77/D77,"")</f>
        <v>-0.15018165783060355</v>
      </c>
      <c r="G77" s="347"/>
      <c r="H77" s="347">
        <v>1.1136363636363635</v>
      </c>
      <c r="I77" s="347"/>
      <c r="J77" s="347"/>
      <c r="K77" s="347"/>
      <c r="L77" s="347"/>
      <c r="M77" s="347"/>
      <c r="N77" s="347">
        <v>1.4566929133858268</v>
      </c>
      <c r="O77" s="347"/>
      <c r="P77" s="347">
        <v>1.5335648148148149</v>
      </c>
      <c r="Q77" s="347"/>
      <c r="R77" s="347"/>
      <c r="S77" s="347">
        <v>1.5416666666666667</v>
      </c>
      <c r="T77" s="347"/>
      <c r="U77" s="347">
        <v>1.452020202020202</v>
      </c>
      <c r="V77" s="347">
        <v>1.4251497005988027</v>
      </c>
      <c r="W77" s="347">
        <v>1.7857142857142858</v>
      </c>
      <c r="X77" s="347"/>
      <c r="Y77" s="347">
        <v>1.7333333333333334</v>
      </c>
      <c r="Z77" s="347">
        <v>1.5862068965517242</v>
      </c>
      <c r="AA77" s="347"/>
      <c r="AB77" s="347"/>
      <c r="AC77" s="347"/>
      <c r="AD77" s="347"/>
    </row>
    <row r="78" spans="2:30" s="110" customFormat="1" x14ac:dyDescent="0.2">
      <c r="B78" s="366" t="s">
        <v>352</v>
      </c>
      <c r="C78" s="317"/>
      <c r="D78" s="317"/>
      <c r="E78" s="298"/>
      <c r="F78" s="273"/>
      <c r="G78" s="351"/>
      <c r="H78" s="283"/>
      <c r="I78" s="681"/>
      <c r="J78" s="681"/>
      <c r="K78" s="681"/>
      <c r="L78" s="681"/>
      <c r="M78" s="681"/>
      <c r="N78" s="681"/>
      <c r="O78" s="681"/>
      <c r="P78" s="681"/>
      <c r="Q78" s="681"/>
      <c r="R78" s="681"/>
      <c r="S78" s="681"/>
      <c r="T78" s="681"/>
      <c r="U78" s="681"/>
      <c r="V78" s="681"/>
      <c r="W78" s="681"/>
      <c r="X78" s="681"/>
      <c r="Y78" s="681"/>
      <c r="Z78" s="682"/>
    </row>
    <row r="79" spans="2:30" s="110" customFormat="1" x14ac:dyDescent="0.2">
      <c r="B79" s="363" t="s">
        <v>312</v>
      </c>
      <c r="C79" s="313">
        <v>1.2920035938903864</v>
      </c>
      <c r="D79" s="332">
        <f ca="1">IFERROR(AVERAGE(INDIRECT("G"&amp;ROW()&amp;":Z"&amp;ROW())),"")</f>
        <v>1.5393924668516012</v>
      </c>
      <c r="E79" s="325">
        <f ca="1">IF(C79&gt;0,IFERROR((C79-D79),""),"")</f>
        <v>-0.24738887296121481</v>
      </c>
      <c r="F79" s="268">
        <f ca="1">IFERROR(E79/D79,"")</f>
        <v>-0.16070552395724003</v>
      </c>
      <c r="G79" s="347"/>
      <c r="H79" s="347"/>
      <c r="I79" s="347"/>
      <c r="J79" s="347"/>
      <c r="K79" s="347"/>
      <c r="L79" s="347"/>
      <c r="M79" s="347"/>
      <c r="N79" s="347">
        <v>1.4566929133858268</v>
      </c>
      <c r="O79" s="347"/>
      <c r="P79" s="347">
        <v>1.5335648148148149</v>
      </c>
      <c r="Q79" s="347"/>
      <c r="R79" s="347"/>
      <c r="S79" s="347"/>
      <c r="T79" s="347"/>
      <c r="U79" s="347">
        <v>1.452020202020202</v>
      </c>
      <c r="V79" s="347">
        <v>1.4221556886227547</v>
      </c>
      <c r="W79" s="347">
        <v>1.7857142857142858</v>
      </c>
      <c r="X79" s="347"/>
      <c r="Y79" s="347"/>
      <c r="Z79" s="347">
        <v>1.5862068965517242</v>
      </c>
      <c r="AA79" s="347"/>
      <c r="AB79" s="347"/>
      <c r="AC79" s="347"/>
      <c r="AD79" s="347"/>
    </row>
    <row r="80" spans="2:30" s="110" customFormat="1" x14ac:dyDescent="0.2">
      <c r="B80" s="363" t="s">
        <v>313</v>
      </c>
      <c r="C80" s="313">
        <v>1.2900569032644504</v>
      </c>
      <c r="D80" s="332">
        <f ca="1">IFERROR(AVERAGE(INDIRECT("G"&amp;ROW()&amp;":Z"&amp;ROW())),"")</f>
        <v>1.4785701663922814</v>
      </c>
      <c r="E80" s="325">
        <f ca="1">IF(C80&gt;0,IFERROR((C80-D80),""),"")</f>
        <v>-0.18851326312783101</v>
      </c>
      <c r="F80" s="268">
        <f ca="1">IFERROR(E80/D80,"")</f>
        <v>-0.12749700177422374</v>
      </c>
      <c r="G80" s="347"/>
      <c r="H80" s="347">
        <v>1.1136363636363635</v>
      </c>
      <c r="I80" s="347"/>
      <c r="J80" s="347"/>
      <c r="K80" s="347"/>
      <c r="L80" s="347"/>
      <c r="M80" s="347"/>
      <c r="N80" s="347">
        <v>1.4566929133858268</v>
      </c>
      <c r="O80" s="347"/>
      <c r="P80" s="347">
        <v>1.5335648148148149</v>
      </c>
      <c r="Q80" s="347"/>
      <c r="R80" s="347"/>
      <c r="S80" s="347"/>
      <c r="T80" s="347"/>
      <c r="U80" s="347">
        <v>1.452020202020202</v>
      </c>
      <c r="V80" s="347">
        <v>1.4221556886227547</v>
      </c>
      <c r="W80" s="347">
        <v>1.7857142857142858</v>
      </c>
      <c r="X80" s="347"/>
      <c r="Y80" s="347"/>
      <c r="Z80" s="347">
        <v>1.5862068965517242</v>
      </c>
      <c r="AA80" s="347"/>
      <c r="AB80" s="347"/>
      <c r="AC80" s="347"/>
      <c r="AD80" s="347"/>
    </row>
    <row r="81" spans="2:30" s="110" customFormat="1" x14ac:dyDescent="0.2">
      <c r="B81" s="363" t="s">
        <v>314</v>
      </c>
      <c r="C81" s="313">
        <v>1.2868124188878909</v>
      </c>
      <c r="D81" s="332">
        <f ca="1">IFERROR(AVERAGE(INDIRECT("G"&amp;ROW()&amp;":Z"&amp;ROW())),"")</f>
        <v>1.5142205751913358</v>
      </c>
      <c r="E81" s="325">
        <f ca="1">IF(C81&gt;0,IFERROR((C81-D81),""),"")</f>
        <v>-0.22740815630344491</v>
      </c>
      <c r="F81" s="268">
        <f ca="1">IFERROR(E81/D81,"")</f>
        <v>-0.15018165783060355</v>
      </c>
      <c r="G81" s="347"/>
      <c r="H81" s="347">
        <v>1.1136363636363635</v>
      </c>
      <c r="I81" s="347"/>
      <c r="J81" s="347"/>
      <c r="K81" s="347"/>
      <c r="L81" s="347"/>
      <c r="M81" s="347"/>
      <c r="N81" s="347">
        <v>1.4566929133858268</v>
      </c>
      <c r="O81" s="347"/>
      <c r="P81" s="347">
        <v>1.5335648148148149</v>
      </c>
      <c r="Q81" s="347"/>
      <c r="R81" s="347"/>
      <c r="S81" s="347">
        <v>1.5416666666666667</v>
      </c>
      <c r="T81" s="347"/>
      <c r="U81" s="347">
        <v>1.452020202020202</v>
      </c>
      <c r="V81" s="347">
        <v>1.4251497005988027</v>
      </c>
      <c r="W81" s="347">
        <v>1.7857142857142858</v>
      </c>
      <c r="X81" s="347"/>
      <c r="Y81" s="347">
        <v>1.7333333333333334</v>
      </c>
      <c r="Z81" s="347">
        <v>1.5862068965517242</v>
      </c>
      <c r="AA81" s="347"/>
      <c r="AB81" s="347"/>
      <c r="AC81" s="347"/>
      <c r="AD81" s="347"/>
    </row>
    <row r="82" spans="2:30" x14ac:dyDescent="0.2">
      <c r="B82" s="367" t="s">
        <v>322</v>
      </c>
      <c r="C82" s="319"/>
      <c r="D82" s="319"/>
      <c r="E82" s="300"/>
      <c r="F82" s="275"/>
      <c r="G82" s="353"/>
      <c r="H82" s="285"/>
      <c r="I82" s="685"/>
      <c r="J82" s="685"/>
      <c r="K82" s="685"/>
      <c r="L82" s="685"/>
      <c r="M82" s="685"/>
      <c r="N82" s="685"/>
      <c r="O82" s="685"/>
      <c r="P82" s="685"/>
      <c r="Q82" s="685"/>
      <c r="R82" s="685"/>
      <c r="S82" s="685"/>
      <c r="T82" s="685"/>
      <c r="U82" s="685"/>
      <c r="V82" s="685"/>
      <c r="W82" s="685"/>
      <c r="X82" s="685"/>
      <c r="Y82" s="685"/>
      <c r="Z82" s="686"/>
    </row>
    <row r="83" spans="2:30" s="110" customFormat="1" x14ac:dyDescent="0.2">
      <c r="B83" s="362" t="s">
        <v>312</v>
      </c>
      <c r="C83" s="311"/>
      <c r="D83" s="331" t="str">
        <f ca="1">IFERROR(AVERAGE(INDIRECT("G"&amp;ROW()&amp;":Z"&amp;ROW())),"")</f>
        <v/>
      </c>
      <c r="E83" s="324" t="str">
        <f>IF(C83&gt;0,IFERROR((C83-D83),""),"")</f>
        <v/>
      </c>
      <c r="F83" s="268" t="str">
        <f ca="1">IFERROR(E83/D83,"")</f>
        <v/>
      </c>
      <c r="G83" s="345"/>
      <c r="H83" s="345"/>
      <c r="I83" s="345"/>
      <c r="J83" s="345"/>
      <c r="K83" s="345"/>
      <c r="L83" s="345"/>
      <c r="M83" s="345"/>
      <c r="N83" s="345"/>
      <c r="O83" s="345"/>
      <c r="P83" s="345"/>
      <c r="Q83" s="345"/>
      <c r="R83" s="345"/>
      <c r="S83" s="345"/>
      <c r="T83" s="345"/>
      <c r="U83" s="345"/>
      <c r="V83" s="345"/>
      <c r="W83" s="345"/>
      <c r="X83" s="345"/>
      <c r="Y83" s="345"/>
      <c r="Z83" s="345"/>
      <c r="AA83" s="345"/>
      <c r="AB83" s="345"/>
      <c r="AC83" s="345"/>
      <c r="AD83" s="345"/>
    </row>
    <row r="84" spans="2:30" s="110" customFormat="1" x14ac:dyDescent="0.2">
      <c r="B84" s="362" t="s">
        <v>313</v>
      </c>
      <c r="C84" s="311"/>
      <c r="D84" s="331" t="str">
        <f ca="1">IFERROR(AVERAGE(INDIRECT("G"&amp;ROW()&amp;":Z"&amp;ROW())),"")</f>
        <v/>
      </c>
      <c r="E84" s="324" t="str">
        <f>IF(C84&gt;0,IFERROR((C84-D84),""),"")</f>
        <v/>
      </c>
      <c r="F84" s="268" t="str">
        <f ca="1">IFERROR(E84/D84,"")</f>
        <v/>
      </c>
      <c r="G84" s="345"/>
      <c r="H84" s="345"/>
      <c r="I84" s="345"/>
      <c r="J84" s="345"/>
      <c r="K84" s="345"/>
      <c r="L84" s="345"/>
      <c r="M84" s="345"/>
      <c r="N84" s="345"/>
      <c r="O84" s="345"/>
      <c r="P84" s="345"/>
      <c r="Q84" s="345"/>
      <c r="R84" s="345"/>
      <c r="S84" s="345"/>
      <c r="T84" s="345"/>
      <c r="U84" s="345"/>
      <c r="V84" s="345"/>
      <c r="W84" s="345"/>
      <c r="X84" s="345"/>
      <c r="Y84" s="345"/>
      <c r="Z84" s="345"/>
      <c r="AA84" s="345"/>
      <c r="AB84" s="345"/>
      <c r="AC84" s="345"/>
      <c r="AD84" s="345"/>
    </row>
    <row r="85" spans="2:30" s="110" customFormat="1" x14ac:dyDescent="0.2">
      <c r="B85" s="362" t="s">
        <v>314</v>
      </c>
      <c r="C85" s="311"/>
      <c r="D85" s="331" t="str">
        <f ca="1">IFERROR(AVERAGE(INDIRECT("G"&amp;ROW()&amp;":Z"&amp;ROW())),"")</f>
        <v/>
      </c>
      <c r="E85" s="324" t="str">
        <f>IF(C85&gt;0,IFERROR((C85-D85),""),"")</f>
        <v/>
      </c>
      <c r="F85" s="268" t="str">
        <f ca="1">IFERROR(E85/D85,"")</f>
        <v/>
      </c>
      <c r="G85" s="345"/>
      <c r="H85" s="345"/>
      <c r="I85" s="345"/>
      <c r="J85" s="345"/>
      <c r="K85" s="345"/>
      <c r="L85" s="345"/>
      <c r="M85" s="345"/>
      <c r="N85" s="345"/>
      <c r="O85" s="345"/>
      <c r="P85" s="345"/>
      <c r="Q85" s="345"/>
      <c r="R85" s="345"/>
      <c r="S85" s="345"/>
      <c r="T85" s="345"/>
      <c r="U85" s="345"/>
      <c r="V85" s="345"/>
      <c r="W85" s="345"/>
      <c r="X85" s="345"/>
      <c r="Y85" s="345"/>
      <c r="Z85" s="345"/>
      <c r="AA85" s="345"/>
      <c r="AB85" s="345"/>
      <c r="AC85" s="345"/>
      <c r="AD85" s="345"/>
    </row>
    <row r="86" spans="2:30" x14ac:dyDescent="0.2">
      <c r="B86" s="367" t="s">
        <v>323</v>
      </c>
      <c r="C86" s="320"/>
      <c r="D86" s="320"/>
      <c r="E86" s="301"/>
      <c r="F86" s="276"/>
      <c r="G86" s="354"/>
      <c r="H86" s="286"/>
      <c r="I86" s="687"/>
      <c r="J86" s="687"/>
      <c r="K86" s="687"/>
      <c r="L86" s="687"/>
      <c r="M86" s="687"/>
      <c r="N86" s="687"/>
      <c r="O86" s="687"/>
      <c r="P86" s="687"/>
      <c r="Q86" s="687"/>
      <c r="R86" s="687"/>
      <c r="S86" s="687"/>
      <c r="T86" s="687"/>
      <c r="U86" s="687"/>
      <c r="V86" s="687"/>
      <c r="W86" s="687"/>
      <c r="X86" s="687"/>
      <c r="Y86" s="687"/>
      <c r="Z86" s="688"/>
    </row>
    <row r="87" spans="2:30" s="110" customFormat="1" x14ac:dyDescent="0.2">
      <c r="B87" s="362" t="s">
        <v>312</v>
      </c>
      <c r="C87" s="311"/>
      <c r="D87" s="331" t="str">
        <f ca="1">IFERROR(AVERAGE(INDIRECT("G"&amp;ROW()&amp;":Z"&amp;ROW())),"")</f>
        <v/>
      </c>
      <c r="E87" s="324" t="str">
        <f>IF(C87&gt;0,IFERROR((C87-D87),""),"")</f>
        <v/>
      </c>
      <c r="F87" s="268" t="str">
        <f ca="1">IFERROR(E87/D87,"")</f>
        <v/>
      </c>
      <c r="G87" s="345"/>
      <c r="H87" s="345"/>
      <c r="I87" s="345"/>
      <c r="J87" s="345"/>
      <c r="K87" s="345"/>
      <c r="L87" s="345"/>
      <c r="M87" s="345"/>
      <c r="N87" s="345"/>
      <c r="O87" s="345"/>
      <c r="P87" s="345"/>
      <c r="Q87" s="345"/>
      <c r="R87" s="345"/>
      <c r="S87" s="345"/>
      <c r="T87" s="345"/>
      <c r="U87" s="345"/>
      <c r="V87" s="345"/>
      <c r="W87" s="345"/>
      <c r="X87" s="345"/>
      <c r="Y87" s="345"/>
      <c r="Z87" s="345"/>
      <c r="AA87" s="345"/>
      <c r="AB87" s="345"/>
      <c r="AC87" s="345"/>
      <c r="AD87" s="345"/>
    </row>
    <row r="88" spans="2:30" s="110" customFormat="1" x14ac:dyDescent="0.2">
      <c r="B88" s="362" t="s">
        <v>313</v>
      </c>
      <c r="C88" s="311"/>
      <c r="D88" s="331" t="str">
        <f ca="1">IFERROR(AVERAGE(INDIRECT("G"&amp;ROW()&amp;":Z"&amp;ROW())),"")</f>
        <v/>
      </c>
      <c r="E88" s="324" t="str">
        <f>IF(C88&gt;0,IFERROR((C88-D88),""),"")</f>
        <v/>
      </c>
      <c r="F88" s="268" t="str">
        <f ca="1">IFERROR(E88/D88,"")</f>
        <v/>
      </c>
      <c r="G88" s="345"/>
      <c r="H88" s="345"/>
      <c r="I88" s="345"/>
      <c r="J88" s="345"/>
      <c r="K88" s="345"/>
      <c r="L88" s="345"/>
      <c r="M88" s="345"/>
      <c r="N88" s="345"/>
      <c r="O88" s="345"/>
      <c r="P88" s="345"/>
      <c r="Q88" s="345"/>
      <c r="R88" s="345"/>
      <c r="S88" s="345"/>
      <c r="T88" s="345"/>
      <c r="U88" s="345"/>
      <c r="V88" s="345"/>
      <c r="W88" s="345"/>
      <c r="X88" s="345"/>
      <c r="Y88" s="345"/>
      <c r="Z88" s="345"/>
      <c r="AA88" s="345"/>
      <c r="AB88" s="345"/>
      <c r="AC88" s="345"/>
      <c r="AD88" s="345"/>
    </row>
    <row r="89" spans="2:30" s="110" customFormat="1" x14ac:dyDescent="0.2">
      <c r="B89" s="362" t="s">
        <v>314</v>
      </c>
      <c r="C89" s="311"/>
      <c r="D89" s="331" t="str">
        <f ca="1">IFERROR(AVERAGE(INDIRECT("G"&amp;ROW()&amp;":Z"&amp;ROW())),"")</f>
        <v/>
      </c>
      <c r="E89" s="324" t="str">
        <f>IF(C89&gt;0,IFERROR((C89-D89),""),"")</f>
        <v/>
      </c>
      <c r="F89" s="268" t="str">
        <f ca="1">IFERROR(E89/D89,"")</f>
        <v/>
      </c>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row>
    <row r="90" spans="2:30" s="110" customFormat="1" x14ac:dyDescent="0.2">
      <c r="B90" s="367" t="s">
        <v>353</v>
      </c>
      <c r="C90" s="320"/>
      <c r="D90" s="320"/>
      <c r="E90" s="301"/>
      <c r="F90" s="276"/>
      <c r="G90" s="354"/>
      <c r="H90" s="286"/>
      <c r="I90" s="687"/>
      <c r="J90" s="687"/>
      <c r="K90" s="687"/>
      <c r="L90" s="687"/>
      <c r="M90" s="687"/>
      <c r="N90" s="687"/>
      <c r="O90" s="687"/>
      <c r="P90" s="687"/>
      <c r="Q90" s="687"/>
      <c r="R90" s="687"/>
      <c r="S90" s="687"/>
      <c r="T90" s="687"/>
      <c r="U90" s="687"/>
      <c r="V90" s="687"/>
      <c r="W90" s="687"/>
      <c r="X90" s="687"/>
      <c r="Y90" s="687"/>
      <c r="Z90" s="688"/>
    </row>
    <row r="91" spans="2:30" s="110" customFormat="1" x14ac:dyDescent="0.2">
      <c r="B91" s="363" t="s">
        <v>312</v>
      </c>
      <c r="C91" s="313"/>
      <c r="D91" s="332" t="str">
        <f ca="1">IFERROR(AVERAGE(INDIRECT("G"&amp;ROW()&amp;":Z"&amp;ROW())),"")</f>
        <v/>
      </c>
      <c r="E91" s="325" t="str">
        <f>IF(C91&gt;0,IFERROR((C91-D91),""),"")</f>
        <v/>
      </c>
      <c r="F91" s="268" t="str">
        <f ca="1">IFERROR(E91/D91,"")</f>
        <v/>
      </c>
      <c r="G91" s="347"/>
      <c r="H91" s="347"/>
      <c r="I91" s="347"/>
      <c r="J91" s="347"/>
      <c r="K91" s="347"/>
      <c r="L91" s="347"/>
      <c r="M91" s="347"/>
      <c r="N91" s="347"/>
      <c r="O91" s="347"/>
      <c r="P91" s="347"/>
      <c r="Q91" s="347"/>
      <c r="R91" s="347"/>
      <c r="S91" s="347"/>
      <c r="T91" s="347"/>
      <c r="U91" s="347"/>
      <c r="V91" s="347"/>
      <c r="W91" s="347"/>
      <c r="X91" s="347"/>
      <c r="Y91" s="347"/>
      <c r="Z91" s="347"/>
      <c r="AA91" s="347"/>
      <c r="AB91" s="347"/>
      <c r="AC91" s="347"/>
      <c r="AD91" s="347"/>
    </row>
    <row r="92" spans="2:30" s="110" customFormat="1" x14ac:dyDescent="0.2">
      <c r="B92" s="363" t="s">
        <v>313</v>
      </c>
      <c r="C92" s="313"/>
      <c r="D92" s="332" t="str">
        <f ca="1">IFERROR(AVERAGE(INDIRECT("G"&amp;ROW()&amp;":Z"&amp;ROW())),"")</f>
        <v/>
      </c>
      <c r="E92" s="325" t="str">
        <f>IF(C92&gt;0,IFERROR((C92-D92),""),"")</f>
        <v/>
      </c>
      <c r="F92" s="268" t="str">
        <f ca="1">IFERROR(E92/D92,"")</f>
        <v/>
      </c>
      <c r="G92" s="347"/>
      <c r="H92" s="347"/>
      <c r="I92" s="347"/>
      <c r="J92" s="347"/>
      <c r="K92" s="347"/>
      <c r="L92" s="347"/>
      <c r="M92" s="347"/>
      <c r="N92" s="347"/>
      <c r="O92" s="347"/>
      <c r="P92" s="347"/>
      <c r="Q92" s="347"/>
      <c r="R92" s="347"/>
      <c r="S92" s="347"/>
      <c r="T92" s="347"/>
      <c r="U92" s="347"/>
      <c r="V92" s="347"/>
      <c r="W92" s="347"/>
      <c r="X92" s="347"/>
      <c r="Y92" s="347"/>
      <c r="Z92" s="347"/>
      <c r="AA92" s="347"/>
      <c r="AB92" s="347"/>
      <c r="AC92" s="347"/>
      <c r="AD92" s="347"/>
    </row>
    <row r="93" spans="2:30" s="110" customFormat="1" x14ac:dyDescent="0.2">
      <c r="B93" s="363" t="s">
        <v>314</v>
      </c>
      <c r="C93" s="313"/>
      <c r="D93" s="332" t="str">
        <f ca="1">IFERROR(AVERAGE(INDIRECT("G"&amp;ROW()&amp;":Z"&amp;ROW())),"")</f>
        <v/>
      </c>
      <c r="E93" s="325" t="str">
        <f>IF(C93&gt;0,IFERROR((C93-D93),""),"")</f>
        <v/>
      </c>
      <c r="F93" s="268" t="str">
        <f ca="1">IFERROR(E93/D93,"")</f>
        <v/>
      </c>
      <c r="G93" s="347"/>
      <c r="H93" s="347"/>
      <c r="I93" s="347"/>
      <c r="J93" s="347"/>
      <c r="K93" s="347"/>
      <c r="L93" s="347"/>
      <c r="M93" s="347"/>
      <c r="N93" s="347"/>
      <c r="O93" s="347"/>
      <c r="P93" s="347"/>
      <c r="Q93" s="347"/>
      <c r="R93" s="347"/>
      <c r="S93" s="347"/>
      <c r="T93" s="347"/>
      <c r="U93" s="347"/>
      <c r="V93" s="347"/>
      <c r="W93" s="347"/>
      <c r="X93" s="347"/>
      <c r="Y93" s="347"/>
      <c r="Z93" s="347"/>
      <c r="AA93" s="347"/>
      <c r="AB93" s="347"/>
      <c r="AC93" s="347"/>
      <c r="AD93" s="347"/>
    </row>
    <row r="94" spans="2:30" s="110" customFormat="1" x14ac:dyDescent="0.2">
      <c r="B94" s="367" t="s">
        <v>354</v>
      </c>
      <c r="C94" s="320"/>
      <c r="D94" s="320"/>
      <c r="E94" s="301"/>
      <c r="F94" s="276"/>
      <c r="G94" s="354"/>
      <c r="H94" s="286"/>
      <c r="I94" s="687"/>
      <c r="J94" s="687"/>
      <c r="K94" s="687"/>
      <c r="L94" s="687"/>
      <c r="M94" s="687"/>
      <c r="N94" s="687"/>
      <c r="O94" s="687"/>
      <c r="P94" s="687"/>
      <c r="Q94" s="687"/>
      <c r="R94" s="687"/>
      <c r="S94" s="687"/>
      <c r="T94" s="687"/>
      <c r="U94" s="687"/>
      <c r="V94" s="687"/>
      <c r="W94" s="687"/>
      <c r="X94" s="687"/>
      <c r="Y94" s="687"/>
      <c r="Z94" s="688"/>
    </row>
    <row r="95" spans="2:30" s="110" customFormat="1" x14ac:dyDescent="0.2">
      <c r="B95" s="363" t="s">
        <v>312</v>
      </c>
      <c r="C95" s="313"/>
      <c r="D95" s="332" t="str">
        <f ca="1">IFERROR(AVERAGE(INDIRECT("G"&amp;ROW()&amp;":Z"&amp;ROW())),"")</f>
        <v/>
      </c>
      <c r="E95" s="325" t="str">
        <f>IF(C95&gt;0,IFERROR((C95-D95),""),"")</f>
        <v/>
      </c>
      <c r="F95" s="268" t="str">
        <f ca="1">IFERROR(E95/D95,"")</f>
        <v/>
      </c>
      <c r="G95" s="347"/>
      <c r="H95" s="347"/>
      <c r="I95" s="347"/>
      <c r="J95" s="347"/>
      <c r="K95" s="347"/>
      <c r="L95" s="347"/>
      <c r="M95" s="347"/>
      <c r="N95" s="347"/>
      <c r="O95" s="347"/>
      <c r="P95" s="347"/>
      <c r="Q95" s="347"/>
      <c r="R95" s="347"/>
      <c r="S95" s="347"/>
      <c r="T95" s="347"/>
      <c r="U95" s="347"/>
      <c r="V95" s="347"/>
      <c r="W95" s="347"/>
      <c r="X95" s="347"/>
      <c r="Y95" s="347"/>
      <c r="Z95" s="347"/>
      <c r="AA95" s="347"/>
      <c r="AB95" s="347"/>
      <c r="AC95" s="347"/>
      <c r="AD95" s="347"/>
    </row>
    <row r="96" spans="2:30" s="110" customFormat="1" x14ac:dyDescent="0.2">
      <c r="B96" s="363" t="s">
        <v>313</v>
      </c>
      <c r="C96" s="313"/>
      <c r="D96" s="332" t="str">
        <f ca="1">IFERROR(AVERAGE(INDIRECT("G"&amp;ROW()&amp;":Z"&amp;ROW())),"")</f>
        <v/>
      </c>
      <c r="E96" s="325" t="str">
        <f>IF(C96&gt;0,IFERROR((C96-D96),""),"")</f>
        <v/>
      </c>
      <c r="F96" s="268" t="str">
        <f ca="1">IFERROR(E96/D96,"")</f>
        <v/>
      </c>
      <c r="G96" s="347"/>
      <c r="H96" s="347"/>
      <c r="I96" s="347"/>
      <c r="J96" s="347"/>
      <c r="K96" s="347"/>
      <c r="L96" s="347"/>
      <c r="M96" s="347"/>
      <c r="N96" s="347"/>
      <c r="O96" s="347"/>
      <c r="P96" s="347"/>
      <c r="Q96" s="347"/>
      <c r="R96" s="347"/>
      <c r="S96" s="347"/>
      <c r="T96" s="347"/>
      <c r="U96" s="347"/>
      <c r="V96" s="347"/>
      <c r="W96" s="347"/>
      <c r="X96" s="347"/>
      <c r="Y96" s="347"/>
      <c r="Z96" s="347"/>
      <c r="AA96" s="347"/>
      <c r="AB96" s="347"/>
      <c r="AC96" s="347"/>
      <c r="AD96" s="347"/>
    </row>
    <row r="97" spans="2:30" s="110" customFormat="1" x14ac:dyDescent="0.2">
      <c r="B97" s="363" t="s">
        <v>314</v>
      </c>
      <c r="C97" s="313"/>
      <c r="D97" s="332" t="str">
        <f ca="1">IFERROR(AVERAGE(INDIRECT("G"&amp;ROW()&amp;":Z"&amp;ROW())),"")</f>
        <v/>
      </c>
      <c r="E97" s="325" t="str">
        <f>IF(C97&gt;0,IFERROR((C97-D97),""),"")</f>
        <v/>
      </c>
      <c r="F97" s="268" t="str">
        <f ca="1">IFERROR(E97/D97,"")</f>
        <v/>
      </c>
      <c r="G97" s="347"/>
      <c r="H97" s="347"/>
      <c r="I97" s="347"/>
      <c r="J97" s="347"/>
      <c r="K97" s="347"/>
      <c r="L97" s="347"/>
      <c r="M97" s="347"/>
      <c r="N97" s="347"/>
      <c r="O97" s="347"/>
      <c r="P97" s="347"/>
      <c r="Q97" s="347"/>
      <c r="R97" s="347"/>
      <c r="S97" s="347"/>
      <c r="T97" s="347"/>
      <c r="U97" s="347"/>
      <c r="V97" s="347"/>
      <c r="W97" s="347"/>
      <c r="X97" s="347"/>
      <c r="Y97" s="347"/>
      <c r="Z97" s="347"/>
      <c r="AA97" s="347"/>
      <c r="AB97" s="347"/>
      <c r="AC97" s="347"/>
      <c r="AD97" s="347"/>
    </row>
    <row r="98" spans="2:30" x14ac:dyDescent="0.2">
      <c r="B98" s="368" t="s">
        <v>324</v>
      </c>
      <c r="C98" s="321"/>
      <c r="D98" s="321"/>
      <c r="E98" s="302"/>
      <c r="F98" s="277"/>
      <c r="G98" s="355"/>
      <c r="H98" s="287"/>
      <c r="I98" s="689"/>
      <c r="J98" s="689"/>
      <c r="K98" s="689"/>
      <c r="L98" s="689"/>
      <c r="M98" s="689"/>
      <c r="N98" s="689"/>
      <c r="O98" s="689"/>
      <c r="P98" s="689"/>
      <c r="Q98" s="689"/>
      <c r="R98" s="689"/>
      <c r="S98" s="689"/>
      <c r="T98" s="689"/>
      <c r="U98" s="689"/>
      <c r="V98" s="689"/>
      <c r="W98" s="689"/>
      <c r="X98" s="689"/>
      <c r="Y98" s="689"/>
      <c r="Z98" s="690"/>
    </row>
    <row r="99" spans="2:30" s="110" customFormat="1" x14ac:dyDescent="0.2">
      <c r="B99" s="362" t="s">
        <v>312</v>
      </c>
      <c r="C99" s="311"/>
      <c r="D99" s="331" t="str">
        <f ca="1">IFERROR(AVERAGE(INDIRECT("G"&amp;ROW()&amp;":Z"&amp;ROW())),"")</f>
        <v/>
      </c>
      <c r="E99" s="324" t="str">
        <f>IF(C99&gt;0,IFERROR((C99-D99),""),"")</f>
        <v/>
      </c>
      <c r="F99" s="268" t="str">
        <f ca="1">IFERROR(E99/D99,"")</f>
        <v/>
      </c>
      <c r="G99" s="345"/>
      <c r="H99" s="345"/>
      <c r="I99" s="345"/>
      <c r="J99" s="345"/>
      <c r="K99" s="345"/>
      <c r="L99" s="345"/>
      <c r="M99" s="345"/>
      <c r="N99" s="345"/>
      <c r="O99" s="345"/>
      <c r="P99" s="345"/>
      <c r="Q99" s="345"/>
      <c r="R99" s="345"/>
      <c r="S99" s="345"/>
      <c r="T99" s="345"/>
      <c r="U99" s="345"/>
      <c r="V99" s="345"/>
      <c r="W99" s="345"/>
      <c r="X99" s="345"/>
      <c r="Y99" s="345"/>
      <c r="Z99" s="345"/>
      <c r="AA99" s="345"/>
      <c r="AB99" s="345"/>
      <c r="AC99" s="345"/>
      <c r="AD99" s="345"/>
    </row>
    <row r="100" spans="2:30" s="110" customFormat="1" x14ac:dyDescent="0.2">
      <c r="B100" s="362" t="s">
        <v>313</v>
      </c>
      <c r="C100" s="311"/>
      <c r="D100" s="331" t="str">
        <f ca="1">IFERROR(AVERAGE(INDIRECT("G"&amp;ROW()&amp;":Z"&amp;ROW())),"")</f>
        <v/>
      </c>
      <c r="E100" s="324" t="str">
        <f>IF(C100&gt;0,IFERROR((C100-D100),""),"")</f>
        <v/>
      </c>
      <c r="F100" s="268" t="str">
        <f ca="1">IFERROR(E100/D100,"")</f>
        <v/>
      </c>
      <c r="G100" s="345"/>
      <c r="H100" s="345"/>
      <c r="I100" s="345"/>
      <c r="J100" s="345"/>
      <c r="K100" s="345"/>
      <c r="L100" s="345"/>
      <c r="M100" s="345"/>
      <c r="N100" s="345"/>
      <c r="O100" s="345"/>
      <c r="P100" s="345"/>
      <c r="Q100" s="345"/>
      <c r="R100" s="345"/>
      <c r="S100" s="345"/>
      <c r="T100" s="345"/>
      <c r="U100" s="345"/>
      <c r="V100" s="345"/>
      <c r="W100" s="345"/>
      <c r="X100" s="345"/>
      <c r="Y100" s="345"/>
      <c r="Z100" s="345"/>
      <c r="AA100" s="345"/>
      <c r="AB100" s="345"/>
      <c r="AC100" s="345"/>
      <c r="AD100" s="345"/>
    </row>
    <row r="101" spans="2:30" s="110" customFormat="1" x14ac:dyDescent="0.2">
      <c r="B101" s="362" t="s">
        <v>314</v>
      </c>
      <c r="C101" s="311"/>
      <c r="D101" s="331" t="str">
        <f ca="1">IFERROR(AVERAGE(INDIRECT("G"&amp;ROW()&amp;":Z"&amp;ROW())),"")</f>
        <v/>
      </c>
      <c r="E101" s="324" t="str">
        <f>IF(C101&gt;0,IFERROR((C101-D101),""),"")</f>
        <v/>
      </c>
      <c r="F101" s="268" t="str">
        <f ca="1">IFERROR(E101/D101,"")</f>
        <v/>
      </c>
      <c r="G101" s="345"/>
      <c r="H101" s="345"/>
      <c r="I101" s="345"/>
      <c r="J101" s="345"/>
      <c r="K101" s="345"/>
      <c r="L101" s="345"/>
      <c r="M101" s="345"/>
      <c r="N101" s="345"/>
      <c r="O101" s="345"/>
      <c r="P101" s="345"/>
      <c r="Q101" s="345"/>
      <c r="R101" s="345"/>
      <c r="S101" s="345"/>
      <c r="T101" s="345"/>
      <c r="U101" s="345"/>
      <c r="V101" s="345"/>
      <c r="W101" s="345"/>
      <c r="X101" s="345"/>
      <c r="Y101" s="345"/>
      <c r="Z101" s="345"/>
      <c r="AA101" s="345"/>
      <c r="AB101" s="345"/>
      <c r="AC101" s="345"/>
      <c r="AD101" s="345"/>
    </row>
    <row r="102" spans="2:30" x14ac:dyDescent="0.2">
      <c r="B102" s="368" t="s">
        <v>325</v>
      </c>
      <c r="C102" s="322"/>
      <c r="D102" s="322"/>
      <c r="E102" s="303"/>
      <c r="F102" s="278"/>
      <c r="G102" s="356"/>
      <c r="H102" s="288"/>
      <c r="I102" s="691"/>
      <c r="J102" s="691"/>
      <c r="K102" s="691"/>
      <c r="L102" s="691"/>
      <c r="M102" s="691"/>
      <c r="N102" s="691"/>
      <c r="O102" s="691"/>
      <c r="P102" s="691"/>
      <c r="Q102" s="691"/>
      <c r="R102" s="691"/>
      <c r="S102" s="691"/>
      <c r="T102" s="691"/>
      <c r="U102" s="691"/>
      <c r="V102" s="691"/>
      <c r="W102" s="691"/>
      <c r="X102" s="691"/>
      <c r="Y102" s="691"/>
      <c r="Z102" s="692"/>
    </row>
    <row r="103" spans="2:30" s="110" customFormat="1" x14ac:dyDescent="0.2">
      <c r="B103" s="362" t="s">
        <v>312</v>
      </c>
      <c r="C103" s="311"/>
      <c r="D103" s="331" t="str">
        <f ca="1">IFERROR(AVERAGE(INDIRECT("G"&amp;ROW()&amp;":Z"&amp;ROW())),"")</f>
        <v/>
      </c>
      <c r="E103" s="324" t="str">
        <f>IF(C103&gt;0,IFERROR((C103-D103),""),"")</f>
        <v/>
      </c>
      <c r="F103" s="268" t="str">
        <f ca="1">IFERROR(E103/D103,"")</f>
        <v/>
      </c>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5"/>
      <c r="AC103" s="345"/>
      <c r="AD103" s="345"/>
    </row>
    <row r="104" spans="2:30" s="110" customFormat="1" x14ac:dyDescent="0.2">
      <c r="B104" s="362" t="s">
        <v>313</v>
      </c>
      <c r="C104" s="311"/>
      <c r="D104" s="331" t="str">
        <f ca="1">IFERROR(AVERAGE(INDIRECT("G"&amp;ROW()&amp;":Z"&amp;ROW())),"")</f>
        <v/>
      </c>
      <c r="E104" s="324" t="str">
        <f>IF(C104&gt;0,IFERROR((C104-D104),""),"")</f>
        <v/>
      </c>
      <c r="F104" s="268" t="str">
        <f ca="1">IFERROR(E104/D104,"")</f>
        <v/>
      </c>
      <c r="G104" s="345"/>
      <c r="H104" s="345"/>
      <c r="I104" s="345"/>
      <c r="J104" s="345"/>
      <c r="K104" s="345"/>
      <c r="L104" s="345"/>
      <c r="M104" s="345"/>
      <c r="N104" s="345"/>
      <c r="O104" s="345"/>
      <c r="P104" s="345"/>
      <c r="Q104" s="345"/>
      <c r="R104" s="345"/>
      <c r="S104" s="345"/>
      <c r="T104" s="345"/>
      <c r="U104" s="345"/>
      <c r="V104" s="345"/>
      <c r="W104" s="345"/>
      <c r="X104" s="345"/>
      <c r="Y104" s="345"/>
      <c r="Z104" s="345"/>
      <c r="AA104" s="345"/>
      <c r="AB104" s="345"/>
      <c r="AC104" s="345"/>
      <c r="AD104" s="345"/>
    </row>
    <row r="105" spans="2:30" s="110" customFormat="1" ht="15" thickBot="1" x14ac:dyDescent="0.25">
      <c r="B105" s="369" t="s">
        <v>314</v>
      </c>
      <c r="C105" s="323"/>
      <c r="D105" s="333" t="str">
        <f ca="1">IFERROR(AVERAGE(INDIRECT("G"&amp;ROW()&amp;":Z"&amp;ROW())),"")</f>
        <v/>
      </c>
      <c r="E105" s="422" t="str">
        <f>IF(C105&gt;0,IFERROR((C105-D105),""),"")</f>
        <v/>
      </c>
      <c r="F105" s="423" t="str">
        <f ca="1">IFERROR(E105/D105,"")</f>
        <v/>
      </c>
      <c r="G105" s="357"/>
      <c r="H105" s="357"/>
      <c r="I105" s="357"/>
      <c r="J105" s="357"/>
      <c r="K105" s="357"/>
      <c r="L105" s="357"/>
      <c r="M105" s="357"/>
      <c r="N105" s="357"/>
      <c r="O105" s="357"/>
      <c r="P105" s="357"/>
      <c r="Q105" s="357"/>
      <c r="R105" s="357"/>
      <c r="S105" s="357"/>
      <c r="T105" s="357"/>
      <c r="U105" s="357"/>
      <c r="V105" s="357"/>
      <c r="W105" s="357"/>
      <c r="X105" s="357"/>
      <c r="Y105" s="357"/>
      <c r="Z105" s="357"/>
      <c r="AA105" s="357"/>
      <c r="AB105" s="357"/>
      <c r="AC105" s="357"/>
      <c r="AD105" s="357"/>
    </row>
    <row r="106" spans="2:30" x14ac:dyDescent="0.2">
      <c r="B106" s="368" t="s">
        <v>355</v>
      </c>
      <c r="C106" s="321"/>
      <c r="D106" s="321"/>
      <c r="E106" s="302"/>
      <c r="F106" s="277"/>
      <c r="G106" s="355"/>
      <c r="H106" s="287"/>
      <c r="I106" s="689"/>
      <c r="J106" s="689"/>
      <c r="K106" s="689"/>
      <c r="L106" s="689"/>
      <c r="M106" s="689"/>
      <c r="N106" s="689"/>
      <c r="O106" s="689"/>
      <c r="P106" s="689"/>
      <c r="Q106" s="689"/>
      <c r="R106" s="689"/>
      <c r="S106" s="689"/>
      <c r="T106" s="689"/>
      <c r="U106" s="689"/>
      <c r="V106" s="689"/>
      <c r="W106" s="689"/>
      <c r="X106" s="689"/>
      <c r="Y106" s="689"/>
      <c r="Z106" s="690"/>
    </row>
    <row r="107" spans="2:30" x14ac:dyDescent="0.2">
      <c r="B107" s="363" t="s">
        <v>312</v>
      </c>
      <c r="C107" s="313"/>
      <c r="D107" s="332" t="str">
        <f ca="1">IFERROR(AVERAGE(INDIRECT("G"&amp;ROW()&amp;":Z"&amp;ROW())),"")</f>
        <v/>
      </c>
      <c r="E107" s="325" t="str">
        <f>IF(C107&gt;0,IFERROR((C107-D107),""),"")</f>
        <v/>
      </c>
      <c r="F107" s="268" t="str">
        <f ca="1">IFERROR(E107/D107,"")</f>
        <v/>
      </c>
      <c r="G107" s="347"/>
      <c r="H107" s="347"/>
      <c r="I107" s="347"/>
      <c r="J107" s="347"/>
      <c r="K107" s="347"/>
      <c r="L107" s="347"/>
      <c r="M107" s="347"/>
      <c r="N107" s="347"/>
      <c r="O107" s="347"/>
      <c r="P107" s="347"/>
      <c r="Q107" s="347"/>
      <c r="R107" s="347"/>
      <c r="S107" s="347"/>
      <c r="T107" s="347"/>
      <c r="U107" s="347"/>
      <c r="V107" s="347"/>
      <c r="W107" s="347"/>
      <c r="X107" s="347"/>
      <c r="Y107" s="347"/>
      <c r="Z107" s="347"/>
      <c r="AA107" s="347"/>
      <c r="AB107" s="347"/>
      <c r="AC107" s="347"/>
      <c r="AD107" s="347"/>
    </row>
    <row r="108" spans="2:30" x14ac:dyDescent="0.2">
      <c r="B108" s="363" t="s">
        <v>313</v>
      </c>
      <c r="C108" s="313"/>
      <c r="D108" s="332" t="str">
        <f ca="1">IFERROR(AVERAGE(INDIRECT("G"&amp;ROW()&amp;":Z"&amp;ROW())),"")</f>
        <v/>
      </c>
      <c r="E108" s="325" t="str">
        <f>IF(C108&gt;0,IFERROR((C108-D108),""),"")</f>
        <v/>
      </c>
      <c r="F108" s="268" t="str">
        <f ca="1">IFERROR(E108/D108,"")</f>
        <v/>
      </c>
      <c r="G108" s="347"/>
      <c r="H108" s="347"/>
      <c r="I108" s="347"/>
      <c r="J108" s="347"/>
      <c r="K108" s="347"/>
      <c r="L108" s="347"/>
      <c r="M108" s="347"/>
      <c r="N108" s="347"/>
      <c r="O108" s="347"/>
      <c r="P108" s="347"/>
      <c r="Q108" s="347"/>
      <c r="R108" s="347"/>
      <c r="S108" s="347"/>
      <c r="T108" s="347"/>
      <c r="U108" s="347"/>
      <c r="V108" s="347"/>
      <c r="W108" s="347"/>
      <c r="X108" s="347"/>
      <c r="Y108" s="347"/>
      <c r="Z108" s="347"/>
      <c r="AA108" s="347"/>
      <c r="AB108" s="347"/>
      <c r="AC108" s="347"/>
      <c r="AD108" s="347"/>
    </row>
    <row r="109" spans="2:30" x14ac:dyDescent="0.2">
      <c r="B109" s="363" t="s">
        <v>314</v>
      </c>
      <c r="C109" s="313"/>
      <c r="D109" s="332" t="str">
        <f ca="1">IFERROR(AVERAGE(INDIRECT("G"&amp;ROW()&amp;":Z"&amp;ROW())),"")</f>
        <v/>
      </c>
      <c r="E109" s="325" t="str">
        <f>IF(C109&gt;0,IFERROR((C109-D109),""),"")</f>
        <v/>
      </c>
      <c r="F109" s="268" t="str">
        <f ca="1">IFERROR(E109/D109,"")</f>
        <v/>
      </c>
      <c r="G109" s="347"/>
      <c r="H109" s="347"/>
      <c r="I109" s="347"/>
      <c r="J109" s="347"/>
      <c r="K109" s="347"/>
      <c r="L109" s="347"/>
      <c r="M109" s="347"/>
      <c r="N109" s="347"/>
      <c r="O109" s="347"/>
      <c r="P109" s="347"/>
      <c r="Q109" s="347"/>
      <c r="R109" s="347"/>
      <c r="S109" s="347"/>
      <c r="T109" s="347"/>
      <c r="U109" s="347"/>
      <c r="V109" s="347"/>
      <c r="W109" s="347"/>
      <c r="X109" s="347"/>
      <c r="Y109" s="347"/>
      <c r="Z109" s="347"/>
      <c r="AA109" s="347"/>
      <c r="AB109" s="347"/>
      <c r="AC109" s="347"/>
      <c r="AD109" s="347"/>
    </row>
    <row r="110" spans="2:30" x14ac:dyDescent="0.2">
      <c r="B110" s="368" t="s">
        <v>356</v>
      </c>
      <c r="C110" s="322"/>
      <c r="D110" s="322"/>
      <c r="E110" s="303"/>
      <c r="F110" s="278"/>
      <c r="G110" s="356"/>
      <c r="H110" s="288"/>
      <c r="I110" s="691"/>
      <c r="J110" s="691"/>
      <c r="K110" s="691"/>
      <c r="L110" s="691"/>
      <c r="M110" s="691"/>
      <c r="N110" s="691"/>
      <c r="O110" s="691"/>
      <c r="P110" s="691"/>
      <c r="Q110" s="691"/>
      <c r="R110" s="691"/>
      <c r="S110" s="691"/>
      <c r="T110" s="691"/>
      <c r="U110" s="691"/>
      <c r="V110" s="691"/>
      <c r="W110" s="691"/>
      <c r="X110" s="691"/>
      <c r="Y110" s="691"/>
      <c r="Z110" s="692"/>
    </row>
    <row r="111" spans="2:30" x14ac:dyDescent="0.2">
      <c r="B111" s="363" t="s">
        <v>312</v>
      </c>
      <c r="C111" s="313"/>
      <c r="D111" s="332" t="str">
        <f ca="1">IFERROR(AVERAGE(INDIRECT("G"&amp;ROW()&amp;":Z"&amp;ROW())),"")</f>
        <v/>
      </c>
      <c r="E111" s="325" t="str">
        <f>IF(C111&gt;0,IFERROR((C111-D111),""),"")</f>
        <v/>
      </c>
      <c r="F111" s="268" t="str">
        <f ca="1">IFERROR(E111/D111,"")</f>
        <v/>
      </c>
      <c r="G111" s="347"/>
      <c r="H111" s="347"/>
      <c r="I111" s="347"/>
      <c r="J111" s="347"/>
      <c r="K111" s="347"/>
      <c r="L111" s="347"/>
      <c r="M111" s="347"/>
      <c r="N111" s="347"/>
      <c r="O111" s="347"/>
      <c r="P111" s="347"/>
      <c r="Q111" s="347"/>
      <c r="R111" s="347"/>
      <c r="S111" s="347"/>
      <c r="T111" s="347"/>
      <c r="U111" s="347"/>
      <c r="V111" s="347"/>
      <c r="W111" s="347"/>
      <c r="X111" s="347"/>
      <c r="Y111" s="347"/>
      <c r="Z111" s="347"/>
      <c r="AA111" s="347"/>
      <c r="AB111" s="347"/>
      <c r="AC111" s="347"/>
      <c r="AD111" s="347"/>
    </row>
    <row r="112" spans="2:30" x14ac:dyDescent="0.2">
      <c r="B112" s="363" t="s">
        <v>313</v>
      </c>
      <c r="C112" s="313"/>
      <c r="D112" s="332" t="str">
        <f ca="1">IFERROR(AVERAGE(INDIRECT("G"&amp;ROW()&amp;":Z"&amp;ROW())),"")</f>
        <v/>
      </c>
      <c r="E112" s="325" t="str">
        <f>IF(C112&gt;0,IFERROR((C112-D112),""),"")</f>
        <v/>
      </c>
      <c r="F112" s="268" t="str">
        <f ca="1">IFERROR(E112/D112,"")</f>
        <v/>
      </c>
      <c r="G112" s="347"/>
      <c r="H112" s="347"/>
      <c r="I112" s="347"/>
      <c r="J112" s="347"/>
      <c r="K112" s="347"/>
      <c r="L112" s="347"/>
      <c r="M112" s="347"/>
      <c r="N112" s="347"/>
      <c r="O112" s="347"/>
      <c r="P112" s="347"/>
      <c r="Q112" s="347"/>
      <c r="R112" s="347"/>
      <c r="S112" s="347"/>
      <c r="T112" s="347"/>
      <c r="U112" s="347"/>
      <c r="V112" s="347"/>
      <c r="W112" s="347"/>
      <c r="X112" s="347"/>
      <c r="Y112" s="347"/>
      <c r="Z112" s="347"/>
      <c r="AA112" s="347"/>
      <c r="AB112" s="347"/>
      <c r="AC112" s="347"/>
      <c r="AD112" s="347"/>
    </row>
    <row r="113" spans="2:30" ht="15" thickBot="1" x14ac:dyDescent="0.25">
      <c r="B113" s="693" t="s">
        <v>314</v>
      </c>
      <c r="C113" s="694"/>
      <c r="D113" s="695" t="str">
        <f ca="1">IFERROR(AVERAGE(INDIRECT("G"&amp;ROW()&amp;":Z"&amp;ROW())),"")</f>
        <v/>
      </c>
      <c r="E113" s="696" t="str">
        <f>IF(C113&gt;0,IFERROR((C113-D113),""),"")</f>
        <v/>
      </c>
      <c r="F113" s="697" t="str">
        <f ca="1">IFERROR(E113/D113,"")</f>
        <v/>
      </c>
      <c r="G113" s="698"/>
      <c r="H113" s="698"/>
      <c r="I113" s="698"/>
      <c r="J113" s="698"/>
      <c r="K113" s="698"/>
      <c r="L113" s="698"/>
      <c r="M113" s="698"/>
      <c r="N113" s="698"/>
      <c r="O113" s="698"/>
      <c r="P113" s="698"/>
      <c r="Q113" s="698"/>
      <c r="R113" s="698"/>
      <c r="S113" s="698"/>
      <c r="T113" s="698"/>
      <c r="U113" s="698"/>
      <c r="V113" s="698"/>
      <c r="W113" s="698"/>
      <c r="X113" s="698"/>
      <c r="Y113" s="698"/>
      <c r="Z113" s="698"/>
      <c r="AA113" s="698"/>
      <c r="AB113" s="698"/>
      <c r="AC113" s="698"/>
      <c r="AD113" s="698"/>
    </row>
  </sheetData>
  <conditionalFormatting sqref="E4:F113">
    <cfRule type="cellIs" dxfId="2388" priority="1" operator="lessThan">
      <formula>0</formula>
    </cfRule>
    <cfRule type="cellIs" dxfId="2387" priority="2" operator="greaterThan">
      <formula>0</formula>
    </cfRule>
  </conditionalFormatting>
  <pageMargins left="0.25" right="0.25" top="0.75" bottom="0.75" header="0.3" footer="0.3"/>
  <pageSetup scale="22" fitToHeight="0" orientation="landscape" r:id="rId1"/>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BD7C4-D8F5-4491-BDC5-1FBF1CE9A78F}">
  <dimension ref="B1:AN806"/>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baseColWidth="10" defaultColWidth="8.6640625" defaultRowHeight="14" x14ac:dyDescent="0.2"/>
  <cols>
    <col min="1" max="1" width="1.6640625" style="1" customWidth="1"/>
    <col min="2" max="3" width="23.5" style="1" customWidth="1"/>
    <col min="4" max="4" width="1.6640625" style="1" customWidth="1"/>
    <col min="5" max="5" width="2.6640625" style="1" hidden="1" customWidth="1"/>
    <col min="6" max="6" width="24.6640625" style="1" hidden="1" customWidth="1"/>
    <col min="7" max="7" width="31.1640625" style="1" bestFit="1" customWidth="1"/>
    <col min="8" max="8" width="6.83203125" style="17" customWidth="1"/>
    <col min="9" max="9" width="10.33203125" style="3" customWidth="1"/>
    <col min="10" max="10" width="6.83203125" style="3" bestFit="1" customWidth="1"/>
    <col min="11" max="11" width="22.33203125" style="1" hidden="1" customWidth="1"/>
    <col min="12" max="12" width="8.33203125" style="4" customWidth="1"/>
    <col min="13" max="13" width="7.33203125" style="4" customWidth="1"/>
    <col min="14" max="14" width="8.83203125" style="4" customWidth="1"/>
    <col min="15" max="15" width="14.1640625" style="4" hidden="1" customWidth="1"/>
    <col min="16" max="16" width="7.5" style="259" customWidth="1"/>
    <col min="17" max="17" width="7.83203125" style="2" hidden="1" customWidth="1"/>
    <col min="18" max="18" width="7.83203125" style="4" customWidth="1"/>
    <col min="19" max="19" width="7.83203125" style="27" customWidth="1"/>
    <col min="20" max="27" width="8.1640625" style="4" customWidth="1"/>
    <col min="28" max="29" width="7.1640625" style="4" customWidth="1"/>
    <col min="30" max="34" width="7.1640625" style="5" customWidth="1"/>
    <col min="35" max="36" width="7.1640625" style="6" customWidth="1"/>
    <col min="37" max="40" width="7.1640625" style="4" customWidth="1"/>
    <col min="41" max="16384" width="8.6640625" style="1"/>
  </cols>
  <sheetData>
    <row r="1" spans="2:40" ht="10" customHeight="1" x14ac:dyDescent="0.2"/>
    <row r="2" spans="2:40" ht="24" x14ac:dyDescent="0.2">
      <c r="B2" s="519" t="s">
        <v>454</v>
      </c>
      <c r="C2" s="519"/>
      <c r="D2" s="706"/>
      <c r="E2" s="706"/>
      <c r="F2" s="706"/>
      <c r="G2" s="706"/>
      <c r="H2" s="707"/>
      <c r="I2" s="708"/>
      <c r="J2" s="708"/>
      <c r="K2" s="540"/>
      <c r="L2" s="709"/>
      <c r="M2" s="709"/>
      <c r="N2" s="709"/>
      <c r="O2" s="541"/>
      <c r="P2" s="541"/>
      <c r="Q2" s="717"/>
      <c r="R2" s="541"/>
      <c r="S2" s="541"/>
      <c r="T2" s="541"/>
      <c r="U2" s="541"/>
      <c r="V2" s="541"/>
      <c r="W2" s="541"/>
      <c r="X2" s="541"/>
      <c r="Y2" s="88"/>
      <c r="Z2" s="88"/>
      <c r="AA2" s="88"/>
      <c r="AB2" s="541"/>
      <c r="AC2" s="541"/>
      <c r="AD2" s="88"/>
      <c r="AE2" s="88"/>
      <c r="AF2" s="88"/>
      <c r="AG2" s="88"/>
      <c r="AH2" s="88"/>
      <c r="AI2" s="89"/>
      <c r="AJ2" s="540"/>
      <c r="AK2" s="541"/>
      <c r="AL2" s="826" t="s">
        <v>388</v>
      </c>
      <c r="AM2" s="843">
        <v>45978</v>
      </c>
      <c r="AN2" s="843"/>
    </row>
    <row r="3" spans="2:40" x14ac:dyDescent="0.2">
      <c r="B3" s="556" t="s">
        <v>472</v>
      </c>
      <c r="C3" s="556"/>
      <c r="D3" s="556"/>
      <c r="E3" s="556"/>
      <c r="F3" s="556"/>
      <c r="G3" s="556"/>
      <c r="H3" s="704"/>
      <c r="I3" s="703"/>
      <c r="J3" s="703"/>
      <c r="L3" s="3"/>
      <c r="M3" s="3"/>
      <c r="N3" s="3"/>
      <c r="P3" s="13"/>
      <c r="T3" s="542" t="s">
        <v>404</v>
      </c>
      <c r="U3" s="844" t="s">
        <v>409</v>
      </c>
      <c r="V3" s="844"/>
      <c r="W3" s="844"/>
      <c r="X3" s="524"/>
      <c r="Y3" s="524"/>
      <c r="Z3" s="524"/>
      <c r="AA3" s="524"/>
      <c r="AK3" s="735"/>
      <c r="AL3" s="737" t="s">
        <v>455</v>
      </c>
      <c r="AM3" s="844" t="s">
        <v>124</v>
      </c>
      <c r="AN3" s="844"/>
    </row>
    <row r="4" spans="2:40" ht="5" customHeight="1" x14ac:dyDescent="0.2">
      <c r="B4" s="556"/>
      <c r="C4" s="556"/>
      <c r="D4" s="556"/>
      <c r="E4" s="556"/>
      <c r="F4" s="556"/>
      <c r="G4" s="556"/>
      <c r="H4" s="704"/>
      <c r="I4" s="703"/>
      <c r="J4" s="703"/>
      <c r="L4" s="3"/>
      <c r="M4" s="3"/>
      <c r="N4" s="3"/>
      <c r="P4" s="13"/>
      <c r="T4" s="5"/>
      <c r="U4" s="6"/>
      <c r="V4" s="6"/>
      <c r="W4" s="5"/>
      <c r="X4" s="5"/>
      <c r="Y4" s="5"/>
      <c r="Z4" s="5"/>
      <c r="AA4" s="5"/>
      <c r="AB4" s="1"/>
      <c r="AC4" s="1"/>
      <c r="AD4" s="1"/>
      <c r="AE4" s="1"/>
      <c r="AF4" s="1"/>
      <c r="AG4" s="1"/>
      <c r="AH4" s="1"/>
      <c r="AI4" s="1"/>
      <c r="AJ4" s="1"/>
    </row>
    <row r="5" spans="2:40" x14ac:dyDescent="0.2">
      <c r="L5" s="3"/>
      <c r="T5" s="710">
        <v>365</v>
      </c>
      <c r="U5" s="847" t="s">
        <v>470</v>
      </c>
      <c r="V5" s="848"/>
      <c r="W5" s="849"/>
      <c r="X5" s="710">
        <v>30</v>
      </c>
      <c r="Y5" s="847" t="s">
        <v>470</v>
      </c>
      <c r="Z5" s="848"/>
      <c r="AA5" s="848"/>
      <c r="AB5" s="850" t="s">
        <v>411</v>
      </c>
      <c r="AC5" s="851"/>
      <c r="AD5" s="850" t="s">
        <v>467</v>
      </c>
      <c r="AE5" s="851"/>
      <c r="AF5" s="851"/>
      <c r="AG5" s="851"/>
      <c r="AH5" s="852" t="s">
        <v>468</v>
      </c>
      <c r="AI5" s="853"/>
      <c r="AJ5" s="854"/>
      <c r="AK5" s="845" t="str">
        <f>"△ "&amp;T5&amp;"-Day Avg"</f>
        <v>△ 365-Day Avg</v>
      </c>
      <c r="AL5" s="846"/>
      <c r="AM5" s="845" t="str">
        <f>"△ "&amp;X5&amp;"-Day Avg"</f>
        <v>△ 30-Day Avg</v>
      </c>
      <c r="AN5" s="845"/>
    </row>
    <row r="6" spans="2:40" ht="15" x14ac:dyDescent="0.2">
      <c r="F6" s="711" t="s">
        <v>5</v>
      </c>
      <c r="G6" s="711" t="s">
        <v>5</v>
      </c>
      <c r="H6" s="712" t="s">
        <v>461</v>
      </c>
      <c r="I6" s="536" t="s">
        <v>307</v>
      </c>
      <c r="J6" s="536" t="s">
        <v>1</v>
      </c>
      <c r="K6" s="926" t="s">
        <v>9</v>
      </c>
      <c r="L6" s="927" t="s">
        <v>11</v>
      </c>
      <c r="M6" s="928" t="s">
        <v>12</v>
      </c>
      <c r="N6" s="928" t="s">
        <v>413</v>
      </c>
      <c r="O6" s="929" t="s">
        <v>460</v>
      </c>
      <c r="P6" s="930" t="s">
        <v>14</v>
      </c>
      <c r="Q6" s="936" t="s">
        <v>462</v>
      </c>
      <c r="R6" s="536" t="s">
        <v>1</v>
      </c>
      <c r="S6" s="825" t="s">
        <v>453</v>
      </c>
      <c r="T6" s="554" t="str">
        <f>IF($U$3="Chunk Rent","Avg Rent","Avg PSF")</f>
        <v>Avg Rent</v>
      </c>
      <c r="U6" s="555" t="str">
        <f>IF($U$3="Chunk Rent","NER","NER PSF")</f>
        <v>NER</v>
      </c>
      <c r="V6" s="555" t="s">
        <v>457</v>
      </c>
      <c r="W6" s="823" t="s">
        <v>469</v>
      </c>
      <c r="X6" s="554" t="str">
        <f>IF($U$3="Chunk Rent","Avg Rent","Avg PSF")</f>
        <v>Avg Rent</v>
      </c>
      <c r="Y6" s="555" t="str">
        <f>IF($U$3="Chunk Rent","NER","NER PSF")</f>
        <v>NER</v>
      </c>
      <c r="Z6" s="555" t="s">
        <v>457</v>
      </c>
      <c r="AA6" s="554" t="s">
        <v>469</v>
      </c>
      <c r="AB6" s="701" t="s">
        <v>471</v>
      </c>
      <c r="AC6" s="718" t="s">
        <v>453</v>
      </c>
      <c r="AD6" s="701" t="s">
        <v>458</v>
      </c>
      <c r="AE6" s="701" t="s">
        <v>101</v>
      </c>
      <c r="AF6" s="701" t="s">
        <v>459</v>
      </c>
      <c r="AG6" s="718" t="s">
        <v>102</v>
      </c>
      <c r="AH6" s="822" t="s">
        <v>101</v>
      </c>
      <c r="AI6" s="822" t="s">
        <v>102</v>
      </c>
      <c r="AJ6" s="822" t="s">
        <v>457</v>
      </c>
      <c r="AK6" s="715" t="s">
        <v>326</v>
      </c>
      <c r="AL6" s="715" t="s">
        <v>327</v>
      </c>
      <c r="AM6" s="715" t="s">
        <v>326</v>
      </c>
      <c r="AN6" s="715" t="s">
        <v>327</v>
      </c>
    </row>
    <row r="7" spans="2:40" x14ac:dyDescent="0.2">
      <c r="B7" s="719"/>
      <c r="C7" s="719"/>
      <c r="F7" s="1" t="str">
        <f t="shared" ref="F7:F70" si="0">IF(RIGHT(K7,5)="Total","Total",IF(ISTEXT(K7),K7,IF(F6="Total","",F6)))</f>
        <v>(B) 535 Hastings Street - 4 (29-27)</v>
      </c>
      <c r="G7" s="713" t="str">
        <f t="shared" ref="G7" si="1">IF(F7=F6,"",F7)</f>
        <v>(B) 535 Hastings Street - 4 (29-27)</v>
      </c>
      <c r="H7" s="17">
        <f>IFERROR(VLOOKUP($G7,Table1[[Property]:[Exposure %]],4,0),"")</f>
        <v>4.2170454902472674</v>
      </c>
      <c r="I7" s="3">
        <f>IFERROR(VLOOKUP($G7,Table1[[Property]:[Exposure %]],6,0),"")</f>
        <v>0</v>
      </c>
      <c r="J7" s="3">
        <f>IFERROR(VLOOKUP($G7,Table1[[Property]:[Exposure %]],7,0),"")</f>
        <v>0</v>
      </c>
      <c r="K7" s="932" t="s">
        <v>499</v>
      </c>
      <c r="L7" s="933">
        <v>2</v>
      </c>
      <c r="M7" s="934">
        <v>1</v>
      </c>
      <c r="N7" s="934" t="s">
        <v>191</v>
      </c>
      <c r="O7" s="932">
        <v>725</v>
      </c>
      <c r="P7" s="931">
        <v>725</v>
      </c>
      <c r="Q7" s="935">
        <v>1</v>
      </c>
      <c r="R7" s="4">
        <f>IFERROR(VLOOKUP(IF(F7="Total",F6,F7),Table1[[Property]:['# Units]],7,0)*S7,"")</f>
        <v>0</v>
      </c>
      <c r="S7" s="27">
        <f t="shared" ref="S7:S70" si="2">IF(Q7=0,"",Q7)</f>
        <v>1</v>
      </c>
      <c r="T7" s="531">
        <f>IFERROR(
 IF($F7="Total",
   SUMPRODUCT(
   INDEX(T:T, ROW()-COUNTIF($F$6:INDEX($F:$F, ROW()-1), $F6)) : INDEX(T:T, ROW()-1),
   INDEX(W:W, ROW()-COUNTIF($F$6:INDEX($F:$F, ROW()-1), $F6)) : INDEX(W:W, ROW()-1)
   )
   /SUM(INDEX(W:W, ROW()-COUNTIF($F$6:INDEX($F:$F, ROW()-1), $F6)) : INDEX(W:W, ROW()-1)),
   AVERAGEIFS(
     INDEX((unit_details[Asking Rent],unit_details[Asking PSF]),0,1,IF($U$3="Chunk Rent",1,2)),
     unit_details[Leased Date],"&gt;="&amp;($AM$2-T$5),
     unit_details[Leased Date],"&lt;"&amp;$AM$2,
     unit_details[Beds],$L7,
     unit_details[Baths],$M7,
     unit_details[Partial Baths],IF(ISNUMBER($N7),$N7,""),
     unit_details[Sqft],$P7,
     unit_details[Property Name],$F7)
 ),"")</f>
        <v>1150</v>
      </c>
      <c r="U7" s="552">
        <f>IFERROR(
 IF($F7="Total",
   SUMPRODUCT(
   INDEX(U:U, ROW()-COUNTIF($F$6:INDEX($F:$F, ROW()-1), $F6)) : INDEX(U:U, ROW()-1),
   INDEX(W:W, ROW()-COUNTIF($F$6:INDEX($F:$F, ROW()-1), $F6)) : INDEX(W:W, ROW()-1)
   )
   /SUM(INDEX(W:W, ROW()-COUNTIF($F$6:INDEX($F:$F, ROW()-1), $F6)) : INDEX(W:W, ROW()-1)),
   AVERAGEIFS(
     INDEX((unit_details[Effective Rent],unit_details[Effective PSF]),0,1,IF($U$3="Chunk Rent",1,2)),
     unit_details[Leased Date],"&gt;="&amp;($AM$2-T$5),
     unit_details[Leased Date],"&lt;"&amp;$AM$2,
     unit_details[Beds],$L7,
     unit_details[Baths],$M7,
     unit_details[Partial Baths],IF(ISNUMBER($N7),$N7,""),
     unit_details[Sqft],$P7,
     unit_details[Property Name],$F7)
 ),"")</f>
        <v>1150</v>
      </c>
      <c r="V7" s="27" t="str">
        <f>IFERROR(IF((T7-U7)/T7=0,"",(T7-U7)/T7),"")</f>
        <v/>
      </c>
      <c r="W7" s="526">
        <f>IFERROR(
  IF($F7="Total",
    SUM(INDEX(W:W, ROW()-COUNTIF($F$6:INDEX($F:$F, ROW()-1), $F6)) : INDEX(W:W, ROW()-1)),
    COUNTIFS(
      unit_details[Leased Date], "&gt;="&amp;($AM$2-T$5),
      unit_details[Leased Date], "&lt;"&amp;$AM$2,
      unit_details[Beds], $L7,
      unit_details[Baths], $M7,
      unit_details[Partial Baths], IF(ISNUMBER($N7), $N7, ""),
      unit_details[Sqft],$P7,
      unit_details[Property Name], $F7
    )
  ),
"")</f>
        <v>2</v>
      </c>
      <c r="X7" s="531">
        <f>IFERROR(
 IF($F7="Total",
   SUMPRODUCT(
   INDEX(X:X, ROW()-COUNTIF($F$6:INDEX($F:$F, ROW()-1), $F6)) : INDEX(X:X, ROW()-1),
   INDEX(AA:AA, ROW()-COUNTIF($F$6:INDEX($F:$F, ROW()-1), $F6)) : INDEX(AA:AA, ROW()-1)
   )
   /SUM(INDEX(AA:AA, ROW()-COUNTIF($F$6:INDEX($F:$F, ROW()-1), $F6)) : INDEX(AA:AA, ROW()-1)),
   AVERAGEIFS(
     INDEX((unit_details[Asking Rent],unit_details[Asking PSF]),0,1,IF($U$3="Chunk Rent",1,2)),
     unit_details[Leased Date],"&gt;="&amp;($AM$2-X$5),
     unit_details[Leased Date],"&lt;"&amp;$AM$2,
     unit_details[Beds],$L7,
     unit_details[Baths],$M7,
     unit_details[Partial Baths],IF(ISNUMBER($N7),$N7,""),
     unit_details[Sqft],$P7,
     unit_details[Property Name],$F7)
 ),"")</f>
        <v>1150</v>
      </c>
      <c r="Y7" s="552">
        <f>IFERROR(
 IF($F7="Total",
   SUMPRODUCT(
   INDEX(Y:Y, ROW()-COUNTIF($F$6:INDEX($F:$F, ROW()-1), $F6)) : INDEX(Y:Y, ROW()-1),
   INDEX(AA:AA, ROW()-COUNTIF($F$6:INDEX($F:$F, ROW()-1), $F6)) : INDEX(AA:AA, ROW()-1)
   )
   /SUM(INDEX(AA:AA, ROW()-COUNTIF($F$6:INDEX($F:$F, ROW()-1), $F6)) : INDEX(AA:AA, ROW()-1)),
   AVERAGEIFS(
     INDEX((unit_details[Effective Rent],unit_details[Effective PSF]),0,1,IF($U$3="Chunk Rent",1,2)),
     unit_details[Leased Date],"&gt;="&amp;($AM$2-X$5),
     unit_details[Leased Date],"&lt;"&amp;$AM$2,
     unit_details[Beds],$L7,
     unit_details[Baths],$M7,
     unit_details[Partial Baths],IF(ISNUMBER($N7),$N7,""),
     unit_details[Sqft],$P7,
     unit_details[Property Name],$F7)
 ),"")</f>
        <v>1150</v>
      </c>
      <c r="Z7" s="27" t="str">
        <f>IFERROR(IF((X7-Y7)/X7=0,"",(X7-Y7)/X7),"")</f>
        <v/>
      </c>
      <c r="AA7" s="526">
        <f>IFERROR(
  IF($F7="Total",
    SUM(INDEX(AA:AA, ROW()-COUNTIF($F$6:INDEX($F:$F, ROW()-1), $F6)) : INDEX(AA:AA, ROW()-1)),
    COUNTIFS(
      unit_details[Leased Date], "&gt;="&amp;($AM$2-X$5),
      unit_details[Leased Date], "&lt;"&amp;$AM$2,
      unit_details[Beds], $L7,
      unit_details[Baths], $M7,
      unit_details[Partial Baths], IF(ISNUMBER($N7), $N7, ""),
      unit_details[Sqft],$P7,
      unit_details[Property Name], $F7
    )
  ),
"")</f>
        <v>2</v>
      </c>
      <c r="AB7" s="290">
        <f>IF($F7="Total",
SUM(INDEX(AB:AB, ROW()-COUNTIF($F$6:INDEX($F:$F, ROW()-1), $F6)) : INDEX(AB:AB, ROW()-1)),
COUNTIFS(unit_details[Active Listing?],TRUE,
          unit_details[Property Name], $F7,
          unit_details[Beds], $L7,
          unit_details[Baths], $M7,
          unit_details[Partial Baths],IF(ISNUMBER($N7),$N7,""),
          unit_details[Sqft],$P7))</f>
        <v>0</v>
      </c>
      <c r="AC7" s="27" t="str">
        <f t="shared" ref="AC7:AC70" si="3">IFERROR(AB7/R7,"")</f>
        <v/>
      </c>
      <c r="AD7" s="293" t="str">
        <f>IFERROR(IF(AE7="","",IF($F7="Total",
SUMPRODUCT(
   INDEX(AD:AD, ROW()-COUNTIF($F$6:INDEX($F:$F, ROW()-1), $F6)) : INDEX(AD:AD, ROW()-1),
   INDEX(AB:AB, ROW()-COUNTIF($F$6:INDEX($F:$F, ROW()-1), $F6)) : INDEX(AB:AB, ROW()-1)
   )
   /SUM(INDEX(AB:AB, ROW()-COUNTIF($F$6:INDEX($F:$F, ROW()-1), $F6)) : INDEX(AB:AB, ROW()-1)),
          _xlfn.MINIFS(unit_details[Asking Rent],
          unit_details[Active Listing?],TRUE,
          unit_details[Property Name], $F7,
          unit_details[Beds], $L7,
          unit_details[Baths], $M7,
          unit_details[Partial Baths], IF(ISNUMBER($N7),$N7,""),
          unit_details[Sqft],$P7
))),"")</f>
        <v/>
      </c>
      <c r="AE7" s="5" t="str">
        <f>IFERROR(IF($F7="Total",
          SUMPRODUCT(
   INDEX(AE:AE, ROW()-COUNTIF($F$6:INDEX($F:$F, ROW()-1), $F6)) : INDEX(AE:AE, ROW()-1),
   INDEX(AB:AB, ROW()-COUNTIF($F$6:INDEX($F:$F, ROW()-1), $F6)) : INDEX(AB:AB, ROW()-1)
   )
   /SUM(INDEX(AB:AB, ROW()-COUNTIF($F$6:INDEX($F:$F, ROW()-1), $F6)) : INDEX(AB:AB, ROW()-1)),
          AVERAGEIFS(unit_details[Asking Rent],
          unit_details[Active Listing?],TRUE,
          unit_details[Property Name], $F7,
          unit_details[Beds], $L7,
          unit_details[Baths], $M7,
          unit_details[Partial Baths], IF(ISNUMBER($N7),$N7,""),
          unit_details[Sqft],$P7
)),"")</f>
        <v/>
      </c>
      <c r="AF7" s="5" t="str">
        <f>IFERROR(IF(AE7="","",IF($F7="Total",
SUMPRODUCT(
   INDEX(AF:AF, ROW()-COUNTIF($F$6:INDEX($F:$F, ROW()-1), $F6)) : INDEX(AF:AF, ROW()-1),
   INDEX(AB:AB, ROW()-COUNTIF($F$6:INDEX($F:$F, ROW()-1), $F6)) : INDEX(AB:AB, ROW()-1)
   )
   /SUM(INDEX(AB:AB, ROW()-COUNTIF($F$6:INDEX($F:$F, ROW()-1), $F6)) : INDEX(AB:AB, ROW()-1)),
           _xlfn.MAXIFS(unit_details[Asking Rent],
          unit_details[Active Listing?],TRUE,
          unit_details[Property Name], $F7,
          unit_details[Beds], $L7,
          unit_details[Baths], $M7,
          unit_details[Partial Baths], IF(ISNUMBER($N7),$N7,""),
          unit_details[Sqft],$P7
))),"")</f>
        <v/>
      </c>
      <c r="AG7" s="6" t="str">
        <f>IFERROR(IF($F7="Total",
         SUMPRODUCT(
         INDEX(AG:AG, ROW()-COUNTIF($F$6:INDEX($F:$F, ROW()-1), $F6)) : INDEX(AG:AG, ROW()-1),
         INDEX(AB:AB, ROW()-COUNTIF($F$6:INDEX($F:$F, ROW()-1), $F6)) : INDEX(AB:AB, ROW()-1)
         )
         /SUM(INDEX(AB:AB, ROW()-COUNTIF($F$6:INDEX($F:$F, ROW()-1), $F6)) : INDEX(AB:AB, ROW()-1)),
          AVERAGEIFS(unit_details[Asking PSF],
          unit_details[Active Listing?],TRUE,
          unit_details[Property Name], $F7,
          unit_details[Beds], $L7,
          unit_details[Baths], $M7,
          unit_details[Partial Baths], IF(ISNUMBER($N7),$N7,""),
          unit_details[Sqft],$P7
)),"")</f>
        <v/>
      </c>
      <c r="AH7" s="293" t="str">
        <f>IFERROR(IF($F7="Total",
         SUMPRODUCT(
         INDEX(AH:AH, ROW()-COUNTIF($F$6:INDEX($F:$F, ROW()-1), $F6)) : INDEX(AH:AH, ROW()-1),
         INDEX(AB:AB, ROW()-COUNTIF($F$6:INDEX($F:$F, ROW()-1), $F6)) : INDEX(AB:AB, ROW()-1)
         )
         /SUM(INDEX(AB:AB, ROW()-COUNTIF($F$6:INDEX($F:$F, ROW()-1), $F6)) : INDEX(AB:AB, ROW()-1)),
          AVERAGEIFS(unit_details[Effective Rent],
          unit_details[Active Listing?],TRUE,
          unit_details[Property Name], $F7,
          unit_details[Beds], $L7,
          unit_details[Baths], $M7,
          unit_details[Partial Baths], IF(ISNUMBER($N7),$N7,""),
          unit_details[Sqft],$P7
)),"")</f>
        <v/>
      </c>
      <c r="AI7" s="6" t="str">
        <f>IFERROR(IF($F7="Total",
         SUMPRODUCT(
         INDEX(AI:AI, ROW()-COUNTIF($F$6:INDEX($F:$F, ROW()-1), $F6)) : INDEX(AI:AI, ROW()-1),
         INDEX(AB:AB, ROW()-COUNTIF($F$6:INDEX($F:$F, ROW()-1), $F6)) : INDEX(AB:AB, ROW()-1)
         )
         /SUM(INDEX(AB:AB, ROW()-COUNTIF($F$6:INDEX($F:$F, ROW()-1), $F6)) : INDEX(AB:AB, ROW()-1)),
           AVERAGEIFS(unit_details[Effective PSF],
          unit_details[Active Listing?],TRUE,
          unit_details[Property Name], $F7,
          unit_details[Beds], $L7,
          unit_details[Baths], $M7,
          unit_details[Partial Baths], IF(ISNUMBER($N7),$N7,""),
          unit_details[Sqft],$P7
)),"")</f>
        <v/>
      </c>
      <c r="AJ7" s="824" t="str">
        <f t="shared" ref="AJ7:AJ70" si="4">IFERROR((AE7-AH7)/AE7,"")</f>
        <v/>
      </c>
      <c r="AK7" s="531" t="str">
        <f t="shared" ref="AK7:AK70" si="5">IFERROR(
IF(AND($AM$3="Asking Rent",$U$3="Chunk Rent"),$AE7-$T7,
IF(AND($AM$3="Effective Rent",$U$3="Chunk Rent"),$AH7-$U7,
IF(AND($AM$3="Asking Rent",$U$3="Rent PSF"),$AG7-$T7,$AI7-$U7))),"")</f>
        <v/>
      </c>
      <c r="AL7" s="714" t="str">
        <f t="shared" ref="AL7:AL70" si="6">IFERROR(AK7/(IF($AM$3="Asking Rent",T7,U7)),"")</f>
        <v/>
      </c>
      <c r="AM7" s="531" t="str">
        <f t="shared" ref="AM7:AM70" si="7">IFERROR(
IF(AND($AM$3="Asking Rent",$U$3="Chunk Rent"),$AE7-$X7,
IF(AND($AM$3="Effective Rent",$U$3="Chunk Rent"),$AH7-$Y7,
IF(AND($AM$3="Asking Rent",$U$3="Rent PSF"),$AG7-$X7,$AI7-$Y7))),"")</f>
        <v/>
      </c>
      <c r="AN7" s="716" t="str">
        <f t="shared" ref="AN7:AN70" si="8">IFERROR(AM7/(IF($AM$3="Asking Rent",X7,Y7)),"")</f>
        <v/>
      </c>
    </row>
    <row r="8" spans="2:40" x14ac:dyDescent="0.2">
      <c r="B8" s="719"/>
      <c r="C8" s="719"/>
      <c r="F8" s="1" t="str">
        <f t="shared" si="0"/>
        <v>Total</v>
      </c>
      <c r="G8" s="713" t="str">
        <f t="shared" ref="G8:G71" si="9">IF(F8=F7,"",F8)</f>
        <v>Total</v>
      </c>
      <c r="H8" s="17" t="str">
        <f>IFERROR(VLOOKUP($G8,Table1[[Property]:[Exposure %]],4,0),"")</f>
        <v/>
      </c>
      <c r="I8" s="3" t="str">
        <f>IFERROR(VLOOKUP($G8,Table1[[Property]:[Exposure %]],6,0),"")</f>
        <v/>
      </c>
      <c r="J8" s="3" t="str">
        <f>IFERROR(VLOOKUP($G8,Table1[[Property]:[Exposure %]],7,0),"")</f>
        <v/>
      </c>
      <c r="K8" s="932" t="s">
        <v>277</v>
      </c>
      <c r="L8" s="932"/>
      <c r="M8" s="932"/>
      <c r="N8" s="932"/>
      <c r="O8" s="932"/>
      <c r="P8" s="931">
        <v>725</v>
      </c>
      <c r="Q8" s="935">
        <v>1</v>
      </c>
      <c r="R8" s="4">
        <f>IFERROR(VLOOKUP(IF(F8="Total",F7,F8),Table1[[Property]:['# Units]],7,0)*S8,"")</f>
        <v>0</v>
      </c>
      <c r="S8" s="27">
        <f t="shared" si="2"/>
        <v>1</v>
      </c>
      <c r="T8" s="531">
        <f>IFERROR(
 IF($F8="Total",
   SUMPRODUCT(
   INDEX(T:T, ROW()-COUNTIF($F$6:INDEX($F:$F, ROW()-1), $F7)) : INDEX(T:T, ROW()-1),
   INDEX(W:W, ROW()-COUNTIF($F$6:INDEX($F:$F, ROW()-1), $F7)) : INDEX(W:W, ROW()-1)
   )
   /SUM(INDEX(W:W, ROW()-COUNTIF($F$6:INDEX($F:$F, ROW()-1), $F7)) : INDEX(W:W, ROW()-1)),
   AVERAGEIFS(
     INDEX((unit_details[Asking Rent],unit_details[Asking PSF]),0,1,IF($U$3="Chunk Rent",1,2)),
     unit_details[Leased Date],"&gt;="&amp;($AM$2-T$5),
     unit_details[Leased Date],"&lt;"&amp;$AM$2,
     unit_details[Beds],$L8,
     unit_details[Baths],$M8,
     unit_details[Partial Baths],IF(ISNUMBER($N8),$N8,""),
     unit_details[Sqft],$P8,
     unit_details[Property Name],$F8)
 ),"")</f>
        <v>1150</v>
      </c>
      <c r="U8" s="552">
        <f>IFERROR(
 IF($F8="Total",
   SUMPRODUCT(
   INDEX(U:U, ROW()-COUNTIF($F$6:INDEX($F:$F, ROW()-1), $F7)) : INDEX(U:U, ROW()-1),
   INDEX(W:W, ROW()-COUNTIF($F$6:INDEX($F:$F, ROW()-1), $F7)) : INDEX(W:W, ROW()-1)
   )
   /SUM(INDEX(W:W, ROW()-COUNTIF($F$6:INDEX($F:$F, ROW()-1), $F7)) : INDEX(W:W, ROW()-1)),
   AVERAGEIFS(
     INDEX((unit_details[Effective Rent],unit_details[Effective PSF]),0,1,IF($U$3="Chunk Rent",1,2)),
     unit_details[Leased Date],"&gt;="&amp;($AM$2-T$5),
     unit_details[Leased Date],"&lt;"&amp;$AM$2,
     unit_details[Beds],$L8,
     unit_details[Baths],$M8,
     unit_details[Partial Baths],IF(ISNUMBER($N8),$N8,""),
     unit_details[Sqft],$P8,
     unit_details[Property Name],$F8)
 ),"")</f>
        <v>1150</v>
      </c>
      <c r="V8" s="27" t="str">
        <f t="shared" ref="V8:V71" si="10">IFERROR(IF((T8-U8)/T8=0,"",(T8-U8)/T8),"")</f>
        <v/>
      </c>
      <c r="W8" s="526">
        <f>IFERROR(
  IF($F8="Total",
    SUM(INDEX(W:W, ROW()-COUNTIF($F$6:INDEX($F:$F, ROW()-1), $F7)) : INDEX(W:W, ROW()-1)),
    COUNTIFS(
      unit_details[Leased Date], "&gt;="&amp;($AM$2-T$5),
      unit_details[Leased Date], "&lt;"&amp;$AM$2,
      unit_details[Beds], $L8,
      unit_details[Baths], $M8,
      unit_details[Partial Baths], IF(ISNUMBER($N8), $N8, ""),
      unit_details[Sqft],$P8,
      unit_details[Property Name], $F8
    )
  ),
"")</f>
        <v>2</v>
      </c>
      <c r="X8" s="531">
        <f>IFERROR(
 IF($F8="Total",
   SUMPRODUCT(
   INDEX(X:X, ROW()-COUNTIF($F$6:INDEX($F:$F, ROW()-1), $F7)) : INDEX(X:X, ROW()-1),
   INDEX(AA:AA, ROW()-COUNTIF($F$6:INDEX($F:$F, ROW()-1), $F7)) : INDEX(AA:AA, ROW()-1)
   )
   /SUM(INDEX(AA:AA, ROW()-COUNTIF($F$6:INDEX($F:$F, ROW()-1), $F7)) : INDEX(AA:AA, ROW()-1)),
   AVERAGEIFS(
     INDEX((unit_details[Asking Rent],unit_details[Asking PSF]),0,1,IF($U$3="Chunk Rent",1,2)),
     unit_details[Leased Date],"&gt;="&amp;($AM$2-X$5),
     unit_details[Leased Date],"&lt;"&amp;$AM$2,
     unit_details[Beds],$L8,
     unit_details[Baths],$M8,
     unit_details[Partial Baths],IF(ISNUMBER($N8),$N8,""),
     unit_details[Sqft],$P8,
     unit_details[Property Name],$F8)
 ),"")</f>
        <v>1150</v>
      </c>
      <c r="Y8" s="552">
        <f>IFERROR(
 IF($F8="Total",
   SUMPRODUCT(
   INDEX(Y:Y, ROW()-COUNTIF($F$6:INDEX($F:$F, ROW()-1), $F7)) : INDEX(Y:Y, ROW()-1),
   INDEX(AA:AA, ROW()-COUNTIF($F$6:INDEX($F:$F, ROW()-1), $F7)) : INDEX(AA:AA, ROW()-1)
   )
   /SUM(INDEX(AA:AA, ROW()-COUNTIF($F$6:INDEX($F:$F, ROW()-1), $F7)) : INDEX(AA:AA, ROW()-1)),
   AVERAGEIFS(
     INDEX((unit_details[Effective Rent],unit_details[Effective PSF]),0,1,IF($U$3="Chunk Rent",1,2)),
     unit_details[Leased Date],"&gt;="&amp;($AM$2-X$5),
     unit_details[Leased Date],"&lt;"&amp;$AM$2,
     unit_details[Beds],$L8,
     unit_details[Baths],$M8,
     unit_details[Partial Baths],IF(ISNUMBER($N8),$N8,""),
     unit_details[Sqft],$P8,
     unit_details[Property Name],$F8)
 ),"")</f>
        <v>1150</v>
      </c>
      <c r="Z8" s="27" t="str">
        <f t="shared" ref="Z8:Z71" si="11">IFERROR(IF((X8-Y8)/X8=0,"",(X8-Y8)/X8),"")</f>
        <v/>
      </c>
      <c r="AA8" s="526">
        <f>IFERROR(
  IF($F8="Total",
    SUM(INDEX(AA:AA, ROW()-COUNTIF($F$6:INDEX($F:$F, ROW()-1), $F7)) : INDEX(AA:AA, ROW()-1)),
    COUNTIFS(
      unit_details[Leased Date], "&gt;="&amp;($AM$2-X$5),
      unit_details[Leased Date], "&lt;"&amp;$AM$2,
      unit_details[Beds], $L8,
      unit_details[Baths], $M8,
      unit_details[Partial Baths], IF(ISNUMBER($N8), $N8, ""),
      unit_details[Sqft],$P8,
      unit_details[Property Name], $F8
    )
  ),
"")</f>
        <v>2</v>
      </c>
      <c r="AB8" s="290">
        <f>IF($F8="Total",
SUM(INDEX(AB:AB, ROW()-COUNTIF($F$6:INDEX($F:$F, ROW()-1), $F7)) : INDEX(AB:AB, ROW()-1)),
COUNTIFS(unit_details[Active Listing?],TRUE,
          unit_details[Property Name], $F8,
          unit_details[Beds], $L8,
          unit_details[Baths], $M8,
          unit_details[Partial Baths],IF(ISNUMBER($N8),$N8,""),
          unit_details[Sqft],$P8))</f>
        <v>0</v>
      </c>
      <c r="AC8" s="27" t="str">
        <f t="shared" si="3"/>
        <v/>
      </c>
      <c r="AD8" s="293" t="str">
        <f>IFERROR(IF(AE8="","",IF($F8="Total",
SUMPRODUCT(
   INDEX(AD:AD, ROW()-COUNTIF($F$6:INDEX($F:$F, ROW()-1), $F7)) : INDEX(AD:AD, ROW()-1),
   INDEX(AB:AB, ROW()-COUNTIF($F$6:INDEX($F:$F, ROW()-1), $F7)) : INDEX(AB:AB, ROW()-1)
   )
   /SUM(INDEX(AB:AB, ROW()-COUNTIF($F$6:INDEX($F:$F, ROW()-1), $F7)) : INDEX(AB:AB, ROW()-1)),
          _xlfn.MINIFS(unit_details[Asking Rent],
          unit_details[Active Listing?],TRUE,
          unit_details[Property Name], $F8,
          unit_details[Beds], $L8,
          unit_details[Baths], $M8,
          unit_details[Partial Baths], IF(ISNUMBER($N8),$N8,""),
          unit_details[Sqft],$P8
))),"")</f>
        <v/>
      </c>
      <c r="AE8" s="5" t="str">
        <f>IFERROR(IF($F8="Total",
          SUMPRODUCT(
   INDEX(AE:AE, ROW()-COUNTIF($F$6:INDEX($F:$F, ROW()-1), $F7)) : INDEX(AE:AE, ROW()-1),
   INDEX(AB:AB, ROW()-COUNTIF($F$6:INDEX($F:$F, ROW()-1), $F7)) : INDEX(AB:AB, ROW()-1)
   )
   /SUM(INDEX(AB:AB, ROW()-COUNTIF($F$6:INDEX($F:$F, ROW()-1), $F7)) : INDEX(AB:AB, ROW()-1)),
          AVERAGEIFS(unit_details[Asking Rent],
          unit_details[Active Listing?],TRUE,
          unit_details[Property Name], $F8,
          unit_details[Beds], $L8,
          unit_details[Baths], $M8,
          unit_details[Partial Baths], IF(ISNUMBER($N8),$N8,""),
          unit_details[Sqft],$P8
)),"")</f>
        <v/>
      </c>
      <c r="AF8" s="5" t="str">
        <f>IFERROR(IF(AE8="","",IF($F8="Total",
SUMPRODUCT(
   INDEX(AF:AF, ROW()-COUNTIF($F$6:INDEX($F:$F, ROW()-1), $F7)) : INDEX(AF:AF, ROW()-1),
   INDEX(AB:AB, ROW()-COUNTIF($F$6:INDEX($F:$F, ROW()-1), $F7)) : INDEX(AB:AB, ROW()-1)
   )
   /SUM(INDEX(AB:AB, ROW()-COUNTIF($F$6:INDEX($F:$F, ROW()-1), $F7)) : INDEX(AB:AB, ROW()-1)),
           _xlfn.MAXIFS(unit_details[Asking Rent],
          unit_details[Active Listing?],TRUE,
          unit_details[Property Name], $F8,
          unit_details[Beds], $L8,
          unit_details[Baths], $M8,
          unit_details[Partial Baths], IF(ISNUMBER($N8),$N8,""),
          unit_details[Sqft],$P8
))),"")</f>
        <v/>
      </c>
      <c r="AG8" s="6" t="str">
        <f>IFERROR(IF($F8="Total",
         SUMPRODUCT(
         INDEX(AG:AG, ROW()-COUNTIF($F$6:INDEX($F:$F, ROW()-1), $F7)) : INDEX(AG:AG, ROW()-1),
         INDEX(AB:AB, ROW()-COUNTIF($F$6:INDEX($F:$F, ROW()-1), $F7)) : INDEX(AB:AB, ROW()-1)
         )
         /SUM(INDEX(AB:AB, ROW()-COUNTIF($F$6:INDEX($F:$F, ROW()-1), $F7)) : INDEX(AB:AB, ROW()-1)),
          AVERAGEIFS(unit_details[Asking PSF],
          unit_details[Active Listing?],TRUE,
          unit_details[Property Name], $F8,
          unit_details[Beds], $L8,
          unit_details[Baths], $M8,
          unit_details[Partial Baths], IF(ISNUMBER($N8),$N8,""),
          unit_details[Sqft],$P8
)),"")</f>
        <v/>
      </c>
      <c r="AH8" s="293" t="str">
        <f>IFERROR(IF($F8="Total",
         SUMPRODUCT(
         INDEX(AH:AH, ROW()-COUNTIF($F$6:INDEX($F:$F, ROW()-1), $F7)) : INDEX(AH:AH, ROW()-1),
         INDEX(AB:AB, ROW()-COUNTIF($F$6:INDEX($F:$F, ROW()-1), $F7)) : INDEX(AB:AB, ROW()-1)
         )
         /SUM(INDEX(AB:AB, ROW()-COUNTIF($F$6:INDEX($F:$F, ROW()-1), $F7)) : INDEX(AB:AB, ROW()-1)),
          AVERAGEIFS(unit_details[Effective Rent],
          unit_details[Active Listing?],TRUE,
          unit_details[Property Name], $F8,
          unit_details[Beds], $L8,
          unit_details[Baths], $M8,
          unit_details[Partial Baths], IF(ISNUMBER($N8),$N8,""),
          unit_details[Sqft],$P8
)),"")</f>
        <v/>
      </c>
      <c r="AI8" s="6" t="str">
        <f>IFERROR(IF($F8="Total",
         SUMPRODUCT(
         INDEX(AI:AI, ROW()-COUNTIF($F$6:INDEX($F:$F, ROW()-1), $F7)) : INDEX(AI:AI, ROW()-1),
         INDEX(AB:AB, ROW()-COUNTIF($F$6:INDEX($F:$F, ROW()-1), $F7)) : INDEX(AB:AB, ROW()-1)
         )
         /SUM(INDEX(AB:AB, ROW()-COUNTIF($F$6:INDEX($F:$F, ROW()-1), $F7)) : INDEX(AB:AB, ROW()-1)),
           AVERAGEIFS(unit_details[Effective PSF],
          unit_details[Active Listing?],TRUE,
          unit_details[Property Name], $F8,
          unit_details[Beds], $L8,
          unit_details[Baths], $M8,
          unit_details[Partial Baths], IF(ISNUMBER($N8),$N8,""),
          unit_details[Sqft],$P8
)),"")</f>
        <v/>
      </c>
      <c r="AJ8" s="824" t="str">
        <f t="shared" si="4"/>
        <v/>
      </c>
      <c r="AK8" s="531" t="str">
        <f t="shared" si="5"/>
        <v/>
      </c>
      <c r="AL8" s="714" t="str">
        <f t="shared" si="6"/>
        <v/>
      </c>
      <c r="AM8" s="531" t="str">
        <f t="shared" si="7"/>
        <v/>
      </c>
      <c r="AN8" s="716" t="str">
        <f t="shared" si="8"/>
        <v/>
      </c>
    </row>
    <row r="9" spans="2:40" x14ac:dyDescent="0.2">
      <c r="B9" s="719"/>
      <c r="C9" s="719"/>
      <c r="F9" s="1" t="str">
        <f t="shared" si="0"/>
        <v>625 A Street - 4 (29-4)</v>
      </c>
      <c r="G9" s="713" t="str">
        <f t="shared" si="9"/>
        <v>625 A Street - 4 (29-4)</v>
      </c>
      <c r="H9" s="17">
        <f>IFERROR(VLOOKUP($G9,Table1[[Property]:[Exposure %]],4,0),"")</f>
        <v>4.3142358985164515</v>
      </c>
      <c r="I9" s="3">
        <f>IFERROR(VLOOKUP($G9,Table1[[Property]:[Exposure %]],6,0),"")</f>
        <v>1976</v>
      </c>
      <c r="J9" s="3">
        <f>IFERROR(VLOOKUP($G9,Table1[[Property]:[Exposure %]],7,0),"")</f>
        <v>0</v>
      </c>
      <c r="K9" s="932" t="s">
        <v>498</v>
      </c>
      <c r="L9" s="933">
        <v>2</v>
      </c>
      <c r="M9" s="934">
        <v>1</v>
      </c>
      <c r="N9" s="934" t="s">
        <v>191</v>
      </c>
      <c r="O9" s="932">
        <v>792</v>
      </c>
      <c r="P9" s="931">
        <v>792</v>
      </c>
      <c r="Q9" s="935">
        <v>1</v>
      </c>
      <c r="R9" s="4">
        <f>IFERROR(VLOOKUP(IF(F9="Total",F8,F9),Table1[[Property]:['# Units]],7,0)*S9,"")</f>
        <v>0</v>
      </c>
      <c r="S9" s="27">
        <f t="shared" si="2"/>
        <v>1</v>
      </c>
      <c r="T9" s="531">
        <f>IFERROR(
 IF($F9="Total",
   SUMPRODUCT(
   INDEX(T:T, ROW()-COUNTIF($F$6:INDEX($F:$F, ROW()-1), $F8)) : INDEX(T:T, ROW()-1),
   INDEX(W:W, ROW()-COUNTIF($F$6:INDEX($F:$F, ROW()-1), $F8)) : INDEX(W:W, ROW()-1)
   )
   /SUM(INDEX(W:W, ROW()-COUNTIF($F$6:INDEX($F:$F, ROW()-1), $F8)) : INDEX(W:W, ROW()-1)),
   AVERAGEIFS(
     INDEX((unit_details[Asking Rent],unit_details[Asking PSF]),0,1,IF($U$3="Chunk Rent",1,2)),
     unit_details[Leased Date],"&gt;="&amp;($AM$2-T$5),
     unit_details[Leased Date],"&lt;"&amp;$AM$2,
     unit_details[Beds],$L9,
     unit_details[Baths],$M9,
     unit_details[Partial Baths],IF(ISNUMBER($N9),$N9,""),
     unit_details[Sqft],$P9,
     unit_details[Property Name],$F9)
 ),"")</f>
        <v>1200</v>
      </c>
      <c r="U9" s="552">
        <f>IFERROR(
 IF($F9="Total",
   SUMPRODUCT(
   INDEX(U:U, ROW()-COUNTIF($F$6:INDEX($F:$F, ROW()-1), $F8)) : INDEX(U:U, ROW()-1),
   INDEX(W:W, ROW()-COUNTIF($F$6:INDEX($F:$F, ROW()-1), $F8)) : INDEX(W:W, ROW()-1)
   )
   /SUM(INDEX(W:W, ROW()-COUNTIF($F$6:INDEX($F:$F, ROW()-1), $F8)) : INDEX(W:W, ROW()-1)),
   AVERAGEIFS(
     INDEX((unit_details[Effective Rent],unit_details[Effective PSF]),0,1,IF($U$3="Chunk Rent",1,2)),
     unit_details[Leased Date],"&gt;="&amp;($AM$2-T$5),
     unit_details[Leased Date],"&lt;"&amp;$AM$2,
     unit_details[Beds],$L9,
     unit_details[Baths],$M9,
     unit_details[Partial Baths],IF(ISNUMBER($N9),$N9,""),
     unit_details[Sqft],$P9,
     unit_details[Property Name],$F9)
 ),"")</f>
        <v>1200</v>
      </c>
      <c r="V9" s="27" t="str">
        <f t="shared" si="10"/>
        <v/>
      </c>
      <c r="W9" s="526">
        <f>IFERROR(
  IF($F9="Total",
    SUM(INDEX(W:W, ROW()-COUNTIF($F$6:INDEX($F:$F, ROW()-1), $F8)) : INDEX(W:W, ROW()-1)),
    COUNTIFS(
      unit_details[Leased Date], "&gt;="&amp;($AM$2-T$5),
      unit_details[Leased Date], "&lt;"&amp;$AM$2,
      unit_details[Beds], $L9,
      unit_details[Baths], $M9,
      unit_details[Partial Baths], IF(ISNUMBER($N9), $N9, ""),
      unit_details[Sqft],$P9,
      unit_details[Property Name], $F9
    )
  ),
"")</f>
        <v>2</v>
      </c>
      <c r="X9" s="531" t="str">
        <f>IFERROR(
 IF($F9="Total",
   SUMPRODUCT(
   INDEX(X:X, ROW()-COUNTIF($F$6:INDEX($F:$F, ROW()-1), $F8)) : INDEX(X:X, ROW()-1),
   INDEX(AA:AA, ROW()-COUNTIF($F$6:INDEX($F:$F, ROW()-1), $F8)) : INDEX(AA:AA, ROW()-1)
   )
   /SUM(INDEX(AA:AA, ROW()-COUNTIF($F$6:INDEX($F:$F, ROW()-1), $F8)) : INDEX(AA:AA, ROW()-1)),
   AVERAGEIFS(
     INDEX((unit_details[Asking Rent],unit_details[Asking PSF]),0,1,IF($U$3="Chunk Rent",1,2)),
     unit_details[Leased Date],"&gt;="&amp;($AM$2-X$5),
     unit_details[Leased Date],"&lt;"&amp;$AM$2,
     unit_details[Beds],$L9,
     unit_details[Baths],$M9,
     unit_details[Partial Baths],IF(ISNUMBER($N9),$N9,""),
     unit_details[Sqft],$P9,
     unit_details[Property Name],$F9)
 ),"")</f>
        <v/>
      </c>
      <c r="Y9" s="552" t="str">
        <f>IFERROR(
 IF($F9="Total",
   SUMPRODUCT(
   INDEX(Y:Y, ROW()-COUNTIF($F$6:INDEX($F:$F, ROW()-1), $F8)) : INDEX(Y:Y, ROW()-1),
   INDEX(AA:AA, ROW()-COUNTIF($F$6:INDEX($F:$F, ROW()-1), $F8)) : INDEX(AA:AA, ROW()-1)
   )
   /SUM(INDEX(AA:AA, ROW()-COUNTIF($F$6:INDEX($F:$F, ROW()-1), $F8)) : INDEX(AA:AA, ROW()-1)),
   AVERAGEIFS(
     INDEX((unit_details[Effective Rent],unit_details[Effective PSF]),0,1,IF($U$3="Chunk Rent",1,2)),
     unit_details[Leased Date],"&gt;="&amp;($AM$2-X$5),
     unit_details[Leased Date],"&lt;"&amp;$AM$2,
     unit_details[Beds],$L9,
     unit_details[Baths],$M9,
     unit_details[Partial Baths],IF(ISNUMBER($N9),$N9,""),
     unit_details[Sqft],$P9,
     unit_details[Property Name],$F9)
 ),"")</f>
        <v/>
      </c>
      <c r="Z9" s="27" t="str">
        <f t="shared" si="11"/>
        <v/>
      </c>
      <c r="AA9" s="526">
        <f>IFERROR(
  IF($F9="Total",
    SUM(INDEX(AA:AA, ROW()-COUNTIF($F$6:INDEX($F:$F, ROW()-1), $F8)) : INDEX(AA:AA, ROW()-1)),
    COUNTIFS(
      unit_details[Leased Date], "&gt;="&amp;($AM$2-X$5),
      unit_details[Leased Date], "&lt;"&amp;$AM$2,
      unit_details[Beds], $L9,
      unit_details[Baths], $M9,
      unit_details[Partial Baths], IF(ISNUMBER($N9), $N9, ""),
      unit_details[Sqft],$P9,
      unit_details[Property Name], $F9
    )
  ),
"")</f>
        <v>0</v>
      </c>
      <c r="AB9" s="290">
        <f>IF($F9="Total",
SUM(INDEX(AB:AB, ROW()-COUNTIF($F$6:INDEX($F:$F, ROW()-1), $F8)) : INDEX(AB:AB, ROW()-1)),
COUNTIFS(unit_details[Active Listing?],TRUE,
          unit_details[Property Name], $F9,
          unit_details[Beds], $L9,
          unit_details[Baths], $M9,
          unit_details[Partial Baths],IF(ISNUMBER($N9),$N9,""),
          unit_details[Sqft],$P9))</f>
        <v>2</v>
      </c>
      <c r="AC9" s="27" t="str">
        <f t="shared" si="3"/>
        <v/>
      </c>
      <c r="AD9" s="293">
        <f>IFERROR(IF(AE9="","",IF($F9="Total",
SUMPRODUCT(
   INDEX(AD:AD, ROW()-COUNTIF($F$6:INDEX($F:$F, ROW()-1), $F8)) : INDEX(AD:AD, ROW()-1),
   INDEX(AB:AB, ROW()-COUNTIF($F$6:INDEX($F:$F, ROW()-1), $F8)) : INDEX(AB:AB, ROW()-1)
   )
   /SUM(INDEX(AB:AB, ROW()-COUNTIF($F$6:INDEX($F:$F, ROW()-1), $F8)) : INDEX(AB:AB, ROW()-1)),
          _xlfn.MINIFS(unit_details[Asking Rent],
          unit_details[Active Listing?],TRUE,
          unit_details[Property Name], $F9,
          unit_details[Beds], $L9,
          unit_details[Baths], $M9,
          unit_details[Partial Baths], IF(ISNUMBER($N9),$N9,""),
          unit_details[Sqft],$P9
))),"")</f>
        <v>1100</v>
      </c>
      <c r="AE9" s="5">
        <f>IFERROR(IF($F9="Total",
          SUMPRODUCT(
   INDEX(AE:AE, ROW()-COUNTIF($F$6:INDEX($F:$F, ROW()-1), $F8)) : INDEX(AE:AE, ROW()-1),
   INDEX(AB:AB, ROW()-COUNTIF($F$6:INDEX($F:$F, ROW()-1), $F8)) : INDEX(AB:AB, ROW()-1)
   )
   /SUM(INDEX(AB:AB, ROW()-COUNTIF($F$6:INDEX($F:$F, ROW()-1), $F8)) : INDEX(AB:AB, ROW()-1)),
          AVERAGEIFS(unit_details[Asking Rent],
          unit_details[Active Listing?],TRUE,
          unit_details[Property Name], $F9,
          unit_details[Beds], $L9,
          unit_details[Baths], $M9,
          unit_details[Partial Baths], IF(ISNUMBER($N9),$N9,""),
          unit_details[Sqft],$P9
)),"")</f>
        <v>1150</v>
      </c>
      <c r="AF9" s="5">
        <f>IFERROR(IF(AE9="","",IF($F9="Total",
SUMPRODUCT(
   INDEX(AF:AF, ROW()-COUNTIF($F$6:INDEX($F:$F, ROW()-1), $F8)) : INDEX(AF:AF, ROW()-1),
   INDEX(AB:AB, ROW()-COUNTIF($F$6:INDEX($F:$F, ROW()-1), $F8)) : INDEX(AB:AB, ROW()-1)
   )
   /SUM(INDEX(AB:AB, ROW()-COUNTIF($F$6:INDEX($F:$F, ROW()-1), $F8)) : INDEX(AB:AB, ROW()-1)),
           _xlfn.MAXIFS(unit_details[Asking Rent],
          unit_details[Active Listing?],TRUE,
          unit_details[Property Name], $F9,
          unit_details[Beds], $L9,
          unit_details[Baths], $M9,
          unit_details[Partial Baths], IF(ISNUMBER($N9),$N9,""),
          unit_details[Sqft],$P9
))),"")</f>
        <v>1200</v>
      </c>
      <c r="AG9" s="6">
        <f>IFERROR(IF($F9="Total",
         SUMPRODUCT(
         INDEX(AG:AG, ROW()-COUNTIF($F$6:INDEX($F:$F, ROW()-1), $F8)) : INDEX(AG:AG, ROW()-1),
         INDEX(AB:AB, ROW()-COUNTIF($F$6:INDEX($F:$F, ROW()-1), $F8)) : INDEX(AB:AB, ROW()-1)
         )
         /SUM(INDEX(AB:AB, ROW()-COUNTIF($F$6:INDEX($F:$F, ROW()-1), $F8)) : INDEX(AB:AB, ROW()-1)),
          AVERAGEIFS(unit_details[Asking PSF],
          unit_details[Active Listing?],TRUE,
          unit_details[Property Name], $F9,
          unit_details[Beds], $L9,
          unit_details[Baths], $M9,
          unit_details[Partial Baths], IF(ISNUMBER($N9),$N9,""),
          unit_details[Sqft],$P9
)),"")</f>
        <v>1.452020202020202</v>
      </c>
      <c r="AH9" s="293">
        <f>IFERROR(IF($F9="Total",
         SUMPRODUCT(
         INDEX(AH:AH, ROW()-COUNTIF($F$6:INDEX($F:$F, ROW()-1), $F8)) : INDEX(AH:AH, ROW()-1),
         INDEX(AB:AB, ROW()-COUNTIF($F$6:INDEX($F:$F, ROW()-1), $F8)) : INDEX(AB:AB, ROW()-1)
         )
         /SUM(INDEX(AB:AB, ROW()-COUNTIF($F$6:INDEX($F:$F, ROW()-1), $F8)) : INDEX(AB:AB, ROW()-1)),
          AVERAGEIFS(unit_details[Effective Rent],
          unit_details[Active Listing?],TRUE,
          unit_details[Property Name], $F9,
          unit_details[Beds], $L9,
          unit_details[Baths], $M9,
          unit_details[Partial Baths], IF(ISNUMBER($N9),$N9,""),
          unit_details[Sqft],$P9
)),"")</f>
        <v>1150</v>
      </c>
      <c r="AI9" s="6">
        <f>IFERROR(IF($F9="Total",
         SUMPRODUCT(
         INDEX(AI:AI, ROW()-COUNTIF($F$6:INDEX($F:$F, ROW()-1), $F8)) : INDEX(AI:AI, ROW()-1),
         INDEX(AB:AB, ROW()-COUNTIF($F$6:INDEX($F:$F, ROW()-1), $F8)) : INDEX(AB:AB, ROW()-1)
         )
         /SUM(INDEX(AB:AB, ROW()-COUNTIF($F$6:INDEX($F:$F, ROW()-1), $F8)) : INDEX(AB:AB, ROW()-1)),
           AVERAGEIFS(unit_details[Effective PSF],
          unit_details[Active Listing?],TRUE,
          unit_details[Property Name], $F9,
          unit_details[Beds], $L9,
          unit_details[Baths], $M9,
          unit_details[Partial Baths], IF(ISNUMBER($N9),$N9,""),
          unit_details[Sqft],$P9
)),"")</f>
        <v>1.452020202020202</v>
      </c>
      <c r="AJ9" s="824">
        <f t="shared" si="4"/>
        <v>0</v>
      </c>
      <c r="AK9" s="531">
        <f t="shared" si="5"/>
        <v>-50</v>
      </c>
      <c r="AL9" s="714">
        <f t="shared" si="6"/>
        <v>-4.1666666666666664E-2</v>
      </c>
      <c r="AM9" s="531" t="str">
        <f t="shared" si="7"/>
        <v/>
      </c>
      <c r="AN9" s="716" t="str">
        <f t="shared" si="8"/>
        <v/>
      </c>
    </row>
    <row r="10" spans="2:40" x14ac:dyDescent="0.2">
      <c r="B10" s="719"/>
      <c r="C10" s="719"/>
      <c r="F10" s="1" t="str">
        <f t="shared" si="0"/>
        <v>Total</v>
      </c>
      <c r="G10" s="713" t="str">
        <f t="shared" si="9"/>
        <v>Total</v>
      </c>
      <c r="H10" s="17" t="str">
        <f>IFERROR(VLOOKUP($G10,Table1[[Property]:[Exposure %]],4,0),"")</f>
        <v/>
      </c>
      <c r="I10" s="3" t="str">
        <f>IFERROR(VLOOKUP($G10,Table1[[Property]:[Exposure %]],6,0),"")</f>
        <v/>
      </c>
      <c r="J10" s="3" t="str">
        <f>IFERROR(VLOOKUP($G10,Table1[[Property]:[Exposure %]],7,0),"")</f>
        <v/>
      </c>
      <c r="K10" s="932" t="s">
        <v>277</v>
      </c>
      <c r="L10" s="932"/>
      <c r="M10" s="932"/>
      <c r="N10" s="932"/>
      <c r="O10" s="932"/>
      <c r="P10" s="931">
        <v>792</v>
      </c>
      <c r="Q10" s="935">
        <v>1</v>
      </c>
      <c r="R10" s="4">
        <f>IFERROR(VLOOKUP(IF(F10="Total",F9,F10),Table1[[Property]:['# Units]],7,0)*S10,"")</f>
        <v>0</v>
      </c>
      <c r="S10" s="27">
        <f t="shared" si="2"/>
        <v>1</v>
      </c>
      <c r="T10" s="531">
        <f>IFERROR(
 IF($F10="Total",
   SUMPRODUCT(
   INDEX(T:T, ROW()-COUNTIF($F$6:INDEX($F:$F, ROW()-1), $F9)) : INDEX(T:T, ROW()-1),
   INDEX(W:W, ROW()-COUNTIF($F$6:INDEX($F:$F, ROW()-1), $F9)) : INDEX(W:W, ROW()-1)
   )
   /SUM(INDEX(W:W, ROW()-COUNTIF($F$6:INDEX($F:$F, ROW()-1), $F9)) : INDEX(W:W, ROW()-1)),
   AVERAGEIFS(
     INDEX((unit_details[Asking Rent],unit_details[Asking PSF]),0,1,IF($U$3="Chunk Rent",1,2)),
     unit_details[Leased Date],"&gt;="&amp;($AM$2-T$5),
     unit_details[Leased Date],"&lt;"&amp;$AM$2,
     unit_details[Beds],$L10,
     unit_details[Baths],$M10,
     unit_details[Partial Baths],IF(ISNUMBER($N10),$N10,""),
     unit_details[Sqft],$P10,
     unit_details[Property Name],$F10)
 ),"")</f>
        <v>1200</v>
      </c>
      <c r="U10" s="552">
        <f>IFERROR(
 IF($F10="Total",
   SUMPRODUCT(
   INDEX(U:U, ROW()-COUNTIF($F$6:INDEX($F:$F, ROW()-1), $F9)) : INDEX(U:U, ROW()-1),
   INDEX(W:W, ROW()-COUNTIF($F$6:INDEX($F:$F, ROW()-1), $F9)) : INDEX(W:W, ROW()-1)
   )
   /SUM(INDEX(W:W, ROW()-COUNTIF($F$6:INDEX($F:$F, ROW()-1), $F9)) : INDEX(W:W, ROW()-1)),
   AVERAGEIFS(
     INDEX((unit_details[Effective Rent],unit_details[Effective PSF]),0,1,IF($U$3="Chunk Rent",1,2)),
     unit_details[Leased Date],"&gt;="&amp;($AM$2-T$5),
     unit_details[Leased Date],"&lt;"&amp;$AM$2,
     unit_details[Beds],$L10,
     unit_details[Baths],$M10,
     unit_details[Partial Baths],IF(ISNUMBER($N10),$N10,""),
     unit_details[Sqft],$P10,
     unit_details[Property Name],$F10)
 ),"")</f>
        <v>1200</v>
      </c>
      <c r="V10" s="27" t="str">
        <f t="shared" si="10"/>
        <v/>
      </c>
      <c r="W10" s="526">
        <f>IFERROR(
  IF($F10="Total",
    SUM(INDEX(W:W, ROW()-COUNTIF($F$6:INDEX($F:$F, ROW()-1), $F9)) : INDEX(W:W, ROW()-1)),
    COUNTIFS(
      unit_details[Leased Date], "&gt;="&amp;($AM$2-T$5),
      unit_details[Leased Date], "&lt;"&amp;$AM$2,
      unit_details[Beds], $L10,
      unit_details[Baths], $M10,
      unit_details[Partial Baths], IF(ISNUMBER($N10), $N10, ""),
      unit_details[Sqft],$P10,
      unit_details[Property Name], $F10
    )
  ),
"")</f>
        <v>2</v>
      </c>
      <c r="X10" s="531" t="str">
        <f>IFERROR(
 IF($F10="Total",
   SUMPRODUCT(
   INDEX(X:X, ROW()-COUNTIF($F$6:INDEX($F:$F, ROW()-1), $F9)) : INDEX(X:X, ROW()-1),
   INDEX(AA:AA, ROW()-COUNTIF($F$6:INDEX($F:$F, ROW()-1), $F9)) : INDEX(AA:AA, ROW()-1)
   )
   /SUM(INDEX(AA:AA, ROW()-COUNTIF($F$6:INDEX($F:$F, ROW()-1), $F9)) : INDEX(AA:AA, ROW()-1)),
   AVERAGEIFS(
     INDEX((unit_details[Asking Rent],unit_details[Asking PSF]),0,1,IF($U$3="Chunk Rent",1,2)),
     unit_details[Leased Date],"&gt;="&amp;($AM$2-X$5),
     unit_details[Leased Date],"&lt;"&amp;$AM$2,
     unit_details[Beds],$L10,
     unit_details[Baths],$M10,
     unit_details[Partial Baths],IF(ISNUMBER($N10),$N10,""),
     unit_details[Sqft],$P10,
     unit_details[Property Name],$F10)
 ),"")</f>
        <v/>
      </c>
      <c r="Y10" s="552" t="str">
        <f>IFERROR(
 IF($F10="Total",
   SUMPRODUCT(
   INDEX(Y:Y, ROW()-COUNTIF($F$6:INDEX($F:$F, ROW()-1), $F9)) : INDEX(Y:Y, ROW()-1),
   INDEX(AA:AA, ROW()-COUNTIF($F$6:INDEX($F:$F, ROW()-1), $F9)) : INDEX(AA:AA, ROW()-1)
   )
   /SUM(INDEX(AA:AA, ROW()-COUNTIF($F$6:INDEX($F:$F, ROW()-1), $F9)) : INDEX(AA:AA, ROW()-1)),
   AVERAGEIFS(
     INDEX((unit_details[Effective Rent],unit_details[Effective PSF]),0,1,IF($U$3="Chunk Rent",1,2)),
     unit_details[Leased Date],"&gt;="&amp;($AM$2-X$5),
     unit_details[Leased Date],"&lt;"&amp;$AM$2,
     unit_details[Beds],$L10,
     unit_details[Baths],$M10,
     unit_details[Partial Baths],IF(ISNUMBER($N10),$N10,""),
     unit_details[Sqft],$P10,
     unit_details[Property Name],$F10)
 ),"")</f>
        <v/>
      </c>
      <c r="Z10" s="27" t="str">
        <f t="shared" si="11"/>
        <v/>
      </c>
      <c r="AA10" s="526">
        <f>IFERROR(
  IF($F10="Total",
    SUM(INDEX(AA:AA, ROW()-COUNTIF($F$6:INDEX($F:$F, ROW()-1), $F9)) : INDEX(AA:AA, ROW()-1)),
    COUNTIFS(
      unit_details[Leased Date], "&gt;="&amp;($AM$2-X$5),
      unit_details[Leased Date], "&lt;"&amp;$AM$2,
      unit_details[Beds], $L10,
      unit_details[Baths], $M10,
      unit_details[Partial Baths], IF(ISNUMBER($N10), $N10, ""),
      unit_details[Sqft],$P10,
      unit_details[Property Name], $F10
    )
  ),
"")</f>
        <v>0</v>
      </c>
      <c r="AB10" s="290">
        <f>IF($F10="Total",
SUM(INDEX(AB:AB, ROW()-COUNTIF($F$6:INDEX($F:$F, ROW()-1), $F9)) : INDEX(AB:AB, ROW()-1)),
COUNTIFS(unit_details[Active Listing?],TRUE,
          unit_details[Property Name], $F10,
          unit_details[Beds], $L10,
          unit_details[Baths], $M10,
          unit_details[Partial Baths],IF(ISNUMBER($N10),$N10,""),
          unit_details[Sqft],$P10))</f>
        <v>2</v>
      </c>
      <c r="AC10" s="27" t="str">
        <f t="shared" si="3"/>
        <v/>
      </c>
      <c r="AD10" s="293">
        <f>IFERROR(IF(AE10="","",IF($F10="Total",
SUMPRODUCT(
   INDEX(AD:AD, ROW()-COUNTIF($F$6:INDEX($F:$F, ROW()-1), $F9)) : INDEX(AD:AD, ROW()-1),
   INDEX(AB:AB, ROW()-COUNTIF($F$6:INDEX($F:$F, ROW()-1), $F9)) : INDEX(AB:AB, ROW()-1)
   )
   /SUM(INDEX(AB:AB, ROW()-COUNTIF($F$6:INDEX($F:$F, ROW()-1), $F9)) : INDEX(AB:AB, ROW()-1)),
          _xlfn.MINIFS(unit_details[Asking Rent],
          unit_details[Active Listing?],TRUE,
          unit_details[Property Name], $F10,
          unit_details[Beds], $L10,
          unit_details[Baths], $M10,
          unit_details[Partial Baths], IF(ISNUMBER($N10),$N10,""),
          unit_details[Sqft],$P10
))),"")</f>
        <v>1100</v>
      </c>
      <c r="AE10" s="5">
        <f>IFERROR(IF($F10="Total",
          SUMPRODUCT(
   INDEX(AE:AE, ROW()-COUNTIF($F$6:INDEX($F:$F, ROW()-1), $F9)) : INDEX(AE:AE, ROW()-1),
   INDEX(AB:AB, ROW()-COUNTIF($F$6:INDEX($F:$F, ROW()-1), $F9)) : INDEX(AB:AB, ROW()-1)
   )
   /SUM(INDEX(AB:AB, ROW()-COUNTIF($F$6:INDEX($F:$F, ROW()-1), $F9)) : INDEX(AB:AB, ROW()-1)),
          AVERAGEIFS(unit_details[Asking Rent],
          unit_details[Active Listing?],TRUE,
          unit_details[Property Name], $F10,
          unit_details[Beds], $L10,
          unit_details[Baths], $M10,
          unit_details[Partial Baths], IF(ISNUMBER($N10),$N10,""),
          unit_details[Sqft],$P10
)),"")</f>
        <v>1150</v>
      </c>
      <c r="AF10" s="5">
        <f>IFERROR(IF(AE10="","",IF($F10="Total",
SUMPRODUCT(
   INDEX(AF:AF, ROW()-COUNTIF($F$6:INDEX($F:$F, ROW()-1), $F9)) : INDEX(AF:AF, ROW()-1),
   INDEX(AB:AB, ROW()-COUNTIF($F$6:INDEX($F:$F, ROW()-1), $F9)) : INDEX(AB:AB, ROW()-1)
   )
   /SUM(INDEX(AB:AB, ROW()-COUNTIF($F$6:INDEX($F:$F, ROW()-1), $F9)) : INDEX(AB:AB, ROW()-1)),
           _xlfn.MAXIFS(unit_details[Asking Rent],
          unit_details[Active Listing?],TRUE,
          unit_details[Property Name], $F10,
          unit_details[Beds], $L10,
          unit_details[Baths], $M10,
          unit_details[Partial Baths], IF(ISNUMBER($N10),$N10,""),
          unit_details[Sqft],$P10
))),"")</f>
        <v>1200</v>
      </c>
      <c r="AG10" s="6">
        <f>IFERROR(IF($F10="Total",
         SUMPRODUCT(
         INDEX(AG:AG, ROW()-COUNTIF($F$6:INDEX($F:$F, ROW()-1), $F9)) : INDEX(AG:AG, ROW()-1),
         INDEX(AB:AB, ROW()-COUNTIF($F$6:INDEX($F:$F, ROW()-1), $F9)) : INDEX(AB:AB, ROW()-1)
         )
         /SUM(INDEX(AB:AB, ROW()-COUNTIF($F$6:INDEX($F:$F, ROW()-1), $F9)) : INDEX(AB:AB, ROW()-1)),
          AVERAGEIFS(unit_details[Asking PSF],
          unit_details[Active Listing?],TRUE,
          unit_details[Property Name], $F10,
          unit_details[Beds], $L10,
          unit_details[Baths], $M10,
          unit_details[Partial Baths], IF(ISNUMBER($N10),$N10,""),
          unit_details[Sqft],$P10
)),"")</f>
        <v>1.452020202020202</v>
      </c>
      <c r="AH10" s="293">
        <f>IFERROR(IF($F10="Total",
         SUMPRODUCT(
         INDEX(AH:AH, ROW()-COUNTIF($F$6:INDEX($F:$F, ROW()-1), $F9)) : INDEX(AH:AH, ROW()-1),
         INDEX(AB:AB, ROW()-COUNTIF($F$6:INDEX($F:$F, ROW()-1), $F9)) : INDEX(AB:AB, ROW()-1)
         )
         /SUM(INDEX(AB:AB, ROW()-COUNTIF($F$6:INDEX($F:$F, ROW()-1), $F9)) : INDEX(AB:AB, ROW()-1)),
          AVERAGEIFS(unit_details[Effective Rent],
          unit_details[Active Listing?],TRUE,
          unit_details[Property Name], $F10,
          unit_details[Beds], $L10,
          unit_details[Baths], $M10,
          unit_details[Partial Baths], IF(ISNUMBER($N10),$N10,""),
          unit_details[Sqft],$P10
)),"")</f>
        <v>1150</v>
      </c>
      <c r="AI10" s="6">
        <f>IFERROR(IF($F10="Total",
         SUMPRODUCT(
         INDEX(AI:AI, ROW()-COUNTIF($F$6:INDEX($F:$F, ROW()-1), $F9)) : INDEX(AI:AI, ROW()-1),
         INDEX(AB:AB, ROW()-COUNTIF($F$6:INDEX($F:$F, ROW()-1), $F9)) : INDEX(AB:AB, ROW()-1)
         )
         /SUM(INDEX(AB:AB, ROW()-COUNTIF($F$6:INDEX($F:$F, ROW()-1), $F9)) : INDEX(AB:AB, ROW()-1)),
           AVERAGEIFS(unit_details[Effective PSF],
          unit_details[Active Listing?],TRUE,
          unit_details[Property Name], $F10,
          unit_details[Beds], $L10,
          unit_details[Baths], $M10,
          unit_details[Partial Baths], IF(ISNUMBER($N10),$N10,""),
          unit_details[Sqft],$P10
)),"")</f>
        <v>1.452020202020202</v>
      </c>
      <c r="AJ10" s="824">
        <f t="shared" si="4"/>
        <v>0</v>
      </c>
      <c r="AK10" s="531">
        <f t="shared" si="5"/>
        <v>-50</v>
      </c>
      <c r="AL10" s="714">
        <f t="shared" si="6"/>
        <v>-4.1666666666666664E-2</v>
      </c>
      <c r="AM10" s="531" t="str">
        <f t="shared" si="7"/>
        <v/>
      </c>
      <c r="AN10" s="716" t="str">
        <f t="shared" si="8"/>
        <v/>
      </c>
    </row>
    <row r="11" spans="2:40" x14ac:dyDescent="0.2">
      <c r="B11" s="719"/>
      <c r="C11" s="719"/>
      <c r="F11" s="1" t="str">
        <f t="shared" si="0"/>
        <v>816 Dodge St, Delta CO</v>
      </c>
      <c r="G11" s="713" t="str">
        <f t="shared" si="9"/>
        <v>816 Dodge St, Delta CO</v>
      </c>
      <c r="H11" s="17">
        <f>IFERROR(VLOOKUP($G11,Table1[[Property]:[Exposure %]],4,0),"")</f>
        <v>3.7363130110413976</v>
      </c>
      <c r="I11" s="3">
        <f>IFERROR(VLOOKUP($G11,Table1[[Property]:[Exposure %]],6,0),"")</f>
        <v>0</v>
      </c>
      <c r="J11" s="3">
        <f>IFERROR(VLOOKUP($G11,Table1[[Property]:[Exposure %]],7,0),"")</f>
        <v>0</v>
      </c>
      <c r="K11" s="932" t="s">
        <v>497</v>
      </c>
      <c r="L11" s="933">
        <v>2</v>
      </c>
      <c r="M11" s="934">
        <v>1</v>
      </c>
      <c r="N11" s="934" t="s">
        <v>191</v>
      </c>
      <c r="O11" s="932" t="s">
        <v>191</v>
      </c>
      <c r="P11" s="931"/>
      <c r="Q11" s="935">
        <v>1</v>
      </c>
      <c r="R11" s="4">
        <f>IFERROR(VLOOKUP(IF(F11="Total",F10,F11),Table1[[Property]:['# Units]],7,0)*S11,"")</f>
        <v>0</v>
      </c>
      <c r="S11" s="27">
        <f t="shared" si="2"/>
        <v>1</v>
      </c>
      <c r="T11" s="531" t="str">
        <f>IFERROR(
 IF($F11="Total",
   SUMPRODUCT(
   INDEX(T:T, ROW()-COUNTIF($F$6:INDEX($F:$F, ROW()-1), $F10)) : INDEX(T:T, ROW()-1),
   INDEX(W:W, ROW()-COUNTIF($F$6:INDEX($F:$F, ROW()-1), $F10)) : INDEX(W:W, ROW()-1)
   )
   /SUM(INDEX(W:W, ROW()-COUNTIF($F$6:INDEX($F:$F, ROW()-1), $F10)) : INDEX(W:W, ROW()-1)),
   AVERAGEIFS(
     INDEX((unit_details[Asking Rent],unit_details[Asking PSF]),0,1,IF($U$3="Chunk Rent",1,2)),
     unit_details[Leased Date],"&gt;="&amp;($AM$2-T$5),
     unit_details[Leased Date],"&lt;"&amp;$AM$2,
     unit_details[Beds],$L11,
     unit_details[Baths],$M11,
     unit_details[Partial Baths],IF(ISNUMBER($N11),$N11,""),
     unit_details[Sqft],$P11,
     unit_details[Property Name],$F11)
 ),"")</f>
        <v/>
      </c>
      <c r="U11" s="552" t="str">
        <f>IFERROR(
 IF($F11="Total",
   SUMPRODUCT(
   INDEX(U:U, ROW()-COUNTIF($F$6:INDEX($F:$F, ROW()-1), $F10)) : INDEX(U:U, ROW()-1),
   INDEX(W:W, ROW()-COUNTIF($F$6:INDEX($F:$F, ROW()-1), $F10)) : INDEX(W:W, ROW()-1)
   )
   /SUM(INDEX(W:W, ROW()-COUNTIF($F$6:INDEX($F:$F, ROW()-1), $F10)) : INDEX(W:W, ROW()-1)),
   AVERAGEIFS(
     INDEX((unit_details[Effective Rent],unit_details[Effective PSF]),0,1,IF($U$3="Chunk Rent",1,2)),
     unit_details[Leased Date],"&gt;="&amp;($AM$2-T$5),
     unit_details[Leased Date],"&lt;"&amp;$AM$2,
     unit_details[Beds],$L11,
     unit_details[Baths],$M11,
     unit_details[Partial Baths],IF(ISNUMBER($N11),$N11,""),
     unit_details[Sqft],$P11,
     unit_details[Property Name],$F11)
 ),"")</f>
        <v/>
      </c>
      <c r="V11" s="27" t="str">
        <f t="shared" si="10"/>
        <v/>
      </c>
      <c r="W11" s="526">
        <f>IFERROR(
  IF($F11="Total",
    SUM(INDEX(W:W, ROW()-COUNTIF($F$6:INDEX($F:$F, ROW()-1), $F10)) : INDEX(W:W, ROW()-1)),
    COUNTIFS(
      unit_details[Leased Date], "&gt;="&amp;($AM$2-T$5),
      unit_details[Leased Date], "&lt;"&amp;$AM$2,
      unit_details[Beds], $L11,
      unit_details[Baths], $M11,
      unit_details[Partial Baths], IF(ISNUMBER($N11), $N11, ""),
      unit_details[Sqft],$P11,
      unit_details[Property Name], $F11
    )
  ),
"")</f>
        <v>0</v>
      </c>
      <c r="X11" s="531" t="str">
        <f>IFERROR(
 IF($F11="Total",
   SUMPRODUCT(
   INDEX(X:X, ROW()-COUNTIF($F$6:INDEX($F:$F, ROW()-1), $F10)) : INDEX(X:X, ROW()-1),
   INDEX(AA:AA, ROW()-COUNTIF($F$6:INDEX($F:$F, ROW()-1), $F10)) : INDEX(AA:AA, ROW()-1)
   )
   /SUM(INDEX(AA:AA, ROW()-COUNTIF($F$6:INDEX($F:$F, ROW()-1), $F10)) : INDEX(AA:AA, ROW()-1)),
   AVERAGEIFS(
     INDEX((unit_details[Asking Rent],unit_details[Asking PSF]),0,1,IF($U$3="Chunk Rent",1,2)),
     unit_details[Leased Date],"&gt;="&amp;($AM$2-X$5),
     unit_details[Leased Date],"&lt;"&amp;$AM$2,
     unit_details[Beds],$L11,
     unit_details[Baths],$M11,
     unit_details[Partial Baths],IF(ISNUMBER($N11),$N11,""),
     unit_details[Sqft],$P11,
     unit_details[Property Name],$F11)
 ),"")</f>
        <v/>
      </c>
      <c r="Y11" s="552" t="str">
        <f>IFERROR(
 IF($F11="Total",
   SUMPRODUCT(
   INDEX(Y:Y, ROW()-COUNTIF($F$6:INDEX($F:$F, ROW()-1), $F10)) : INDEX(Y:Y, ROW()-1),
   INDEX(AA:AA, ROW()-COUNTIF($F$6:INDEX($F:$F, ROW()-1), $F10)) : INDEX(AA:AA, ROW()-1)
   )
   /SUM(INDEX(AA:AA, ROW()-COUNTIF($F$6:INDEX($F:$F, ROW()-1), $F10)) : INDEX(AA:AA, ROW()-1)),
   AVERAGEIFS(
     INDEX((unit_details[Effective Rent],unit_details[Effective PSF]),0,1,IF($U$3="Chunk Rent",1,2)),
     unit_details[Leased Date],"&gt;="&amp;($AM$2-X$5),
     unit_details[Leased Date],"&lt;"&amp;$AM$2,
     unit_details[Beds],$L11,
     unit_details[Baths],$M11,
     unit_details[Partial Baths],IF(ISNUMBER($N11),$N11,""),
     unit_details[Sqft],$P11,
     unit_details[Property Name],$F11)
 ),"")</f>
        <v/>
      </c>
      <c r="Z11" s="27" t="str">
        <f t="shared" si="11"/>
        <v/>
      </c>
      <c r="AA11" s="526">
        <f>IFERROR(
  IF($F11="Total",
    SUM(INDEX(AA:AA, ROW()-COUNTIF($F$6:INDEX($F:$F, ROW()-1), $F10)) : INDEX(AA:AA, ROW()-1)),
    COUNTIFS(
      unit_details[Leased Date], "&gt;="&amp;($AM$2-X$5),
      unit_details[Leased Date], "&lt;"&amp;$AM$2,
      unit_details[Beds], $L11,
      unit_details[Baths], $M11,
      unit_details[Partial Baths], IF(ISNUMBER($N11), $N11, ""),
      unit_details[Sqft],$P11,
      unit_details[Property Name], $F11
    )
  ),
"")</f>
        <v>0</v>
      </c>
      <c r="AB11" s="290">
        <f>IF($F11="Total",
SUM(INDEX(AB:AB, ROW()-COUNTIF($F$6:INDEX($F:$F, ROW()-1), $F10)) : INDEX(AB:AB, ROW()-1)),
COUNTIFS(unit_details[Active Listing?],TRUE,
          unit_details[Property Name], $F11,
          unit_details[Beds], $L11,
          unit_details[Baths], $M11,
          unit_details[Partial Baths],IF(ISNUMBER($N11),$N11,""),
          unit_details[Sqft],$P11))</f>
        <v>0</v>
      </c>
      <c r="AC11" s="27" t="str">
        <f t="shared" si="3"/>
        <v/>
      </c>
      <c r="AD11" s="293" t="str">
        <f>IFERROR(IF(AE11="","",IF($F11="Total",
SUMPRODUCT(
   INDEX(AD:AD, ROW()-COUNTIF($F$6:INDEX($F:$F, ROW()-1), $F10)) : INDEX(AD:AD, ROW()-1),
   INDEX(AB:AB, ROW()-COUNTIF($F$6:INDEX($F:$F, ROW()-1), $F10)) : INDEX(AB:AB, ROW()-1)
   )
   /SUM(INDEX(AB:AB, ROW()-COUNTIF($F$6:INDEX($F:$F, ROW()-1), $F10)) : INDEX(AB:AB, ROW()-1)),
          _xlfn.MINIFS(unit_details[Asking Rent],
          unit_details[Active Listing?],TRUE,
          unit_details[Property Name], $F11,
          unit_details[Beds], $L11,
          unit_details[Baths], $M11,
          unit_details[Partial Baths], IF(ISNUMBER($N11),$N11,""),
          unit_details[Sqft],$P11
))),"")</f>
        <v/>
      </c>
      <c r="AE11" s="5" t="str">
        <f>IFERROR(IF($F11="Total",
          SUMPRODUCT(
   INDEX(AE:AE, ROW()-COUNTIF($F$6:INDEX($F:$F, ROW()-1), $F10)) : INDEX(AE:AE, ROW()-1),
   INDEX(AB:AB, ROW()-COUNTIF($F$6:INDEX($F:$F, ROW()-1), $F10)) : INDEX(AB:AB, ROW()-1)
   )
   /SUM(INDEX(AB:AB, ROW()-COUNTIF($F$6:INDEX($F:$F, ROW()-1), $F10)) : INDEX(AB:AB, ROW()-1)),
          AVERAGEIFS(unit_details[Asking Rent],
          unit_details[Active Listing?],TRUE,
          unit_details[Property Name], $F11,
          unit_details[Beds], $L11,
          unit_details[Baths], $M11,
          unit_details[Partial Baths], IF(ISNUMBER($N11),$N11,""),
          unit_details[Sqft],$P11
)),"")</f>
        <v/>
      </c>
      <c r="AF11" s="5" t="str">
        <f>IFERROR(IF(AE11="","",IF($F11="Total",
SUMPRODUCT(
   INDEX(AF:AF, ROW()-COUNTIF($F$6:INDEX($F:$F, ROW()-1), $F10)) : INDEX(AF:AF, ROW()-1),
   INDEX(AB:AB, ROW()-COUNTIF($F$6:INDEX($F:$F, ROW()-1), $F10)) : INDEX(AB:AB, ROW()-1)
   )
   /SUM(INDEX(AB:AB, ROW()-COUNTIF($F$6:INDEX($F:$F, ROW()-1), $F10)) : INDEX(AB:AB, ROW()-1)),
           _xlfn.MAXIFS(unit_details[Asking Rent],
          unit_details[Active Listing?],TRUE,
          unit_details[Property Name], $F11,
          unit_details[Beds], $L11,
          unit_details[Baths], $M11,
          unit_details[Partial Baths], IF(ISNUMBER($N11),$N11,""),
          unit_details[Sqft],$P11
))),"")</f>
        <v/>
      </c>
      <c r="AG11" s="6" t="str">
        <f>IFERROR(IF($F11="Total",
         SUMPRODUCT(
         INDEX(AG:AG, ROW()-COUNTIF($F$6:INDEX($F:$F, ROW()-1), $F10)) : INDEX(AG:AG, ROW()-1),
         INDEX(AB:AB, ROW()-COUNTIF($F$6:INDEX($F:$F, ROW()-1), $F10)) : INDEX(AB:AB, ROW()-1)
         )
         /SUM(INDEX(AB:AB, ROW()-COUNTIF($F$6:INDEX($F:$F, ROW()-1), $F10)) : INDEX(AB:AB, ROW()-1)),
          AVERAGEIFS(unit_details[Asking PSF],
          unit_details[Active Listing?],TRUE,
          unit_details[Property Name], $F11,
          unit_details[Beds], $L11,
          unit_details[Baths], $M11,
          unit_details[Partial Baths], IF(ISNUMBER($N11),$N11,""),
          unit_details[Sqft],$P11
)),"")</f>
        <v/>
      </c>
      <c r="AH11" s="293" t="str">
        <f>IFERROR(IF($F11="Total",
         SUMPRODUCT(
         INDEX(AH:AH, ROW()-COUNTIF($F$6:INDEX($F:$F, ROW()-1), $F10)) : INDEX(AH:AH, ROW()-1),
         INDEX(AB:AB, ROW()-COUNTIF($F$6:INDEX($F:$F, ROW()-1), $F10)) : INDEX(AB:AB, ROW()-1)
         )
         /SUM(INDEX(AB:AB, ROW()-COUNTIF($F$6:INDEX($F:$F, ROW()-1), $F10)) : INDEX(AB:AB, ROW()-1)),
          AVERAGEIFS(unit_details[Effective Rent],
          unit_details[Active Listing?],TRUE,
          unit_details[Property Name], $F11,
          unit_details[Beds], $L11,
          unit_details[Baths], $M11,
          unit_details[Partial Baths], IF(ISNUMBER($N11),$N11,""),
          unit_details[Sqft],$P11
)),"")</f>
        <v/>
      </c>
      <c r="AI11" s="6" t="str">
        <f>IFERROR(IF($F11="Total",
         SUMPRODUCT(
         INDEX(AI:AI, ROW()-COUNTIF($F$6:INDEX($F:$F, ROW()-1), $F10)) : INDEX(AI:AI, ROW()-1),
         INDEX(AB:AB, ROW()-COUNTIF($F$6:INDEX($F:$F, ROW()-1), $F10)) : INDEX(AB:AB, ROW()-1)
         )
         /SUM(INDEX(AB:AB, ROW()-COUNTIF($F$6:INDEX($F:$F, ROW()-1), $F10)) : INDEX(AB:AB, ROW()-1)),
           AVERAGEIFS(unit_details[Effective PSF],
          unit_details[Active Listing?],TRUE,
          unit_details[Property Name], $F11,
          unit_details[Beds], $L11,
          unit_details[Baths], $M11,
          unit_details[Partial Baths], IF(ISNUMBER($N11),$N11,""),
          unit_details[Sqft],$P11
)),"")</f>
        <v/>
      </c>
      <c r="AJ11" s="824" t="str">
        <f t="shared" si="4"/>
        <v/>
      </c>
      <c r="AK11" s="531" t="str">
        <f t="shared" si="5"/>
        <v/>
      </c>
      <c r="AL11" s="714" t="str">
        <f t="shared" si="6"/>
        <v/>
      </c>
      <c r="AM11" s="531" t="str">
        <f t="shared" si="7"/>
        <v/>
      </c>
      <c r="AN11" s="716" t="str">
        <f t="shared" si="8"/>
        <v/>
      </c>
    </row>
    <row r="12" spans="2:40" x14ac:dyDescent="0.2">
      <c r="B12" s="719"/>
      <c r="C12" s="719"/>
      <c r="F12" s="1" t="str">
        <f t="shared" si="0"/>
        <v>Total</v>
      </c>
      <c r="G12" s="713" t="str">
        <f t="shared" si="9"/>
        <v>Total</v>
      </c>
      <c r="H12" s="17" t="str">
        <f>IFERROR(VLOOKUP($G12,Table1[[Property]:[Exposure %]],4,0),"")</f>
        <v/>
      </c>
      <c r="I12" s="3" t="str">
        <f>IFERROR(VLOOKUP($G12,Table1[[Property]:[Exposure %]],6,0),"")</f>
        <v/>
      </c>
      <c r="J12" s="3" t="str">
        <f>IFERROR(VLOOKUP($G12,Table1[[Property]:[Exposure %]],7,0),"")</f>
        <v/>
      </c>
      <c r="K12" s="932" t="s">
        <v>277</v>
      </c>
      <c r="L12" s="932"/>
      <c r="M12" s="932"/>
      <c r="N12" s="932"/>
      <c r="O12" s="932"/>
      <c r="P12" s="931"/>
      <c r="Q12" s="935">
        <v>1</v>
      </c>
      <c r="R12" s="4">
        <f>IFERROR(VLOOKUP(IF(F12="Total",F11,F12),Table1[[Property]:['# Units]],7,0)*S12,"")</f>
        <v>0</v>
      </c>
      <c r="S12" s="27">
        <f t="shared" si="2"/>
        <v>1</v>
      </c>
      <c r="T12" s="531" t="str">
        <f>IFERROR(
 IF($F12="Total",
   SUMPRODUCT(
   INDEX(T:T, ROW()-COUNTIF($F$6:INDEX($F:$F, ROW()-1), $F11)) : INDEX(T:T, ROW()-1),
   INDEX(W:W, ROW()-COUNTIF($F$6:INDEX($F:$F, ROW()-1), $F11)) : INDEX(W:W, ROW()-1)
   )
   /SUM(INDEX(W:W, ROW()-COUNTIF($F$6:INDEX($F:$F, ROW()-1), $F11)) : INDEX(W:W, ROW()-1)),
   AVERAGEIFS(
     INDEX((unit_details[Asking Rent],unit_details[Asking PSF]),0,1,IF($U$3="Chunk Rent",1,2)),
     unit_details[Leased Date],"&gt;="&amp;($AM$2-T$5),
     unit_details[Leased Date],"&lt;"&amp;$AM$2,
     unit_details[Beds],$L12,
     unit_details[Baths],$M12,
     unit_details[Partial Baths],IF(ISNUMBER($N12),$N12,""),
     unit_details[Sqft],$P12,
     unit_details[Property Name],$F12)
 ),"")</f>
        <v/>
      </c>
      <c r="U12" s="552" t="str">
        <f>IFERROR(
 IF($F12="Total",
   SUMPRODUCT(
   INDEX(U:U, ROW()-COUNTIF($F$6:INDEX($F:$F, ROW()-1), $F11)) : INDEX(U:U, ROW()-1),
   INDEX(W:W, ROW()-COUNTIF($F$6:INDEX($F:$F, ROW()-1), $F11)) : INDEX(W:W, ROW()-1)
   )
   /SUM(INDEX(W:W, ROW()-COUNTIF($F$6:INDEX($F:$F, ROW()-1), $F11)) : INDEX(W:W, ROW()-1)),
   AVERAGEIFS(
     INDEX((unit_details[Effective Rent],unit_details[Effective PSF]),0,1,IF($U$3="Chunk Rent",1,2)),
     unit_details[Leased Date],"&gt;="&amp;($AM$2-T$5),
     unit_details[Leased Date],"&lt;"&amp;$AM$2,
     unit_details[Beds],$L12,
     unit_details[Baths],$M12,
     unit_details[Partial Baths],IF(ISNUMBER($N12),$N12,""),
     unit_details[Sqft],$P12,
     unit_details[Property Name],$F12)
 ),"")</f>
        <v/>
      </c>
      <c r="V12" s="27" t="str">
        <f t="shared" si="10"/>
        <v/>
      </c>
      <c r="W12" s="526">
        <f>IFERROR(
  IF($F12="Total",
    SUM(INDEX(W:W, ROW()-COUNTIF($F$6:INDEX($F:$F, ROW()-1), $F11)) : INDEX(W:W, ROW()-1)),
    COUNTIFS(
      unit_details[Leased Date], "&gt;="&amp;($AM$2-T$5),
      unit_details[Leased Date], "&lt;"&amp;$AM$2,
      unit_details[Beds], $L12,
      unit_details[Baths], $M12,
      unit_details[Partial Baths], IF(ISNUMBER($N12), $N12, ""),
      unit_details[Sqft],$P12,
      unit_details[Property Name], $F12
    )
  ),
"")</f>
        <v>0</v>
      </c>
      <c r="X12" s="531" t="str">
        <f>IFERROR(
 IF($F12="Total",
   SUMPRODUCT(
   INDEX(X:X, ROW()-COUNTIF($F$6:INDEX($F:$F, ROW()-1), $F11)) : INDEX(X:X, ROW()-1),
   INDEX(AA:AA, ROW()-COUNTIF($F$6:INDEX($F:$F, ROW()-1), $F11)) : INDEX(AA:AA, ROW()-1)
   )
   /SUM(INDEX(AA:AA, ROW()-COUNTIF($F$6:INDEX($F:$F, ROW()-1), $F11)) : INDEX(AA:AA, ROW()-1)),
   AVERAGEIFS(
     INDEX((unit_details[Asking Rent],unit_details[Asking PSF]),0,1,IF($U$3="Chunk Rent",1,2)),
     unit_details[Leased Date],"&gt;="&amp;($AM$2-X$5),
     unit_details[Leased Date],"&lt;"&amp;$AM$2,
     unit_details[Beds],$L12,
     unit_details[Baths],$M12,
     unit_details[Partial Baths],IF(ISNUMBER($N12),$N12,""),
     unit_details[Sqft],$P12,
     unit_details[Property Name],$F12)
 ),"")</f>
        <v/>
      </c>
      <c r="Y12" s="552" t="str">
        <f>IFERROR(
 IF($F12="Total",
   SUMPRODUCT(
   INDEX(Y:Y, ROW()-COUNTIF($F$6:INDEX($F:$F, ROW()-1), $F11)) : INDEX(Y:Y, ROW()-1),
   INDEX(AA:AA, ROW()-COUNTIF($F$6:INDEX($F:$F, ROW()-1), $F11)) : INDEX(AA:AA, ROW()-1)
   )
   /SUM(INDEX(AA:AA, ROW()-COUNTIF($F$6:INDEX($F:$F, ROW()-1), $F11)) : INDEX(AA:AA, ROW()-1)),
   AVERAGEIFS(
     INDEX((unit_details[Effective Rent],unit_details[Effective PSF]),0,1,IF($U$3="Chunk Rent",1,2)),
     unit_details[Leased Date],"&gt;="&amp;($AM$2-X$5),
     unit_details[Leased Date],"&lt;"&amp;$AM$2,
     unit_details[Beds],$L12,
     unit_details[Baths],$M12,
     unit_details[Partial Baths],IF(ISNUMBER($N12),$N12,""),
     unit_details[Sqft],$P12,
     unit_details[Property Name],$F12)
 ),"")</f>
        <v/>
      </c>
      <c r="Z12" s="27" t="str">
        <f t="shared" si="11"/>
        <v/>
      </c>
      <c r="AA12" s="526">
        <f>IFERROR(
  IF($F12="Total",
    SUM(INDEX(AA:AA, ROW()-COUNTIF($F$6:INDEX($F:$F, ROW()-1), $F11)) : INDEX(AA:AA, ROW()-1)),
    COUNTIFS(
      unit_details[Leased Date], "&gt;="&amp;($AM$2-X$5),
      unit_details[Leased Date], "&lt;"&amp;$AM$2,
      unit_details[Beds], $L12,
      unit_details[Baths], $M12,
      unit_details[Partial Baths], IF(ISNUMBER($N12), $N12, ""),
      unit_details[Sqft],$P12,
      unit_details[Property Name], $F12
    )
  ),
"")</f>
        <v>0</v>
      </c>
      <c r="AB12" s="290">
        <f>IF($F12="Total",
SUM(INDEX(AB:AB, ROW()-COUNTIF($F$6:INDEX($F:$F, ROW()-1), $F11)) : INDEX(AB:AB, ROW()-1)),
COUNTIFS(unit_details[Active Listing?],TRUE,
          unit_details[Property Name], $F12,
          unit_details[Beds], $L12,
          unit_details[Baths], $M12,
          unit_details[Partial Baths],IF(ISNUMBER($N12),$N12,""),
          unit_details[Sqft],$P12))</f>
        <v>0</v>
      </c>
      <c r="AC12" s="27" t="str">
        <f t="shared" si="3"/>
        <v/>
      </c>
      <c r="AD12" s="293" t="str">
        <f>IFERROR(IF(AE12="","",IF($F12="Total",
SUMPRODUCT(
   INDEX(AD:AD, ROW()-COUNTIF($F$6:INDEX($F:$F, ROW()-1), $F11)) : INDEX(AD:AD, ROW()-1),
   INDEX(AB:AB, ROW()-COUNTIF($F$6:INDEX($F:$F, ROW()-1), $F11)) : INDEX(AB:AB, ROW()-1)
   )
   /SUM(INDEX(AB:AB, ROW()-COUNTIF($F$6:INDEX($F:$F, ROW()-1), $F11)) : INDEX(AB:AB, ROW()-1)),
          _xlfn.MINIFS(unit_details[Asking Rent],
          unit_details[Active Listing?],TRUE,
          unit_details[Property Name], $F12,
          unit_details[Beds], $L12,
          unit_details[Baths], $M12,
          unit_details[Partial Baths], IF(ISNUMBER($N12),$N12,""),
          unit_details[Sqft],$P12
))),"")</f>
        <v/>
      </c>
      <c r="AE12" s="5" t="str">
        <f>IFERROR(IF($F12="Total",
          SUMPRODUCT(
   INDEX(AE:AE, ROW()-COUNTIF($F$6:INDEX($F:$F, ROW()-1), $F11)) : INDEX(AE:AE, ROW()-1),
   INDEX(AB:AB, ROW()-COUNTIF($F$6:INDEX($F:$F, ROW()-1), $F11)) : INDEX(AB:AB, ROW()-1)
   )
   /SUM(INDEX(AB:AB, ROW()-COUNTIF($F$6:INDEX($F:$F, ROW()-1), $F11)) : INDEX(AB:AB, ROW()-1)),
          AVERAGEIFS(unit_details[Asking Rent],
          unit_details[Active Listing?],TRUE,
          unit_details[Property Name], $F12,
          unit_details[Beds], $L12,
          unit_details[Baths], $M12,
          unit_details[Partial Baths], IF(ISNUMBER($N12),$N12,""),
          unit_details[Sqft],$P12
)),"")</f>
        <v/>
      </c>
      <c r="AF12" s="5" t="str">
        <f>IFERROR(IF(AE12="","",IF($F12="Total",
SUMPRODUCT(
   INDEX(AF:AF, ROW()-COUNTIF($F$6:INDEX($F:$F, ROW()-1), $F11)) : INDEX(AF:AF, ROW()-1),
   INDEX(AB:AB, ROW()-COUNTIF($F$6:INDEX($F:$F, ROW()-1), $F11)) : INDEX(AB:AB, ROW()-1)
   )
   /SUM(INDEX(AB:AB, ROW()-COUNTIF($F$6:INDEX($F:$F, ROW()-1), $F11)) : INDEX(AB:AB, ROW()-1)),
           _xlfn.MAXIFS(unit_details[Asking Rent],
          unit_details[Active Listing?],TRUE,
          unit_details[Property Name], $F12,
          unit_details[Beds], $L12,
          unit_details[Baths], $M12,
          unit_details[Partial Baths], IF(ISNUMBER($N12),$N12,""),
          unit_details[Sqft],$P12
))),"")</f>
        <v/>
      </c>
      <c r="AG12" s="6" t="str">
        <f>IFERROR(IF($F12="Total",
         SUMPRODUCT(
         INDEX(AG:AG, ROW()-COUNTIF($F$6:INDEX($F:$F, ROW()-1), $F11)) : INDEX(AG:AG, ROW()-1),
         INDEX(AB:AB, ROW()-COUNTIF($F$6:INDEX($F:$F, ROW()-1), $F11)) : INDEX(AB:AB, ROW()-1)
         )
         /SUM(INDEX(AB:AB, ROW()-COUNTIF($F$6:INDEX($F:$F, ROW()-1), $F11)) : INDEX(AB:AB, ROW()-1)),
          AVERAGEIFS(unit_details[Asking PSF],
          unit_details[Active Listing?],TRUE,
          unit_details[Property Name], $F12,
          unit_details[Beds], $L12,
          unit_details[Baths], $M12,
          unit_details[Partial Baths], IF(ISNUMBER($N12),$N12,""),
          unit_details[Sqft],$P12
)),"")</f>
        <v/>
      </c>
      <c r="AH12" s="293" t="str">
        <f>IFERROR(IF($F12="Total",
         SUMPRODUCT(
         INDEX(AH:AH, ROW()-COUNTIF($F$6:INDEX($F:$F, ROW()-1), $F11)) : INDEX(AH:AH, ROW()-1),
         INDEX(AB:AB, ROW()-COUNTIF($F$6:INDEX($F:$F, ROW()-1), $F11)) : INDEX(AB:AB, ROW()-1)
         )
         /SUM(INDEX(AB:AB, ROW()-COUNTIF($F$6:INDEX($F:$F, ROW()-1), $F11)) : INDEX(AB:AB, ROW()-1)),
          AVERAGEIFS(unit_details[Effective Rent],
          unit_details[Active Listing?],TRUE,
          unit_details[Property Name], $F12,
          unit_details[Beds], $L12,
          unit_details[Baths], $M12,
          unit_details[Partial Baths], IF(ISNUMBER($N12),$N12,""),
          unit_details[Sqft],$P12
)),"")</f>
        <v/>
      </c>
      <c r="AI12" s="6" t="str">
        <f>IFERROR(IF($F12="Total",
         SUMPRODUCT(
         INDEX(AI:AI, ROW()-COUNTIF($F$6:INDEX($F:$F, ROW()-1), $F11)) : INDEX(AI:AI, ROW()-1),
         INDEX(AB:AB, ROW()-COUNTIF($F$6:INDEX($F:$F, ROW()-1), $F11)) : INDEX(AB:AB, ROW()-1)
         )
         /SUM(INDEX(AB:AB, ROW()-COUNTIF($F$6:INDEX($F:$F, ROW()-1), $F11)) : INDEX(AB:AB, ROW()-1)),
           AVERAGEIFS(unit_details[Effective PSF],
          unit_details[Active Listing?],TRUE,
          unit_details[Property Name], $F12,
          unit_details[Beds], $L12,
          unit_details[Baths], $M12,
          unit_details[Partial Baths], IF(ISNUMBER($N12),$N12,""),
          unit_details[Sqft],$P12
)),"")</f>
        <v/>
      </c>
      <c r="AJ12" s="824" t="str">
        <f t="shared" si="4"/>
        <v/>
      </c>
      <c r="AK12" s="531" t="str">
        <f t="shared" si="5"/>
        <v/>
      </c>
      <c r="AL12" s="714" t="str">
        <f t="shared" si="6"/>
        <v/>
      </c>
      <c r="AM12" s="531" t="str">
        <f t="shared" si="7"/>
        <v/>
      </c>
      <c r="AN12" s="716" t="str">
        <f t="shared" si="8"/>
        <v/>
      </c>
    </row>
    <row r="13" spans="2:40" x14ac:dyDescent="0.2">
      <c r="B13" s="719"/>
      <c r="C13" s="719"/>
      <c r="F13" s="1" t="str">
        <f t="shared" si="0"/>
        <v>Grand Mesa Flats</v>
      </c>
      <c r="G13" s="713" t="str">
        <f t="shared" si="9"/>
        <v>Grand Mesa Flats</v>
      </c>
      <c r="H13" s="17" t="str">
        <f>IFERROR(VLOOKUP($G13,Table1[[Property]:[Exposure %]],4,0),"")</f>
        <v>--</v>
      </c>
      <c r="I13" s="3">
        <f>IFERROR(VLOOKUP($G13,Table1[[Property]:[Exposure %]],6,0),"")</f>
        <v>0</v>
      </c>
      <c r="J13" s="3">
        <f>IFERROR(VLOOKUP($G13,Table1[[Property]:[Exposure %]],7,0),"")</f>
        <v>0</v>
      </c>
      <c r="K13" s="932" t="s">
        <v>496</v>
      </c>
      <c r="L13" s="933">
        <v>2</v>
      </c>
      <c r="M13" s="934">
        <v>1</v>
      </c>
      <c r="N13" s="934">
        <v>1</v>
      </c>
      <c r="O13" s="932">
        <v>1113</v>
      </c>
      <c r="P13" s="931">
        <v>1113</v>
      </c>
      <c r="Q13" s="935">
        <v>1</v>
      </c>
      <c r="R13" s="4">
        <f>IFERROR(VLOOKUP(IF(F13="Total",F12,F13),Table1[[Property]:['# Units]],7,0)*S13,"")</f>
        <v>0</v>
      </c>
      <c r="S13" s="27">
        <f t="shared" si="2"/>
        <v>1</v>
      </c>
      <c r="T13" s="531">
        <f>IFERROR(
 IF($F13="Total",
   SUMPRODUCT(
   INDEX(T:T, ROW()-COUNTIF($F$6:INDEX($F:$F, ROW()-1), $F12)) : INDEX(T:T, ROW()-1),
   INDEX(W:W, ROW()-COUNTIF($F$6:INDEX($F:$F, ROW()-1), $F12)) : INDEX(W:W, ROW()-1)
   )
   /SUM(INDEX(W:W, ROW()-COUNTIF($F$6:INDEX($F:$F, ROW()-1), $F12)) : INDEX(W:W, ROW()-1)),
   AVERAGEIFS(
     INDEX((unit_details[Asking Rent],unit_details[Asking PSF]),0,1,IF($U$3="Chunk Rent",1,2)),
     unit_details[Leased Date],"&gt;="&amp;($AM$2-T$5),
     unit_details[Leased Date],"&lt;"&amp;$AM$2,
     unit_details[Beds],$L13,
     unit_details[Baths],$M13,
     unit_details[Partial Baths],IF(ISNUMBER($N13),$N13,""),
     unit_details[Sqft],$P13,
     unit_details[Property Name],$F13)
 ),"")</f>
        <v>1433.6666666666667</v>
      </c>
      <c r="U13" s="552">
        <f>IFERROR(
 IF($F13="Total",
   SUMPRODUCT(
   INDEX(U:U, ROW()-COUNTIF($F$6:INDEX($F:$F, ROW()-1), $F12)) : INDEX(U:U, ROW()-1),
   INDEX(W:W, ROW()-COUNTIF($F$6:INDEX($F:$F, ROW()-1), $F12)) : INDEX(W:W, ROW()-1)
   )
   /SUM(INDEX(W:W, ROW()-COUNTIF($F$6:INDEX($F:$F, ROW()-1), $F12)) : INDEX(W:W, ROW()-1)),
   AVERAGEIFS(
     INDEX((unit_details[Effective Rent],unit_details[Effective PSF]),0,1,IF($U$3="Chunk Rent",1,2)),
     unit_details[Leased Date],"&gt;="&amp;($AM$2-T$5),
     unit_details[Leased Date],"&lt;"&amp;$AM$2,
     unit_details[Beds],$L13,
     unit_details[Baths],$M13,
     unit_details[Partial Baths],IF(ISNUMBER($N13),$N13,""),
     unit_details[Sqft],$P13,
     unit_details[Property Name],$F13)
 ),"")</f>
        <v>1433.6666666666667</v>
      </c>
      <c r="V13" s="27" t="str">
        <f t="shared" si="10"/>
        <v/>
      </c>
      <c r="W13" s="526">
        <f>IFERROR(
  IF($F13="Total",
    SUM(INDEX(W:W, ROW()-COUNTIF($F$6:INDEX($F:$F, ROW()-1), $F12)) : INDEX(W:W, ROW()-1)),
    COUNTIFS(
      unit_details[Leased Date], "&gt;="&amp;($AM$2-T$5),
      unit_details[Leased Date], "&lt;"&amp;$AM$2,
      unit_details[Beds], $L13,
      unit_details[Baths], $M13,
      unit_details[Partial Baths], IF(ISNUMBER($N13), $N13, ""),
      unit_details[Sqft],$P13,
      unit_details[Property Name], $F13
    )
  ),
"")</f>
        <v>30</v>
      </c>
      <c r="X13" s="531">
        <f>IFERROR(
 IF($F13="Total",
   SUMPRODUCT(
   INDEX(X:X, ROW()-COUNTIF($F$6:INDEX($F:$F, ROW()-1), $F12)) : INDEX(X:X, ROW()-1),
   INDEX(AA:AA, ROW()-COUNTIF($F$6:INDEX($F:$F, ROW()-1), $F12)) : INDEX(AA:AA, ROW()-1)
   )
   /SUM(INDEX(AA:AA, ROW()-COUNTIF($F$6:INDEX($F:$F, ROW()-1), $F12)) : INDEX(AA:AA, ROW()-1)),
   AVERAGEIFS(
     INDEX((unit_details[Asking Rent],unit_details[Asking PSF]),0,1,IF($U$3="Chunk Rent",1,2)),
     unit_details[Leased Date],"&gt;="&amp;($AM$2-X$5),
     unit_details[Leased Date],"&lt;"&amp;$AM$2,
     unit_details[Beds],$L13,
     unit_details[Baths],$M13,
     unit_details[Partial Baths],IF(ISNUMBER($N13),$N13,""),
     unit_details[Sqft],$P13,
     unit_details[Property Name],$F13)
 ),"")</f>
        <v>1490</v>
      </c>
      <c r="Y13" s="552">
        <f>IFERROR(
 IF($F13="Total",
   SUMPRODUCT(
   INDEX(Y:Y, ROW()-COUNTIF($F$6:INDEX($F:$F, ROW()-1), $F12)) : INDEX(Y:Y, ROW()-1),
   INDEX(AA:AA, ROW()-COUNTIF($F$6:INDEX($F:$F, ROW()-1), $F12)) : INDEX(AA:AA, ROW()-1)
   )
   /SUM(INDEX(AA:AA, ROW()-COUNTIF($F$6:INDEX($F:$F, ROW()-1), $F12)) : INDEX(AA:AA, ROW()-1)),
   AVERAGEIFS(
     INDEX((unit_details[Effective Rent],unit_details[Effective PSF]),0,1,IF($U$3="Chunk Rent",1,2)),
     unit_details[Leased Date],"&gt;="&amp;($AM$2-X$5),
     unit_details[Leased Date],"&lt;"&amp;$AM$2,
     unit_details[Beds],$L13,
     unit_details[Baths],$M13,
     unit_details[Partial Baths],IF(ISNUMBER($N13),$N13,""),
     unit_details[Sqft],$P13,
     unit_details[Property Name],$F13)
 ),"")</f>
        <v>1490</v>
      </c>
      <c r="Z13" s="27" t="str">
        <f t="shared" si="11"/>
        <v/>
      </c>
      <c r="AA13" s="526">
        <f>IFERROR(
  IF($F13="Total",
    SUM(INDEX(AA:AA, ROW()-COUNTIF($F$6:INDEX($F:$F, ROW()-1), $F12)) : INDEX(AA:AA, ROW()-1)),
    COUNTIFS(
      unit_details[Leased Date], "&gt;="&amp;($AM$2-X$5),
      unit_details[Leased Date], "&lt;"&amp;$AM$2,
      unit_details[Beds], $L13,
      unit_details[Baths], $M13,
      unit_details[Partial Baths], IF(ISNUMBER($N13), $N13, ""),
      unit_details[Sqft],$P13,
      unit_details[Property Name], $F13
    )
  ),
"")</f>
        <v>1</v>
      </c>
      <c r="AB13" s="290">
        <f>IF($F13="Total",
SUM(INDEX(AB:AB, ROW()-COUNTIF($F$6:INDEX($F:$F, ROW()-1), $F12)) : INDEX(AB:AB, ROW()-1)),
COUNTIFS(unit_details[Active Listing?],TRUE,
          unit_details[Property Name], $F13,
          unit_details[Beds], $L13,
          unit_details[Baths], $M13,
          unit_details[Partial Baths],IF(ISNUMBER($N13),$N13,""),
          unit_details[Sqft],$P13))</f>
        <v>4</v>
      </c>
      <c r="AC13" s="27" t="str">
        <f t="shared" si="3"/>
        <v/>
      </c>
      <c r="AD13" s="293">
        <f>IFERROR(IF(AE13="","",IF($F13="Total",
SUMPRODUCT(
   INDEX(AD:AD, ROW()-COUNTIF($F$6:INDEX($F:$F, ROW()-1), $F12)) : INDEX(AD:AD, ROW()-1),
   INDEX(AB:AB, ROW()-COUNTIF($F$6:INDEX($F:$F, ROW()-1), $F12)) : INDEX(AB:AB, ROW()-1)
   )
   /SUM(INDEX(AB:AB, ROW()-COUNTIF($F$6:INDEX($F:$F, ROW()-1), $F12)) : INDEX(AB:AB, ROW()-1)),
          _xlfn.MINIFS(unit_details[Asking Rent],
          unit_details[Active Listing?],TRUE,
          unit_details[Property Name], $F13,
          unit_details[Beds], $L13,
          unit_details[Baths], $M13,
          unit_details[Partial Baths], IF(ISNUMBER($N13),$N13,""),
          unit_details[Sqft],$P13
))),"")</f>
        <v>1425</v>
      </c>
      <c r="AE13" s="5">
        <f>IFERROR(IF($F13="Total",
          SUMPRODUCT(
   INDEX(AE:AE, ROW()-COUNTIF($F$6:INDEX($F:$F, ROW()-1), $F12)) : INDEX(AE:AE, ROW()-1),
   INDEX(AB:AB, ROW()-COUNTIF($F$6:INDEX($F:$F, ROW()-1), $F12)) : INDEX(AB:AB, ROW()-1)
   )
   /SUM(INDEX(AB:AB, ROW()-COUNTIF($F$6:INDEX($F:$F, ROW()-1), $F12)) : INDEX(AB:AB, ROW()-1)),
          AVERAGEIFS(unit_details[Asking Rent],
          unit_details[Active Listing?],TRUE,
          unit_details[Property Name], $F13,
          unit_details[Beds], $L13,
          unit_details[Baths], $M13,
          unit_details[Partial Baths], IF(ISNUMBER($N13),$N13,""),
          unit_details[Sqft],$P13
)),"")</f>
        <v>1425</v>
      </c>
      <c r="AF13" s="5">
        <f>IFERROR(IF(AE13="","",IF($F13="Total",
SUMPRODUCT(
   INDEX(AF:AF, ROW()-COUNTIF($F$6:INDEX($F:$F, ROW()-1), $F12)) : INDEX(AF:AF, ROW()-1),
   INDEX(AB:AB, ROW()-COUNTIF($F$6:INDEX($F:$F, ROW()-1), $F12)) : INDEX(AB:AB, ROW()-1)
   )
   /SUM(INDEX(AB:AB, ROW()-COUNTIF($F$6:INDEX($F:$F, ROW()-1), $F12)) : INDEX(AB:AB, ROW()-1)),
           _xlfn.MAXIFS(unit_details[Asking Rent],
          unit_details[Active Listing?],TRUE,
          unit_details[Property Name], $F13,
          unit_details[Beds], $L13,
          unit_details[Baths], $M13,
          unit_details[Partial Baths], IF(ISNUMBER($N13),$N13,""),
          unit_details[Sqft],$P13
))),"")</f>
        <v>1425</v>
      </c>
      <c r="AG13" s="6">
        <f>IFERROR(IF($F13="Total",
         SUMPRODUCT(
         INDEX(AG:AG, ROW()-COUNTIF($F$6:INDEX($F:$F, ROW()-1), $F12)) : INDEX(AG:AG, ROW()-1),
         INDEX(AB:AB, ROW()-COUNTIF($F$6:INDEX($F:$F, ROW()-1), $F12)) : INDEX(AB:AB, ROW()-1)
         )
         /SUM(INDEX(AB:AB, ROW()-COUNTIF($F$6:INDEX($F:$F, ROW()-1), $F12)) : INDEX(AB:AB, ROW()-1)),
          AVERAGEIFS(unit_details[Asking PSF],
          unit_details[Active Listing?],TRUE,
          unit_details[Property Name], $F13,
          unit_details[Beds], $L13,
          unit_details[Baths], $M13,
          unit_details[Partial Baths], IF(ISNUMBER($N13),$N13,""),
          unit_details[Sqft],$P13
)),"")</f>
        <v>1.2803234501347709</v>
      </c>
      <c r="AH13" s="293">
        <f>IFERROR(IF($F13="Total",
         SUMPRODUCT(
         INDEX(AH:AH, ROW()-COUNTIF($F$6:INDEX($F:$F, ROW()-1), $F12)) : INDEX(AH:AH, ROW()-1),
         INDEX(AB:AB, ROW()-COUNTIF($F$6:INDEX($F:$F, ROW()-1), $F12)) : INDEX(AB:AB, ROW()-1)
         )
         /SUM(INDEX(AB:AB, ROW()-COUNTIF($F$6:INDEX($F:$F, ROW()-1), $F12)) : INDEX(AB:AB, ROW()-1)),
          AVERAGEIFS(unit_details[Effective Rent],
          unit_details[Active Listing?],TRUE,
          unit_details[Property Name], $F13,
          unit_details[Beds], $L13,
          unit_details[Baths], $M13,
          unit_details[Partial Baths], IF(ISNUMBER($N13),$N13,""),
          unit_details[Sqft],$P13
)),"")</f>
        <v>1425</v>
      </c>
      <c r="AI13" s="6">
        <f>IFERROR(IF($F13="Total",
         SUMPRODUCT(
         INDEX(AI:AI, ROW()-COUNTIF($F$6:INDEX($F:$F, ROW()-1), $F12)) : INDEX(AI:AI, ROW()-1),
         INDEX(AB:AB, ROW()-COUNTIF($F$6:INDEX($F:$F, ROW()-1), $F12)) : INDEX(AB:AB, ROW()-1)
         )
         /SUM(INDEX(AB:AB, ROW()-COUNTIF($F$6:INDEX($F:$F, ROW()-1), $F12)) : INDEX(AB:AB, ROW()-1)),
           AVERAGEIFS(unit_details[Effective PSF],
          unit_details[Active Listing?],TRUE,
          unit_details[Property Name], $F13,
          unit_details[Beds], $L13,
          unit_details[Baths], $M13,
          unit_details[Partial Baths], IF(ISNUMBER($N13),$N13,""),
          unit_details[Sqft],$P13
)),"")</f>
        <v>1.2803234501347709</v>
      </c>
      <c r="AJ13" s="824">
        <f t="shared" si="4"/>
        <v>0</v>
      </c>
      <c r="AK13" s="531">
        <f t="shared" si="5"/>
        <v>-8.6666666666667425</v>
      </c>
      <c r="AL13" s="714">
        <f t="shared" si="6"/>
        <v>-6.0451057893513658E-3</v>
      </c>
      <c r="AM13" s="531">
        <f t="shared" si="7"/>
        <v>-65</v>
      </c>
      <c r="AN13" s="716">
        <f t="shared" si="8"/>
        <v>-4.3624161073825503E-2</v>
      </c>
    </row>
    <row r="14" spans="2:40" x14ac:dyDescent="0.2">
      <c r="B14" s="719"/>
      <c r="C14" s="719"/>
      <c r="F14" s="1" t="str">
        <f t="shared" si="0"/>
        <v>Total</v>
      </c>
      <c r="G14" s="713" t="str">
        <f t="shared" si="9"/>
        <v>Total</v>
      </c>
      <c r="H14" s="17" t="str">
        <f>IFERROR(VLOOKUP($G14,Table1[[Property]:[Exposure %]],4,0),"")</f>
        <v/>
      </c>
      <c r="I14" s="3" t="str">
        <f>IFERROR(VLOOKUP($G14,Table1[[Property]:[Exposure %]],6,0),"")</f>
        <v/>
      </c>
      <c r="J14" s="3" t="str">
        <f>IFERROR(VLOOKUP($G14,Table1[[Property]:[Exposure %]],7,0),"")</f>
        <v/>
      </c>
      <c r="K14" s="932" t="s">
        <v>277</v>
      </c>
      <c r="L14" s="932"/>
      <c r="M14" s="932"/>
      <c r="N14" s="932"/>
      <c r="O14" s="932"/>
      <c r="P14" s="931">
        <v>1113</v>
      </c>
      <c r="Q14" s="935">
        <v>1</v>
      </c>
      <c r="R14" s="4">
        <f>IFERROR(VLOOKUP(IF(F14="Total",F13,F14),Table1[[Property]:['# Units]],7,0)*S14,"")</f>
        <v>0</v>
      </c>
      <c r="S14" s="27">
        <f t="shared" si="2"/>
        <v>1</v>
      </c>
      <c r="T14" s="531">
        <f>IFERROR(
 IF($F14="Total",
   SUMPRODUCT(
   INDEX(T:T, ROW()-COUNTIF($F$6:INDEX($F:$F, ROW()-1), $F13)) : INDEX(T:T, ROW()-1),
   INDEX(W:W, ROW()-COUNTIF($F$6:INDEX($F:$F, ROW()-1), $F13)) : INDEX(W:W, ROW()-1)
   )
   /SUM(INDEX(W:W, ROW()-COUNTIF($F$6:INDEX($F:$F, ROW()-1), $F13)) : INDEX(W:W, ROW()-1)),
   AVERAGEIFS(
     INDEX((unit_details[Asking Rent],unit_details[Asking PSF]),0,1,IF($U$3="Chunk Rent",1,2)),
     unit_details[Leased Date],"&gt;="&amp;($AM$2-T$5),
     unit_details[Leased Date],"&lt;"&amp;$AM$2,
     unit_details[Beds],$L14,
     unit_details[Baths],$M14,
     unit_details[Partial Baths],IF(ISNUMBER($N14),$N14,""),
     unit_details[Sqft],$P14,
     unit_details[Property Name],$F14)
 ),"")</f>
        <v>1433.6666666666667</v>
      </c>
      <c r="U14" s="552">
        <f>IFERROR(
 IF($F14="Total",
   SUMPRODUCT(
   INDEX(U:U, ROW()-COUNTIF($F$6:INDEX($F:$F, ROW()-1), $F13)) : INDEX(U:U, ROW()-1),
   INDEX(W:W, ROW()-COUNTIF($F$6:INDEX($F:$F, ROW()-1), $F13)) : INDEX(W:W, ROW()-1)
   )
   /SUM(INDEX(W:W, ROW()-COUNTIF($F$6:INDEX($F:$F, ROW()-1), $F13)) : INDEX(W:W, ROW()-1)),
   AVERAGEIFS(
     INDEX((unit_details[Effective Rent],unit_details[Effective PSF]),0,1,IF($U$3="Chunk Rent",1,2)),
     unit_details[Leased Date],"&gt;="&amp;($AM$2-T$5),
     unit_details[Leased Date],"&lt;"&amp;$AM$2,
     unit_details[Beds],$L14,
     unit_details[Baths],$M14,
     unit_details[Partial Baths],IF(ISNUMBER($N14),$N14,""),
     unit_details[Sqft],$P14,
     unit_details[Property Name],$F14)
 ),"")</f>
        <v>1433.6666666666667</v>
      </c>
      <c r="V14" s="27" t="str">
        <f t="shared" si="10"/>
        <v/>
      </c>
      <c r="W14" s="526">
        <f>IFERROR(
  IF($F14="Total",
    SUM(INDEX(W:W, ROW()-COUNTIF($F$6:INDEX($F:$F, ROW()-1), $F13)) : INDEX(W:W, ROW()-1)),
    COUNTIFS(
      unit_details[Leased Date], "&gt;="&amp;($AM$2-T$5),
      unit_details[Leased Date], "&lt;"&amp;$AM$2,
      unit_details[Beds], $L14,
      unit_details[Baths], $M14,
      unit_details[Partial Baths], IF(ISNUMBER($N14), $N14, ""),
      unit_details[Sqft],$P14,
      unit_details[Property Name], $F14
    )
  ),
"")</f>
        <v>30</v>
      </c>
      <c r="X14" s="531">
        <f>IFERROR(
 IF($F14="Total",
   SUMPRODUCT(
   INDEX(X:X, ROW()-COUNTIF($F$6:INDEX($F:$F, ROW()-1), $F13)) : INDEX(X:X, ROW()-1),
   INDEX(AA:AA, ROW()-COUNTIF($F$6:INDEX($F:$F, ROW()-1), $F13)) : INDEX(AA:AA, ROW()-1)
   )
   /SUM(INDEX(AA:AA, ROW()-COUNTIF($F$6:INDEX($F:$F, ROW()-1), $F13)) : INDEX(AA:AA, ROW()-1)),
   AVERAGEIFS(
     INDEX((unit_details[Asking Rent],unit_details[Asking PSF]),0,1,IF($U$3="Chunk Rent",1,2)),
     unit_details[Leased Date],"&gt;="&amp;($AM$2-X$5),
     unit_details[Leased Date],"&lt;"&amp;$AM$2,
     unit_details[Beds],$L14,
     unit_details[Baths],$M14,
     unit_details[Partial Baths],IF(ISNUMBER($N14),$N14,""),
     unit_details[Sqft],$P14,
     unit_details[Property Name],$F14)
 ),"")</f>
        <v>1490</v>
      </c>
      <c r="Y14" s="552">
        <f>IFERROR(
 IF($F14="Total",
   SUMPRODUCT(
   INDEX(Y:Y, ROW()-COUNTIF($F$6:INDEX($F:$F, ROW()-1), $F13)) : INDEX(Y:Y, ROW()-1),
   INDEX(AA:AA, ROW()-COUNTIF($F$6:INDEX($F:$F, ROW()-1), $F13)) : INDEX(AA:AA, ROW()-1)
   )
   /SUM(INDEX(AA:AA, ROW()-COUNTIF($F$6:INDEX($F:$F, ROW()-1), $F13)) : INDEX(AA:AA, ROW()-1)),
   AVERAGEIFS(
     INDEX((unit_details[Effective Rent],unit_details[Effective PSF]),0,1,IF($U$3="Chunk Rent",1,2)),
     unit_details[Leased Date],"&gt;="&amp;($AM$2-X$5),
     unit_details[Leased Date],"&lt;"&amp;$AM$2,
     unit_details[Beds],$L14,
     unit_details[Baths],$M14,
     unit_details[Partial Baths],IF(ISNUMBER($N14),$N14,""),
     unit_details[Sqft],$P14,
     unit_details[Property Name],$F14)
 ),"")</f>
        <v>1490</v>
      </c>
      <c r="Z14" s="27" t="str">
        <f t="shared" si="11"/>
        <v/>
      </c>
      <c r="AA14" s="526">
        <f>IFERROR(
  IF($F14="Total",
    SUM(INDEX(AA:AA, ROW()-COUNTIF($F$6:INDEX($F:$F, ROW()-1), $F13)) : INDEX(AA:AA, ROW()-1)),
    COUNTIFS(
      unit_details[Leased Date], "&gt;="&amp;($AM$2-X$5),
      unit_details[Leased Date], "&lt;"&amp;$AM$2,
      unit_details[Beds], $L14,
      unit_details[Baths], $M14,
      unit_details[Partial Baths], IF(ISNUMBER($N14), $N14, ""),
      unit_details[Sqft],$P14,
      unit_details[Property Name], $F14
    )
  ),
"")</f>
        <v>1</v>
      </c>
      <c r="AB14" s="290">
        <f>IF($F14="Total",
SUM(INDEX(AB:AB, ROW()-COUNTIF($F$6:INDEX($F:$F, ROW()-1), $F13)) : INDEX(AB:AB, ROW()-1)),
COUNTIFS(unit_details[Active Listing?],TRUE,
          unit_details[Property Name], $F14,
          unit_details[Beds], $L14,
          unit_details[Baths], $M14,
          unit_details[Partial Baths],IF(ISNUMBER($N14),$N14,""),
          unit_details[Sqft],$P14))</f>
        <v>4</v>
      </c>
      <c r="AC14" s="27" t="str">
        <f t="shared" si="3"/>
        <v/>
      </c>
      <c r="AD14" s="293">
        <f>IFERROR(IF(AE14="","",IF($F14="Total",
SUMPRODUCT(
   INDEX(AD:AD, ROW()-COUNTIF($F$6:INDEX($F:$F, ROW()-1), $F13)) : INDEX(AD:AD, ROW()-1),
   INDEX(AB:AB, ROW()-COUNTIF($F$6:INDEX($F:$F, ROW()-1), $F13)) : INDEX(AB:AB, ROW()-1)
   )
   /SUM(INDEX(AB:AB, ROW()-COUNTIF($F$6:INDEX($F:$F, ROW()-1), $F13)) : INDEX(AB:AB, ROW()-1)),
          _xlfn.MINIFS(unit_details[Asking Rent],
          unit_details[Active Listing?],TRUE,
          unit_details[Property Name], $F14,
          unit_details[Beds], $L14,
          unit_details[Baths], $M14,
          unit_details[Partial Baths], IF(ISNUMBER($N14),$N14,""),
          unit_details[Sqft],$P14
))),"")</f>
        <v>1425</v>
      </c>
      <c r="AE14" s="5">
        <f>IFERROR(IF($F14="Total",
          SUMPRODUCT(
   INDEX(AE:AE, ROW()-COUNTIF($F$6:INDEX($F:$F, ROW()-1), $F13)) : INDEX(AE:AE, ROW()-1),
   INDEX(AB:AB, ROW()-COUNTIF($F$6:INDEX($F:$F, ROW()-1), $F13)) : INDEX(AB:AB, ROW()-1)
   )
   /SUM(INDEX(AB:AB, ROW()-COUNTIF($F$6:INDEX($F:$F, ROW()-1), $F13)) : INDEX(AB:AB, ROW()-1)),
          AVERAGEIFS(unit_details[Asking Rent],
          unit_details[Active Listing?],TRUE,
          unit_details[Property Name], $F14,
          unit_details[Beds], $L14,
          unit_details[Baths], $M14,
          unit_details[Partial Baths], IF(ISNUMBER($N14),$N14,""),
          unit_details[Sqft],$P14
)),"")</f>
        <v>1425</v>
      </c>
      <c r="AF14" s="5">
        <f>IFERROR(IF(AE14="","",IF($F14="Total",
SUMPRODUCT(
   INDEX(AF:AF, ROW()-COUNTIF($F$6:INDEX($F:$F, ROW()-1), $F13)) : INDEX(AF:AF, ROW()-1),
   INDEX(AB:AB, ROW()-COUNTIF($F$6:INDEX($F:$F, ROW()-1), $F13)) : INDEX(AB:AB, ROW()-1)
   )
   /SUM(INDEX(AB:AB, ROW()-COUNTIF($F$6:INDEX($F:$F, ROW()-1), $F13)) : INDEX(AB:AB, ROW()-1)),
           _xlfn.MAXIFS(unit_details[Asking Rent],
          unit_details[Active Listing?],TRUE,
          unit_details[Property Name], $F14,
          unit_details[Beds], $L14,
          unit_details[Baths], $M14,
          unit_details[Partial Baths], IF(ISNUMBER($N14),$N14,""),
          unit_details[Sqft],$P14
))),"")</f>
        <v>1425</v>
      </c>
      <c r="AG14" s="6">
        <f>IFERROR(IF($F14="Total",
         SUMPRODUCT(
         INDEX(AG:AG, ROW()-COUNTIF($F$6:INDEX($F:$F, ROW()-1), $F13)) : INDEX(AG:AG, ROW()-1),
         INDEX(AB:AB, ROW()-COUNTIF($F$6:INDEX($F:$F, ROW()-1), $F13)) : INDEX(AB:AB, ROW()-1)
         )
         /SUM(INDEX(AB:AB, ROW()-COUNTIF($F$6:INDEX($F:$F, ROW()-1), $F13)) : INDEX(AB:AB, ROW()-1)),
          AVERAGEIFS(unit_details[Asking PSF],
          unit_details[Active Listing?],TRUE,
          unit_details[Property Name], $F14,
          unit_details[Beds], $L14,
          unit_details[Baths], $M14,
          unit_details[Partial Baths], IF(ISNUMBER($N14),$N14,""),
          unit_details[Sqft],$P14
)),"")</f>
        <v>1.2803234501347709</v>
      </c>
      <c r="AH14" s="293">
        <f>IFERROR(IF($F14="Total",
         SUMPRODUCT(
         INDEX(AH:AH, ROW()-COUNTIF($F$6:INDEX($F:$F, ROW()-1), $F13)) : INDEX(AH:AH, ROW()-1),
         INDEX(AB:AB, ROW()-COUNTIF($F$6:INDEX($F:$F, ROW()-1), $F13)) : INDEX(AB:AB, ROW()-1)
         )
         /SUM(INDEX(AB:AB, ROW()-COUNTIF($F$6:INDEX($F:$F, ROW()-1), $F13)) : INDEX(AB:AB, ROW()-1)),
          AVERAGEIFS(unit_details[Effective Rent],
          unit_details[Active Listing?],TRUE,
          unit_details[Property Name], $F14,
          unit_details[Beds], $L14,
          unit_details[Baths], $M14,
          unit_details[Partial Baths], IF(ISNUMBER($N14),$N14,""),
          unit_details[Sqft],$P14
)),"")</f>
        <v>1425</v>
      </c>
      <c r="AI14" s="6">
        <f>IFERROR(IF($F14="Total",
         SUMPRODUCT(
         INDEX(AI:AI, ROW()-COUNTIF($F$6:INDEX($F:$F, ROW()-1), $F13)) : INDEX(AI:AI, ROW()-1),
         INDEX(AB:AB, ROW()-COUNTIF($F$6:INDEX($F:$F, ROW()-1), $F13)) : INDEX(AB:AB, ROW()-1)
         )
         /SUM(INDEX(AB:AB, ROW()-COUNTIF($F$6:INDEX($F:$F, ROW()-1), $F13)) : INDEX(AB:AB, ROW()-1)),
           AVERAGEIFS(unit_details[Effective PSF],
          unit_details[Active Listing?],TRUE,
          unit_details[Property Name], $F14,
          unit_details[Beds], $L14,
          unit_details[Baths], $M14,
          unit_details[Partial Baths], IF(ISNUMBER($N14),$N14,""),
          unit_details[Sqft],$P14
)),"")</f>
        <v>1.2803234501347709</v>
      </c>
      <c r="AJ14" s="824">
        <f t="shared" si="4"/>
        <v>0</v>
      </c>
      <c r="AK14" s="531">
        <f t="shared" si="5"/>
        <v>-8.6666666666667425</v>
      </c>
      <c r="AL14" s="714">
        <f t="shared" si="6"/>
        <v>-6.0451057893513658E-3</v>
      </c>
      <c r="AM14" s="531">
        <f t="shared" si="7"/>
        <v>-65</v>
      </c>
      <c r="AN14" s="716">
        <f t="shared" si="8"/>
        <v>-4.3624161073825503E-2</v>
      </c>
    </row>
    <row r="15" spans="2:40" x14ac:dyDescent="0.2">
      <c r="B15" s="719"/>
      <c r="C15" s="719"/>
      <c r="F15" s="1" t="str">
        <f t="shared" si="0"/>
        <v>(blank)</v>
      </c>
      <c r="G15" s="713" t="str">
        <f t="shared" si="9"/>
        <v>(blank)</v>
      </c>
      <c r="H15" s="17" t="str">
        <f>IFERROR(VLOOKUP($G15,Table1[[Property]:[Exposure %]],4,0),"")</f>
        <v/>
      </c>
      <c r="I15" s="3" t="str">
        <f>IFERROR(VLOOKUP($G15,Table1[[Property]:[Exposure %]],6,0),"")</f>
        <v/>
      </c>
      <c r="J15" s="3" t="str">
        <f>IFERROR(VLOOKUP($G15,Table1[[Property]:[Exposure %]],7,0),"")</f>
        <v/>
      </c>
      <c r="K15" s="932" t="s">
        <v>196</v>
      </c>
      <c r="L15" s="933">
        <v>1</v>
      </c>
      <c r="M15" s="934">
        <v>1</v>
      </c>
      <c r="N15" s="934" t="s">
        <v>191</v>
      </c>
      <c r="O15" s="932">
        <v>500</v>
      </c>
      <c r="P15" s="931">
        <v>500</v>
      </c>
      <c r="Q15" s="935">
        <v>1.5873015873015872E-2</v>
      </c>
      <c r="R15" s="4" t="str">
        <f>IFERROR(VLOOKUP(IF(F15="Total",F14,F15),Table1[[Property]:['# Units]],7,0)*S15,"")</f>
        <v/>
      </c>
      <c r="S15" s="27">
        <f t="shared" si="2"/>
        <v>1.5873015873015872E-2</v>
      </c>
      <c r="T15" s="531" t="str">
        <f>IFERROR(
 IF($F15="Total",
   SUMPRODUCT(
   INDEX(T:T, ROW()-COUNTIF($F$6:INDEX($F:$F, ROW()-1), $F14)) : INDEX(T:T, ROW()-1),
   INDEX(W:W, ROW()-COUNTIF($F$6:INDEX($F:$F, ROW()-1), $F14)) : INDEX(W:W, ROW()-1)
   )
   /SUM(INDEX(W:W, ROW()-COUNTIF($F$6:INDEX($F:$F, ROW()-1), $F14)) : INDEX(W:W, ROW()-1)),
   AVERAGEIFS(
     INDEX((unit_details[Asking Rent],unit_details[Asking PSF]),0,1,IF($U$3="Chunk Rent",1,2)),
     unit_details[Leased Date],"&gt;="&amp;($AM$2-T$5),
     unit_details[Leased Date],"&lt;"&amp;$AM$2,
     unit_details[Beds],$L15,
     unit_details[Baths],$M15,
     unit_details[Partial Baths],IF(ISNUMBER($N15),$N15,""),
     unit_details[Sqft],$P15,
     unit_details[Property Name],$F15)
 ),"")</f>
        <v/>
      </c>
      <c r="U15" s="552" t="str">
        <f>IFERROR(
 IF($F15="Total",
   SUMPRODUCT(
   INDEX(U:U, ROW()-COUNTIF($F$6:INDEX($F:$F, ROW()-1), $F14)) : INDEX(U:U, ROW()-1),
   INDEX(W:W, ROW()-COUNTIF($F$6:INDEX($F:$F, ROW()-1), $F14)) : INDEX(W:W, ROW()-1)
   )
   /SUM(INDEX(W:W, ROW()-COUNTIF($F$6:INDEX($F:$F, ROW()-1), $F14)) : INDEX(W:W, ROW()-1)),
   AVERAGEIFS(
     INDEX((unit_details[Effective Rent],unit_details[Effective PSF]),0,1,IF($U$3="Chunk Rent",1,2)),
     unit_details[Leased Date],"&gt;="&amp;($AM$2-T$5),
     unit_details[Leased Date],"&lt;"&amp;$AM$2,
     unit_details[Beds],$L15,
     unit_details[Baths],$M15,
     unit_details[Partial Baths],IF(ISNUMBER($N15),$N15,""),
     unit_details[Sqft],$P15,
     unit_details[Property Name],$F15)
 ),"")</f>
        <v/>
      </c>
      <c r="V15" s="27" t="str">
        <f t="shared" si="10"/>
        <v/>
      </c>
      <c r="W15" s="526">
        <f>IFERROR(
  IF($F15="Total",
    SUM(INDEX(W:W, ROW()-COUNTIF($F$6:INDEX($F:$F, ROW()-1), $F14)) : INDEX(W:W, ROW()-1)),
    COUNTIFS(
      unit_details[Leased Date], "&gt;="&amp;($AM$2-T$5),
      unit_details[Leased Date], "&lt;"&amp;$AM$2,
      unit_details[Beds], $L15,
      unit_details[Baths], $M15,
      unit_details[Partial Baths], IF(ISNUMBER($N15), $N15, ""),
      unit_details[Sqft],$P15,
      unit_details[Property Name], $F15
    )
  ),
"")</f>
        <v>0</v>
      </c>
      <c r="X15" s="531" t="str">
        <f>IFERROR(
 IF($F15="Total",
   SUMPRODUCT(
   INDEX(X:X, ROW()-COUNTIF($F$6:INDEX($F:$F, ROW()-1), $F14)) : INDEX(X:X, ROW()-1),
   INDEX(AA:AA, ROW()-COUNTIF($F$6:INDEX($F:$F, ROW()-1), $F14)) : INDEX(AA:AA, ROW()-1)
   )
   /SUM(INDEX(AA:AA, ROW()-COUNTIF($F$6:INDEX($F:$F, ROW()-1), $F14)) : INDEX(AA:AA, ROW()-1)),
   AVERAGEIFS(
     INDEX((unit_details[Asking Rent],unit_details[Asking PSF]),0,1,IF($U$3="Chunk Rent",1,2)),
     unit_details[Leased Date],"&gt;="&amp;($AM$2-X$5),
     unit_details[Leased Date],"&lt;"&amp;$AM$2,
     unit_details[Beds],$L15,
     unit_details[Baths],$M15,
     unit_details[Partial Baths],IF(ISNUMBER($N15),$N15,""),
     unit_details[Sqft],$P15,
     unit_details[Property Name],$F15)
 ),"")</f>
        <v/>
      </c>
      <c r="Y15" s="552" t="str">
        <f>IFERROR(
 IF($F15="Total",
   SUMPRODUCT(
   INDEX(Y:Y, ROW()-COUNTIF($F$6:INDEX($F:$F, ROW()-1), $F14)) : INDEX(Y:Y, ROW()-1),
   INDEX(AA:AA, ROW()-COUNTIF($F$6:INDEX($F:$F, ROW()-1), $F14)) : INDEX(AA:AA, ROW()-1)
   )
   /SUM(INDEX(AA:AA, ROW()-COUNTIF($F$6:INDEX($F:$F, ROW()-1), $F14)) : INDEX(AA:AA, ROW()-1)),
   AVERAGEIFS(
     INDEX((unit_details[Effective Rent],unit_details[Effective PSF]),0,1,IF($U$3="Chunk Rent",1,2)),
     unit_details[Leased Date],"&gt;="&amp;($AM$2-X$5),
     unit_details[Leased Date],"&lt;"&amp;$AM$2,
     unit_details[Beds],$L15,
     unit_details[Baths],$M15,
     unit_details[Partial Baths],IF(ISNUMBER($N15),$N15,""),
     unit_details[Sqft],$P15,
     unit_details[Property Name],$F15)
 ),"")</f>
        <v/>
      </c>
      <c r="Z15" s="27" t="str">
        <f t="shared" si="11"/>
        <v/>
      </c>
      <c r="AA15" s="526">
        <f>IFERROR(
  IF($F15="Total",
    SUM(INDEX(AA:AA, ROW()-COUNTIF($F$6:INDEX($F:$F, ROW()-1), $F14)) : INDEX(AA:AA, ROW()-1)),
    COUNTIFS(
      unit_details[Leased Date], "&gt;="&amp;($AM$2-X$5),
      unit_details[Leased Date], "&lt;"&amp;$AM$2,
      unit_details[Beds], $L15,
      unit_details[Baths], $M15,
      unit_details[Partial Baths], IF(ISNUMBER($N15), $N15, ""),
      unit_details[Sqft],$P15,
      unit_details[Property Name], $F15
    )
  ),
"")</f>
        <v>0</v>
      </c>
      <c r="AB15" s="290">
        <f>IF($F15="Total",
SUM(INDEX(AB:AB, ROW()-COUNTIF($F$6:INDEX($F:$F, ROW()-1), $F14)) : INDEX(AB:AB, ROW()-1)),
COUNTIFS(unit_details[Active Listing?],TRUE,
          unit_details[Property Name], $F15,
          unit_details[Beds], $L15,
          unit_details[Baths], $M15,
          unit_details[Partial Baths],IF(ISNUMBER($N15),$N15,""),
          unit_details[Sqft],$P15))</f>
        <v>0</v>
      </c>
      <c r="AC15" s="27" t="str">
        <f t="shared" si="3"/>
        <v/>
      </c>
      <c r="AD15" s="293" t="str">
        <f>IFERROR(IF(AE15="","",IF($F15="Total",
SUMPRODUCT(
   INDEX(AD:AD, ROW()-COUNTIF($F$6:INDEX($F:$F, ROW()-1), $F14)) : INDEX(AD:AD, ROW()-1),
   INDEX(AB:AB, ROW()-COUNTIF($F$6:INDEX($F:$F, ROW()-1), $F14)) : INDEX(AB:AB, ROW()-1)
   )
   /SUM(INDEX(AB:AB, ROW()-COUNTIF($F$6:INDEX($F:$F, ROW()-1), $F14)) : INDEX(AB:AB, ROW()-1)),
          _xlfn.MINIFS(unit_details[Asking Rent],
          unit_details[Active Listing?],TRUE,
          unit_details[Property Name], $F15,
          unit_details[Beds], $L15,
          unit_details[Baths], $M15,
          unit_details[Partial Baths], IF(ISNUMBER($N15),$N15,""),
          unit_details[Sqft],$P15
))),"")</f>
        <v/>
      </c>
      <c r="AE15" s="5" t="str">
        <f>IFERROR(IF($F15="Total",
          SUMPRODUCT(
   INDEX(AE:AE, ROW()-COUNTIF($F$6:INDEX($F:$F, ROW()-1), $F14)) : INDEX(AE:AE, ROW()-1),
   INDEX(AB:AB, ROW()-COUNTIF($F$6:INDEX($F:$F, ROW()-1), $F14)) : INDEX(AB:AB, ROW()-1)
   )
   /SUM(INDEX(AB:AB, ROW()-COUNTIF($F$6:INDEX($F:$F, ROW()-1), $F14)) : INDEX(AB:AB, ROW()-1)),
          AVERAGEIFS(unit_details[Asking Rent],
          unit_details[Active Listing?],TRUE,
          unit_details[Property Name], $F15,
          unit_details[Beds], $L15,
          unit_details[Baths], $M15,
          unit_details[Partial Baths], IF(ISNUMBER($N15),$N15,""),
          unit_details[Sqft],$P15
)),"")</f>
        <v/>
      </c>
      <c r="AF15" s="5" t="str">
        <f>IFERROR(IF(AE15="","",IF($F15="Total",
SUMPRODUCT(
   INDEX(AF:AF, ROW()-COUNTIF($F$6:INDEX($F:$F, ROW()-1), $F14)) : INDEX(AF:AF, ROW()-1),
   INDEX(AB:AB, ROW()-COUNTIF($F$6:INDEX($F:$F, ROW()-1), $F14)) : INDEX(AB:AB, ROW()-1)
   )
   /SUM(INDEX(AB:AB, ROW()-COUNTIF($F$6:INDEX($F:$F, ROW()-1), $F14)) : INDEX(AB:AB, ROW()-1)),
           _xlfn.MAXIFS(unit_details[Asking Rent],
          unit_details[Active Listing?],TRUE,
          unit_details[Property Name], $F15,
          unit_details[Beds], $L15,
          unit_details[Baths], $M15,
          unit_details[Partial Baths], IF(ISNUMBER($N15),$N15,""),
          unit_details[Sqft],$P15
))),"")</f>
        <v/>
      </c>
      <c r="AG15" s="6" t="str">
        <f>IFERROR(IF($F15="Total",
         SUMPRODUCT(
         INDEX(AG:AG, ROW()-COUNTIF($F$6:INDEX($F:$F, ROW()-1), $F14)) : INDEX(AG:AG, ROW()-1),
         INDEX(AB:AB, ROW()-COUNTIF($F$6:INDEX($F:$F, ROW()-1), $F14)) : INDEX(AB:AB, ROW()-1)
         )
         /SUM(INDEX(AB:AB, ROW()-COUNTIF($F$6:INDEX($F:$F, ROW()-1), $F14)) : INDEX(AB:AB, ROW()-1)),
          AVERAGEIFS(unit_details[Asking PSF],
          unit_details[Active Listing?],TRUE,
          unit_details[Property Name], $F15,
          unit_details[Beds], $L15,
          unit_details[Baths], $M15,
          unit_details[Partial Baths], IF(ISNUMBER($N15),$N15,""),
          unit_details[Sqft],$P15
)),"")</f>
        <v/>
      </c>
      <c r="AH15" s="293" t="str">
        <f>IFERROR(IF($F15="Total",
         SUMPRODUCT(
         INDEX(AH:AH, ROW()-COUNTIF($F$6:INDEX($F:$F, ROW()-1), $F14)) : INDEX(AH:AH, ROW()-1),
         INDEX(AB:AB, ROW()-COUNTIF($F$6:INDEX($F:$F, ROW()-1), $F14)) : INDEX(AB:AB, ROW()-1)
         )
         /SUM(INDEX(AB:AB, ROW()-COUNTIF($F$6:INDEX($F:$F, ROW()-1), $F14)) : INDEX(AB:AB, ROW()-1)),
          AVERAGEIFS(unit_details[Effective Rent],
          unit_details[Active Listing?],TRUE,
          unit_details[Property Name], $F15,
          unit_details[Beds], $L15,
          unit_details[Baths], $M15,
          unit_details[Partial Baths], IF(ISNUMBER($N15),$N15,""),
          unit_details[Sqft],$P15
)),"")</f>
        <v/>
      </c>
      <c r="AI15" s="6" t="str">
        <f>IFERROR(IF($F15="Total",
         SUMPRODUCT(
         INDEX(AI:AI, ROW()-COUNTIF($F$6:INDEX($F:$F, ROW()-1), $F14)) : INDEX(AI:AI, ROW()-1),
         INDEX(AB:AB, ROW()-COUNTIF($F$6:INDEX($F:$F, ROW()-1), $F14)) : INDEX(AB:AB, ROW()-1)
         )
         /SUM(INDEX(AB:AB, ROW()-COUNTIF($F$6:INDEX($F:$F, ROW()-1), $F14)) : INDEX(AB:AB, ROW()-1)),
           AVERAGEIFS(unit_details[Effective PSF],
          unit_details[Active Listing?],TRUE,
          unit_details[Property Name], $F15,
          unit_details[Beds], $L15,
          unit_details[Baths], $M15,
          unit_details[Partial Baths], IF(ISNUMBER($N15),$N15,""),
          unit_details[Sqft],$P15
)),"")</f>
        <v/>
      </c>
      <c r="AJ15" s="824" t="str">
        <f t="shared" si="4"/>
        <v/>
      </c>
      <c r="AK15" s="531" t="str">
        <f t="shared" si="5"/>
        <v/>
      </c>
      <c r="AL15" s="714" t="str">
        <f t="shared" si="6"/>
        <v/>
      </c>
      <c r="AM15" s="531" t="str">
        <f t="shared" si="7"/>
        <v/>
      </c>
      <c r="AN15" s="716" t="str">
        <f t="shared" si="8"/>
        <v/>
      </c>
    </row>
    <row r="16" spans="2:40" x14ac:dyDescent="0.2">
      <c r="B16" s="719"/>
      <c r="C16" s="719"/>
      <c r="F16" s="1" t="str">
        <f t="shared" si="0"/>
        <v>(blank)</v>
      </c>
      <c r="G16" s="713" t="str">
        <f t="shared" si="9"/>
        <v/>
      </c>
      <c r="H16" s="17" t="str">
        <f>IFERROR(VLOOKUP($G16,Table1[[Property]:[Exposure %]],4,0),"")</f>
        <v/>
      </c>
      <c r="I16" s="3" t="str">
        <f>IFERROR(VLOOKUP($G16,Table1[[Property]:[Exposure %]],6,0),"")</f>
        <v/>
      </c>
      <c r="J16" s="3" t="str">
        <f>IFERROR(VLOOKUP($G16,Table1[[Property]:[Exposure %]],7,0),"")</f>
        <v/>
      </c>
      <c r="K16" s="932"/>
      <c r="L16" s="933">
        <v>1</v>
      </c>
      <c r="M16" s="934">
        <v>1</v>
      </c>
      <c r="N16" s="934" t="s">
        <v>191</v>
      </c>
      <c r="O16" s="932">
        <v>584</v>
      </c>
      <c r="P16" s="931">
        <v>584</v>
      </c>
      <c r="Q16" s="935">
        <v>1.5873015873015872E-2</v>
      </c>
      <c r="R16" s="4" t="str">
        <f>IFERROR(VLOOKUP(IF(F16="Total",F15,F16),Table1[[Property]:['# Units]],7,0)*S16,"")</f>
        <v/>
      </c>
      <c r="S16" s="27">
        <f t="shared" si="2"/>
        <v>1.5873015873015872E-2</v>
      </c>
      <c r="T16" s="531" t="str">
        <f>IFERROR(
 IF($F16="Total",
   SUMPRODUCT(
   INDEX(T:T, ROW()-COUNTIF($F$6:INDEX($F:$F, ROW()-1), $F15)) : INDEX(T:T, ROW()-1),
   INDEX(W:W, ROW()-COUNTIF($F$6:INDEX($F:$F, ROW()-1), $F15)) : INDEX(W:W, ROW()-1)
   )
   /SUM(INDEX(W:W, ROW()-COUNTIF($F$6:INDEX($F:$F, ROW()-1), $F15)) : INDEX(W:W, ROW()-1)),
   AVERAGEIFS(
     INDEX((unit_details[Asking Rent],unit_details[Asking PSF]),0,1,IF($U$3="Chunk Rent",1,2)),
     unit_details[Leased Date],"&gt;="&amp;($AM$2-T$5),
     unit_details[Leased Date],"&lt;"&amp;$AM$2,
     unit_details[Beds],$L16,
     unit_details[Baths],$M16,
     unit_details[Partial Baths],IF(ISNUMBER($N16),$N16,""),
     unit_details[Sqft],$P16,
     unit_details[Property Name],$F16)
 ),"")</f>
        <v/>
      </c>
      <c r="U16" s="552" t="str">
        <f>IFERROR(
 IF($F16="Total",
   SUMPRODUCT(
   INDEX(U:U, ROW()-COUNTIF($F$6:INDEX($F:$F, ROW()-1), $F15)) : INDEX(U:U, ROW()-1),
   INDEX(W:W, ROW()-COUNTIF($F$6:INDEX($F:$F, ROW()-1), $F15)) : INDEX(W:W, ROW()-1)
   )
   /SUM(INDEX(W:W, ROW()-COUNTIF($F$6:INDEX($F:$F, ROW()-1), $F15)) : INDEX(W:W, ROW()-1)),
   AVERAGEIFS(
     INDEX((unit_details[Effective Rent],unit_details[Effective PSF]),0,1,IF($U$3="Chunk Rent",1,2)),
     unit_details[Leased Date],"&gt;="&amp;($AM$2-T$5),
     unit_details[Leased Date],"&lt;"&amp;$AM$2,
     unit_details[Beds],$L16,
     unit_details[Baths],$M16,
     unit_details[Partial Baths],IF(ISNUMBER($N16),$N16,""),
     unit_details[Sqft],$P16,
     unit_details[Property Name],$F16)
 ),"")</f>
        <v/>
      </c>
      <c r="V16" s="27" t="str">
        <f t="shared" si="10"/>
        <v/>
      </c>
      <c r="W16" s="526">
        <f>IFERROR(
  IF($F16="Total",
    SUM(INDEX(W:W, ROW()-COUNTIF($F$6:INDEX($F:$F, ROW()-1), $F15)) : INDEX(W:W, ROW()-1)),
    COUNTIFS(
      unit_details[Leased Date], "&gt;="&amp;($AM$2-T$5),
      unit_details[Leased Date], "&lt;"&amp;$AM$2,
      unit_details[Beds], $L16,
      unit_details[Baths], $M16,
      unit_details[Partial Baths], IF(ISNUMBER($N16), $N16, ""),
      unit_details[Sqft],$P16,
      unit_details[Property Name], $F16
    )
  ),
"")</f>
        <v>0</v>
      </c>
      <c r="X16" s="531" t="str">
        <f>IFERROR(
 IF($F16="Total",
   SUMPRODUCT(
   INDEX(X:X, ROW()-COUNTIF($F$6:INDEX($F:$F, ROW()-1), $F15)) : INDEX(X:X, ROW()-1),
   INDEX(AA:AA, ROW()-COUNTIF($F$6:INDEX($F:$F, ROW()-1), $F15)) : INDEX(AA:AA, ROW()-1)
   )
   /SUM(INDEX(AA:AA, ROW()-COUNTIF($F$6:INDEX($F:$F, ROW()-1), $F15)) : INDEX(AA:AA, ROW()-1)),
   AVERAGEIFS(
     INDEX((unit_details[Asking Rent],unit_details[Asking PSF]),0,1,IF($U$3="Chunk Rent",1,2)),
     unit_details[Leased Date],"&gt;="&amp;($AM$2-X$5),
     unit_details[Leased Date],"&lt;"&amp;$AM$2,
     unit_details[Beds],$L16,
     unit_details[Baths],$M16,
     unit_details[Partial Baths],IF(ISNUMBER($N16),$N16,""),
     unit_details[Sqft],$P16,
     unit_details[Property Name],$F16)
 ),"")</f>
        <v/>
      </c>
      <c r="Y16" s="552" t="str">
        <f>IFERROR(
 IF($F16="Total",
   SUMPRODUCT(
   INDEX(Y:Y, ROW()-COUNTIF($F$6:INDEX($F:$F, ROW()-1), $F15)) : INDEX(Y:Y, ROW()-1),
   INDEX(AA:AA, ROW()-COUNTIF($F$6:INDEX($F:$F, ROW()-1), $F15)) : INDEX(AA:AA, ROW()-1)
   )
   /SUM(INDEX(AA:AA, ROW()-COUNTIF($F$6:INDEX($F:$F, ROW()-1), $F15)) : INDEX(AA:AA, ROW()-1)),
   AVERAGEIFS(
     INDEX((unit_details[Effective Rent],unit_details[Effective PSF]),0,1,IF($U$3="Chunk Rent",1,2)),
     unit_details[Leased Date],"&gt;="&amp;($AM$2-X$5),
     unit_details[Leased Date],"&lt;"&amp;$AM$2,
     unit_details[Beds],$L16,
     unit_details[Baths],$M16,
     unit_details[Partial Baths],IF(ISNUMBER($N16),$N16,""),
     unit_details[Sqft],$P16,
     unit_details[Property Name],$F16)
 ),"")</f>
        <v/>
      </c>
      <c r="Z16" s="27" t="str">
        <f t="shared" si="11"/>
        <v/>
      </c>
      <c r="AA16" s="526">
        <f>IFERROR(
  IF($F16="Total",
    SUM(INDEX(AA:AA, ROW()-COUNTIF($F$6:INDEX($F:$F, ROW()-1), $F15)) : INDEX(AA:AA, ROW()-1)),
    COUNTIFS(
      unit_details[Leased Date], "&gt;="&amp;($AM$2-X$5),
      unit_details[Leased Date], "&lt;"&amp;$AM$2,
      unit_details[Beds], $L16,
      unit_details[Baths], $M16,
      unit_details[Partial Baths], IF(ISNUMBER($N16), $N16, ""),
      unit_details[Sqft],$P16,
      unit_details[Property Name], $F16
    )
  ),
"")</f>
        <v>0</v>
      </c>
      <c r="AB16" s="290">
        <f>IF($F16="Total",
SUM(INDEX(AB:AB, ROW()-COUNTIF($F$6:INDEX($F:$F, ROW()-1), $F15)) : INDEX(AB:AB, ROW()-1)),
COUNTIFS(unit_details[Active Listing?],TRUE,
          unit_details[Property Name], $F16,
          unit_details[Beds], $L16,
          unit_details[Baths], $M16,
          unit_details[Partial Baths],IF(ISNUMBER($N16),$N16,""),
          unit_details[Sqft],$P16))</f>
        <v>0</v>
      </c>
      <c r="AC16" s="27" t="str">
        <f t="shared" si="3"/>
        <v/>
      </c>
      <c r="AD16" s="293" t="str">
        <f>IFERROR(IF(AE16="","",IF($F16="Total",
SUMPRODUCT(
   INDEX(AD:AD, ROW()-COUNTIF($F$6:INDEX($F:$F, ROW()-1), $F15)) : INDEX(AD:AD, ROW()-1),
   INDEX(AB:AB, ROW()-COUNTIF($F$6:INDEX($F:$F, ROW()-1), $F15)) : INDEX(AB:AB, ROW()-1)
   )
   /SUM(INDEX(AB:AB, ROW()-COUNTIF($F$6:INDEX($F:$F, ROW()-1), $F15)) : INDEX(AB:AB, ROW()-1)),
          _xlfn.MINIFS(unit_details[Asking Rent],
          unit_details[Active Listing?],TRUE,
          unit_details[Property Name], $F16,
          unit_details[Beds], $L16,
          unit_details[Baths], $M16,
          unit_details[Partial Baths], IF(ISNUMBER($N16),$N16,""),
          unit_details[Sqft],$P16
))),"")</f>
        <v/>
      </c>
      <c r="AE16" s="5" t="str">
        <f>IFERROR(IF($F16="Total",
          SUMPRODUCT(
   INDEX(AE:AE, ROW()-COUNTIF($F$6:INDEX($F:$F, ROW()-1), $F15)) : INDEX(AE:AE, ROW()-1),
   INDEX(AB:AB, ROW()-COUNTIF($F$6:INDEX($F:$F, ROW()-1), $F15)) : INDEX(AB:AB, ROW()-1)
   )
   /SUM(INDEX(AB:AB, ROW()-COUNTIF($F$6:INDEX($F:$F, ROW()-1), $F15)) : INDEX(AB:AB, ROW()-1)),
          AVERAGEIFS(unit_details[Asking Rent],
          unit_details[Active Listing?],TRUE,
          unit_details[Property Name], $F16,
          unit_details[Beds], $L16,
          unit_details[Baths], $M16,
          unit_details[Partial Baths], IF(ISNUMBER($N16),$N16,""),
          unit_details[Sqft],$P16
)),"")</f>
        <v/>
      </c>
      <c r="AF16" s="5" t="str">
        <f>IFERROR(IF(AE16="","",IF($F16="Total",
SUMPRODUCT(
   INDEX(AF:AF, ROW()-COUNTIF($F$6:INDEX($F:$F, ROW()-1), $F15)) : INDEX(AF:AF, ROW()-1),
   INDEX(AB:AB, ROW()-COUNTIF($F$6:INDEX($F:$F, ROW()-1), $F15)) : INDEX(AB:AB, ROW()-1)
   )
   /SUM(INDEX(AB:AB, ROW()-COUNTIF($F$6:INDEX($F:$F, ROW()-1), $F15)) : INDEX(AB:AB, ROW()-1)),
           _xlfn.MAXIFS(unit_details[Asking Rent],
          unit_details[Active Listing?],TRUE,
          unit_details[Property Name], $F16,
          unit_details[Beds], $L16,
          unit_details[Baths], $M16,
          unit_details[Partial Baths], IF(ISNUMBER($N16),$N16,""),
          unit_details[Sqft],$P16
))),"")</f>
        <v/>
      </c>
      <c r="AG16" s="6" t="str">
        <f>IFERROR(IF($F16="Total",
         SUMPRODUCT(
         INDEX(AG:AG, ROW()-COUNTIF($F$6:INDEX($F:$F, ROW()-1), $F15)) : INDEX(AG:AG, ROW()-1),
         INDEX(AB:AB, ROW()-COUNTIF($F$6:INDEX($F:$F, ROW()-1), $F15)) : INDEX(AB:AB, ROW()-1)
         )
         /SUM(INDEX(AB:AB, ROW()-COUNTIF($F$6:INDEX($F:$F, ROW()-1), $F15)) : INDEX(AB:AB, ROW()-1)),
          AVERAGEIFS(unit_details[Asking PSF],
          unit_details[Active Listing?],TRUE,
          unit_details[Property Name], $F16,
          unit_details[Beds], $L16,
          unit_details[Baths], $M16,
          unit_details[Partial Baths], IF(ISNUMBER($N16),$N16,""),
          unit_details[Sqft],$P16
)),"")</f>
        <v/>
      </c>
      <c r="AH16" s="293" t="str">
        <f>IFERROR(IF($F16="Total",
         SUMPRODUCT(
         INDEX(AH:AH, ROW()-COUNTIF($F$6:INDEX($F:$F, ROW()-1), $F15)) : INDEX(AH:AH, ROW()-1),
         INDEX(AB:AB, ROW()-COUNTIF($F$6:INDEX($F:$F, ROW()-1), $F15)) : INDEX(AB:AB, ROW()-1)
         )
         /SUM(INDEX(AB:AB, ROW()-COUNTIF($F$6:INDEX($F:$F, ROW()-1), $F15)) : INDEX(AB:AB, ROW()-1)),
          AVERAGEIFS(unit_details[Effective Rent],
          unit_details[Active Listing?],TRUE,
          unit_details[Property Name], $F16,
          unit_details[Beds], $L16,
          unit_details[Baths], $M16,
          unit_details[Partial Baths], IF(ISNUMBER($N16),$N16,""),
          unit_details[Sqft],$P16
)),"")</f>
        <v/>
      </c>
      <c r="AI16" s="6" t="str">
        <f>IFERROR(IF($F16="Total",
         SUMPRODUCT(
         INDEX(AI:AI, ROW()-COUNTIF($F$6:INDEX($F:$F, ROW()-1), $F15)) : INDEX(AI:AI, ROW()-1),
         INDEX(AB:AB, ROW()-COUNTIF($F$6:INDEX($F:$F, ROW()-1), $F15)) : INDEX(AB:AB, ROW()-1)
         )
         /SUM(INDEX(AB:AB, ROW()-COUNTIF($F$6:INDEX($F:$F, ROW()-1), $F15)) : INDEX(AB:AB, ROW()-1)),
           AVERAGEIFS(unit_details[Effective PSF],
          unit_details[Active Listing?],TRUE,
          unit_details[Property Name], $F16,
          unit_details[Beds], $L16,
          unit_details[Baths], $M16,
          unit_details[Partial Baths], IF(ISNUMBER($N16),$N16,""),
          unit_details[Sqft],$P16
)),"")</f>
        <v/>
      </c>
      <c r="AJ16" s="824" t="str">
        <f t="shared" si="4"/>
        <v/>
      </c>
      <c r="AK16" s="531" t="str">
        <f t="shared" si="5"/>
        <v/>
      </c>
      <c r="AL16" s="714" t="str">
        <f t="shared" si="6"/>
        <v/>
      </c>
      <c r="AM16" s="531" t="str">
        <f t="shared" si="7"/>
        <v/>
      </c>
      <c r="AN16" s="716" t="str">
        <f t="shared" si="8"/>
        <v/>
      </c>
    </row>
    <row r="17" spans="2:40" x14ac:dyDescent="0.2">
      <c r="B17" s="719"/>
      <c r="C17" s="719"/>
      <c r="F17" s="1" t="str">
        <f t="shared" si="0"/>
        <v>(blank)</v>
      </c>
      <c r="G17" s="713" t="str">
        <f t="shared" si="9"/>
        <v/>
      </c>
      <c r="H17" s="17" t="str">
        <f>IFERROR(VLOOKUP($G17,Table1[[Property]:[Exposure %]],4,0),"")</f>
        <v/>
      </c>
      <c r="I17" s="3" t="str">
        <f>IFERROR(VLOOKUP($G17,Table1[[Property]:[Exposure %]],6,0),"")</f>
        <v/>
      </c>
      <c r="J17" s="3" t="str">
        <f>IFERROR(VLOOKUP($G17,Table1[[Property]:[Exposure %]],7,0),"")</f>
        <v/>
      </c>
      <c r="K17" s="932"/>
      <c r="L17" s="933">
        <v>1</v>
      </c>
      <c r="M17" s="934">
        <v>1</v>
      </c>
      <c r="N17" s="934" t="s">
        <v>191</v>
      </c>
      <c r="O17" s="932">
        <v>650</v>
      </c>
      <c r="P17" s="931">
        <v>650</v>
      </c>
      <c r="Q17" s="935">
        <v>3.1746031746031744E-2</v>
      </c>
      <c r="R17" s="4" t="str">
        <f>IFERROR(VLOOKUP(IF(F17="Total",F16,F17),Table1[[Property]:['# Units]],7,0)*S17,"")</f>
        <v/>
      </c>
      <c r="S17" s="27">
        <f t="shared" si="2"/>
        <v>3.1746031746031744E-2</v>
      </c>
      <c r="T17" s="531" t="str">
        <f>IFERROR(
 IF($F17="Total",
   SUMPRODUCT(
   INDEX(T:T, ROW()-COUNTIF($F$6:INDEX($F:$F, ROW()-1), $F16)) : INDEX(T:T, ROW()-1),
   INDEX(W:W, ROW()-COUNTIF($F$6:INDEX($F:$F, ROW()-1), $F16)) : INDEX(W:W, ROW()-1)
   )
   /SUM(INDEX(W:W, ROW()-COUNTIF($F$6:INDEX($F:$F, ROW()-1), $F16)) : INDEX(W:W, ROW()-1)),
   AVERAGEIFS(
     INDEX((unit_details[Asking Rent],unit_details[Asking PSF]),0,1,IF($U$3="Chunk Rent",1,2)),
     unit_details[Leased Date],"&gt;="&amp;($AM$2-T$5),
     unit_details[Leased Date],"&lt;"&amp;$AM$2,
     unit_details[Beds],$L17,
     unit_details[Baths],$M17,
     unit_details[Partial Baths],IF(ISNUMBER($N17),$N17,""),
     unit_details[Sqft],$P17,
     unit_details[Property Name],$F17)
 ),"")</f>
        <v/>
      </c>
      <c r="U17" s="552" t="str">
        <f>IFERROR(
 IF($F17="Total",
   SUMPRODUCT(
   INDEX(U:U, ROW()-COUNTIF($F$6:INDEX($F:$F, ROW()-1), $F16)) : INDEX(U:U, ROW()-1),
   INDEX(W:W, ROW()-COUNTIF($F$6:INDEX($F:$F, ROW()-1), $F16)) : INDEX(W:W, ROW()-1)
   )
   /SUM(INDEX(W:W, ROW()-COUNTIF($F$6:INDEX($F:$F, ROW()-1), $F16)) : INDEX(W:W, ROW()-1)),
   AVERAGEIFS(
     INDEX((unit_details[Effective Rent],unit_details[Effective PSF]),0,1,IF($U$3="Chunk Rent",1,2)),
     unit_details[Leased Date],"&gt;="&amp;($AM$2-T$5),
     unit_details[Leased Date],"&lt;"&amp;$AM$2,
     unit_details[Beds],$L17,
     unit_details[Baths],$M17,
     unit_details[Partial Baths],IF(ISNUMBER($N17),$N17,""),
     unit_details[Sqft],$P17,
     unit_details[Property Name],$F17)
 ),"")</f>
        <v/>
      </c>
      <c r="V17" s="27" t="str">
        <f t="shared" si="10"/>
        <v/>
      </c>
      <c r="W17" s="526">
        <f>IFERROR(
  IF($F17="Total",
    SUM(INDEX(W:W, ROW()-COUNTIF($F$6:INDEX($F:$F, ROW()-1), $F16)) : INDEX(W:W, ROW()-1)),
    COUNTIFS(
      unit_details[Leased Date], "&gt;="&amp;($AM$2-T$5),
      unit_details[Leased Date], "&lt;"&amp;$AM$2,
      unit_details[Beds], $L17,
      unit_details[Baths], $M17,
      unit_details[Partial Baths], IF(ISNUMBER($N17), $N17, ""),
      unit_details[Sqft],$P17,
      unit_details[Property Name], $F17
    )
  ),
"")</f>
        <v>0</v>
      </c>
      <c r="X17" s="531" t="str">
        <f>IFERROR(
 IF($F17="Total",
   SUMPRODUCT(
   INDEX(X:X, ROW()-COUNTIF($F$6:INDEX($F:$F, ROW()-1), $F16)) : INDEX(X:X, ROW()-1),
   INDEX(AA:AA, ROW()-COUNTIF($F$6:INDEX($F:$F, ROW()-1), $F16)) : INDEX(AA:AA, ROW()-1)
   )
   /SUM(INDEX(AA:AA, ROW()-COUNTIF($F$6:INDEX($F:$F, ROW()-1), $F16)) : INDEX(AA:AA, ROW()-1)),
   AVERAGEIFS(
     INDEX((unit_details[Asking Rent],unit_details[Asking PSF]),0,1,IF($U$3="Chunk Rent",1,2)),
     unit_details[Leased Date],"&gt;="&amp;($AM$2-X$5),
     unit_details[Leased Date],"&lt;"&amp;$AM$2,
     unit_details[Beds],$L17,
     unit_details[Baths],$M17,
     unit_details[Partial Baths],IF(ISNUMBER($N17),$N17,""),
     unit_details[Sqft],$P17,
     unit_details[Property Name],$F17)
 ),"")</f>
        <v/>
      </c>
      <c r="Y17" s="552" t="str">
        <f>IFERROR(
 IF($F17="Total",
   SUMPRODUCT(
   INDEX(Y:Y, ROW()-COUNTIF($F$6:INDEX($F:$F, ROW()-1), $F16)) : INDEX(Y:Y, ROW()-1),
   INDEX(AA:AA, ROW()-COUNTIF($F$6:INDEX($F:$F, ROW()-1), $F16)) : INDEX(AA:AA, ROW()-1)
   )
   /SUM(INDEX(AA:AA, ROW()-COUNTIF($F$6:INDEX($F:$F, ROW()-1), $F16)) : INDEX(AA:AA, ROW()-1)),
   AVERAGEIFS(
     INDEX((unit_details[Effective Rent],unit_details[Effective PSF]),0,1,IF($U$3="Chunk Rent",1,2)),
     unit_details[Leased Date],"&gt;="&amp;($AM$2-X$5),
     unit_details[Leased Date],"&lt;"&amp;$AM$2,
     unit_details[Beds],$L17,
     unit_details[Baths],$M17,
     unit_details[Partial Baths],IF(ISNUMBER($N17),$N17,""),
     unit_details[Sqft],$P17,
     unit_details[Property Name],$F17)
 ),"")</f>
        <v/>
      </c>
      <c r="Z17" s="27" t="str">
        <f t="shared" si="11"/>
        <v/>
      </c>
      <c r="AA17" s="526">
        <f>IFERROR(
  IF($F17="Total",
    SUM(INDEX(AA:AA, ROW()-COUNTIF($F$6:INDEX($F:$F, ROW()-1), $F16)) : INDEX(AA:AA, ROW()-1)),
    COUNTIFS(
      unit_details[Leased Date], "&gt;="&amp;($AM$2-X$5),
      unit_details[Leased Date], "&lt;"&amp;$AM$2,
      unit_details[Beds], $L17,
      unit_details[Baths], $M17,
      unit_details[Partial Baths], IF(ISNUMBER($N17), $N17, ""),
      unit_details[Sqft],$P17,
      unit_details[Property Name], $F17
    )
  ),
"")</f>
        <v>0</v>
      </c>
      <c r="AB17" s="290">
        <f>IF($F17="Total",
SUM(INDEX(AB:AB, ROW()-COUNTIF($F$6:INDEX($F:$F, ROW()-1), $F16)) : INDEX(AB:AB, ROW()-1)),
COUNTIFS(unit_details[Active Listing?],TRUE,
          unit_details[Property Name], $F17,
          unit_details[Beds], $L17,
          unit_details[Baths], $M17,
          unit_details[Partial Baths],IF(ISNUMBER($N17),$N17,""),
          unit_details[Sqft],$P17))</f>
        <v>0</v>
      </c>
      <c r="AC17" s="27" t="str">
        <f t="shared" si="3"/>
        <v/>
      </c>
      <c r="AD17" s="293" t="str">
        <f>IFERROR(IF(AE17="","",IF($F17="Total",
SUMPRODUCT(
   INDEX(AD:AD, ROW()-COUNTIF($F$6:INDEX($F:$F, ROW()-1), $F16)) : INDEX(AD:AD, ROW()-1),
   INDEX(AB:AB, ROW()-COUNTIF($F$6:INDEX($F:$F, ROW()-1), $F16)) : INDEX(AB:AB, ROW()-1)
   )
   /SUM(INDEX(AB:AB, ROW()-COUNTIF($F$6:INDEX($F:$F, ROW()-1), $F16)) : INDEX(AB:AB, ROW()-1)),
          _xlfn.MINIFS(unit_details[Asking Rent],
          unit_details[Active Listing?],TRUE,
          unit_details[Property Name], $F17,
          unit_details[Beds], $L17,
          unit_details[Baths], $M17,
          unit_details[Partial Baths], IF(ISNUMBER($N17),$N17,""),
          unit_details[Sqft],$P17
))),"")</f>
        <v/>
      </c>
      <c r="AE17" s="5" t="str">
        <f>IFERROR(IF($F17="Total",
          SUMPRODUCT(
   INDEX(AE:AE, ROW()-COUNTIF($F$6:INDEX($F:$F, ROW()-1), $F16)) : INDEX(AE:AE, ROW()-1),
   INDEX(AB:AB, ROW()-COUNTIF($F$6:INDEX($F:$F, ROW()-1), $F16)) : INDEX(AB:AB, ROW()-1)
   )
   /SUM(INDEX(AB:AB, ROW()-COUNTIF($F$6:INDEX($F:$F, ROW()-1), $F16)) : INDEX(AB:AB, ROW()-1)),
          AVERAGEIFS(unit_details[Asking Rent],
          unit_details[Active Listing?],TRUE,
          unit_details[Property Name], $F17,
          unit_details[Beds], $L17,
          unit_details[Baths], $M17,
          unit_details[Partial Baths], IF(ISNUMBER($N17),$N17,""),
          unit_details[Sqft],$P17
)),"")</f>
        <v/>
      </c>
      <c r="AF17" s="5" t="str">
        <f>IFERROR(IF(AE17="","",IF($F17="Total",
SUMPRODUCT(
   INDEX(AF:AF, ROW()-COUNTIF($F$6:INDEX($F:$F, ROW()-1), $F16)) : INDEX(AF:AF, ROW()-1),
   INDEX(AB:AB, ROW()-COUNTIF($F$6:INDEX($F:$F, ROW()-1), $F16)) : INDEX(AB:AB, ROW()-1)
   )
   /SUM(INDEX(AB:AB, ROW()-COUNTIF($F$6:INDEX($F:$F, ROW()-1), $F16)) : INDEX(AB:AB, ROW()-1)),
           _xlfn.MAXIFS(unit_details[Asking Rent],
          unit_details[Active Listing?],TRUE,
          unit_details[Property Name], $F17,
          unit_details[Beds], $L17,
          unit_details[Baths], $M17,
          unit_details[Partial Baths], IF(ISNUMBER($N17),$N17,""),
          unit_details[Sqft],$P17
))),"")</f>
        <v/>
      </c>
      <c r="AG17" s="6" t="str">
        <f>IFERROR(IF($F17="Total",
         SUMPRODUCT(
         INDEX(AG:AG, ROW()-COUNTIF($F$6:INDEX($F:$F, ROW()-1), $F16)) : INDEX(AG:AG, ROW()-1),
         INDEX(AB:AB, ROW()-COUNTIF($F$6:INDEX($F:$F, ROW()-1), $F16)) : INDEX(AB:AB, ROW()-1)
         )
         /SUM(INDEX(AB:AB, ROW()-COUNTIF($F$6:INDEX($F:$F, ROW()-1), $F16)) : INDEX(AB:AB, ROW()-1)),
          AVERAGEIFS(unit_details[Asking PSF],
          unit_details[Active Listing?],TRUE,
          unit_details[Property Name], $F17,
          unit_details[Beds], $L17,
          unit_details[Baths], $M17,
          unit_details[Partial Baths], IF(ISNUMBER($N17),$N17,""),
          unit_details[Sqft],$P17
)),"")</f>
        <v/>
      </c>
      <c r="AH17" s="293" t="str">
        <f>IFERROR(IF($F17="Total",
         SUMPRODUCT(
         INDEX(AH:AH, ROW()-COUNTIF($F$6:INDEX($F:$F, ROW()-1), $F16)) : INDEX(AH:AH, ROW()-1),
         INDEX(AB:AB, ROW()-COUNTIF($F$6:INDEX($F:$F, ROW()-1), $F16)) : INDEX(AB:AB, ROW()-1)
         )
         /SUM(INDEX(AB:AB, ROW()-COUNTIF($F$6:INDEX($F:$F, ROW()-1), $F16)) : INDEX(AB:AB, ROW()-1)),
          AVERAGEIFS(unit_details[Effective Rent],
          unit_details[Active Listing?],TRUE,
          unit_details[Property Name], $F17,
          unit_details[Beds], $L17,
          unit_details[Baths], $M17,
          unit_details[Partial Baths], IF(ISNUMBER($N17),$N17,""),
          unit_details[Sqft],$P17
)),"")</f>
        <v/>
      </c>
      <c r="AI17" s="6" t="str">
        <f>IFERROR(IF($F17="Total",
         SUMPRODUCT(
         INDEX(AI:AI, ROW()-COUNTIF($F$6:INDEX($F:$F, ROW()-1), $F16)) : INDEX(AI:AI, ROW()-1),
         INDEX(AB:AB, ROW()-COUNTIF($F$6:INDEX($F:$F, ROW()-1), $F16)) : INDEX(AB:AB, ROW()-1)
         )
         /SUM(INDEX(AB:AB, ROW()-COUNTIF($F$6:INDEX($F:$F, ROW()-1), $F16)) : INDEX(AB:AB, ROW()-1)),
           AVERAGEIFS(unit_details[Effective PSF],
          unit_details[Active Listing?],TRUE,
          unit_details[Property Name], $F17,
          unit_details[Beds], $L17,
          unit_details[Baths], $M17,
          unit_details[Partial Baths], IF(ISNUMBER($N17),$N17,""),
          unit_details[Sqft],$P17
)),"")</f>
        <v/>
      </c>
      <c r="AJ17" s="824" t="str">
        <f t="shared" si="4"/>
        <v/>
      </c>
      <c r="AK17" s="531" t="str">
        <f t="shared" si="5"/>
        <v/>
      </c>
      <c r="AL17" s="714" t="str">
        <f t="shared" si="6"/>
        <v/>
      </c>
      <c r="AM17" s="531" t="str">
        <f t="shared" si="7"/>
        <v/>
      </c>
      <c r="AN17" s="716" t="str">
        <f t="shared" si="8"/>
        <v/>
      </c>
    </row>
    <row r="18" spans="2:40" x14ac:dyDescent="0.2">
      <c r="B18" s="719"/>
      <c r="C18" s="719"/>
      <c r="F18" s="1" t="str">
        <f t="shared" si="0"/>
        <v>(blank)</v>
      </c>
      <c r="G18" s="713" t="str">
        <f t="shared" si="9"/>
        <v/>
      </c>
      <c r="H18" s="17" t="str">
        <f>IFERROR(VLOOKUP($G18,Table1[[Property]:[Exposure %]],4,0),"")</f>
        <v/>
      </c>
      <c r="I18" s="3" t="str">
        <f>IFERROR(VLOOKUP($G18,Table1[[Property]:[Exposure %]],6,0),"")</f>
        <v/>
      </c>
      <c r="J18" s="3" t="str">
        <f>IFERROR(VLOOKUP($G18,Table1[[Property]:[Exposure %]],7,0),"")</f>
        <v/>
      </c>
      <c r="K18" s="932"/>
      <c r="L18" s="933">
        <v>1</v>
      </c>
      <c r="M18" s="934">
        <v>1</v>
      </c>
      <c r="N18" s="934" t="s">
        <v>191</v>
      </c>
      <c r="O18" s="932" t="s">
        <v>191</v>
      </c>
      <c r="P18" s="931"/>
      <c r="Q18" s="935">
        <v>0.20634920634920634</v>
      </c>
      <c r="R18" s="4" t="str">
        <f>IFERROR(VLOOKUP(IF(F18="Total",F17,F18),Table1[[Property]:['# Units]],7,0)*S18,"")</f>
        <v/>
      </c>
      <c r="S18" s="27">
        <f t="shared" si="2"/>
        <v>0.20634920634920634</v>
      </c>
      <c r="T18" s="531" t="str">
        <f>IFERROR(
 IF($F18="Total",
   SUMPRODUCT(
   INDEX(T:T, ROW()-COUNTIF($F$6:INDEX($F:$F, ROW()-1), $F17)) : INDEX(T:T, ROW()-1),
   INDEX(W:W, ROW()-COUNTIF($F$6:INDEX($F:$F, ROW()-1), $F17)) : INDEX(W:W, ROW()-1)
   )
   /SUM(INDEX(W:W, ROW()-COUNTIF($F$6:INDEX($F:$F, ROW()-1), $F17)) : INDEX(W:W, ROW()-1)),
   AVERAGEIFS(
     INDEX((unit_details[Asking Rent],unit_details[Asking PSF]),0,1,IF($U$3="Chunk Rent",1,2)),
     unit_details[Leased Date],"&gt;="&amp;($AM$2-T$5),
     unit_details[Leased Date],"&lt;"&amp;$AM$2,
     unit_details[Beds],$L18,
     unit_details[Baths],$M18,
     unit_details[Partial Baths],IF(ISNUMBER($N18),$N18,""),
     unit_details[Sqft],$P18,
     unit_details[Property Name],$F18)
 ),"")</f>
        <v/>
      </c>
      <c r="U18" s="552" t="str">
        <f>IFERROR(
 IF($F18="Total",
   SUMPRODUCT(
   INDEX(U:U, ROW()-COUNTIF($F$6:INDEX($F:$F, ROW()-1), $F17)) : INDEX(U:U, ROW()-1),
   INDEX(W:W, ROW()-COUNTIF($F$6:INDEX($F:$F, ROW()-1), $F17)) : INDEX(W:W, ROW()-1)
   )
   /SUM(INDEX(W:W, ROW()-COUNTIF($F$6:INDEX($F:$F, ROW()-1), $F17)) : INDEX(W:W, ROW()-1)),
   AVERAGEIFS(
     INDEX((unit_details[Effective Rent],unit_details[Effective PSF]),0,1,IF($U$3="Chunk Rent",1,2)),
     unit_details[Leased Date],"&gt;="&amp;($AM$2-T$5),
     unit_details[Leased Date],"&lt;"&amp;$AM$2,
     unit_details[Beds],$L18,
     unit_details[Baths],$M18,
     unit_details[Partial Baths],IF(ISNUMBER($N18),$N18,""),
     unit_details[Sqft],$P18,
     unit_details[Property Name],$F18)
 ),"")</f>
        <v/>
      </c>
      <c r="V18" s="27" t="str">
        <f t="shared" si="10"/>
        <v/>
      </c>
      <c r="W18" s="526">
        <f>IFERROR(
  IF($F18="Total",
    SUM(INDEX(W:W, ROW()-COUNTIF($F$6:INDEX($F:$F, ROW()-1), $F17)) : INDEX(W:W, ROW()-1)),
    COUNTIFS(
      unit_details[Leased Date], "&gt;="&amp;($AM$2-T$5),
      unit_details[Leased Date], "&lt;"&amp;$AM$2,
      unit_details[Beds], $L18,
      unit_details[Baths], $M18,
      unit_details[Partial Baths], IF(ISNUMBER($N18), $N18, ""),
      unit_details[Sqft],$P18,
      unit_details[Property Name], $F18
    )
  ),
"")</f>
        <v>0</v>
      </c>
      <c r="X18" s="531" t="str">
        <f>IFERROR(
 IF($F18="Total",
   SUMPRODUCT(
   INDEX(X:X, ROW()-COUNTIF($F$6:INDEX($F:$F, ROW()-1), $F17)) : INDEX(X:X, ROW()-1),
   INDEX(AA:AA, ROW()-COUNTIF($F$6:INDEX($F:$F, ROW()-1), $F17)) : INDEX(AA:AA, ROW()-1)
   )
   /SUM(INDEX(AA:AA, ROW()-COUNTIF($F$6:INDEX($F:$F, ROW()-1), $F17)) : INDEX(AA:AA, ROW()-1)),
   AVERAGEIFS(
     INDEX((unit_details[Asking Rent],unit_details[Asking PSF]),0,1,IF($U$3="Chunk Rent",1,2)),
     unit_details[Leased Date],"&gt;="&amp;($AM$2-X$5),
     unit_details[Leased Date],"&lt;"&amp;$AM$2,
     unit_details[Beds],$L18,
     unit_details[Baths],$M18,
     unit_details[Partial Baths],IF(ISNUMBER($N18),$N18,""),
     unit_details[Sqft],$P18,
     unit_details[Property Name],$F18)
 ),"")</f>
        <v/>
      </c>
      <c r="Y18" s="552" t="str">
        <f>IFERROR(
 IF($F18="Total",
   SUMPRODUCT(
   INDEX(Y:Y, ROW()-COUNTIF($F$6:INDEX($F:$F, ROW()-1), $F17)) : INDEX(Y:Y, ROW()-1),
   INDEX(AA:AA, ROW()-COUNTIF($F$6:INDEX($F:$F, ROW()-1), $F17)) : INDEX(AA:AA, ROW()-1)
   )
   /SUM(INDEX(AA:AA, ROW()-COUNTIF($F$6:INDEX($F:$F, ROW()-1), $F17)) : INDEX(AA:AA, ROW()-1)),
   AVERAGEIFS(
     INDEX((unit_details[Effective Rent],unit_details[Effective PSF]),0,1,IF($U$3="Chunk Rent",1,2)),
     unit_details[Leased Date],"&gt;="&amp;($AM$2-X$5),
     unit_details[Leased Date],"&lt;"&amp;$AM$2,
     unit_details[Beds],$L18,
     unit_details[Baths],$M18,
     unit_details[Partial Baths],IF(ISNUMBER($N18),$N18,""),
     unit_details[Sqft],$P18,
     unit_details[Property Name],$F18)
 ),"")</f>
        <v/>
      </c>
      <c r="Z18" s="27" t="str">
        <f t="shared" si="11"/>
        <v/>
      </c>
      <c r="AA18" s="526">
        <f>IFERROR(
  IF($F18="Total",
    SUM(INDEX(AA:AA, ROW()-COUNTIF($F$6:INDEX($F:$F, ROW()-1), $F17)) : INDEX(AA:AA, ROW()-1)),
    COUNTIFS(
      unit_details[Leased Date], "&gt;="&amp;($AM$2-X$5),
      unit_details[Leased Date], "&lt;"&amp;$AM$2,
      unit_details[Beds], $L18,
      unit_details[Baths], $M18,
      unit_details[Partial Baths], IF(ISNUMBER($N18), $N18, ""),
      unit_details[Sqft],$P18,
      unit_details[Property Name], $F18
    )
  ),
"")</f>
        <v>0</v>
      </c>
      <c r="AB18" s="290">
        <f>IF($F18="Total",
SUM(INDEX(AB:AB, ROW()-COUNTIF($F$6:INDEX($F:$F, ROW()-1), $F17)) : INDEX(AB:AB, ROW()-1)),
COUNTIFS(unit_details[Active Listing?],TRUE,
          unit_details[Property Name], $F18,
          unit_details[Beds], $L18,
          unit_details[Baths], $M18,
          unit_details[Partial Baths],IF(ISNUMBER($N18),$N18,""),
          unit_details[Sqft],$P18))</f>
        <v>0</v>
      </c>
      <c r="AC18" s="27" t="str">
        <f t="shared" si="3"/>
        <v/>
      </c>
      <c r="AD18" s="293" t="str">
        <f>IFERROR(IF(AE18="","",IF($F18="Total",
SUMPRODUCT(
   INDEX(AD:AD, ROW()-COUNTIF($F$6:INDEX($F:$F, ROW()-1), $F17)) : INDEX(AD:AD, ROW()-1),
   INDEX(AB:AB, ROW()-COUNTIF($F$6:INDEX($F:$F, ROW()-1), $F17)) : INDEX(AB:AB, ROW()-1)
   )
   /SUM(INDEX(AB:AB, ROW()-COUNTIF($F$6:INDEX($F:$F, ROW()-1), $F17)) : INDEX(AB:AB, ROW()-1)),
          _xlfn.MINIFS(unit_details[Asking Rent],
          unit_details[Active Listing?],TRUE,
          unit_details[Property Name], $F18,
          unit_details[Beds], $L18,
          unit_details[Baths], $M18,
          unit_details[Partial Baths], IF(ISNUMBER($N18),$N18,""),
          unit_details[Sqft],$P18
))),"")</f>
        <v/>
      </c>
      <c r="AE18" s="5" t="str">
        <f>IFERROR(IF($F18="Total",
          SUMPRODUCT(
   INDEX(AE:AE, ROW()-COUNTIF($F$6:INDEX($F:$F, ROW()-1), $F17)) : INDEX(AE:AE, ROW()-1),
   INDEX(AB:AB, ROW()-COUNTIF($F$6:INDEX($F:$F, ROW()-1), $F17)) : INDEX(AB:AB, ROW()-1)
   )
   /SUM(INDEX(AB:AB, ROW()-COUNTIF($F$6:INDEX($F:$F, ROW()-1), $F17)) : INDEX(AB:AB, ROW()-1)),
          AVERAGEIFS(unit_details[Asking Rent],
          unit_details[Active Listing?],TRUE,
          unit_details[Property Name], $F18,
          unit_details[Beds], $L18,
          unit_details[Baths], $M18,
          unit_details[Partial Baths], IF(ISNUMBER($N18),$N18,""),
          unit_details[Sqft],$P18
)),"")</f>
        <v/>
      </c>
      <c r="AF18" s="5" t="str">
        <f>IFERROR(IF(AE18="","",IF($F18="Total",
SUMPRODUCT(
   INDEX(AF:AF, ROW()-COUNTIF($F$6:INDEX($F:$F, ROW()-1), $F17)) : INDEX(AF:AF, ROW()-1),
   INDEX(AB:AB, ROW()-COUNTIF($F$6:INDEX($F:$F, ROW()-1), $F17)) : INDEX(AB:AB, ROW()-1)
   )
   /SUM(INDEX(AB:AB, ROW()-COUNTIF($F$6:INDEX($F:$F, ROW()-1), $F17)) : INDEX(AB:AB, ROW()-1)),
           _xlfn.MAXIFS(unit_details[Asking Rent],
          unit_details[Active Listing?],TRUE,
          unit_details[Property Name], $F18,
          unit_details[Beds], $L18,
          unit_details[Baths], $M18,
          unit_details[Partial Baths], IF(ISNUMBER($N18),$N18,""),
          unit_details[Sqft],$P18
))),"")</f>
        <v/>
      </c>
      <c r="AG18" s="6" t="str">
        <f>IFERROR(IF($F18="Total",
         SUMPRODUCT(
         INDEX(AG:AG, ROW()-COUNTIF($F$6:INDEX($F:$F, ROW()-1), $F17)) : INDEX(AG:AG, ROW()-1),
         INDEX(AB:AB, ROW()-COUNTIF($F$6:INDEX($F:$F, ROW()-1), $F17)) : INDEX(AB:AB, ROW()-1)
         )
         /SUM(INDEX(AB:AB, ROW()-COUNTIF($F$6:INDEX($F:$F, ROW()-1), $F17)) : INDEX(AB:AB, ROW()-1)),
          AVERAGEIFS(unit_details[Asking PSF],
          unit_details[Active Listing?],TRUE,
          unit_details[Property Name], $F18,
          unit_details[Beds], $L18,
          unit_details[Baths], $M18,
          unit_details[Partial Baths], IF(ISNUMBER($N18),$N18,""),
          unit_details[Sqft],$P18
)),"")</f>
        <v/>
      </c>
      <c r="AH18" s="293" t="str">
        <f>IFERROR(IF($F18="Total",
         SUMPRODUCT(
         INDEX(AH:AH, ROW()-COUNTIF($F$6:INDEX($F:$F, ROW()-1), $F17)) : INDEX(AH:AH, ROW()-1),
         INDEX(AB:AB, ROW()-COUNTIF($F$6:INDEX($F:$F, ROW()-1), $F17)) : INDEX(AB:AB, ROW()-1)
         )
         /SUM(INDEX(AB:AB, ROW()-COUNTIF($F$6:INDEX($F:$F, ROW()-1), $F17)) : INDEX(AB:AB, ROW()-1)),
          AVERAGEIFS(unit_details[Effective Rent],
          unit_details[Active Listing?],TRUE,
          unit_details[Property Name], $F18,
          unit_details[Beds], $L18,
          unit_details[Baths], $M18,
          unit_details[Partial Baths], IF(ISNUMBER($N18),$N18,""),
          unit_details[Sqft],$P18
)),"")</f>
        <v/>
      </c>
      <c r="AI18" s="6" t="str">
        <f>IFERROR(IF($F18="Total",
         SUMPRODUCT(
         INDEX(AI:AI, ROW()-COUNTIF($F$6:INDEX($F:$F, ROW()-1), $F17)) : INDEX(AI:AI, ROW()-1),
         INDEX(AB:AB, ROW()-COUNTIF($F$6:INDEX($F:$F, ROW()-1), $F17)) : INDEX(AB:AB, ROW()-1)
         )
         /SUM(INDEX(AB:AB, ROW()-COUNTIF($F$6:INDEX($F:$F, ROW()-1), $F17)) : INDEX(AB:AB, ROW()-1)),
           AVERAGEIFS(unit_details[Effective PSF],
          unit_details[Active Listing?],TRUE,
          unit_details[Property Name], $F18,
          unit_details[Beds], $L18,
          unit_details[Baths], $M18,
          unit_details[Partial Baths], IF(ISNUMBER($N18),$N18,""),
          unit_details[Sqft],$P18
)),"")</f>
        <v/>
      </c>
      <c r="AJ18" s="824" t="str">
        <f t="shared" si="4"/>
        <v/>
      </c>
      <c r="AK18" s="531" t="str">
        <f t="shared" si="5"/>
        <v/>
      </c>
      <c r="AL18" s="714" t="str">
        <f t="shared" si="6"/>
        <v/>
      </c>
      <c r="AM18" s="531" t="str">
        <f t="shared" si="7"/>
        <v/>
      </c>
      <c r="AN18" s="716" t="str">
        <f t="shared" si="8"/>
        <v/>
      </c>
    </row>
    <row r="19" spans="2:40" x14ac:dyDescent="0.2">
      <c r="B19" s="719"/>
      <c r="C19" s="719"/>
      <c r="F19" s="1" t="str">
        <f t="shared" si="0"/>
        <v>(blank)</v>
      </c>
      <c r="G19" s="713" t="str">
        <f t="shared" si="9"/>
        <v/>
      </c>
      <c r="H19" s="17" t="str">
        <f>IFERROR(VLOOKUP($G19,Table1[[Property]:[Exposure %]],4,0),"")</f>
        <v/>
      </c>
      <c r="I19" s="3" t="str">
        <f>IFERROR(VLOOKUP($G19,Table1[[Property]:[Exposure %]],6,0),"")</f>
        <v/>
      </c>
      <c r="J19" s="3" t="str">
        <f>IFERROR(VLOOKUP($G19,Table1[[Property]:[Exposure %]],7,0),"")</f>
        <v/>
      </c>
      <c r="K19" s="932"/>
      <c r="L19" s="933">
        <v>2</v>
      </c>
      <c r="M19" s="934">
        <v>1</v>
      </c>
      <c r="N19" s="934" t="s">
        <v>191</v>
      </c>
      <c r="O19" s="932">
        <v>572</v>
      </c>
      <c r="P19" s="931">
        <v>572</v>
      </c>
      <c r="Q19" s="935">
        <v>1.5873015873015872E-2</v>
      </c>
      <c r="R19" s="4" t="str">
        <f>IFERROR(VLOOKUP(IF(F19="Total",F18,F19),Table1[[Property]:['# Units]],7,0)*S19,"")</f>
        <v/>
      </c>
      <c r="S19" s="27">
        <f t="shared" si="2"/>
        <v>1.5873015873015872E-2</v>
      </c>
      <c r="T19" s="531" t="str">
        <f>IFERROR(
 IF($F19="Total",
   SUMPRODUCT(
   INDEX(T:T, ROW()-COUNTIF($F$6:INDEX($F:$F, ROW()-1), $F18)) : INDEX(T:T, ROW()-1),
   INDEX(W:W, ROW()-COUNTIF($F$6:INDEX($F:$F, ROW()-1), $F18)) : INDEX(W:W, ROW()-1)
   )
   /SUM(INDEX(W:W, ROW()-COUNTIF($F$6:INDEX($F:$F, ROW()-1), $F18)) : INDEX(W:W, ROW()-1)),
   AVERAGEIFS(
     INDEX((unit_details[Asking Rent],unit_details[Asking PSF]),0,1,IF($U$3="Chunk Rent",1,2)),
     unit_details[Leased Date],"&gt;="&amp;($AM$2-T$5),
     unit_details[Leased Date],"&lt;"&amp;$AM$2,
     unit_details[Beds],$L19,
     unit_details[Baths],$M19,
     unit_details[Partial Baths],IF(ISNUMBER($N19),$N19,""),
     unit_details[Sqft],$P19,
     unit_details[Property Name],$F19)
 ),"")</f>
        <v/>
      </c>
      <c r="U19" s="552" t="str">
        <f>IFERROR(
 IF($F19="Total",
   SUMPRODUCT(
   INDEX(U:U, ROW()-COUNTIF($F$6:INDEX($F:$F, ROW()-1), $F18)) : INDEX(U:U, ROW()-1),
   INDEX(W:W, ROW()-COUNTIF($F$6:INDEX($F:$F, ROW()-1), $F18)) : INDEX(W:W, ROW()-1)
   )
   /SUM(INDEX(W:W, ROW()-COUNTIF($F$6:INDEX($F:$F, ROW()-1), $F18)) : INDEX(W:W, ROW()-1)),
   AVERAGEIFS(
     INDEX((unit_details[Effective Rent],unit_details[Effective PSF]),0,1,IF($U$3="Chunk Rent",1,2)),
     unit_details[Leased Date],"&gt;="&amp;($AM$2-T$5),
     unit_details[Leased Date],"&lt;"&amp;$AM$2,
     unit_details[Beds],$L19,
     unit_details[Baths],$M19,
     unit_details[Partial Baths],IF(ISNUMBER($N19),$N19,""),
     unit_details[Sqft],$P19,
     unit_details[Property Name],$F19)
 ),"")</f>
        <v/>
      </c>
      <c r="V19" s="27" t="str">
        <f t="shared" si="10"/>
        <v/>
      </c>
      <c r="W19" s="526">
        <f>IFERROR(
  IF($F19="Total",
    SUM(INDEX(W:W, ROW()-COUNTIF($F$6:INDEX($F:$F, ROW()-1), $F18)) : INDEX(W:W, ROW()-1)),
    COUNTIFS(
      unit_details[Leased Date], "&gt;="&amp;($AM$2-T$5),
      unit_details[Leased Date], "&lt;"&amp;$AM$2,
      unit_details[Beds], $L19,
      unit_details[Baths], $M19,
      unit_details[Partial Baths], IF(ISNUMBER($N19), $N19, ""),
      unit_details[Sqft],$P19,
      unit_details[Property Name], $F19
    )
  ),
"")</f>
        <v>0</v>
      </c>
      <c r="X19" s="531" t="str">
        <f>IFERROR(
 IF($F19="Total",
   SUMPRODUCT(
   INDEX(X:X, ROW()-COUNTIF($F$6:INDEX($F:$F, ROW()-1), $F18)) : INDEX(X:X, ROW()-1),
   INDEX(AA:AA, ROW()-COUNTIF($F$6:INDEX($F:$F, ROW()-1), $F18)) : INDEX(AA:AA, ROW()-1)
   )
   /SUM(INDEX(AA:AA, ROW()-COUNTIF($F$6:INDEX($F:$F, ROW()-1), $F18)) : INDEX(AA:AA, ROW()-1)),
   AVERAGEIFS(
     INDEX((unit_details[Asking Rent],unit_details[Asking PSF]),0,1,IF($U$3="Chunk Rent",1,2)),
     unit_details[Leased Date],"&gt;="&amp;($AM$2-X$5),
     unit_details[Leased Date],"&lt;"&amp;$AM$2,
     unit_details[Beds],$L19,
     unit_details[Baths],$M19,
     unit_details[Partial Baths],IF(ISNUMBER($N19),$N19,""),
     unit_details[Sqft],$P19,
     unit_details[Property Name],$F19)
 ),"")</f>
        <v/>
      </c>
      <c r="Y19" s="552" t="str">
        <f>IFERROR(
 IF($F19="Total",
   SUMPRODUCT(
   INDEX(Y:Y, ROW()-COUNTIF($F$6:INDEX($F:$F, ROW()-1), $F18)) : INDEX(Y:Y, ROW()-1),
   INDEX(AA:AA, ROW()-COUNTIF($F$6:INDEX($F:$F, ROW()-1), $F18)) : INDEX(AA:AA, ROW()-1)
   )
   /SUM(INDEX(AA:AA, ROW()-COUNTIF($F$6:INDEX($F:$F, ROW()-1), $F18)) : INDEX(AA:AA, ROW()-1)),
   AVERAGEIFS(
     INDEX((unit_details[Effective Rent],unit_details[Effective PSF]),0,1,IF($U$3="Chunk Rent",1,2)),
     unit_details[Leased Date],"&gt;="&amp;($AM$2-X$5),
     unit_details[Leased Date],"&lt;"&amp;$AM$2,
     unit_details[Beds],$L19,
     unit_details[Baths],$M19,
     unit_details[Partial Baths],IF(ISNUMBER($N19),$N19,""),
     unit_details[Sqft],$P19,
     unit_details[Property Name],$F19)
 ),"")</f>
        <v/>
      </c>
      <c r="Z19" s="27" t="str">
        <f t="shared" si="11"/>
        <v/>
      </c>
      <c r="AA19" s="526">
        <f>IFERROR(
  IF($F19="Total",
    SUM(INDEX(AA:AA, ROW()-COUNTIF($F$6:INDEX($F:$F, ROW()-1), $F18)) : INDEX(AA:AA, ROW()-1)),
    COUNTIFS(
      unit_details[Leased Date], "&gt;="&amp;($AM$2-X$5),
      unit_details[Leased Date], "&lt;"&amp;$AM$2,
      unit_details[Beds], $L19,
      unit_details[Baths], $M19,
      unit_details[Partial Baths], IF(ISNUMBER($N19), $N19, ""),
      unit_details[Sqft],$P19,
      unit_details[Property Name], $F19
    )
  ),
"")</f>
        <v>0</v>
      </c>
      <c r="AB19" s="290">
        <f>IF($F19="Total",
SUM(INDEX(AB:AB, ROW()-COUNTIF($F$6:INDEX($F:$F, ROW()-1), $F18)) : INDEX(AB:AB, ROW()-1)),
COUNTIFS(unit_details[Active Listing?],TRUE,
          unit_details[Property Name], $F19,
          unit_details[Beds], $L19,
          unit_details[Baths], $M19,
          unit_details[Partial Baths],IF(ISNUMBER($N19),$N19,""),
          unit_details[Sqft],$P19))</f>
        <v>0</v>
      </c>
      <c r="AC19" s="27" t="str">
        <f t="shared" si="3"/>
        <v/>
      </c>
      <c r="AD19" s="293" t="str">
        <f>IFERROR(IF(AE19="","",IF($F19="Total",
SUMPRODUCT(
   INDEX(AD:AD, ROW()-COUNTIF($F$6:INDEX($F:$F, ROW()-1), $F18)) : INDEX(AD:AD, ROW()-1),
   INDEX(AB:AB, ROW()-COUNTIF($F$6:INDEX($F:$F, ROW()-1), $F18)) : INDEX(AB:AB, ROW()-1)
   )
   /SUM(INDEX(AB:AB, ROW()-COUNTIF($F$6:INDEX($F:$F, ROW()-1), $F18)) : INDEX(AB:AB, ROW()-1)),
          _xlfn.MINIFS(unit_details[Asking Rent],
          unit_details[Active Listing?],TRUE,
          unit_details[Property Name], $F19,
          unit_details[Beds], $L19,
          unit_details[Baths], $M19,
          unit_details[Partial Baths], IF(ISNUMBER($N19),$N19,""),
          unit_details[Sqft],$P19
))),"")</f>
        <v/>
      </c>
      <c r="AE19" s="5" t="str">
        <f>IFERROR(IF($F19="Total",
          SUMPRODUCT(
   INDEX(AE:AE, ROW()-COUNTIF($F$6:INDEX($F:$F, ROW()-1), $F18)) : INDEX(AE:AE, ROW()-1),
   INDEX(AB:AB, ROW()-COUNTIF($F$6:INDEX($F:$F, ROW()-1), $F18)) : INDEX(AB:AB, ROW()-1)
   )
   /SUM(INDEX(AB:AB, ROW()-COUNTIF($F$6:INDEX($F:$F, ROW()-1), $F18)) : INDEX(AB:AB, ROW()-1)),
          AVERAGEIFS(unit_details[Asking Rent],
          unit_details[Active Listing?],TRUE,
          unit_details[Property Name], $F19,
          unit_details[Beds], $L19,
          unit_details[Baths], $M19,
          unit_details[Partial Baths], IF(ISNUMBER($N19),$N19,""),
          unit_details[Sqft],$P19
)),"")</f>
        <v/>
      </c>
      <c r="AF19" s="5" t="str">
        <f>IFERROR(IF(AE19="","",IF($F19="Total",
SUMPRODUCT(
   INDEX(AF:AF, ROW()-COUNTIF($F$6:INDEX($F:$F, ROW()-1), $F18)) : INDEX(AF:AF, ROW()-1),
   INDEX(AB:AB, ROW()-COUNTIF($F$6:INDEX($F:$F, ROW()-1), $F18)) : INDEX(AB:AB, ROW()-1)
   )
   /SUM(INDEX(AB:AB, ROW()-COUNTIF($F$6:INDEX($F:$F, ROW()-1), $F18)) : INDEX(AB:AB, ROW()-1)),
           _xlfn.MAXIFS(unit_details[Asking Rent],
          unit_details[Active Listing?],TRUE,
          unit_details[Property Name], $F19,
          unit_details[Beds], $L19,
          unit_details[Baths], $M19,
          unit_details[Partial Baths], IF(ISNUMBER($N19),$N19,""),
          unit_details[Sqft],$P19
))),"")</f>
        <v/>
      </c>
      <c r="AG19" s="6" t="str">
        <f>IFERROR(IF($F19="Total",
         SUMPRODUCT(
         INDEX(AG:AG, ROW()-COUNTIF($F$6:INDEX($F:$F, ROW()-1), $F18)) : INDEX(AG:AG, ROW()-1),
         INDEX(AB:AB, ROW()-COUNTIF($F$6:INDEX($F:$F, ROW()-1), $F18)) : INDEX(AB:AB, ROW()-1)
         )
         /SUM(INDEX(AB:AB, ROW()-COUNTIF($F$6:INDEX($F:$F, ROW()-1), $F18)) : INDEX(AB:AB, ROW()-1)),
          AVERAGEIFS(unit_details[Asking PSF],
          unit_details[Active Listing?],TRUE,
          unit_details[Property Name], $F19,
          unit_details[Beds], $L19,
          unit_details[Baths], $M19,
          unit_details[Partial Baths], IF(ISNUMBER($N19),$N19,""),
          unit_details[Sqft],$P19
)),"")</f>
        <v/>
      </c>
      <c r="AH19" s="293" t="str">
        <f>IFERROR(IF($F19="Total",
         SUMPRODUCT(
         INDEX(AH:AH, ROW()-COUNTIF($F$6:INDEX($F:$F, ROW()-1), $F18)) : INDEX(AH:AH, ROW()-1),
         INDEX(AB:AB, ROW()-COUNTIF($F$6:INDEX($F:$F, ROW()-1), $F18)) : INDEX(AB:AB, ROW()-1)
         )
         /SUM(INDEX(AB:AB, ROW()-COUNTIF($F$6:INDEX($F:$F, ROW()-1), $F18)) : INDEX(AB:AB, ROW()-1)),
          AVERAGEIFS(unit_details[Effective Rent],
          unit_details[Active Listing?],TRUE,
          unit_details[Property Name], $F19,
          unit_details[Beds], $L19,
          unit_details[Baths], $M19,
          unit_details[Partial Baths], IF(ISNUMBER($N19),$N19,""),
          unit_details[Sqft],$P19
)),"")</f>
        <v/>
      </c>
      <c r="AI19" s="6" t="str">
        <f>IFERROR(IF($F19="Total",
         SUMPRODUCT(
         INDEX(AI:AI, ROW()-COUNTIF($F$6:INDEX($F:$F, ROW()-1), $F18)) : INDEX(AI:AI, ROW()-1),
         INDEX(AB:AB, ROW()-COUNTIF($F$6:INDEX($F:$F, ROW()-1), $F18)) : INDEX(AB:AB, ROW()-1)
         )
         /SUM(INDEX(AB:AB, ROW()-COUNTIF($F$6:INDEX($F:$F, ROW()-1), $F18)) : INDEX(AB:AB, ROW()-1)),
           AVERAGEIFS(unit_details[Effective PSF],
          unit_details[Active Listing?],TRUE,
          unit_details[Property Name], $F19,
          unit_details[Beds], $L19,
          unit_details[Baths], $M19,
          unit_details[Partial Baths], IF(ISNUMBER($N19),$N19,""),
          unit_details[Sqft],$P19
)),"")</f>
        <v/>
      </c>
      <c r="AJ19" s="824" t="str">
        <f t="shared" si="4"/>
        <v/>
      </c>
      <c r="AK19" s="531" t="str">
        <f t="shared" si="5"/>
        <v/>
      </c>
      <c r="AL19" s="714" t="str">
        <f t="shared" si="6"/>
        <v/>
      </c>
      <c r="AM19" s="531" t="str">
        <f t="shared" si="7"/>
        <v/>
      </c>
      <c r="AN19" s="716" t="str">
        <f t="shared" si="8"/>
        <v/>
      </c>
    </row>
    <row r="20" spans="2:40" x14ac:dyDescent="0.2">
      <c r="B20" s="719"/>
      <c r="C20" s="719"/>
      <c r="F20" s="1" t="str">
        <f t="shared" si="0"/>
        <v>(blank)</v>
      </c>
      <c r="G20" s="713" t="str">
        <f t="shared" si="9"/>
        <v/>
      </c>
      <c r="H20" s="17" t="str">
        <f>IFERROR(VLOOKUP($G20,Table1[[Property]:[Exposure %]],4,0),"")</f>
        <v/>
      </c>
      <c r="I20" s="3" t="str">
        <f>IFERROR(VLOOKUP($G20,Table1[[Property]:[Exposure %]],6,0),"")</f>
        <v/>
      </c>
      <c r="J20" s="3" t="str">
        <f>IFERROR(VLOOKUP($G20,Table1[[Property]:[Exposure %]],7,0),"")</f>
        <v/>
      </c>
      <c r="K20" s="932"/>
      <c r="L20" s="933">
        <v>2</v>
      </c>
      <c r="M20" s="934">
        <v>1</v>
      </c>
      <c r="N20" s="934" t="s">
        <v>191</v>
      </c>
      <c r="O20" s="932">
        <v>584</v>
      </c>
      <c r="P20" s="931">
        <v>584</v>
      </c>
      <c r="Q20" s="935">
        <v>1.5873015873015872E-2</v>
      </c>
      <c r="R20" s="4" t="str">
        <f>IFERROR(VLOOKUP(IF(F20="Total",F19,F20),Table1[[Property]:['# Units]],7,0)*S20,"")</f>
        <v/>
      </c>
      <c r="S20" s="27">
        <f t="shared" si="2"/>
        <v>1.5873015873015872E-2</v>
      </c>
      <c r="T20" s="531" t="str">
        <f>IFERROR(
 IF($F20="Total",
   SUMPRODUCT(
   INDEX(T:T, ROW()-COUNTIF($F$6:INDEX($F:$F, ROW()-1), $F19)) : INDEX(T:T, ROW()-1),
   INDEX(W:W, ROW()-COUNTIF($F$6:INDEX($F:$F, ROW()-1), $F19)) : INDEX(W:W, ROW()-1)
   )
   /SUM(INDEX(W:W, ROW()-COUNTIF($F$6:INDEX($F:$F, ROW()-1), $F19)) : INDEX(W:W, ROW()-1)),
   AVERAGEIFS(
     INDEX((unit_details[Asking Rent],unit_details[Asking PSF]),0,1,IF($U$3="Chunk Rent",1,2)),
     unit_details[Leased Date],"&gt;="&amp;($AM$2-T$5),
     unit_details[Leased Date],"&lt;"&amp;$AM$2,
     unit_details[Beds],$L20,
     unit_details[Baths],$M20,
     unit_details[Partial Baths],IF(ISNUMBER($N20),$N20,""),
     unit_details[Sqft],$P20,
     unit_details[Property Name],$F20)
 ),"")</f>
        <v/>
      </c>
      <c r="U20" s="552" t="str">
        <f>IFERROR(
 IF($F20="Total",
   SUMPRODUCT(
   INDEX(U:U, ROW()-COUNTIF($F$6:INDEX($F:$F, ROW()-1), $F19)) : INDEX(U:U, ROW()-1),
   INDEX(W:W, ROW()-COUNTIF($F$6:INDEX($F:$F, ROW()-1), $F19)) : INDEX(W:W, ROW()-1)
   )
   /SUM(INDEX(W:W, ROW()-COUNTIF($F$6:INDEX($F:$F, ROW()-1), $F19)) : INDEX(W:W, ROW()-1)),
   AVERAGEIFS(
     INDEX((unit_details[Effective Rent],unit_details[Effective PSF]),0,1,IF($U$3="Chunk Rent",1,2)),
     unit_details[Leased Date],"&gt;="&amp;($AM$2-T$5),
     unit_details[Leased Date],"&lt;"&amp;$AM$2,
     unit_details[Beds],$L20,
     unit_details[Baths],$M20,
     unit_details[Partial Baths],IF(ISNUMBER($N20),$N20,""),
     unit_details[Sqft],$P20,
     unit_details[Property Name],$F20)
 ),"")</f>
        <v/>
      </c>
      <c r="V20" s="27" t="str">
        <f t="shared" si="10"/>
        <v/>
      </c>
      <c r="W20" s="526">
        <f>IFERROR(
  IF($F20="Total",
    SUM(INDEX(W:W, ROW()-COUNTIF($F$6:INDEX($F:$F, ROW()-1), $F19)) : INDEX(W:W, ROW()-1)),
    COUNTIFS(
      unit_details[Leased Date], "&gt;="&amp;($AM$2-T$5),
      unit_details[Leased Date], "&lt;"&amp;$AM$2,
      unit_details[Beds], $L20,
      unit_details[Baths], $M20,
      unit_details[Partial Baths], IF(ISNUMBER($N20), $N20, ""),
      unit_details[Sqft],$P20,
      unit_details[Property Name], $F20
    )
  ),
"")</f>
        <v>0</v>
      </c>
      <c r="X20" s="531" t="str">
        <f>IFERROR(
 IF($F20="Total",
   SUMPRODUCT(
   INDEX(X:X, ROW()-COUNTIF($F$6:INDEX($F:$F, ROW()-1), $F19)) : INDEX(X:X, ROW()-1),
   INDEX(AA:AA, ROW()-COUNTIF($F$6:INDEX($F:$F, ROW()-1), $F19)) : INDEX(AA:AA, ROW()-1)
   )
   /SUM(INDEX(AA:AA, ROW()-COUNTIF($F$6:INDEX($F:$F, ROW()-1), $F19)) : INDEX(AA:AA, ROW()-1)),
   AVERAGEIFS(
     INDEX((unit_details[Asking Rent],unit_details[Asking PSF]),0,1,IF($U$3="Chunk Rent",1,2)),
     unit_details[Leased Date],"&gt;="&amp;($AM$2-X$5),
     unit_details[Leased Date],"&lt;"&amp;$AM$2,
     unit_details[Beds],$L20,
     unit_details[Baths],$M20,
     unit_details[Partial Baths],IF(ISNUMBER($N20),$N20,""),
     unit_details[Sqft],$P20,
     unit_details[Property Name],$F20)
 ),"")</f>
        <v/>
      </c>
      <c r="Y20" s="552" t="str">
        <f>IFERROR(
 IF($F20="Total",
   SUMPRODUCT(
   INDEX(Y:Y, ROW()-COUNTIF($F$6:INDEX($F:$F, ROW()-1), $F19)) : INDEX(Y:Y, ROW()-1),
   INDEX(AA:AA, ROW()-COUNTIF($F$6:INDEX($F:$F, ROW()-1), $F19)) : INDEX(AA:AA, ROW()-1)
   )
   /SUM(INDEX(AA:AA, ROW()-COUNTIF($F$6:INDEX($F:$F, ROW()-1), $F19)) : INDEX(AA:AA, ROW()-1)),
   AVERAGEIFS(
     INDEX((unit_details[Effective Rent],unit_details[Effective PSF]),0,1,IF($U$3="Chunk Rent",1,2)),
     unit_details[Leased Date],"&gt;="&amp;($AM$2-X$5),
     unit_details[Leased Date],"&lt;"&amp;$AM$2,
     unit_details[Beds],$L20,
     unit_details[Baths],$M20,
     unit_details[Partial Baths],IF(ISNUMBER($N20),$N20,""),
     unit_details[Sqft],$P20,
     unit_details[Property Name],$F20)
 ),"")</f>
        <v/>
      </c>
      <c r="Z20" s="27" t="str">
        <f t="shared" si="11"/>
        <v/>
      </c>
      <c r="AA20" s="526">
        <f>IFERROR(
  IF($F20="Total",
    SUM(INDEX(AA:AA, ROW()-COUNTIF($F$6:INDEX($F:$F, ROW()-1), $F19)) : INDEX(AA:AA, ROW()-1)),
    COUNTIFS(
      unit_details[Leased Date], "&gt;="&amp;($AM$2-X$5),
      unit_details[Leased Date], "&lt;"&amp;$AM$2,
      unit_details[Beds], $L20,
      unit_details[Baths], $M20,
      unit_details[Partial Baths], IF(ISNUMBER($N20), $N20, ""),
      unit_details[Sqft],$P20,
      unit_details[Property Name], $F20
    )
  ),
"")</f>
        <v>0</v>
      </c>
      <c r="AB20" s="290">
        <f>IF($F20="Total",
SUM(INDEX(AB:AB, ROW()-COUNTIF($F$6:INDEX($F:$F, ROW()-1), $F19)) : INDEX(AB:AB, ROW()-1)),
COUNTIFS(unit_details[Active Listing?],TRUE,
          unit_details[Property Name], $F20,
          unit_details[Beds], $L20,
          unit_details[Baths], $M20,
          unit_details[Partial Baths],IF(ISNUMBER($N20),$N20,""),
          unit_details[Sqft],$P20))</f>
        <v>0</v>
      </c>
      <c r="AC20" s="27" t="str">
        <f t="shared" si="3"/>
        <v/>
      </c>
      <c r="AD20" s="293" t="str">
        <f>IFERROR(IF(AE20="","",IF($F20="Total",
SUMPRODUCT(
   INDEX(AD:AD, ROW()-COUNTIF($F$6:INDEX($F:$F, ROW()-1), $F19)) : INDEX(AD:AD, ROW()-1),
   INDEX(AB:AB, ROW()-COUNTIF($F$6:INDEX($F:$F, ROW()-1), $F19)) : INDEX(AB:AB, ROW()-1)
   )
   /SUM(INDEX(AB:AB, ROW()-COUNTIF($F$6:INDEX($F:$F, ROW()-1), $F19)) : INDEX(AB:AB, ROW()-1)),
          _xlfn.MINIFS(unit_details[Asking Rent],
          unit_details[Active Listing?],TRUE,
          unit_details[Property Name], $F20,
          unit_details[Beds], $L20,
          unit_details[Baths], $M20,
          unit_details[Partial Baths], IF(ISNUMBER($N20),$N20,""),
          unit_details[Sqft],$P20
))),"")</f>
        <v/>
      </c>
      <c r="AE20" s="5" t="str">
        <f>IFERROR(IF($F20="Total",
          SUMPRODUCT(
   INDEX(AE:AE, ROW()-COUNTIF($F$6:INDEX($F:$F, ROW()-1), $F19)) : INDEX(AE:AE, ROW()-1),
   INDEX(AB:AB, ROW()-COUNTIF($F$6:INDEX($F:$F, ROW()-1), $F19)) : INDEX(AB:AB, ROW()-1)
   )
   /SUM(INDEX(AB:AB, ROW()-COUNTIF($F$6:INDEX($F:$F, ROW()-1), $F19)) : INDEX(AB:AB, ROW()-1)),
          AVERAGEIFS(unit_details[Asking Rent],
          unit_details[Active Listing?],TRUE,
          unit_details[Property Name], $F20,
          unit_details[Beds], $L20,
          unit_details[Baths], $M20,
          unit_details[Partial Baths], IF(ISNUMBER($N20),$N20,""),
          unit_details[Sqft],$P20
)),"")</f>
        <v/>
      </c>
      <c r="AF20" s="5" t="str">
        <f>IFERROR(IF(AE20="","",IF($F20="Total",
SUMPRODUCT(
   INDEX(AF:AF, ROW()-COUNTIF($F$6:INDEX($F:$F, ROW()-1), $F19)) : INDEX(AF:AF, ROW()-1),
   INDEX(AB:AB, ROW()-COUNTIF($F$6:INDEX($F:$F, ROW()-1), $F19)) : INDEX(AB:AB, ROW()-1)
   )
   /SUM(INDEX(AB:AB, ROW()-COUNTIF($F$6:INDEX($F:$F, ROW()-1), $F19)) : INDEX(AB:AB, ROW()-1)),
           _xlfn.MAXIFS(unit_details[Asking Rent],
          unit_details[Active Listing?],TRUE,
          unit_details[Property Name], $F20,
          unit_details[Beds], $L20,
          unit_details[Baths], $M20,
          unit_details[Partial Baths], IF(ISNUMBER($N20),$N20,""),
          unit_details[Sqft],$P20
))),"")</f>
        <v/>
      </c>
      <c r="AG20" s="6" t="str">
        <f>IFERROR(IF($F20="Total",
         SUMPRODUCT(
         INDEX(AG:AG, ROW()-COUNTIF($F$6:INDEX($F:$F, ROW()-1), $F19)) : INDEX(AG:AG, ROW()-1),
         INDEX(AB:AB, ROW()-COUNTIF($F$6:INDEX($F:$F, ROW()-1), $F19)) : INDEX(AB:AB, ROW()-1)
         )
         /SUM(INDEX(AB:AB, ROW()-COUNTIF($F$6:INDEX($F:$F, ROW()-1), $F19)) : INDEX(AB:AB, ROW()-1)),
          AVERAGEIFS(unit_details[Asking PSF],
          unit_details[Active Listing?],TRUE,
          unit_details[Property Name], $F20,
          unit_details[Beds], $L20,
          unit_details[Baths], $M20,
          unit_details[Partial Baths], IF(ISNUMBER($N20),$N20,""),
          unit_details[Sqft],$P20
)),"")</f>
        <v/>
      </c>
      <c r="AH20" s="293" t="str">
        <f>IFERROR(IF($F20="Total",
         SUMPRODUCT(
         INDEX(AH:AH, ROW()-COUNTIF($F$6:INDEX($F:$F, ROW()-1), $F19)) : INDEX(AH:AH, ROW()-1),
         INDEX(AB:AB, ROW()-COUNTIF($F$6:INDEX($F:$F, ROW()-1), $F19)) : INDEX(AB:AB, ROW()-1)
         )
         /SUM(INDEX(AB:AB, ROW()-COUNTIF($F$6:INDEX($F:$F, ROW()-1), $F19)) : INDEX(AB:AB, ROW()-1)),
          AVERAGEIFS(unit_details[Effective Rent],
          unit_details[Active Listing?],TRUE,
          unit_details[Property Name], $F20,
          unit_details[Beds], $L20,
          unit_details[Baths], $M20,
          unit_details[Partial Baths], IF(ISNUMBER($N20),$N20,""),
          unit_details[Sqft],$P20
)),"")</f>
        <v/>
      </c>
      <c r="AI20" s="6" t="str">
        <f>IFERROR(IF($F20="Total",
         SUMPRODUCT(
         INDEX(AI:AI, ROW()-COUNTIF($F$6:INDEX($F:$F, ROW()-1), $F19)) : INDEX(AI:AI, ROW()-1),
         INDEX(AB:AB, ROW()-COUNTIF($F$6:INDEX($F:$F, ROW()-1), $F19)) : INDEX(AB:AB, ROW()-1)
         )
         /SUM(INDEX(AB:AB, ROW()-COUNTIF($F$6:INDEX($F:$F, ROW()-1), $F19)) : INDEX(AB:AB, ROW()-1)),
           AVERAGEIFS(unit_details[Effective PSF],
          unit_details[Active Listing?],TRUE,
          unit_details[Property Name], $F20,
          unit_details[Beds], $L20,
          unit_details[Baths], $M20,
          unit_details[Partial Baths], IF(ISNUMBER($N20),$N20,""),
          unit_details[Sqft],$P20
)),"")</f>
        <v/>
      </c>
      <c r="AJ20" s="824" t="str">
        <f t="shared" si="4"/>
        <v/>
      </c>
      <c r="AK20" s="531" t="str">
        <f t="shared" si="5"/>
        <v/>
      </c>
      <c r="AL20" s="714" t="str">
        <f t="shared" si="6"/>
        <v/>
      </c>
      <c r="AM20" s="531" t="str">
        <f t="shared" si="7"/>
        <v/>
      </c>
      <c r="AN20" s="716" t="str">
        <f t="shared" si="8"/>
        <v/>
      </c>
    </row>
    <row r="21" spans="2:40" x14ac:dyDescent="0.2">
      <c r="B21" s="719"/>
      <c r="C21" s="719"/>
      <c r="F21" s="1" t="str">
        <f t="shared" si="0"/>
        <v>(blank)</v>
      </c>
      <c r="G21" s="713" t="str">
        <f t="shared" si="9"/>
        <v/>
      </c>
      <c r="H21" s="17" t="str">
        <f>IFERROR(VLOOKUP($G21,Table1[[Property]:[Exposure %]],4,0),"")</f>
        <v/>
      </c>
      <c r="I21" s="3" t="str">
        <f>IFERROR(VLOOKUP($G21,Table1[[Property]:[Exposure %]],6,0),"")</f>
        <v/>
      </c>
      <c r="J21" s="3" t="str">
        <f>IFERROR(VLOOKUP($G21,Table1[[Property]:[Exposure %]],7,0),"")</f>
        <v/>
      </c>
      <c r="K21" s="932"/>
      <c r="L21" s="933">
        <v>2</v>
      </c>
      <c r="M21" s="934">
        <v>1</v>
      </c>
      <c r="N21" s="934" t="s">
        <v>191</v>
      </c>
      <c r="O21" s="932">
        <v>700</v>
      </c>
      <c r="P21" s="931">
        <v>700</v>
      </c>
      <c r="Q21" s="935">
        <v>1.5873015873015872E-2</v>
      </c>
      <c r="R21" s="4" t="str">
        <f>IFERROR(VLOOKUP(IF(F21="Total",F20,F21),Table1[[Property]:['# Units]],7,0)*S21,"")</f>
        <v/>
      </c>
      <c r="S21" s="27">
        <f t="shared" si="2"/>
        <v>1.5873015873015872E-2</v>
      </c>
      <c r="T21" s="531" t="str">
        <f>IFERROR(
 IF($F21="Total",
   SUMPRODUCT(
   INDEX(T:T, ROW()-COUNTIF($F$6:INDEX($F:$F, ROW()-1), $F20)) : INDEX(T:T, ROW()-1),
   INDEX(W:W, ROW()-COUNTIF($F$6:INDEX($F:$F, ROW()-1), $F20)) : INDEX(W:W, ROW()-1)
   )
   /SUM(INDEX(W:W, ROW()-COUNTIF($F$6:INDEX($F:$F, ROW()-1), $F20)) : INDEX(W:W, ROW()-1)),
   AVERAGEIFS(
     INDEX((unit_details[Asking Rent],unit_details[Asking PSF]),0,1,IF($U$3="Chunk Rent",1,2)),
     unit_details[Leased Date],"&gt;="&amp;($AM$2-T$5),
     unit_details[Leased Date],"&lt;"&amp;$AM$2,
     unit_details[Beds],$L21,
     unit_details[Baths],$M21,
     unit_details[Partial Baths],IF(ISNUMBER($N21),$N21,""),
     unit_details[Sqft],$P21,
     unit_details[Property Name],$F21)
 ),"")</f>
        <v/>
      </c>
      <c r="U21" s="552" t="str">
        <f>IFERROR(
 IF($F21="Total",
   SUMPRODUCT(
   INDEX(U:U, ROW()-COUNTIF($F$6:INDEX($F:$F, ROW()-1), $F20)) : INDEX(U:U, ROW()-1),
   INDEX(W:W, ROW()-COUNTIF($F$6:INDEX($F:$F, ROW()-1), $F20)) : INDEX(W:W, ROW()-1)
   )
   /SUM(INDEX(W:W, ROW()-COUNTIF($F$6:INDEX($F:$F, ROW()-1), $F20)) : INDEX(W:W, ROW()-1)),
   AVERAGEIFS(
     INDEX((unit_details[Effective Rent],unit_details[Effective PSF]),0,1,IF($U$3="Chunk Rent",1,2)),
     unit_details[Leased Date],"&gt;="&amp;($AM$2-T$5),
     unit_details[Leased Date],"&lt;"&amp;$AM$2,
     unit_details[Beds],$L21,
     unit_details[Baths],$M21,
     unit_details[Partial Baths],IF(ISNUMBER($N21),$N21,""),
     unit_details[Sqft],$P21,
     unit_details[Property Name],$F21)
 ),"")</f>
        <v/>
      </c>
      <c r="V21" s="27" t="str">
        <f t="shared" si="10"/>
        <v/>
      </c>
      <c r="W21" s="526">
        <f>IFERROR(
  IF($F21="Total",
    SUM(INDEX(W:W, ROW()-COUNTIF($F$6:INDEX($F:$F, ROW()-1), $F20)) : INDEX(W:W, ROW()-1)),
    COUNTIFS(
      unit_details[Leased Date], "&gt;="&amp;($AM$2-T$5),
      unit_details[Leased Date], "&lt;"&amp;$AM$2,
      unit_details[Beds], $L21,
      unit_details[Baths], $M21,
      unit_details[Partial Baths], IF(ISNUMBER($N21), $N21, ""),
      unit_details[Sqft],$P21,
      unit_details[Property Name], $F21
    )
  ),
"")</f>
        <v>0</v>
      </c>
      <c r="X21" s="531" t="str">
        <f>IFERROR(
 IF($F21="Total",
   SUMPRODUCT(
   INDEX(X:X, ROW()-COUNTIF($F$6:INDEX($F:$F, ROW()-1), $F20)) : INDEX(X:X, ROW()-1),
   INDEX(AA:AA, ROW()-COUNTIF($F$6:INDEX($F:$F, ROW()-1), $F20)) : INDEX(AA:AA, ROW()-1)
   )
   /SUM(INDEX(AA:AA, ROW()-COUNTIF($F$6:INDEX($F:$F, ROW()-1), $F20)) : INDEX(AA:AA, ROW()-1)),
   AVERAGEIFS(
     INDEX((unit_details[Asking Rent],unit_details[Asking PSF]),0,1,IF($U$3="Chunk Rent",1,2)),
     unit_details[Leased Date],"&gt;="&amp;($AM$2-X$5),
     unit_details[Leased Date],"&lt;"&amp;$AM$2,
     unit_details[Beds],$L21,
     unit_details[Baths],$M21,
     unit_details[Partial Baths],IF(ISNUMBER($N21),$N21,""),
     unit_details[Sqft],$P21,
     unit_details[Property Name],$F21)
 ),"")</f>
        <v/>
      </c>
      <c r="Y21" s="552" t="str">
        <f>IFERROR(
 IF($F21="Total",
   SUMPRODUCT(
   INDEX(Y:Y, ROW()-COUNTIF($F$6:INDEX($F:$F, ROW()-1), $F20)) : INDEX(Y:Y, ROW()-1),
   INDEX(AA:AA, ROW()-COUNTIF($F$6:INDEX($F:$F, ROW()-1), $F20)) : INDEX(AA:AA, ROW()-1)
   )
   /SUM(INDEX(AA:AA, ROW()-COUNTIF($F$6:INDEX($F:$F, ROW()-1), $F20)) : INDEX(AA:AA, ROW()-1)),
   AVERAGEIFS(
     INDEX((unit_details[Effective Rent],unit_details[Effective PSF]),0,1,IF($U$3="Chunk Rent",1,2)),
     unit_details[Leased Date],"&gt;="&amp;($AM$2-X$5),
     unit_details[Leased Date],"&lt;"&amp;$AM$2,
     unit_details[Beds],$L21,
     unit_details[Baths],$M21,
     unit_details[Partial Baths],IF(ISNUMBER($N21),$N21,""),
     unit_details[Sqft],$P21,
     unit_details[Property Name],$F21)
 ),"")</f>
        <v/>
      </c>
      <c r="Z21" s="27" t="str">
        <f t="shared" si="11"/>
        <v/>
      </c>
      <c r="AA21" s="526">
        <f>IFERROR(
  IF($F21="Total",
    SUM(INDEX(AA:AA, ROW()-COUNTIF($F$6:INDEX($F:$F, ROW()-1), $F20)) : INDEX(AA:AA, ROW()-1)),
    COUNTIFS(
      unit_details[Leased Date], "&gt;="&amp;($AM$2-X$5),
      unit_details[Leased Date], "&lt;"&amp;$AM$2,
      unit_details[Beds], $L21,
      unit_details[Baths], $M21,
      unit_details[Partial Baths], IF(ISNUMBER($N21), $N21, ""),
      unit_details[Sqft],$P21,
      unit_details[Property Name], $F21
    )
  ),
"")</f>
        <v>0</v>
      </c>
      <c r="AB21" s="290">
        <f>IF($F21="Total",
SUM(INDEX(AB:AB, ROW()-COUNTIF($F$6:INDEX($F:$F, ROW()-1), $F20)) : INDEX(AB:AB, ROW()-1)),
COUNTIFS(unit_details[Active Listing?],TRUE,
          unit_details[Property Name], $F21,
          unit_details[Beds], $L21,
          unit_details[Baths], $M21,
          unit_details[Partial Baths],IF(ISNUMBER($N21),$N21,""),
          unit_details[Sqft],$P21))</f>
        <v>0</v>
      </c>
      <c r="AC21" s="27" t="str">
        <f t="shared" si="3"/>
        <v/>
      </c>
      <c r="AD21" s="293" t="str">
        <f>IFERROR(IF(AE21="","",IF($F21="Total",
SUMPRODUCT(
   INDEX(AD:AD, ROW()-COUNTIF($F$6:INDEX($F:$F, ROW()-1), $F20)) : INDEX(AD:AD, ROW()-1),
   INDEX(AB:AB, ROW()-COUNTIF($F$6:INDEX($F:$F, ROW()-1), $F20)) : INDEX(AB:AB, ROW()-1)
   )
   /SUM(INDEX(AB:AB, ROW()-COUNTIF($F$6:INDEX($F:$F, ROW()-1), $F20)) : INDEX(AB:AB, ROW()-1)),
          _xlfn.MINIFS(unit_details[Asking Rent],
          unit_details[Active Listing?],TRUE,
          unit_details[Property Name], $F21,
          unit_details[Beds], $L21,
          unit_details[Baths], $M21,
          unit_details[Partial Baths], IF(ISNUMBER($N21),$N21,""),
          unit_details[Sqft],$P21
))),"")</f>
        <v/>
      </c>
      <c r="AE21" s="5" t="str">
        <f>IFERROR(IF($F21="Total",
          SUMPRODUCT(
   INDEX(AE:AE, ROW()-COUNTIF($F$6:INDEX($F:$F, ROW()-1), $F20)) : INDEX(AE:AE, ROW()-1),
   INDEX(AB:AB, ROW()-COUNTIF($F$6:INDEX($F:$F, ROW()-1), $F20)) : INDEX(AB:AB, ROW()-1)
   )
   /SUM(INDEX(AB:AB, ROW()-COUNTIF($F$6:INDEX($F:$F, ROW()-1), $F20)) : INDEX(AB:AB, ROW()-1)),
          AVERAGEIFS(unit_details[Asking Rent],
          unit_details[Active Listing?],TRUE,
          unit_details[Property Name], $F21,
          unit_details[Beds], $L21,
          unit_details[Baths], $M21,
          unit_details[Partial Baths], IF(ISNUMBER($N21),$N21,""),
          unit_details[Sqft],$P21
)),"")</f>
        <v/>
      </c>
      <c r="AF21" s="5" t="str">
        <f>IFERROR(IF(AE21="","",IF($F21="Total",
SUMPRODUCT(
   INDEX(AF:AF, ROW()-COUNTIF($F$6:INDEX($F:$F, ROW()-1), $F20)) : INDEX(AF:AF, ROW()-1),
   INDEX(AB:AB, ROW()-COUNTIF($F$6:INDEX($F:$F, ROW()-1), $F20)) : INDEX(AB:AB, ROW()-1)
   )
   /SUM(INDEX(AB:AB, ROW()-COUNTIF($F$6:INDEX($F:$F, ROW()-1), $F20)) : INDEX(AB:AB, ROW()-1)),
           _xlfn.MAXIFS(unit_details[Asking Rent],
          unit_details[Active Listing?],TRUE,
          unit_details[Property Name], $F21,
          unit_details[Beds], $L21,
          unit_details[Baths], $M21,
          unit_details[Partial Baths], IF(ISNUMBER($N21),$N21,""),
          unit_details[Sqft],$P21
))),"")</f>
        <v/>
      </c>
      <c r="AG21" s="6" t="str">
        <f>IFERROR(IF($F21="Total",
         SUMPRODUCT(
         INDEX(AG:AG, ROW()-COUNTIF($F$6:INDEX($F:$F, ROW()-1), $F20)) : INDEX(AG:AG, ROW()-1),
         INDEX(AB:AB, ROW()-COUNTIF($F$6:INDEX($F:$F, ROW()-1), $F20)) : INDEX(AB:AB, ROW()-1)
         )
         /SUM(INDEX(AB:AB, ROW()-COUNTIF($F$6:INDEX($F:$F, ROW()-1), $F20)) : INDEX(AB:AB, ROW()-1)),
          AVERAGEIFS(unit_details[Asking PSF],
          unit_details[Active Listing?],TRUE,
          unit_details[Property Name], $F21,
          unit_details[Beds], $L21,
          unit_details[Baths], $M21,
          unit_details[Partial Baths], IF(ISNUMBER($N21),$N21,""),
          unit_details[Sqft],$P21
)),"")</f>
        <v/>
      </c>
      <c r="AH21" s="293" t="str">
        <f>IFERROR(IF($F21="Total",
         SUMPRODUCT(
         INDEX(AH:AH, ROW()-COUNTIF($F$6:INDEX($F:$F, ROW()-1), $F20)) : INDEX(AH:AH, ROW()-1),
         INDEX(AB:AB, ROW()-COUNTIF($F$6:INDEX($F:$F, ROW()-1), $F20)) : INDEX(AB:AB, ROW()-1)
         )
         /SUM(INDEX(AB:AB, ROW()-COUNTIF($F$6:INDEX($F:$F, ROW()-1), $F20)) : INDEX(AB:AB, ROW()-1)),
          AVERAGEIFS(unit_details[Effective Rent],
          unit_details[Active Listing?],TRUE,
          unit_details[Property Name], $F21,
          unit_details[Beds], $L21,
          unit_details[Baths], $M21,
          unit_details[Partial Baths], IF(ISNUMBER($N21),$N21,""),
          unit_details[Sqft],$P21
)),"")</f>
        <v/>
      </c>
      <c r="AI21" s="6" t="str">
        <f>IFERROR(IF($F21="Total",
         SUMPRODUCT(
         INDEX(AI:AI, ROW()-COUNTIF($F$6:INDEX($F:$F, ROW()-1), $F20)) : INDEX(AI:AI, ROW()-1),
         INDEX(AB:AB, ROW()-COUNTIF($F$6:INDEX($F:$F, ROW()-1), $F20)) : INDEX(AB:AB, ROW()-1)
         )
         /SUM(INDEX(AB:AB, ROW()-COUNTIF($F$6:INDEX($F:$F, ROW()-1), $F20)) : INDEX(AB:AB, ROW()-1)),
           AVERAGEIFS(unit_details[Effective PSF],
          unit_details[Active Listing?],TRUE,
          unit_details[Property Name], $F21,
          unit_details[Beds], $L21,
          unit_details[Baths], $M21,
          unit_details[Partial Baths], IF(ISNUMBER($N21),$N21,""),
          unit_details[Sqft],$P21
)),"")</f>
        <v/>
      </c>
      <c r="AJ21" s="824" t="str">
        <f t="shared" si="4"/>
        <v/>
      </c>
      <c r="AK21" s="531" t="str">
        <f t="shared" si="5"/>
        <v/>
      </c>
      <c r="AL21" s="714" t="str">
        <f t="shared" si="6"/>
        <v/>
      </c>
      <c r="AM21" s="531" t="str">
        <f t="shared" si="7"/>
        <v/>
      </c>
      <c r="AN21" s="716" t="str">
        <f t="shared" si="8"/>
        <v/>
      </c>
    </row>
    <row r="22" spans="2:40" x14ac:dyDescent="0.2">
      <c r="B22" s="719"/>
      <c r="C22" s="719"/>
      <c r="F22" s="1" t="str">
        <f t="shared" si="0"/>
        <v>(blank)</v>
      </c>
      <c r="G22" s="713" t="str">
        <f t="shared" si="9"/>
        <v/>
      </c>
      <c r="H22" s="17" t="str">
        <f>IFERROR(VLOOKUP($G22,Table1[[Property]:[Exposure %]],4,0),"")</f>
        <v/>
      </c>
      <c r="I22" s="3" t="str">
        <f>IFERROR(VLOOKUP($G22,Table1[[Property]:[Exposure %]],6,0),"")</f>
        <v/>
      </c>
      <c r="J22" s="3" t="str">
        <f>IFERROR(VLOOKUP($G22,Table1[[Property]:[Exposure %]],7,0),"")</f>
        <v/>
      </c>
      <c r="K22" s="932"/>
      <c r="L22" s="933">
        <v>2</v>
      </c>
      <c r="M22" s="934">
        <v>1</v>
      </c>
      <c r="N22" s="934" t="s">
        <v>191</v>
      </c>
      <c r="O22" s="932">
        <v>750</v>
      </c>
      <c r="P22" s="931">
        <v>750</v>
      </c>
      <c r="Q22" s="935">
        <v>3.1746031746031744E-2</v>
      </c>
      <c r="R22" s="4" t="str">
        <f>IFERROR(VLOOKUP(IF(F22="Total",F21,F22),Table1[[Property]:['# Units]],7,0)*S22,"")</f>
        <v/>
      </c>
      <c r="S22" s="27">
        <f t="shared" si="2"/>
        <v>3.1746031746031744E-2</v>
      </c>
      <c r="T22" s="531" t="str">
        <f>IFERROR(
 IF($F22="Total",
   SUMPRODUCT(
   INDEX(T:T, ROW()-COUNTIF($F$6:INDEX($F:$F, ROW()-1), $F21)) : INDEX(T:T, ROW()-1),
   INDEX(W:W, ROW()-COUNTIF($F$6:INDEX($F:$F, ROW()-1), $F21)) : INDEX(W:W, ROW()-1)
   )
   /SUM(INDEX(W:W, ROW()-COUNTIF($F$6:INDEX($F:$F, ROW()-1), $F21)) : INDEX(W:W, ROW()-1)),
   AVERAGEIFS(
     INDEX((unit_details[Asking Rent],unit_details[Asking PSF]),0,1,IF($U$3="Chunk Rent",1,2)),
     unit_details[Leased Date],"&gt;="&amp;($AM$2-T$5),
     unit_details[Leased Date],"&lt;"&amp;$AM$2,
     unit_details[Beds],$L22,
     unit_details[Baths],$M22,
     unit_details[Partial Baths],IF(ISNUMBER($N22),$N22,""),
     unit_details[Sqft],$P22,
     unit_details[Property Name],$F22)
 ),"")</f>
        <v/>
      </c>
      <c r="U22" s="552" t="str">
        <f>IFERROR(
 IF($F22="Total",
   SUMPRODUCT(
   INDEX(U:U, ROW()-COUNTIF($F$6:INDEX($F:$F, ROW()-1), $F21)) : INDEX(U:U, ROW()-1),
   INDEX(W:W, ROW()-COUNTIF($F$6:INDEX($F:$F, ROW()-1), $F21)) : INDEX(W:W, ROW()-1)
   )
   /SUM(INDEX(W:W, ROW()-COUNTIF($F$6:INDEX($F:$F, ROW()-1), $F21)) : INDEX(W:W, ROW()-1)),
   AVERAGEIFS(
     INDEX((unit_details[Effective Rent],unit_details[Effective PSF]),0,1,IF($U$3="Chunk Rent",1,2)),
     unit_details[Leased Date],"&gt;="&amp;($AM$2-T$5),
     unit_details[Leased Date],"&lt;"&amp;$AM$2,
     unit_details[Beds],$L22,
     unit_details[Baths],$M22,
     unit_details[Partial Baths],IF(ISNUMBER($N22),$N22,""),
     unit_details[Sqft],$P22,
     unit_details[Property Name],$F22)
 ),"")</f>
        <v/>
      </c>
      <c r="V22" s="27" t="str">
        <f t="shared" si="10"/>
        <v/>
      </c>
      <c r="W22" s="526">
        <f>IFERROR(
  IF($F22="Total",
    SUM(INDEX(W:W, ROW()-COUNTIF($F$6:INDEX($F:$F, ROW()-1), $F21)) : INDEX(W:W, ROW()-1)),
    COUNTIFS(
      unit_details[Leased Date], "&gt;="&amp;($AM$2-T$5),
      unit_details[Leased Date], "&lt;"&amp;$AM$2,
      unit_details[Beds], $L22,
      unit_details[Baths], $M22,
      unit_details[Partial Baths], IF(ISNUMBER($N22), $N22, ""),
      unit_details[Sqft],$P22,
      unit_details[Property Name], $F22
    )
  ),
"")</f>
        <v>0</v>
      </c>
      <c r="X22" s="531" t="str">
        <f>IFERROR(
 IF($F22="Total",
   SUMPRODUCT(
   INDEX(X:X, ROW()-COUNTIF($F$6:INDEX($F:$F, ROW()-1), $F21)) : INDEX(X:X, ROW()-1),
   INDEX(AA:AA, ROW()-COUNTIF($F$6:INDEX($F:$F, ROW()-1), $F21)) : INDEX(AA:AA, ROW()-1)
   )
   /SUM(INDEX(AA:AA, ROW()-COUNTIF($F$6:INDEX($F:$F, ROW()-1), $F21)) : INDEX(AA:AA, ROW()-1)),
   AVERAGEIFS(
     INDEX((unit_details[Asking Rent],unit_details[Asking PSF]),0,1,IF($U$3="Chunk Rent",1,2)),
     unit_details[Leased Date],"&gt;="&amp;($AM$2-X$5),
     unit_details[Leased Date],"&lt;"&amp;$AM$2,
     unit_details[Beds],$L22,
     unit_details[Baths],$M22,
     unit_details[Partial Baths],IF(ISNUMBER($N22),$N22,""),
     unit_details[Sqft],$P22,
     unit_details[Property Name],$F22)
 ),"")</f>
        <v/>
      </c>
      <c r="Y22" s="552" t="str">
        <f>IFERROR(
 IF($F22="Total",
   SUMPRODUCT(
   INDEX(Y:Y, ROW()-COUNTIF($F$6:INDEX($F:$F, ROW()-1), $F21)) : INDEX(Y:Y, ROW()-1),
   INDEX(AA:AA, ROW()-COUNTIF($F$6:INDEX($F:$F, ROW()-1), $F21)) : INDEX(AA:AA, ROW()-1)
   )
   /SUM(INDEX(AA:AA, ROW()-COUNTIF($F$6:INDEX($F:$F, ROW()-1), $F21)) : INDEX(AA:AA, ROW()-1)),
   AVERAGEIFS(
     INDEX((unit_details[Effective Rent],unit_details[Effective PSF]),0,1,IF($U$3="Chunk Rent",1,2)),
     unit_details[Leased Date],"&gt;="&amp;($AM$2-X$5),
     unit_details[Leased Date],"&lt;"&amp;$AM$2,
     unit_details[Beds],$L22,
     unit_details[Baths],$M22,
     unit_details[Partial Baths],IF(ISNUMBER($N22),$N22,""),
     unit_details[Sqft],$P22,
     unit_details[Property Name],$F22)
 ),"")</f>
        <v/>
      </c>
      <c r="Z22" s="27" t="str">
        <f t="shared" si="11"/>
        <v/>
      </c>
      <c r="AA22" s="526">
        <f>IFERROR(
  IF($F22="Total",
    SUM(INDEX(AA:AA, ROW()-COUNTIF($F$6:INDEX($F:$F, ROW()-1), $F21)) : INDEX(AA:AA, ROW()-1)),
    COUNTIFS(
      unit_details[Leased Date], "&gt;="&amp;($AM$2-X$5),
      unit_details[Leased Date], "&lt;"&amp;$AM$2,
      unit_details[Beds], $L22,
      unit_details[Baths], $M22,
      unit_details[Partial Baths], IF(ISNUMBER($N22), $N22, ""),
      unit_details[Sqft],$P22,
      unit_details[Property Name], $F22
    )
  ),
"")</f>
        <v>0</v>
      </c>
      <c r="AB22" s="290">
        <f>IF($F22="Total",
SUM(INDEX(AB:AB, ROW()-COUNTIF($F$6:INDEX($F:$F, ROW()-1), $F21)) : INDEX(AB:AB, ROW()-1)),
COUNTIFS(unit_details[Active Listing?],TRUE,
          unit_details[Property Name], $F22,
          unit_details[Beds], $L22,
          unit_details[Baths], $M22,
          unit_details[Partial Baths],IF(ISNUMBER($N22),$N22,""),
          unit_details[Sqft],$P22))</f>
        <v>0</v>
      </c>
      <c r="AC22" s="27" t="str">
        <f t="shared" si="3"/>
        <v/>
      </c>
      <c r="AD22" s="293" t="str">
        <f>IFERROR(IF(AE22="","",IF($F22="Total",
SUMPRODUCT(
   INDEX(AD:AD, ROW()-COUNTIF($F$6:INDEX($F:$F, ROW()-1), $F21)) : INDEX(AD:AD, ROW()-1),
   INDEX(AB:AB, ROW()-COUNTIF($F$6:INDEX($F:$F, ROW()-1), $F21)) : INDEX(AB:AB, ROW()-1)
   )
   /SUM(INDEX(AB:AB, ROW()-COUNTIF($F$6:INDEX($F:$F, ROW()-1), $F21)) : INDEX(AB:AB, ROW()-1)),
          _xlfn.MINIFS(unit_details[Asking Rent],
          unit_details[Active Listing?],TRUE,
          unit_details[Property Name], $F22,
          unit_details[Beds], $L22,
          unit_details[Baths], $M22,
          unit_details[Partial Baths], IF(ISNUMBER($N22),$N22,""),
          unit_details[Sqft],$P22
))),"")</f>
        <v/>
      </c>
      <c r="AE22" s="5" t="str">
        <f>IFERROR(IF($F22="Total",
          SUMPRODUCT(
   INDEX(AE:AE, ROW()-COUNTIF($F$6:INDEX($F:$F, ROW()-1), $F21)) : INDEX(AE:AE, ROW()-1),
   INDEX(AB:AB, ROW()-COUNTIF($F$6:INDEX($F:$F, ROW()-1), $F21)) : INDEX(AB:AB, ROW()-1)
   )
   /SUM(INDEX(AB:AB, ROW()-COUNTIF($F$6:INDEX($F:$F, ROW()-1), $F21)) : INDEX(AB:AB, ROW()-1)),
          AVERAGEIFS(unit_details[Asking Rent],
          unit_details[Active Listing?],TRUE,
          unit_details[Property Name], $F22,
          unit_details[Beds], $L22,
          unit_details[Baths], $M22,
          unit_details[Partial Baths], IF(ISNUMBER($N22),$N22,""),
          unit_details[Sqft],$P22
)),"")</f>
        <v/>
      </c>
      <c r="AF22" s="5" t="str">
        <f>IFERROR(IF(AE22="","",IF($F22="Total",
SUMPRODUCT(
   INDEX(AF:AF, ROW()-COUNTIF($F$6:INDEX($F:$F, ROW()-1), $F21)) : INDEX(AF:AF, ROW()-1),
   INDEX(AB:AB, ROW()-COUNTIF($F$6:INDEX($F:$F, ROW()-1), $F21)) : INDEX(AB:AB, ROW()-1)
   )
   /SUM(INDEX(AB:AB, ROW()-COUNTIF($F$6:INDEX($F:$F, ROW()-1), $F21)) : INDEX(AB:AB, ROW()-1)),
           _xlfn.MAXIFS(unit_details[Asking Rent],
          unit_details[Active Listing?],TRUE,
          unit_details[Property Name], $F22,
          unit_details[Beds], $L22,
          unit_details[Baths], $M22,
          unit_details[Partial Baths], IF(ISNUMBER($N22),$N22,""),
          unit_details[Sqft],$P22
))),"")</f>
        <v/>
      </c>
      <c r="AG22" s="6" t="str">
        <f>IFERROR(IF($F22="Total",
         SUMPRODUCT(
         INDEX(AG:AG, ROW()-COUNTIF($F$6:INDEX($F:$F, ROW()-1), $F21)) : INDEX(AG:AG, ROW()-1),
         INDEX(AB:AB, ROW()-COUNTIF($F$6:INDEX($F:$F, ROW()-1), $F21)) : INDEX(AB:AB, ROW()-1)
         )
         /SUM(INDEX(AB:AB, ROW()-COUNTIF($F$6:INDEX($F:$F, ROW()-1), $F21)) : INDEX(AB:AB, ROW()-1)),
          AVERAGEIFS(unit_details[Asking PSF],
          unit_details[Active Listing?],TRUE,
          unit_details[Property Name], $F22,
          unit_details[Beds], $L22,
          unit_details[Baths], $M22,
          unit_details[Partial Baths], IF(ISNUMBER($N22),$N22,""),
          unit_details[Sqft],$P22
)),"")</f>
        <v/>
      </c>
      <c r="AH22" s="293" t="str">
        <f>IFERROR(IF($F22="Total",
         SUMPRODUCT(
         INDEX(AH:AH, ROW()-COUNTIF($F$6:INDEX($F:$F, ROW()-1), $F21)) : INDEX(AH:AH, ROW()-1),
         INDEX(AB:AB, ROW()-COUNTIF($F$6:INDEX($F:$F, ROW()-1), $F21)) : INDEX(AB:AB, ROW()-1)
         )
         /SUM(INDEX(AB:AB, ROW()-COUNTIF($F$6:INDEX($F:$F, ROW()-1), $F21)) : INDEX(AB:AB, ROW()-1)),
          AVERAGEIFS(unit_details[Effective Rent],
          unit_details[Active Listing?],TRUE,
          unit_details[Property Name], $F22,
          unit_details[Beds], $L22,
          unit_details[Baths], $M22,
          unit_details[Partial Baths], IF(ISNUMBER($N22),$N22,""),
          unit_details[Sqft],$P22
)),"")</f>
        <v/>
      </c>
      <c r="AI22" s="6" t="str">
        <f>IFERROR(IF($F22="Total",
         SUMPRODUCT(
         INDEX(AI:AI, ROW()-COUNTIF($F$6:INDEX($F:$F, ROW()-1), $F21)) : INDEX(AI:AI, ROW()-1),
         INDEX(AB:AB, ROW()-COUNTIF($F$6:INDEX($F:$F, ROW()-1), $F21)) : INDEX(AB:AB, ROW()-1)
         )
         /SUM(INDEX(AB:AB, ROW()-COUNTIF($F$6:INDEX($F:$F, ROW()-1), $F21)) : INDEX(AB:AB, ROW()-1)),
           AVERAGEIFS(unit_details[Effective PSF],
          unit_details[Active Listing?],TRUE,
          unit_details[Property Name], $F22,
          unit_details[Beds], $L22,
          unit_details[Baths], $M22,
          unit_details[Partial Baths], IF(ISNUMBER($N22),$N22,""),
          unit_details[Sqft],$P22
)),"")</f>
        <v/>
      </c>
      <c r="AJ22" s="824" t="str">
        <f t="shared" si="4"/>
        <v/>
      </c>
      <c r="AK22" s="531" t="str">
        <f t="shared" si="5"/>
        <v/>
      </c>
      <c r="AL22" s="714" t="str">
        <f t="shared" si="6"/>
        <v/>
      </c>
      <c r="AM22" s="531" t="str">
        <f t="shared" si="7"/>
        <v/>
      </c>
      <c r="AN22" s="716" t="str">
        <f t="shared" si="8"/>
        <v/>
      </c>
    </row>
    <row r="23" spans="2:40" x14ac:dyDescent="0.2">
      <c r="B23" s="719"/>
      <c r="C23" s="719"/>
      <c r="F23" s="1" t="str">
        <f t="shared" si="0"/>
        <v>(blank)</v>
      </c>
      <c r="G23" s="713" t="str">
        <f t="shared" si="9"/>
        <v/>
      </c>
      <c r="H23" s="17" t="str">
        <f>IFERROR(VLOOKUP($G23,Table1[[Property]:[Exposure %]],4,0),"")</f>
        <v/>
      </c>
      <c r="I23" s="3" t="str">
        <f>IFERROR(VLOOKUP($G23,Table1[[Property]:[Exposure %]],6,0),"")</f>
        <v/>
      </c>
      <c r="J23" s="3" t="str">
        <f>IFERROR(VLOOKUP($G23,Table1[[Property]:[Exposure %]],7,0),"")</f>
        <v/>
      </c>
      <c r="K23" s="932"/>
      <c r="L23" s="933">
        <v>2</v>
      </c>
      <c r="M23" s="934">
        <v>1</v>
      </c>
      <c r="N23" s="934" t="s">
        <v>191</v>
      </c>
      <c r="O23" s="932">
        <v>835</v>
      </c>
      <c r="P23" s="931">
        <v>835</v>
      </c>
      <c r="Q23" s="935">
        <v>0.15873015873015872</v>
      </c>
      <c r="R23" s="4" t="str">
        <f>IFERROR(VLOOKUP(IF(F23="Total",F22,F23),Table1[[Property]:['# Units]],7,0)*S23,"")</f>
        <v/>
      </c>
      <c r="S23" s="27">
        <f t="shared" si="2"/>
        <v>0.15873015873015872</v>
      </c>
      <c r="T23" s="531" t="str">
        <f>IFERROR(
 IF($F23="Total",
   SUMPRODUCT(
   INDEX(T:T, ROW()-COUNTIF($F$6:INDEX($F:$F, ROW()-1), $F22)) : INDEX(T:T, ROW()-1),
   INDEX(W:W, ROW()-COUNTIF($F$6:INDEX($F:$F, ROW()-1), $F22)) : INDEX(W:W, ROW()-1)
   )
   /SUM(INDEX(W:W, ROW()-COUNTIF($F$6:INDEX($F:$F, ROW()-1), $F22)) : INDEX(W:W, ROW()-1)),
   AVERAGEIFS(
     INDEX((unit_details[Asking Rent],unit_details[Asking PSF]),0,1,IF($U$3="Chunk Rent",1,2)),
     unit_details[Leased Date],"&gt;="&amp;($AM$2-T$5),
     unit_details[Leased Date],"&lt;"&amp;$AM$2,
     unit_details[Beds],$L23,
     unit_details[Baths],$M23,
     unit_details[Partial Baths],IF(ISNUMBER($N23),$N23,""),
     unit_details[Sqft],$P23,
     unit_details[Property Name],$F23)
 ),"")</f>
        <v/>
      </c>
      <c r="U23" s="552" t="str">
        <f>IFERROR(
 IF($F23="Total",
   SUMPRODUCT(
   INDEX(U:U, ROW()-COUNTIF($F$6:INDEX($F:$F, ROW()-1), $F22)) : INDEX(U:U, ROW()-1),
   INDEX(W:W, ROW()-COUNTIF($F$6:INDEX($F:$F, ROW()-1), $F22)) : INDEX(W:W, ROW()-1)
   )
   /SUM(INDEX(W:W, ROW()-COUNTIF($F$6:INDEX($F:$F, ROW()-1), $F22)) : INDEX(W:W, ROW()-1)),
   AVERAGEIFS(
     INDEX((unit_details[Effective Rent],unit_details[Effective PSF]),0,1,IF($U$3="Chunk Rent",1,2)),
     unit_details[Leased Date],"&gt;="&amp;($AM$2-T$5),
     unit_details[Leased Date],"&lt;"&amp;$AM$2,
     unit_details[Beds],$L23,
     unit_details[Baths],$M23,
     unit_details[Partial Baths],IF(ISNUMBER($N23),$N23,""),
     unit_details[Sqft],$P23,
     unit_details[Property Name],$F23)
 ),"")</f>
        <v/>
      </c>
      <c r="V23" s="27" t="str">
        <f t="shared" si="10"/>
        <v/>
      </c>
      <c r="W23" s="526">
        <f>IFERROR(
  IF($F23="Total",
    SUM(INDEX(W:W, ROW()-COUNTIF($F$6:INDEX($F:$F, ROW()-1), $F22)) : INDEX(W:W, ROW()-1)),
    COUNTIFS(
      unit_details[Leased Date], "&gt;="&amp;($AM$2-T$5),
      unit_details[Leased Date], "&lt;"&amp;$AM$2,
      unit_details[Beds], $L23,
      unit_details[Baths], $M23,
      unit_details[Partial Baths], IF(ISNUMBER($N23), $N23, ""),
      unit_details[Sqft],$P23,
      unit_details[Property Name], $F23
    )
  ),
"")</f>
        <v>0</v>
      </c>
      <c r="X23" s="531" t="str">
        <f>IFERROR(
 IF($F23="Total",
   SUMPRODUCT(
   INDEX(X:X, ROW()-COUNTIF($F$6:INDEX($F:$F, ROW()-1), $F22)) : INDEX(X:X, ROW()-1),
   INDEX(AA:AA, ROW()-COUNTIF($F$6:INDEX($F:$F, ROW()-1), $F22)) : INDEX(AA:AA, ROW()-1)
   )
   /SUM(INDEX(AA:AA, ROW()-COUNTIF($F$6:INDEX($F:$F, ROW()-1), $F22)) : INDEX(AA:AA, ROW()-1)),
   AVERAGEIFS(
     INDEX((unit_details[Asking Rent],unit_details[Asking PSF]),0,1,IF($U$3="Chunk Rent",1,2)),
     unit_details[Leased Date],"&gt;="&amp;($AM$2-X$5),
     unit_details[Leased Date],"&lt;"&amp;$AM$2,
     unit_details[Beds],$L23,
     unit_details[Baths],$M23,
     unit_details[Partial Baths],IF(ISNUMBER($N23),$N23,""),
     unit_details[Sqft],$P23,
     unit_details[Property Name],$F23)
 ),"")</f>
        <v/>
      </c>
      <c r="Y23" s="552" t="str">
        <f>IFERROR(
 IF($F23="Total",
   SUMPRODUCT(
   INDEX(Y:Y, ROW()-COUNTIF($F$6:INDEX($F:$F, ROW()-1), $F22)) : INDEX(Y:Y, ROW()-1),
   INDEX(AA:AA, ROW()-COUNTIF($F$6:INDEX($F:$F, ROW()-1), $F22)) : INDEX(AA:AA, ROW()-1)
   )
   /SUM(INDEX(AA:AA, ROW()-COUNTIF($F$6:INDEX($F:$F, ROW()-1), $F22)) : INDEX(AA:AA, ROW()-1)),
   AVERAGEIFS(
     INDEX((unit_details[Effective Rent],unit_details[Effective PSF]),0,1,IF($U$3="Chunk Rent",1,2)),
     unit_details[Leased Date],"&gt;="&amp;($AM$2-X$5),
     unit_details[Leased Date],"&lt;"&amp;$AM$2,
     unit_details[Beds],$L23,
     unit_details[Baths],$M23,
     unit_details[Partial Baths],IF(ISNUMBER($N23),$N23,""),
     unit_details[Sqft],$P23,
     unit_details[Property Name],$F23)
 ),"")</f>
        <v/>
      </c>
      <c r="Z23" s="27" t="str">
        <f t="shared" si="11"/>
        <v/>
      </c>
      <c r="AA23" s="526">
        <f>IFERROR(
  IF($F23="Total",
    SUM(INDEX(AA:AA, ROW()-COUNTIF($F$6:INDEX($F:$F, ROW()-1), $F22)) : INDEX(AA:AA, ROW()-1)),
    COUNTIFS(
      unit_details[Leased Date], "&gt;="&amp;($AM$2-X$5),
      unit_details[Leased Date], "&lt;"&amp;$AM$2,
      unit_details[Beds], $L23,
      unit_details[Baths], $M23,
      unit_details[Partial Baths], IF(ISNUMBER($N23), $N23, ""),
      unit_details[Sqft],$P23,
      unit_details[Property Name], $F23
    )
  ),
"")</f>
        <v>0</v>
      </c>
      <c r="AB23" s="290">
        <f>IF($F23="Total",
SUM(INDEX(AB:AB, ROW()-COUNTIF($F$6:INDEX($F:$F, ROW()-1), $F22)) : INDEX(AB:AB, ROW()-1)),
COUNTIFS(unit_details[Active Listing?],TRUE,
          unit_details[Property Name], $F23,
          unit_details[Beds], $L23,
          unit_details[Baths], $M23,
          unit_details[Partial Baths],IF(ISNUMBER($N23),$N23,""),
          unit_details[Sqft],$P23))</f>
        <v>0</v>
      </c>
      <c r="AC23" s="27" t="str">
        <f t="shared" si="3"/>
        <v/>
      </c>
      <c r="AD23" s="293" t="str">
        <f>IFERROR(IF(AE23="","",IF($F23="Total",
SUMPRODUCT(
   INDEX(AD:AD, ROW()-COUNTIF($F$6:INDEX($F:$F, ROW()-1), $F22)) : INDEX(AD:AD, ROW()-1),
   INDEX(AB:AB, ROW()-COUNTIF($F$6:INDEX($F:$F, ROW()-1), $F22)) : INDEX(AB:AB, ROW()-1)
   )
   /SUM(INDEX(AB:AB, ROW()-COUNTIF($F$6:INDEX($F:$F, ROW()-1), $F22)) : INDEX(AB:AB, ROW()-1)),
          _xlfn.MINIFS(unit_details[Asking Rent],
          unit_details[Active Listing?],TRUE,
          unit_details[Property Name], $F23,
          unit_details[Beds], $L23,
          unit_details[Baths], $M23,
          unit_details[Partial Baths], IF(ISNUMBER($N23),$N23,""),
          unit_details[Sqft],$P23
))),"")</f>
        <v/>
      </c>
      <c r="AE23" s="5" t="str">
        <f>IFERROR(IF($F23="Total",
          SUMPRODUCT(
   INDEX(AE:AE, ROW()-COUNTIF($F$6:INDEX($F:$F, ROW()-1), $F22)) : INDEX(AE:AE, ROW()-1),
   INDEX(AB:AB, ROW()-COUNTIF($F$6:INDEX($F:$F, ROW()-1), $F22)) : INDEX(AB:AB, ROW()-1)
   )
   /SUM(INDEX(AB:AB, ROW()-COUNTIF($F$6:INDEX($F:$F, ROW()-1), $F22)) : INDEX(AB:AB, ROW()-1)),
          AVERAGEIFS(unit_details[Asking Rent],
          unit_details[Active Listing?],TRUE,
          unit_details[Property Name], $F23,
          unit_details[Beds], $L23,
          unit_details[Baths], $M23,
          unit_details[Partial Baths], IF(ISNUMBER($N23),$N23,""),
          unit_details[Sqft],$P23
)),"")</f>
        <v/>
      </c>
      <c r="AF23" s="5" t="str">
        <f>IFERROR(IF(AE23="","",IF($F23="Total",
SUMPRODUCT(
   INDEX(AF:AF, ROW()-COUNTIF($F$6:INDEX($F:$F, ROW()-1), $F22)) : INDEX(AF:AF, ROW()-1),
   INDEX(AB:AB, ROW()-COUNTIF($F$6:INDEX($F:$F, ROW()-1), $F22)) : INDEX(AB:AB, ROW()-1)
   )
   /SUM(INDEX(AB:AB, ROW()-COUNTIF($F$6:INDEX($F:$F, ROW()-1), $F22)) : INDEX(AB:AB, ROW()-1)),
           _xlfn.MAXIFS(unit_details[Asking Rent],
          unit_details[Active Listing?],TRUE,
          unit_details[Property Name], $F23,
          unit_details[Beds], $L23,
          unit_details[Baths], $M23,
          unit_details[Partial Baths], IF(ISNUMBER($N23),$N23,""),
          unit_details[Sqft],$P23
))),"")</f>
        <v/>
      </c>
      <c r="AG23" s="6" t="str">
        <f>IFERROR(IF($F23="Total",
         SUMPRODUCT(
         INDEX(AG:AG, ROW()-COUNTIF($F$6:INDEX($F:$F, ROW()-1), $F22)) : INDEX(AG:AG, ROW()-1),
         INDEX(AB:AB, ROW()-COUNTIF($F$6:INDEX($F:$F, ROW()-1), $F22)) : INDEX(AB:AB, ROW()-1)
         )
         /SUM(INDEX(AB:AB, ROW()-COUNTIF($F$6:INDEX($F:$F, ROW()-1), $F22)) : INDEX(AB:AB, ROW()-1)),
          AVERAGEIFS(unit_details[Asking PSF],
          unit_details[Active Listing?],TRUE,
          unit_details[Property Name], $F23,
          unit_details[Beds], $L23,
          unit_details[Baths], $M23,
          unit_details[Partial Baths], IF(ISNUMBER($N23),$N23,""),
          unit_details[Sqft],$P23
)),"")</f>
        <v/>
      </c>
      <c r="AH23" s="293" t="str">
        <f>IFERROR(IF($F23="Total",
         SUMPRODUCT(
         INDEX(AH:AH, ROW()-COUNTIF($F$6:INDEX($F:$F, ROW()-1), $F22)) : INDEX(AH:AH, ROW()-1),
         INDEX(AB:AB, ROW()-COUNTIF($F$6:INDEX($F:$F, ROW()-1), $F22)) : INDEX(AB:AB, ROW()-1)
         )
         /SUM(INDEX(AB:AB, ROW()-COUNTIF($F$6:INDEX($F:$F, ROW()-1), $F22)) : INDEX(AB:AB, ROW()-1)),
          AVERAGEIFS(unit_details[Effective Rent],
          unit_details[Active Listing?],TRUE,
          unit_details[Property Name], $F23,
          unit_details[Beds], $L23,
          unit_details[Baths], $M23,
          unit_details[Partial Baths], IF(ISNUMBER($N23),$N23,""),
          unit_details[Sqft],$P23
)),"")</f>
        <v/>
      </c>
      <c r="AI23" s="6" t="str">
        <f>IFERROR(IF($F23="Total",
         SUMPRODUCT(
         INDEX(AI:AI, ROW()-COUNTIF($F$6:INDEX($F:$F, ROW()-1), $F22)) : INDEX(AI:AI, ROW()-1),
         INDEX(AB:AB, ROW()-COUNTIF($F$6:INDEX($F:$F, ROW()-1), $F22)) : INDEX(AB:AB, ROW()-1)
         )
         /SUM(INDEX(AB:AB, ROW()-COUNTIF($F$6:INDEX($F:$F, ROW()-1), $F22)) : INDEX(AB:AB, ROW()-1)),
           AVERAGEIFS(unit_details[Effective PSF],
          unit_details[Active Listing?],TRUE,
          unit_details[Property Name], $F23,
          unit_details[Beds], $L23,
          unit_details[Baths], $M23,
          unit_details[Partial Baths], IF(ISNUMBER($N23),$N23,""),
          unit_details[Sqft],$P23
)),"")</f>
        <v/>
      </c>
      <c r="AJ23" s="824" t="str">
        <f t="shared" si="4"/>
        <v/>
      </c>
      <c r="AK23" s="531" t="str">
        <f t="shared" si="5"/>
        <v/>
      </c>
      <c r="AL23" s="714" t="str">
        <f t="shared" si="6"/>
        <v/>
      </c>
      <c r="AM23" s="531" t="str">
        <f t="shared" si="7"/>
        <v/>
      </c>
      <c r="AN23" s="716" t="str">
        <f t="shared" si="8"/>
        <v/>
      </c>
    </row>
    <row r="24" spans="2:40" x14ac:dyDescent="0.2">
      <c r="B24" s="719"/>
      <c r="C24" s="719"/>
      <c r="F24" s="1" t="str">
        <f t="shared" si="0"/>
        <v>(blank)</v>
      </c>
      <c r="G24" s="713" t="str">
        <f t="shared" si="9"/>
        <v/>
      </c>
      <c r="H24" s="17" t="str">
        <f>IFERROR(VLOOKUP($G24,Table1[[Property]:[Exposure %]],4,0),"")</f>
        <v/>
      </c>
      <c r="I24" s="3" t="str">
        <f>IFERROR(VLOOKUP($G24,Table1[[Property]:[Exposure %]],6,0),"")</f>
        <v/>
      </c>
      <c r="J24" s="3" t="str">
        <f>IFERROR(VLOOKUP($G24,Table1[[Property]:[Exposure %]],7,0),"")</f>
        <v/>
      </c>
      <c r="K24" s="932"/>
      <c r="L24" s="933">
        <v>2</v>
      </c>
      <c r="M24" s="934">
        <v>1</v>
      </c>
      <c r="N24" s="934" t="s">
        <v>191</v>
      </c>
      <c r="O24" s="932">
        <v>900</v>
      </c>
      <c r="P24" s="931">
        <v>900</v>
      </c>
      <c r="Q24" s="935">
        <v>0.12698412698412698</v>
      </c>
      <c r="R24" s="4" t="str">
        <f>IFERROR(VLOOKUP(IF(F24="Total",F23,F24),Table1[[Property]:['# Units]],7,0)*S24,"")</f>
        <v/>
      </c>
      <c r="S24" s="27">
        <f t="shared" si="2"/>
        <v>0.12698412698412698</v>
      </c>
      <c r="T24" s="531" t="str">
        <f>IFERROR(
 IF($F24="Total",
   SUMPRODUCT(
   INDEX(T:T, ROW()-COUNTIF($F$6:INDEX($F:$F, ROW()-1), $F23)) : INDEX(T:T, ROW()-1),
   INDEX(W:W, ROW()-COUNTIF($F$6:INDEX($F:$F, ROW()-1), $F23)) : INDEX(W:W, ROW()-1)
   )
   /SUM(INDEX(W:W, ROW()-COUNTIF($F$6:INDEX($F:$F, ROW()-1), $F23)) : INDEX(W:W, ROW()-1)),
   AVERAGEIFS(
     INDEX((unit_details[Asking Rent],unit_details[Asking PSF]),0,1,IF($U$3="Chunk Rent",1,2)),
     unit_details[Leased Date],"&gt;="&amp;($AM$2-T$5),
     unit_details[Leased Date],"&lt;"&amp;$AM$2,
     unit_details[Beds],$L24,
     unit_details[Baths],$M24,
     unit_details[Partial Baths],IF(ISNUMBER($N24),$N24,""),
     unit_details[Sqft],$P24,
     unit_details[Property Name],$F24)
 ),"")</f>
        <v/>
      </c>
      <c r="U24" s="552" t="str">
        <f>IFERROR(
 IF($F24="Total",
   SUMPRODUCT(
   INDEX(U:U, ROW()-COUNTIF($F$6:INDEX($F:$F, ROW()-1), $F23)) : INDEX(U:U, ROW()-1),
   INDEX(W:W, ROW()-COUNTIF($F$6:INDEX($F:$F, ROW()-1), $F23)) : INDEX(W:W, ROW()-1)
   )
   /SUM(INDEX(W:W, ROW()-COUNTIF($F$6:INDEX($F:$F, ROW()-1), $F23)) : INDEX(W:W, ROW()-1)),
   AVERAGEIFS(
     INDEX((unit_details[Effective Rent],unit_details[Effective PSF]),0,1,IF($U$3="Chunk Rent",1,2)),
     unit_details[Leased Date],"&gt;="&amp;($AM$2-T$5),
     unit_details[Leased Date],"&lt;"&amp;$AM$2,
     unit_details[Beds],$L24,
     unit_details[Baths],$M24,
     unit_details[Partial Baths],IF(ISNUMBER($N24),$N24,""),
     unit_details[Sqft],$P24,
     unit_details[Property Name],$F24)
 ),"")</f>
        <v/>
      </c>
      <c r="V24" s="27" t="str">
        <f t="shared" si="10"/>
        <v/>
      </c>
      <c r="W24" s="526">
        <f>IFERROR(
  IF($F24="Total",
    SUM(INDEX(W:W, ROW()-COUNTIF($F$6:INDEX($F:$F, ROW()-1), $F23)) : INDEX(W:W, ROW()-1)),
    COUNTIFS(
      unit_details[Leased Date], "&gt;="&amp;($AM$2-T$5),
      unit_details[Leased Date], "&lt;"&amp;$AM$2,
      unit_details[Beds], $L24,
      unit_details[Baths], $M24,
      unit_details[Partial Baths], IF(ISNUMBER($N24), $N24, ""),
      unit_details[Sqft],$P24,
      unit_details[Property Name], $F24
    )
  ),
"")</f>
        <v>0</v>
      </c>
      <c r="X24" s="531" t="str">
        <f>IFERROR(
 IF($F24="Total",
   SUMPRODUCT(
   INDEX(X:X, ROW()-COUNTIF($F$6:INDEX($F:$F, ROW()-1), $F23)) : INDEX(X:X, ROW()-1),
   INDEX(AA:AA, ROW()-COUNTIF($F$6:INDEX($F:$F, ROW()-1), $F23)) : INDEX(AA:AA, ROW()-1)
   )
   /SUM(INDEX(AA:AA, ROW()-COUNTIF($F$6:INDEX($F:$F, ROW()-1), $F23)) : INDEX(AA:AA, ROW()-1)),
   AVERAGEIFS(
     INDEX((unit_details[Asking Rent],unit_details[Asking PSF]),0,1,IF($U$3="Chunk Rent",1,2)),
     unit_details[Leased Date],"&gt;="&amp;($AM$2-X$5),
     unit_details[Leased Date],"&lt;"&amp;$AM$2,
     unit_details[Beds],$L24,
     unit_details[Baths],$M24,
     unit_details[Partial Baths],IF(ISNUMBER($N24),$N24,""),
     unit_details[Sqft],$P24,
     unit_details[Property Name],$F24)
 ),"")</f>
        <v/>
      </c>
      <c r="Y24" s="552" t="str">
        <f>IFERROR(
 IF($F24="Total",
   SUMPRODUCT(
   INDEX(Y:Y, ROW()-COUNTIF($F$6:INDEX($F:$F, ROW()-1), $F23)) : INDEX(Y:Y, ROW()-1),
   INDEX(AA:AA, ROW()-COUNTIF($F$6:INDEX($F:$F, ROW()-1), $F23)) : INDEX(AA:AA, ROW()-1)
   )
   /SUM(INDEX(AA:AA, ROW()-COUNTIF($F$6:INDEX($F:$F, ROW()-1), $F23)) : INDEX(AA:AA, ROW()-1)),
   AVERAGEIFS(
     INDEX((unit_details[Effective Rent],unit_details[Effective PSF]),0,1,IF($U$3="Chunk Rent",1,2)),
     unit_details[Leased Date],"&gt;="&amp;($AM$2-X$5),
     unit_details[Leased Date],"&lt;"&amp;$AM$2,
     unit_details[Beds],$L24,
     unit_details[Baths],$M24,
     unit_details[Partial Baths],IF(ISNUMBER($N24),$N24,""),
     unit_details[Sqft],$P24,
     unit_details[Property Name],$F24)
 ),"")</f>
        <v/>
      </c>
      <c r="Z24" s="27" t="str">
        <f t="shared" si="11"/>
        <v/>
      </c>
      <c r="AA24" s="526">
        <f>IFERROR(
  IF($F24="Total",
    SUM(INDEX(AA:AA, ROW()-COUNTIF($F$6:INDEX($F:$F, ROW()-1), $F23)) : INDEX(AA:AA, ROW()-1)),
    COUNTIFS(
      unit_details[Leased Date], "&gt;="&amp;($AM$2-X$5),
      unit_details[Leased Date], "&lt;"&amp;$AM$2,
      unit_details[Beds], $L24,
      unit_details[Baths], $M24,
      unit_details[Partial Baths], IF(ISNUMBER($N24), $N24, ""),
      unit_details[Sqft],$P24,
      unit_details[Property Name], $F24
    )
  ),
"")</f>
        <v>0</v>
      </c>
      <c r="AB24" s="290">
        <f>IF($F24="Total",
SUM(INDEX(AB:AB, ROW()-COUNTIF($F$6:INDEX($F:$F, ROW()-1), $F23)) : INDEX(AB:AB, ROW()-1)),
COUNTIFS(unit_details[Active Listing?],TRUE,
          unit_details[Property Name], $F24,
          unit_details[Beds], $L24,
          unit_details[Baths], $M24,
          unit_details[Partial Baths],IF(ISNUMBER($N24),$N24,""),
          unit_details[Sqft],$P24))</f>
        <v>0</v>
      </c>
      <c r="AC24" s="27" t="str">
        <f t="shared" si="3"/>
        <v/>
      </c>
      <c r="AD24" s="293" t="str">
        <f>IFERROR(IF(AE24="","",IF($F24="Total",
SUMPRODUCT(
   INDEX(AD:AD, ROW()-COUNTIF($F$6:INDEX($F:$F, ROW()-1), $F23)) : INDEX(AD:AD, ROW()-1),
   INDEX(AB:AB, ROW()-COUNTIF($F$6:INDEX($F:$F, ROW()-1), $F23)) : INDEX(AB:AB, ROW()-1)
   )
   /SUM(INDEX(AB:AB, ROW()-COUNTIF($F$6:INDEX($F:$F, ROW()-1), $F23)) : INDEX(AB:AB, ROW()-1)),
          _xlfn.MINIFS(unit_details[Asking Rent],
          unit_details[Active Listing?],TRUE,
          unit_details[Property Name], $F24,
          unit_details[Beds], $L24,
          unit_details[Baths], $M24,
          unit_details[Partial Baths], IF(ISNUMBER($N24),$N24,""),
          unit_details[Sqft],$P24
))),"")</f>
        <v/>
      </c>
      <c r="AE24" s="5" t="str">
        <f>IFERROR(IF($F24="Total",
          SUMPRODUCT(
   INDEX(AE:AE, ROW()-COUNTIF($F$6:INDEX($F:$F, ROW()-1), $F23)) : INDEX(AE:AE, ROW()-1),
   INDEX(AB:AB, ROW()-COUNTIF($F$6:INDEX($F:$F, ROW()-1), $F23)) : INDEX(AB:AB, ROW()-1)
   )
   /SUM(INDEX(AB:AB, ROW()-COUNTIF($F$6:INDEX($F:$F, ROW()-1), $F23)) : INDEX(AB:AB, ROW()-1)),
          AVERAGEIFS(unit_details[Asking Rent],
          unit_details[Active Listing?],TRUE,
          unit_details[Property Name], $F24,
          unit_details[Beds], $L24,
          unit_details[Baths], $M24,
          unit_details[Partial Baths], IF(ISNUMBER($N24),$N24,""),
          unit_details[Sqft],$P24
)),"")</f>
        <v/>
      </c>
      <c r="AF24" s="5" t="str">
        <f>IFERROR(IF(AE24="","",IF($F24="Total",
SUMPRODUCT(
   INDEX(AF:AF, ROW()-COUNTIF($F$6:INDEX($F:$F, ROW()-1), $F23)) : INDEX(AF:AF, ROW()-1),
   INDEX(AB:AB, ROW()-COUNTIF($F$6:INDEX($F:$F, ROW()-1), $F23)) : INDEX(AB:AB, ROW()-1)
   )
   /SUM(INDEX(AB:AB, ROW()-COUNTIF($F$6:INDEX($F:$F, ROW()-1), $F23)) : INDEX(AB:AB, ROW()-1)),
           _xlfn.MAXIFS(unit_details[Asking Rent],
          unit_details[Active Listing?],TRUE,
          unit_details[Property Name], $F24,
          unit_details[Beds], $L24,
          unit_details[Baths], $M24,
          unit_details[Partial Baths], IF(ISNUMBER($N24),$N24,""),
          unit_details[Sqft],$P24
))),"")</f>
        <v/>
      </c>
      <c r="AG24" s="6" t="str">
        <f>IFERROR(IF($F24="Total",
         SUMPRODUCT(
         INDEX(AG:AG, ROW()-COUNTIF($F$6:INDEX($F:$F, ROW()-1), $F23)) : INDEX(AG:AG, ROW()-1),
         INDEX(AB:AB, ROW()-COUNTIF($F$6:INDEX($F:$F, ROW()-1), $F23)) : INDEX(AB:AB, ROW()-1)
         )
         /SUM(INDEX(AB:AB, ROW()-COUNTIF($F$6:INDEX($F:$F, ROW()-1), $F23)) : INDEX(AB:AB, ROW()-1)),
          AVERAGEIFS(unit_details[Asking PSF],
          unit_details[Active Listing?],TRUE,
          unit_details[Property Name], $F24,
          unit_details[Beds], $L24,
          unit_details[Baths], $M24,
          unit_details[Partial Baths], IF(ISNUMBER($N24),$N24,""),
          unit_details[Sqft],$P24
)),"")</f>
        <v/>
      </c>
      <c r="AH24" s="293" t="str">
        <f>IFERROR(IF($F24="Total",
         SUMPRODUCT(
         INDEX(AH:AH, ROW()-COUNTIF($F$6:INDEX($F:$F, ROW()-1), $F23)) : INDEX(AH:AH, ROW()-1),
         INDEX(AB:AB, ROW()-COUNTIF($F$6:INDEX($F:$F, ROW()-1), $F23)) : INDEX(AB:AB, ROW()-1)
         )
         /SUM(INDEX(AB:AB, ROW()-COUNTIF($F$6:INDEX($F:$F, ROW()-1), $F23)) : INDEX(AB:AB, ROW()-1)),
          AVERAGEIFS(unit_details[Effective Rent],
          unit_details[Active Listing?],TRUE,
          unit_details[Property Name], $F24,
          unit_details[Beds], $L24,
          unit_details[Baths], $M24,
          unit_details[Partial Baths], IF(ISNUMBER($N24),$N24,""),
          unit_details[Sqft],$P24
)),"")</f>
        <v/>
      </c>
      <c r="AI24" s="6" t="str">
        <f>IFERROR(IF($F24="Total",
         SUMPRODUCT(
         INDEX(AI:AI, ROW()-COUNTIF($F$6:INDEX($F:$F, ROW()-1), $F23)) : INDEX(AI:AI, ROW()-1),
         INDEX(AB:AB, ROW()-COUNTIF($F$6:INDEX($F:$F, ROW()-1), $F23)) : INDEX(AB:AB, ROW()-1)
         )
         /SUM(INDEX(AB:AB, ROW()-COUNTIF($F$6:INDEX($F:$F, ROW()-1), $F23)) : INDEX(AB:AB, ROW()-1)),
           AVERAGEIFS(unit_details[Effective PSF],
          unit_details[Active Listing?],TRUE,
          unit_details[Property Name], $F24,
          unit_details[Beds], $L24,
          unit_details[Baths], $M24,
          unit_details[Partial Baths], IF(ISNUMBER($N24),$N24,""),
          unit_details[Sqft],$P24
)),"")</f>
        <v/>
      </c>
      <c r="AJ24" s="824" t="str">
        <f t="shared" si="4"/>
        <v/>
      </c>
      <c r="AK24" s="531" t="str">
        <f t="shared" si="5"/>
        <v/>
      </c>
      <c r="AL24" s="714" t="str">
        <f t="shared" si="6"/>
        <v/>
      </c>
      <c r="AM24" s="531" t="str">
        <f t="shared" si="7"/>
        <v/>
      </c>
      <c r="AN24" s="716" t="str">
        <f t="shared" si="8"/>
        <v/>
      </c>
    </row>
    <row r="25" spans="2:40" x14ac:dyDescent="0.2">
      <c r="B25" s="719"/>
      <c r="C25" s="719"/>
      <c r="F25" s="1" t="str">
        <f t="shared" si="0"/>
        <v>(blank)</v>
      </c>
      <c r="G25" s="713" t="str">
        <f t="shared" si="9"/>
        <v/>
      </c>
      <c r="H25" s="17" t="str">
        <f>IFERROR(VLOOKUP($G25,Table1[[Property]:[Exposure %]],4,0),"")</f>
        <v/>
      </c>
      <c r="I25" s="3" t="str">
        <f>IFERROR(VLOOKUP($G25,Table1[[Property]:[Exposure %]],6,0),"")</f>
        <v/>
      </c>
      <c r="J25" s="3" t="str">
        <f>IFERROR(VLOOKUP($G25,Table1[[Property]:[Exposure %]],7,0),"")</f>
        <v/>
      </c>
      <c r="K25" s="932"/>
      <c r="L25" s="933">
        <v>2</v>
      </c>
      <c r="M25" s="934">
        <v>1</v>
      </c>
      <c r="N25" s="934" t="s">
        <v>191</v>
      </c>
      <c r="O25" s="932">
        <v>936</v>
      </c>
      <c r="P25" s="931">
        <v>936</v>
      </c>
      <c r="Q25" s="935">
        <v>1.5873015873015872E-2</v>
      </c>
      <c r="R25" s="4" t="str">
        <f>IFERROR(VLOOKUP(IF(F25="Total",F24,F25),Table1[[Property]:['# Units]],7,0)*S25,"")</f>
        <v/>
      </c>
      <c r="S25" s="27">
        <f t="shared" si="2"/>
        <v>1.5873015873015872E-2</v>
      </c>
      <c r="T25" s="531" t="str">
        <f>IFERROR(
 IF($F25="Total",
   SUMPRODUCT(
   INDEX(T:T, ROW()-COUNTIF($F$6:INDEX($F:$F, ROW()-1), $F24)) : INDEX(T:T, ROW()-1),
   INDEX(W:W, ROW()-COUNTIF($F$6:INDEX($F:$F, ROW()-1), $F24)) : INDEX(W:W, ROW()-1)
   )
   /SUM(INDEX(W:W, ROW()-COUNTIF($F$6:INDEX($F:$F, ROW()-1), $F24)) : INDEX(W:W, ROW()-1)),
   AVERAGEIFS(
     INDEX((unit_details[Asking Rent],unit_details[Asking PSF]),0,1,IF($U$3="Chunk Rent",1,2)),
     unit_details[Leased Date],"&gt;="&amp;($AM$2-T$5),
     unit_details[Leased Date],"&lt;"&amp;$AM$2,
     unit_details[Beds],$L25,
     unit_details[Baths],$M25,
     unit_details[Partial Baths],IF(ISNUMBER($N25),$N25,""),
     unit_details[Sqft],$P25,
     unit_details[Property Name],$F25)
 ),"")</f>
        <v/>
      </c>
      <c r="U25" s="552" t="str">
        <f>IFERROR(
 IF($F25="Total",
   SUMPRODUCT(
   INDEX(U:U, ROW()-COUNTIF($F$6:INDEX($F:$F, ROW()-1), $F24)) : INDEX(U:U, ROW()-1),
   INDEX(W:W, ROW()-COUNTIF($F$6:INDEX($F:$F, ROW()-1), $F24)) : INDEX(W:W, ROW()-1)
   )
   /SUM(INDEX(W:W, ROW()-COUNTIF($F$6:INDEX($F:$F, ROW()-1), $F24)) : INDEX(W:W, ROW()-1)),
   AVERAGEIFS(
     INDEX((unit_details[Effective Rent],unit_details[Effective PSF]),0,1,IF($U$3="Chunk Rent",1,2)),
     unit_details[Leased Date],"&gt;="&amp;($AM$2-T$5),
     unit_details[Leased Date],"&lt;"&amp;$AM$2,
     unit_details[Beds],$L25,
     unit_details[Baths],$M25,
     unit_details[Partial Baths],IF(ISNUMBER($N25),$N25,""),
     unit_details[Sqft],$P25,
     unit_details[Property Name],$F25)
 ),"")</f>
        <v/>
      </c>
      <c r="V25" s="27" t="str">
        <f t="shared" si="10"/>
        <v/>
      </c>
      <c r="W25" s="526">
        <f>IFERROR(
  IF($F25="Total",
    SUM(INDEX(W:W, ROW()-COUNTIF($F$6:INDEX($F:$F, ROW()-1), $F24)) : INDEX(W:W, ROW()-1)),
    COUNTIFS(
      unit_details[Leased Date], "&gt;="&amp;($AM$2-T$5),
      unit_details[Leased Date], "&lt;"&amp;$AM$2,
      unit_details[Beds], $L25,
      unit_details[Baths], $M25,
      unit_details[Partial Baths], IF(ISNUMBER($N25), $N25, ""),
      unit_details[Sqft],$P25,
      unit_details[Property Name], $F25
    )
  ),
"")</f>
        <v>0</v>
      </c>
      <c r="X25" s="531" t="str">
        <f>IFERROR(
 IF($F25="Total",
   SUMPRODUCT(
   INDEX(X:X, ROW()-COUNTIF($F$6:INDEX($F:$F, ROW()-1), $F24)) : INDEX(X:X, ROW()-1),
   INDEX(AA:AA, ROW()-COUNTIF($F$6:INDEX($F:$F, ROW()-1), $F24)) : INDEX(AA:AA, ROW()-1)
   )
   /SUM(INDEX(AA:AA, ROW()-COUNTIF($F$6:INDEX($F:$F, ROW()-1), $F24)) : INDEX(AA:AA, ROW()-1)),
   AVERAGEIFS(
     INDEX((unit_details[Asking Rent],unit_details[Asking PSF]),0,1,IF($U$3="Chunk Rent",1,2)),
     unit_details[Leased Date],"&gt;="&amp;($AM$2-X$5),
     unit_details[Leased Date],"&lt;"&amp;$AM$2,
     unit_details[Beds],$L25,
     unit_details[Baths],$M25,
     unit_details[Partial Baths],IF(ISNUMBER($N25),$N25,""),
     unit_details[Sqft],$P25,
     unit_details[Property Name],$F25)
 ),"")</f>
        <v/>
      </c>
      <c r="Y25" s="552" t="str">
        <f>IFERROR(
 IF($F25="Total",
   SUMPRODUCT(
   INDEX(Y:Y, ROW()-COUNTIF($F$6:INDEX($F:$F, ROW()-1), $F24)) : INDEX(Y:Y, ROW()-1),
   INDEX(AA:AA, ROW()-COUNTIF($F$6:INDEX($F:$F, ROW()-1), $F24)) : INDEX(AA:AA, ROW()-1)
   )
   /SUM(INDEX(AA:AA, ROW()-COUNTIF($F$6:INDEX($F:$F, ROW()-1), $F24)) : INDEX(AA:AA, ROW()-1)),
   AVERAGEIFS(
     INDEX((unit_details[Effective Rent],unit_details[Effective PSF]),0,1,IF($U$3="Chunk Rent",1,2)),
     unit_details[Leased Date],"&gt;="&amp;($AM$2-X$5),
     unit_details[Leased Date],"&lt;"&amp;$AM$2,
     unit_details[Beds],$L25,
     unit_details[Baths],$M25,
     unit_details[Partial Baths],IF(ISNUMBER($N25),$N25,""),
     unit_details[Sqft],$P25,
     unit_details[Property Name],$F25)
 ),"")</f>
        <v/>
      </c>
      <c r="Z25" s="27" t="str">
        <f t="shared" si="11"/>
        <v/>
      </c>
      <c r="AA25" s="526">
        <f>IFERROR(
  IF($F25="Total",
    SUM(INDEX(AA:AA, ROW()-COUNTIF($F$6:INDEX($F:$F, ROW()-1), $F24)) : INDEX(AA:AA, ROW()-1)),
    COUNTIFS(
      unit_details[Leased Date], "&gt;="&amp;($AM$2-X$5),
      unit_details[Leased Date], "&lt;"&amp;$AM$2,
      unit_details[Beds], $L25,
      unit_details[Baths], $M25,
      unit_details[Partial Baths], IF(ISNUMBER($N25), $N25, ""),
      unit_details[Sqft],$P25,
      unit_details[Property Name], $F25
    )
  ),
"")</f>
        <v>0</v>
      </c>
      <c r="AB25" s="290">
        <f>IF($F25="Total",
SUM(INDEX(AB:AB, ROW()-COUNTIF($F$6:INDEX($F:$F, ROW()-1), $F24)) : INDEX(AB:AB, ROW()-1)),
COUNTIFS(unit_details[Active Listing?],TRUE,
          unit_details[Property Name], $F25,
          unit_details[Beds], $L25,
          unit_details[Baths], $M25,
          unit_details[Partial Baths],IF(ISNUMBER($N25),$N25,""),
          unit_details[Sqft],$P25))</f>
        <v>0</v>
      </c>
      <c r="AC25" s="27" t="str">
        <f t="shared" si="3"/>
        <v/>
      </c>
      <c r="AD25" s="293" t="str">
        <f>IFERROR(IF(AE25="","",IF($F25="Total",
SUMPRODUCT(
   INDEX(AD:AD, ROW()-COUNTIF($F$6:INDEX($F:$F, ROW()-1), $F24)) : INDEX(AD:AD, ROW()-1),
   INDEX(AB:AB, ROW()-COUNTIF($F$6:INDEX($F:$F, ROW()-1), $F24)) : INDEX(AB:AB, ROW()-1)
   )
   /SUM(INDEX(AB:AB, ROW()-COUNTIF($F$6:INDEX($F:$F, ROW()-1), $F24)) : INDEX(AB:AB, ROW()-1)),
          _xlfn.MINIFS(unit_details[Asking Rent],
          unit_details[Active Listing?],TRUE,
          unit_details[Property Name], $F25,
          unit_details[Beds], $L25,
          unit_details[Baths], $M25,
          unit_details[Partial Baths], IF(ISNUMBER($N25),$N25,""),
          unit_details[Sqft],$P25
))),"")</f>
        <v/>
      </c>
      <c r="AE25" s="5" t="str">
        <f>IFERROR(IF($F25="Total",
          SUMPRODUCT(
   INDEX(AE:AE, ROW()-COUNTIF($F$6:INDEX($F:$F, ROW()-1), $F24)) : INDEX(AE:AE, ROW()-1),
   INDEX(AB:AB, ROW()-COUNTIF($F$6:INDEX($F:$F, ROW()-1), $F24)) : INDEX(AB:AB, ROW()-1)
   )
   /SUM(INDEX(AB:AB, ROW()-COUNTIF($F$6:INDEX($F:$F, ROW()-1), $F24)) : INDEX(AB:AB, ROW()-1)),
          AVERAGEIFS(unit_details[Asking Rent],
          unit_details[Active Listing?],TRUE,
          unit_details[Property Name], $F25,
          unit_details[Beds], $L25,
          unit_details[Baths], $M25,
          unit_details[Partial Baths], IF(ISNUMBER($N25),$N25,""),
          unit_details[Sqft],$P25
)),"")</f>
        <v/>
      </c>
      <c r="AF25" s="5" t="str">
        <f>IFERROR(IF(AE25="","",IF($F25="Total",
SUMPRODUCT(
   INDEX(AF:AF, ROW()-COUNTIF($F$6:INDEX($F:$F, ROW()-1), $F24)) : INDEX(AF:AF, ROW()-1),
   INDEX(AB:AB, ROW()-COUNTIF($F$6:INDEX($F:$F, ROW()-1), $F24)) : INDEX(AB:AB, ROW()-1)
   )
   /SUM(INDEX(AB:AB, ROW()-COUNTIF($F$6:INDEX($F:$F, ROW()-1), $F24)) : INDEX(AB:AB, ROW()-1)),
           _xlfn.MAXIFS(unit_details[Asking Rent],
          unit_details[Active Listing?],TRUE,
          unit_details[Property Name], $F25,
          unit_details[Beds], $L25,
          unit_details[Baths], $M25,
          unit_details[Partial Baths], IF(ISNUMBER($N25),$N25,""),
          unit_details[Sqft],$P25
))),"")</f>
        <v/>
      </c>
      <c r="AG25" s="6" t="str">
        <f>IFERROR(IF($F25="Total",
         SUMPRODUCT(
         INDEX(AG:AG, ROW()-COUNTIF($F$6:INDEX($F:$F, ROW()-1), $F24)) : INDEX(AG:AG, ROW()-1),
         INDEX(AB:AB, ROW()-COUNTIF($F$6:INDEX($F:$F, ROW()-1), $F24)) : INDEX(AB:AB, ROW()-1)
         )
         /SUM(INDEX(AB:AB, ROW()-COUNTIF($F$6:INDEX($F:$F, ROW()-1), $F24)) : INDEX(AB:AB, ROW()-1)),
          AVERAGEIFS(unit_details[Asking PSF],
          unit_details[Active Listing?],TRUE,
          unit_details[Property Name], $F25,
          unit_details[Beds], $L25,
          unit_details[Baths], $M25,
          unit_details[Partial Baths], IF(ISNUMBER($N25),$N25,""),
          unit_details[Sqft],$P25
)),"")</f>
        <v/>
      </c>
      <c r="AH25" s="293" t="str">
        <f>IFERROR(IF($F25="Total",
         SUMPRODUCT(
         INDEX(AH:AH, ROW()-COUNTIF($F$6:INDEX($F:$F, ROW()-1), $F24)) : INDEX(AH:AH, ROW()-1),
         INDEX(AB:AB, ROW()-COUNTIF($F$6:INDEX($F:$F, ROW()-1), $F24)) : INDEX(AB:AB, ROW()-1)
         )
         /SUM(INDEX(AB:AB, ROW()-COUNTIF($F$6:INDEX($F:$F, ROW()-1), $F24)) : INDEX(AB:AB, ROW()-1)),
          AVERAGEIFS(unit_details[Effective Rent],
          unit_details[Active Listing?],TRUE,
          unit_details[Property Name], $F25,
          unit_details[Beds], $L25,
          unit_details[Baths], $M25,
          unit_details[Partial Baths], IF(ISNUMBER($N25),$N25,""),
          unit_details[Sqft],$P25
)),"")</f>
        <v/>
      </c>
      <c r="AI25" s="6" t="str">
        <f>IFERROR(IF($F25="Total",
         SUMPRODUCT(
         INDEX(AI:AI, ROW()-COUNTIF($F$6:INDEX($F:$F, ROW()-1), $F24)) : INDEX(AI:AI, ROW()-1),
         INDEX(AB:AB, ROW()-COUNTIF($F$6:INDEX($F:$F, ROW()-1), $F24)) : INDEX(AB:AB, ROW()-1)
         )
         /SUM(INDEX(AB:AB, ROW()-COUNTIF($F$6:INDEX($F:$F, ROW()-1), $F24)) : INDEX(AB:AB, ROW()-1)),
           AVERAGEIFS(unit_details[Effective PSF],
          unit_details[Active Listing?],TRUE,
          unit_details[Property Name], $F25,
          unit_details[Beds], $L25,
          unit_details[Baths], $M25,
          unit_details[Partial Baths], IF(ISNUMBER($N25),$N25,""),
          unit_details[Sqft],$P25
)),"")</f>
        <v/>
      </c>
      <c r="AJ25" s="824" t="str">
        <f t="shared" si="4"/>
        <v/>
      </c>
      <c r="AK25" s="531" t="str">
        <f t="shared" si="5"/>
        <v/>
      </c>
      <c r="AL25" s="714" t="str">
        <f t="shared" si="6"/>
        <v/>
      </c>
      <c r="AM25" s="531" t="str">
        <f t="shared" si="7"/>
        <v/>
      </c>
      <c r="AN25" s="716" t="str">
        <f t="shared" si="8"/>
        <v/>
      </c>
    </row>
    <row r="26" spans="2:40" x14ac:dyDescent="0.2">
      <c r="B26" s="719"/>
      <c r="C26" s="719"/>
      <c r="F26" s="1" t="str">
        <f t="shared" si="0"/>
        <v>(blank)</v>
      </c>
      <c r="G26" s="713" t="str">
        <f t="shared" si="9"/>
        <v/>
      </c>
      <c r="H26" s="17" t="str">
        <f>IFERROR(VLOOKUP($G26,Table1[[Property]:[Exposure %]],4,0),"")</f>
        <v/>
      </c>
      <c r="I26" s="3" t="str">
        <f>IFERROR(VLOOKUP($G26,Table1[[Property]:[Exposure %]],6,0),"")</f>
        <v/>
      </c>
      <c r="J26" s="3" t="str">
        <f>IFERROR(VLOOKUP($G26,Table1[[Property]:[Exposure %]],7,0),"")</f>
        <v/>
      </c>
      <c r="K26" s="932"/>
      <c r="L26" s="933">
        <v>2</v>
      </c>
      <c r="M26" s="934">
        <v>1</v>
      </c>
      <c r="N26" s="934" t="s">
        <v>191</v>
      </c>
      <c r="O26" s="932">
        <v>952</v>
      </c>
      <c r="P26" s="931">
        <v>952</v>
      </c>
      <c r="Q26" s="935">
        <v>1.5873015873015872E-2</v>
      </c>
      <c r="R26" s="4" t="str">
        <f>IFERROR(VLOOKUP(IF(F26="Total",F25,F26),Table1[[Property]:['# Units]],7,0)*S26,"")</f>
        <v/>
      </c>
      <c r="S26" s="27">
        <f t="shared" si="2"/>
        <v>1.5873015873015872E-2</v>
      </c>
      <c r="T26" s="531" t="str">
        <f>IFERROR(
 IF($F26="Total",
   SUMPRODUCT(
   INDEX(T:T, ROW()-COUNTIF($F$6:INDEX($F:$F, ROW()-1), $F25)) : INDEX(T:T, ROW()-1),
   INDEX(W:W, ROW()-COUNTIF($F$6:INDEX($F:$F, ROW()-1), $F25)) : INDEX(W:W, ROW()-1)
   )
   /SUM(INDEX(W:W, ROW()-COUNTIF($F$6:INDEX($F:$F, ROW()-1), $F25)) : INDEX(W:W, ROW()-1)),
   AVERAGEIFS(
     INDEX((unit_details[Asking Rent],unit_details[Asking PSF]),0,1,IF($U$3="Chunk Rent",1,2)),
     unit_details[Leased Date],"&gt;="&amp;($AM$2-T$5),
     unit_details[Leased Date],"&lt;"&amp;$AM$2,
     unit_details[Beds],$L26,
     unit_details[Baths],$M26,
     unit_details[Partial Baths],IF(ISNUMBER($N26),$N26,""),
     unit_details[Sqft],$P26,
     unit_details[Property Name],$F26)
 ),"")</f>
        <v/>
      </c>
      <c r="U26" s="552" t="str">
        <f>IFERROR(
 IF($F26="Total",
   SUMPRODUCT(
   INDEX(U:U, ROW()-COUNTIF($F$6:INDEX($F:$F, ROW()-1), $F25)) : INDEX(U:U, ROW()-1),
   INDEX(W:W, ROW()-COUNTIF($F$6:INDEX($F:$F, ROW()-1), $F25)) : INDEX(W:W, ROW()-1)
   )
   /SUM(INDEX(W:W, ROW()-COUNTIF($F$6:INDEX($F:$F, ROW()-1), $F25)) : INDEX(W:W, ROW()-1)),
   AVERAGEIFS(
     INDEX((unit_details[Effective Rent],unit_details[Effective PSF]),0,1,IF($U$3="Chunk Rent",1,2)),
     unit_details[Leased Date],"&gt;="&amp;($AM$2-T$5),
     unit_details[Leased Date],"&lt;"&amp;$AM$2,
     unit_details[Beds],$L26,
     unit_details[Baths],$M26,
     unit_details[Partial Baths],IF(ISNUMBER($N26),$N26,""),
     unit_details[Sqft],$P26,
     unit_details[Property Name],$F26)
 ),"")</f>
        <v/>
      </c>
      <c r="V26" s="27" t="str">
        <f t="shared" si="10"/>
        <v/>
      </c>
      <c r="W26" s="526">
        <f>IFERROR(
  IF($F26="Total",
    SUM(INDEX(W:W, ROW()-COUNTIF($F$6:INDEX($F:$F, ROW()-1), $F25)) : INDEX(W:W, ROW()-1)),
    COUNTIFS(
      unit_details[Leased Date], "&gt;="&amp;($AM$2-T$5),
      unit_details[Leased Date], "&lt;"&amp;$AM$2,
      unit_details[Beds], $L26,
      unit_details[Baths], $M26,
      unit_details[Partial Baths], IF(ISNUMBER($N26), $N26, ""),
      unit_details[Sqft],$P26,
      unit_details[Property Name], $F26
    )
  ),
"")</f>
        <v>0</v>
      </c>
      <c r="X26" s="531" t="str">
        <f>IFERROR(
 IF($F26="Total",
   SUMPRODUCT(
   INDEX(X:X, ROW()-COUNTIF($F$6:INDEX($F:$F, ROW()-1), $F25)) : INDEX(X:X, ROW()-1),
   INDEX(AA:AA, ROW()-COUNTIF($F$6:INDEX($F:$F, ROW()-1), $F25)) : INDEX(AA:AA, ROW()-1)
   )
   /SUM(INDEX(AA:AA, ROW()-COUNTIF($F$6:INDEX($F:$F, ROW()-1), $F25)) : INDEX(AA:AA, ROW()-1)),
   AVERAGEIFS(
     INDEX((unit_details[Asking Rent],unit_details[Asking PSF]),0,1,IF($U$3="Chunk Rent",1,2)),
     unit_details[Leased Date],"&gt;="&amp;($AM$2-X$5),
     unit_details[Leased Date],"&lt;"&amp;$AM$2,
     unit_details[Beds],$L26,
     unit_details[Baths],$M26,
     unit_details[Partial Baths],IF(ISNUMBER($N26),$N26,""),
     unit_details[Sqft],$P26,
     unit_details[Property Name],$F26)
 ),"")</f>
        <v/>
      </c>
      <c r="Y26" s="552" t="str">
        <f>IFERROR(
 IF($F26="Total",
   SUMPRODUCT(
   INDEX(Y:Y, ROW()-COUNTIF($F$6:INDEX($F:$F, ROW()-1), $F25)) : INDEX(Y:Y, ROW()-1),
   INDEX(AA:AA, ROW()-COUNTIF($F$6:INDEX($F:$F, ROW()-1), $F25)) : INDEX(AA:AA, ROW()-1)
   )
   /SUM(INDEX(AA:AA, ROW()-COUNTIF($F$6:INDEX($F:$F, ROW()-1), $F25)) : INDEX(AA:AA, ROW()-1)),
   AVERAGEIFS(
     INDEX((unit_details[Effective Rent],unit_details[Effective PSF]),0,1,IF($U$3="Chunk Rent",1,2)),
     unit_details[Leased Date],"&gt;="&amp;($AM$2-X$5),
     unit_details[Leased Date],"&lt;"&amp;$AM$2,
     unit_details[Beds],$L26,
     unit_details[Baths],$M26,
     unit_details[Partial Baths],IF(ISNUMBER($N26),$N26,""),
     unit_details[Sqft],$P26,
     unit_details[Property Name],$F26)
 ),"")</f>
        <v/>
      </c>
      <c r="Z26" s="27" t="str">
        <f t="shared" si="11"/>
        <v/>
      </c>
      <c r="AA26" s="526">
        <f>IFERROR(
  IF($F26="Total",
    SUM(INDEX(AA:AA, ROW()-COUNTIF($F$6:INDEX($F:$F, ROW()-1), $F25)) : INDEX(AA:AA, ROW()-1)),
    COUNTIFS(
      unit_details[Leased Date], "&gt;="&amp;($AM$2-X$5),
      unit_details[Leased Date], "&lt;"&amp;$AM$2,
      unit_details[Beds], $L26,
      unit_details[Baths], $M26,
      unit_details[Partial Baths], IF(ISNUMBER($N26), $N26, ""),
      unit_details[Sqft],$P26,
      unit_details[Property Name], $F26
    )
  ),
"")</f>
        <v>0</v>
      </c>
      <c r="AB26" s="290">
        <f>IF($F26="Total",
SUM(INDEX(AB:AB, ROW()-COUNTIF($F$6:INDEX($F:$F, ROW()-1), $F25)) : INDEX(AB:AB, ROW()-1)),
COUNTIFS(unit_details[Active Listing?],TRUE,
          unit_details[Property Name], $F26,
          unit_details[Beds], $L26,
          unit_details[Baths], $M26,
          unit_details[Partial Baths],IF(ISNUMBER($N26),$N26,""),
          unit_details[Sqft],$P26))</f>
        <v>0</v>
      </c>
      <c r="AC26" s="27" t="str">
        <f t="shared" si="3"/>
        <v/>
      </c>
      <c r="AD26" s="293" t="str">
        <f>IFERROR(IF(AE26="","",IF($F26="Total",
SUMPRODUCT(
   INDEX(AD:AD, ROW()-COUNTIF($F$6:INDEX($F:$F, ROW()-1), $F25)) : INDEX(AD:AD, ROW()-1),
   INDEX(AB:AB, ROW()-COUNTIF($F$6:INDEX($F:$F, ROW()-1), $F25)) : INDEX(AB:AB, ROW()-1)
   )
   /SUM(INDEX(AB:AB, ROW()-COUNTIF($F$6:INDEX($F:$F, ROW()-1), $F25)) : INDEX(AB:AB, ROW()-1)),
          _xlfn.MINIFS(unit_details[Asking Rent],
          unit_details[Active Listing?],TRUE,
          unit_details[Property Name], $F26,
          unit_details[Beds], $L26,
          unit_details[Baths], $M26,
          unit_details[Partial Baths], IF(ISNUMBER($N26),$N26,""),
          unit_details[Sqft],$P26
))),"")</f>
        <v/>
      </c>
      <c r="AE26" s="5" t="str">
        <f>IFERROR(IF($F26="Total",
          SUMPRODUCT(
   INDEX(AE:AE, ROW()-COUNTIF($F$6:INDEX($F:$F, ROW()-1), $F25)) : INDEX(AE:AE, ROW()-1),
   INDEX(AB:AB, ROW()-COUNTIF($F$6:INDEX($F:$F, ROW()-1), $F25)) : INDEX(AB:AB, ROW()-1)
   )
   /SUM(INDEX(AB:AB, ROW()-COUNTIF($F$6:INDEX($F:$F, ROW()-1), $F25)) : INDEX(AB:AB, ROW()-1)),
          AVERAGEIFS(unit_details[Asking Rent],
          unit_details[Active Listing?],TRUE,
          unit_details[Property Name], $F26,
          unit_details[Beds], $L26,
          unit_details[Baths], $M26,
          unit_details[Partial Baths], IF(ISNUMBER($N26),$N26,""),
          unit_details[Sqft],$P26
)),"")</f>
        <v/>
      </c>
      <c r="AF26" s="5" t="str">
        <f>IFERROR(IF(AE26="","",IF($F26="Total",
SUMPRODUCT(
   INDEX(AF:AF, ROW()-COUNTIF($F$6:INDEX($F:$F, ROW()-1), $F25)) : INDEX(AF:AF, ROW()-1),
   INDEX(AB:AB, ROW()-COUNTIF($F$6:INDEX($F:$F, ROW()-1), $F25)) : INDEX(AB:AB, ROW()-1)
   )
   /SUM(INDEX(AB:AB, ROW()-COUNTIF($F$6:INDEX($F:$F, ROW()-1), $F25)) : INDEX(AB:AB, ROW()-1)),
           _xlfn.MAXIFS(unit_details[Asking Rent],
          unit_details[Active Listing?],TRUE,
          unit_details[Property Name], $F26,
          unit_details[Beds], $L26,
          unit_details[Baths], $M26,
          unit_details[Partial Baths], IF(ISNUMBER($N26),$N26,""),
          unit_details[Sqft],$P26
))),"")</f>
        <v/>
      </c>
      <c r="AG26" s="6" t="str">
        <f>IFERROR(IF($F26="Total",
         SUMPRODUCT(
         INDEX(AG:AG, ROW()-COUNTIF($F$6:INDEX($F:$F, ROW()-1), $F25)) : INDEX(AG:AG, ROW()-1),
         INDEX(AB:AB, ROW()-COUNTIF($F$6:INDEX($F:$F, ROW()-1), $F25)) : INDEX(AB:AB, ROW()-1)
         )
         /SUM(INDEX(AB:AB, ROW()-COUNTIF($F$6:INDEX($F:$F, ROW()-1), $F25)) : INDEX(AB:AB, ROW()-1)),
          AVERAGEIFS(unit_details[Asking PSF],
          unit_details[Active Listing?],TRUE,
          unit_details[Property Name], $F26,
          unit_details[Beds], $L26,
          unit_details[Baths], $M26,
          unit_details[Partial Baths], IF(ISNUMBER($N26),$N26,""),
          unit_details[Sqft],$P26
)),"")</f>
        <v/>
      </c>
      <c r="AH26" s="293" t="str">
        <f>IFERROR(IF($F26="Total",
         SUMPRODUCT(
         INDEX(AH:AH, ROW()-COUNTIF($F$6:INDEX($F:$F, ROW()-1), $F25)) : INDEX(AH:AH, ROW()-1),
         INDEX(AB:AB, ROW()-COUNTIF($F$6:INDEX($F:$F, ROW()-1), $F25)) : INDEX(AB:AB, ROW()-1)
         )
         /SUM(INDEX(AB:AB, ROW()-COUNTIF($F$6:INDEX($F:$F, ROW()-1), $F25)) : INDEX(AB:AB, ROW()-1)),
          AVERAGEIFS(unit_details[Effective Rent],
          unit_details[Active Listing?],TRUE,
          unit_details[Property Name], $F26,
          unit_details[Beds], $L26,
          unit_details[Baths], $M26,
          unit_details[Partial Baths], IF(ISNUMBER($N26),$N26,""),
          unit_details[Sqft],$P26
)),"")</f>
        <v/>
      </c>
      <c r="AI26" s="6" t="str">
        <f>IFERROR(IF($F26="Total",
         SUMPRODUCT(
         INDEX(AI:AI, ROW()-COUNTIF($F$6:INDEX($F:$F, ROW()-1), $F25)) : INDEX(AI:AI, ROW()-1),
         INDEX(AB:AB, ROW()-COUNTIF($F$6:INDEX($F:$F, ROW()-1), $F25)) : INDEX(AB:AB, ROW()-1)
         )
         /SUM(INDEX(AB:AB, ROW()-COUNTIF($F$6:INDEX($F:$F, ROW()-1), $F25)) : INDEX(AB:AB, ROW()-1)),
           AVERAGEIFS(unit_details[Effective PSF],
          unit_details[Active Listing?],TRUE,
          unit_details[Property Name], $F26,
          unit_details[Beds], $L26,
          unit_details[Baths], $M26,
          unit_details[Partial Baths], IF(ISNUMBER($N26),$N26,""),
          unit_details[Sqft],$P26
)),"")</f>
        <v/>
      </c>
      <c r="AJ26" s="824" t="str">
        <f t="shared" si="4"/>
        <v/>
      </c>
      <c r="AK26" s="531" t="str">
        <f t="shared" si="5"/>
        <v/>
      </c>
      <c r="AL26" s="714" t="str">
        <f t="shared" si="6"/>
        <v/>
      </c>
      <c r="AM26" s="531" t="str">
        <f t="shared" si="7"/>
        <v/>
      </c>
      <c r="AN26" s="716" t="str">
        <f t="shared" si="8"/>
        <v/>
      </c>
    </row>
    <row r="27" spans="2:40" x14ac:dyDescent="0.2">
      <c r="B27" s="719"/>
      <c r="C27" s="719"/>
      <c r="F27" s="1" t="str">
        <f t="shared" si="0"/>
        <v>(blank)</v>
      </c>
      <c r="G27" s="713" t="str">
        <f t="shared" si="9"/>
        <v/>
      </c>
      <c r="H27" s="17" t="str">
        <f>IFERROR(VLOOKUP($G27,Table1[[Property]:[Exposure %]],4,0),"")</f>
        <v/>
      </c>
      <c r="I27" s="3" t="str">
        <f>IFERROR(VLOOKUP($G27,Table1[[Property]:[Exposure %]],6,0),"")</f>
        <v/>
      </c>
      <c r="J27" s="3" t="str">
        <f>IFERROR(VLOOKUP($G27,Table1[[Property]:[Exposure %]],7,0),"")</f>
        <v/>
      </c>
      <c r="K27" s="932"/>
      <c r="L27" s="933">
        <v>2</v>
      </c>
      <c r="M27" s="934">
        <v>1</v>
      </c>
      <c r="N27" s="934" t="s">
        <v>191</v>
      </c>
      <c r="O27" s="932">
        <v>1100</v>
      </c>
      <c r="P27" s="931">
        <v>1100</v>
      </c>
      <c r="Q27" s="935">
        <v>1.5873015873015872E-2</v>
      </c>
      <c r="R27" s="4" t="str">
        <f>IFERROR(VLOOKUP(IF(F27="Total",F26,F27),Table1[[Property]:['# Units]],7,0)*S27,"")</f>
        <v/>
      </c>
      <c r="S27" s="27">
        <f t="shared" si="2"/>
        <v>1.5873015873015872E-2</v>
      </c>
      <c r="T27" s="531" t="str">
        <f>IFERROR(
 IF($F27="Total",
   SUMPRODUCT(
   INDEX(T:T, ROW()-COUNTIF($F$6:INDEX($F:$F, ROW()-1), $F26)) : INDEX(T:T, ROW()-1),
   INDEX(W:W, ROW()-COUNTIF($F$6:INDEX($F:$F, ROW()-1), $F26)) : INDEX(W:W, ROW()-1)
   )
   /SUM(INDEX(W:W, ROW()-COUNTIF($F$6:INDEX($F:$F, ROW()-1), $F26)) : INDEX(W:W, ROW()-1)),
   AVERAGEIFS(
     INDEX((unit_details[Asking Rent],unit_details[Asking PSF]),0,1,IF($U$3="Chunk Rent",1,2)),
     unit_details[Leased Date],"&gt;="&amp;($AM$2-T$5),
     unit_details[Leased Date],"&lt;"&amp;$AM$2,
     unit_details[Beds],$L27,
     unit_details[Baths],$M27,
     unit_details[Partial Baths],IF(ISNUMBER($N27),$N27,""),
     unit_details[Sqft],$P27,
     unit_details[Property Name],$F27)
 ),"")</f>
        <v/>
      </c>
      <c r="U27" s="552" t="str">
        <f>IFERROR(
 IF($F27="Total",
   SUMPRODUCT(
   INDEX(U:U, ROW()-COUNTIF($F$6:INDEX($F:$F, ROW()-1), $F26)) : INDEX(U:U, ROW()-1),
   INDEX(W:W, ROW()-COUNTIF($F$6:INDEX($F:$F, ROW()-1), $F26)) : INDEX(W:W, ROW()-1)
   )
   /SUM(INDEX(W:W, ROW()-COUNTIF($F$6:INDEX($F:$F, ROW()-1), $F26)) : INDEX(W:W, ROW()-1)),
   AVERAGEIFS(
     INDEX((unit_details[Effective Rent],unit_details[Effective PSF]),0,1,IF($U$3="Chunk Rent",1,2)),
     unit_details[Leased Date],"&gt;="&amp;($AM$2-T$5),
     unit_details[Leased Date],"&lt;"&amp;$AM$2,
     unit_details[Beds],$L27,
     unit_details[Baths],$M27,
     unit_details[Partial Baths],IF(ISNUMBER($N27),$N27,""),
     unit_details[Sqft],$P27,
     unit_details[Property Name],$F27)
 ),"")</f>
        <v/>
      </c>
      <c r="V27" s="27" t="str">
        <f t="shared" si="10"/>
        <v/>
      </c>
      <c r="W27" s="526">
        <f>IFERROR(
  IF($F27="Total",
    SUM(INDEX(W:W, ROW()-COUNTIF($F$6:INDEX($F:$F, ROW()-1), $F26)) : INDEX(W:W, ROW()-1)),
    COUNTIFS(
      unit_details[Leased Date], "&gt;="&amp;($AM$2-T$5),
      unit_details[Leased Date], "&lt;"&amp;$AM$2,
      unit_details[Beds], $L27,
      unit_details[Baths], $M27,
      unit_details[Partial Baths], IF(ISNUMBER($N27), $N27, ""),
      unit_details[Sqft],$P27,
      unit_details[Property Name], $F27
    )
  ),
"")</f>
        <v>0</v>
      </c>
      <c r="X27" s="531" t="str">
        <f>IFERROR(
 IF($F27="Total",
   SUMPRODUCT(
   INDEX(X:X, ROW()-COUNTIF($F$6:INDEX($F:$F, ROW()-1), $F26)) : INDEX(X:X, ROW()-1),
   INDEX(AA:AA, ROW()-COUNTIF($F$6:INDEX($F:$F, ROW()-1), $F26)) : INDEX(AA:AA, ROW()-1)
   )
   /SUM(INDEX(AA:AA, ROW()-COUNTIF($F$6:INDEX($F:$F, ROW()-1), $F26)) : INDEX(AA:AA, ROW()-1)),
   AVERAGEIFS(
     INDEX((unit_details[Asking Rent],unit_details[Asking PSF]),0,1,IF($U$3="Chunk Rent",1,2)),
     unit_details[Leased Date],"&gt;="&amp;($AM$2-X$5),
     unit_details[Leased Date],"&lt;"&amp;$AM$2,
     unit_details[Beds],$L27,
     unit_details[Baths],$M27,
     unit_details[Partial Baths],IF(ISNUMBER($N27),$N27,""),
     unit_details[Sqft],$P27,
     unit_details[Property Name],$F27)
 ),"")</f>
        <v/>
      </c>
      <c r="Y27" s="552" t="str">
        <f>IFERROR(
 IF($F27="Total",
   SUMPRODUCT(
   INDEX(Y:Y, ROW()-COUNTIF($F$6:INDEX($F:$F, ROW()-1), $F26)) : INDEX(Y:Y, ROW()-1),
   INDEX(AA:AA, ROW()-COUNTIF($F$6:INDEX($F:$F, ROW()-1), $F26)) : INDEX(AA:AA, ROW()-1)
   )
   /SUM(INDEX(AA:AA, ROW()-COUNTIF($F$6:INDEX($F:$F, ROW()-1), $F26)) : INDEX(AA:AA, ROW()-1)),
   AVERAGEIFS(
     INDEX((unit_details[Effective Rent],unit_details[Effective PSF]),0,1,IF($U$3="Chunk Rent",1,2)),
     unit_details[Leased Date],"&gt;="&amp;($AM$2-X$5),
     unit_details[Leased Date],"&lt;"&amp;$AM$2,
     unit_details[Beds],$L27,
     unit_details[Baths],$M27,
     unit_details[Partial Baths],IF(ISNUMBER($N27),$N27,""),
     unit_details[Sqft],$P27,
     unit_details[Property Name],$F27)
 ),"")</f>
        <v/>
      </c>
      <c r="Z27" s="27" t="str">
        <f t="shared" si="11"/>
        <v/>
      </c>
      <c r="AA27" s="526">
        <f>IFERROR(
  IF($F27="Total",
    SUM(INDEX(AA:AA, ROW()-COUNTIF($F$6:INDEX($F:$F, ROW()-1), $F26)) : INDEX(AA:AA, ROW()-1)),
    COUNTIFS(
      unit_details[Leased Date], "&gt;="&amp;($AM$2-X$5),
      unit_details[Leased Date], "&lt;"&amp;$AM$2,
      unit_details[Beds], $L27,
      unit_details[Baths], $M27,
      unit_details[Partial Baths], IF(ISNUMBER($N27), $N27, ""),
      unit_details[Sqft],$P27,
      unit_details[Property Name], $F27
    )
  ),
"")</f>
        <v>0</v>
      </c>
      <c r="AB27" s="290">
        <f>IF($F27="Total",
SUM(INDEX(AB:AB, ROW()-COUNTIF($F$6:INDEX($F:$F, ROW()-1), $F26)) : INDEX(AB:AB, ROW()-1)),
COUNTIFS(unit_details[Active Listing?],TRUE,
          unit_details[Property Name], $F27,
          unit_details[Beds], $L27,
          unit_details[Baths], $M27,
          unit_details[Partial Baths],IF(ISNUMBER($N27),$N27,""),
          unit_details[Sqft],$P27))</f>
        <v>0</v>
      </c>
      <c r="AC27" s="27" t="str">
        <f t="shared" si="3"/>
        <v/>
      </c>
      <c r="AD27" s="293" t="str">
        <f>IFERROR(IF(AE27="","",IF($F27="Total",
SUMPRODUCT(
   INDEX(AD:AD, ROW()-COUNTIF($F$6:INDEX($F:$F, ROW()-1), $F26)) : INDEX(AD:AD, ROW()-1),
   INDEX(AB:AB, ROW()-COUNTIF($F$6:INDEX($F:$F, ROW()-1), $F26)) : INDEX(AB:AB, ROW()-1)
   )
   /SUM(INDEX(AB:AB, ROW()-COUNTIF($F$6:INDEX($F:$F, ROW()-1), $F26)) : INDEX(AB:AB, ROW()-1)),
          _xlfn.MINIFS(unit_details[Asking Rent],
          unit_details[Active Listing?],TRUE,
          unit_details[Property Name], $F27,
          unit_details[Beds], $L27,
          unit_details[Baths], $M27,
          unit_details[Partial Baths], IF(ISNUMBER($N27),$N27,""),
          unit_details[Sqft],$P27
))),"")</f>
        <v/>
      </c>
      <c r="AE27" s="5" t="str">
        <f>IFERROR(IF($F27="Total",
          SUMPRODUCT(
   INDEX(AE:AE, ROW()-COUNTIF($F$6:INDEX($F:$F, ROW()-1), $F26)) : INDEX(AE:AE, ROW()-1),
   INDEX(AB:AB, ROW()-COUNTIF($F$6:INDEX($F:$F, ROW()-1), $F26)) : INDEX(AB:AB, ROW()-1)
   )
   /SUM(INDEX(AB:AB, ROW()-COUNTIF($F$6:INDEX($F:$F, ROW()-1), $F26)) : INDEX(AB:AB, ROW()-1)),
          AVERAGEIFS(unit_details[Asking Rent],
          unit_details[Active Listing?],TRUE,
          unit_details[Property Name], $F27,
          unit_details[Beds], $L27,
          unit_details[Baths], $M27,
          unit_details[Partial Baths], IF(ISNUMBER($N27),$N27,""),
          unit_details[Sqft],$P27
)),"")</f>
        <v/>
      </c>
      <c r="AF27" s="5" t="str">
        <f>IFERROR(IF(AE27="","",IF($F27="Total",
SUMPRODUCT(
   INDEX(AF:AF, ROW()-COUNTIF($F$6:INDEX($F:$F, ROW()-1), $F26)) : INDEX(AF:AF, ROW()-1),
   INDEX(AB:AB, ROW()-COUNTIF($F$6:INDEX($F:$F, ROW()-1), $F26)) : INDEX(AB:AB, ROW()-1)
   )
   /SUM(INDEX(AB:AB, ROW()-COUNTIF($F$6:INDEX($F:$F, ROW()-1), $F26)) : INDEX(AB:AB, ROW()-1)),
           _xlfn.MAXIFS(unit_details[Asking Rent],
          unit_details[Active Listing?],TRUE,
          unit_details[Property Name], $F27,
          unit_details[Beds], $L27,
          unit_details[Baths], $M27,
          unit_details[Partial Baths], IF(ISNUMBER($N27),$N27,""),
          unit_details[Sqft],$P27
))),"")</f>
        <v/>
      </c>
      <c r="AG27" s="6" t="str">
        <f>IFERROR(IF($F27="Total",
         SUMPRODUCT(
         INDEX(AG:AG, ROW()-COUNTIF($F$6:INDEX($F:$F, ROW()-1), $F26)) : INDEX(AG:AG, ROW()-1),
         INDEX(AB:AB, ROW()-COUNTIF($F$6:INDEX($F:$F, ROW()-1), $F26)) : INDEX(AB:AB, ROW()-1)
         )
         /SUM(INDEX(AB:AB, ROW()-COUNTIF($F$6:INDEX($F:$F, ROW()-1), $F26)) : INDEX(AB:AB, ROW()-1)),
          AVERAGEIFS(unit_details[Asking PSF],
          unit_details[Active Listing?],TRUE,
          unit_details[Property Name], $F27,
          unit_details[Beds], $L27,
          unit_details[Baths], $M27,
          unit_details[Partial Baths], IF(ISNUMBER($N27),$N27,""),
          unit_details[Sqft],$P27
)),"")</f>
        <v/>
      </c>
      <c r="AH27" s="293" t="str">
        <f>IFERROR(IF($F27="Total",
         SUMPRODUCT(
         INDEX(AH:AH, ROW()-COUNTIF($F$6:INDEX($F:$F, ROW()-1), $F26)) : INDEX(AH:AH, ROW()-1),
         INDEX(AB:AB, ROW()-COUNTIF($F$6:INDEX($F:$F, ROW()-1), $F26)) : INDEX(AB:AB, ROW()-1)
         )
         /SUM(INDEX(AB:AB, ROW()-COUNTIF($F$6:INDEX($F:$F, ROW()-1), $F26)) : INDEX(AB:AB, ROW()-1)),
          AVERAGEIFS(unit_details[Effective Rent],
          unit_details[Active Listing?],TRUE,
          unit_details[Property Name], $F27,
          unit_details[Beds], $L27,
          unit_details[Baths], $M27,
          unit_details[Partial Baths], IF(ISNUMBER($N27),$N27,""),
          unit_details[Sqft],$P27
)),"")</f>
        <v/>
      </c>
      <c r="AI27" s="6" t="str">
        <f>IFERROR(IF($F27="Total",
         SUMPRODUCT(
         INDEX(AI:AI, ROW()-COUNTIF($F$6:INDEX($F:$F, ROW()-1), $F26)) : INDEX(AI:AI, ROW()-1),
         INDEX(AB:AB, ROW()-COUNTIF($F$6:INDEX($F:$F, ROW()-1), $F26)) : INDEX(AB:AB, ROW()-1)
         )
         /SUM(INDEX(AB:AB, ROW()-COUNTIF($F$6:INDEX($F:$F, ROW()-1), $F26)) : INDEX(AB:AB, ROW()-1)),
           AVERAGEIFS(unit_details[Effective PSF],
          unit_details[Active Listing?],TRUE,
          unit_details[Property Name], $F27,
          unit_details[Beds], $L27,
          unit_details[Baths], $M27,
          unit_details[Partial Baths], IF(ISNUMBER($N27),$N27,""),
          unit_details[Sqft],$P27
)),"")</f>
        <v/>
      </c>
      <c r="AJ27" s="824" t="str">
        <f t="shared" si="4"/>
        <v/>
      </c>
      <c r="AK27" s="531" t="str">
        <f t="shared" si="5"/>
        <v/>
      </c>
      <c r="AL27" s="714" t="str">
        <f t="shared" si="6"/>
        <v/>
      </c>
      <c r="AM27" s="531" t="str">
        <f t="shared" si="7"/>
        <v/>
      </c>
      <c r="AN27" s="716" t="str">
        <f t="shared" si="8"/>
        <v/>
      </c>
    </row>
    <row r="28" spans="2:40" x14ac:dyDescent="0.2">
      <c r="B28" s="719"/>
      <c r="C28" s="719"/>
      <c r="F28" s="1" t="str">
        <f t="shared" si="0"/>
        <v>(blank)</v>
      </c>
      <c r="G28" s="713" t="str">
        <f t="shared" si="9"/>
        <v/>
      </c>
      <c r="H28" s="17" t="str">
        <f>IFERROR(VLOOKUP($G28,Table1[[Property]:[Exposure %]],4,0),"")</f>
        <v/>
      </c>
      <c r="I28" s="3" t="str">
        <f>IFERROR(VLOOKUP($G28,Table1[[Property]:[Exposure %]],6,0),"")</f>
        <v/>
      </c>
      <c r="J28" s="3" t="str">
        <f>IFERROR(VLOOKUP($G28,Table1[[Property]:[Exposure %]],7,0),"")</f>
        <v/>
      </c>
      <c r="K28" s="932"/>
      <c r="L28" s="933">
        <v>2</v>
      </c>
      <c r="M28" s="934">
        <v>1</v>
      </c>
      <c r="N28" s="934" t="s">
        <v>191</v>
      </c>
      <c r="O28" s="932">
        <v>1500</v>
      </c>
      <c r="P28" s="931">
        <v>1500</v>
      </c>
      <c r="Q28" s="935">
        <v>1.5873015873015872E-2</v>
      </c>
      <c r="R28" s="4" t="str">
        <f>IFERROR(VLOOKUP(IF(F28="Total",F27,F28),Table1[[Property]:['# Units]],7,0)*S28,"")</f>
        <v/>
      </c>
      <c r="S28" s="27">
        <f t="shared" si="2"/>
        <v>1.5873015873015872E-2</v>
      </c>
      <c r="T28" s="531" t="str">
        <f>IFERROR(
 IF($F28="Total",
   SUMPRODUCT(
   INDEX(T:T, ROW()-COUNTIF($F$6:INDEX($F:$F, ROW()-1), $F27)) : INDEX(T:T, ROW()-1),
   INDEX(W:W, ROW()-COUNTIF($F$6:INDEX($F:$F, ROW()-1), $F27)) : INDEX(W:W, ROW()-1)
   )
   /SUM(INDEX(W:W, ROW()-COUNTIF($F$6:INDEX($F:$F, ROW()-1), $F27)) : INDEX(W:W, ROW()-1)),
   AVERAGEIFS(
     INDEX((unit_details[Asking Rent],unit_details[Asking PSF]),0,1,IF($U$3="Chunk Rent",1,2)),
     unit_details[Leased Date],"&gt;="&amp;($AM$2-T$5),
     unit_details[Leased Date],"&lt;"&amp;$AM$2,
     unit_details[Beds],$L28,
     unit_details[Baths],$M28,
     unit_details[Partial Baths],IF(ISNUMBER($N28),$N28,""),
     unit_details[Sqft],$P28,
     unit_details[Property Name],$F28)
 ),"")</f>
        <v/>
      </c>
      <c r="U28" s="552" t="str">
        <f>IFERROR(
 IF($F28="Total",
   SUMPRODUCT(
   INDEX(U:U, ROW()-COUNTIF($F$6:INDEX($F:$F, ROW()-1), $F27)) : INDEX(U:U, ROW()-1),
   INDEX(W:W, ROW()-COUNTIF($F$6:INDEX($F:$F, ROW()-1), $F27)) : INDEX(W:W, ROW()-1)
   )
   /SUM(INDEX(W:W, ROW()-COUNTIF($F$6:INDEX($F:$F, ROW()-1), $F27)) : INDEX(W:W, ROW()-1)),
   AVERAGEIFS(
     INDEX((unit_details[Effective Rent],unit_details[Effective PSF]),0,1,IF($U$3="Chunk Rent",1,2)),
     unit_details[Leased Date],"&gt;="&amp;($AM$2-T$5),
     unit_details[Leased Date],"&lt;"&amp;$AM$2,
     unit_details[Beds],$L28,
     unit_details[Baths],$M28,
     unit_details[Partial Baths],IF(ISNUMBER($N28),$N28,""),
     unit_details[Sqft],$P28,
     unit_details[Property Name],$F28)
 ),"")</f>
        <v/>
      </c>
      <c r="V28" s="27" t="str">
        <f t="shared" si="10"/>
        <v/>
      </c>
      <c r="W28" s="526">
        <f>IFERROR(
  IF($F28="Total",
    SUM(INDEX(W:W, ROW()-COUNTIF($F$6:INDEX($F:$F, ROW()-1), $F27)) : INDEX(W:W, ROW()-1)),
    COUNTIFS(
      unit_details[Leased Date], "&gt;="&amp;($AM$2-T$5),
      unit_details[Leased Date], "&lt;"&amp;$AM$2,
      unit_details[Beds], $L28,
      unit_details[Baths], $M28,
      unit_details[Partial Baths], IF(ISNUMBER($N28), $N28, ""),
      unit_details[Sqft],$P28,
      unit_details[Property Name], $F28
    )
  ),
"")</f>
        <v>0</v>
      </c>
      <c r="X28" s="531" t="str">
        <f>IFERROR(
 IF($F28="Total",
   SUMPRODUCT(
   INDEX(X:X, ROW()-COUNTIF($F$6:INDEX($F:$F, ROW()-1), $F27)) : INDEX(X:X, ROW()-1),
   INDEX(AA:AA, ROW()-COUNTIF($F$6:INDEX($F:$F, ROW()-1), $F27)) : INDEX(AA:AA, ROW()-1)
   )
   /SUM(INDEX(AA:AA, ROW()-COUNTIF($F$6:INDEX($F:$F, ROW()-1), $F27)) : INDEX(AA:AA, ROW()-1)),
   AVERAGEIFS(
     INDEX((unit_details[Asking Rent],unit_details[Asking PSF]),0,1,IF($U$3="Chunk Rent",1,2)),
     unit_details[Leased Date],"&gt;="&amp;($AM$2-X$5),
     unit_details[Leased Date],"&lt;"&amp;$AM$2,
     unit_details[Beds],$L28,
     unit_details[Baths],$M28,
     unit_details[Partial Baths],IF(ISNUMBER($N28),$N28,""),
     unit_details[Sqft],$P28,
     unit_details[Property Name],$F28)
 ),"")</f>
        <v/>
      </c>
      <c r="Y28" s="552" t="str">
        <f>IFERROR(
 IF($F28="Total",
   SUMPRODUCT(
   INDEX(Y:Y, ROW()-COUNTIF($F$6:INDEX($F:$F, ROW()-1), $F27)) : INDEX(Y:Y, ROW()-1),
   INDEX(AA:AA, ROW()-COUNTIF($F$6:INDEX($F:$F, ROW()-1), $F27)) : INDEX(AA:AA, ROW()-1)
   )
   /SUM(INDEX(AA:AA, ROW()-COUNTIF($F$6:INDEX($F:$F, ROW()-1), $F27)) : INDEX(AA:AA, ROW()-1)),
   AVERAGEIFS(
     INDEX((unit_details[Effective Rent],unit_details[Effective PSF]),0,1,IF($U$3="Chunk Rent",1,2)),
     unit_details[Leased Date],"&gt;="&amp;($AM$2-X$5),
     unit_details[Leased Date],"&lt;"&amp;$AM$2,
     unit_details[Beds],$L28,
     unit_details[Baths],$M28,
     unit_details[Partial Baths],IF(ISNUMBER($N28),$N28,""),
     unit_details[Sqft],$P28,
     unit_details[Property Name],$F28)
 ),"")</f>
        <v/>
      </c>
      <c r="Z28" s="27" t="str">
        <f t="shared" si="11"/>
        <v/>
      </c>
      <c r="AA28" s="526">
        <f>IFERROR(
  IF($F28="Total",
    SUM(INDEX(AA:AA, ROW()-COUNTIF($F$6:INDEX($F:$F, ROW()-1), $F27)) : INDEX(AA:AA, ROW()-1)),
    COUNTIFS(
      unit_details[Leased Date], "&gt;="&amp;($AM$2-X$5),
      unit_details[Leased Date], "&lt;"&amp;$AM$2,
      unit_details[Beds], $L28,
      unit_details[Baths], $M28,
      unit_details[Partial Baths], IF(ISNUMBER($N28), $N28, ""),
      unit_details[Sqft],$P28,
      unit_details[Property Name], $F28
    )
  ),
"")</f>
        <v>0</v>
      </c>
      <c r="AB28" s="290">
        <f>IF($F28="Total",
SUM(INDEX(AB:AB, ROW()-COUNTIF($F$6:INDEX($F:$F, ROW()-1), $F27)) : INDEX(AB:AB, ROW()-1)),
COUNTIFS(unit_details[Active Listing?],TRUE,
          unit_details[Property Name], $F28,
          unit_details[Beds], $L28,
          unit_details[Baths], $M28,
          unit_details[Partial Baths],IF(ISNUMBER($N28),$N28,""),
          unit_details[Sqft],$P28))</f>
        <v>0</v>
      </c>
      <c r="AC28" s="27" t="str">
        <f t="shared" si="3"/>
        <v/>
      </c>
      <c r="AD28" s="293" t="str">
        <f>IFERROR(IF(AE28="","",IF($F28="Total",
SUMPRODUCT(
   INDEX(AD:AD, ROW()-COUNTIF($F$6:INDEX($F:$F, ROW()-1), $F27)) : INDEX(AD:AD, ROW()-1),
   INDEX(AB:AB, ROW()-COUNTIF($F$6:INDEX($F:$F, ROW()-1), $F27)) : INDEX(AB:AB, ROW()-1)
   )
   /SUM(INDEX(AB:AB, ROW()-COUNTIF($F$6:INDEX($F:$F, ROW()-1), $F27)) : INDEX(AB:AB, ROW()-1)),
          _xlfn.MINIFS(unit_details[Asking Rent],
          unit_details[Active Listing?],TRUE,
          unit_details[Property Name], $F28,
          unit_details[Beds], $L28,
          unit_details[Baths], $M28,
          unit_details[Partial Baths], IF(ISNUMBER($N28),$N28,""),
          unit_details[Sqft],$P28
))),"")</f>
        <v/>
      </c>
      <c r="AE28" s="5" t="str">
        <f>IFERROR(IF($F28="Total",
          SUMPRODUCT(
   INDEX(AE:AE, ROW()-COUNTIF($F$6:INDEX($F:$F, ROW()-1), $F27)) : INDEX(AE:AE, ROW()-1),
   INDEX(AB:AB, ROW()-COUNTIF($F$6:INDEX($F:$F, ROW()-1), $F27)) : INDEX(AB:AB, ROW()-1)
   )
   /SUM(INDEX(AB:AB, ROW()-COUNTIF($F$6:INDEX($F:$F, ROW()-1), $F27)) : INDEX(AB:AB, ROW()-1)),
          AVERAGEIFS(unit_details[Asking Rent],
          unit_details[Active Listing?],TRUE,
          unit_details[Property Name], $F28,
          unit_details[Beds], $L28,
          unit_details[Baths], $M28,
          unit_details[Partial Baths], IF(ISNUMBER($N28),$N28,""),
          unit_details[Sqft],$P28
)),"")</f>
        <v/>
      </c>
      <c r="AF28" s="5" t="str">
        <f>IFERROR(IF(AE28="","",IF($F28="Total",
SUMPRODUCT(
   INDEX(AF:AF, ROW()-COUNTIF($F$6:INDEX($F:$F, ROW()-1), $F27)) : INDEX(AF:AF, ROW()-1),
   INDEX(AB:AB, ROW()-COUNTIF($F$6:INDEX($F:$F, ROW()-1), $F27)) : INDEX(AB:AB, ROW()-1)
   )
   /SUM(INDEX(AB:AB, ROW()-COUNTIF($F$6:INDEX($F:$F, ROW()-1), $F27)) : INDEX(AB:AB, ROW()-1)),
           _xlfn.MAXIFS(unit_details[Asking Rent],
          unit_details[Active Listing?],TRUE,
          unit_details[Property Name], $F28,
          unit_details[Beds], $L28,
          unit_details[Baths], $M28,
          unit_details[Partial Baths], IF(ISNUMBER($N28),$N28,""),
          unit_details[Sqft],$P28
))),"")</f>
        <v/>
      </c>
      <c r="AG28" s="6" t="str">
        <f>IFERROR(IF($F28="Total",
         SUMPRODUCT(
         INDEX(AG:AG, ROW()-COUNTIF($F$6:INDEX($F:$F, ROW()-1), $F27)) : INDEX(AG:AG, ROW()-1),
         INDEX(AB:AB, ROW()-COUNTIF($F$6:INDEX($F:$F, ROW()-1), $F27)) : INDEX(AB:AB, ROW()-1)
         )
         /SUM(INDEX(AB:AB, ROW()-COUNTIF($F$6:INDEX($F:$F, ROW()-1), $F27)) : INDEX(AB:AB, ROW()-1)),
          AVERAGEIFS(unit_details[Asking PSF],
          unit_details[Active Listing?],TRUE,
          unit_details[Property Name], $F28,
          unit_details[Beds], $L28,
          unit_details[Baths], $M28,
          unit_details[Partial Baths], IF(ISNUMBER($N28),$N28,""),
          unit_details[Sqft],$P28
)),"")</f>
        <v/>
      </c>
      <c r="AH28" s="293" t="str">
        <f>IFERROR(IF($F28="Total",
         SUMPRODUCT(
         INDEX(AH:AH, ROW()-COUNTIF($F$6:INDEX($F:$F, ROW()-1), $F27)) : INDEX(AH:AH, ROW()-1),
         INDEX(AB:AB, ROW()-COUNTIF($F$6:INDEX($F:$F, ROW()-1), $F27)) : INDEX(AB:AB, ROW()-1)
         )
         /SUM(INDEX(AB:AB, ROW()-COUNTIF($F$6:INDEX($F:$F, ROW()-1), $F27)) : INDEX(AB:AB, ROW()-1)),
          AVERAGEIFS(unit_details[Effective Rent],
          unit_details[Active Listing?],TRUE,
          unit_details[Property Name], $F28,
          unit_details[Beds], $L28,
          unit_details[Baths], $M28,
          unit_details[Partial Baths], IF(ISNUMBER($N28),$N28,""),
          unit_details[Sqft],$P28
)),"")</f>
        <v/>
      </c>
      <c r="AI28" s="6" t="str">
        <f>IFERROR(IF($F28="Total",
         SUMPRODUCT(
         INDEX(AI:AI, ROW()-COUNTIF($F$6:INDEX($F:$F, ROW()-1), $F27)) : INDEX(AI:AI, ROW()-1),
         INDEX(AB:AB, ROW()-COUNTIF($F$6:INDEX($F:$F, ROW()-1), $F27)) : INDEX(AB:AB, ROW()-1)
         )
         /SUM(INDEX(AB:AB, ROW()-COUNTIF($F$6:INDEX($F:$F, ROW()-1), $F27)) : INDEX(AB:AB, ROW()-1)),
           AVERAGEIFS(unit_details[Effective PSF],
          unit_details[Active Listing?],TRUE,
          unit_details[Property Name], $F28,
          unit_details[Beds], $L28,
          unit_details[Baths], $M28,
          unit_details[Partial Baths], IF(ISNUMBER($N28),$N28,""),
          unit_details[Sqft],$P28
)),"")</f>
        <v/>
      </c>
      <c r="AJ28" s="824" t="str">
        <f t="shared" si="4"/>
        <v/>
      </c>
      <c r="AK28" s="531" t="str">
        <f t="shared" si="5"/>
        <v/>
      </c>
      <c r="AL28" s="714" t="str">
        <f t="shared" si="6"/>
        <v/>
      </c>
      <c r="AM28" s="531" t="str">
        <f t="shared" si="7"/>
        <v/>
      </c>
      <c r="AN28" s="716" t="str">
        <f t="shared" si="8"/>
        <v/>
      </c>
    </row>
    <row r="29" spans="2:40" x14ac:dyDescent="0.2">
      <c r="B29" s="719"/>
      <c r="C29" s="719"/>
      <c r="F29" s="1" t="str">
        <f t="shared" si="0"/>
        <v>(blank)</v>
      </c>
      <c r="G29" s="713" t="str">
        <f t="shared" si="9"/>
        <v/>
      </c>
      <c r="H29" s="17" t="str">
        <f>IFERROR(VLOOKUP($G29,Table1[[Property]:[Exposure %]],4,0),"")</f>
        <v/>
      </c>
      <c r="I29" s="3" t="str">
        <f>IFERROR(VLOOKUP($G29,Table1[[Property]:[Exposure %]],6,0),"")</f>
        <v/>
      </c>
      <c r="J29" s="3" t="str">
        <f>IFERROR(VLOOKUP($G29,Table1[[Property]:[Exposure %]],7,0),"")</f>
        <v/>
      </c>
      <c r="K29" s="932"/>
      <c r="L29" s="933">
        <v>2</v>
      </c>
      <c r="M29" s="934">
        <v>1</v>
      </c>
      <c r="N29" s="934" t="s">
        <v>191</v>
      </c>
      <c r="O29" s="932" t="s">
        <v>191</v>
      </c>
      <c r="P29" s="931"/>
      <c r="Q29" s="935">
        <v>0.17460317460317459</v>
      </c>
      <c r="R29" s="4" t="str">
        <f>IFERROR(VLOOKUP(IF(F29="Total",F28,F29),Table1[[Property]:['# Units]],7,0)*S29,"")</f>
        <v/>
      </c>
      <c r="S29" s="27">
        <f t="shared" si="2"/>
        <v>0.17460317460317459</v>
      </c>
      <c r="T29" s="531" t="str">
        <f>IFERROR(
 IF($F29="Total",
   SUMPRODUCT(
   INDEX(T:T, ROW()-COUNTIF($F$6:INDEX($F:$F, ROW()-1), $F28)) : INDEX(T:T, ROW()-1),
   INDEX(W:W, ROW()-COUNTIF($F$6:INDEX($F:$F, ROW()-1), $F28)) : INDEX(W:W, ROW()-1)
   )
   /SUM(INDEX(W:W, ROW()-COUNTIF($F$6:INDEX($F:$F, ROW()-1), $F28)) : INDEX(W:W, ROW()-1)),
   AVERAGEIFS(
     INDEX((unit_details[Asking Rent],unit_details[Asking PSF]),0,1,IF($U$3="Chunk Rent",1,2)),
     unit_details[Leased Date],"&gt;="&amp;($AM$2-T$5),
     unit_details[Leased Date],"&lt;"&amp;$AM$2,
     unit_details[Beds],$L29,
     unit_details[Baths],$M29,
     unit_details[Partial Baths],IF(ISNUMBER($N29),$N29,""),
     unit_details[Sqft],$P29,
     unit_details[Property Name],$F29)
 ),"")</f>
        <v/>
      </c>
      <c r="U29" s="552" t="str">
        <f>IFERROR(
 IF($F29="Total",
   SUMPRODUCT(
   INDEX(U:U, ROW()-COUNTIF($F$6:INDEX($F:$F, ROW()-1), $F28)) : INDEX(U:U, ROW()-1),
   INDEX(W:W, ROW()-COUNTIF($F$6:INDEX($F:$F, ROW()-1), $F28)) : INDEX(W:W, ROW()-1)
   )
   /SUM(INDEX(W:W, ROW()-COUNTIF($F$6:INDEX($F:$F, ROW()-1), $F28)) : INDEX(W:W, ROW()-1)),
   AVERAGEIFS(
     INDEX((unit_details[Effective Rent],unit_details[Effective PSF]),0,1,IF($U$3="Chunk Rent",1,2)),
     unit_details[Leased Date],"&gt;="&amp;($AM$2-T$5),
     unit_details[Leased Date],"&lt;"&amp;$AM$2,
     unit_details[Beds],$L29,
     unit_details[Baths],$M29,
     unit_details[Partial Baths],IF(ISNUMBER($N29),$N29,""),
     unit_details[Sqft],$P29,
     unit_details[Property Name],$F29)
 ),"")</f>
        <v/>
      </c>
      <c r="V29" s="27" t="str">
        <f t="shared" si="10"/>
        <v/>
      </c>
      <c r="W29" s="526">
        <f>IFERROR(
  IF($F29="Total",
    SUM(INDEX(W:W, ROW()-COUNTIF($F$6:INDEX($F:$F, ROW()-1), $F28)) : INDEX(W:W, ROW()-1)),
    COUNTIFS(
      unit_details[Leased Date], "&gt;="&amp;($AM$2-T$5),
      unit_details[Leased Date], "&lt;"&amp;$AM$2,
      unit_details[Beds], $L29,
      unit_details[Baths], $M29,
      unit_details[Partial Baths], IF(ISNUMBER($N29), $N29, ""),
      unit_details[Sqft],$P29,
      unit_details[Property Name], $F29
    )
  ),
"")</f>
        <v>0</v>
      </c>
      <c r="X29" s="531" t="str">
        <f>IFERROR(
 IF($F29="Total",
   SUMPRODUCT(
   INDEX(X:X, ROW()-COUNTIF($F$6:INDEX($F:$F, ROW()-1), $F28)) : INDEX(X:X, ROW()-1),
   INDEX(AA:AA, ROW()-COUNTIF($F$6:INDEX($F:$F, ROW()-1), $F28)) : INDEX(AA:AA, ROW()-1)
   )
   /SUM(INDEX(AA:AA, ROW()-COUNTIF($F$6:INDEX($F:$F, ROW()-1), $F28)) : INDEX(AA:AA, ROW()-1)),
   AVERAGEIFS(
     INDEX((unit_details[Asking Rent],unit_details[Asking PSF]),0,1,IF($U$3="Chunk Rent",1,2)),
     unit_details[Leased Date],"&gt;="&amp;($AM$2-X$5),
     unit_details[Leased Date],"&lt;"&amp;$AM$2,
     unit_details[Beds],$L29,
     unit_details[Baths],$M29,
     unit_details[Partial Baths],IF(ISNUMBER($N29),$N29,""),
     unit_details[Sqft],$P29,
     unit_details[Property Name],$F29)
 ),"")</f>
        <v/>
      </c>
      <c r="Y29" s="552" t="str">
        <f>IFERROR(
 IF($F29="Total",
   SUMPRODUCT(
   INDEX(Y:Y, ROW()-COUNTIF($F$6:INDEX($F:$F, ROW()-1), $F28)) : INDEX(Y:Y, ROW()-1),
   INDEX(AA:AA, ROW()-COUNTIF($F$6:INDEX($F:$F, ROW()-1), $F28)) : INDEX(AA:AA, ROW()-1)
   )
   /SUM(INDEX(AA:AA, ROW()-COUNTIF($F$6:INDEX($F:$F, ROW()-1), $F28)) : INDEX(AA:AA, ROW()-1)),
   AVERAGEIFS(
     INDEX((unit_details[Effective Rent],unit_details[Effective PSF]),0,1,IF($U$3="Chunk Rent",1,2)),
     unit_details[Leased Date],"&gt;="&amp;($AM$2-X$5),
     unit_details[Leased Date],"&lt;"&amp;$AM$2,
     unit_details[Beds],$L29,
     unit_details[Baths],$M29,
     unit_details[Partial Baths],IF(ISNUMBER($N29),$N29,""),
     unit_details[Sqft],$P29,
     unit_details[Property Name],$F29)
 ),"")</f>
        <v/>
      </c>
      <c r="Z29" s="27" t="str">
        <f t="shared" si="11"/>
        <v/>
      </c>
      <c r="AA29" s="526">
        <f>IFERROR(
  IF($F29="Total",
    SUM(INDEX(AA:AA, ROW()-COUNTIF($F$6:INDEX($F:$F, ROW()-1), $F28)) : INDEX(AA:AA, ROW()-1)),
    COUNTIFS(
      unit_details[Leased Date], "&gt;="&amp;($AM$2-X$5),
      unit_details[Leased Date], "&lt;"&amp;$AM$2,
      unit_details[Beds], $L29,
      unit_details[Baths], $M29,
      unit_details[Partial Baths], IF(ISNUMBER($N29), $N29, ""),
      unit_details[Sqft],$P29,
      unit_details[Property Name], $F29
    )
  ),
"")</f>
        <v>0</v>
      </c>
      <c r="AB29" s="290">
        <f>IF($F29="Total",
SUM(INDEX(AB:AB, ROW()-COUNTIF($F$6:INDEX($F:$F, ROW()-1), $F28)) : INDEX(AB:AB, ROW()-1)),
COUNTIFS(unit_details[Active Listing?],TRUE,
          unit_details[Property Name], $F29,
          unit_details[Beds], $L29,
          unit_details[Baths], $M29,
          unit_details[Partial Baths],IF(ISNUMBER($N29),$N29,""),
          unit_details[Sqft],$P29))</f>
        <v>0</v>
      </c>
      <c r="AC29" s="27" t="str">
        <f t="shared" si="3"/>
        <v/>
      </c>
      <c r="AD29" s="293" t="str">
        <f>IFERROR(IF(AE29="","",IF($F29="Total",
SUMPRODUCT(
   INDEX(AD:AD, ROW()-COUNTIF($F$6:INDEX($F:$F, ROW()-1), $F28)) : INDEX(AD:AD, ROW()-1),
   INDEX(AB:AB, ROW()-COUNTIF($F$6:INDEX($F:$F, ROW()-1), $F28)) : INDEX(AB:AB, ROW()-1)
   )
   /SUM(INDEX(AB:AB, ROW()-COUNTIF($F$6:INDEX($F:$F, ROW()-1), $F28)) : INDEX(AB:AB, ROW()-1)),
          _xlfn.MINIFS(unit_details[Asking Rent],
          unit_details[Active Listing?],TRUE,
          unit_details[Property Name], $F29,
          unit_details[Beds], $L29,
          unit_details[Baths], $M29,
          unit_details[Partial Baths], IF(ISNUMBER($N29),$N29,""),
          unit_details[Sqft],$P29
))),"")</f>
        <v/>
      </c>
      <c r="AE29" s="5" t="str">
        <f>IFERROR(IF($F29="Total",
          SUMPRODUCT(
   INDEX(AE:AE, ROW()-COUNTIF($F$6:INDEX($F:$F, ROW()-1), $F28)) : INDEX(AE:AE, ROW()-1),
   INDEX(AB:AB, ROW()-COUNTIF($F$6:INDEX($F:$F, ROW()-1), $F28)) : INDEX(AB:AB, ROW()-1)
   )
   /SUM(INDEX(AB:AB, ROW()-COUNTIF($F$6:INDEX($F:$F, ROW()-1), $F28)) : INDEX(AB:AB, ROW()-1)),
          AVERAGEIFS(unit_details[Asking Rent],
          unit_details[Active Listing?],TRUE,
          unit_details[Property Name], $F29,
          unit_details[Beds], $L29,
          unit_details[Baths], $M29,
          unit_details[Partial Baths], IF(ISNUMBER($N29),$N29,""),
          unit_details[Sqft],$P29
)),"")</f>
        <v/>
      </c>
      <c r="AF29" s="5" t="str">
        <f>IFERROR(IF(AE29="","",IF($F29="Total",
SUMPRODUCT(
   INDEX(AF:AF, ROW()-COUNTIF($F$6:INDEX($F:$F, ROW()-1), $F28)) : INDEX(AF:AF, ROW()-1),
   INDEX(AB:AB, ROW()-COUNTIF($F$6:INDEX($F:$F, ROW()-1), $F28)) : INDEX(AB:AB, ROW()-1)
   )
   /SUM(INDEX(AB:AB, ROW()-COUNTIF($F$6:INDEX($F:$F, ROW()-1), $F28)) : INDEX(AB:AB, ROW()-1)),
           _xlfn.MAXIFS(unit_details[Asking Rent],
          unit_details[Active Listing?],TRUE,
          unit_details[Property Name], $F29,
          unit_details[Beds], $L29,
          unit_details[Baths], $M29,
          unit_details[Partial Baths], IF(ISNUMBER($N29),$N29,""),
          unit_details[Sqft],$P29
))),"")</f>
        <v/>
      </c>
      <c r="AG29" s="6" t="str">
        <f>IFERROR(IF($F29="Total",
         SUMPRODUCT(
         INDEX(AG:AG, ROW()-COUNTIF($F$6:INDEX($F:$F, ROW()-1), $F28)) : INDEX(AG:AG, ROW()-1),
         INDEX(AB:AB, ROW()-COUNTIF($F$6:INDEX($F:$F, ROW()-1), $F28)) : INDEX(AB:AB, ROW()-1)
         )
         /SUM(INDEX(AB:AB, ROW()-COUNTIF($F$6:INDEX($F:$F, ROW()-1), $F28)) : INDEX(AB:AB, ROW()-1)),
          AVERAGEIFS(unit_details[Asking PSF],
          unit_details[Active Listing?],TRUE,
          unit_details[Property Name], $F29,
          unit_details[Beds], $L29,
          unit_details[Baths], $M29,
          unit_details[Partial Baths], IF(ISNUMBER($N29),$N29,""),
          unit_details[Sqft],$P29
)),"")</f>
        <v/>
      </c>
      <c r="AH29" s="293" t="str">
        <f>IFERROR(IF($F29="Total",
         SUMPRODUCT(
         INDEX(AH:AH, ROW()-COUNTIF($F$6:INDEX($F:$F, ROW()-1), $F28)) : INDEX(AH:AH, ROW()-1),
         INDEX(AB:AB, ROW()-COUNTIF($F$6:INDEX($F:$F, ROW()-1), $F28)) : INDEX(AB:AB, ROW()-1)
         )
         /SUM(INDEX(AB:AB, ROW()-COUNTIF($F$6:INDEX($F:$F, ROW()-1), $F28)) : INDEX(AB:AB, ROW()-1)),
          AVERAGEIFS(unit_details[Effective Rent],
          unit_details[Active Listing?],TRUE,
          unit_details[Property Name], $F29,
          unit_details[Beds], $L29,
          unit_details[Baths], $M29,
          unit_details[Partial Baths], IF(ISNUMBER($N29),$N29,""),
          unit_details[Sqft],$P29
)),"")</f>
        <v/>
      </c>
      <c r="AI29" s="6" t="str">
        <f>IFERROR(IF($F29="Total",
         SUMPRODUCT(
         INDEX(AI:AI, ROW()-COUNTIF($F$6:INDEX($F:$F, ROW()-1), $F28)) : INDEX(AI:AI, ROW()-1),
         INDEX(AB:AB, ROW()-COUNTIF($F$6:INDEX($F:$F, ROW()-1), $F28)) : INDEX(AB:AB, ROW()-1)
         )
         /SUM(INDEX(AB:AB, ROW()-COUNTIF($F$6:INDEX($F:$F, ROW()-1), $F28)) : INDEX(AB:AB, ROW()-1)),
           AVERAGEIFS(unit_details[Effective PSF],
          unit_details[Active Listing?],TRUE,
          unit_details[Property Name], $F29,
          unit_details[Beds], $L29,
          unit_details[Baths], $M29,
          unit_details[Partial Baths], IF(ISNUMBER($N29),$N29,""),
          unit_details[Sqft],$P29
)),"")</f>
        <v/>
      </c>
      <c r="AJ29" s="824" t="str">
        <f t="shared" si="4"/>
        <v/>
      </c>
      <c r="AK29" s="531" t="str">
        <f t="shared" si="5"/>
        <v/>
      </c>
      <c r="AL29" s="714" t="str">
        <f t="shared" si="6"/>
        <v/>
      </c>
      <c r="AM29" s="531" t="str">
        <f t="shared" si="7"/>
        <v/>
      </c>
      <c r="AN29" s="716" t="str">
        <f t="shared" si="8"/>
        <v/>
      </c>
    </row>
    <row r="30" spans="2:40" x14ac:dyDescent="0.2">
      <c r="B30" s="719"/>
      <c r="C30" s="719"/>
      <c r="F30" s="1" t="str">
        <f t="shared" si="0"/>
        <v>(blank)</v>
      </c>
      <c r="G30" s="713" t="str">
        <f t="shared" si="9"/>
        <v/>
      </c>
      <c r="H30" s="17" t="str">
        <f>IFERROR(VLOOKUP($G30,Table1[[Property]:[Exposure %]],4,0),"")</f>
        <v/>
      </c>
      <c r="I30" s="3" t="str">
        <f>IFERROR(VLOOKUP($G30,Table1[[Property]:[Exposure %]],6,0),"")</f>
        <v/>
      </c>
      <c r="J30" s="3" t="str">
        <f>IFERROR(VLOOKUP($G30,Table1[[Property]:[Exposure %]],7,0),"")</f>
        <v/>
      </c>
      <c r="K30" s="932"/>
      <c r="L30" s="933">
        <v>2</v>
      </c>
      <c r="M30" s="934">
        <v>1</v>
      </c>
      <c r="N30" s="934">
        <v>1</v>
      </c>
      <c r="O30" s="932">
        <v>864</v>
      </c>
      <c r="P30" s="931">
        <v>864</v>
      </c>
      <c r="Q30" s="935">
        <v>3.1746031746031744E-2</v>
      </c>
      <c r="R30" s="4" t="str">
        <f>IFERROR(VLOOKUP(IF(F30="Total",F29,F30),Table1[[Property]:['# Units]],7,0)*S30,"")</f>
        <v/>
      </c>
      <c r="S30" s="27">
        <f t="shared" si="2"/>
        <v>3.1746031746031744E-2</v>
      </c>
      <c r="T30" s="531" t="str">
        <f>IFERROR(
 IF($F30="Total",
   SUMPRODUCT(
   INDEX(T:T, ROW()-COUNTIF($F$6:INDEX($F:$F, ROW()-1), $F29)) : INDEX(T:T, ROW()-1),
   INDEX(W:W, ROW()-COUNTIF($F$6:INDEX($F:$F, ROW()-1), $F29)) : INDEX(W:W, ROW()-1)
   )
   /SUM(INDEX(W:W, ROW()-COUNTIF($F$6:INDEX($F:$F, ROW()-1), $F29)) : INDEX(W:W, ROW()-1)),
   AVERAGEIFS(
     INDEX((unit_details[Asking Rent],unit_details[Asking PSF]),0,1,IF($U$3="Chunk Rent",1,2)),
     unit_details[Leased Date],"&gt;="&amp;($AM$2-T$5),
     unit_details[Leased Date],"&lt;"&amp;$AM$2,
     unit_details[Beds],$L30,
     unit_details[Baths],$M30,
     unit_details[Partial Baths],IF(ISNUMBER($N30),$N30,""),
     unit_details[Sqft],$P30,
     unit_details[Property Name],$F30)
 ),"")</f>
        <v/>
      </c>
      <c r="U30" s="552" t="str">
        <f>IFERROR(
 IF($F30="Total",
   SUMPRODUCT(
   INDEX(U:U, ROW()-COUNTIF($F$6:INDEX($F:$F, ROW()-1), $F29)) : INDEX(U:U, ROW()-1),
   INDEX(W:W, ROW()-COUNTIF($F$6:INDEX($F:$F, ROW()-1), $F29)) : INDEX(W:W, ROW()-1)
   )
   /SUM(INDEX(W:W, ROW()-COUNTIF($F$6:INDEX($F:$F, ROW()-1), $F29)) : INDEX(W:W, ROW()-1)),
   AVERAGEIFS(
     INDEX((unit_details[Effective Rent],unit_details[Effective PSF]),0,1,IF($U$3="Chunk Rent",1,2)),
     unit_details[Leased Date],"&gt;="&amp;($AM$2-T$5),
     unit_details[Leased Date],"&lt;"&amp;$AM$2,
     unit_details[Beds],$L30,
     unit_details[Baths],$M30,
     unit_details[Partial Baths],IF(ISNUMBER($N30),$N30,""),
     unit_details[Sqft],$P30,
     unit_details[Property Name],$F30)
 ),"")</f>
        <v/>
      </c>
      <c r="V30" s="27" t="str">
        <f t="shared" si="10"/>
        <v/>
      </c>
      <c r="W30" s="526">
        <f>IFERROR(
  IF($F30="Total",
    SUM(INDEX(W:W, ROW()-COUNTIF($F$6:INDEX($F:$F, ROW()-1), $F29)) : INDEX(W:W, ROW()-1)),
    COUNTIFS(
      unit_details[Leased Date], "&gt;="&amp;($AM$2-T$5),
      unit_details[Leased Date], "&lt;"&amp;$AM$2,
      unit_details[Beds], $L30,
      unit_details[Baths], $M30,
      unit_details[Partial Baths], IF(ISNUMBER($N30), $N30, ""),
      unit_details[Sqft],$P30,
      unit_details[Property Name], $F30
    )
  ),
"")</f>
        <v>0</v>
      </c>
      <c r="X30" s="531" t="str">
        <f>IFERROR(
 IF($F30="Total",
   SUMPRODUCT(
   INDEX(X:X, ROW()-COUNTIF($F$6:INDEX($F:$F, ROW()-1), $F29)) : INDEX(X:X, ROW()-1),
   INDEX(AA:AA, ROW()-COUNTIF($F$6:INDEX($F:$F, ROW()-1), $F29)) : INDEX(AA:AA, ROW()-1)
   )
   /SUM(INDEX(AA:AA, ROW()-COUNTIF($F$6:INDEX($F:$F, ROW()-1), $F29)) : INDEX(AA:AA, ROW()-1)),
   AVERAGEIFS(
     INDEX((unit_details[Asking Rent],unit_details[Asking PSF]),0,1,IF($U$3="Chunk Rent",1,2)),
     unit_details[Leased Date],"&gt;="&amp;($AM$2-X$5),
     unit_details[Leased Date],"&lt;"&amp;$AM$2,
     unit_details[Beds],$L30,
     unit_details[Baths],$M30,
     unit_details[Partial Baths],IF(ISNUMBER($N30),$N30,""),
     unit_details[Sqft],$P30,
     unit_details[Property Name],$F30)
 ),"")</f>
        <v/>
      </c>
      <c r="Y30" s="552" t="str">
        <f>IFERROR(
 IF($F30="Total",
   SUMPRODUCT(
   INDEX(Y:Y, ROW()-COUNTIF($F$6:INDEX($F:$F, ROW()-1), $F29)) : INDEX(Y:Y, ROW()-1),
   INDEX(AA:AA, ROW()-COUNTIF($F$6:INDEX($F:$F, ROW()-1), $F29)) : INDEX(AA:AA, ROW()-1)
   )
   /SUM(INDEX(AA:AA, ROW()-COUNTIF($F$6:INDEX($F:$F, ROW()-1), $F29)) : INDEX(AA:AA, ROW()-1)),
   AVERAGEIFS(
     INDEX((unit_details[Effective Rent],unit_details[Effective PSF]),0,1,IF($U$3="Chunk Rent",1,2)),
     unit_details[Leased Date],"&gt;="&amp;($AM$2-X$5),
     unit_details[Leased Date],"&lt;"&amp;$AM$2,
     unit_details[Beds],$L30,
     unit_details[Baths],$M30,
     unit_details[Partial Baths],IF(ISNUMBER($N30),$N30,""),
     unit_details[Sqft],$P30,
     unit_details[Property Name],$F30)
 ),"")</f>
        <v/>
      </c>
      <c r="Z30" s="27" t="str">
        <f t="shared" si="11"/>
        <v/>
      </c>
      <c r="AA30" s="526">
        <f>IFERROR(
  IF($F30="Total",
    SUM(INDEX(AA:AA, ROW()-COUNTIF($F$6:INDEX($F:$F, ROW()-1), $F29)) : INDEX(AA:AA, ROW()-1)),
    COUNTIFS(
      unit_details[Leased Date], "&gt;="&amp;($AM$2-X$5),
      unit_details[Leased Date], "&lt;"&amp;$AM$2,
      unit_details[Beds], $L30,
      unit_details[Baths], $M30,
      unit_details[Partial Baths], IF(ISNUMBER($N30), $N30, ""),
      unit_details[Sqft],$P30,
      unit_details[Property Name], $F30
    )
  ),
"")</f>
        <v>0</v>
      </c>
      <c r="AB30" s="290">
        <f>IF($F30="Total",
SUM(INDEX(AB:AB, ROW()-COUNTIF($F$6:INDEX($F:$F, ROW()-1), $F29)) : INDEX(AB:AB, ROW()-1)),
COUNTIFS(unit_details[Active Listing?],TRUE,
          unit_details[Property Name], $F30,
          unit_details[Beds], $L30,
          unit_details[Baths], $M30,
          unit_details[Partial Baths],IF(ISNUMBER($N30),$N30,""),
          unit_details[Sqft],$P30))</f>
        <v>0</v>
      </c>
      <c r="AC30" s="27" t="str">
        <f t="shared" si="3"/>
        <v/>
      </c>
      <c r="AD30" s="293" t="str">
        <f>IFERROR(IF(AE30="","",IF($F30="Total",
SUMPRODUCT(
   INDEX(AD:AD, ROW()-COUNTIF($F$6:INDEX($F:$F, ROW()-1), $F29)) : INDEX(AD:AD, ROW()-1),
   INDEX(AB:AB, ROW()-COUNTIF($F$6:INDEX($F:$F, ROW()-1), $F29)) : INDEX(AB:AB, ROW()-1)
   )
   /SUM(INDEX(AB:AB, ROW()-COUNTIF($F$6:INDEX($F:$F, ROW()-1), $F29)) : INDEX(AB:AB, ROW()-1)),
          _xlfn.MINIFS(unit_details[Asking Rent],
          unit_details[Active Listing?],TRUE,
          unit_details[Property Name], $F30,
          unit_details[Beds], $L30,
          unit_details[Baths], $M30,
          unit_details[Partial Baths], IF(ISNUMBER($N30),$N30,""),
          unit_details[Sqft],$P30
))),"")</f>
        <v/>
      </c>
      <c r="AE30" s="5" t="str">
        <f>IFERROR(IF($F30="Total",
          SUMPRODUCT(
   INDEX(AE:AE, ROW()-COUNTIF($F$6:INDEX($F:$F, ROW()-1), $F29)) : INDEX(AE:AE, ROW()-1),
   INDEX(AB:AB, ROW()-COUNTIF($F$6:INDEX($F:$F, ROW()-1), $F29)) : INDEX(AB:AB, ROW()-1)
   )
   /SUM(INDEX(AB:AB, ROW()-COUNTIF($F$6:INDEX($F:$F, ROW()-1), $F29)) : INDEX(AB:AB, ROW()-1)),
          AVERAGEIFS(unit_details[Asking Rent],
          unit_details[Active Listing?],TRUE,
          unit_details[Property Name], $F30,
          unit_details[Beds], $L30,
          unit_details[Baths], $M30,
          unit_details[Partial Baths], IF(ISNUMBER($N30),$N30,""),
          unit_details[Sqft],$P30
)),"")</f>
        <v/>
      </c>
      <c r="AF30" s="5" t="str">
        <f>IFERROR(IF(AE30="","",IF($F30="Total",
SUMPRODUCT(
   INDEX(AF:AF, ROW()-COUNTIF($F$6:INDEX($F:$F, ROW()-1), $F29)) : INDEX(AF:AF, ROW()-1),
   INDEX(AB:AB, ROW()-COUNTIF($F$6:INDEX($F:$F, ROW()-1), $F29)) : INDEX(AB:AB, ROW()-1)
   )
   /SUM(INDEX(AB:AB, ROW()-COUNTIF($F$6:INDEX($F:$F, ROW()-1), $F29)) : INDEX(AB:AB, ROW()-1)),
           _xlfn.MAXIFS(unit_details[Asking Rent],
          unit_details[Active Listing?],TRUE,
          unit_details[Property Name], $F30,
          unit_details[Beds], $L30,
          unit_details[Baths], $M30,
          unit_details[Partial Baths], IF(ISNUMBER($N30),$N30,""),
          unit_details[Sqft],$P30
))),"")</f>
        <v/>
      </c>
      <c r="AG30" s="6" t="str">
        <f>IFERROR(IF($F30="Total",
         SUMPRODUCT(
         INDEX(AG:AG, ROW()-COUNTIF($F$6:INDEX($F:$F, ROW()-1), $F29)) : INDEX(AG:AG, ROW()-1),
         INDEX(AB:AB, ROW()-COUNTIF($F$6:INDEX($F:$F, ROW()-1), $F29)) : INDEX(AB:AB, ROW()-1)
         )
         /SUM(INDEX(AB:AB, ROW()-COUNTIF($F$6:INDEX($F:$F, ROW()-1), $F29)) : INDEX(AB:AB, ROW()-1)),
          AVERAGEIFS(unit_details[Asking PSF],
          unit_details[Active Listing?],TRUE,
          unit_details[Property Name], $F30,
          unit_details[Beds], $L30,
          unit_details[Baths], $M30,
          unit_details[Partial Baths], IF(ISNUMBER($N30),$N30,""),
          unit_details[Sqft],$P30
)),"")</f>
        <v/>
      </c>
      <c r="AH30" s="293" t="str">
        <f>IFERROR(IF($F30="Total",
         SUMPRODUCT(
         INDEX(AH:AH, ROW()-COUNTIF($F$6:INDEX($F:$F, ROW()-1), $F29)) : INDEX(AH:AH, ROW()-1),
         INDEX(AB:AB, ROW()-COUNTIF($F$6:INDEX($F:$F, ROW()-1), $F29)) : INDEX(AB:AB, ROW()-1)
         )
         /SUM(INDEX(AB:AB, ROW()-COUNTIF($F$6:INDEX($F:$F, ROW()-1), $F29)) : INDEX(AB:AB, ROW()-1)),
          AVERAGEIFS(unit_details[Effective Rent],
          unit_details[Active Listing?],TRUE,
          unit_details[Property Name], $F30,
          unit_details[Beds], $L30,
          unit_details[Baths], $M30,
          unit_details[Partial Baths], IF(ISNUMBER($N30),$N30,""),
          unit_details[Sqft],$P30
)),"")</f>
        <v/>
      </c>
      <c r="AI30" s="6" t="str">
        <f>IFERROR(IF($F30="Total",
         SUMPRODUCT(
         INDEX(AI:AI, ROW()-COUNTIF($F$6:INDEX($F:$F, ROW()-1), $F29)) : INDEX(AI:AI, ROW()-1),
         INDEX(AB:AB, ROW()-COUNTIF($F$6:INDEX($F:$F, ROW()-1), $F29)) : INDEX(AB:AB, ROW()-1)
         )
         /SUM(INDEX(AB:AB, ROW()-COUNTIF($F$6:INDEX($F:$F, ROW()-1), $F29)) : INDEX(AB:AB, ROW()-1)),
           AVERAGEIFS(unit_details[Effective PSF],
          unit_details[Active Listing?],TRUE,
          unit_details[Property Name], $F30,
          unit_details[Beds], $L30,
          unit_details[Baths], $M30,
          unit_details[Partial Baths], IF(ISNUMBER($N30),$N30,""),
          unit_details[Sqft],$P30
)),"")</f>
        <v/>
      </c>
      <c r="AJ30" s="824" t="str">
        <f t="shared" si="4"/>
        <v/>
      </c>
      <c r="AK30" s="531" t="str">
        <f t="shared" si="5"/>
        <v/>
      </c>
      <c r="AL30" s="714" t="str">
        <f t="shared" si="6"/>
        <v/>
      </c>
      <c r="AM30" s="531" t="str">
        <f t="shared" si="7"/>
        <v/>
      </c>
      <c r="AN30" s="716" t="str">
        <f t="shared" si="8"/>
        <v/>
      </c>
    </row>
    <row r="31" spans="2:40" x14ac:dyDescent="0.2">
      <c r="B31" s="736" t="s">
        <v>463</v>
      </c>
      <c r="C31" s="736" t="s">
        <v>463</v>
      </c>
      <c r="F31" s="1" t="str">
        <f t="shared" si="0"/>
        <v>(blank)</v>
      </c>
      <c r="G31" s="713" t="str">
        <f t="shared" si="9"/>
        <v/>
      </c>
      <c r="H31" s="17" t="str">
        <f>IFERROR(VLOOKUP($G31,Table1[[Property]:[Exposure %]],4,0),"")</f>
        <v/>
      </c>
      <c r="I31" s="3" t="str">
        <f>IFERROR(VLOOKUP($G31,Table1[[Property]:[Exposure %]],6,0),"")</f>
        <v/>
      </c>
      <c r="J31" s="3" t="str">
        <f>IFERROR(VLOOKUP($G31,Table1[[Property]:[Exposure %]],7,0),"")</f>
        <v/>
      </c>
      <c r="K31" s="932"/>
      <c r="L31" s="933">
        <v>2</v>
      </c>
      <c r="M31" s="934">
        <v>1</v>
      </c>
      <c r="N31" s="934">
        <v>1</v>
      </c>
      <c r="O31" s="932">
        <v>951</v>
      </c>
      <c r="P31" s="931">
        <v>951</v>
      </c>
      <c r="Q31" s="935">
        <v>1.5873015873015872E-2</v>
      </c>
      <c r="R31" s="4" t="str">
        <f>IFERROR(VLOOKUP(IF(F31="Total",F30,F31),Table1[[Property]:['# Units]],7,0)*S31,"")</f>
        <v/>
      </c>
      <c r="S31" s="27">
        <f t="shared" si="2"/>
        <v>1.5873015873015872E-2</v>
      </c>
      <c r="T31" s="531" t="str">
        <f>IFERROR(
 IF($F31="Total",
   SUMPRODUCT(
   INDEX(T:T, ROW()-COUNTIF($F$6:INDEX($F:$F, ROW()-1), $F30)) : INDEX(T:T, ROW()-1),
   INDEX(W:W, ROW()-COUNTIF($F$6:INDEX($F:$F, ROW()-1), $F30)) : INDEX(W:W, ROW()-1)
   )
   /SUM(INDEX(W:W, ROW()-COUNTIF($F$6:INDEX($F:$F, ROW()-1), $F30)) : INDEX(W:W, ROW()-1)),
   AVERAGEIFS(
     INDEX((unit_details[Asking Rent],unit_details[Asking PSF]),0,1,IF($U$3="Chunk Rent",1,2)),
     unit_details[Leased Date],"&gt;="&amp;($AM$2-T$5),
     unit_details[Leased Date],"&lt;"&amp;$AM$2,
     unit_details[Beds],$L31,
     unit_details[Baths],$M31,
     unit_details[Partial Baths],IF(ISNUMBER($N31),$N31,""),
     unit_details[Sqft],$P31,
     unit_details[Property Name],$F31)
 ),"")</f>
        <v/>
      </c>
      <c r="U31" s="552" t="str">
        <f>IFERROR(
 IF($F31="Total",
   SUMPRODUCT(
   INDEX(U:U, ROW()-COUNTIF($F$6:INDEX($F:$F, ROW()-1), $F30)) : INDEX(U:U, ROW()-1),
   INDEX(W:W, ROW()-COUNTIF($F$6:INDEX($F:$F, ROW()-1), $F30)) : INDEX(W:W, ROW()-1)
   )
   /SUM(INDEX(W:W, ROW()-COUNTIF($F$6:INDEX($F:$F, ROW()-1), $F30)) : INDEX(W:W, ROW()-1)),
   AVERAGEIFS(
     INDEX((unit_details[Effective Rent],unit_details[Effective PSF]),0,1,IF($U$3="Chunk Rent",1,2)),
     unit_details[Leased Date],"&gt;="&amp;($AM$2-T$5),
     unit_details[Leased Date],"&lt;"&amp;$AM$2,
     unit_details[Beds],$L31,
     unit_details[Baths],$M31,
     unit_details[Partial Baths],IF(ISNUMBER($N31),$N31,""),
     unit_details[Sqft],$P31,
     unit_details[Property Name],$F31)
 ),"")</f>
        <v/>
      </c>
      <c r="V31" s="27" t="str">
        <f t="shared" si="10"/>
        <v/>
      </c>
      <c r="W31" s="526">
        <f>IFERROR(
  IF($F31="Total",
    SUM(INDEX(W:W, ROW()-COUNTIF($F$6:INDEX($F:$F, ROW()-1), $F30)) : INDEX(W:W, ROW()-1)),
    COUNTIFS(
      unit_details[Leased Date], "&gt;="&amp;($AM$2-T$5),
      unit_details[Leased Date], "&lt;"&amp;$AM$2,
      unit_details[Beds], $L31,
      unit_details[Baths], $M31,
      unit_details[Partial Baths], IF(ISNUMBER($N31), $N31, ""),
      unit_details[Sqft],$P31,
      unit_details[Property Name], $F31
    )
  ),
"")</f>
        <v>0</v>
      </c>
      <c r="X31" s="531" t="str">
        <f>IFERROR(
 IF($F31="Total",
   SUMPRODUCT(
   INDEX(X:X, ROW()-COUNTIF($F$6:INDEX($F:$F, ROW()-1), $F30)) : INDEX(X:X, ROW()-1),
   INDEX(AA:AA, ROW()-COUNTIF($F$6:INDEX($F:$F, ROW()-1), $F30)) : INDEX(AA:AA, ROW()-1)
   )
   /SUM(INDEX(AA:AA, ROW()-COUNTIF($F$6:INDEX($F:$F, ROW()-1), $F30)) : INDEX(AA:AA, ROW()-1)),
   AVERAGEIFS(
     INDEX((unit_details[Asking Rent],unit_details[Asking PSF]),0,1,IF($U$3="Chunk Rent",1,2)),
     unit_details[Leased Date],"&gt;="&amp;($AM$2-X$5),
     unit_details[Leased Date],"&lt;"&amp;$AM$2,
     unit_details[Beds],$L31,
     unit_details[Baths],$M31,
     unit_details[Partial Baths],IF(ISNUMBER($N31),$N31,""),
     unit_details[Sqft],$P31,
     unit_details[Property Name],$F31)
 ),"")</f>
        <v/>
      </c>
      <c r="Y31" s="552" t="str">
        <f>IFERROR(
 IF($F31="Total",
   SUMPRODUCT(
   INDEX(Y:Y, ROW()-COUNTIF($F$6:INDEX($F:$F, ROW()-1), $F30)) : INDEX(Y:Y, ROW()-1),
   INDEX(AA:AA, ROW()-COUNTIF($F$6:INDEX($F:$F, ROW()-1), $F30)) : INDEX(AA:AA, ROW()-1)
   )
   /SUM(INDEX(AA:AA, ROW()-COUNTIF($F$6:INDEX($F:$F, ROW()-1), $F30)) : INDEX(AA:AA, ROW()-1)),
   AVERAGEIFS(
     INDEX((unit_details[Effective Rent],unit_details[Effective PSF]),0,1,IF($U$3="Chunk Rent",1,2)),
     unit_details[Leased Date],"&gt;="&amp;($AM$2-X$5),
     unit_details[Leased Date],"&lt;"&amp;$AM$2,
     unit_details[Beds],$L31,
     unit_details[Baths],$M31,
     unit_details[Partial Baths],IF(ISNUMBER($N31),$N31,""),
     unit_details[Sqft],$P31,
     unit_details[Property Name],$F31)
 ),"")</f>
        <v/>
      </c>
      <c r="Z31" s="27" t="str">
        <f t="shared" si="11"/>
        <v/>
      </c>
      <c r="AA31" s="526">
        <f>IFERROR(
  IF($F31="Total",
    SUM(INDEX(AA:AA, ROW()-COUNTIF($F$6:INDEX($F:$F, ROW()-1), $F30)) : INDEX(AA:AA, ROW()-1)),
    COUNTIFS(
      unit_details[Leased Date], "&gt;="&amp;($AM$2-X$5),
      unit_details[Leased Date], "&lt;"&amp;$AM$2,
      unit_details[Beds], $L31,
      unit_details[Baths], $M31,
      unit_details[Partial Baths], IF(ISNUMBER($N31), $N31, ""),
      unit_details[Sqft],$P31,
      unit_details[Property Name], $F31
    )
  ),
"")</f>
        <v>0</v>
      </c>
      <c r="AB31" s="290">
        <f>IF($F31="Total",
SUM(INDEX(AB:AB, ROW()-COUNTIF($F$6:INDEX($F:$F, ROW()-1), $F30)) : INDEX(AB:AB, ROW()-1)),
COUNTIFS(unit_details[Active Listing?],TRUE,
          unit_details[Property Name], $F31,
          unit_details[Beds], $L31,
          unit_details[Baths], $M31,
          unit_details[Partial Baths],IF(ISNUMBER($N31),$N31,""),
          unit_details[Sqft],$P31))</f>
        <v>0</v>
      </c>
      <c r="AC31" s="27" t="str">
        <f t="shared" si="3"/>
        <v/>
      </c>
      <c r="AD31" s="293" t="str">
        <f>IFERROR(IF(AE31="","",IF($F31="Total",
SUMPRODUCT(
   INDEX(AD:AD, ROW()-COUNTIF($F$6:INDEX($F:$F, ROW()-1), $F30)) : INDEX(AD:AD, ROW()-1),
   INDEX(AB:AB, ROW()-COUNTIF($F$6:INDEX($F:$F, ROW()-1), $F30)) : INDEX(AB:AB, ROW()-1)
   )
   /SUM(INDEX(AB:AB, ROW()-COUNTIF($F$6:INDEX($F:$F, ROW()-1), $F30)) : INDEX(AB:AB, ROW()-1)),
          _xlfn.MINIFS(unit_details[Asking Rent],
          unit_details[Active Listing?],TRUE,
          unit_details[Property Name], $F31,
          unit_details[Beds], $L31,
          unit_details[Baths], $M31,
          unit_details[Partial Baths], IF(ISNUMBER($N31),$N31,""),
          unit_details[Sqft],$P31
))),"")</f>
        <v/>
      </c>
      <c r="AE31" s="5" t="str">
        <f>IFERROR(IF($F31="Total",
          SUMPRODUCT(
   INDEX(AE:AE, ROW()-COUNTIF($F$6:INDEX($F:$F, ROW()-1), $F30)) : INDEX(AE:AE, ROW()-1),
   INDEX(AB:AB, ROW()-COUNTIF($F$6:INDEX($F:$F, ROW()-1), $F30)) : INDEX(AB:AB, ROW()-1)
   )
   /SUM(INDEX(AB:AB, ROW()-COUNTIF($F$6:INDEX($F:$F, ROW()-1), $F30)) : INDEX(AB:AB, ROW()-1)),
          AVERAGEIFS(unit_details[Asking Rent],
          unit_details[Active Listing?],TRUE,
          unit_details[Property Name], $F31,
          unit_details[Beds], $L31,
          unit_details[Baths], $M31,
          unit_details[Partial Baths], IF(ISNUMBER($N31),$N31,""),
          unit_details[Sqft],$P31
)),"")</f>
        <v/>
      </c>
      <c r="AF31" s="5" t="str">
        <f>IFERROR(IF(AE31="","",IF($F31="Total",
SUMPRODUCT(
   INDEX(AF:AF, ROW()-COUNTIF($F$6:INDEX($F:$F, ROW()-1), $F30)) : INDEX(AF:AF, ROW()-1),
   INDEX(AB:AB, ROW()-COUNTIF($F$6:INDEX($F:$F, ROW()-1), $F30)) : INDEX(AB:AB, ROW()-1)
   )
   /SUM(INDEX(AB:AB, ROW()-COUNTIF($F$6:INDEX($F:$F, ROW()-1), $F30)) : INDEX(AB:AB, ROW()-1)),
           _xlfn.MAXIFS(unit_details[Asking Rent],
          unit_details[Active Listing?],TRUE,
          unit_details[Property Name], $F31,
          unit_details[Beds], $L31,
          unit_details[Baths], $M31,
          unit_details[Partial Baths], IF(ISNUMBER($N31),$N31,""),
          unit_details[Sqft],$P31
))),"")</f>
        <v/>
      </c>
      <c r="AG31" s="6" t="str">
        <f>IFERROR(IF($F31="Total",
         SUMPRODUCT(
         INDEX(AG:AG, ROW()-COUNTIF($F$6:INDEX($F:$F, ROW()-1), $F30)) : INDEX(AG:AG, ROW()-1),
         INDEX(AB:AB, ROW()-COUNTIF($F$6:INDEX($F:$F, ROW()-1), $F30)) : INDEX(AB:AB, ROW()-1)
         )
         /SUM(INDEX(AB:AB, ROW()-COUNTIF($F$6:INDEX($F:$F, ROW()-1), $F30)) : INDEX(AB:AB, ROW()-1)),
          AVERAGEIFS(unit_details[Asking PSF],
          unit_details[Active Listing?],TRUE,
          unit_details[Property Name], $F31,
          unit_details[Beds], $L31,
          unit_details[Baths], $M31,
          unit_details[Partial Baths], IF(ISNUMBER($N31),$N31,""),
          unit_details[Sqft],$P31
)),"")</f>
        <v/>
      </c>
      <c r="AH31" s="293" t="str">
        <f>IFERROR(IF($F31="Total",
         SUMPRODUCT(
         INDEX(AH:AH, ROW()-COUNTIF($F$6:INDEX($F:$F, ROW()-1), $F30)) : INDEX(AH:AH, ROW()-1),
         INDEX(AB:AB, ROW()-COUNTIF($F$6:INDEX($F:$F, ROW()-1), $F30)) : INDEX(AB:AB, ROW()-1)
         )
         /SUM(INDEX(AB:AB, ROW()-COUNTIF($F$6:INDEX($F:$F, ROW()-1), $F30)) : INDEX(AB:AB, ROW()-1)),
          AVERAGEIFS(unit_details[Effective Rent],
          unit_details[Active Listing?],TRUE,
          unit_details[Property Name], $F31,
          unit_details[Beds], $L31,
          unit_details[Baths], $M31,
          unit_details[Partial Baths], IF(ISNUMBER($N31),$N31,""),
          unit_details[Sqft],$P31
)),"")</f>
        <v/>
      </c>
      <c r="AI31" s="6" t="str">
        <f>IFERROR(IF($F31="Total",
         SUMPRODUCT(
         INDEX(AI:AI, ROW()-COUNTIF($F$6:INDEX($F:$F, ROW()-1), $F30)) : INDEX(AI:AI, ROW()-1),
         INDEX(AB:AB, ROW()-COUNTIF($F$6:INDEX($F:$F, ROW()-1), $F30)) : INDEX(AB:AB, ROW()-1)
         )
         /SUM(INDEX(AB:AB, ROW()-COUNTIF($F$6:INDEX($F:$F, ROW()-1), $F30)) : INDEX(AB:AB, ROW()-1)),
           AVERAGEIFS(unit_details[Effective PSF],
          unit_details[Active Listing?],TRUE,
          unit_details[Property Name], $F31,
          unit_details[Beds], $L31,
          unit_details[Baths], $M31,
          unit_details[Partial Baths], IF(ISNUMBER($N31),$N31,""),
          unit_details[Sqft],$P31
)),"")</f>
        <v/>
      </c>
      <c r="AJ31" s="824" t="str">
        <f t="shared" si="4"/>
        <v/>
      </c>
      <c r="AK31" s="531" t="str">
        <f t="shared" si="5"/>
        <v/>
      </c>
      <c r="AL31" s="714" t="str">
        <f t="shared" si="6"/>
        <v/>
      </c>
      <c r="AM31" s="531" t="str">
        <f t="shared" si="7"/>
        <v/>
      </c>
      <c r="AN31" s="716" t="str">
        <f t="shared" si="8"/>
        <v/>
      </c>
    </row>
    <row r="32" spans="2:40" x14ac:dyDescent="0.2">
      <c r="B32" s="736" t="b" cm="1">
        <f t="array" ref="B32">IF(SUMPRODUCT(--(COUNTIF($L$7:$L$806, unit_details[Beds])=0))&gt;0, TRUE, FALSE)</f>
        <v>0</v>
      </c>
      <c r="C32" s="736" t="b" cm="1">
        <f t="array" ref="C32">IF(SUMPRODUCT(--(COUNTIF($M$7:$M$806, unit_details[Baths])=0))&gt;0, TRUE, FALSE)</f>
        <v>0</v>
      </c>
      <c r="F32" s="1" t="str">
        <f t="shared" si="0"/>
        <v>(blank)</v>
      </c>
      <c r="G32" s="713" t="str">
        <f t="shared" si="9"/>
        <v/>
      </c>
      <c r="H32" s="17" t="str">
        <f>IFERROR(VLOOKUP($G32,Table1[[Property]:[Exposure %]],4,0),"")</f>
        <v/>
      </c>
      <c r="I32" s="3" t="str">
        <f>IFERROR(VLOOKUP($G32,Table1[[Property]:[Exposure %]],6,0),"")</f>
        <v/>
      </c>
      <c r="J32" s="3" t="str">
        <f>IFERROR(VLOOKUP($G32,Table1[[Property]:[Exposure %]],7,0),"")</f>
        <v/>
      </c>
      <c r="K32" s="932"/>
      <c r="L32" s="933">
        <v>2</v>
      </c>
      <c r="M32" s="934">
        <v>1</v>
      </c>
      <c r="N32" s="934">
        <v>1</v>
      </c>
      <c r="O32" s="932">
        <v>952</v>
      </c>
      <c r="P32" s="931">
        <v>952</v>
      </c>
      <c r="Q32" s="935">
        <v>1.5873015873015872E-2</v>
      </c>
      <c r="R32" s="4" t="str">
        <f>IFERROR(VLOOKUP(IF(F32="Total",F31,F32),Table1[[Property]:['# Units]],7,0)*S32,"")</f>
        <v/>
      </c>
      <c r="S32" s="27">
        <f t="shared" si="2"/>
        <v>1.5873015873015872E-2</v>
      </c>
      <c r="T32" s="531" t="str">
        <f>IFERROR(
 IF($F32="Total",
   SUMPRODUCT(
   INDEX(T:T, ROW()-COUNTIF($F$6:INDEX($F:$F, ROW()-1), $F31)) : INDEX(T:T, ROW()-1),
   INDEX(W:W, ROW()-COUNTIF($F$6:INDEX($F:$F, ROW()-1), $F31)) : INDEX(W:W, ROW()-1)
   )
   /SUM(INDEX(W:W, ROW()-COUNTIF($F$6:INDEX($F:$F, ROW()-1), $F31)) : INDEX(W:W, ROW()-1)),
   AVERAGEIFS(
     INDEX((unit_details[Asking Rent],unit_details[Asking PSF]),0,1,IF($U$3="Chunk Rent",1,2)),
     unit_details[Leased Date],"&gt;="&amp;($AM$2-T$5),
     unit_details[Leased Date],"&lt;"&amp;$AM$2,
     unit_details[Beds],$L32,
     unit_details[Baths],$M32,
     unit_details[Partial Baths],IF(ISNUMBER($N32),$N32,""),
     unit_details[Sqft],$P32,
     unit_details[Property Name],$F32)
 ),"")</f>
        <v/>
      </c>
      <c r="U32" s="552" t="str">
        <f>IFERROR(
 IF($F32="Total",
   SUMPRODUCT(
   INDEX(U:U, ROW()-COUNTIF($F$6:INDEX($F:$F, ROW()-1), $F31)) : INDEX(U:U, ROW()-1),
   INDEX(W:W, ROW()-COUNTIF($F$6:INDEX($F:$F, ROW()-1), $F31)) : INDEX(W:W, ROW()-1)
   )
   /SUM(INDEX(W:W, ROW()-COUNTIF($F$6:INDEX($F:$F, ROW()-1), $F31)) : INDEX(W:W, ROW()-1)),
   AVERAGEIFS(
     INDEX((unit_details[Effective Rent],unit_details[Effective PSF]),0,1,IF($U$3="Chunk Rent",1,2)),
     unit_details[Leased Date],"&gt;="&amp;($AM$2-T$5),
     unit_details[Leased Date],"&lt;"&amp;$AM$2,
     unit_details[Beds],$L32,
     unit_details[Baths],$M32,
     unit_details[Partial Baths],IF(ISNUMBER($N32),$N32,""),
     unit_details[Sqft],$P32,
     unit_details[Property Name],$F32)
 ),"")</f>
        <v/>
      </c>
      <c r="V32" s="27" t="str">
        <f t="shared" si="10"/>
        <v/>
      </c>
      <c r="W32" s="526">
        <f>IFERROR(
  IF($F32="Total",
    SUM(INDEX(W:W, ROW()-COUNTIF($F$6:INDEX($F:$F, ROW()-1), $F31)) : INDEX(W:W, ROW()-1)),
    COUNTIFS(
      unit_details[Leased Date], "&gt;="&amp;($AM$2-T$5),
      unit_details[Leased Date], "&lt;"&amp;$AM$2,
      unit_details[Beds], $L32,
      unit_details[Baths], $M32,
      unit_details[Partial Baths], IF(ISNUMBER($N32), $N32, ""),
      unit_details[Sqft],$P32,
      unit_details[Property Name], $F32
    )
  ),
"")</f>
        <v>0</v>
      </c>
      <c r="X32" s="531" t="str">
        <f>IFERROR(
 IF($F32="Total",
   SUMPRODUCT(
   INDEX(X:X, ROW()-COUNTIF($F$6:INDEX($F:$F, ROW()-1), $F31)) : INDEX(X:X, ROW()-1),
   INDEX(AA:AA, ROW()-COUNTIF($F$6:INDEX($F:$F, ROW()-1), $F31)) : INDEX(AA:AA, ROW()-1)
   )
   /SUM(INDEX(AA:AA, ROW()-COUNTIF($F$6:INDEX($F:$F, ROW()-1), $F31)) : INDEX(AA:AA, ROW()-1)),
   AVERAGEIFS(
     INDEX((unit_details[Asking Rent],unit_details[Asking PSF]),0,1,IF($U$3="Chunk Rent",1,2)),
     unit_details[Leased Date],"&gt;="&amp;($AM$2-X$5),
     unit_details[Leased Date],"&lt;"&amp;$AM$2,
     unit_details[Beds],$L32,
     unit_details[Baths],$M32,
     unit_details[Partial Baths],IF(ISNUMBER($N32),$N32,""),
     unit_details[Sqft],$P32,
     unit_details[Property Name],$F32)
 ),"")</f>
        <v/>
      </c>
      <c r="Y32" s="552" t="str">
        <f>IFERROR(
 IF($F32="Total",
   SUMPRODUCT(
   INDEX(Y:Y, ROW()-COUNTIF($F$6:INDEX($F:$F, ROW()-1), $F31)) : INDEX(Y:Y, ROW()-1),
   INDEX(AA:AA, ROW()-COUNTIF($F$6:INDEX($F:$F, ROW()-1), $F31)) : INDEX(AA:AA, ROW()-1)
   )
   /SUM(INDEX(AA:AA, ROW()-COUNTIF($F$6:INDEX($F:$F, ROW()-1), $F31)) : INDEX(AA:AA, ROW()-1)),
   AVERAGEIFS(
     INDEX((unit_details[Effective Rent],unit_details[Effective PSF]),0,1,IF($U$3="Chunk Rent",1,2)),
     unit_details[Leased Date],"&gt;="&amp;($AM$2-X$5),
     unit_details[Leased Date],"&lt;"&amp;$AM$2,
     unit_details[Beds],$L32,
     unit_details[Baths],$M32,
     unit_details[Partial Baths],IF(ISNUMBER($N32),$N32,""),
     unit_details[Sqft],$P32,
     unit_details[Property Name],$F32)
 ),"")</f>
        <v/>
      </c>
      <c r="Z32" s="27" t="str">
        <f t="shared" si="11"/>
        <v/>
      </c>
      <c r="AA32" s="526">
        <f>IFERROR(
  IF($F32="Total",
    SUM(INDEX(AA:AA, ROW()-COUNTIF($F$6:INDEX($F:$F, ROW()-1), $F31)) : INDEX(AA:AA, ROW()-1)),
    COUNTIFS(
      unit_details[Leased Date], "&gt;="&amp;($AM$2-X$5),
      unit_details[Leased Date], "&lt;"&amp;$AM$2,
      unit_details[Beds], $L32,
      unit_details[Baths], $M32,
      unit_details[Partial Baths], IF(ISNUMBER($N32), $N32, ""),
      unit_details[Sqft],$P32,
      unit_details[Property Name], $F32
    )
  ),
"")</f>
        <v>0</v>
      </c>
      <c r="AB32" s="290">
        <f>IF($F32="Total",
SUM(INDEX(AB:AB, ROW()-COUNTIF($F$6:INDEX($F:$F, ROW()-1), $F31)) : INDEX(AB:AB, ROW()-1)),
COUNTIFS(unit_details[Active Listing?],TRUE,
          unit_details[Property Name], $F32,
          unit_details[Beds], $L32,
          unit_details[Baths], $M32,
          unit_details[Partial Baths],IF(ISNUMBER($N32),$N32,""),
          unit_details[Sqft],$P32))</f>
        <v>0</v>
      </c>
      <c r="AC32" s="27" t="str">
        <f t="shared" si="3"/>
        <v/>
      </c>
      <c r="AD32" s="293" t="str">
        <f>IFERROR(IF(AE32="","",IF($F32="Total",
SUMPRODUCT(
   INDEX(AD:AD, ROW()-COUNTIF($F$6:INDEX($F:$F, ROW()-1), $F31)) : INDEX(AD:AD, ROW()-1),
   INDEX(AB:AB, ROW()-COUNTIF($F$6:INDEX($F:$F, ROW()-1), $F31)) : INDEX(AB:AB, ROW()-1)
   )
   /SUM(INDEX(AB:AB, ROW()-COUNTIF($F$6:INDEX($F:$F, ROW()-1), $F31)) : INDEX(AB:AB, ROW()-1)),
          _xlfn.MINIFS(unit_details[Asking Rent],
          unit_details[Active Listing?],TRUE,
          unit_details[Property Name], $F32,
          unit_details[Beds], $L32,
          unit_details[Baths], $M32,
          unit_details[Partial Baths], IF(ISNUMBER($N32),$N32,""),
          unit_details[Sqft],$P32
))),"")</f>
        <v/>
      </c>
      <c r="AE32" s="5" t="str">
        <f>IFERROR(IF($F32="Total",
          SUMPRODUCT(
   INDEX(AE:AE, ROW()-COUNTIF($F$6:INDEX($F:$F, ROW()-1), $F31)) : INDEX(AE:AE, ROW()-1),
   INDEX(AB:AB, ROW()-COUNTIF($F$6:INDEX($F:$F, ROW()-1), $F31)) : INDEX(AB:AB, ROW()-1)
   )
   /SUM(INDEX(AB:AB, ROW()-COUNTIF($F$6:INDEX($F:$F, ROW()-1), $F31)) : INDEX(AB:AB, ROW()-1)),
          AVERAGEIFS(unit_details[Asking Rent],
          unit_details[Active Listing?],TRUE,
          unit_details[Property Name], $F32,
          unit_details[Beds], $L32,
          unit_details[Baths], $M32,
          unit_details[Partial Baths], IF(ISNUMBER($N32),$N32,""),
          unit_details[Sqft],$P32
)),"")</f>
        <v/>
      </c>
      <c r="AF32" s="5" t="str">
        <f>IFERROR(IF(AE32="","",IF($F32="Total",
SUMPRODUCT(
   INDEX(AF:AF, ROW()-COUNTIF($F$6:INDEX($F:$F, ROW()-1), $F31)) : INDEX(AF:AF, ROW()-1),
   INDEX(AB:AB, ROW()-COUNTIF($F$6:INDEX($F:$F, ROW()-1), $F31)) : INDEX(AB:AB, ROW()-1)
   )
   /SUM(INDEX(AB:AB, ROW()-COUNTIF($F$6:INDEX($F:$F, ROW()-1), $F31)) : INDEX(AB:AB, ROW()-1)),
           _xlfn.MAXIFS(unit_details[Asking Rent],
          unit_details[Active Listing?],TRUE,
          unit_details[Property Name], $F32,
          unit_details[Beds], $L32,
          unit_details[Baths], $M32,
          unit_details[Partial Baths], IF(ISNUMBER($N32),$N32,""),
          unit_details[Sqft],$P32
))),"")</f>
        <v/>
      </c>
      <c r="AG32" s="6" t="str">
        <f>IFERROR(IF($F32="Total",
         SUMPRODUCT(
         INDEX(AG:AG, ROW()-COUNTIF($F$6:INDEX($F:$F, ROW()-1), $F31)) : INDEX(AG:AG, ROW()-1),
         INDEX(AB:AB, ROW()-COUNTIF($F$6:INDEX($F:$F, ROW()-1), $F31)) : INDEX(AB:AB, ROW()-1)
         )
         /SUM(INDEX(AB:AB, ROW()-COUNTIF($F$6:INDEX($F:$F, ROW()-1), $F31)) : INDEX(AB:AB, ROW()-1)),
          AVERAGEIFS(unit_details[Asking PSF],
          unit_details[Active Listing?],TRUE,
          unit_details[Property Name], $F32,
          unit_details[Beds], $L32,
          unit_details[Baths], $M32,
          unit_details[Partial Baths], IF(ISNUMBER($N32),$N32,""),
          unit_details[Sqft],$P32
)),"")</f>
        <v/>
      </c>
      <c r="AH32" s="293" t="str">
        <f>IFERROR(IF($F32="Total",
         SUMPRODUCT(
         INDEX(AH:AH, ROW()-COUNTIF($F$6:INDEX($F:$F, ROW()-1), $F31)) : INDEX(AH:AH, ROW()-1),
         INDEX(AB:AB, ROW()-COUNTIF($F$6:INDEX($F:$F, ROW()-1), $F31)) : INDEX(AB:AB, ROW()-1)
         )
         /SUM(INDEX(AB:AB, ROW()-COUNTIF($F$6:INDEX($F:$F, ROW()-1), $F31)) : INDEX(AB:AB, ROW()-1)),
          AVERAGEIFS(unit_details[Effective Rent],
          unit_details[Active Listing?],TRUE,
          unit_details[Property Name], $F32,
          unit_details[Beds], $L32,
          unit_details[Baths], $M32,
          unit_details[Partial Baths], IF(ISNUMBER($N32),$N32,""),
          unit_details[Sqft],$P32
)),"")</f>
        <v/>
      </c>
      <c r="AI32" s="6" t="str">
        <f>IFERROR(IF($F32="Total",
         SUMPRODUCT(
         INDEX(AI:AI, ROW()-COUNTIF($F$6:INDEX($F:$F, ROW()-1), $F31)) : INDEX(AI:AI, ROW()-1),
         INDEX(AB:AB, ROW()-COUNTIF($F$6:INDEX($F:$F, ROW()-1), $F31)) : INDEX(AB:AB, ROW()-1)
         )
         /SUM(INDEX(AB:AB, ROW()-COUNTIF($F$6:INDEX($F:$F, ROW()-1), $F31)) : INDEX(AB:AB, ROW()-1)),
           AVERAGEIFS(unit_details[Effective PSF],
          unit_details[Active Listing?],TRUE,
          unit_details[Property Name], $F32,
          unit_details[Beds], $L32,
          unit_details[Baths], $M32,
          unit_details[Partial Baths], IF(ISNUMBER($N32),$N32,""),
          unit_details[Sqft],$P32
)),"")</f>
        <v/>
      </c>
      <c r="AJ32" s="824" t="str">
        <f t="shared" si="4"/>
        <v/>
      </c>
      <c r="AK32" s="531" t="str">
        <f t="shared" si="5"/>
        <v/>
      </c>
      <c r="AL32" s="714" t="str">
        <f t="shared" si="6"/>
        <v/>
      </c>
      <c r="AM32" s="531" t="str">
        <f t="shared" si="7"/>
        <v/>
      </c>
      <c r="AN32" s="716" t="str">
        <f t="shared" si="8"/>
        <v/>
      </c>
    </row>
    <row r="33" spans="2:40" x14ac:dyDescent="0.2">
      <c r="B33" s="736"/>
      <c r="C33" s="736"/>
      <c r="F33" s="1" t="str">
        <f t="shared" si="0"/>
        <v>(blank)</v>
      </c>
      <c r="G33" s="713" t="str">
        <f t="shared" si="9"/>
        <v/>
      </c>
      <c r="H33" s="17" t="str">
        <f>IFERROR(VLOOKUP($G33,Table1[[Property]:[Exposure %]],4,0),"")</f>
        <v/>
      </c>
      <c r="I33" s="3" t="str">
        <f>IFERROR(VLOOKUP($G33,Table1[[Property]:[Exposure %]],6,0),"")</f>
        <v/>
      </c>
      <c r="J33" s="3" t="str">
        <f>IFERROR(VLOOKUP($G33,Table1[[Property]:[Exposure %]],7,0),"")</f>
        <v/>
      </c>
      <c r="K33" s="932"/>
      <c r="L33" s="933">
        <v>2</v>
      </c>
      <c r="M33" s="934">
        <v>2</v>
      </c>
      <c r="N33" s="934" t="s">
        <v>191</v>
      </c>
      <c r="O33" s="932">
        <v>750</v>
      </c>
      <c r="P33" s="931">
        <v>750</v>
      </c>
      <c r="Q33" s="935">
        <v>1.5873015873015872E-2</v>
      </c>
      <c r="R33" s="4" t="str">
        <f>IFERROR(VLOOKUP(IF(F33="Total",F32,F33),Table1[[Property]:['# Units]],7,0)*S33,"")</f>
        <v/>
      </c>
      <c r="S33" s="27">
        <f t="shared" si="2"/>
        <v>1.5873015873015872E-2</v>
      </c>
      <c r="T33" s="531" t="str">
        <f>IFERROR(
 IF($F33="Total",
   SUMPRODUCT(
   INDEX(T:T, ROW()-COUNTIF($F$6:INDEX($F:$F, ROW()-1), $F32)) : INDEX(T:T, ROW()-1),
   INDEX(W:W, ROW()-COUNTIF($F$6:INDEX($F:$F, ROW()-1), $F32)) : INDEX(W:W, ROW()-1)
   )
   /SUM(INDEX(W:W, ROW()-COUNTIF($F$6:INDEX($F:$F, ROW()-1), $F32)) : INDEX(W:W, ROW()-1)),
   AVERAGEIFS(
     INDEX((unit_details[Asking Rent],unit_details[Asking PSF]),0,1,IF($U$3="Chunk Rent",1,2)),
     unit_details[Leased Date],"&gt;="&amp;($AM$2-T$5),
     unit_details[Leased Date],"&lt;"&amp;$AM$2,
     unit_details[Beds],$L33,
     unit_details[Baths],$M33,
     unit_details[Partial Baths],IF(ISNUMBER($N33),$N33,""),
     unit_details[Sqft],$P33,
     unit_details[Property Name],$F33)
 ),"")</f>
        <v/>
      </c>
      <c r="U33" s="552" t="str">
        <f>IFERROR(
 IF($F33="Total",
   SUMPRODUCT(
   INDEX(U:U, ROW()-COUNTIF($F$6:INDEX($F:$F, ROW()-1), $F32)) : INDEX(U:U, ROW()-1),
   INDEX(W:W, ROW()-COUNTIF($F$6:INDEX($F:$F, ROW()-1), $F32)) : INDEX(W:W, ROW()-1)
   )
   /SUM(INDEX(W:W, ROW()-COUNTIF($F$6:INDEX($F:$F, ROW()-1), $F32)) : INDEX(W:W, ROW()-1)),
   AVERAGEIFS(
     INDEX((unit_details[Effective Rent],unit_details[Effective PSF]),0,1,IF($U$3="Chunk Rent",1,2)),
     unit_details[Leased Date],"&gt;="&amp;($AM$2-T$5),
     unit_details[Leased Date],"&lt;"&amp;$AM$2,
     unit_details[Beds],$L33,
     unit_details[Baths],$M33,
     unit_details[Partial Baths],IF(ISNUMBER($N33),$N33,""),
     unit_details[Sqft],$P33,
     unit_details[Property Name],$F33)
 ),"")</f>
        <v/>
      </c>
      <c r="V33" s="27" t="str">
        <f t="shared" si="10"/>
        <v/>
      </c>
      <c r="W33" s="526">
        <f>IFERROR(
  IF($F33="Total",
    SUM(INDEX(W:W, ROW()-COUNTIF($F$6:INDEX($F:$F, ROW()-1), $F32)) : INDEX(W:W, ROW()-1)),
    COUNTIFS(
      unit_details[Leased Date], "&gt;="&amp;($AM$2-T$5),
      unit_details[Leased Date], "&lt;"&amp;$AM$2,
      unit_details[Beds], $L33,
      unit_details[Baths], $M33,
      unit_details[Partial Baths], IF(ISNUMBER($N33), $N33, ""),
      unit_details[Sqft],$P33,
      unit_details[Property Name], $F33
    )
  ),
"")</f>
        <v>0</v>
      </c>
      <c r="X33" s="531" t="str">
        <f>IFERROR(
 IF($F33="Total",
   SUMPRODUCT(
   INDEX(X:X, ROW()-COUNTIF($F$6:INDEX($F:$F, ROW()-1), $F32)) : INDEX(X:X, ROW()-1),
   INDEX(AA:AA, ROW()-COUNTIF($F$6:INDEX($F:$F, ROW()-1), $F32)) : INDEX(AA:AA, ROW()-1)
   )
   /SUM(INDEX(AA:AA, ROW()-COUNTIF($F$6:INDEX($F:$F, ROW()-1), $F32)) : INDEX(AA:AA, ROW()-1)),
   AVERAGEIFS(
     INDEX((unit_details[Asking Rent],unit_details[Asking PSF]),0,1,IF($U$3="Chunk Rent",1,2)),
     unit_details[Leased Date],"&gt;="&amp;($AM$2-X$5),
     unit_details[Leased Date],"&lt;"&amp;$AM$2,
     unit_details[Beds],$L33,
     unit_details[Baths],$M33,
     unit_details[Partial Baths],IF(ISNUMBER($N33),$N33,""),
     unit_details[Sqft],$P33,
     unit_details[Property Name],$F33)
 ),"")</f>
        <v/>
      </c>
      <c r="Y33" s="552" t="str">
        <f>IFERROR(
 IF($F33="Total",
   SUMPRODUCT(
   INDEX(Y:Y, ROW()-COUNTIF($F$6:INDEX($F:$F, ROW()-1), $F32)) : INDEX(Y:Y, ROW()-1),
   INDEX(AA:AA, ROW()-COUNTIF($F$6:INDEX($F:$F, ROW()-1), $F32)) : INDEX(AA:AA, ROW()-1)
   )
   /SUM(INDEX(AA:AA, ROW()-COUNTIF($F$6:INDEX($F:$F, ROW()-1), $F32)) : INDEX(AA:AA, ROW()-1)),
   AVERAGEIFS(
     INDEX((unit_details[Effective Rent],unit_details[Effective PSF]),0,1,IF($U$3="Chunk Rent",1,2)),
     unit_details[Leased Date],"&gt;="&amp;($AM$2-X$5),
     unit_details[Leased Date],"&lt;"&amp;$AM$2,
     unit_details[Beds],$L33,
     unit_details[Baths],$M33,
     unit_details[Partial Baths],IF(ISNUMBER($N33),$N33,""),
     unit_details[Sqft],$P33,
     unit_details[Property Name],$F33)
 ),"")</f>
        <v/>
      </c>
      <c r="Z33" s="27" t="str">
        <f t="shared" si="11"/>
        <v/>
      </c>
      <c r="AA33" s="526">
        <f>IFERROR(
  IF($F33="Total",
    SUM(INDEX(AA:AA, ROW()-COUNTIF($F$6:INDEX($F:$F, ROW()-1), $F32)) : INDEX(AA:AA, ROW()-1)),
    COUNTIFS(
      unit_details[Leased Date], "&gt;="&amp;($AM$2-X$5),
      unit_details[Leased Date], "&lt;"&amp;$AM$2,
      unit_details[Beds], $L33,
      unit_details[Baths], $M33,
      unit_details[Partial Baths], IF(ISNUMBER($N33), $N33, ""),
      unit_details[Sqft],$P33,
      unit_details[Property Name], $F33
    )
  ),
"")</f>
        <v>0</v>
      </c>
      <c r="AB33" s="290">
        <f>IF($F33="Total",
SUM(INDEX(AB:AB, ROW()-COUNTIF($F$6:INDEX($F:$F, ROW()-1), $F32)) : INDEX(AB:AB, ROW()-1)),
COUNTIFS(unit_details[Active Listing?],TRUE,
          unit_details[Property Name], $F33,
          unit_details[Beds], $L33,
          unit_details[Baths], $M33,
          unit_details[Partial Baths],IF(ISNUMBER($N33),$N33,""),
          unit_details[Sqft],$P33))</f>
        <v>0</v>
      </c>
      <c r="AC33" s="27" t="str">
        <f t="shared" si="3"/>
        <v/>
      </c>
      <c r="AD33" s="293" t="str">
        <f>IFERROR(IF(AE33="","",IF($F33="Total",
SUMPRODUCT(
   INDEX(AD:AD, ROW()-COUNTIF($F$6:INDEX($F:$F, ROW()-1), $F32)) : INDEX(AD:AD, ROW()-1),
   INDEX(AB:AB, ROW()-COUNTIF($F$6:INDEX($F:$F, ROW()-1), $F32)) : INDEX(AB:AB, ROW()-1)
   )
   /SUM(INDEX(AB:AB, ROW()-COUNTIF($F$6:INDEX($F:$F, ROW()-1), $F32)) : INDEX(AB:AB, ROW()-1)),
          _xlfn.MINIFS(unit_details[Asking Rent],
          unit_details[Active Listing?],TRUE,
          unit_details[Property Name], $F33,
          unit_details[Beds], $L33,
          unit_details[Baths], $M33,
          unit_details[Partial Baths], IF(ISNUMBER($N33),$N33,""),
          unit_details[Sqft],$P33
))),"")</f>
        <v/>
      </c>
      <c r="AE33" s="5" t="str">
        <f>IFERROR(IF($F33="Total",
          SUMPRODUCT(
   INDEX(AE:AE, ROW()-COUNTIF($F$6:INDEX($F:$F, ROW()-1), $F32)) : INDEX(AE:AE, ROW()-1),
   INDEX(AB:AB, ROW()-COUNTIF($F$6:INDEX($F:$F, ROW()-1), $F32)) : INDEX(AB:AB, ROW()-1)
   )
   /SUM(INDEX(AB:AB, ROW()-COUNTIF($F$6:INDEX($F:$F, ROW()-1), $F32)) : INDEX(AB:AB, ROW()-1)),
          AVERAGEIFS(unit_details[Asking Rent],
          unit_details[Active Listing?],TRUE,
          unit_details[Property Name], $F33,
          unit_details[Beds], $L33,
          unit_details[Baths], $M33,
          unit_details[Partial Baths], IF(ISNUMBER($N33),$N33,""),
          unit_details[Sqft],$P33
)),"")</f>
        <v/>
      </c>
      <c r="AF33" s="5" t="str">
        <f>IFERROR(IF(AE33="","",IF($F33="Total",
SUMPRODUCT(
   INDEX(AF:AF, ROW()-COUNTIF($F$6:INDEX($F:$F, ROW()-1), $F32)) : INDEX(AF:AF, ROW()-1),
   INDEX(AB:AB, ROW()-COUNTIF($F$6:INDEX($F:$F, ROW()-1), $F32)) : INDEX(AB:AB, ROW()-1)
   )
   /SUM(INDEX(AB:AB, ROW()-COUNTIF($F$6:INDEX($F:$F, ROW()-1), $F32)) : INDEX(AB:AB, ROW()-1)),
           _xlfn.MAXIFS(unit_details[Asking Rent],
          unit_details[Active Listing?],TRUE,
          unit_details[Property Name], $F33,
          unit_details[Beds], $L33,
          unit_details[Baths], $M33,
          unit_details[Partial Baths], IF(ISNUMBER($N33),$N33,""),
          unit_details[Sqft],$P33
))),"")</f>
        <v/>
      </c>
      <c r="AG33" s="6" t="str">
        <f>IFERROR(IF($F33="Total",
         SUMPRODUCT(
         INDEX(AG:AG, ROW()-COUNTIF($F$6:INDEX($F:$F, ROW()-1), $F32)) : INDEX(AG:AG, ROW()-1),
         INDEX(AB:AB, ROW()-COUNTIF($F$6:INDEX($F:$F, ROW()-1), $F32)) : INDEX(AB:AB, ROW()-1)
         )
         /SUM(INDEX(AB:AB, ROW()-COUNTIF($F$6:INDEX($F:$F, ROW()-1), $F32)) : INDEX(AB:AB, ROW()-1)),
          AVERAGEIFS(unit_details[Asking PSF],
          unit_details[Active Listing?],TRUE,
          unit_details[Property Name], $F33,
          unit_details[Beds], $L33,
          unit_details[Baths], $M33,
          unit_details[Partial Baths], IF(ISNUMBER($N33),$N33,""),
          unit_details[Sqft],$P33
)),"")</f>
        <v/>
      </c>
      <c r="AH33" s="293" t="str">
        <f>IFERROR(IF($F33="Total",
         SUMPRODUCT(
         INDEX(AH:AH, ROW()-COUNTIF($F$6:INDEX($F:$F, ROW()-1), $F32)) : INDEX(AH:AH, ROW()-1),
         INDEX(AB:AB, ROW()-COUNTIF($F$6:INDEX($F:$F, ROW()-1), $F32)) : INDEX(AB:AB, ROW()-1)
         )
         /SUM(INDEX(AB:AB, ROW()-COUNTIF($F$6:INDEX($F:$F, ROW()-1), $F32)) : INDEX(AB:AB, ROW()-1)),
          AVERAGEIFS(unit_details[Effective Rent],
          unit_details[Active Listing?],TRUE,
          unit_details[Property Name], $F33,
          unit_details[Beds], $L33,
          unit_details[Baths], $M33,
          unit_details[Partial Baths], IF(ISNUMBER($N33),$N33,""),
          unit_details[Sqft],$P33
)),"")</f>
        <v/>
      </c>
      <c r="AI33" s="6" t="str">
        <f>IFERROR(IF($F33="Total",
         SUMPRODUCT(
         INDEX(AI:AI, ROW()-COUNTIF($F$6:INDEX($F:$F, ROW()-1), $F32)) : INDEX(AI:AI, ROW()-1),
         INDEX(AB:AB, ROW()-COUNTIF($F$6:INDEX($F:$F, ROW()-1), $F32)) : INDEX(AB:AB, ROW()-1)
         )
         /SUM(INDEX(AB:AB, ROW()-COUNTIF($F$6:INDEX($F:$F, ROW()-1), $F32)) : INDEX(AB:AB, ROW()-1)),
           AVERAGEIFS(unit_details[Effective PSF],
          unit_details[Active Listing?],TRUE,
          unit_details[Property Name], $F33,
          unit_details[Beds], $L33,
          unit_details[Baths], $M33,
          unit_details[Partial Baths], IF(ISNUMBER($N33),$N33,""),
          unit_details[Sqft],$P33
)),"")</f>
        <v/>
      </c>
      <c r="AJ33" s="824" t="str">
        <f t="shared" si="4"/>
        <v/>
      </c>
      <c r="AK33" s="531" t="str">
        <f t="shared" si="5"/>
        <v/>
      </c>
      <c r="AL33" s="714" t="str">
        <f t="shared" si="6"/>
        <v/>
      </c>
      <c r="AM33" s="531" t="str">
        <f t="shared" si="7"/>
        <v/>
      </c>
      <c r="AN33" s="716" t="str">
        <f t="shared" si="8"/>
        <v/>
      </c>
    </row>
    <row r="34" spans="2:40" x14ac:dyDescent="0.2">
      <c r="B34" s="736"/>
      <c r="C34" s="736"/>
      <c r="F34" s="1" t="str">
        <f t="shared" si="0"/>
        <v>(blank)</v>
      </c>
      <c r="G34" s="713" t="str">
        <f t="shared" si="9"/>
        <v/>
      </c>
      <c r="H34" s="17" t="str">
        <f>IFERROR(VLOOKUP($G34,Table1[[Property]:[Exposure %]],4,0),"")</f>
        <v/>
      </c>
      <c r="I34" s="3" t="str">
        <f>IFERROR(VLOOKUP($G34,Table1[[Property]:[Exposure %]],6,0),"")</f>
        <v/>
      </c>
      <c r="J34" s="3" t="str">
        <f>IFERROR(VLOOKUP($G34,Table1[[Property]:[Exposure %]],7,0),"")</f>
        <v/>
      </c>
      <c r="K34" s="932"/>
      <c r="L34" s="933">
        <v>2</v>
      </c>
      <c r="M34" s="934">
        <v>2</v>
      </c>
      <c r="N34" s="934" t="s">
        <v>191</v>
      </c>
      <c r="O34" s="932">
        <v>1250</v>
      </c>
      <c r="P34" s="931">
        <v>1250</v>
      </c>
      <c r="Q34" s="935">
        <v>1.5873015873015872E-2</v>
      </c>
      <c r="R34" s="4" t="str">
        <f>IFERROR(VLOOKUP(IF(F34="Total",F33,F34),Table1[[Property]:['# Units]],7,0)*S34,"")</f>
        <v/>
      </c>
      <c r="S34" s="27">
        <f t="shared" si="2"/>
        <v>1.5873015873015872E-2</v>
      </c>
      <c r="T34" s="531" t="str">
        <f>IFERROR(
 IF($F34="Total",
   SUMPRODUCT(
   INDEX(T:T, ROW()-COUNTIF($F$6:INDEX($F:$F, ROW()-1), $F33)) : INDEX(T:T, ROW()-1),
   INDEX(W:W, ROW()-COUNTIF($F$6:INDEX($F:$F, ROW()-1), $F33)) : INDEX(W:W, ROW()-1)
   )
   /SUM(INDEX(W:W, ROW()-COUNTIF($F$6:INDEX($F:$F, ROW()-1), $F33)) : INDEX(W:W, ROW()-1)),
   AVERAGEIFS(
     INDEX((unit_details[Asking Rent],unit_details[Asking PSF]),0,1,IF($U$3="Chunk Rent",1,2)),
     unit_details[Leased Date],"&gt;="&amp;($AM$2-T$5),
     unit_details[Leased Date],"&lt;"&amp;$AM$2,
     unit_details[Beds],$L34,
     unit_details[Baths],$M34,
     unit_details[Partial Baths],IF(ISNUMBER($N34),$N34,""),
     unit_details[Sqft],$P34,
     unit_details[Property Name],$F34)
 ),"")</f>
        <v/>
      </c>
      <c r="U34" s="552" t="str">
        <f>IFERROR(
 IF($F34="Total",
   SUMPRODUCT(
   INDEX(U:U, ROW()-COUNTIF($F$6:INDEX($F:$F, ROW()-1), $F33)) : INDEX(U:U, ROW()-1),
   INDEX(W:W, ROW()-COUNTIF($F$6:INDEX($F:$F, ROW()-1), $F33)) : INDEX(W:W, ROW()-1)
   )
   /SUM(INDEX(W:W, ROW()-COUNTIF($F$6:INDEX($F:$F, ROW()-1), $F33)) : INDEX(W:W, ROW()-1)),
   AVERAGEIFS(
     INDEX((unit_details[Effective Rent],unit_details[Effective PSF]),0,1,IF($U$3="Chunk Rent",1,2)),
     unit_details[Leased Date],"&gt;="&amp;($AM$2-T$5),
     unit_details[Leased Date],"&lt;"&amp;$AM$2,
     unit_details[Beds],$L34,
     unit_details[Baths],$M34,
     unit_details[Partial Baths],IF(ISNUMBER($N34),$N34,""),
     unit_details[Sqft],$P34,
     unit_details[Property Name],$F34)
 ),"")</f>
        <v/>
      </c>
      <c r="V34" s="27" t="str">
        <f t="shared" si="10"/>
        <v/>
      </c>
      <c r="W34" s="526">
        <f>IFERROR(
  IF($F34="Total",
    SUM(INDEX(W:W, ROW()-COUNTIF($F$6:INDEX($F:$F, ROW()-1), $F33)) : INDEX(W:W, ROW()-1)),
    COUNTIFS(
      unit_details[Leased Date], "&gt;="&amp;($AM$2-T$5),
      unit_details[Leased Date], "&lt;"&amp;$AM$2,
      unit_details[Beds], $L34,
      unit_details[Baths], $M34,
      unit_details[Partial Baths], IF(ISNUMBER($N34), $N34, ""),
      unit_details[Sqft],$P34,
      unit_details[Property Name], $F34
    )
  ),
"")</f>
        <v>0</v>
      </c>
      <c r="X34" s="531" t="str">
        <f>IFERROR(
 IF($F34="Total",
   SUMPRODUCT(
   INDEX(X:X, ROW()-COUNTIF($F$6:INDEX($F:$F, ROW()-1), $F33)) : INDEX(X:X, ROW()-1),
   INDEX(AA:AA, ROW()-COUNTIF($F$6:INDEX($F:$F, ROW()-1), $F33)) : INDEX(AA:AA, ROW()-1)
   )
   /SUM(INDEX(AA:AA, ROW()-COUNTIF($F$6:INDEX($F:$F, ROW()-1), $F33)) : INDEX(AA:AA, ROW()-1)),
   AVERAGEIFS(
     INDEX((unit_details[Asking Rent],unit_details[Asking PSF]),0,1,IF($U$3="Chunk Rent",1,2)),
     unit_details[Leased Date],"&gt;="&amp;($AM$2-X$5),
     unit_details[Leased Date],"&lt;"&amp;$AM$2,
     unit_details[Beds],$L34,
     unit_details[Baths],$M34,
     unit_details[Partial Baths],IF(ISNUMBER($N34),$N34,""),
     unit_details[Sqft],$P34,
     unit_details[Property Name],$F34)
 ),"")</f>
        <v/>
      </c>
      <c r="Y34" s="552" t="str">
        <f>IFERROR(
 IF($F34="Total",
   SUMPRODUCT(
   INDEX(Y:Y, ROW()-COUNTIF($F$6:INDEX($F:$F, ROW()-1), $F33)) : INDEX(Y:Y, ROW()-1),
   INDEX(AA:AA, ROW()-COUNTIF($F$6:INDEX($F:$F, ROW()-1), $F33)) : INDEX(AA:AA, ROW()-1)
   )
   /SUM(INDEX(AA:AA, ROW()-COUNTIF($F$6:INDEX($F:$F, ROW()-1), $F33)) : INDEX(AA:AA, ROW()-1)),
   AVERAGEIFS(
     INDEX((unit_details[Effective Rent],unit_details[Effective PSF]),0,1,IF($U$3="Chunk Rent",1,2)),
     unit_details[Leased Date],"&gt;="&amp;($AM$2-X$5),
     unit_details[Leased Date],"&lt;"&amp;$AM$2,
     unit_details[Beds],$L34,
     unit_details[Baths],$M34,
     unit_details[Partial Baths],IF(ISNUMBER($N34),$N34,""),
     unit_details[Sqft],$P34,
     unit_details[Property Name],$F34)
 ),"")</f>
        <v/>
      </c>
      <c r="Z34" s="27" t="str">
        <f t="shared" si="11"/>
        <v/>
      </c>
      <c r="AA34" s="526">
        <f>IFERROR(
  IF($F34="Total",
    SUM(INDEX(AA:AA, ROW()-COUNTIF($F$6:INDEX($F:$F, ROW()-1), $F33)) : INDEX(AA:AA, ROW()-1)),
    COUNTIFS(
      unit_details[Leased Date], "&gt;="&amp;($AM$2-X$5),
      unit_details[Leased Date], "&lt;"&amp;$AM$2,
      unit_details[Beds], $L34,
      unit_details[Baths], $M34,
      unit_details[Partial Baths], IF(ISNUMBER($N34), $N34, ""),
      unit_details[Sqft],$P34,
      unit_details[Property Name], $F34
    )
  ),
"")</f>
        <v>0</v>
      </c>
      <c r="AB34" s="290">
        <f>IF($F34="Total",
SUM(INDEX(AB:AB, ROW()-COUNTIF($F$6:INDEX($F:$F, ROW()-1), $F33)) : INDEX(AB:AB, ROW()-1)),
COUNTIFS(unit_details[Active Listing?],TRUE,
          unit_details[Property Name], $F34,
          unit_details[Beds], $L34,
          unit_details[Baths], $M34,
          unit_details[Partial Baths],IF(ISNUMBER($N34),$N34,""),
          unit_details[Sqft],$P34))</f>
        <v>0</v>
      </c>
      <c r="AC34" s="27" t="str">
        <f t="shared" si="3"/>
        <v/>
      </c>
      <c r="AD34" s="293" t="str">
        <f>IFERROR(IF(AE34="","",IF($F34="Total",
SUMPRODUCT(
   INDEX(AD:AD, ROW()-COUNTIF($F$6:INDEX($F:$F, ROW()-1), $F33)) : INDEX(AD:AD, ROW()-1),
   INDEX(AB:AB, ROW()-COUNTIF($F$6:INDEX($F:$F, ROW()-1), $F33)) : INDEX(AB:AB, ROW()-1)
   )
   /SUM(INDEX(AB:AB, ROW()-COUNTIF($F$6:INDEX($F:$F, ROW()-1), $F33)) : INDEX(AB:AB, ROW()-1)),
          _xlfn.MINIFS(unit_details[Asking Rent],
          unit_details[Active Listing?],TRUE,
          unit_details[Property Name], $F34,
          unit_details[Beds], $L34,
          unit_details[Baths], $M34,
          unit_details[Partial Baths], IF(ISNUMBER($N34),$N34,""),
          unit_details[Sqft],$P34
))),"")</f>
        <v/>
      </c>
      <c r="AE34" s="5" t="str">
        <f>IFERROR(IF($F34="Total",
          SUMPRODUCT(
   INDEX(AE:AE, ROW()-COUNTIF($F$6:INDEX($F:$F, ROW()-1), $F33)) : INDEX(AE:AE, ROW()-1),
   INDEX(AB:AB, ROW()-COUNTIF($F$6:INDEX($F:$F, ROW()-1), $F33)) : INDEX(AB:AB, ROW()-1)
   )
   /SUM(INDEX(AB:AB, ROW()-COUNTIF($F$6:INDEX($F:$F, ROW()-1), $F33)) : INDEX(AB:AB, ROW()-1)),
          AVERAGEIFS(unit_details[Asking Rent],
          unit_details[Active Listing?],TRUE,
          unit_details[Property Name], $F34,
          unit_details[Beds], $L34,
          unit_details[Baths], $M34,
          unit_details[Partial Baths], IF(ISNUMBER($N34),$N34,""),
          unit_details[Sqft],$P34
)),"")</f>
        <v/>
      </c>
      <c r="AF34" s="5" t="str">
        <f>IFERROR(IF(AE34="","",IF($F34="Total",
SUMPRODUCT(
   INDEX(AF:AF, ROW()-COUNTIF($F$6:INDEX($F:$F, ROW()-1), $F33)) : INDEX(AF:AF, ROW()-1),
   INDEX(AB:AB, ROW()-COUNTIF($F$6:INDEX($F:$F, ROW()-1), $F33)) : INDEX(AB:AB, ROW()-1)
   )
   /SUM(INDEX(AB:AB, ROW()-COUNTIF($F$6:INDEX($F:$F, ROW()-1), $F33)) : INDEX(AB:AB, ROW()-1)),
           _xlfn.MAXIFS(unit_details[Asking Rent],
          unit_details[Active Listing?],TRUE,
          unit_details[Property Name], $F34,
          unit_details[Beds], $L34,
          unit_details[Baths], $M34,
          unit_details[Partial Baths], IF(ISNUMBER($N34),$N34,""),
          unit_details[Sqft],$P34
))),"")</f>
        <v/>
      </c>
      <c r="AG34" s="6" t="str">
        <f>IFERROR(IF($F34="Total",
         SUMPRODUCT(
         INDEX(AG:AG, ROW()-COUNTIF($F$6:INDEX($F:$F, ROW()-1), $F33)) : INDEX(AG:AG, ROW()-1),
         INDEX(AB:AB, ROW()-COUNTIF($F$6:INDEX($F:$F, ROW()-1), $F33)) : INDEX(AB:AB, ROW()-1)
         )
         /SUM(INDEX(AB:AB, ROW()-COUNTIF($F$6:INDEX($F:$F, ROW()-1), $F33)) : INDEX(AB:AB, ROW()-1)),
          AVERAGEIFS(unit_details[Asking PSF],
          unit_details[Active Listing?],TRUE,
          unit_details[Property Name], $F34,
          unit_details[Beds], $L34,
          unit_details[Baths], $M34,
          unit_details[Partial Baths], IF(ISNUMBER($N34),$N34,""),
          unit_details[Sqft],$P34
)),"")</f>
        <v/>
      </c>
      <c r="AH34" s="293" t="str">
        <f>IFERROR(IF($F34="Total",
         SUMPRODUCT(
         INDEX(AH:AH, ROW()-COUNTIF($F$6:INDEX($F:$F, ROW()-1), $F33)) : INDEX(AH:AH, ROW()-1),
         INDEX(AB:AB, ROW()-COUNTIF($F$6:INDEX($F:$F, ROW()-1), $F33)) : INDEX(AB:AB, ROW()-1)
         )
         /SUM(INDEX(AB:AB, ROW()-COUNTIF($F$6:INDEX($F:$F, ROW()-1), $F33)) : INDEX(AB:AB, ROW()-1)),
          AVERAGEIFS(unit_details[Effective Rent],
          unit_details[Active Listing?],TRUE,
          unit_details[Property Name], $F34,
          unit_details[Beds], $L34,
          unit_details[Baths], $M34,
          unit_details[Partial Baths], IF(ISNUMBER($N34),$N34,""),
          unit_details[Sqft],$P34
)),"")</f>
        <v/>
      </c>
      <c r="AI34" s="6" t="str">
        <f>IFERROR(IF($F34="Total",
         SUMPRODUCT(
         INDEX(AI:AI, ROW()-COUNTIF($F$6:INDEX($F:$F, ROW()-1), $F33)) : INDEX(AI:AI, ROW()-1),
         INDEX(AB:AB, ROW()-COUNTIF($F$6:INDEX($F:$F, ROW()-1), $F33)) : INDEX(AB:AB, ROW()-1)
         )
         /SUM(INDEX(AB:AB, ROW()-COUNTIF($F$6:INDEX($F:$F, ROW()-1), $F33)) : INDEX(AB:AB, ROW()-1)),
           AVERAGEIFS(unit_details[Effective PSF],
          unit_details[Active Listing?],TRUE,
          unit_details[Property Name], $F34,
          unit_details[Beds], $L34,
          unit_details[Baths], $M34,
          unit_details[Partial Baths], IF(ISNUMBER($N34),$N34,""),
          unit_details[Sqft],$P34
)),"")</f>
        <v/>
      </c>
      <c r="AJ34" s="824" t="str">
        <f t="shared" si="4"/>
        <v/>
      </c>
      <c r="AK34" s="531" t="str">
        <f t="shared" si="5"/>
        <v/>
      </c>
      <c r="AL34" s="714" t="str">
        <f t="shared" si="6"/>
        <v/>
      </c>
      <c r="AM34" s="531" t="str">
        <f t="shared" si="7"/>
        <v/>
      </c>
      <c r="AN34" s="716" t="str">
        <f t="shared" si="8"/>
        <v/>
      </c>
    </row>
    <row r="35" spans="2:40" x14ac:dyDescent="0.2">
      <c r="B35" s="736"/>
      <c r="C35" s="736"/>
      <c r="F35" s="1" t="str">
        <f t="shared" si="0"/>
        <v>(blank)</v>
      </c>
      <c r="G35" s="713" t="str">
        <f t="shared" si="9"/>
        <v/>
      </c>
      <c r="H35" s="17" t="str">
        <f>IFERROR(VLOOKUP($G35,Table1[[Property]:[Exposure %]],4,0),"")</f>
        <v/>
      </c>
      <c r="I35" s="3" t="str">
        <f>IFERROR(VLOOKUP($G35,Table1[[Property]:[Exposure %]],6,0),"")</f>
        <v/>
      </c>
      <c r="J35" s="3" t="str">
        <f>IFERROR(VLOOKUP($G35,Table1[[Property]:[Exposure %]],7,0),"")</f>
        <v/>
      </c>
      <c r="K35" s="932"/>
      <c r="L35" s="933">
        <v>2</v>
      </c>
      <c r="M35" s="934">
        <v>2</v>
      </c>
      <c r="N35" s="934">
        <v>1</v>
      </c>
      <c r="O35" s="932">
        <v>1200</v>
      </c>
      <c r="P35" s="931">
        <v>1200</v>
      </c>
      <c r="Q35" s="935">
        <v>1.5873015873015872E-2</v>
      </c>
      <c r="R35" s="4" t="str">
        <f>IFERROR(VLOOKUP(IF(F35="Total",F34,F35),Table1[[Property]:['# Units]],7,0)*S35,"")</f>
        <v/>
      </c>
      <c r="S35" s="27">
        <f t="shared" si="2"/>
        <v>1.5873015873015872E-2</v>
      </c>
      <c r="T35" s="531" t="str">
        <f>IFERROR(
 IF($F35="Total",
   SUMPRODUCT(
   INDEX(T:T, ROW()-COUNTIF($F$6:INDEX($F:$F, ROW()-1), $F34)) : INDEX(T:T, ROW()-1),
   INDEX(W:W, ROW()-COUNTIF($F$6:INDEX($F:$F, ROW()-1), $F34)) : INDEX(W:W, ROW()-1)
   )
   /SUM(INDEX(W:W, ROW()-COUNTIF($F$6:INDEX($F:$F, ROW()-1), $F34)) : INDEX(W:W, ROW()-1)),
   AVERAGEIFS(
     INDEX((unit_details[Asking Rent],unit_details[Asking PSF]),0,1,IF($U$3="Chunk Rent",1,2)),
     unit_details[Leased Date],"&gt;="&amp;($AM$2-T$5),
     unit_details[Leased Date],"&lt;"&amp;$AM$2,
     unit_details[Beds],$L35,
     unit_details[Baths],$M35,
     unit_details[Partial Baths],IF(ISNUMBER($N35),$N35,""),
     unit_details[Sqft],$P35,
     unit_details[Property Name],$F35)
 ),"")</f>
        <v/>
      </c>
      <c r="U35" s="552" t="str">
        <f>IFERROR(
 IF($F35="Total",
   SUMPRODUCT(
   INDEX(U:U, ROW()-COUNTIF($F$6:INDEX($F:$F, ROW()-1), $F34)) : INDEX(U:U, ROW()-1),
   INDEX(W:W, ROW()-COUNTIF($F$6:INDEX($F:$F, ROW()-1), $F34)) : INDEX(W:W, ROW()-1)
   )
   /SUM(INDEX(W:W, ROW()-COUNTIF($F$6:INDEX($F:$F, ROW()-1), $F34)) : INDEX(W:W, ROW()-1)),
   AVERAGEIFS(
     INDEX((unit_details[Effective Rent],unit_details[Effective PSF]),0,1,IF($U$3="Chunk Rent",1,2)),
     unit_details[Leased Date],"&gt;="&amp;($AM$2-T$5),
     unit_details[Leased Date],"&lt;"&amp;$AM$2,
     unit_details[Beds],$L35,
     unit_details[Baths],$M35,
     unit_details[Partial Baths],IF(ISNUMBER($N35),$N35,""),
     unit_details[Sqft],$P35,
     unit_details[Property Name],$F35)
 ),"")</f>
        <v/>
      </c>
      <c r="V35" s="27" t="str">
        <f t="shared" si="10"/>
        <v/>
      </c>
      <c r="W35" s="526">
        <f>IFERROR(
  IF($F35="Total",
    SUM(INDEX(W:W, ROW()-COUNTIF($F$6:INDEX($F:$F, ROW()-1), $F34)) : INDEX(W:W, ROW()-1)),
    COUNTIFS(
      unit_details[Leased Date], "&gt;="&amp;($AM$2-T$5),
      unit_details[Leased Date], "&lt;"&amp;$AM$2,
      unit_details[Beds], $L35,
      unit_details[Baths], $M35,
      unit_details[Partial Baths], IF(ISNUMBER($N35), $N35, ""),
      unit_details[Sqft],$P35,
      unit_details[Property Name], $F35
    )
  ),
"")</f>
        <v>0</v>
      </c>
      <c r="X35" s="531" t="str">
        <f>IFERROR(
 IF($F35="Total",
   SUMPRODUCT(
   INDEX(X:X, ROW()-COUNTIF($F$6:INDEX($F:$F, ROW()-1), $F34)) : INDEX(X:X, ROW()-1),
   INDEX(AA:AA, ROW()-COUNTIF($F$6:INDEX($F:$F, ROW()-1), $F34)) : INDEX(AA:AA, ROW()-1)
   )
   /SUM(INDEX(AA:AA, ROW()-COUNTIF($F$6:INDEX($F:$F, ROW()-1), $F34)) : INDEX(AA:AA, ROW()-1)),
   AVERAGEIFS(
     INDEX((unit_details[Asking Rent],unit_details[Asking PSF]),0,1,IF($U$3="Chunk Rent",1,2)),
     unit_details[Leased Date],"&gt;="&amp;($AM$2-X$5),
     unit_details[Leased Date],"&lt;"&amp;$AM$2,
     unit_details[Beds],$L35,
     unit_details[Baths],$M35,
     unit_details[Partial Baths],IF(ISNUMBER($N35),$N35,""),
     unit_details[Sqft],$P35,
     unit_details[Property Name],$F35)
 ),"")</f>
        <v/>
      </c>
      <c r="Y35" s="552" t="str">
        <f>IFERROR(
 IF($F35="Total",
   SUMPRODUCT(
   INDEX(Y:Y, ROW()-COUNTIF($F$6:INDEX($F:$F, ROW()-1), $F34)) : INDEX(Y:Y, ROW()-1),
   INDEX(AA:AA, ROW()-COUNTIF($F$6:INDEX($F:$F, ROW()-1), $F34)) : INDEX(AA:AA, ROW()-1)
   )
   /SUM(INDEX(AA:AA, ROW()-COUNTIF($F$6:INDEX($F:$F, ROW()-1), $F34)) : INDEX(AA:AA, ROW()-1)),
   AVERAGEIFS(
     INDEX((unit_details[Effective Rent],unit_details[Effective PSF]),0,1,IF($U$3="Chunk Rent",1,2)),
     unit_details[Leased Date],"&gt;="&amp;($AM$2-X$5),
     unit_details[Leased Date],"&lt;"&amp;$AM$2,
     unit_details[Beds],$L35,
     unit_details[Baths],$M35,
     unit_details[Partial Baths],IF(ISNUMBER($N35),$N35,""),
     unit_details[Sqft],$P35,
     unit_details[Property Name],$F35)
 ),"")</f>
        <v/>
      </c>
      <c r="Z35" s="27" t="str">
        <f t="shared" si="11"/>
        <v/>
      </c>
      <c r="AA35" s="526">
        <f>IFERROR(
  IF($F35="Total",
    SUM(INDEX(AA:AA, ROW()-COUNTIF($F$6:INDEX($F:$F, ROW()-1), $F34)) : INDEX(AA:AA, ROW()-1)),
    COUNTIFS(
      unit_details[Leased Date], "&gt;="&amp;($AM$2-X$5),
      unit_details[Leased Date], "&lt;"&amp;$AM$2,
      unit_details[Beds], $L35,
      unit_details[Baths], $M35,
      unit_details[Partial Baths], IF(ISNUMBER($N35), $N35, ""),
      unit_details[Sqft],$P35,
      unit_details[Property Name], $F35
    )
  ),
"")</f>
        <v>0</v>
      </c>
      <c r="AB35" s="290">
        <f>IF($F35="Total",
SUM(INDEX(AB:AB, ROW()-COUNTIF($F$6:INDEX($F:$F, ROW()-1), $F34)) : INDEX(AB:AB, ROW()-1)),
COUNTIFS(unit_details[Active Listing?],TRUE,
          unit_details[Property Name], $F35,
          unit_details[Beds], $L35,
          unit_details[Baths], $M35,
          unit_details[Partial Baths],IF(ISNUMBER($N35),$N35,""),
          unit_details[Sqft],$P35))</f>
        <v>0</v>
      </c>
      <c r="AC35" s="27" t="str">
        <f t="shared" si="3"/>
        <v/>
      </c>
      <c r="AD35" s="293" t="str">
        <f>IFERROR(IF(AE35="","",IF($F35="Total",
SUMPRODUCT(
   INDEX(AD:AD, ROW()-COUNTIF($F$6:INDEX($F:$F, ROW()-1), $F34)) : INDEX(AD:AD, ROW()-1),
   INDEX(AB:AB, ROW()-COUNTIF($F$6:INDEX($F:$F, ROW()-1), $F34)) : INDEX(AB:AB, ROW()-1)
   )
   /SUM(INDEX(AB:AB, ROW()-COUNTIF($F$6:INDEX($F:$F, ROW()-1), $F34)) : INDEX(AB:AB, ROW()-1)),
          _xlfn.MINIFS(unit_details[Asking Rent],
          unit_details[Active Listing?],TRUE,
          unit_details[Property Name], $F35,
          unit_details[Beds], $L35,
          unit_details[Baths], $M35,
          unit_details[Partial Baths], IF(ISNUMBER($N35),$N35,""),
          unit_details[Sqft],$P35
))),"")</f>
        <v/>
      </c>
      <c r="AE35" s="5" t="str">
        <f>IFERROR(IF($F35="Total",
          SUMPRODUCT(
   INDEX(AE:AE, ROW()-COUNTIF($F$6:INDEX($F:$F, ROW()-1), $F34)) : INDEX(AE:AE, ROW()-1),
   INDEX(AB:AB, ROW()-COUNTIF($F$6:INDEX($F:$F, ROW()-1), $F34)) : INDEX(AB:AB, ROW()-1)
   )
   /SUM(INDEX(AB:AB, ROW()-COUNTIF($F$6:INDEX($F:$F, ROW()-1), $F34)) : INDEX(AB:AB, ROW()-1)),
          AVERAGEIFS(unit_details[Asking Rent],
          unit_details[Active Listing?],TRUE,
          unit_details[Property Name], $F35,
          unit_details[Beds], $L35,
          unit_details[Baths], $M35,
          unit_details[Partial Baths], IF(ISNUMBER($N35),$N35,""),
          unit_details[Sqft],$P35
)),"")</f>
        <v/>
      </c>
      <c r="AF35" s="5" t="str">
        <f>IFERROR(IF(AE35="","",IF($F35="Total",
SUMPRODUCT(
   INDEX(AF:AF, ROW()-COUNTIF($F$6:INDEX($F:$F, ROW()-1), $F34)) : INDEX(AF:AF, ROW()-1),
   INDEX(AB:AB, ROW()-COUNTIF($F$6:INDEX($F:$F, ROW()-1), $F34)) : INDEX(AB:AB, ROW()-1)
   )
   /SUM(INDEX(AB:AB, ROW()-COUNTIF($F$6:INDEX($F:$F, ROW()-1), $F34)) : INDEX(AB:AB, ROW()-1)),
           _xlfn.MAXIFS(unit_details[Asking Rent],
          unit_details[Active Listing?],TRUE,
          unit_details[Property Name], $F35,
          unit_details[Beds], $L35,
          unit_details[Baths], $M35,
          unit_details[Partial Baths], IF(ISNUMBER($N35),$N35,""),
          unit_details[Sqft],$P35
))),"")</f>
        <v/>
      </c>
      <c r="AG35" s="6" t="str">
        <f>IFERROR(IF($F35="Total",
         SUMPRODUCT(
         INDEX(AG:AG, ROW()-COUNTIF($F$6:INDEX($F:$F, ROW()-1), $F34)) : INDEX(AG:AG, ROW()-1),
         INDEX(AB:AB, ROW()-COUNTIF($F$6:INDEX($F:$F, ROW()-1), $F34)) : INDEX(AB:AB, ROW()-1)
         )
         /SUM(INDEX(AB:AB, ROW()-COUNTIF($F$6:INDEX($F:$F, ROW()-1), $F34)) : INDEX(AB:AB, ROW()-1)),
          AVERAGEIFS(unit_details[Asking PSF],
          unit_details[Active Listing?],TRUE,
          unit_details[Property Name], $F35,
          unit_details[Beds], $L35,
          unit_details[Baths], $M35,
          unit_details[Partial Baths], IF(ISNUMBER($N35),$N35,""),
          unit_details[Sqft],$P35
)),"")</f>
        <v/>
      </c>
      <c r="AH35" s="293" t="str">
        <f>IFERROR(IF($F35="Total",
         SUMPRODUCT(
         INDEX(AH:AH, ROW()-COUNTIF($F$6:INDEX($F:$F, ROW()-1), $F34)) : INDEX(AH:AH, ROW()-1),
         INDEX(AB:AB, ROW()-COUNTIF($F$6:INDEX($F:$F, ROW()-1), $F34)) : INDEX(AB:AB, ROW()-1)
         )
         /SUM(INDEX(AB:AB, ROW()-COUNTIF($F$6:INDEX($F:$F, ROW()-1), $F34)) : INDEX(AB:AB, ROW()-1)),
          AVERAGEIFS(unit_details[Effective Rent],
          unit_details[Active Listing?],TRUE,
          unit_details[Property Name], $F35,
          unit_details[Beds], $L35,
          unit_details[Baths], $M35,
          unit_details[Partial Baths], IF(ISNUMBER($N35),$N35,""),
          unit_details[Sqft],$P35
)),"")</f>
        <v/>
      </c>
      <c r="AI35" s="6" t="str">
        <f>IFERROR(IF($F35="Total",
         SUMPRODUCT(
         INDEX(AI:AI, ROW()-COUNTIF($F$6:INDEX($F:$F, ROW()-1), $F34)) : INDEX(AI:AI, ROW()-1),
         INDEX(AB:AB, ROW()-COUNTIF($F$6:INDEX($F:$F, ROW()-1), $F34)) : INDEX(AB:AB, ROW()-1)
         )
         /SUM(INDEX(AB:AB, ROW()-COUNTIF($F$6:INDEX($F:$F, ROW()-1), $F34)) : INDEX(AB:AB, ROW()-1)),
           AVERAGEIFS(unit_details[Effective PSF],
          unit_details[Active Listing?],TRUE,
          unit_details[Property Name], $F35,
          unit_details[Beds], $L35,
          unit_details[Baths], $M35,
          unit_details[Partial Baths], IF(ISNUMBER($N35),$N35,""),
          unit_details[Sqft],$P35
)),"")</f>
        <v/>
      </c>
      <c r="AJ35" s="824" t="str">
        <f t="shared" si="4"/>
        <v/>
      </c>
      <c r="AK35" s="531" t="str">
        <f t="shared" si="5"/>
        <v/>
      </c>
      <c r="AL35" s="714" t="str">
        <f t="shared" si="6"/>
        <v/>
      </c>
      <c r="AM35" s="531" t="str">
        <f t="shared" si="7"/>
        <v/>
      </c>
      <c r="AN35" s="716" t="str">
        <f t="shared" si="8"/>
        <v/>
      </c>
    </row>
    <row r="36" spans="2:40" x14ac:dyDescent="0.2">
      <c r="B36" s="736"/>
      <c r="C36" s="736"/>
      <c r="F36" s="1" t="str">
        <f t="shared" si="0"/>
        <v>(blank)</v>
      </c>
      <c r="G36" s="713" t="str">
        <f t="shared" si="9"/>
        <v/>
      </c>
      <c r="H36" s="17" t="str">
        <f>IFERROR(VLOOKUP($G36,Table1[[Property]:[Exposure %]],4,0),"")</f>
        <v/>
      </c>
      <c r="I36" s="3" t="str">
        <f>IFERROR(VLOOKUP($G36,Table1[[Property]:[Exposure %]],6,0),"")</f>
        <v/>
      </c>
      <c r="J36" s="3" t="str">
        <f>IFERROR(VLOOKUP($G36,Table1[[Property]:[Exposure %]],7,0),"")</f>
        <v/>
      </c>
      <c r="K36" s="932"/>
      <c r="L36" s="933">
        <v>2</v>
      </c>
      <c r="M36" s="934">
        <v>2</v>
      </c>
      <c r="N36" s="934">
        <v>1</v>
      </c>
      <c r="O36" s="932">
        <v>1270</v>
      </c>
      <c r="P36" s="931">
        <v>1270</v>
      </c>
      <c r="Q36" s="935">
        <v>1.5873015873015872E-2</v>
      </c>
      <c r="R36" s="4" t="str">
        <f>IFERROR(VLOOKUP(IF(F36="Total",F35,F36),Table1[[Property]:['# Units]],7,0)*S36,"")</f>
        <v/>
      </c>
      <c r="S36" s="27">
        <f t="shared" si="2"/>
        <v>1.5873015873015872E-2</v>
      </c>
      <c r="T36" s="531" t="str">
        <f>IFERROR(
 IF($F36="Total",
   SUMPRODUCT(
   INDEX(T:T, ROW()-COUNTIF($F$6:INDEX($F:$F, ROW()-1), $F35)) : INDEX(T:T, ROW()-1),
   INDEX(W:W, ROW()-COUNTIF($F$6:INDEX($F:$F, ROW()-1), $F35)) : INDEX(W:W, ROW()-1)
   )
   /SUM(INDEX(W:W, ROW()-COUNTIF($F$6:INDEX($F:$F, ROW()-1), $F35)) : INDEX(W:W, ROW()-1)),
   AVERAGEIFS(
     INDEX((unit_details[Asking Rent],unit_details[Asking PSF]),0,1,IF($U$3="Chunk Rent",1,2)),
     unit_details[Leased Date],"&gt;="&amp;($AM$2-T$5),
     unit_details[Leased Date],"&lt;"&amp;$AM$2,
     unit_details[Beds],$L36,
     unit_details[Baths],$M36,
     unit_details[Partial Baths],IF(ISNUMBER($N36),$N36,""),
     unit_details[Sqft],$P36,
     unit_details[Property Name],$F36)
 ),"")</f>
        <v/>
      </c>
      <c r="U36" s="552" t="str">
        <f>IFERROR(
 IF($F36="Total",
   SUMPRODUCT(
   INDEX(U:U, ROW()-COUNTIF($F$6:INDEX($F:$F, ROW()-1), $F35)) : INDEX(U:U, ROW()-1),
   INDEX(W:W, ROW()-COUNTIF($F$6:INDEX($F:$F, ROW()-1), $F35)) : INDEX(W:W, ROW()-1)
   )
   /SUM(INDEX(W:W, ROW()-COUNTIF($F$6:INDEX($F:$F, ROW()-1), $F35)) : INDEX(W:W, ROW()-1)),
   AVERAGEIFS(
     INDEX((unit_details[Effective Rent],unit_details[Effective PSF]),0,1,IF($U$3="Chunk Rent",1,2)),
     unit_details[Leased Date],"&gt;="&amp;($AM$2-T$5),
     unit_details[Leased Date],"&lt;"&amp;$AM$2,
     unit_details[Beds],$L36,
     unit_details[Baths],$M36,
     unit_details[Partial Baths],IF(ISNUMBER($N36),$N36,""),
     unit_details[Sqft],$P36,
     unit_details[Property Name],$F36)
 ),"")</f>
        <v/>
      </c>
      <c r="V36" s="27" t="str">
        <f t="shared" si="10"/>
        <v/>
      </c>
      <c r="W36" s="526">
        <f>IFERROR(
  IF($F36="Total",
    SUM(INDEX(W:W, ROW()-COUNTIF($F$6:INDEX($F:$F, ROW()-1), $F35)) : INDEX(W:W, ROW()-1)),
    COUNTIFS(
      unit_details[Leased Date], "&gt;="&amp;($AM$2-T$5),
      unit_details[Leased Date], "&lt;"&amp;$AM$2,
      unit_details[Beds], $L36,
      unit_details[Baths], $M36,
      unit_details[Partial Baths], IF(ISNUMBER($N36), $N36, ""),
      unit_details[Sqft],$P36,
      unit_details[Property Name], $F36
    )
  ),
"")</f>
        <v>0</v>
      </c>
      <c r="X36" s="531" t="str">
        <f>IFERROR(
 IF($F36="Total",
   SUMPRODUCT(
   INDEX(X:X, ROW()-COUNTIF($F$6:INDEX($F:$F, ROW()-1), $F35)) : INDEX(X:X, ROW()-1),
   INDEX(AA:AA, ROW()-COUNTIF($F$6:INDEX($F:$F, ROW()-1), $F35)) : INDEX(AA:AA, ROW()-1)
   )
   /SUM(INDEX(AA:AA, ROW()-COUNTIF($F$6:INDEX($F:$F, ROW()-1), $F35)) : INDEX(AA:AA, ROW()-1)),
   AVERAGEIFS(
     INDEX((unit_details[Asking Rent],unit_details[Asking PSF]),0,1,IF($U$3="Chunk Rent",1,2)),
     unit_details[Leased Date],"&gt;="&amp;($AM$2-X$5),
     unit_details[Leased Date],"&lt;"&amp;$AM$2,
     unit_details[Beds],$L36,
     unit_details[Baths],$M36,
     unit_details[Partial Baths],IF(ISNUMBER($N36),$N36,""),
     unit_details[Sqft],$P36,
     unit_details[Property Name],$F36)
 ),"")</f>
        <v/>
      </c>
      <c r="Y36" s="552" t="str">
        <f>IFERROR(
 IF($F36="Total",
   SUMPRODUCT(
   INDEX(Y:Y, ROW()-COUNTIF($F$6:INDEX($F:$F, ROW()-1), $F35)) : INDEX(Y:Y, ROW()-1),
   INDEX(AA:AA, ROW()-COUNTIF($F$6:INDEX($F:$F, ROW()-1), $F35)) : INDEX(AA:AA, ROW()-1)
   )
   /SUM(INDEX(AA:AA, ROW()-COUNTIF($F$6:INDEX($F:$F, ROW()-1), $F35)) : INDEX(AA:AA, ROW()-1)),
   AVERAGEIFS(
     INDEX((unit_details[Effective Rent],unit_details[Effective PSF]),0,1,IF($U$3="Chunk Rent",1,2)),
     unit_details[Leased Date],"&gt;="&amp;($AM$2-X$5),
     unit_details[Leased Date],"&lt;"&amp;$AM$2,
     unit_details[Beds],$L36,
     unit_details[Baths],$M36,
     unit_details[Partial Baths],IF(ISNUMBER($N36),$N36,""),
     unit_details[Sqft],$P36,
     unit_details[Property Name],$F36)
 ),"")</f>
        <v/>
      </c>
      <c r="Z36" s="27" t="str">
        <f t="shared" si="11"/>
        <v/>
      </c>
      <c r="AA36" s="526">
        <f>IFERROR(
  IF($F36="Total",
    SUM(INDEX(AA:AA, ROW()-COUNTIF($F$6:INDEX($F:$F, ROW()-1), $F35)) : INDEX(AA:AA, ROW()-1)),
    COUNTIFS(
      unit_details[Leased Date], "&gt;="&amp;($AM$2-X$5),
      unit_details[Leased Date], "&lt;"&amp;$AM$2,
      unit_details[Beds], $L36,
      unit_details[Baths], $M36,
      unit_details[Partial Baths], IF(ISNUMBER($N36), $N36, ""),
      unit_details[Sqft],$P36,
      unit_details[Property Name], $F36
    )
  ),
"")</f>
        <v>0</v>
      </c>
      <c r="AB36" s="290">
        <f>IF($F36="Total",
SUM(INDEX(AB:AB, ROW()-COUNTIF($F$6:INDEX($F:$F, ROW()-1), $F35)) : INDEX(AB:AB, ROW()-1)),
COUNTIFS(unit_details[Active Listing?],TRUE,
          unit_details[Property Name], $F36,
          unit_details[Beds], $L36,
          unit_details[Baths], $M36,
          unit_details[Partial Baths],IF(ISNUMBER($N36),$N36,""),
          unit_details[Sqft],$P36))</f>
        <v>0</v>
      </c>
      <c r="AC36" s="27" t="str">
        <f t="shared" si="3"/>
        <v/>
      </c>
      <c r="AD36" s="293" t="str">
        <f>IFERROR(IF(AE36="","",IF($F36="Total",
SUMPRODUCT(
   INDEX(AD:AD, ROW()-COUNTIF($F$6:INDEX($F:$F, ROW()-1), $F35)) : INDEX(AD:AD, ROW()-1),
   INDEX(AB:AB, ROW()-COUNTIF($F$6:INDEX($F:$F, ROW()-1), $F35)) : INDEX(AB:AB, ROW()-1)
   )
   /SUM(INDEX(AB:AB, ROW()-COUNTIF($F$6:INDEX($F:$F, ROW()-1), $F35)) : INDEX(AB:AB, ROW()-1)),
          _xlfn.MINIFS(unit_details[Asking Rent],
          unit_details[Active Listing?],TRUE,
          unit_details[Property Name], $F36,
          unit_details[Beds], $L36,
          unit_details[Baths], $M36,
          unit_details[Partial Baths], IF(ISNUMBER($N36),$N36,""),
          unit_details[Sqft],$P36
))),"")</f>
        <v/>
      </c>
      <c r="AE36" s="5" t="str">
        <f>IFERROR(IF($F36="Total",
          SUMPRODUCT(
   INDEX(AE:AE, ROW()-COUNTIF($F$6:INDEX($F:$F, ROW()-1), $F35)) : INDEX(AE:AE, ROW()-1),
   INDEX(AB:AB, ROW()-COUNTIF($F$6:INDEX($F:$F, ROW()-1), $F35)) : INDEX(AB:AB, ROW()-1)
   )
   /SUM(INDEX(AB:AB, ROW()-COUNTIF($F$6:INDEX($F:$F, ROW()-1), $F35)) : INDEX(AB:AB, ROW()-1)),
          AVERAGEIFS(unit_details[Asking Rent],
          unit_details[Active Listing?],TRUE,
          unit_details[Property Name], $F36,
          unit_details[Beds], $L36,
          unit_details[Baths], $M36,
          unit_details[Partial Baths], IF(ISNUMBER($N36),$N36,""),
          unit_details[Sqft],$P36
)),"")</f>
        <v/>
      </c>
      <c r="AF36" s="5" t="str">
        <f>IFERROR(IF(AE36="","",IF($F36="Total",
SUMPRODUCT(
   INDEX(AF:AF, ROW()-COUNTIF($F$6:INDEX($F:$F, ROW()-1), $F35)) : INDEX(AF:AF, ROW()-1),
   INDEX(AB:AB, ROW()-COUNTIF($F$6:INDEX($F:$F, ROW()-1), $F35)) : INDEX(AB:AB, ROW()-1)
   )
   /SUM(INDEX(AB:AB, ROW()-COUNTIF($F$6:INDEX($F:$F, ROW()-1), $F35)) : INDEX(AB:AB, ROW()-1)),
           _xlfn.MAXIFS(unit_details[Asking Rent],
          unit_details[Active Listing?],TRUE,
          unit_details[Property Name], $F36,
          unit_details[Beds], $L36,
          unit_details[Baths], $M36,
          unit_details[Partial Baths], IF(ISNUMBER($N36),$N36,""),
          unit_details[Sqft],$P36
))),"")</f>
        <v/>
      </c>
      <c r="AG36" s="6" t="str">
        <f>IFERROR(IF($F36="Total",
         SUMPRODUCT(
         INDEX(AG:AG, ROW()-COUNTIF($F$6:INDEX($F:$F, ROW()-1), $F35)) : INDEX(AG:AG, ROW()-1),
         INDEX(AB:AB, ROW()-COUNTIF($F$6:INDEX($F:$F, ROW()-1), $F35)) : INDEX(AB:AB, ROW()-1)
         )
         /SUM(INDEX(AB:AB, ROW()-COUNTIF($F$6:INDEX($F:$F, ROW()-1), $F35)) : INDEX(AB:AB, ROW()-1)),
          AVERAGEIFS(unit_details[Asking PSF],
          unit_details[Active Listing?],TRUE,
          unit_details[Property Name], $F36,
          unit_details[Beds], $L36,
          unit_details[Baths], $M36,
          unit_details[Partial Baths], IF(ISNUMBER($N36),$N36,""),
          unit_details[Sqft],$P36
)),"")</f>
        <v/>
      </c>
      <c r="AH36" s="293" t="str">
        <f>IFERROR(IF($F36="Total",
         SUMPRODUCT(
         INDEX(AH:AH, ROW()-COUNTIF($F$6:INDEX($F:$F, ROW()-1), $F35)) : INDEX(AH:AH, ROW()-1),
         INDEX(AB:AB, ROW()-COUNTIF($F$6:INDEX($F:$F, ROW()-1), $F35)) : INDEX(AB:AB, ROW()-1)
         )
         /SUM(INDEX(AB:AB, ROW()-COUNTIF($F$6:INDEX($F:$F, ROW()-1), $F35)) : INDEX(AB:AB, ROW()-1)),
          AVERAGEIFS(unit_details[Effective Rent],
          unit_details[Active Listing?],TRUE,
          unit_details[Property Name], $F36,
          unit_details[Beds], $L36,
          unit_details[Baths], $M36,
          unit_details[Partial Baths], IF(ISNUMBER($N36),$N36,""),
          unit_details[Sqft],$P36
)),"")</f>
        <v/>
      </c>
      <c r="AI36" s="6" t="str">
        <f>IFERROR(IF($F36="Total",
         SUMPRODUCT(
         INDEX(AI:AI, ROW()-COUNTIF($F$6:INDEX($F:$F, ROW()-1), $F35)) : INDEX(AI:AI, ROW()-1),
         INDEX(AB:AB, ROW()-COUNTIF($F$6:INDEX($F:$F, ROW()-1), $F35)) : INDEX(AB:AB, ROW()-1)
         )
         /SUM(INDEX(AB:AB, ROW()-COUNTIF($F$6:INDEX($F:$F, ROW()-1), $F35)) : INDEX(AB:AB, ROW()-1)),
           AVERAGEIFS(unit_details[Effective PSF],
          unit_details[Active Listing?],TRUE,
          unit_details[Property Name], $F36,
          unit_details[Beds], $L36,
          unit_details[Baths], $M36,
          unit_details[Partial Baths], IF(ISNUMBER($N36),$N36,""),
          unit_details[Sqft],$P36
)),"")</f>
        <v/>
      </c>
      <c r="AJ36" s="824" t="str">
        <f t="shared" si="4"/>
        <v/>
      </c>
      <c r="AK36" s="531" t="str">
        <f t="shared" si="5"/>
        <v/>
      </c>
      <c r="AL36" s="714" t="str">
        <f t="shared" si="6"/>
        <v/>
      </c>
      <c r="AM36" s="531" t="str">
        <f t="shared" si="7"/>
        <v/>
      </c>
      <c r="AN36" s="716" t="str">
        <f t="shared" si="8"/>
        <v/>
      </c>
    </row>
    <row r="37" spans="2:40" x14ac:dyDescent="0.2">
      <c r="B37" s="736"/>
      <c r="C37" s="736"/>
      <c r="F37" s="1" t="str">
        <f t="shared" si="0"/>
        <v>Total</v>
      </c>
      <c r="G37" s="713" t="str">
        <f t="shared" si="9"/>
        <v>Total</v>
      </c>
      <c r="H37" s="17" t="str">
        <f>IFERROR(VLOOKUP($G37,Table1[[Property]:[Exposure %]],4,0),"")</f>
        <v/>
      </c>
      <c r="I37" s="3" t="str">
        <f>IFERROR(VLOOKUP($G37,Table1[[Property]:[Exposure %]],6,0),"")</f>
        <v/>
      </c>
      <c r="J37" s="3" t="str">
        <f>IFERROR(VLOOKUP($G37,Table1[[Property]:[Exposure %]],7,0),"")</f>
        <v/>
      </c>
      <c r="K37" s="932" t="s">
        <v>277</v>
      </c>
      <c r="L37" s="932"/>
      <c r="M37" s="932"/>
      <c r="N37" s="932"/>
      <c r="O37" s="932"/>
      <c r="P37" s="931">
        <v>868.69230769230774</v>
      </c>
      <c r="Q37" s="935">
        <v>1</v>
      </c>
      <c r="R37" s="4" t="str">
        <f>IFERROR(VLOOKUP(IF(F37="Total",F36,F37),Table1[[Property]:['# Units]],7,0)*S37,"")</f>
        <v/>
      </c>
      <c r="S37" s="27">
        <f t="shared" si="2"/>
        <v>1</v>
      </c>
      <c r="T37" s="531" t="str">
        <f>IFERROR(
 IF($F37="Total",
   SUMPRODUCT(
   INDEX(T:T, ROW()-COUNTIF($F$6:INDEX($F:$F, ROW()-1), $F36)) : INDEX(T:T, ROW()-1),
   INDEX(W:W, ROW()-COUNTIF($F$6:INDEX($F:$F, ROW()-1), $F36)) : INDEX(W:W, ROW()-1)
   )
   /SUM(INDEX(W:W, ROW()-COUNTIF($F$6:INDEX($F:$F, ROW()-1), $F36)) : INDEX(W:W, ROW()-1)),
   AVERAGEIFS(
     INDEX((unit_details[Asking Rent],unit_details[Asking PSF]),0,1,IF($U$3="Chunk Rent",1,2)),
     unit_details[Leased Date],"&gt;="&amp;($AM$2-T$5),
     unit_details[Leased Date],"&lt;"&amp;$AM$2,
     unit_details[Beds],$L37,
     unit_details[Baths],$M37,
     unit_details[Partial Baths],IF(ISNUMBER($N37),$N37,""),
     unit_details[Sqft],$P37,
     unit_details[Property Name],$F37)
 ),"")</f>
        <v/>
      </c>
      <c r="U37" s="552" t="str">
        <f>IFERROR(
 IF($F37="Total",
   SUMPRODUCT(
   INDEX(U:U, ROW()-COUNTIF($F$6:INDEX($F:$F, ROW()-1), $F36)) : INDEX(U:U, ROW()-1),
   INDEX(W:W, ROW()-COUNTIF($F$6:INDEX($F:$F, ROW()-1), $F36)) : INDEX(W:W, ROW()-1)
   )
   /SUM(INDEX(W:W, ROW()-COUNTIF($F$6:INDEX($F:$F, ROW()-1), $F36)) : INDEX(W:W, ROW()-1)),
   AVERAGEIFS(
     INDEX((unit_details[Effective Rent],unit_details[Effective PSF]),0,1,IF($U$3="Chunk Rent",1,2)),
     unit_details[Leased Date],"&gt;="&amp;($AM$2-T$5),
     unit_details[Leased Date],"&lt;"&amp;$AM$2,
     unit_details[Beds],$L37,
     unit_details[Baths],$M37,
     unit_details[Partial Baths],IF(ISNUMBER($N37),$N37,""),
     unit_details[Sqft],$P37,
     unit_details[Property Name],$F37)
 ),"")</f>
        <v/>
      </c>
      <c r="V37" s="27" t="str">
        <f t="shared" si="10"/>
        <v/>
      </c>
      <c r="W37" s="526">
        <f>IFERROR(
  IF($F37="Total",
    SUM(INDEX(W:W, ROW()-COUNTIF($F$6:INDEX($F:$F, ROW()-1), $F36)) : INDEX(W:W, ROW()-1)),
    COUNTIFS(
      unit_details[Leased Date], "&gt;="&amp;($AM$2-T$5),
      unit_details[Leased Date], "&lt;"&amp;$AM$2,
      unit_details[Beds], $L37,
      unit_details[Baths], $M37,
      unit_details[Partial Baths], IF(ISNUMBER($N37), $N37, ""),
      unit_details[Sqft],$P37,
      unit_details[Property Name], $F37
    )
  ),
"")</f>
        <v>0</v>
      </c>
      <c r="X37" s="531" t="str">
        <f>IFERROR(
 IF($F37="Total",
   SUMPRODUCT(
   INDEX(X:X, ROW()-COUNTIF($F$6:INDEX($F:$F, ROW()-1), $F36)) : INDEX(X:X, ROW()-1),
   INDEX(AA:AA, ROW()-COUNTIF($F$6:INDEX($F:$F, ROW()-1), $F36)) : INDEX(AA:AA, ROW()-1)
   )
   /SUM(INDEX(AA:AA, ROW()-COUNTIF($F$6:INDEX($F:$F, ROW()-1), $F36)) : INDEX(AA:AA, ROW()-1)),
   AVERAGEIFS(
     INDEX((unit_details[Asking Rent],unit_details[Asking PSF]),0,1,IF($U$3="Chunk Rent",1,2)),
     unit_details[Leased Date],"&gt;="&amp;($AM$2-X$5),
     unit_details[Leased Date],"&lt;"&amp;$AM$2,
     unit_details[Beds],$L37,
     unit_details[Baths],$M37,
     unit_details[Partial Baths],IF(ISNUMBER($N37),$N37,""),
     unit_details[Sqft],$P37,
     unit_details[Property Name],$F37)
 ),"")</f>
        <v/>
      </c>
      <c r="Y37" s="552" t="str">
        <f>IFERROR(
 IF($F37="Total",
   SUMPRODUCT(
   INDEX(Y:Y, ROW()-COUNTIF($F$6:INDEX($F:$F, ROW()-1), $F36)) : INDEX(Y:Y, ROW()-1),
   INDEX(AA:AA, ROW()-COUNTIF($F$6:INDEX($F:$F, ROW()-1), $F36)) : INDEX(AA:AA, ROW()-1)
   )
   /SUM(INDEX(AA:AA, ROW()-COUNTIF($F$6:INDEX($F:$F, ROW()-1), $F36)) : INDEX(AA:AA, ROW()-1)),
   AVERAGEIFS(
     INDEX((unit_details[Effective Rent],unit_details[Effective PSF]),0,1,IF($U$3="Chunk Rent",1,2)),
     unit_details[Leased Date],"&gt;="&amp;($AM$2-X$5),
     unit_details[Leased Date],"&lt;"&amp;$AM$2,
     unit_details[Beds],$L37,
     unit_details[Baths],$M37,
     unit_details[Partial Baths],IF(ISNUMBER($N37),$N37,""),
     unit_details[Sqft],$P37,
     unit_details[Property Name],$F37)
 ),"")</f>
        <v/>
      </c>
      <c r="Z37" s="27" t="str">
        <f t="shared" si="11"/>
        <v/>
      </c>
      <c r="AA37" s="526">
        <f>IFERROR(
  IF($F37="Total",
    SUM(INDEX(AA:AA, ROW()-COUNTIF($F$6:INDEX($F:$F, ROW()-1), $F36)) : INDEX(AA:AA, ROW()-1)),
    COUNTIFS(
      unit_details[Leased Date], "&gt;="&amp;($AM$2-X$5),
      unit_details[Leased Date], "&lt;"&amp;$AM$2,
      unit_details[Beds], $L37,
      unit_details[Baths], $M37,
      unit_details[Partial Baths], IF(ISNUMBER($N37), $N37, ""),
      unit_details[Sqft],$P37,
      unit_details[Property Name], $F37
    )
  ),
"")</f>
        <v>0</v>
      </c>
      <c r="AB37" s="290">
        <f>IF($F37="Total",
SUM(INDEX(AB:AB, ROW()-COUNTIF($F$6:INDEX($F:$F, ROW()-1), $F36)) : INDEX(AB:AB, ROW()-1)),
COUNTIFS(unit_details[Active Listing?],TRUE,
          unit_details[Property Name], $F37,
          unit_details[Beds], $L37,
          unit_details[Baths], $M37,
          unit_details[Partial Baths],IF(ISNUMBER($N37),$N37,""),
          unit_details[Sqft],$P37))</f>
        <v>0</v>
      </c>
      <c r="AC37" s="27" t="str">
        <f t="shared" si="3"/>
        <v/>
      </c>
      <c r="AD37" s="293" t="str">
        <f>IFERROR(IF(AE37="","",IF($F37="Total",
SUMPRODUCT(
   INDEX(AD:AD, ROW()-COUNTIF($F$6:INDEX($F:$F, ROW()-1), $F36)) : INDEX(AD:AD, ROW()-1),
   INDEX(AB:AB, ROW()-COUNTIF($F$6:INDEX($F:$F, ROW()-1), $F36)) : INDEX(AB:AB, ROW()-1)
   )
   /SUM(INDEX(AB:AB, ROW()-COUNTIF($F$6:INDEX($F:$F, ROW()-1), $F36)) : INDEX(AB:AB, ROW()-1)),
          _xlfn.MINIFS(unit_details[Asking Rent],
          unit_details[Active Listing?],TRUE,
          unit_details[Property Name], $F37,
          unit_details[Beds], $L37,
          unit_details[Baths], $M37,
          unit_details[Partial Baths], IF(ISNUMBER($N37),$N37,""),
          unit_details[Sqft],$P37
))),"")</f>
        <v/>
      </c>
      <c r="AE37" s="5" t="str">
        <f>IFERROR(IF($F37="Total",
          SUMPRODUCT(
   INDEX(AE:AE, ROW()-COUNTIF($F$6:INDEX($F:$F, ROW()-1), $F36)) : INDEX(AE:AE, ROW()-1),
   INDEX(AB:AB, ROW()-COUNTIF($F$6:INDEX($F:$F, ROW()-1), $F36)) : INDEX(AB:AB, ROW()-1)
   )
   /SUM(INDEX(AB:AB, ROW()-COUNTIF($F$6:INDEX($F:$F, ROW()-1), $F36)) : INDEX(AB:AB, ROW()-1)),
          AVERAGEIFS(unit_details[Asking Rent],
          unit_details[Active Listing?],TRUE,
          unit_details[Property Name], $F37,
          unit_details[Beds], $L37,
          unit_details[Baths], $M37,
          unit_details[Partial Baths], IF(ISNUMBER($N37),$N37,""),
          unit_details[Sqft],$P37
)),"")</f>
        <v/>
      </c>
      <c r="AF37" s="5" t="str">
        <f>IFERROR(IF(AE37="","",IF($F37="Total",
SUMPRODUCT(
   INDEX(AF:AF, ROW()-COUNTIF($F$6:INDEX($F:$F, ROW()-1), $F36)) : INDEX(AF:AF, ROW()-1),
   INDEX(AB:AB, ROW()-COUNTIF($F$6:INDEX($F:$F, ROW()-1), $F36)) : INDEX(AB:AB, ROW()-1)
   )
   /SUM(INDEX(AB:AB, ROW()-COUNTIF($F$6:INDEX($F:$F, ROW()-1), $F36)) : INDEX(AB:AB, ROW()-1)),
           _xlfn.MAXIFS(unit_details[Asking Rent],
          unit_details[Active Listing?],TRUE,
          unit_details[Property Name], $F37,
          unit_details[Beds], $L37,
          unit_details[Baths], $M37,
          unit_details[Partial Baths], IF(ISNUMBER($N37),$N37,""),
          unit_details[Sqft],$P37
))),"")</f>
        <v/>
      </c>
      <c r="AG37" s="6" t="str">
        <f>IFERROR(IF($F37="Total",
         SUMPRODUCT(
         INDEX(AG:AG, ROW()-COUNTIF($F$6:INDEX($F:$F, ROW()-1), $F36)) : INDEX(AG:AG, ROW()-1),
         INDEX(AB:AB, ROW()-COUNTIF($F$6:INDEX($F:$F, ROW()-1), $F36)) : INDEX(AB:AB, ROW()-1)
         )
         /SUM(INDEX(AB:AB, ROW()-COUNTIF($F$6:INDEX($F:$F, ROW()-1), $F36)) : INDEX(AB:AB, ROW()-1)),
          AVERAGEIFS(unit_details[Asking PSF],
          unit_details[Active Listing?],TRUE,
          unit_details[Property Name], $F37,
          unit_details[Beds], $L37,
          unit_details[Baths], $M37,
          unit_details[Partial Baths], IF(ISNUMBER($N37),$N37,""),
          unit_details[Sqft],$P37
)),"")</f>
        <v/>
      </c>
      <c r="AH37" s="293" t="str">
        <f>IFERROR(IF($F37="Total",
         SUMPRODUCT(
         INDEX(AH:AH, ROW()-COUNTIF($F$6:INDEX($F:$F, ROW()-1), $F36)) : INDEX(AH:AH, ROW()-1),
         INDEX(AB:AB, ROW()-COUNTIF($F$6:INDEX($F:$F, ROW()-1), $F36)) : INDEX(AB:AB, ROW()-1)
         )
         /SUM(INDEX(AB:AB, ROW()-COUNTIF($F$6:INDEX($F:$F, ROW()-1), $F36)) : INDEX(AB:AB, ROW()-1)),
          AVERAGEIFS(unit_details[Effective Rent],
          unit_details[Active Listing?],TRUE,
          unit_details[Property Name], $F37,
          unit_details[Beds], $L37,
          unit_details[Baths], $M37,
          unit_details[Partial Baths], IF(ISNUMBER($N37),$N37,""),
          unit_details[Sqft],$P37
)),"")</f>
        <v/>
      </c>
      <c r="AI37" s="6" t="str">
        <f>IFERROR(IF($F37="Total",
         SUMPRODUCT(
         INDEX(AI:AI, ROW()-COUNTIF($F$6:INDEX($F:$F, ROW()-1), $F36)) : INDEX(AI:AI, ROW()-1),
         INDEX(AB:AB, ROW()-COUNTIF($F$6:INDEX($F:$F, ROW()-1), $F36)) : INDEX(AB:AB, ROW()-1)
         )
         /SUM(INDEX(AB:AB, ROW()-COUNTIF($F$6:INDEX($F:$F, ROW()-1), $F36)) : INDEX(AB:AB, ROW()-1)),
           AVERAGEIFS(unit_details[Effective PSF],
          unit_details[Active Listing?],TRUE,
          unit_details[Property Name], $F37,
          unit_details[Beds], $L37,
          unit_details[Baths], $M37,
          unit_details[Partial Baths], IF(ISNUMBER($N37),$N37,""),
          unit_details[Sqft],$P37
)),"")</f>
        <v/>
      </c>
      <c r="AJ37" s="824" t="str">
        <f t="shared" si="4"/>
        <v/>
      </c>
      <c r="AK37" s="531" t="str">
        <f t="shared" si="5"/>
        <v/>
      </c>
      <c r="AL37" s="714" t="str">
        <f t="shared" si="6"/>
        <v/>
      </c>
      <c r="AM37" s="531" t="str">
        <f t="shared" si="7"/>
        <v/>
      </c>
      <c r="AN37" s="716" t="str">
        <f t="shared" si="8"/>
        <v/>
      </c>
    </row>
    <row r="38" spans="2:40" x14ac:dyDescent="0.2">
      <c r="B38" s="719"/>
      <c r="C38" s="719"/>
      <c r="F38" s="1" t="str">
        <f t="shared" si="0"/>
        <v/>
      </c>
      <c r="G38" s="713" t="str">
        <f t="shared" si="9"/>
        <v/>
      </c>
      <c r="H38" s="17" t="str">
        <f>IFERROR(VLOOKUP($G38,Table1[[Property]:[Exposure %]],4,0),"")</f>
        <v/>
      </c>
      <c r="I38" s="3" t="str">
        <f>IFERROR(VLOOKUP($G38,Table1[[Property]:[Exposure %]],6,0),"")</f>
        <v/>
      </c>
      <c r="J38" s="3" t="str">
        <f>IFERROR(VLOOKUP($G38,Table1[[Property]:[Exposure %]],7,0),"")</f>
        <v/>
      </c>
      <c r="K38"/>
      <c r="L38"/>
      <c r="M38"/>
      <c r="N38"/>
      <c r="O38"/>
      <c r="P38"/>
      <c r="Q38"/>
      <c r="R38" s="4" t="str">
        <f>IFERROR(VLOOKUP(IF(F38="Total",F37,F38),Table1[[Property]:['# Units]],7,0)*S38,"")</f>
        <v/>
      </c>
      <c r="S38" s="27" t="str">
        <f t="shared" si="2"/>
        <v/>
      </c>
      <c r="T38" s="531" t="str">
        <f>IFERROR(
 IF($F38="Total",
   SUMPRODUCT(
   INDEX(T:T, ROW()-COUNTIF($F$6:INDEX($F:$F, ROW()-1), $F37)) : INDEX(T:T, ROW()-1),
   INDEX(W:W, ROW()-COUNTIF($F$6:INDEX($F:$F, ROW()-1), $F37)) : INDEX(W:W, ROW()-1)
   )
   /SUM(INDEX(W:W, ROW()-COUNTIF($F$6:INDEX($F:$F, ROW()-1), $F37)) : INDEX(W:W, ROW()-1)),
   AVERAGEIFS(
     INDEX((unit_details[Asking Rent],unit_details[Asking PSF]),0,1,IF($U$3="Chunk Rent",1,2)),
     unit_details[Leased Date],"&gt;="&amp;($AM$2-T$5),
     unit_details[Leased Date],"&lt;"&amp;$AM$2,
     unit_details[Beds],$L38,
     unit_details[Baths],$M38,
     unit_details[Partial Baths],IF(ISNUMBER($N38),$N38,""),
     unit_details[Sqft],$P38,
     unit_details[Property Name],$F38)
 ),"")</f>
        <v/>
      </c>
      <c r="U38" s="552" t="str">
        <f>IFERROR(
 IF($F38="Total",
   SUMPRODUCT(
   INDEX(U:U, ROW()-COUNTIF($F$6:INDEX($F:$F, ROW()-1), $F37)) : INDEX(U:U, ROW()-1),
   INDEX(W:W, ROW()-COUNTIF($F$6:INDEX($F:$F, ROW()-1), $F37)) : INDEX(W:W, ROW()-1)
   )
   /SUM(INDEX(W:W, ROW()-COUNTIF($F$6:INDEX($F:$F, ROW()-1), $F37)) : INDEX(W:W, ROW()-1)),
   AVERAGEIFS(
     INDEX((unit_details[Effective Rent],unit_details[Effective PSF]),0,1,IF($U$3="Chunk Rent",1,2)),
     unit_details[Leased Date],"&gt;="&amp;($AM$2-T$5),
     unit_details[Leased Date],"&lt;"&amp;$AM$2,
     unit_details[Beds],$L38,
     unit_details[Baths],$M38,
     unit_details[Partial Baths],IF(ISNUMBER($N38),$N38,""),
     unit_details[Sqft],$P38,
     unit_details[Property Name],$F38)
 ),"")</f>
        <v/>
      </c>
      <c r="V38" s="27" t="str">
        <f t="shared" si="10"/>
        <v/>
      </c>
      <c r="W38" s="526">
        <f>IFERROR(
  IF($F38="Total",
    SUM(INDEX(W:W, ROW()-COUNTIF($F$6:INDEX($F:$F, ROW()-1), $F37)) : INDEX(W:W, ROW()-1)),
    COUNTIFS(
      unit_details[Leased Date], "&gt;="&amp;($AM$2-T$5),
      unit_details[Leased Date], "&lt;"&amp;$AM$2,
      unit_details[Beds], $L38,
      unit_details[Baths], $M38,
      unit_details[Partial Baths], IF(ISNUMBER($N38), $N38, ""),
      unit_details[Sqft],$P38,
      unit_details[Property Name], $F38
    )
  ),
"")</f>
        <v>0</v>
      </c>
      <c r="X38" s="531" t="str">
        <f>IFERROR(
 IF($F38="Total",
   SUMPRODUCT(
   INDEX(X:X, ROW()-COUNTIF($F$6:INDEX($F:$F, ROW()-1), $F37)) : INDEX(X:X, ROW()-1),
   INDEX(AA:AA, ROW()-COUNTIF($F$6:INDEX($F:$F, ROW()-1), $F37)) : INDEX(AA:AA, ROW()-1)
   )
   /SUM(INDEX(AA:AA, ROW()-COUNTIF($F$6:INDEX($F:$F, ROW()-1), $F37)) : INDEX(AA:AA, ROW()-1)),
   AVERAGEIFS(
     INDEX((unit_details[Asking Rent],unit_details[Asking PSF]),0,1,IF($U$3="Chunk Rent",1,2)),
     unit_details[Leased Date],"&gt;="&amp;($AM$2-X$5),
     unit_details[Leased Date],"&lt;"&amp;$AM$2,
     unit_details[Beds],$L38,
     unit_details[Baths],$M38,
     unit_details[Partial Baths],IF(ISNUMBER($N38),$N38,""),
     unit_details[Sqft],$P38,
     unit_details[Property Name],$F38)
 ),"")</f>
        <v/>
      </c>
      <c r="Y38" s="552" t="str">
        <f>IFERROR(
 IF($F38="Total",
   SUMPRODUCT(
   INDEX(Y:Y, ROW()-COUNTIF($F$6:INDEX($F:$F, ROW()-1), $F37)) : INDEX(Y:Y, ROW()-1),
   INDEX(AA:AA, ROW()-COUNTIF($F$6:INDEX($F:$F, ROW()-1), $F37)) : INDEX(AA:AA, ROW()-1)
   )
   /SUM(INDEX(AA:AA, ROW()-COUNTIF($F$6:INDEX($F:$F, ROW()-1), $F37)) : INDEX(AA:AA, ROW()-1)),
   AVERAGEIFS(
     INDEX((unit_details[Effective Rent],unit_details[Effective PSF]),0,1,IF($U$3="Chunk Rent",1,2)),
     unit_details[Leased Date],"&gt;="&amp;($AM$2-X$5),
     unit_details[Leased Date],"&lt;"&amp;$AM$2,
     unit_details[Beds],$L38,
     unit_details[Baths],$M38,
     unit_details[Partial Baths],IF(ISNUMBER($N38),$N38,""),
     unit_details[Sqft],$P38,
     unit_details[Property Name],$F38)
 ),"")</f>
        <v/>
      </c>
      <c r="Z38" s="27" t="str">
        <f t="shared" si="11"/>
        <v/>
      </c>
      <c r="AA38" s="526">
        <f>IFERROR(
  IF($F38="Total",
    SUM(INDEX(AA:AA, ROW()-COUNTIF($F$6:INDEX($F:$F, ROW()-1), $F37)) : INDEX(AA:AA, ROW()-1)),
    COUNTIFS(
      unit_details[Leased Date], "&gt;="&amp;($AM$2-X$5),
      unit_details[Leased Date], "&lt;"&amp;$AM$2,
      unit_details[Beds], $L38,
      unit_details[Baths], $M38,
      unit_details[Partial Baths], IF(ISNUMBER($N38), $N38, ""),
      unit_details[Sqft],$P38,
      unit_details[Property Name], $F38
    )
  ),
"")</f>
        <v>0</v>
      </c>
      <c r="AB38" s="290">
        <f>IF($F38="Total",
SUM(INDEX(AB:AB, ROW()-COUNTIF($F$6:INDEX($F:$F, ROW()-1), $F37)) : INDEX(AB:AB, ROW()-1)),
COUNTIFS(unit_details[Active Listing?],TRUE,
          unit_details[Property Name], $F38,
          unit_details[Beds], $L38,
          unit_details[Baths], $M38,
          unit_details[Partial Baths],IF(ISNUMBER($N38),$N38,""),
          unit_details[Sqft],$P38))</f>
        <v>0</v>
      </c>
      <c r="AC38" s="27" t="str">
        <f t="shared" si="3"/>
        <v/>
      </c>
      <c r="AD38" s="293" t="str">
        <f>IFERROR(IF(AE38="","",IF($F38="Total",
SUMPRODUCT(
   INDEX(AD:AD, ROW()-COUNTIF($F$6:INDEX($F:$F, ROW()-1), $F37)) : INDEX(AD:AD, ROW()-1),
   INDEX(AB:AB, ROW()-COUNTIF($F$6:INDEX($F:$F, ROW()-1), $F37)) : INDEX(AB:AB, ROW()-1)
   )
   /SUM(INDEX(AB:AB, ROW()-COUNTIF($F$6:INDEX($F:$F, ROW()-1), $F37)) : INDEX(AB:AB, ROW()-1)),
          _xlfn.MINIFS(unit_details[Asking Rent],
          unit_details[Active Listing?],TRUE,
          unit_details[Property Name], $F38,
          unit_details[Beds], $L38,
          unit_details[Baths], $M38,
          unit_details[Partial Baths], IF(ISNUMBER($N38),$N38,""),
          unit_details[Sqft],$P38
))),"")</f>
        <v/>
      </c>
      <c r="AE38" s="5" t="str">
        <f>IFERROR(IF($F38="Total",
          SUMPRODUCT(
   INDEX(AE:AE, ROW()-COUNTIF($F$6:INDEX($F:$F, ROW()-1), $F37)) : INDEX(AE:AE, ROW()-1),
   INDEX(AB:AB, ROW()-COUNTIF($F$6:INDEX($F:$F, ROW()-1), $F37)) : INDEX(AB:AB, ROW()-1)
   )
   /SUM(INDEX(AB:AB, ROW()-COUNTIF($F$6:INDEX($F:$F, ROW()-1), $F37)) : INDEX(AB:AB, ROW()-1)),
          AVERAGEIFS(unit_details[Asking Rent],
          unit_details[Active Listing?],TRUE,
          unit_details[Property Name], $F38,
          unit_details[Beds], $L38,
          unit_details[Baths], $M38,
          unit_details[Partial Baths], IF(ISNUMBER($N38),$N38,""),
          unit_details[Sqft],$P38
)),"")</f>
        <v/>
      </c>
      <c r="AF38" s="5" t="str">
        <f>IFERROR(IF(AE38="","",IF($F38="Total",
SUMPRODUCT(
   INDEX(AF:AF, ROW()-COUNTIF($F$6:INDEX($F:$F, ROW()-1), $F37)) : INDEX(AF:AF, ROW()-1),
   INDEX(AB:AB, ROW()-COUNTIF($F$6:INDEX($F:$F, ROW()-1), $F37)) : INDEX(AB:AB, ROW()-1)
   )
   /SUM(INDEX(AB:AB, ROW()-COUNTIF($F$6:INDEX($F:$F, ROW()-1), $F37)) : INDEX(AB:AB, ROW()-1)),
           _xlfn.MAXIFS(unit_details[Asking Rent],
          unit_details[Active Listing?],TRUE,
          unit_details[Property Name], $F38,
          unit_details[Beds], $L38,
          unit_details[Baths], $M38,
          unit_details[Partial Baths], IF(ISNUMBER($N38),$N38,""),
          unit_details[Sqft],$P38
))),"")</f>
        <v/>
      </c>
      <c r="AG38" s="6" t="str">
        <f>IFERROR(IF($F38="Total",
         SUMPRODUCT(
         INDEX(AG:AG, ROW()-COUNTIF($F$6:INDEX($F:$F, ROW()-1), $F37)) : INDEX(AG:AG, ROW()-1),
         INDEX(AB:AB, ROW()-COUNTIF($F$6:INDEX($F:$F, ROW()-1), $F37)) : INDEX(AB:AB, ROW()-1)
         )
         /SUM(INDEX(AB:AB, ROW()-COUNTIF($F$6:INDEX($F:$F, ROW()-1), $F37)) : INDEX(AB:AB, ROW()-1)),
          AVERAGEIFS(unit_details[Asking PSF],
          unit_details[Active Listing?],TRUE,
          unit_details[Property Name], $F38,
          unit_details[Beds], $L38,
          unit_details[Baths], $M38,
          unit_details[Partial Baths], IF(ISNUMBER($N38),$N38,""),
          unit_details[Sqft],$P38
)),"")</f>
        <v/>
      </c>
      <c r="AH38" s="293" t="str">
        <f>IFERROR(IF($F38="Total",
         SUMPRODUCT(
         INDEX(AH:AH, ROW()-COUNTIF($F$6:INDEX($F:$F, ROW()-1), $F37)) : INDEX(AH:AH, ROW()-1),
         INDEX(AB:AB, ROW()-COUNTIF($F$6:INDEX($F:$F, ROW()-1), $F37)) : INDEX(AB:AB, ROW()-1)
         )
         /SUM(INDEX(AB:AB, ROW()-COUNTIF($F$6:INDEX($F:$F, ROW()-1), $F37)) : INDEX(AB:AB, ROW()-1)),
          AVERAGEIFS(unit_details[Effective Rent],
          unit_details[Active Listing?],TRUE,
          unit_details[Property Name], $F38,
          unit_details[Beds], $L38,
          unit_details[Baths], $M38,
          unit_details[Partial Baths], IF(ISNUMBER($N38),$N38,""),
          unit_details[Sqft],$P38
)),"")</f>
        <v/>
      </c>
      <c r="AI38" s="6" t="str">
        <f>IFERROR(IF($F38="Total",
         SUMPRODUCT(
         INDEX(AI:AI, ROW()-COUNTIF($F$6:INDEX($F:$F, ROW()-1), $F37)) : INDEX(AI:AI, ROW()-1),
         INDEX(AB:AB, ROW()-COUNTIF($F$6:INDEX($F:$F, ROW()-1), $F37)) : INDEX(AB:AB, ROW()-1)
         )
         /SUM(INDEX(AB:AB, ROW()-COUNTIF($F$6:INDEX($F:$F, ROW()-1), $F37)) : INDEX(AB:AB, ROW()-1)),
           AVERAGEIFS(unit_details[Effective PSF],
          unit_details[Active Listing?],TRUE,
          unit_details[Property Name], $F38,
          unit_details[Beds], $L38,
          unit_details[Baths], $M38,
          unit_details[Partial Baths], IF(ISNUMBER($N38),$N38,""),
          unit_details[Sqft],$P38
)),"")</f>
        <v/>
      </c>
      <c r="AJ38" s="824" t="str">
        <f t="shared" si="4"/>
        <v/>
      </c>
      <c r="AK38" s="531" t="str">
        <f t="shared" si="5"/>
        <v/>
      </c>
      <c r="AL38" s="714" t="str">
        <f t="shared" si="6"/>
        <v/>
      </c>
      <c r="AM38" s="531" t="str">
        <f t="shared" si="7"/>
        <v/>
      </c>
      <c r="AN38" s="716" t="str">
        <f t="shared" si="8"/>
        <v/>
      </c>
    </row>
    <row r="39" spans="2:40" x14ac:dyDescent="0.2">
      <c r="B39" s="719"/>
      <c r="C39" s="719"/>
      <c r="F39" s="1" t="str">
        <f t="shared" si="0"/>
        <v/>
      </c>
      <c r="G39" s="713" t="str">
        <f t="shared" si="9"/>
        <v/>
      </c>
      <c r="H39" s="17" t="str">
        <f>IFERROR(VLOOKUP($G39,Table1[[Property]:[Exposure %]],4,0),"")</f>
        <v/>
      </c>
      <c r="I39" s="3" t="str">
        <f>IFERROR(VLOOKUP($G39,Table1[[Property]:[Exposure %]],6,0),"")</f>
        <v/>
      </c>
      <c r="J39" s="3" t="str">
        <f>IFERROR(VLOOKUP($G39,Table1[[Property]:[Exposure %]],7,0),"")</f>
        <v/>
      </c>
      <c r="K39"/>
      <c r="L39"/>
      <c r="M39"/>
      <c r="N39"/>
      <c r="O39"/>
      <c r="P39"/>
      <c r="Q39"/>
      <c r="R39" s="4" t="str">
        <f>IFERROR(VLOOKUP(IF(F39="Total",F38,F39),Table1[[Property]:['# Units]],7,0)*S39,"")</f>
        <v/>
      </c>
      <c r="S39" s="27" t="str">
        <f t="shared" si="2"/>
        <v/>
      </c>
      <c r="T39" s="531" t="str">
        <f>IFERROR(
 IF($F39="Total",
   SUMPRODUCT(
   INDEX(T:T, ROW()-COUNTIF($F$6:INDEX($F:$F, ROW()-1), $F38)) : INDEX(T:T, ROW()-1),
   INDEX(W:W, ROW()-COUNTIF($F$6:INDEX($F:$F, ROW()-1), $F38)) : INDEX(W:W, ROW()-1)
   )
   /SUM(INDEX(W:W, ROW()-COUNTIF($F$6:INDEX($F:$F, ROW()-1), $F38)) : INDEX(W:W, ROW()-1)),
   AVERAGEIFS(
     INDEX((unit_details[Asking Rent],unit_details[Asking PSF]),0,1,IF($U$3="Chunk Rent",1,2)),
     unit_details[Leased Date],"&gt;="&amp;($AM$2-T$5),
     unit_details[Leased Date],"&lt;"&amp;$AM$2,
     unit_details[Beds],$L39,
     unit_details[Baths],$M39,
     unit_details[Partial Baths],IF(ISNUMBER($N39),$N39,""),
     unit_details[Sqft],$P39,
     unit_details[Property Name],$F39)
 ),"")</f>
        <v/>
      </c>
      <c r="U39" s="552" t="str">
        <f>IFERROR(
 IF($F39="Total",
   SUMPRODUCT(
   INDEX(U:U, ROW()-COUNTIF($F$6:INDEX($F:$F, ROW()-1), $F38)) : INDEX(U:U, ROW()-1),
   INDEX(W:W, ROW()-COUNTIF($F$6:INDEX($F:$F, ROW()-1), $F38)) : INDEX(W:W, ROW()-1)
   )
   /SUM(INDEX(W:W, ROW()-COUNTIF($F$6:INDEX($F:$F, ROW()-1), $F38)) : INDEX(W:W, ROW()-1)),
   AVERAGEIFS(
     INDEX((unit_details[Effective Rent],unit_details[Effective PSF]),0,1,IF($U$3="Chunk Rent",1,2)),
     unit_details[Leased Date],"&gt;="&amp;($AM$2-T$5),
     unit_details[Leased Date],"&lt;"&amp;$AM$2,
     unit_details[Beds],$L39,
     unit_details[Baths],$M39,
     unit_details[Partial Baths],IF(ISNUMBER($N39),$N39,""),
     unit_details[Sqft],$P39,
     unit_details[Property Name],$F39)
 ),"")</f>
        <v/>
      </c>
      <c r="V39" s="27" t="str">
        <f t="shared" si="10"/>
        <v/>
      </c>
      <c r="W39" s="526">
        <f>IFERROR(
  IF($F39="Total",
    SUM(INDEX(W:W, ROW()-COUNTIF($F$6:INDEX($F:$F, ROW()-1), $F38)) : INDEX(W:W, ROW()-1)),
    COUNTIFS(
      unit_details[Leased Date], "&gt;="&amp;($AM$2-T$5),
      unit_details[Leased Date], "&lt;"&amp;$AM$2,
      unit_details[Beds], $L39,
      unit_details[Baths], $M39,
      unit_details[Partial Baths], IF(ISNUMBER($N39), $N39, ""),
      unit_details[Sqft],$P39,
      unit_details[Property Name], $F39
    )
  ),
"")</f>
        <v>0</v>
      </c>
      <c r="X39" s="531" t="str">
        <f>IFERROR(
 IF($F39="Total",
   SUMPRODUCT(
   INDEX(X:X, ROW()-COUNTIF($F$6:INDEX($F:$F, ROW()-1), $F38)) : INDEX(X:X, ROW()-1),
   INDEX(AA:AA, ROW()-COUNTIF($F$6:INDEX($F:$F, ROW()-1), $F38)) : INDEX(AA:AA, ROW()-1)
   )
   /SUM(INDEX(AA:AA, ROW()-COUNTIF($F$6:INDEX($F:$F, ROW()-1), $F38)) : INDEX(AA:AA, ROW()-1)),
   AVERAGEIFS(
     INDEX((unit_details[Asking Rent],unit_details[Asking PSF]),0,1,IF($U$3="Chunk Rent",1,2)),
     unit_details[Leased Date],"&gt;="&amp;($AM$2-X$5),
     unit_details[Leased Date],"&lt;"&amp;$AM$2,
     unit_details[Beds],$L39,
     unit_details[Baths],$M39,
     unit_details[Partial Baths],IF(ISNUMBER($N39),$N39,""),
     unit_details[Sqft],$P39,
     unit_details[Property Name],$F39)
 ),"")</f>
        <v/>
      </c>
      <c r="Y39" s="552" t="str">
        <f>IFERROR(
 IF($F39="Total",
   SUMPRODUCT(
   INDEX(Y:Y, ROW()-COUNTIF($F$6:INDEX($F:$F, ROW()-1), $F38)) : INDEX(Y:Y, ROW()-1),
   INDEX(AA:AA, ROW()-COUNTIF($F$6:INDEX($F:$F, ROW()-1), $F38)) : INDEX(AA:AA, ROW()-1)
   )
   /SUM(INDEX(AA:AA, ROW()-COUNTIF($F$6:INDEX($F:$F, ROW()-1), $F38)) : INDEX(AA:AA, ROW()-1)),
   AVERAGEIFS(
     INDEX((unit_details[Effective Rent],unit_details[Effective PSF]),0,1,IF($U$3="Chunk Rent",1,2)),
     unit_details[Leased Date],"&gt;="&amp;($AM$2-X$5),
     unit_details[Leased Date],"&lt;"&amp;$AM$2,
     unit_details[Beds],$L39,
     unit_details[Baths],$M39,
     unit_details[Partial Baths],IF(ISNUMBER($N39),$N39,""),
     unit_details[Sqft],$P39,
     unit_details[Property Name],$F39)
 ),"")</f>
        <v/>
      </c>
      <c r="Z39" s="27" t="str">
        <f t="shared" si="11"/>
        <v/>
      </c>
      <c r="AA39" s="526">
        <f>IFERROR(
  IF($F39="Total",
    SUM(INDEX(AA:AA, ROW()-COUNTIF($F$6:INDEX($F:$F, ROW()-1), $F38)) : INDEX(AA:AA, ROW()-1)),
    COUNTIFS(
      unit_details[Leased Date], "&gt;="&amp;($AM$2-X$5),
      unit_details[Leased Date], "&lt;"&amp;$AM$2,
      unit_details[Beds], $L39,
      unit_details[Baths], $M39,
      unit_details[Partial Baths], IF(ISNUMBER($N39), $N39, ""),
      unit_details[Sqft],$P39,
      unit_details[Property Name], $F39
    )
  ),
"")</f>
        <v>0</v>
      </c>
      <c r="AB39" s="290">
        <f>IF($F39="Total",
SUM(INDEX(AB:AB, ROW()-COUNTIF($F$6:INDEX($F:$F, ROW()-1), $F38)) : INDEX(AB:AB, ROW()-1)),
COUNTIFS(unit_details[Active Listing?],TRUE,
          unit_details[Property Name], $F39,
          unit_details[Beds], $L39,
          unit_details[Baths], $M39,
          unit_details[Partial Baths],IF(ISNUMBER($N39),$N39,""),
          unit_details[Sqft],$P39))</f>
        <v>0</v>
      </c>
      <c r="AC39" s="27" t="str">
        <f t="shared" si="3"/>
        <v/>
      </c>
      <c r="AD39" s="293" t="str">
        <f>IFERROR(IF(AE39="","",IF($F39="Total",
SUMPRODUCT(
   INDEX(AD:AD, ROW()-COUNTIF($F$6:INDEX($F:$F, ROW()-1), $F38)) : INDEX(AD:AD, ROW()-1),
   INDEX(AB:AB, ROW()-COUNTIF($F$6:INDEX($F:$F, ROW()-1), $F38)) : INDEX(AB:AB, ROW()-1)
   )
   /SUM(INDEX(AB:AB, ROW()-COUNTIF($F$6:INDEX($F:$F, ROW()-1), $F38)) : INDEX(AB:AB, ROW()-1)),
          _xlfn.MINIFS(unit_details[Asking Rent],
          unit_details[Active Listing?],TRUE,
          unit_details[Property Name], $F39,
          unit_details[Beds], $L39,
          unit_details[Baths], $M39,
          unit_details[Partial Baths], IF(ISNUMBER($N39),$N39,""),
          unit_details[Sqft],$P39
))),"")</f>
        <v/>
      </c>
      <c r="AE39" s="5" t="str">
        <f>IFERROR(IF($F39="Total",
          SUMPRODUCT(
   INDEX(AE:AE, ROW()-COUNTIF($F$6:INDEX($F:$F, ROW()-1), $F38)) : INDEX(AE:AE, ROW()-1),
   INDEX(AB:AB, ROW()-COUNTIF($F$6:INDEX($F:$F, ROW()-1), $F38)) : INDEX(AB:AB, ROW()-1)
   )
   /SUM(INDEX(AB:AB, ROW()-COUNTIF($F$6:INDEX($F:$F, ROW()-1), $F38)) : INDEX(AB:AB, ROW()-1)),
          AVERAGEIFS(unit_details[Asking Rent],
          unit_details[Active Listing?],TRUE,
          unit_details[Property Name], $F39,
          unit_details[Beds], $L39,
          unit_details[Baths], $M39,
          unit_details[Partial Baths], IF(ISNUMBER($N39),$N39,""),
          unit_details[Sqft],$P39
)),"")</f>
        <v/>
      </c>
      <c r="AF39" s="5" t="str">
        <f>IFERROR(IF(AE39="","",IF($F39="Total",
SUMPRODUCT(
   INDEX(AF:AF, ROW()-COUNTIF($F$6:INDEX($F:$F, ROW()-1), $F38)) : INDEX(AF:AF, ROW()-1),
   INDEX(AB:AB, ROW()-COUNTIF($F$6:INDEX($F:$F, ROW()-1), $F38)) : INDEX(AB:AB, ROW()-1)
   )
   /SUM(INDEX(AB:AB, ROW()-COUNTIF($F$6:INDEX($F:$F, ROW()-1), $F38)) : INDEX(AB:AB, ROW()-1)),
           _xlfn.MAXIFS(unit_details[Asking Rent],
          unit_details[Active Listing?],TRUE,
          unit_details[Property Name], $F39,
          unit_details[Beds], $L39,
          unit_details[Baths], $M39,
          unit_details[Partial Baths], IF(ISNUMBER($N39),$N39,""),
          unit_details[Sqft],$P39
))),"")</f>
        <v/>
      </c>
      <c r="AG39" s="6" t="str">
        <f>IFERROR(IF($F39="Total",
         SUMPRODUCT(
         INDEX(AG:AG, ROW()-COUNTIF($F$6:INDEX($F:$F, ROW()-1), $F38)) : INDEX(AG:AG, ROW()-1),
         INDEX(AB:AB, ROW()-COUNTIF($F$6:INDEX($F:$F, ROW()-1), $F38)) : INDEX(AB:AB, ROW()-1)
         )
         /SUM(INDEX(AB:AB, ROW()-COUNTIF($F$6:INDEX($F:$F, ROW()-1), $F38)) : INDEX(AB:AB, ROW()-1)),
          AVERAGEIFS(unit_details[Asking PSF],
          unit_details[Active Listing?],TRUE,
          unit_details[Property Name], $F39,
          unit_details[Beds], $L39,
          unit_details[Baths], $M39,
          unit_details[Partial Baths], IF(ISNUMBER($N39),$N39,""),
          unit_details[Sqft],$P39
)),"")</f>
        <v/>
      </c>
      <c r="AH39" s="293" t="str">
        <f>IFERROR(IF($F39="Total",
         SUMPRODUCT(
         INDEX(AH:AH, ROW()-COUNTIF($F$6:INDEX($F:$F, ROW()-1), $F38)) : INDEX(AH:AH, ROW()-1),
         INDEX(AB:AB, ROW()-COUNTIF($F$6:INDEX($F:$F, ROW()-1), $F38)) : INDEX(AB:AB, ROW()-1)
         )
         /SUM(INDEX(AB:AB, ROW()-COUNTIF($F$6:INDEX($F:$F, ROW()-1), $F38)) : INDEX(AB:AB, ROW()-1)),
          AVERAGEIFS(unit_details[Effective Rent],
          unit_details[Active Listing?],TRUE,
          unit_details[Property Name], $F39,
          unit_details[Beds], $L39,
          unit_details[Baths], $M39,
          unit_details[Partial Baths], IF(ISNUMBER($N39),$N39,""),
          unit_details[Sqft],$P39
)),"")</f>
        <v/>
      </c>
      <c r="AI39" s="6" t="str">
        <f>IFERROR(IF($F39="Total",
         SUMPRODUCT(
         INDEX(AI:AI, ROW()-COUNTIF($F$6:INDEX($F:$F, ROW()-1), $F38)) : INDEX(AI:AI, ROW()-1),
         INDEX(AB:AB, ROW()-COUNTIF($F$6:INDEX($F:$F, ROW()-1), $F38)) : INDEX(AB:AB, ROW()-1)
         )
         /SUM(INDEX(AB:AB, ROW()-COUNTIF($F$6:INDEX($F:$F, ROW()-1), $F38)) : INDEX(AB:AB, ROW()-1)),
           AVERAGEIFS(unit_details[Effective PSF],
          unit_details[Active Listing?],TRUE,
          unit_details[Property Name], $F39,
          unit_details[Beds], $L39,
          unit_details[Baths], $M39,
          unit_details[Partial Baths], IF(ISNUMBER($N39),$N39,""),
          unit_details[Sqft],$P39
)),"")</f>
        <v/>
      </c>
      <c r="AJ39" s="824" t="str">
        <f t="shared" si="4"/>
        <v/>
      </c>
      <c r="AK39" s="531" t="str">
        <f t="shared" si="5"/>
        <v/>
      </c>
      <c r="AL39" s="714" t="str">
        <f t="shared" si="6"/>
        <v/>
      </c>
      <c r="AM39" s="531" t="str">
        <f t="shared" si="7"/>
        <v/>
      </c>
      <c r="AN39" s="716" t="str">
        <f t="shared" si="8"/>
        <v/>
      </c>
    </row>
    <row r="40" spans="2:40" x14ac:dyDescent="0.2">
      <c r="B40" s="719"/>
      <c r="C40" s="719"/>
      <c r="F40" s="1" t="str">
        <f t="shared" si="0"/>
        <v/>
      </c>
      <c r="G40" s="713" t="str">
        <f t="shared" si="9"/>
        <v/>
      </c>
      <c r="H40" s="17" t="str">
        <f>IFERROR(VLOOKUP($G40,Table1[[Property]:[Exposure %]],4,0),"")</f>
        <v/>
      </c>
      <c r="I40" s="3" t="str">
        <f>IFERROR(VLOOKUP($G40,Table1[[Property]:[Exposure %]],6,0),"")</f>
        <v/>
      </c>
      <c r="J40" s="3" t="str">
        <f>IFERROR(VLOOKUP($G40,Table1[[Property]:[Exposure %]],7,0),"")</f>
        <v/>
      </c>
      <c r="K40"/>
      <c r="L40"/>
      <c r="M40"/>
      <c r="N40"/>
      <c r="O40"/>
      <c r="P40"/>
      <c r="Q40"/>
      <c r="R40" s="4" t="str">
        <f>IFERROR(VLOOKUP(IF(F40="Total",F39,F40),Table1[[Property]:['# Units]],7,0)*S40,"")</f>
        <v/>
      </c>
      <c r="S40" s="27" t="str">
        <f t="shared" si="2"/>
        <v/>
      </c>
      <c r="T40" s="531" t="str">
        <f>IFERROR(
 IF($F40="Total",
   SUMPRODUCT(
   INDEX(T:T, ROW()-COUNTIF($F$6:INDEX($F:$F, ROW()-1), $F39)) : INDEX(T:T, ROW()-1),
   INDEX(W:W, ROW()-COUNTIF($F$6:INDEX($F:$F, ROW()-1), $F39)) : INDEX(W:W, ROW()-1)
   )
   /SUM(INDEX(W:W, ROW()-COUNTIF($F$6:INDEX($F:$F, ROW()-1), $F39)) : INDEX(W:W, ROW()-1)),
   AVERAGEIFS(
     INDEX((unit_details[Asking Rent],unit_details[Asking PSF]),0,1,IF($U$3="Chunk Rent",1,2)),
     unit_details[Leased Date],"&gt;="&amp;($AM$2-T$5),
     unit_details[Leased Date],"&lt;"&amp;$AM$2,
     unit_details[Beds],$L40,
     unit_details[Baths],$M40,
     unit_details[Partial Baths],IF(ISNUMBER($N40),$N40,""),
     unit_details[Sqft],$P40,
     unit_details[Property Name],$F40)
 ),"")</f>
        <v/>
      </c>
      <c r="U40" s="552" t="str">
        <f>IFERROR(
 IF($F40="Total",
   SUMPRODUCT(
   INDEX(U:U, ROW()-COUNTIF($F$6:INDEX($F:$F, ROW()-1), $F39)) : INDEX(U:U, ROW()-1),
   INDEX(W:W, ROW()-COUNTIF($F$6:INDEX($F:$F, ROW()-1), $F39)) : INDEX(W:W, ROW()-1)
   )
   /SUM(INDEX(W:W, ROW()-COUNTIF($F$6:INDEX($F:$F, ROW()-1), $F39)) : INDEX(W:W, ROW()-1)),
   AVERAGEIFS(
     INDEX((unit_details[Effective Rent],unit_details[Effective PSF]),0,1,IF($U$3="Chunk Rent",1,2)),
     unit_details[Leased Date],"&gt;="&amp;($AM$2-T$5),
     unit_details[Leased Date],"&lt;"&amp;$AM$2,
     unit_details[Beds],$L40,
     unit_details[Baths],$M40,
     unit_details[Partial Baths],IF(ISNUMBER($N40),$N40,""),
     unit_details[Sqft],$P40,
     unit_details[Property Name],$F40)
 ),"")</f>
        <v/>
      </c>
      <c r="V40" s="27" t="str">
        <f t="shared" si="10"/>
        <v/>
      </c>
      <c r="W40" s="526">
        <f>IFERROR(
  IF($F40="Total",
    SUM(INDEX(W:W, ROW()-COUNTIF($F$6:INDEX($F:$F, ROW()-1), $F39)) : INDEX(W:W, ROW()-1)),
    COUNTIFS(
      unit_details[Leased Date], "&gt;="&amp;($AM$2-T$5),
      unit_details[Leased Date], "&lt;"&amp;$AM$2,
      unit_details[Beds], $L40,
      unit_details[Baths], $M40,
      unit_details[Partial Baths], IF(ISNUMBER($N40), $N40, ""),
      unit_details[Sqft],$P40,
      unit_details[Property Name], $F40
    )
  ),
"")</f>
        <v>0</v>
      </c>
      <c r="X40" s="531" t="str">
        <f>IFERROR(
 IF($F40="Total",
   SUMPRODUCT(
   INDEX(X:X, ROW()-COUNTIF($F$6:INDEX($F:$F, ROW()-1), $F39)) : INDEX(X:X, ROW()-1),
   INDEX(AA:AA, ROW()-COUNTIF($F$6:INDEX($F:$F, ROW()-1), $F39)) : INDEX(AA:AA, ROW()-1)
   )
   /SUM(INDEX(AA:AA, ROW()-COUNTIF($F$6:INDEX($F:$F, ROW()-1), $F39)) : INDEX(AA:AA, ROW()-1)),
   AVERAGEIFS(
     INDEX((unit_details[Asking Rent],unit_details[Asking PSF]),0,1,IF($U$3="Chunk Rent",1,2)),
     unit_details[Leased Date],"&gt;="&amp;($AM$2-X$5),
     unit_details[Leased Date],"&lt;"&amp;$AM$2,
     unit_details[Beds],$L40,
     unit_details[Baths],$M40,
     unit_details[Partial Baths],IF(ISNUMBER($N40),$N40,""),
     unit_details[Sqft],$P40,
     unit_details[Property Name],$F40)
 ),"")</f>
        <v/>
      </c>
      <c r="Y40" s="552" t="str">
        <f>IFERROR(
 IF($F40="Total",
   SUMPRODUCT(
   INDEX(Y:Y, ROW()-COUNTIF($F$6:INDEX($F:$F, ROW()-1), $F39)) : INDEX(Y:Y, ROW()-1),
   INDEX(AA:AA, ROW()-COUNTIF($F$6:INDEX($F:$F, ROW()-1), $F39)) : INDEX(AA:AA, ROW()-1)
   )
   /SUM(INDEX(AA:AA, ROW()-COUNTIF($F$6:INDEX($F:$F, ROW()-1), $F39)) : INDEX(AA:AA, ROW()-1)),
   AVERAGEIFS(
     INDEX((unit_details[Effective Rent],unit_details[Effective PSF]),0,1,IF($U$3="Chunk Rent",1,2)),
     unit_details[Leased Date],"&gt;="&amp;($AM$2-X$5),
     unit_details[Leased Date],"&lt;"&amp;$AM$2,
     unit_details[Beds],$L40,
     unit_details[Baths],$M40,
     unit_details[Partial Baths],IF(ISNUMBER($N40),$N40,""),
     unit_details[Sqft],$P40,
     unit_details[Property Name],$F40)
 ),"")</f>
        <v/>
      </c>
      <c r="Z40" s="27" t="str">
        <f t="shared" si="11"/>
        <v/>
      </c>
      <c r="AA40" s="526">
        <f>IFERROR(
  IF($F40="Total",
    SUM(INDEX(AA:AA, ROW()-COUNTIF($F$6:INDEX($F:$F, ROW()-1), $F39)) : INDEX(AA:AA, ROW()-1)),
    COUNTIFS(
      unit_details[Leased Date], "&gt;="&amp;($AM$2-X$5),
      unit_details[Leased Date], "&lt;"&amp;$AM$2,
      unit_details[Beds], $L40,
      unit_details[Baths], $M40,
      unit_details[Partial Baths], IF(ISNUMBER($N40), $N40, ""),
      unit_details[Sqft],$P40,
      unit_details[Property Name], $F40
    )
  ),
"")</f>
        <v>0</v>
      </c>
      <c r="AB40" s="290">
        <f>IF($F40="Total",
SUM(INDEX(AB:AB, ROW()-COUNTIF($F$6:INDEX($F:$F, ROW()-1), $F39)) : INDEX(AB:AB, ROW()-1)),
COUNTIFS(unit_details[Active Listing?],TRUE,
          unit_details[Property Name], $F40,
          unit_details[Beds], $L40,
          unit_details[Baths], $M40,
          unit_details[Partial Baths],IF(ISNUMBER($N40),$N40,""),
          unit_details[Sqft],$P40))</f>
        <v>0</v>
      </c>
      <c r="AC40" s="27" t="str">
        <f t="shared" si="3"/>
        <v/>
      </c>
      <c r="AD40" s="293" t="str">
        <f>IFERROR(IF(AE40="","",IF($F40="Total",
SUMPRODUCT(
   INDEX(AD:AD, ROW()-COUNTIF($F$6:INDEX($F:$F, ROW()-1), $F39)) : INDEX(AD:AD, ROW()-1),
   INDEX(AB:AB, ROW()-COUNTIF($F$6:INDEX($F:$F, ROW()-1), $F39)) : INDEX(AB:AB, ROW()-1)
   )
   /SUM(INDEX(AB:AB, ROW()-COUNTIF($F$6:INDEX($F:$F, ROW()-1), $F39)) : INDEX(AB:AB, ROW()-1)),
          _xlfn.MINIFS(unit_details[Asking Rent],
          unit_details[Active Listing?],TRUE,
          unit_details[Property Name], $F40,
          unit_details[Beds], $L40,
          unit_details[Baths], $M40,
          unit_details[Partial Baths], IF(ISNUMBER($N40),$N40,""),
          unit_details[Sqft],$P40
))),"")</f>
        <v/>
      </c>
      <c r="AE40" s="5" t="str">
        <f>IFERROR(IF($F40="Total",
          SUMPRODUCT(
   INDEX(AE:AE, ROW()-COUNTIF($F$6:INDEX($F:$F, ROW()-1), $F39)) : INDEX(AE:AE, ROW()-1),
   INDEX(AB:AB, ROW()-COUNTIF($F$6:INDEX($F:$F, ROW()-1), $F39)) : INDEX(AB:AB, ROW()-1)
   )
   /SUM(INDEX(AB:AB, ROW()-COUNTIF($F$6:INDEX($F:$F, ROW()-1), $F39)) : INDEX(AB:AB, ROW()-1)),
          AVERAGEIFS(unit_details[Asking Rent],
          unit_details[Active Listing?],TRUE,
          unit_details[Property Name], $F40,
          unit_details[Beds], $L40,
          unit_details[Baths], $M40,
          unit_details[Partial Baths], IF(ISNUMBER($N40),$N40,""),
          unit_details[Sqft],$P40
)),"")</f>
        <v/>
      </c>
      <c r="AF40" s="5" t="str">
        <f>IFERROR(IF(AE40="","",IF($F40="Total",
SUMPRODUCT(
   INDEX(AF:AF, ROW()-COUNTIF($F$6:INDEX($F:$F, ROW()-1), $F39)) : INDEX(AF:AF, ROW()-1),
   INDEX(AB:AB, ROW()-COUNTIF($F$6:INDEX($F:$F, ROW()-1), $F39)) : INDEX(AB:AB, ROW()-1)
   )
   /SUM(INDEX(AB:AB, ROW()-COUNTIF($F$6:INDEX($F:$F, ROW()-1), $F39)) : INDEX(AB:AB, ROW()-1)),
           _xlfn.MAXIFS(unit_details[Asking Rent],
          unit_details[Active Listing?],TRUE,
          unit_details[Property Name], $F40,
          unit_details[Beds], $L40,
          unit_details[Baths], $M40,
          unit_details[Partial Baths], IF(ISNUMBER($N40),$N40,""),
          unit_details[Sqft],$P40
))),"")</f>
        <v/>
      </c>
      <c r="AG40" s="6" t="str">
        <f>IFERROR(IF($F40="Total",
         SUMPRODUCT(
         INDEX(AG:AG, ROW()-COUNTIF($F$6:INDEX($F:$F, ROW()-1), $F39)) : INDEX(AG:AG, ROW()-1),
         INDEX(AB:AB, ROW()-COUNTIF($F$6:INDEX($F:$F, ROW()-1), $F39)) : INDEX(AB:AB, ROW()-1)
         )
         /SUM(INDEX(AB:AB, ROW()-COUNTIF($F$6:INDEX($F:$F, ROW()-1), $F39)) : INDEX(AB:AB, ROW()-1)),
          AVERAGEIFS(unit_details[Asking PSF],
          unit_details[Active Listing?],TRUE,
          unit_details[Property Name], $F40,
          unit_details[Beds], $L40,
          unit_details[Baths], $M40,
          unit_details[Partial Baths], IF(ISNUMBER($N40),$N40,""),
          unit_details[Sqft],$P40
)),"")</f>
        <v/>
      </c>
      <c r="AH40" s="293" t="str">
        <f>IFERROR(IF($F40="Total",
         SUMPRODUCT(
         INDEX(AH:AH, ROW()-COUNTIF($F$6:INDEX($F:$F, ROW()-1), $F39)) : INDEX(AH:AH, ROW()-1),
         INDEX(AB:AB, ROW()-COUNTIF($F$6:INDEX($F:$F, ROW()-1), $F39)) : INDEX(AB:AB, ROW()-1)
         )
         /SUM(INDEX(AB:AB, ROW()-COUNTIF($F$6:INDEX($F:$F, ROW()-1), $F39)) : INDEX(AB:AB, ROW()-1)),
          AVERAGEIFS(unit_details[Effective Rent],
          unit_details[Active Listing?],TRUE,
          unit_details[Property Name], $F40,
          unit_details[Beds], $L40,
          unit_details[Baths], $M40,
          unit_details[Partial Baths], IF(ISNUMBER($N40),$N40,""),
          unit_details[Sqft],$P40
)),"")</f>
        <v/>
      </c>
      <c r="AI40" s="6" t="str">
        <f>IFERROR(IF($F40="Total",
         SUMPRODUCT(
         INDEX(AI:AI, ROW()-COUNTIF($F$6:INDEX($F:$F, ROW()-1), $F39)) : INDEX(AI:AI, ROW()-1),
         INDEX(AB:AB, ROW()-COUNTIF($F$6:INDEX($F:$F, ROW()-1), $F39)) : INDEX(AB:AB, ROW()-1)
         )
         /SUM(INDEX(AB:AB, ROW()-COUNTIF($F$6:INDEX($F:$F, ROW()-1), $F39)) : INDEX(AB:AB, ROW()-1)),
           AVERAGEIFS(unit_details[Effective PSF],
          unit_details[Active Listing?],TRUE,
          unit_details[Property Name], $F40,
          unit_details[Beds], $L40,
          unit_details[Baths], $M40,
          unit_details[Partial Baths], IF(ISNUMBER($N40),$N40,""),
          unit_details[Sqft],$P40
)),"")</f>
        <v/>
      </c>
      <c r="AJ40" s="824" t="str">
        <f t="shared" si="4"/>
        <v/>
      </c>
      <c r="AK40" s="531" t="str">
        <f t="shared" si="5"/>
        <v/>
      </c>
      <c r="AL40" s="714" t="str">
        <f t="shared" si="6"/>
        <v/>
      </c>
      <c r="AM40" s="531" t="str">
        <f t="shared" si="7"/>
        <v/>
      </c>
      <c r="AN40" s="716" t="str">
        <f t="shared" si="8"/>
        <v/>
      </c>
    </row>
    <row r="41" spans="2:40" x14ac:dyDescent="0.2">
      <c r="B41" s="719"/>
      <c r="C41" s="719"/>
      <c r="F41" s="1" t="str">
        <f t="shared" si="0"/>
        <v/>
      </c>
      <c r="G41" s="713" t="str">
        <f t="shared" si="9"/>
        <v/>
      </c>
      <c r="H41" s="17" t="str">
        <f>IFERROR(VLOOKUP($G41,Table1[[Property]:[Exposure %]],4,0),"")</f>
        <v/>
      </c>
      <c r="I41" s="3" t="str">
        <f>IFERROR(VLOOKUP($G41,Table1[[Property]:[Exposure %]],6,0),"")</f>
        <v/>
      </c>
      <c r="J41" s="3" t="str">
        <f>IFERROR(VLOOKUP($G41,Table1[[Property]:[Exposure %]],7,0),"")</f>
        <v/>
      </c>
      <c r="K41"/>
      <c r="L41"/>
      <c r="M41"/>
      <c r="N41"/>
      <c r="O41"/>
      <c r="P41"/>
      <c r="Q41"/>
      <c r="R41" s="4" t="str">
        <f>IFERROR(VLOOKUP(IF(F41="Total",F40,F41),Table1[[Property]:['# Units]],7,0)*S41,"")</f>
        <v/>
      </c>
      <c r="S41" s="27" t="str">
        <f t="shared" si="2"/>
        <v/>
      </c>
      <c r="T41" s="531" t="str">
        <f>IFERROR(
 IF($F41="Total",
   SUMPRODUCT(
   INDEX(T:T, ROW()-COUNTIF($F$6:INDEX($F:$F, ROW()-1), $F40)) : INDEX(T:T, ROW()-1),
   INDEX(W:W, ROW()-COUNTIF($F$6:INDEX($F:$F, ROW()-1), $F40)) : INDEX(W:W, ROW()-1)
   )
   /SUM(INDEX(W:W, ROW()-COUNTIF($F$6:INDEX($F:$F, ROW()-1), $F40)) : INDEX(W:W, ROW()-1)),
   AVERAGEIFS(
     INDEX((unit_details[Asking Rent],unit_details[Asking PSF]),0,1,IF($U$3="Chunk Rent",1,2)),
     unit_details[Leased Date],"&gt;="&amp;($AM$2-T$5),
     unit_details[Leased Date],"&lt;"&amp;$AM$2,
     unit_details[Beds],$L41,
     unit_details[Baths],$M41,
     unit_details[Partial Baths],IF(ISNUMBER($N41),$N41,""),
     unit_details[Sqft],$P41,
     unit_details[Property Name],$F41)
 ),"")</f>
        <v/>
      </c>
      <c r="U41" s="552" t="str">
        <f>IFERROR(
 IF($F41="Total",
   SUMPRODUCT(
   INDEX(U:U, ROW()-COUNTIF($F$6:INDEX($F:$F, ROW()-1), $F40)) : INDEX(U:U, ROW()-1),
   INDEX(W:W, ROW()-COUNTIF($F$6:INDEX($F:$F, ROW()-1), $F40)) : INDEX(W:W, ROW()-1)
   )
   /SUM(INDEX(W:W, ROW()-COUNTIF($F$6:INDEX($F:$F, ROW()-1), $F40)) : INDEX(W:W, ROW()-1)),
   AVERAGEIFS(
     INDEX((unit_details[Effective Rent],unit_details[Effective PSF]),0,1,IF($U$3="Chunk Rent",1,2)),
     unit_details[Leased Date],"&gt;="&amp;($AM$2-T$5),
     unit_details[Leased Date],"&lt;"&amp;$AM$2,
     unit_details[Beds],$L41,
     unit_details[Baths],$M41,
     unit_details[Partial Baths],IF(ISNUMBER($N41),$N41,""),
     unit_details[Sqft],$P41,
     unit_details[Property Name],$F41)
 ),"")</f>
        <v/>
      </c>
      <c r="V41" s="27" t="str">
        <f t="shared" si="10"/>
        <v/>
      </c>
      <c r="W41" s="526">
        <f>IFERROR(
  IF($F41="Total",
    SUM(INDEX(W:W, ROW()-COUNTIF($F$6:INDEX($F:$F, ROW()-1), $F40)) : INDEX(W:W, ROW()-1)),
    COUNTIFS(
      unit_details[Leased Date], "&gt;="&amp;($AM$2-T$5),
      unit_details[Leased Date], "&lt;"&amp;$AM$2,
      unit_details[Beds], $L41,
      unit_details[Baths], $M41,
      unit_details[Partial Baths], IF(ISNUMBER($N41), $N41, ""),
      unit_details[Sqft],$P41,
      unit_details[Property Name], $F41
    )
  ),
"")</f>
        <v>0</v>
      </c>
      <c r="X41" s="531" t="str">
        <f>IFERROR(
 IF($F41="Total",
   SUMPRODUCT(
   INDEX(X:X, ROW()-COUNTIF($F$6:INDEX($F:$F, ROW()-1), $F40)) : INDEX(X:X, ROW()-1),
   INDEX(AA:AA, ROW()-COUNTIF($F$6:INDEX($F:$F, ROW()-1), $F40)) : INDEX(AA:AA, ROW()-1)
   )
   /SUM(INDEX(AA:AA, ROW()-COUNTIF($F$6:INDEX($F:$F, ROW()-1), $F40)) : INDEX(AA:AA, ROW()-1)),
   AVERAGEIFS(
     INDEX((unit_details[Asking Rent],unit_details[Asking PSF]),0,1,IF($U$3="Chunk Rent",1,2)),
     unit_details[Leased Date],"&gt;="&amp;($AM$2-X$5),
     unit_details[Leased Date],"&lt;"&amp;$AM$2,
     unit_details[Beds],$L41,
     unit_details[Baths],$M41,
     unit_details[Partial Baths],IF(ISNUMBER($N41),$N41,""),
     unit_details[Sqft],$P41,
     unit_details[Property Name],$F41)
 ),"")</f>
        <v/>
      </c>
      <c r="Y41" s="552" t="str">
        <f>IFERROR(
 IF($F41="Total",
   SUMPRODUCT(
   INDEX(Y:Y, ROW()-COUNTIF($F$6:INDEX($F:$F, ROW()-1), $F40)) : INDEX(Y:Y, ROW()-1),
   INDEX(AA:AA, ROW()-COUNTIF($F$6:INDEX($F:$F, ROW()-1), $F40)) : INDEX(AA:AA, ROW()-1)
   )
   /SUM(INDEX(AA:AA, ROW()-COUNTIF($F$6:INDEX($F:$F, ROW()-1), $F40)) : INDEX(AA:AA, ROW()-1)),
   AVERAGEIFS(
     INDEX((unit_details[Effective Rent],unit_details[Effective PSF]),0,1,IF($U$3="Chunk Rent",1,2)),
     unit_details[Leased Date],"&gt;="&amp;($AM$2-X$5),
     unit_details[Leased Date],"&lt;"&amp;$AM$2,
     unit_details[Beds],$L41,
     unit_details[Baths],$M41,
     unit_details[Partial Baths],IF(ISNUMBER($N41),$N41,""),
     unit_details[Sqft],$P41,
     unit_details[Property Name],$F41)
 ),"")</f>
        <v/>
      </c>
      <c r="Z41" s="27" t="str">
        <f t="shared" si="11"/>
        <v/>
      </c>
      <c r="AA41" s="526">
        <f>IFERROR(
  IF($F41="Total",
    SUM(INDEX(AA:AA, ROW()-COUNTIF($F$6:INDEX($F:$F, ROW()-1), $F40)) : INDEX(AA:AA, ROW()-1)),
    COUNTIFS(
      unit_details[Leased Date], "&gt;="&amp;($AM$2-X$5),
      unit_details[Leased Date], "&lt;"&amp;$AM$2,
      unit_details[Beds], $L41,
      unit_details[Baths], $M41,
      unit_details[Partial Baths], IF(ISNUMBER($N41), $N41, ""),
      unit_details[Sqft],$P41,
      unit_details[Property Name], $F41
    )
  ),
"")</f>
        <v>0</v>
      </c>
      <c r="AB41" s="290">
        <f>IF($F41="Total",
SUM(INDEX(AB:AB, ROW()-COUNTIF($F$6:INDEX($F:$F, ROW()-1), $F40)) : INDEX(AB:AB, ROW()-1)),
COUNTIFS(unit_details[Active Listing?],TRUE,
          unit_details[Property Name], $F41,
          unit_details[Beds], $L41,
          unit_details[Baths], $M41,
          unit_details[Partial Baths],IF(ISNUMBER($N41),$N41,""),
          unit_details[Sqft],$P41))</f>
        <v>0</v>
      </c>
      <c r="AC41" s="27" t="str">
        <f t="shared" si="3"/>
        <v/>
      </c>
      <c r="AD41" s="293" t="str">
        <f>IFERROR(IF(AE41="","",IF($F41="Total",
SUMPRODUCT(
   INDEX(AD:AD, ROW()-COUNTIF($F$6:INDEX($F:$F, ROW()-1), $F40)) : INDEX(AD:AD, ROW()-1),
   INDEX(AB:AB, ROW()-COUNTIF($F$6:INDEX($F:$F, ROW()-1), $F40)) : INDEX(AB:AB, ROW()-1)
   )
   /SUM(INDEX(AB:AB, ROW()-COUNTIF($F$6:INDEX($F:$F, ROW()-1), $F40)) : INDEX(AB:AB, ROW()-1)),
          _xlfn.MINIFS(unit_details[Asking Rent],
          unit_details[Active Listing?],TRUE,
          unit_details[Property Name], $F41,
          unit_details[Beds], $L41,
          unit_details[Baths], $M41,
          unit_details[Partial Baths], IF(ISNUMBER($N41),$N41,""),
          unit_details[Sqft],$P41
))),"")</f>
        <v/>
      </c>
      <c r="AE41" s="5" t="str">
        <f>IFERROR(IF($F41="Total",
          SUMPRODUCT(
   INDEX(AE:AE, ROW()-COUNTIF($F$6:INDEX($F:$F, ROW()-1), $F40)) : INDEX(AE:AE, ROW()-1),
   INDEX(AB:AB, ROW()-COUNTIF($F$6:INDEX($F:$F, ROW()-1), $F40)) : INDEX(AB:AB, ROW()-1)
   )
   /SUM(INDEX(AB:AB, ROW()-COUNTIF($F$6:INDEX($F:$F, ROW()-1), $F40)) : INDEX(AB:AB, ROW()-1)),
          AVERAGEIFS(unit_details[Asking Rent],
          unit_details[Active Listing?],TRUE,
          unit_details[Property Name], $F41,
          unit_details[Beds], $L41,
          unit_details[Baths], $M41,
          unit_details[Partial Baths], IF(ISNUMBER($N41),$N41,""),
          unit_details[Sqft],$P41
)),"")</f>
        <v/>
      </c>
      <c r="AF41" s="5" t="str">
        <f>IFERROR(IF(AE41="","",IF($F41="Total",
SUMPRODUCT(
   INDEX(AF:AF, ROW()-COUNTIF($F$6:INDEX($F:$F, ROW()-1), $F40)) : INDEX(AF:AF, ROW()-1),
   INDEX(AB:AB, ROW()-COUNTIF($F$6:INDEX($F:$F, ROW()-1), $F40)) : INDEX(AB:AB, ROW()-1)
   )
   /SUM(INDEX(AB:AB, ROW()-COUNTIF($F$6:INDEX($F:$F, ROW()-1), $F40)) : INDEX(AB:AB, ROW()-1)),
           _xlfn.MAXIFS(unit_details[Asking Rent],
          unit_details[Active Listing?],TRUE,
          unit_details[Property Name], $F41,
          unit_details[Beds], $L41,
          unit_details[Baths], $M41,
          unit_details[Partial Baths], IF(ISNUMBER($N41),$N41,""),
          unit_details[Sqft],$P41
))),"")</f>
        <v/>
      </c>
      <c r="AG41" s="6" t="str">
        <f>IFERROR(IF($F41="Total",
         SUMPRODUCT(
         INDEX(AG:AG, ROW()-COUNTIF($F$6:INDEX($F:$F, ROW()-1), $F40)) : INDEX(AG:AG, ROW()-1),
         INDEX(AB:AB, ROW()-COUNTIF($F$6:INDEX($F:$F, ROW()-1), $F40)) : INDEX(AB:AB, ROW()-1)
         )
         /SUM(INDEX(AB:AB, ROW()-COUNTIF($F$6:INDEX($F:$F, ROW()-1), $F40)) : INDEX(AB:AB, ROW()-1)),
          AVERAGEIFS(unit_details[Asking PSF],
          unit_details[Active Listing?],TRUE,
          unit_details[Property Name], $F41,
          unit_details[Beds], $L41,
          unit_details[Baths], $M41,
          unit_details[Partial Baths], IF(ISNUMBER($N41),$N41,""),
          unit_details[Sqft],$P41
)),"")</f>
        <v/>
      </c>
      <c r="AH41" s="293" t="str">
        <f>IFERROR(IF($F41="Total",
         SUMPRODUCT(
         INDEX(AH:AH, ROW()-COUNTIF($F$6:INDEX($F:$F, ROW()-1), $F40)) : INDEX(AH:AH, ROW()-1),
         INDEX(AB:AB, ROW()-COUNTIF($F$6:INDEX($F:$F, ROW()-1), $F40)) : INDEX(AB:AB, ROW()-1)
         )
         /SUM(INDEX(AB:AB, ROW()-COUNTIF($F$6:INDEX($F:$F, ROW()-1), $F40)) : INDEX(AB:AB, ROW()-1)),
          AVERAGEIFS(unit_details[Effective Rent],
          unit_details[Active Listing?],TRUE,
          unit_details[Property Name], $F41,
          unit_details[Beds], $L41,
          unit_details[Baths], $M41,
          unit_details[Partial Baths], IF(ISNUMBER($N41),$N41,""),
          unit_details[Sqft],$P41
)),"")</f>
        <v/>
      </c>
      <c r="AI41" s="6" t="str">
        <f>IFERROR(IF($F41="Total",
         SUMPRODUCT(
         INDEX(AI:AI, ROW()-COUNTIF($F$6:INDEX($F:$F, ROW()-1), $F40)) : INDEX(AI:AI, ROW()-1),
         INDEX(AB:AB, ROW()-COUNTIF($F$6:INDEX($F:$F, ROW()-1), $F40)) : INDEX(AB:AB, ROW()-1)
         )
         /SUM(INDEX(AB:AB, ROW()-COUNTIF($F$6:INDEX($F:$F, ROW()-1), $F40)) : INDEX(AB:AB, ROW()-1)),
           AVERAGEIFS(unit_details[Effective PSF],
          unit_details[Active Listing?],TRUE,
          unit_details[Property Name], $F41,
          unit_details[Beds], $L41,
          unit_details[Baths], $M41,
          unit_details[Partial Baths], IF(ISNUMBER($N41),$N41,""),
          unit_details[Sqft],$P41
)),"")</f>
        <v/>
      </c>
      <c r="AJ41" s="824" t="str">
        <f t="shared" si="4"/>
        <v/>
      </c>
      <c r="AK41" s="531" t="str">
        <f t="shared" si="5"/>
        <v/>
      </c>
      <c r="AL41" s="714" t="str">
        <f t="shared" si="6"/>
        <v/>
      </c>
      <c r="AM41" s="531" t="str">
        <f t="shared" si="7"/>
        <v/>
      </c>
      <c r="AN41" s="716" t="str">
        <f t="shared" si="8"/>
        <v/>
      </c>
    </row>
    <row r="42" spans="2:40" x14ac:dyDescent="0.2">
      <c r="B42" s="719"/>
      <c r="C42" s="719"/>
      <c r="F42" s="1" t="str">
        <f t="shared" si="0"/>
        <v/>
      </c>
      <c r="G42" s="713" t="str">
        <f t="shared" si="9"/>
        <v/>
      </c>
      <c r="H42" s="17" t="str">
        <f>IFERROR(VLOOKUP($G42,Table1[[Property]:[Exposure %]],4,0),"")</f>
        <v/>
      </c>
      <c r="I42" s="3" t="str">
        <f>IFERROR(VLOOKUP($G42,Table1[[Property]:[Exposure %]],6,0),"")</f>
        <v/>
      </c>
      <c r="J42" s="3" t="str">
        <f>IFERROR(VLOOKUP($G42,Table1[[Property]:[Exposure %]],7,0),"")</f>
        <v/>
      </c>
      <c r="K42"/>
      <c r="L42"/>
      <c r="M42"/>
      <c r="N42"/>
      <c r="O42"/>
      <c r="P42"/>
      <c r="Q42"/>
      <c r="R42" s="4" t="str">
        <f>IFERROR(VLOOKUP(IF(F42="Total",F41,F42),Table1[[Property]:['# Units]],7,0)*S42,"")</f>
        <v/>
      </c>
      <c r="S42" s="27" t="str">
        <f t="shared" si="2"/>
        <v/>
      </c>
      <c r="T42" s="531" t="str">
        <f>IFERROR(
 IF($F42="Total",
   SUMPRODUCT(
   INDEX(T:T, ROW()-COUNTIF($F$6:INDEX($F:$F, ROW()-1), $F41)) : INDEX(T:T, ROW()-1),
   INDEX(W:W, ROW()-COUNTIF($F$6:INDEX($F:$F, ROW()-1), $F41)) : INDEX(W:W, ROW()-1)
   )
   /SUM(INDEX(W:W, ROW()-COUNTIF($F$6:INDEX($F:$F, ROW()-1), $F41)) : INDEX(W:W, ROW()-1)),
   AVERAGEIFS(
     INDEX((unit_details[Asking Rent],unit_details[Asking PSF]),0,1,IF($U$3="Chunk Rent",1,2)),
     unit_details[Leased Date],"&gt;="&amp;($AM$2-T$5),
     unit_details[Leased Date],"&lt;"&amp;$AM$2,
     unit_details[Beds],$L42,
     unit_details[Baths],$M42,
     unit_details[Partial Baths],IF(ISNUMBER($N42),$N42,""),
     unit_details[Sqft],$P42,
     unit_details[Property Name],$F42)
 ),"")</f>
        <v/>
      </c>
      <c r="U42" s="552" t="str">
        <f>IFERROR(
 IF($F42="Total",
   SUMPRODUCT(
   INDEX(U:U, ROW()-COUNTIF($F$6:INDEX($F:$F, ROW()-1), $F41)) : INDEX(U:U, ROW()-1),
   INDEX(W:W, ROW()-COUNTIF($F$6:INDEX($F:$F, ROW()-1), $F41)) : INDEX(W:W, ROW()-1)
   )
   /SUM(INDEX(W:W, ROW()-COUNTIF($F$6:INDEX($F:$F, ROW()-1), $F41)) : INDEX(W:W, ROW()-1)),
   AVERAGEIFS(
     INDEX((unit_details[Effective Rent],unit_details[Effective PSF]),0,1,IF($U$3="Chunk Rent",1,2)),
     unit_details[Leased Date],"&gt;="&amp;($AM$2-T$5),
     unit_details[Leased Date],"&lt;"&amp;$AM$2,
     unit_details[Beds],$L42,
     unit_details[Baths],$M42,
     unit_details[Partial Baths],IF(ISNUMBER($N42),$N42,""),
     unit_details[Sqft],$P42,
     unit_details[Property Name],$F42)
 ),"")</f>
        <v/>
      </c>
      <c r="V42" s="27" t="str">
        <f t="shared" si="10"/>
        <v/>
      </c>
      <c r="W42" s="526">
        <f>IFERROR(
  IF($F42="Total",
    SUM(INDEX(W:W, ROW()-COUNTIF($F$6:INDEX($F:$F, ROW()-1), $F41)) : INDEX(W:W, ROW()-1)),
    COUNTIFS(
      unit_details[Leased Date], "&gt;="&amp;($AM$2-T$5),
      unit_details[Leased Date], "&lt;"&amp;$AM$2,
      unit_details[Beds], $L42,
      unit_details[Baths], $M42,
      unit_details[Partial Baths], IF(ISNUMBER($N42), $N42, ""),
      unit_details[Sqft],$P42,
      unit_details[Property Name], $F42
    )
  ),
"")</f>
        <v>0</v>
      </c>
      <c r="X42" s="531" t="str">
        <f>IFERROR(
 IF($F42="Total",
   SUMPRODUCT(
   INDEX(X:X, ROW()-COUNTIF($F$6:INDEX($F:$F, ROW()-1), $F41)) : INDEX(X:X, ROW()-1),
   INDEX(AA:AA, ROW()-COUNTIF($F$6:INDEX($F:$F, ROW()-1), $F41)) : INDEX(AA:AA, ROW()-1)
   )
   /SUM(INDEX(AA:AA, ROW()-COUNTIF($F$6:INDEX($F:$F, ROW()-1), $F41)) : INDEX(AA:AA, ROW()-1)),
   AVERAGEIFS(
     INDEX((unit_details[Asking Rent],unit_details[Asking PSF]),0,1,IF($U$3="Chunk Rent",1,2)),
     unit_details[Leased Date],"&gt;="&amp;($AM$2-X$5),
     unit_details[Leased Date],"&lt;"&amp;$AM$2,
     unit_details[Beds],$L42,
     unit_details[Baths],$M42,
     unit_details[Partial Baths],IF(ISNUMBER($N42),$N42,""),
     unit_details[Sqft],$P42,
     unit_details[Property Name],$F42)
 ),"")</f>
        <v/>
      </c>
      <c r="Y42" s="552" t="str">
        <f>IFERROR(
 IF($F42="Total",
   SUMPRODUCT(
   INDEX(Y:Y, ROW()-COUNTIF($F$6:INDEX($F:$F, ROW()-1), $F41)) : INDEX(Y:Y, ROW()-1),
   INDEX(AA:AA, ROW()-COUNTIF($F$6:INDEX($F:$F, ROW()-1), $F41)) : INDEX(AA:AA, ROW()-1)
   )
   /SUM(INDEX(AA:AA, ROW()-COUNTIF($F$6:INDEX($F:$F, ROW()-1), $F41)) : INDEX(AA:AA, ROW()-1)),
   AVERAGEIFS(
     INDEX((unit_details[Effective Rent],unit_details[Effective PSF]),0,1,IF($U$3="Chunk Rent",1,2)),
     unit_details[Leased Date],"&gt;="&amp;($AM$2-X$5),
     unit_details[Leased Date],"&lt;"&amp;$AM$2,
     unit_details[Beds],$L42,
     unit_details[Baths],$M42,
     unit_details[Partial Baths],IF(ISNUMBER($N42),$N42,""),
     unit_details[Sqft],$P42,
     unit_details[Property Name],$F42)
 ),"")</f>
        <v/>
      </c>
      <c r="Z42" s="27" t="str">
        <f t="shared" si="11"/>
        <v/>
      </c>
      <c r="AA42" s="526">
        <f>IFERROR(
  IF($F42="Total",
    SUM(INDEX(AA:AA, ROW()-COUNTIF($F$6:INDEX($F:$F, ROW()-1), $F41)) : INDEX(AA:AA, ROW()-1)),
    COUNTIFS(
      unit_details[Leased Date], "&gt;="&amp;($AM$2-X$5),
      unit_details[Leased Date], "&lt;"&amp;$AM$2,
      unit_details[Beds], $L42,
      unit_details[Baths], $M42,
      unit_details[Partial Baths], IF(ISNUMBER($N42), $N42, ""),
      unit_details[Sqft],$P42,
      unit_details[Property Name], $F42
    )
  ),
"")</f>
        <v>0</v>
      </c>
      <c r="AB42" s="290">
        <f>IF($F42="Total",
SUM(INDEX(AB:AB, ROW()-COUNTIF($F$6:INDEX($F:$F, ROW()-1), $F41)) : INDEX(AB:AB, ROW()-1)),
COUNTIFS(unit_details[Active Listing?],TRUE,
          unit_details[Property Name], $F42,
          unit_details[Beds], $L42,
          unit_details[Baths], $M42,
          unit_details[Partial Baths],IF(ISNUMBER($N42),$N42,""),
          unit_details[Sqft],$P42))</f>
        <v>0</v>
      </c>
      <c r="AC42" s="27" t="str">
        <f t="shared" si="3"/>
        <v/>
      </c>
      <c r="AD42" s="293" t="str">
        <f>IFERROR(IF(AE42="","",IF($F42="Total",
SUMPRODUCT(
   INDEX(AD:AD, ROW()-COUNTIF($F$6:INDEX($F:$F, ROW()-1), $F41)) : INDEX(AD:AD, ROW()-1),
   INDEX(AB:AB, ROW()-COUNTIF($F$6:INDEX($F:$F, ROW()-1), $F41)) : INDEX(AB:AB, ROW()-1)
   )
   /SUM(INDEX(AB:AB, ROW()-COUNTIF($F$6:INDEX($F:$F, ROW()-1), $F41)) : INDEX(AB:AB, ROW()-1)),
          _xlfn.MINIFS(unit_details[Asking Rent],
          unit_details[Active Listing?],TRUE,
          unit_details[Property Name], $F42,
          unit_details[Beds], $L42,
          unit_details[Baths], $M42,
          unit_details[Partial Baths], IF(ISNUMBER($N42),$N42,""),
          unit_details[Sqft],$P42
))),"")</f>
        <v/>
      </c>
      <c r="AE42" s="5" t="str">
        <f>IFERROR(IF($F42="Total",
          SUMPRODUCT(
   INDEX(AE:AE, ROW()-COUNTIF($F$6:INDEX($F:$F, ROW()-1), $F41)) : INDEX(AE:AE, ROW()-1),
   INDEX(AB:AB, ROW()-COUNTIF($F$6:INDEX($F:$F, ROW()-1), $F41)) : INDEX(AB:AB, ROW()-1)
   )
   /SUM(INDEX(AB:AB, ROW()-COUNTIF($F$6:INDEX($F:$F, ROW()-1), $F41)) : INDEX(AB:AB, ROW()-1)),
          AVERAGEIFS(unit_details[Asking Rent],
          unit_details[Active Listing?],TRUE,
          unit_details[Property Name], $F42,
          unit_details[Beds], $L42,
          unit_details[Baths], $M42,
          unit_details[Partial Baths], IF(ISNUMBER($N42),$N42,""),
          unit_details[Sqft],$P42
)),"")</f>
        <v/>
      </c>
      <c r="AF42" s="5" t="str">
        <f>IFERROR(IF(AE42="","",IF($F42="Total",
SUMPRODUCT(
   INDEX(AF:AF, ROW()-COUNTIF($F$6:INDEX($F:$F, ROW()-1), $F41)) : INDEX(AF:AF, ROW()-1),
   INDEX(AB:AB, ROW()-COUNTIF($F$6:INDEX($F:$F, ROW()-1), $F41)) : INDEX(AB:AB, ROW()-1)
   )
   /SUM(INDEX(AB:AB, ROW()-COUNTIF($F$6:INDEX($F:$F, ROW()-1), $F41)) : INDEX(AB:AB, ROW()-1)),
           _xlfn.MAXIFS(unit_details[Asking Rent],
          unit_details[Active Listing?],TRUE,
          unit_details[Property Name], $F42,
          unit_details[Beds], $L42,
          unit_details[Baths], $M42,
          unit_details[Partial Baths], IF(ISNUMBER($N42),$N42,""),
          unit_details[Sqft],$P42
))),"")</f>
        <v/>
      </c>
      <c r="AG42" s="6" t="str">
        <f>IFERROR(IF($F42="Total",
         SUMPRODUCT(
         INDEX(AG:AG, ROW()-COUNTIF($F$6:INDEX($F:$F, ROW()-1), $F41)) : INDEX(AG:AG, ROW()-1),
         INDEX(AB:AB, ROW()-COUNTIF($F$6:INDEX($F:$F, ROW()-1), $F41)) : INDEX(AB:AB, ROW()-1)
         )
         /SUM(INDEX(AB:AB, ROW()-COUNTIF($F$6:INDEX($F:$F, ROW()-1), $F41)) : INDEX(AB:AB, ROW()-1)),
          AVERAGEIFS(unit_details[Asking PSF],
          unit_details[Active Listing?],TRUE,
          unit_details[Property Name], $F42,
          unit_details[Beds], $L42,
          unit_details[Baths], $M42,
          unit_details[Partial Baths], IF(ISNUMBER($N42),$N42,""),
          unit_details[Sqft],$P42
)),"")</f>
        <v/>
      </c>
      <c r="AH42" s="293" t="str">
        <f>IFERROR(IF($F42="Total",
         SUMPRODUCT(
         INDEX(AH:AH, ROW()-COUNTIF($F$6:INDEX($F:$F, ROW()-1), $F41)) : INDEX(AH:AH, ROW()-1),
         INDEX(AB:AB, ROW()-COUNTIF($F$6:INDEX($F:$F, ROW()-1), $F41)) : INDEX(AB:AB, ROW()-1)
         )
         /SUM(INDEX(AB:AB, ROW()-COUNTIF($F$6:INDEX($F:$F, ROW()-1), $F41)) : INDEX(AB:AB, ROW()-1)),
          AVERAGEIFS(unit_details[Effective Rent],
          unit_details[Active Listing?],TRUE,
          unit_details[Property Name], $F42,
          unit_details[Beds], $L42,
          unit_details[Baths], $M42,
          unit_details[Partial Baths], IF(ISNUMBER($N42),$N42,""),
          unit_details[Sqft],$P42
)),"")</f>
        <v/>
      </c>
      <c r="AI42" s="6" t="str">
        <f>IFERROR(IF($F42="Total",
         SUMPRODUCT(
         INDEX(AI:AI, ROW()-COUNTIF($F$6:INDEX($F:$F, ROW()-1), $F41)) : INDEX(AI:AI, ROW()-1),
         INDEX(AB:AB, ROW()-COUNTIF($F$6:INDEX($F:$F, ROW()-1), $F41)) : INDEX(AB:AB, ROW()-1)
         )
         /SUM(INDEX(AB:AB, ROW()-COUNTIF($F$6:INDEX($F:$F, ROW()-1), $F41)) : INDEX(AB:AB, ROW()-1)),
           AVERAGEIFS(unit_details[Effective PSF],
          unit_details[Active Listing?],TRUE,
          unit_details[Property Name], $F42,
          unit_details[Beds], $L42,
          unit_details[Baths], $M42,
          unit_details[Partial Baths], IF(ISNUMBER($N42),$N42,""),
          unit_details[Sqft],$P42
)),"")</f>
        <v/>
      </c>
      <c r="AJ42" s="824" t="str">
        <f t="shared" si="4"/>
        <v/>
      </c>
      <c r="AK42" s="531" t="str">
        <f t="shared" si="5"/>
        <v/>
      </c>
      <c r="AL42" s="714" t="str">
        <f t="shared" si="6"/>
        <v/>
      </c>
      <c r="AM42" s="531" t="str">
        <f t="shared" si="7"/>
        <v/>
      </c>
      <c r="AN42" s="716" t="str">
        <f t="shared" si="8"/>
        <v/>
      </c>
    </row>
    <row r="43" spans="2:40" x14ac:dyDescent="0.2">
      <c r="B43" s="719"/>
      <c r="C43" s="719"/>
      <c r="F43" s="1" t="str">
        <f t="shared" si="0"/>
        <v/>
      </c>
      <c r="G43" s="713" t="str">
        <f t="shared" si="9"/>
        <v/>
      </c>
      <c r="H43" s="17" t="str">
        <f>IFERROR(VLOOKUP($G43,Table1[[Property]:[Exposure %]],4,0),"")</f>
        <v/>
      </c>
      <c r="I43" s="3" t="str">
        <f>IFERROR(VLOOKUP($G43,Table1[[Property]:[Exposure %]],6,0),"")</f>
        <v/>
      </c>
      <c r="J43" s="3" t="str">
        <f>IFERROR(VLOOKUP($G43,Table1[[Property]:[Exposure %]],7,0),"")</f>
        <v/>
      </c>
      <c r="K43"/>
      <c r="L43"/>
      <c r="M43"/>
      <c r="N43"/>
      <c r="O43"/>
      <c r="P43"/>
      <c r="Q43"/>
      <c r="R43" s="4" t="str">
        <f>IFERROR(VLOOKUP(IF(F43="Total",F42,F43),Table1[[Property]:['# Units]],7,0)*S43,"")</f>
        <v/>
      </c>
      <c r="S43" s="27" t="str">
        <f t="shared" si="2"/>
        <v/>
      </c>
      <c r="T43" s="531" t="str">
        <f>IFERROR(
 IF($F43="Total",
   SUMPRODUCT(
   INDEX(T:T, ROW()-COUNTIF($F$6:INDEX($F:$F, ROW()-1), $F42)) : INDEX(T:T, ROW()-1),
   INDEX(W:W, ROW()-COUNTIF($F$6:INDEX($F:$F, ROW()-1), $F42)) : INDEX(W:W, ROW()-1)
   )
   /SUM(INDEX(W:W, ROW()-COUNTIF($F$6:INDEX($F:$F, ROW()-1), $F42)) : INDEX(W:W, ROW()-1)),
   AVERAGEIFS(
     INDEX((unit_details[Asking Rent],unit_details[Asking PSF]),0,1,IF($U$3="Chunk Rent",1,2)),
     unit_details[Leased Date],"&gt;="&amp;($AM$2-T$5),
     unit_details[Leased Date],"&lt;"&amp;$AM$2,
     unit_details[Beds],$L43,
     unit_details[Baths],$M43,
     unit_details[Partial Baths],IF(ISNUMBER($N43),$N43,""),
     unit_details[Sqft],$P43,
     unit_details[Property Name],$F43)
 ),"")</f>
        <v/>
      </c>
      <c r="U43" s="552" t="str">
        <f>IFERROR(
 IF($F43="Total",
   SUMPRODUCT(
   INDEX(U:U, ROW()-COUNTIF($F$6:INDEX($F:$F, ROW()-1), $F42)) : INDEX(U:U, ROW()-1),
   INDEX(W:W, ROW()-COUNTIF($F$6:INDEX($F:$F, ROW()-1), $F42)) : INDEX(W:W, ROW()-1)
   )
   /SUM(INDEX(W:W, ROW()-COUNTIF($F$6:INDEX($F:$F, ROW()-1), $F42)) : INDEX(W:W, ROW()-1)),
   AVERAGEIFS(
     INDEX((unit_details[Effective Rent],unit_details[Effective PSF]),0,1,IF($U$3="Chunk Rent",1,2)),
     unit_details[Leased Date],"&gt;="&amp;($AM$2-T$5),
     unit_details[Leased Date],"&lt;"&amp;$AM$2,
     unit_details[Beds],$L43,
     unit_details[Baths],$M43,
     unit_details[Partial Baths],IF(ISNUMBER($N43),$N43,""),
     unit_details[Sqft],$P43,
     unit_details[Property Name],$F43)
 ),"")</f>
        <v/>
      </c>
      <c r="V43" s="27" t="str">
        <f t="shared" si="10"/>
        <v/>
      </c>
      <c r="W43" s="526">
        <f>IFERROR(
  IF($F43="Total",
    SUM(INDEX(W:W, ROW()-COUNTIF($F$6:INDEX($F:$F, ROW()-1), $F42)) : INDEX(W:W, ROW()-1)),
    COUNTIFS(
      unit_details[Leased Date], "&gt;="&amp;($AM$2-T$5),
      unit_details[Leased Date], "&lt;"&amp;$AM$2,
      unit_details[Beds], $L43,
      unit_details[Baths], $M43,
      unit_details[Partial Baths], IF(ISNUMBER($N43), $N43, ""),
      unit_details[Sqft],$P43,
      unit_details[Property Name], $F43
    )
  ),
"")</f>
        <v>0</v>
      </c>
      <c r="X43" s="531" t="str">
        <f>IFERROR(
 IF($F43="Total",
   SUMPRODUCT(
   INDEX(X:X, ROW()-COUNTIF($F$6:INDEX($F:$F, ROW()-1), $F42)) : INDEX(X:X, ROW()-1),
   INDEX(AA:AA, ROW()-COUNTIF($F$6:INDEX($F:$F, ROW()-1), $F42)) : INDEX(AA:AA, ROW()-1)
   )
   /SUM(INDEX(AA:AA, ROW()-COUNTIF($F$6:INDEX($F:$F, ROW()-1), $F42)) : INDEX(AA:AA, ROW()-1)),
   AVERAGEIFS(
     INDEX((unit_details[Asking Rent],unit_details[Asking PSF]),0,1,IF($U$3="Chunk Rent",1,2)),
     unit_details[Leased Date],"&gt;="&amp;($AM$2-X$5),
     unit_details[Leased Date],"&lt;"&amp;$AM$2,
     unit_details[Beds],$L43,
     unit_details[Baths],$M43,
     unit_details[Partial Baths],IF(ISNUMBER($N43),$N43,""),
     unit_details[Sqft],$P43,
     unit_details[Property Name],$F43)
 ),"")</f>
        <v/>
      </c>
      <c r="Y43" s="552" t="str">
        <f>IFERROR(
 IF($F43="Total",
   SUMPRODUCT(
   INDEX(Y:Y, ROW()-COUNTIF($F$6:INDEX($F:$F, ROW()-1), $F42)) : INDEX(Y:Y, ROW()-1),
   INDEX(AA:AA, ROW()-COUNTIF($F$6:INDEX($F:$F, ROW()-1), $F42)) : INDEX(AA:AA, ROW()-1)
   )
   /SUM(INDEX(AA:AA, ROW()-COUNTIF($F$6:INDEX($F:$F, ROW()-1), $F42)) : INDEX(AA:AA, ROW()-1)),
   AVERAGEIFS(
     INDEX((unit_details[Effective Rent],unit_details[Effective PSF]),0,1,IF($U$3="Chunk Rent",1,2)),
     unit_details[Leased Date],"&gt;="&amp;($AM$2-X$5),
     unit_details[Leased Date],"&lt;"&amp;$AM$2,
     unit_details[Beds],$L43,
     unit_details[Baths],$M43,
     unit_details[Partial Baths],IF(ISNUMBER($N43),$N43,""),
     unit_details[Sqft],$P43,
     unit_details[Property Name],$F43)
 ),"")</f>
        <v/>
      </c>
      <c r="Z43" s="27" t="str">
        <f t="shared" si="11"/>
        <v/>
      </c>
      <c r="AA43" s="526">
        <f>IFERROR(
  IF($F43="Total",
    SUM(INDEX(AA:AA, ROW()-COUNTIF($F$6:INDEX($F:$F, ROW()-1), $F42)) : INDEX(AA:AA, ROW()-1)),
    COUNTIFS(
      unit_details[Leased Date], "&gt;="&amp;($AM$2-X$5),
      unit_details[Leased Date], "&lt;"&amp;$AM$2,
      unit_details[Beds], $L43,
      unit_details[Baths], $M43,
      unit_details[Partial Baths], IF(ISNUMBER($N43), $N43, ""),
      unit_details[Sqft],$P43,
      unit_details[Property Name], $F43
    )
  ),
"")</f>
        <v>0</v>
      </c>
      <c r="AB43" s="290">
        <f>IF($F43="Total",
SUM(INDEX(AB:AB, ROW()-COUNTIF($F$6:INDEX($F:$F, ROW()-1), $F42)) : INDEX(AB:AB, ROW()-1)),
COUNTIFS(unit_details[Active Listing?],TRUE,
          unit_details[Property Name], $F43,
          unit_details[Beds], $L43,
          unit_details[Baths], $M43,
          unit_details[Partial Baths],IF(ISNUMBER($N43),$N43,""),
          unit_details[Sqft],$P43))</f>
        <v>0</v>
      </c>
      <c r="AC43" s="27" t="str">
        <f t="shared" si="3"/>
        <v/>
      </c>
      <c r="AD43" s="293" t="str">
        <f>IFERROR(IF(AE43="","",IF($F43="Total",
SUMPRODUCT(
   INDEX(AD:AD, ROW()-COUNTIF($F$6:INDEX($F:$F, ROW()-1), $F42)) : INDEX(AD:AD, ROW()-1),
   INDEX(AB:AB, ROW()-COUNTIF($F$6:INDEX($F:$F, ROW()-1), $F42)) : INDEX(AB:AB, ROW()-1)
   )
   /SUM(INDEX(AB:AB, ROW()-COUNTIF($F$6:INDEX($F:$F, ROW()-1), $F42)) : INDEX(AB:AB, ROW()-1)),
          _xlfn.MINIFS(unit_details[Asking Rent],
          unit_details[Active Listing?],TRUE,
          unit_details[Property Name], $F43,
          unit_details[Beds], $L43,
          unit_details[Baths], $M43,
          unit_details[Partial Baths], IF(ISNUMBER($N43),$N43,""),
          unit_details[Sqft],$P43
))),"")</f>
        <v/>
      </c>
      <c r="AE43" s="5" t="str">
        <f>IFERROR(IF($F43="Total",
          SUMPRODUCT(
   INDEX(AE:AE, ROW()-COUNTIF($F$6:INDEX($F:$F, ROW()-1), $F42)) : INDEX(AE:AE, ROW()-1),
   INDEX(AB:AB, ROW()-COUNTIF($F$6:INDEX($F:$F, ROW()-1), $F42)) : INDEX(AB:AB, ROW()-1)
   )
   /SUM(INDEX(AB:AB, ROW()-COUNTIF($F$6:INDEX($F:$F, ROW()-1), $F42)) : INDEX(AB:AB, ROW()-1)),
          AVERAGEIFS(unit_details[Asking Rent],
          unit_details[Active Listing?],TRUE,
          unit_details[Property Name], $F43,
          unit_details[Beds], $L43,
          unit_details[Baths], $M43,
          unit_details[Partial Baths], IF(ISNUMBER($N43),$N43,""),
          unit_details[Sqft],$P43
)),"")</f>
        <v/>
      </c>
      <c r="AF43" s="5" t="str">
        <f>IFERROR(IF(AE43="","",IF($F43="Total",
SUMPRODUCT(
   INDEX(AF:AF, ROW()-COUNTIF($F$6:INDEX($F:$F, ROW()-1), $F42)) : INDEX(AF:AF, ROW()-1),
   INDEX(AB:AB, ROW()-COUNTIF($F$6:INDEX($F:$F, ROW()-1), $F42)) : INDEX(AB:AB, ROW()-1)
   )
   /SUM(INDEX(AB:AB, ROW()-COUNTIF($F$6:INDEX($F:$F, ROW()-1), $F42)) : INDEX(AB:AB, ROW()-1)),
           _xlfn.MAXIFS(unit_details[Asking Rent],
          unit_details[Active Listing?],TRUE,
          unit_details[Property Name], $F43,
          unit_details[Beds], $L43,
          unit_details[Baths], $M43,
          unit_details[Partial Baths], IF(ISNUMBER($N43),$N43,""),
          unit_details[Sqft],$P43
))),"")</f>
        <v/>
      </c>
      <c r="AG43" s="6" t="str">
        <f>IFERROR(IF($F43="Total",
         SUMPRODUCT(
         INDEX(AG:AG, ROW()-COUNTIF($F$6:INDEX($F:$F, ROW()-1), $F42)) : INDEX(AG:AG, ROW()-1),
         INDEX(AB:AB, ROW()-COUNTIF($F$6:INDEX($F:$F, ROW()-1), $F42)) : INDEX(AB:AB, ROW()-1)
         )
         /SUM(INDEX(AB:AB, ROW()-COUNTIF($F$6:INDEX($F:$F, ROW()-1), $F42)) : INDEX(AB:AB, ROW()-1)),
          AVERAGEIFS(unit_details[Asking PSF],
          unit_details[Active Listing?],TRUE,
          unit_details[Property Name], $F43,
          unit_details[Beds], $L43,
          unit_details[Baths], $M43,
          unit_details[Partial Baths], IF(ISNUMBER($N43),$N43,""),
          unit_details[Sqft],$P43
)),"")</f>
        <v/>
      </c>
      <c r="AH43" s="293" t="str">
        <f>IFERROR(IF($F43="Total",
         SUMPRODUCT(
         INDEX(AH:AH, ROW()-COUNTIF($F$6:INDEX($F:$F, ROW()-1), $F42)) : INDEX(AH:AH, ROW()-1),
         INDEX(AB:AB, ROW()-COUNTIF($F$6:INDEX($F:$F, ROW()-1), $F42)) : INDEX(AB:AB, ROW()-1)
         )
         /SUM(INDEX(AB:AB, ROW()-COUNTIF($F$6:INDEX($F:$F, ROW()-1), $F42)) : INDEX(AB:AB, ROW()-1)),
          AVERAGEIFS(unit_details[Effective Rent],
          unit_details[Active Listing?],TRUE,
          unit_details[Property Name], $F43,
          unit_details[Beds], $L43,
          unit_details[Baths], $M43,
          unit_details[Partial Baths], IF(ISNUMBER($N43),$N43,""),
          unit_details[Sqft],$P43
)),"")</f>
        <v/>
      </c>
      <c r="AI43" s="6" t="str">
        <f>IFERROR(IF($F43="Total",
         SUMPRODUCT(
         INDEX(AI:AI, ROW()-COUNTIF($F$6:INDEX($F:$F, ROW()-1), $F42)) : INDEX(AI:AI, ROW()-1),
         INDEX(AB:AB, ROW()-COUNTIF($F$6:INDEX($F:$F, ROW()-1), $F42)) : INDEX(AB:AB, ROW()-1)
         )
         /SUM(INDEX(AB:AB, ROW()-COUNTIF($F$6:INDEX($F:$F, ROW()-1), $F42)) : INDEX(AB:AB, ROW()-1)),
           AVERAGEIFS(unit_details[Effective PSF],
          unit_details[Active Listing?],TRUE,
          unit_details[Property Name], $F43,
          unit_details[Beds], $L43,
          unit_details[Baths], $M43,
          unit_details[Partial Baths], IF(ISNUMBER($N43),$N43,""),
          unit_details[Sqft],$P43
)),"")</f>
        <v/>
      </c>
      <c r="AJ43" s="824" t="str">
        <f t="shared" si="4"/>
        <v/>
      </c>
      <c r="AK43" s="531" t="str">
        <f t="shared" si="5"/>
        <v/>
      </c>
      <c r="AL43" s="714" t="str">
        <f t="shared" si="6"/>
        <v/>
      </c>
      <c r="AM43" s="531" t="str">
        <f t="shared" si="7"/>
        <v/>
      </c>
      <c r="AN43" s="716" t="str">
        <f t="shared" si="8"/>
        <v/>
      </c>
    </row>
    <row r="44" spans="2:40" x14ac:dyDescent="0.2">
      <c r="F44" s="1" t="str">
        <f t="shared" si="0"/>
        <v/>
      </c>
      <c r="G44" s="713" t="str">
        <f t="shared" si="9"/>
        <v/>
      </c>
      <c r="H44" s="17" t="str">
        <f>IFERROR(VLOOKUP($G44,Table1[[Property]:[Exposure %]],4,0),"")</f>
        <v/>
      </c>
      <c r="I44" s="3" t="str">
        <f>IFERROR(VLOOKUP($G44,Table1[[Property]:[Exposure %]],6,0),"")</f>
        <v/>
      </c>
      <c r="J44" s="3" t="str">
        <f>IFERROR(VLOOKUP($G44,Table1[[Property]:[Exposure %]],7,0),"")</f>
        <v/>
      </c>
      <c r="K44"/>
      <c r="L44"/>
      <c r="M44"/>
      <c r="N44"/>
      <c r="O44"/>
      <c r="P44"/>
      <c r="Q44"/>
      <c r="R44" s="4" t="str">
        <f>IFERROR(VLOOKUP(IF(F44="Total",F43,F44),Table1[[Property]:['# Units]],7,0)*S44,"")</f>
        <v/>
      </c>
      <c r="S44" s="27" t="str">
        <f t="shared" si="2"/>
        <v/>
      </c>
      <c r="T44" s="531" t="str">
        <f>IFERROR(
 IF($F44="Total",
   SUMPRODUCT(
   INDEX(T:T, ROW()-COUNTIF($F$6:INDEX($F:$F, ROW()-1), $F43)) : INDEX(T:T, ROW()-1),
   INDEX(W:W, ROW()-COUNTIF($F$6:INDEX($F:$F, ROW()-1), $F43)) : INDEX(W:W, ROW()-1)
   )
   /SUM(INDEX(W:W, ROW()-COUNTIF($F$6:INDEX($F:$F, ROW()-1), $F43)) : INDEX(W:W, ROW()-1)),
   AVERAGEIFS(
     INDEX((unit_details[Asking Rent],unit_details[Asking PSF]),0,1,IF($U$3="Chunk Rent",1,2)),
     unit_details[Leased Date],"&gt;="&amp;($AM$2-T$5),
     unit_details[Leased Date],"&lt;"&amp;$AM$2,
     unit_details[Beds],$L44,
     unit_details[Baths],$M44,
     unit_details[Partial Baths],IF(ISNUMBER($N44),$N44,""),
     unit_details[Sqft],$P44,
     unit_details[Property Name],$F44)
 ),"")</f>
        <v/>
      </c>
      <c r="U44" s="552" t="str">
        <f>IFERROR(
 IF($F44="Total",
   SUMPRODUCT(
   INDEX(U:U, ROW()-COUNTIF($F$6:INDEX($F:$F, ROW()-1), $F43)) : INDEX(U:U, ROW()-1),
   INDEX(W:W, ROW()-COUNTIF($F$6:INDEX($F:$F, ROW()-1), $F43)) : INDEX(W:W, ROW()-1)
   )
   /SUM(INDEX(W:W, ROW()-COUNTIF($F$6:INDEX($F:$F, ROW()-1), $F43)) : INDEX(W:W, ROW()-1)),
   AVERAGEIFS(
     INDEX((unit_details[Effective Rent],unit_details[Effective PSF]),0,1,IF($U$3="Chunk Rent",1,2)),
     unit_details[Leased Date],"&gt;="&amp;($AM$2-T$5),
     unit_details[Leased Date],"&lt;"&amp;$AM$2,
     unit_details[Beds],$L44,
     unit_details[Baths],$M44,
     unit_details[Partial Baths],IF(ISNUMBER($N44),$N44,""),
     unit_details[Sqft],$P44,
     unit_details[Property Name],$F44)
 ),"")</f>
        <v/>
      </c>
      <c r="V44" s="27" t="str">
        <f t="shared" si="10"/>
        <v/>
      </c>
      <c r="W44" s="526">
        <f>IFERROR(
  IF($F44="Total",
    SUM(INDEX(W:W, ROW()-COUNTIF($F$6:INDEX($F:$F, ROW()-1), $F43)) : INDEX(W:W, ROW()-1)),
    COUNTIFS(
      unit_details[Leased Date], "&gt;="&amp;($AM$2-T$5),
      unit_details[Leased Date], "&lt;"&amp;$AM$2,
      unit_details[Beds], $L44,
      unit_details[Baths], $M44,
      unit_details[Partial Baths], IF(ISNUMBER($N44), $N44, ""),
      unit_details[Sqft],$P44,
      unit_details[Property Name], $F44
    )
  ),
"")</f>
        <v>0</v>
      </c>
      <c r="X44" s="531" t="str">
        <f>IFERROR(
 IF($F44="Total",
   SUMPRODUCT(
   INDEX(X:X, ROW()-COUNTIF($F$6:INDEX($F:$F, ROW()-1), $F43)) : INDEX(X:X, ROW()-1),
   INDEX(AA:AA, ROW()-COUNTIF($F$6:INDEX($F:$F, ROW()-1), $F43)) : INDEX(AA:AA, ROW()-1)
   )
   /SUM(INDEX(AA:AA, ROW()-COUNTIF($F$6:INDEX($F:$F, ROW()-1), $F43)) : INDEX(AA:AA, ROW()-1)),
   AVERAGEIFS(
     INDEX((unit_details[Asking Rent],unit_details[Asking PSF]),0,1,IF($U$3="Chunk Rent",1,2)),
     unit_details[Leased Date],"&gt;="&amp;($AM$2-X$5),
     unit_details[Leased Date],"&lt;"&amp;$AM$2,
     unit_details[Beds],$L44,
     unit_details[Baths],$M44,
     unit_details[Partial Baths],IF(ISNUMBER($N44),$N44,""),
     unit_details[Sqft],$P44,
     unit_details[Property Name],$F44)
 ),"")</f>
        <v/>
      </c>
      <c r="Y44" s="552" t="str">
        <f>IFERROR(
 IF($F44="Total",
   SUMPRODUCT(
   INDEX(Y:Y, ROW()-COUNTIF($F$6:INDEX($F:$F, ROW()-1), $F43)) : INDEX(Y:Y, ROW()-1),
   INDEX(AA:AA, ROW()-COUNTIF($F$6:INDEX($F:$F, ROW()-1), $F43)) : INDEX(AA:AA, ROW()-1)
   )
   /SUM(INDEX(AA:AA, ROW()-COUNTIF($F$6:INDEX($F:$F, ROW()-1), $F43)) : INDEX(AA:AA, ROW()-1)),
   AVERAGEIFS(
     INDEX((unit_details[Effective Rent],unit_details[Effective PSF]),0,1,IF($U$3="Chunk Rent",1,2)),
     unit_details[Leased Date],"&gt;="&amp;($AM$2-X$5),
     unit_details[Leased Date],"&lt;"&amp;$AM$2,
     unit_details[Beds],$L44,
     unit_details[Baths],$M44,
     unit_details[Partial Baths],IF(ISNUMBER($N44),$N44,""),
     unit_details[Sqft],$P44,
     unit_details[Property Name],$F44)
 ),"")</f>
        <v/>
      </c>
      <c r="Z44" s="27" t="str">
        <f t="shared" si="11"/>
        <v/>
      </c>
      <c r="AA44" s="526">
        <f>IFERROR(
  IF($F44="Total",
    SUM(INDEX(AA:AA, ROW()-COUNTIF($F$6:INDEX($F:$F, ROW()-1), $F43)) : INDEX(AA:AA, ROW()-1)),
    COUNTIFS(
      unit_details[Leased Date], "&gt;="&amp;($AM$2-X$5),
      unit_details[Leased Date], "&lt;"&amp;$AM$2,
      unit_details[Beds], $L44,
      unit_details[Baths], $M44,
      unit_details[Partial Baths], IF(ISNUMBER($N44), $N44, ""),
      unit_details[Sqft],$P44,
      unit_details[Property Name], $F44
    )
  ),
"")</f>
        <v>0</v>
      </c>
      <c r="AB44" s="290">
        <f>IF($F44="Total",
SUM(INDEX(AB:AB, ROW()-COUNTIF($F$6:INDEX($F:$F, ROW()-1), $F43)) : INDEX(AB:AB, ROW()-1)),
COUNTIFS(unit_details[Active Listing?],TRUE,
          unit_details[Property Name], $F44,
          unit_details[Beds], $L44,
          unit_details[Baths], $M44,
          unit_details[Partial Baths],IF(ISNUMBER($N44),$N44,""),
          unit_details[Sqft],$P44))</f>
        <v>0</v>
      </c>
      <c r="AC44" s="27" t="str">
        <f t="shared" si="3"/>
        <v/>
      </c>
      <c r="AD44" s="293" t="str">
        <f>IFERROR(IF(AE44="","",IF($F44="Total",
SUMPRODUCT(
   INDEX(AD:AD, ROW()-COUNTIF($F$6:INDEX($F:$F, ROW()-1), $F43)) : INDEX(AD:AD, ROW()-1),
   INDEX(AB:AB, ROW()-COUNTIF($F$6:INDEX($F:$F, ROW()-1), $F43)) : INDEX(AB:AB, ROW()-1)
   )
   /SUM(INDEX(AB:AB, ROW()-COUNTIF($F$6:INDEX($F:$F, ROW()-1), $F43)) : INDEX(AB:AB, ROW()-1)),
          _xlfn.MINIFS(unit_details[Asking Rent],
          unit_details[Active Listing?],TRUE,
          unit_details[Property Name], $F44,
          unit_details[Beds], $L44,
          unit_details[Baths], $M44,
          unit_details[Partial Baths], IF(ISNUMBER($N44),$N44,""),
          unit_details[Sqft],$P44
))),"")</f>
        <v/>
      </c>
      <c r="AE44" s="5" t="str">
        <f>IFERROR(IF($F44="Total",
          SUMPRODUCT(
   INDEX(AE:AE, ROW()-COUNTIF($F$6:INDEX($F:$F, ROW()-1), $F43)) : INDEX(AE:AE, ROW()-1),
   INDEX(AB:AB, ROW()-COUNTIF($F$6:INDEX($F:$F, ROW()-1), $F43)) : INDEX(AB:AB, ROW()-1)
   )
   /SUM(INDEX(AB:AB, ROW()-COUNTIF($F$6:INDEX($F:$F, ROW()-1), $F43)) : INDEX(AB:AB, ROW()-1)),
          AVERAGEIFS(unit_details[Asking Rent],
          unit_details[Active Listing?],TRUE,
          unit_details[Property Name], $F44,
          unit_details[Beds], $L44,
          unit_details[Baths], $M44,
          unit_details[Partial Baths], IF(ISNUMBER($N44),$N44,""),
          unit_details[Sqft],$P44
)),"")</f>
        <v/>
      </c>
      <c r="AF44" s="5" t="str">
        <f>IFERROR(IF(AE44="","",IF($F44="Total",
SUMPRODUCT(
   INDEX(AF:AF, ROW()-COUNTIF($F$6:INDEX($F:$F, ROW()-1), $F43)) : INDEX(AF:AF, ROW()-1),
   INDEX(AB:AB, ROW()-COUNTIF($F$6:INDEX($F:$F, ROW()-1), $F43)) : INDEX(AB:AB, ROW()-1)
   )
   /SUM(INDEX(AB:AB, ROW()-COUNTIF($F$6:INDEX($F:$F, ROW()-1), $F43)) : INDEX(AB:AB, ROW()-1)),
           _xlfn.MAXIFS(unit_details[Asking Rent],
          unit_details[Active Listing?],TRUE,
          unit_details[Property Name], $F44,
          unit_details[Beds], $L44,
          unit_details[Baths], $M44,
          unit_details[Partial Baths], IF(ISNUMBER($N44),$N44,""),
          unit_details[Sqft],$P44
))),"")</f>
        <v/>
      </c>
      <c r="AG44" s="6" t="str">
        <f>IFERROR(IF($F44="Total",
         SUMPRODUCT(
         INDEX(AG:AG, ROW()-COUNTIF($F$6:INDEX($F:$F, ROW()-1), $F43)) : INDEX(AG:AG, ROW()-1),
         INDEX(AB:AB, ROW()-COUNTIF($F$6:INDEX($F:$F, ROW()-1), $F43)) : INDEX(AB:AB, ROW()-1)
         )
         /SUM(INDEX(AB:AB, ROW()-COUNTIF($F$6:INDEX($F:$F, ROW()-1), $F43)) : INDEX(AB:AB, ROW()-1)),
          AVERAGEIFS(unit_details[Asking PSF],
          unit_details[Active Listing?],TRUE,
          unit_details[Property Name], $F44,
          unit_details[Beds], $L44,
          unit_details[Baths], $M44,
          unit_details[Partial Baths], IF(ISNUMBER($N44),$N44,""),
          unit_details[Sqft],$P44
)),"")</f>
        <v/>
      </c>
      <c r="AH44" s="293" t="str">
        <f>IFERROR(IF($F44="Total",
         SUMPRODUCT(
         INDEX(AH:AH, ROW()-COUNTIF($F$6:INDEX($F:$F, ROW()-1), $F43)) : INDEX(AH:AH, ROW()-1),
         INDEX(AB:AB, ROW()-COUNTIF($F$6:INDEX($F:$F, ROW()-1), $F43)) : INDEX(AB:AB, ROW()-1)
         )
         /SUM(INDEX(AB:AB, ROW()-COUNTIF($F$6:INDEX($F:$F, ROW()-1), $F43)) : INDEX(AB:AB, ROW()-1)),
          AVERAGEIFS(unit_details[Effective Rent],
          unit_details[Active Listing?],TRUE,
          unit_details[Property Name], $F44,
          unit_details[Beds], $L44,
          unit_details[Baths], $M44,
          unit_details[Partial Baths], IF(ISNUMBER($N44),$N44,""),
          unit_details[Sqft],$P44
)),"")</f>
        <v/>
      </c>
      <c r="AI44" s="6" t="str">
        <f>IFERROR(IF($F44="Total",
         SUMPRODUCT(
         INDEX(AI:AI, ROW()-COUNTIF($F$6:INDEX($F:$F, ROW()-1), $F43)) : INDEX(AI:AI, ROW()-1),
         INDEX(AB:AB, ROW()-COUNTIF($F$6:INDEX($F:$F, ROW()-1), $F43)) : INDEX(AB:AB, ROW()-1)
         )
         /SUM(INDEX(AB:AB, ROW()-COUNTIF($F$6:INDEX($F:$F, ROW()-1), $F43)) : INDEX(AB:AB, ROW()-1)),
           AVERAGEIFS(unit_details[Effective PSF],
          unit_details[Active Listing?],TRUE,
          unit_details[Property Name], $F44,
          unit_details[Beds], $L44,
          unit_details[Baths], $M44,
          unit_details[Partial Baths], IF(ISNUMBER($N44),$N44,""),
          unit_details[Sqft],$P44
)),"")</f>
        <v/>
      </c>
      <c r="AJ44" s="824" t="str">
        <f t="shared" si="4"/>
        <v/>
      </c>
      <c r="AK44" s="531" t="str">
        <f t="shared" si="5"/>
        <v/>
      </c>
      <c r="AL44" s="714" t="str">
        <f t="shared" si="6"/>
        <v/>
      </c>
      <c r="AM44" s="531" t="str">
        <f t="shared" si="7"/>
        <v/>
      </c>
      <c r="AN44" s="716" t="str">
        <f t="shared" si="8"/>
        <v/>
      </c>
    </row>
    <row r="45" spans="2:40" x14ac:dyDescent="0.2">
      <c r="F45" s="1" t="str">
        <f t="shared" si="0"/>
        <v/>
      </c>
      <c r="G45" s="713" t="str">
        <f t="shared" si="9"/>
        <v/>
      </c>
      <c r="H45" s="17" t="str">
        <f>IFERROR(VLOOKUP($G45,Table1[[Property]:[Exposure %]],4,0),"")</f>
        <v/>
      </c>
      <c r="I45" s="3" t="str">
        <f>IFERROR(VLOOKUP($G45,Table1[[Property]:[Exposure %]],6,0),"")</f>
        <v/>
      </c>
      <c r="J45" s="3" t="str">
        <f>IFERROR(VLOOKUP($G45,Table1[[Property]:[Exposure %]],7,0),"")</f>
        <v/>
      </c>
      <c r="K45"/>
      <c r="L45"/>
      <c r="M45"/>
      <c r="N45"/>
      <c r="O45"/>
      <c r="P45"/>
      <c r="Q45"/>
      <c r="R45" s="4" t="str">
        <f>IFERROR(VLOOKUP(IF(F45="Total",F44,F45),Table1[[Property]:['# Units]],7,0)*S45,"")</f>
        <v/>
      </c>
      <c r="S45" s="27" t="str">
        <f t="shared" si="2"/>
        <v/>
      </c>
      <c r="T45" s="531" t="str">
        <f>IFERROR(
 IF($F45="Total",
   SUMPRODUCT(
   INDEX(T:T, ROW()-COUNTIF($F$6:INDEX($F:$F, ROW()-1), $F44)) : INDEX(T:T, ROW()-1),
   INDEX(W:W, ROW()-COUNTIF($F$6:INDEX($F:$F, ROW()-1), $F44)) : INDEX(W:W, ROW()-1)
   )
   /SUM(INDEX(W:W, ROW()-COUNTIF($F$6:INDEX($F:$F, ROW()-1), $F44)) : INDEX(W:W, ROW()-1)),
   AVERAGEIFS(
     INDEX((unit_details[Asking Rent],unit_details[Asking PSF]),0,1,IF($U$3="Chunk Rent",1,2)),
     unit_details[Leased Date],"&gt;="&amp;($AM$2-T$5),
     unit_details[Leased Date],"&lt;"&amp;$AM$2,
     unit_details[Beds],$L45,
     unit_details[Baths],$M45,
     unit_details[Partial Baths],IF(ISNUMBER($N45),$N45,""),
     unit_details[Sqft],$P45,
     unit_details[Property Name],$F45)
 ),"")</f>
        <v/>
      </c>
      <c r="U45" s="552" t="str">
        <f>IFERROR(
 IF($F45="Total",
   SUMPRODUCT(
   INDEX(U:U, ROW()-COUNTIF($F$6:INDEX($F:$F, ROW()-1), $F44)) : INDEX(U:U, ROW()-1),
   INDEX(W:W, ROW()-COUNTIF($F$6:INDEX($F:$F, ROW()-1), $F44)) : INDEX(W:W, ROW()-1)
   )
   /SUM(INDEX(W:W, ROW()-COUNTIF($F$6:INDEX($F:$F, ROW()-1), $F44)) : INDEX(W:W, ROW()-1)),
   AVERAGEIFS(
     INDEX((unit_details[Effective Rent],unit_details[Effective PSF]),0,1,IF($U$3="Chunk Rent",1,2)),
     unit_details[Leased Date],"&gt;="&amp;($AM$2-T$5),
     unit_details[Leased Date],"&lt;"&amp;$AM$2,
     unit_details[Beds],$L45,
     unit_details[Baths],$M45,
     unit_details[Partial Baths],IF(ISNUMBER($N45),$N45,""),
     unit_details[Sqft],$P45,
     unit_details[Property Name],$F45)
 ),"")</f>
        <v/>
      </c>
      <c r="V45" s="27" t="str">
        <f t="shared" si="10"/>
        <v/>
      </c>
      <c r="W45" s="526">
        <f>IFERROR(
  IF($F45="Total",
    SUM(INDEX(W:W, ROW()-COUNTIF($F$6:INDEX($F:$F, ROW()-1), $F44)) : INDEX(W:W, ROW()-1)),
    COUNTIFS(
      unit_details[Leased Date], "&gt;="&amp;($AM$2-T$5),
      unit_details[Leased Date], "&lt;"&amp;$AM$2,
      unit_details[Beds], $L45,
      unit_details[Baths], $M45,
      unit_details[Partial Baths], IF(ISNUMBER($N45), $N45, ""),
      unit_details[Sqft],$P45,
      unit_details[Property Name], $F45
    )
  ),
"")</f>
        <v>0</v>
      </c>
      <c r="X45" s="531" t="str">
        <f>IFERROR(
 IF($F45="Total",
   SUMPRODUCT(
   INDEX(X:X, ROW()-COUNTIF($F$6:INDEX($F:$F, ROW()-1), $F44)) : INDEX(X:X, ROW()-1),
   INDEX(AA:AA, ROW()-COUNTIF($F$6:INDEX($F:$F, ROW()-1), $F44)) : INDEX(AA:AA, ROW()-1)
   )
   /SUM(INDEX(AA:AA, ROW()-COUNTIF($F$6:INDEX($F:$F, ROW()-1), $F44)) : INDEX(AA:AA, ROW()-1)),
   AVERAGEIFS(
     INDEX((unit_details[Asking Rent],unit_details[Asking PSF]),0,1,IF($U$3="Chunk Rent",1,2)),
     unit_details[Leased Date],"&gt;="&amp;($AM$2-X$5),
     unit_details[Leased Date],"&lt;"&amp;$AM$2,
     unit_details[Beds],$L45,
     unit_details[Baths],$M45,
     unit_details[Partial Baths],IF(ISNUMBER($N45),$N45,""),
     unit_details[Sqft],$P45,
     unit_details[Property Name],$F45)
 ),"")</f>
        <v/>
      </c>
      <c r="Y45" s="552" t="str">
        <f>IFERROR(
 IF($F45="Total",
   SUMPRODUCT(
   INDEX(Y:Y, ROW()-COUNTIF($F$6:INDEX($F:$F, ROW()-1), $F44)) : INDEX(Y:Y, ROW()-1),
   INDEX(AA:AA, ROW()-COUNTIF($F$6:INDEX($F:$F, ROW()-1), $F44)) : INDEX(AA:AA, ROW()-1)
   )
   /SUM(INDEX(AA:AA, ROW()-COUNTIF($F$6:INDEX($F:$F, ROW()-1), $F44)) : INDEX(AA:AA, ROW()-1)),
   AVERAGEIFS(
     INDEX((unit_details[Effective Rent],unit_details[Effective PSF]),0,1,IF($U$3="Chunk Rent",1,2)),
     unit_details[Leased Date],"&gt;="&amp;($AM$2-X$5),
     unit_details[Leased Date],"&lt;"&amp;$AM$2,
     unit_details[Beds],$L45,
     unit_details[Baths],$M45,
     unit_details[Partial Baths],IF(ISNUMBER($N45),$N45,""),
     unit_details[Sqft],$P45,
     unit_details[Property Name],$F45)
 ),"")</f>
        <v/>
      </c>
      <c r="Z45" s="27" t="str">
        <f t="shared" si="11"/>
        <v/>
      </c>
      <c r="AA45" s="526">
        <f>IFERROR(
  IF($F45="Total",
    SUM(INDEX(AA:AA, ROW()-COUNTIF($F$6:INDEX($F:$F, ROW()-1), $F44)) : INDEX(AA:AA, ROW()-1)),
    COUNTIFS(
      unit_details[Leased Date], "&gt;="&amp;($AM$2-X$5),
      unit_details[Leased Date], "&lt;"&amp;$AM$2,
      unit_details[Beds], $L45,
      unit_details[Baths], $M45,
      unit_details[Partial Baths], IF(ISNUMBER($N45), $N45, ""),
      unit_details[Sqft],$P45,
      unit_details[Property Name], $F45
    )
  ),
"")</f>
        <v>0</v>
      </c>
      <c r="AB45" s="290">
        <f>IF($F45="Total",
SUM(INDEX(AB:AB, ROW()-COUNTIF($F$6:INDEX($F:$F, ROW()-1), $F44)) : INDEX(AB:AB, ROW()-1)),
COUNTIFS(unit_details[Active Listing?],TRUE,
          unit_details[Property Name], $F45,
          unit_details[Beds], $L45,
          unit_details[Baths], $M45,
          unit_details[Partial Baths],IF(ISNUMBER($N45),$N45,""),
          unit_details[Sqft],$P45))</f>
        <v>0</v>
      </c>
      <c r="AC45" s="27" t="str">
        <f t="shared" si="3"/>
        <v/>
      </c>
      <c r="AD45" s="293" t="str">
        <f>IFERROR(IF(AE45="","",IF($F45="Total",
SUMPRODUCT(
   INDEX(AD:AD, ROW()-COUNTIF($F$6:INDEX($F:$F, ROW()-1), $F44)) : INDEX(AD:AD, ROW()-1),
   INDEX(AB:AB, ROW()-COUNTIF($F$6:INDEX($F:$F, ROW()-1), $F44)) : INDEX(AB:AB, ROW()-1)
   )
   /SUM(INDEX(AB:AB, ROW()-COUNTIF($F$6:INDEX($F:$F, ROW()-1), $F44)) : INDEX(AB:AB, ROW()-1)),
          _xlfn.MINIFS(unit_details[Asking Rent],
          unit_details[Active Listing?],TRUE,
          unit_details[Property Name], $F45,
          unit_details[Beds], $L45,
          unit_details[Baths], $M45,
          unit_details[Partial Baths], IF(ISNUMBER($N45),$N45,""),
          unit_details[Sqft],$P45
))),"")</f>
        <v/>
      </c>
      <c r="AE45" s="5" t="str">
        <f>IFERROR(IF($F45="Total",
          SUMPRODUCT(
   INDEX(AE:AE, ROW()-COUNTIF($F$6:INDEX($F:$F, ROW()-1), $F44)) : INDEX(AE:AE, ROW()-1),
   INDEX(AB:AB, ROW()-COUNTIF($F$6:INDEX($F:$F, ROW()-1), $F44)) : INDEX(AB:AB, ROW()-1)
   )
   /SUM(INDEX(AB:AB, ROW()-COUNTIF($F$6:INDEX($F:$F, ROW()-1), $F44)) : INDEX(AB:AB, ROW()-1)),
          AVERAGEIFS(unit_details[Asking Rent],
          unit_details[Active Listing?],TRUE,
          unit_details[Property Name], $F45,
          unit_details[Beds], $L45,
          unit_details[Baths], $M45,
          unit_details[Partial Baths], IF(ISNUMBER($N45),$N45,""),
          unit_details[Sqft],$P45
)),"")</f>
        <v/>
      </c>
      <c r="AF45" s="5" t="str">
        <f>IFERROR(IF(AE45="","",IF($F45="Total",
SUMPRODUCT(
   INDEX(AF:AF, ROW()-COUNTIF($F$6:INDEX($F:$F, ROW()-1), $F44)) : INDEX(AF:AF, ROW()-1),
   INDEX(AB:AB, ROW()-COUNTIF($F$6:INDEX($F:$F, ROW()-1), $F44)) : INDEX(AB:AB, ROW()-1)
   )
   /SUM(INDEX(AB:AB, ROW()-COUNTIF($F$6:INDEX($F:$F, ROW()-1), $F44)) : INDEX(AB:AB, ROW()-1)),
           _xlfn.MAXIFS(unit_details[Asking Rent],
          unit_details[Active Listing?],TRUE,
          unit_details[Property Name], $F45,
          unit_details[Beds], $L45,
          unit_details[Baths], $M45,
          unit_details[Partial Baths], IF(ISNUMBER($N45),$N45,""),
          unit_details[Sqft],$P45
))),"")</f>
        <v/>
      </c>
      <c r="AG45" s="6" t="str">
        <f>IFERROR(IF($F45="Total",
         SUMPRODUCT(
         INDEX(AG:AG, ROW()-COUNTIF($F$6:INDEX($F:$F, ROW()-1), $F44)) : INDEX(AG:AG, ROW()-1),
         INDEX(AB:AB, ROW()-COUNTIF($F$6:INDEX($F:$F, ROW()-1), $F44)) : INDEX(AB:AB, ROW()-1)
         )
         /SUM(INDEX(AB:AB, ROW()-COUNTIF($F$6:INDEX($F:$F, ROW()-1), $F44)) : INDEX(AB:AB, ROW()-1)),
          AVERAGEIFS(unit_details[Asking PSF],
          unit_details[Active Listing?],TRUE,
          unit_details[Property Name], $F45,
          unit_details[Beds], $L45,
          unit_details[Baths], $M45,
          unit_details[Partial Baths], IF(ISNUMBER($N45),$N45,""),
          unit_details[Sqft],$P45
)),"")</f>
        <v/>
      </c>
      <c r="AH45" s="293" t="str">
        <f>IFERROR(IF($F45="Total",
         SUMPRODUCT(
         INDEX(AH:AH, ROW()-COUNTIF($F$6:INDEX($F:$F, ROW()-1), $F44)) : INDEX(AH:AH, ROW()-1),
         INDEX(AB:AB, ROW()-COUNTIF($F$6:INDEX($F:$F, ROW()-1), $F44)) : INDEX(AB:AB, ROW()-1)
         )
         /SUM(INDEX(AB:AB, ROW()-COUNTIF($F$6:INDEX($F:$F, ROW()-1), $F44)) : INDEX(AB:AB, ROW()-1)),
          AVERAGEIFS(unit_details[Effective Rent],
          unit_details[Active Listing?],TRUE,
          unit_details[Property Name], $F45,
          unit_details[Beds], $L45,
          unit_details[Baths], $M45,
          unit_details[Partial Baths], IF(ISNUMBER($N45),$N45,""),
          unit_details[Sqft],$P45
)),"")</f>
        <v/>
      </c>
      <c r="AI45" s="6" t="str">
        <f>IFERROR(IF($F45="Total",
         SUMPRODUCT(
         INDEX(AI:AI, ROW()-COUNTIF($F$6:INDEX($F:$F, ROW()-1), $F44)) : INDEX(AI:AI, ROW()-1),
         INDEX(AB:AB, ROW()-COUNTIF($F$6:INDEX($F:$F, ROW()-1), $F44)) : INDEX(AB:AB, ROW()-1)
         )
         /SUM(INDEX(AB:AB, ROW()-COUNTIF($F$6:INDEX($F:$F, ROW()-1), $F44)) : INDEX(AB:AB, ROW()-1)),
           AVERAGEIFS(unit_details[Effective PSF],
          unit_details[Active Listing?],TRUE,
          unit_details[Property Name], $F45,
          unit_details[Beds], $L45,
          unit_details[Baths], $M45,
          unit_details[Partial Baths], IF(ISNUMBER($N45),$N45,""),
          unit_details[Sqft],$P45
)),"")</f>
        <v/>
      </c>
      <c r="AJ45" s="824" t="str">
        <f t="shared" si="4"/>
        <v/>
      </c>
      <c r="AK45" s="531" t="str">
        <f t="shared" si="5"/>
        <v/>
      </c>
      <c r="AL45" s="714" t="str">
        <f t="shared" si="6"/>
        <v/>
      </c>
      <c r="AM45" s="531" t="str">
        <f t="shared" si="7"/>
        <v/>
      </c>
      <c r="AN45" s="716" t="str">
        <f t="shared" si="8"/>
        <v/>
      </c>
    </row>
    <row r="46" spans="2:40" x14ac:dyDescent="0.2">
      <c r="F46" s="1" t="str">
        <f t="shared" si="0"/>
        <v/>
      </c>
      <c r="G46" s="713" t="str">
        <f t="shared" si="9"/>
        <v/>
      </c>
      <c r="H46" s="17" t="str">
        <f>IFERROR(VLOOKUP($G46,Table1[[Property]:[Exposure %]],4,0),"")</f>
        <v/>
      </c>
      <c r="I46" s="3" t="str">
        <f>IFERROR(VLOOKUP($G46,Table1[[Property]:[Exposure %]],6,0),"")</f>
        <v/>
      </c>
      <c r="J46" s="3" t="str">
        <f>IFERROR(VLOOKUP($G46,Table1[[Property]:[Exposure %]],7,0),"")</f>
        <v/>
      </c>
      <c r="K46"/>
      <c r="L46"/>
      <c r="M46"/>
      <c r="N46"/>
      <c r="O46"/>
      <c r="P46"/>
      <c r="Q46"/>
      <c r="R46" s="4" t="str">
        <f>IFERROR(VLOOKUP(IF(F46="Total",F45,F46),Table1[[Property]:['# Units]],7,0)*S46,"")</f>
        <v/>
      </c>
      <c r="S46" s="27" t="str">
        <f t="shared" si="2"/>
        <v/>
      </c>
      <c r="T46" s="531" t="str">
        <f>IFERROR(
 IF($F46="Total",
   SUMPRODUCT(
   INDEX(T:T, ROW()-COUNTIF($F$6:INDEX($F:$F, ROW()-1), $F45)) : INDEX(T:T, ROW()-1),
   INDEX(W:W, ROW()-COUNTIF($F$6:INDEX($F:$F, ROW()-1), $F45)) : INDEX(W:W, ROW()-1)
   )
   /SUM(INDEX(W:W, ROW()-COUNTIF($F$6:INDEX($F:$F, ROW()-1), $F45)) : INDEX(W:W, ROW()-1)),
   AVERAGEIFS(
     INDEX((unit_details[Asking Rent],unit_details[Asking PSF]),0,1,IF($U$3="Chunk Rent",1,2)),
     unit_details[Leased Date],"&gt;="&amp;($AM$2-T$5),
     unit_details[Leased Date],"&lt;"&amp;$AM$2,
     unit_details[Beds],$L46,
     unit_details[Baths],$M46,
     unit_details[Partial Baths],IF(ISNUMBER($N46),$N46,""),
     unit_details[Sqft],$P46,
     unit_details[Property Name],$F46)
 ),"")</f>
        <v/>
      </c>
      <c r="U46" s="552" t="str">
        <f>IFERROR(
 IF($F46="Total",
   SUMPRODUCT(
   INDEX(U:U, ROW()-COUNTIF($F$6:INDEX($F:$F, ROW()-1), $F45)) : INDEX(U:U, ROW()-1),
   INDEX(W:W, ROW()-COUNTIF($F$6:INDEX($F:$F, ROW()-1), $F45)) : INDEX(W:W, ROW()-1)
   )
   /SUM(INDEX(W:W, ROW()-COUNTIF($F$6:INDEX($F:$F, ROW()-1), $F45)) : INDEX(W:W, ROW()-1)),
   AVERAGEIFS(
     INDEX((unit_details[Effective Rent],unit_details[Effective PSF]),0,1,IF($U$3="Chunk Rent",1,2)),
     unit_details[Leased Date],"&gt;="&amp;($AM$2-T$5),
     unit_details[Leased Date],"&lt;"&amp;$AM$2,
     unit_details[Beds],$L46,
     unit_details[Baths],$M46,
     unit_details[Partial Baths],IF(ISNUMBER($N46),$N46,""),
     unit_details[Sqft],$P46,
     unit_details[Property Name],$F46)
 ),"")</f>
        <v/>
      </c>
      <c r="V46" s="27" t="str">
        <f t="shared" si="10"/>
        <v/>
      </c>
      <c r="W46" s="526">
        <f>IFERROR(
  IF($F46="Total",
    SUM(INDEX(W:W, ROW()-COUNTIF($F$6:INDEX($F:$F, ROW()-1), $F45)) : INDEX(W:W, ROW()-1)),
    COUNTIFS(
      unit_details[Leased Date], "&gt;="&amp;($AM$2-T$5),
      unit_details[Leased Date], "&lt;"&amp;$AM$2,
      unit_details[Beds], $L46,
      unit_details[Baths], $M46,
      unit_details[Partial Baths], IF(ISNUMBER($N46), $N46, ""),
      unit_details[Sqft],$P46,
      unit_details[Property Name], $F46
    )
  ),
"")</f>
        <v>0</v>
      </c>
      <c r="X46" s="531" t="str">
        <f>IFERROR(
 IF($F46="Total",
   SUMPRODUCT(
   INDEX(X:X, ROW()-COUNTIF($F$6:INDEX($F:$F, ROW()-1), $F45)) : INDEX(X:X, ROW()-1),
   INDEX(AA:AA, ROW()-COUNTIF($F$6:INDEX($F:$F, ROW()-1), $F45)) : INDEX(AA:AA, ROW()-1)
   )
   /SUM(INDEX(AA:AA, ROW()-COUNTIF($F$6:INDEX($F:$F, ROW()-1), $F45)) : INDEX(AA:AA, ROW()-1)),
   AVERAGEIFS(
     INDEX((unit_details[Asking Rent],unit_details[Asking PSF]),0,1,IF($U$3="Chunk Rent",1,2)),
     unit_details[Leased Date],"&gt;="&amp;($AM$2-X$5),
     unit_details[Leased Date],"&lt;"&amp;$AM$2,
     unit_details[Beds],$L46,
     unit_details[Baths],$M46,
     unit_details[Partial Baths],IF(ISNUMBER($N46),$N46,""),
     unit_details[Sqft],$P46,
     unit_details[Property Name],$F46)
 ),"")</f>
        <v/>
      </c>
      <c r="Y46" s="552" t="str">
        <f>IFERROR(
 IF($F46="Total",
   SUMPRODUCT(
   INDEX(Y:Y, ROW()-COUNTIF($F$6:INDEX($F:$F, ROW()-1), $F45)) : INDEX(Y:Y, ROW()-1),
   INDEX(AA:AA, ROW()-COUNTIF($F$6:INDEX($F:$F, ROW()-1), $F45)) : INDEX(AA:AA, ROW()-1)
   )
   /SUM(INDEX(AA:AA, ROW()-COUNTIF($F$6:INDEX($F:$F, ROW()-1), $F45)) : INDEX(AA:AA, ROW()-1)),
   AVERAGEIFS(
     INDEX((unit_details[Effective Rent],unit_details[Effective PSF]),0,1,IF($U$3="Chunk Rent",1,2)),
     unit_details[Leased Date],"&gt;="&amp;($AM$2-X$5),
     unit_details[Leased Date],"&lt;"&amp;$AM$2,
     unit_details[Beds],$L46,
     unit_details[Baths],$M46,
     unit_details[Partial Baths],IF(ISNUMBER($N46),$N46,""),
     unit_details[Sqft],$P46,
     unit_details[Property Name],$F46)
 ),"")</f>
        <v/>
      </c>
      <c r="Z46" s="27" t="str">
        <f t="shared" si="11"/>
        <v/>
      </c>
      <c r="AA46" s="526">
        <f>IFERROR(
  IF($F46="Total",
    SUM(INDEX(AA:AA, ROW()-COUNTIF($F$6:INDEX($F:$F, ROW()-1), $F45)) : INDEX(AA:AA, ROW()-1)),
    COUNTIFS(
      unit_details[Leased Date], "&gt;="&amp;($AM$2-X$5),
      unit_details[Leased Date], "&lt;"&amp;$AM$2,
      unit_details[Beds], $L46,
      unit_details[Baths], $M46,
      unit_details[Partial Baths], IF(ISNUMBER($N46), $N46, ""),
      unit_details[Sqft],$P46,
      unit_details[Property Name], $F46
    )
  ),
"")</f>
        <v>0</v>
      </c>
      <c r="AB46" s="290">
        <f>IF($F46="Total",
SUM(INDEX(AB:AB, ROW()-COUNTIF($F$6:INDEX($F:$F, ROW()-1), $F45)) : INDEX(AB:AB, ROW()-1)),
COUNTIFS(unit_details[Active Listing?],TRUE,
          unit_details[Property Name], $F46,
          unit_details[Beds], $L46,
          unit_details[Baths], $M46,
          unit_details[Partial Baths],IF(ISNUMBER($N46),$N46,""),
          unit_details[Sqft],$P46))</f>
        <v>0</v>
      </c>
      <c r="AC46" s="27" t="str">
        <f t="shared" si="3"/>
        <v/>
      </c>
      <c r="AD46" s="293" t="str">
        <f>IFERROR(IF(AE46="","",IF($F46="Total",
SUMPRODUCT(
   INDEX(AD:AD, ROW()-COUNTIF($F$6:INDEX($F:$F, ROW()-1), $F45)) : INDEX(AD:AD, ROW()-1),
   INDEX(AB:AB, ROW()-COUNTIF($F$6:INDEX($F:$F, ROW()-1), $F45)) : INDEX(AB:AB, ROW()-1)
   )
   /SUM(INDEX(AB:AB, ROW()-COUNTIF($F$6:INDEX($F:$F, ROW()-1), $F45)) : INDEX(AB:AB, ROW()-1)),
          _xlfn.MINIFS(unit_details[Asking Rent],
          unit_details[Active Listing?],TRUE,
          unit_details[Property Name], $F46,
          unit_details[Beds], $L46,
          unit_details[Baths], $M46,
          unit_details[Partial Baths], IF(ISNUMBER($N46),$N46,""),
          unit_details[Sqft],$P46
))),"")</f>
        <v/>
      </c>
      <c r="AE46" s="5" t="str">
        <f>IFERROR(IF($F46="Total",
          SUMPRODUCT(
   INDEX(AE:AE, ROW()-COUNTIF($F$6:INDEX($F:$F, ROW()-1), $F45)) : INDEX(AE:AE, ROW()-1),
   INDEX(AB:AB, ROW()-COUNTIF($F$6:INDEX($F:$F, ROW()-1), $F45)) : INDEX(AB:AB, ROW()-1)
   )
   /SUM(INDEX(AB:AB, ROW()-COUNTIF($F$6:INDEX($F:$F, ROW()-1), $F45)) : INDEX(AB:AB, ROW()-1)),
          AVERAGEIFS(unit_details[Asking Rent],
          unit_details[Active Listing?],TRUE,
          unit_details[Property Name], $F46,
          unit_details[Beds], $L46,
          unit_details[Baths], $M46,
          unit_details[Partial Baths], IF(ISNUMBER($N46),$N46,""),
          unit_details[Sqft],$P46
)),"")</f>
        <v/>
      </c>
      <c r="AF46" s="5" t="str">
        <f>IFERROR(IF(AE46="","",IF($F46="Total",
SUMPRODUCT(
   INDEX(AF:AF, ROW()-COUNTIF($F$6:INDEX($F:$F, ROW()-1), $F45)) : INDEX(AF:AF, ROW()-1),
   INDEX(AB:AB, ROW()-COUNTIF($F$6:INDEX($F:$F, ROW()-1), $F45)) : INDEX(AB:AB, ROW()-1)
   )
   /SUM(INDEX(AB:AB, ROW()-COUNTIF($F$6:INDEX($F:$F, ROW()-1), $F45)) : INDEX(AB:AB, ROW()-1)),
           _xlfn.MAXIFS(unit_details[Asking Rent],
          unit_details[Active Listing?],TRUE,
          unit_details[Property Name], $F46,
          unit_details[Beds], $L46,
          unit_details[Baths], $M46,
          unit_details[Partial Baths], IF(ISNUMBER($N46),$N46,""),
          unit_details[Sqft],$P46
))),"")</f>
        <v/>
      </c>
      <c r="AG46" s="6" t="str">
        <f>IFERROR(IF($F46="Total",
         SUMPRODUCT(
         INDEX(AG:AG, ROW()-COUNTIF($F$6:INDEX($F:$F, ROW()-1), $F45)) : INDEX(AG:AG, ROW()-1),
         INDEX(AB:AB, ROW()-COUNTIF($F$6:INDEX($F:$F, ROW()-1), $F45)) : INDEX(AB:AB, ROW()-1)
         )
         /SUM(INDEX(AB:AB, ROW()-COUNTIF($F$6:INDEX($F:$F, ROW()-1), $F45)) : INDEX(AB:AB, ROW()-1)),
          AVERAGEIFS(unit_details[Asking PSF],
          unit_details[Active Listing?],TRUE,
          unit_details[Property Name], $F46,
          unit_details[Beds], $L46,
          unit_details[Baths], $M46,
          unit_details[Partial Baths], IF(ISNUMBER($N46),$N46,""),
          unit_details[Sqft],$P46
)),"")</f>
        <v/>
      </c>
      <c r="AH46" s="293" t="str">
        <f>IFERROR(IF($F46="Total",
         SUMPRODUCT(
         INDEX(AH:AH, ROW()-COUNTIF($F$6:INDEX($F:$F, ROW()-1), $F45)) : INDEX(AH:AH, ROW()-1),
         INDEX(AB:AB, ROW()-COUNTIF($F$6:INDEX($F:$F, ROW()-1), $F45)) : INDEX(AB:AB, ROW()-1)
         )
         /SUM(INDEX(AB:AB, ROW()-COUNTIF($F$6:INDEX($F:$F, ROW()-1), $F45)) : INDEX(AB:AB, ROW()-1)),
          AVERAGEIFS(unit_details[Effective Rent],
          unit_details[Active Listing?],TRUE,
          unit_details[Property Name], $F46,
          unit_details[Beds], $L46,
          unit_details[Baths], $M46,
          unit_details[Partial Baths], IF(ISNUMBER($N46),$N46,""),
          unit_details[Sqft],$P46
)),"")</f>
        <v/>
      </c>
      <c r="AI46" s="6" t="str">
        <f>IFERROR(IF($F46="Total",
         SUMPRODUCT(
         INDEX(AI:AI, ROW()-COUNTIF($F$6:INDEX($F:$F, ROW()-1), $F45)) : INDEX(AI:AI, ROW()-1),
         INDEX(AB:AB, ROW()-COUNTIF($F$6:INDEX($F:$F, ROW()-1), $F45)) : INDEX(AB:AB, ROW()-1)
         )
         /SUM(INDEX(AB:AB, ROW()-COUNTIF($F$6:INDEX($F:$F, ROW()-1), $F45)) : INDEX(AB:AB, ROW()-1)),
           AVERAGEIFS(unit_details[Effective PSF],
          unit_details[Active Listing?],TRUE,
          unit_details[Property Name], $F46,
          unit_details[Beds], $L46,
          unit_details[Baths], $M46,
          unit_details[Partial Baths], IF(ISNUMBER($N46),$N46,""),
          unit_details[Sqft],$P46
)),"")</f>
        <v/>
      </c>
      <c r="AJ46" s="824" t="str">
        <f t="shared" si="4"/>
        <v/>
      </c>
      <c r="AK46" s="531" t="str">
        <f t="shared" si="5"/>
        <v/>
      </c>
      <c r="AL46" s="714" t="str">
        <f t="shared" si="6"/>
        <v/>
      </c>
      <c r="AM46" s="531" t="str">
        <f t="shared" si="7"/>
        <v/>
      </c>
      <c r="AN46" s="716" t="str">
        <f t="shared" si="8"/>
        <v/>
      </c>
    </row>
    <row r="47" spans="2:40" x14ac:dyDescent="0.2">
      <c r="F47" s="1" t="str">
        <f t="shared" si="0"/>
        <v/>
      </c>
      <c r="G47" s="713" t="str">
        <f t="shared" si="9"/>
        <v/>
      </c>
      <c r="H47" s="17" t="str">
        <f>IFERROR(VLOOKUP($G47,Table1[[Property]:[Exposure %]],4,0),"")</f>
        <v/>
      </c>
      <c r="I47" s="3" t="str">
        <f>IFERROR(VLOOKUP($G47,Table1[[Property]:[Exposure %]],6,0),"")</f>
        <v/>
      </c>
      <c r="J47" s="3" t="str">
        <f>IFERROR(VLOOKUP($G47,Table1[[Property]:[Exposure %]],7,0),"")</f>
        <v/>
      </c>
      <c r="K47"/>
      <c r="L47"/>
      <c r="M47"/>
      <c r="N47"/>
      <c r="O47"/>
      <c r="P47"/>
      <c r="Q47"/>
      <c r="R47" s="4" t="str">
        <f>IFERROR(VLOOKUP(IF(F47="Total",F46,F47),Table1[[Property]:['# Units]],7,0)*S47,"")</f>
        <v/>
      </c>
      <c r="S47" s="27" t="str">
        <f t="shared" si="2"/>
        <v/>
      </c>
      <c r="T47" s="531" t="str">
        <f>IFERROR(
 IF($F47="Total",
   SUMPRODUCT(
   INDEX(T:T, ROW()-COUNTIF($F$6:INDEX($F:$F, ROW()-1), $F46)) : INDEX(T:T, ROW()-1),
   INDEX(W:W, ROW()-COUNTIF($F$6:INDEX($F:$F, ROW()-1), $F46)) : INDEX(W:W, ROW()-1)
   )
   /SUM(INDEX(W:W, ROW()-COUNTIF($F$6:INDEX($F:$F, ROW()-1), $F46)) : INDEX(W:W, ROW()-1)),
   AVERAGEIFS(
     INDEX((unit_details[Asking Rent],unit_details[Asking PSF]),0,1,IF($U$3="Chunk Rent",1,2)),
     unit_details[Leased Date],"&gt;="&amp;($AM$2-T$5),
     unit_details[Leased Date],"&lt;"&amp;$AM$2,
     unit_details[Beds],$L47,
     unit_details[Baths],$M47,
     unit_details[Partial Baths],IF(ISNUMBER($N47),$N47,""),
     unit_details[Sqft],$P47,
     unit_details[Property Name],$F47)
 ),"")</f>
        <v/>
      </c>
      <c r="U47" s="552" t="str">
        <f>IFERROR(
 IF($F47="Total",
   SUMPRODUCT(
   INDEX(U:U, ROW()-COUNTIF($F$6:INDEX($F:$F, ROW()-1), $F46)) : INDEX(U:U, ROW()-1),
   INDEX(W:W, ROW()-COUNTIF($F$6:INDEX($F:$F, ROW()-1), $F46)) : INDEX(W:W, ROW()-1)
   )
   /SUM(INDEX(W:W, ROW()-COUNTIF($F$6:INDEX($F:$F, ROW()-1), $F46)) : INDEX(W:W, ROW()-1)),
   AVERAGEIFS(
     INDEX((unit_details[Effective Rent],unit_details[Effective PSF]),0,1,IF($U$3="Chunk Rent",1,2)),
     unit_details[Leased Date],"&gt;="&amp;($AM$2-T$5),
     unit_details[Leased Date],"&lt;"&amp;$AM$2,
     unit_details[Beds],$L47,
     unit_details[Baths],$M47,
     unit_details[Partial Baths],IF(ISNUMBER($N47),$N47,""),
     unit_details[Sqft],$P47,
     unit_details[Property Name],$F47)
 ),"")</f>
        <v/>
      </c>
      <c r="V47" s="27" t="str">
        <f t="shared" si="10"/>
        <v/>
      </c>
      <c r="W47" s="526">
        <f>IFERROR(
  IF($F47="Total",
    SUM(INDEX(W:W, ROW()-COUNTIF($F$6:INDEX($F:$F, ROW()-1), $F46)) : INDEX(W:W, ROW()-1)),
    COUNTIFS(
      unit_details[Leased Date], "&gt;="&amp;($AM$2-T$5),
      unit_details[Leased Date], "&lt;"&amp;$AM$2,
      unit_details[Beds], $L47,
      unit_details[Baths], $M47,
      unit_details[Partial Baths], IF(ISNUMBER($N47), $N47, ""),
      unit_details[Sqft],$P47,
      unit_details[Property Name], $F47
    )
  ),
"")</f>
        <v>0</v>
      </c>
      <c r="X47" s="531" t="str">
        <f>IFERROR(
 IF($F47="Total",
   SUMPRODUCT(
   INDEX(X:X, ROW()-COUNTIF($F$6:INDEX($F:$F, ROW()-1), $F46)) : INDEX(X:X, ROW()-1),
   INDEX(AA:AA, ROW()-COUNTIF($F$6:INDEX($F:$F, ROW()-1), $F46)) : INDEX(AA:AA, ROW()-1)
   )
   /SUM(INDEX(AA:AA, ROW()-COUNTIF($F$6:INDEX($F:$F, ROW()-1), $F46)) : INDEX(AA:AA, ROW()-1)),
   AVERAGEIFS(
     INDEX((unit_details[Asking Rent],unit_details[Asking PSF]),0,1,IF($U$3="Chunk Rent",1,2)),
     unit_details[Leased Date],"&gt;="&amp;($AM$2-X$5),
     unit_details[Leased Date],"&lt;"&amp;$AM$2,
     unit_details[Beds],$L47,
     unit_details[Baths],$M47,
     unit_details[Partial Baths],IF(ISNUMBER($N47),$N47,""),
     unit_details[Sqft],$P47,
     unit_details[Property Name],$F47)
 ),"")</f>
        <v/>
      </c>
      <c r="Y47" s="552" t="str">
        <f>IFERROR(
 IF($F47="Total",
   SUMPRODUCT(
   INDEX(Y:Y, ROW()-COUNTIF($F$6:INDEX($F:$F, ROW()-1), $F46)) : INDEX(Y:Y, ROW()-1),
   INDEX(AA:AA, ROW()-COUNTIF($F$6:INDEX($F:$F, ROW()-1), $F46)) : INDEX(AA:AA, ROW()-1)
   )
   /SUM(INDEX(AA:AA, ROW()-COUNTIF($F$6:INDEX($F:$F, ROW()-1), $F46)) : INDEX(AA:AA, ROW()-1)),
   AVERAGEIFS(
     INDEX((unit_details[Effective Rent],unit_details[Effective PSF]),0,1,IF($U$3="Chunk Rent",1,2)),
     unit_details[Leased Date],"&gt;="&amp;($AM$2-X$5),
     unit_details[Leased Date],"&lt;"&amp;$AM$2,
     unit_details[Beds],$L47,
     unit_details[Baths],$M47,
     unit_details[Partial Baths],IF(ISNUMBER($N47),$N47,""),
     unit_details[Sqft],$P47,
     unit_details[Property Name],$F47)
 ),"")</f>
        <v/>
      </c>
      <c r="Z47" s="27" t="str">
        <f t="shared" si="11"/>
        <v/>
      </c>
      <c r="AA47" s="526">
        <f>IFERROR(
  IF($F47="Total",
    SUM(INDEX(AA:AA, ROW()-COUNTIF($F$6:INDEX($F:$F, ROW()-1), $F46)) : INDEX(AA:AA, ROW()-1)),
    COUNTIFS(
      unit_details[Leased Date], "&gt;="&amp;($AM$2-X$5),
      unit_details[Leased Date], "&lt;"&amp;$AM$2,
      unit_details[Beds], $L47,
      unit_details[Baths], $M47,
      unit_details[Partial Baths], IF(ISNUMBER($N47), $N47, ""),
      unit_details[Sqft],$P47,
      unit_details[Property Name], $F47
    )
  ),
"")</f>
        <v>0</v>
      </c>
      <c r="AB47" s="290">
        <f>IF($F47="Total",
SUM(INDEX(AB:AB, ROW()-COUNTIF($F$6:INDEX($F:$F, ROW()-1), $F46)) : INDEX(AB:AB, ROW()-1)),
COUNTIFS(unit_details[Active Listing?],TRUE,
          unit_details[Property Name], $F47,
          unit_details[Beds], $L47,
          unit_details[Baths], $M47,
          unit_details[Partial Baths],IF(ISNUMBER($N47),$N47,""),
          unit_details[Sqft],$P47))</f>
        <v>0</v>
      </c>
      <c r="AC47" s="27" t="str">
        <f t="shared" si="3"/>
        <v/>
      </c>
      <c r="AD47" s="293" t="str">
        <f>IFERROR(IF(AE47="","",IF($F47="Total",
SUMPRODUCT(
   INDEX(AD:AD, ROW()-COUNTIF($F$6:INDEX($F:$F, ROW()-1), $F46)) : INDEX(AD:AD, ROW()-1),
   INDEX(AB:AB, ROW()-COUNTIF($F$6:INDEX($F:$F, ROW()-1), $F46)) : INDEX(AB:AB, ROW()-1)
   )
   /SUM(INDEX(AB:AB, ROW()-COUNTIF($F$6:INDEX($F:$F, ROW()-1), $F46)) : INDEX(AB:AB, ROW()-1)),
          _xlfn.MINIFS(unit_details[Asking Rent],
          unit_details[Active Listing?],TRUE,
          unit_details[Property Name], $F47,
          unit_details[Beds], $L47,
          unit_details[Baths], $M47,
          unit_details[Partial Baths], IF(ISNUMBER($N47),$N47,""),
          unit_details[Sqft],$P47
))),"")</f>
        <v/>
      </c>
      <c r="AE47" s="5" t="str">
        <f>IFERROR(IF($F47="Total",
          SUMPRODUCT(
   INDEX(AE:AE, ROW()-COUNTIF($F$6:INDEX($F:$F, ROW()-1), $F46)) : INDEX(AE:AE, ROW()-1),
   INDEX(AB:AB, ROW()-COUNTIF($F$6:INDEX($F:$F, ROW()-1), $F46)) : INDEX(AB:AB, ROW()-1)
   )
   /SUM(INDEX(AB:AB, ROW()-COUNTIF($F$6:INDEX($F:$F, ROW()-1), $F46)) : INDEX(AB:AB, ROW()-1)),
          AVERAGEIFS(unit_details[Asking Rent],
          unit_details[Active Listing?],TRUE,
          unit_details[Property Name], $F47,
          unit_details[Beds], $L47,
          unit_details[Baths], $M47,
          unit_details[Partial Baths], IF(ISNUMBER($N47),$N47,""),
          unit_details[Sqft],$P47
)),"")</f>
        <v/>
      </c>
      <c r="AF47" s="5" t="str">
        <f>IFERROR(IF(AE47="","",IF($F47="Total",
SUMPRODUCT(
   INDEX(AF:AF, ROW()-COUNTIF($F$6:INDEX($F:$F, ROW()-1), $F46)) : INDEX(AF:AF, ROW()-1),
   INDEX(AB:AB, ROW()-COUNTIF($F$6:INDEX($F:$F, ROW()-1), $F46)) : INDEX(AB:AB, ROW()-1)
   )
   /SUM(INDEX(AB:AB, ROW()-COUNTIF($F$6:INDEX($F:$F, ROW()-1), $F46)) : INDEX(AB:AB, ROW()-1)),
           _xlfn.MAXIFS(unit_details[Asking Rent],
          unit_details[Active Listing?],TRUE,
          unit_details[Property Name], $F47,
          unit_details[Beds], $L47,
          unit_details[Baths], $M47,
          unit_details[Partial Baths], IF(ISNUMBER($N47),$N47,""),
          unit_details[Sqft],$P47
))),"")</f>
        <v/>
      </c>
      <c r="AG47" s="6" t="str">
        <f>IFERROR(IF($F47="Total",
         SUMPRODUCT(
         INDEX(AG:AG, ROW()-COUNTIF($F$6:INDEX($F:$F, ROW()-1), $F46)) : INDEX(AG:AG, ROW()-1),
         INDEX(AB:AB, ROW()-COUNTIF($F$6:INDEX($F:$F, ROW()-1), $F46)) : INDEX(AB:AB, ROW()-1)
         )
         /SUM(INDEX(AB:AB, ROW()-COUNTIF($F$6:INDEX($F:$F, ROW()-1), $F46)) : INDEX(AB:AB, ROW()-1)),
          AVERAGEIFS(unit_details[Asking PSF],
          unit_details[Active Listing?],TRUE,
          unit_details[Property Name], $F47,
          unit_details[Beds], $L47,
          unit_details[Baths], $M47,
          unit_details[Partial Baths], IF(ISNUMBER($N47),$N47,""),
          unit_details[Sqft],$P47
)),"")</f>
        <v/>
      </c>
      <c r="AH47" s="293" t="str">
        <f>IFERROR(IF($F47="Total",
         SUMPRODUCT(
         INDEX(AH:AH, ROW()-COUNTIF($F$6:INDEX($F:$F, ROW()-1), $F46)) : INDEX(AH:AH, ROW()-1),
         INDEX(AB:AB, ROW()-COUNTIF($F$6:INDEX($F:$F, ROW()-1), $F46)) : INDEX(AB:AB, ROW()-1)
         )
         /SUM(INDEX(AB:AB, ROW()-COUNTIF($F$6:INDEX($F:$F, ROW()-1), $F46)) : INDEX(AB:AB, ROW()-1)),
          AVERAGEIFS(unit_details[Effective Rent],
          unit_details[Active Listing?],TRUE,
          unit_details[Property Name], $F47,
          unit_details[Beds], $L47,
          unit_details[Baths], $M47,
          unit_details[Partial Baths], IF(ISNUMBER($N47),$N47,""),
          unit_details[Sqft],$P47
)),"")</f>
        <v/>
      </c>
      <c r="AI47" s="6" t="str">
        <f>IFERROR(IF($F47="Total",
         SUMPRODUCT(
         INDEX(AI:AI, ROW()-COUNTIF($F$6:INDEX($F:$F, ROW()-1), $F46)) : INDEX(AI:AI, ROW()-1),
         INDEX(AB:AB, ROW()-COUNTIF($F$6:INDEX($F:$F, ROW()-1), $F46)) : INDEX(AB:AB, ROW()-1)
         )
         /SUM(INDEX(AB:AB, ROW()-COUNTIF($F$6:INDEX($F:$F, ROW()-1), $F46)) : INDEX(AB:AB, ROW()-1)),
           AVERAGEIFS(unit_details[Effective PSF],
          unit_details[Active Listing?],TRUE,
          unit_details[Property Name], $F47,
          unit_details[Beds], $L47,
          unit_details[Baths], $M47,
          unit_details[Partial Baths], IF(ISNUMBER($N47),$N47,""),
          unit_details[Sqft],$P47
)),"")</f>
        <v/>
      </c>
      <c r="AJ47" s="824" t="str">
        <f t="shared" si="4"/>
        <v/>
      </c>
      <c r="AK47" s="531" t="str">
        <f t="shared" si="5"/>
        <v/>
      </c>
      <c r="AL47" s="714" t="str">
        <f t="shared" si="6"/>
        <v/>
      </c>
      <c r="AM47" s="531" t="str">
        <f t="shared" si="7"/>
        <v/>
      </c>
      <c r="AN47" s="716" t="str">
        <f t="shared" si="8"/>
        <v/>
      </c>
    </row>
    <row r="48" spans="2:40" x14ac:dyDescent="0.2">
      <c r="F48" s="1" t="str">
        <f t="shared" si="0"/>
        <v/>
      </c>
      <c r="G48" s="713" t="str">
        <f t="shared" si="9"/>
        <v/>
      </c>
      <c r="H48" s="17" t="str">
        <f>IFERROR(VLOOKUP($G48,Table1[[Property]:[Exposure %]],4,0),"")</f>
        <v/>
      </c>
      <c r="I48" s="3" t="str">
        <f>IFERROR(VLOOKUP($G48,Table1[[Property]:[Exposure %]],6,0),"")</f>
        <v/>
      </c>
      <c r="J48" s="3" t="str">
        <f>IFERROR(VLOOKUP($G48,Table1[[Property]:[Exposure %]],7,0),"")</f>
        <v/>
      </c>
      <c r="K48"/>
      <c r="L48"/>
      <c r="M48"/>
      <c r="N48"/>
      <c r="O48"/>
      <c r="P48"/>
      <c r="Q48"/>
      <c r="R48" s="4" t="str">
        <f>IFERROR(VLOOKUP(IF(F48="Total",F47,F48),Table1[[Property]:['# Units]],7,0)*S48,"")</f>
        <v/>
      </c>
      <c r="S48" s="27" t="str">
        <f t="shared" si="2"/>
        <v/>
      </c>
      <c r="T48" s="531" t="str">
        <f>IFERROR(
 IF($F48="Total",
   SUMPRODUCT(
   INDEX(T:T, ROW()-COUNTIF($F$6:INDEX($F:$F, ROW()-1), $F47)) : INDEX(T:T, ROW()-1),
   INDEX(W:W, ROW()-COUNTIF($F$6:INDEX($F:$F, ROW()-1), $F47)) : INDEX(W:W, ROW()-1)
   )
   /SUM(INDEX(W:W, ROW()-COUNTIF($F$6:INDEX($F:$F, ROW()-1), $F47)) : INDEX(W:W, ROW()-1)),
   AVERAGEIFS(
     INDEX((unit_details[Asking Rent],unit_details[Asking PSF]),0,1,IF($U$3="Chunk Rent",1,2)),
     unit_details[Leased Date],"&gt;="&amp;($AM$2-T$5),
     unit_details[Leased Date],"&lt;"&amp;$AM$2,
     unit_details[Beds],$L48,
     unit_details[Baths],$M48,
     unit_details[Partial Baths],IF(ISNUMBER($N48),$N48,""),
     unit_details[Sqft],$P48,
     unit_details[Property Name],$F48)
 ),"")</f>
        <v/>
      </c>
      <c r="U48" s="552" t="str">
        <f>IFERROR(
 IF($F48="Total",
   SUMPRODUCT(
   INDEX(U:U, ROW()-COUNTIF($F$6:INDEX($F:$F, ROW()-1), $F47)) : INDEX(U:U, ROW()-1),
   INDEX(W:W, ROW()-COUNTIF($F$6:INDEX($F:$F, ROW()-1), $F47)) : INDEX(W:W, ROW()-1)
   )
   /SUM(INDEX(W:W, ROW()-COUNTIF($F$6:INDEX($F:$F, ROW()-1), $F47)) : INDEX(W:W, ROW()-1)),
   AVERAGEIFS(
     INDEX((unit_details[Effective Rent],unit_details[Effective PSF]),0,1,IF($U$3="Chunk Rent",1,2)),
     unit_details[Leased Date],"&gt;="&amp;($AM$2-T$5),
     unit_details[Leased Date],"&lt;"&amp;$AM$2,
     unit_details[Beds],$L48,
     unit_details[Baths],$M48,
     unit_details[Partial Baths],IF(ISNUMBER($N48),$N48,""),
     unit_details[Sqft],$P48,
     unit_details[Property Name],$F48)
 ),"")</f>
        <v/>
      </c>
      <c r="V48" s="27" t="str">
        <f t="shared" si="10"/>
        <v/>
      </c>
      <c r="W48" s="526">
        <f>IFERROR(
  IF($F48="Total",
    SUM(INDEX(W:W, ROW()-COUNTIF($F$6:INDEX($F:$F, ROW()-1), $F47)) : INDEX(W:W, ROW()-1)),
    COUNTIFS(
      unit_details[Leased Date], "&gt;="&amp;($AM$2-T$5),
      unit_details[Leased Date], "&lt;"&amp;$AM$2,
      unit_details[Beds], $L48,
      unit_details[Baths], $M48,
      unit_details[Partial Baths], IF(ISNUMBER($N48), $N48, ""),
      unit_details[Sqft],$P48,
      unit_details[Property Name], $F48
    )
  ),
"")</f>
        <v>0</v>
      </c>
      <c r="X48" s="531" t="str">
        <f>IFERROR(
 IF($F48="Total",
   SUMPRODUCT(
   INDEX(X:X, ROW()-COUNTIF($F$6:INDEX($F:$F, ROW()-1), $F47)) : INDEX(X:X, ROW()-1),
   INDEX(AA:AA, ROW()-COUNTIF($F$6:INDEX($F:$F, ROW()-1), $F47)) : INDEX(AA:AA, ROW()-1)
   )
   /SUM(INDEX(AA:AA, ROW()-COUNTIF($F$6:INDEX($F:$F, ROW()-1), $F47)) : INDEX(AA:AA, ROW()-1)),
   AVERAGEIFS(
     INDEX((unit_details[Asking Rent],unit_details[Asking PSF]),0,1,IF($U$3="Chunk Rent",1,2)),
     unit_details[Leased Date],"&gt;="&amp;($AM$2-X$5),
     unit_details[Leased Date],"&lt;"&amp;$AM$2,
     unit_details[Beds],$L48,
     unit_details[Baths],$M48,
     unit_details[Partial Baths],IF(ISNUMBER($N48),$N48,""),
     unit_details[Sqft],$P48,
     unit_details[Property Name],$F48)
 ),"")</f>
        <v/>
      </c>
      <c r="Y48" s="552" t="str">
        <f>IFERROR(
 IF($F48="Total",
   SUMPRODUCT(
   INDEX(Y:Y, ROW()-COUNTIF($F$6:INDEX($F:$F, ROW()-1), $F47)) : INDEX(Y:Y, ROW()-1),
   INDEX(AA:AA, ROW()-COUNTIF($F$6:INDEX($F:$F, ROW()-1), $F47)) : INDEX(AA:AA, ROW()-1)
   )
   /SUM(INDEX(AA:AA, ROW()-COUNTIF($F$6:INDEX($F:$F, ROW()-1), $F47)) : INDEX(AA:AA, ROW()-1)),
   AVERAGEIFS(
     INDEX((unit_details[Effective Rent],unit_details[Effective PSF]),0,1,IF($U$3="Chunk Rent",1,2)),
     unit_details[Leased Date],"&gt;="&amp;($AM$2-X$5),
     unit_details[Leased Date],"&lt;"&amp;$AM$2,
     unit_details[Beds],$L48,
     unit_details[Baths],$M48,
     unit_details[Partial Baths],IF(ISNUMBER($N48),$N48,""),
     unit_details[Sqft],$P48,
     unit_details[Property Name],$F48)
 ),"")</f>
        <v/>
      </c>
      <c r="Z48" s="27" t="str">
        <f t="shared" si="11"/>
        <v/>
      </c>
      <c r="AA48" s="526">
        <f>IFERROR(
  IF($F48="Total",
    SUM(INDEX(AA:AA, ROW()-COUNTIF($F$6:INDEX($F:$F, ROW()-1), $F47)) : INDEX(AA:AA, ROW()-1)),
    COUNTIFS(
      unit_details[Leased Date], "&gt;="&amp;($AM$2-X$5),
      unit_details[Leased Date], "&lt;"&amp;$AM$2,
      unit_details[Beds], $L48,
      unit_details[Baths], $M48,
      unit_details[Partial Baths], IF(ISNUMBER($N48), $N48, ""),
      unit_details[Sqft],$P48,
      unit_details[Property Name], $F48
    )
  ),
"")</f>
        <v>0</v>
      </c>
      <c r="AB48" s="290">
        <f>IF($F48="Total",
SUM(INDEX(AB:AB, ROW()-COUNTIF($F$6:INDEX($F:$F, ROW()-1), $F47)) : INDEX(AB:AB, ROW()-1)),
COUNTIFS(unit_details[Active Listing?],TRUE,
          unit_details[Property Name], $F48,
          unit_details[Beds], $L48,
          unit_details[Baths], $M48,
          unit_details[Partial Baths],IF(ISNUMBER($N48),$N48,""),
          unit_details[Sqft],$P48))</f>
        <v>0</v>
      </c>
      <c r="AC48" s="27" t="str">
        <f t="shared" si="3"/>
        <v/>
      </c>
      <c r="AD48" s="293" t="str">
        <f>IFERROR(IF(AE48="","",IF($F48="Total",
SUMPRODUCT(
   INDEX(AD:AD, ROW()-COUNTIF($F$6:INDEX($F:$F, ROW()-1), $F47)) : INDEX(AD:AD, ROW()-1),
   INDEX(AB:AB, ROW()-COUNTIF($F$6:INDEX($F:$F, ROW()-1), $F47)) : INDEX(AB:AB, ROW()-1)
   )
   /SUM(INDEX(AB:AB, ROW()-COUNTIF($F$6:INDEX($F:$F, ROW()-1), $F47)) : INDEX(AB:AB, ROW()-1)),
          _xlfn.MINIFS(unit_details[Asking Rent],
          unit_details[Active Listing?],TRUE,
          unit_details[Property Name], $F48,
          unit_details[Beds], $L48,
          unit_details[Baths], $M48,
          unit_details[Partial Baths], IF(ISNUMBER($N48),$N48,""),
          unit_details[Sqft],$P48
))),"")</f>
        <v/>
      </c>
      <c r="AE48" s="5" t="str">
        <f>IFERROR(IF($F48="Total",
          SUMPRODUCT(
   INDEX(AE:AE, ROW()-COUNTIF($F$6:INDEX($F:$F, ROW()-1), $F47)) : INDEX(AE:AE, ROW()-1),
   INDEX(AB:AB, ROW()-COUNTIF($F$6:INDEX($F:$F, ROW()-1), $F47)) : INDEX(AB:AB, ROW()-1)
   )
   /SUM(INDEX(AB:AB, ROW()-COUNTIF($F$6:INDEX($F:$F, ROW()-1), $F47)) : INDEX(AB:AB, ROW()-1)),
          AVERAGEIFS(unit_details[Asking Rent],
          unit_details[Active Listing?],TRUE,
          unit_details[Property Name], $F48,
          unit_details[Beds], $L48,
          unit_details[Baths], $M48,
          unit_details[Partial Baths], IF(ISNUMBER($N48),$N48,""),
          unit_details[Sqft],$P48
)),"")</f>
        <v/>
      </c>
      <c r="AF48" s="5" t="str">
        <f>IFERROR(IF(AE48="","",IF($F48="Total",
SUMPRODUCT(
   INDEX(AF:AF, ROW()-COUNTIF($F$6:INDEX($F:$F, ROW()-1), $F47)) : INDEX(AF:AF, ROW()-1),
   INDEX(AB:AB, ROW()-COUNTIF($F$6:INDEX($F:$F, ROW()-1), $F47)) : INDEX(AB:AB, ROW()-1)
   )
   /SUM(INDEX(AB:AB, ROW()-COUNTIF($F$6:INDEX($F:$F, ROW()-1), $F47)) : INDEX(AB:AB, ROW()-1)),
           _xlfn.MAXIFS(unit_details[Asking Rent],
          unit_details[Active Listing?],TRUE,
          unit_details[Property Name], $F48,
          unit_details[Beds], $L48,
          unit_details[Baths], $M48,
          unit_details[Partial Baths], IF(ISNUMBER($N48),$N48,""),
          unit_details[Sqft],$P48
))),"")</f>
        <v/>
      </c>
      <c r="AG48" s="6" t="str">
        <f>IFERROR(IF($F48="Total",
         SUMPRODUCT(
         INDEX(AG:AG, ROW()-COUNTIF($F$6:INDEX($F:$F, ROW()-1), $F47)) : INDEX(AG:AG, ROW()-1),
         INDEX(AB:AB, ROW()-COUNTIF($F$6:INDEX($F:$F, ROW()-1), $F47)) : INDEX(AB:AB, ROW()-1)
         )
         /SUM(INDEX(AB:AB, ROW()-COUNTIF($F$6:INDEX($F:$F, ROW()-1), $F47)) : INDEX(AB:AB, ROW()-1)),
          AVERAGEIFS(unit_details[Asking PSF],
          unit_details[Active Listing?],TRUE,
          unit_details[Property Name], $F48,
          unit_details[Beds], $L48,
          unit_details[Baths], $M48,
          unit_details[Partial Baths], IF(ISNUMBER($N48),$N48,""),
          unit_details[Sqft],$P48
)),"")</f>
        <v/>
      </c>
      <c r="AH48" s="293" t="str">
        <f>IFERROR(IF($F48="Total",
         SUMPRODUCT(
         INDEX(AH:AH, ROW()-COUNTIF($F$6:INDEX($F:$F, ROW()-1), $F47)) : INDEX(AH:AH, ROW()-1),
         INDEX(AB:AB, ROW()-COUNTIF($F$6:INDEX($F:$F, ROW()-1), $F47)) : INDEX(AB:AB, ROW()-1)
         )
         /SUM(INDEX(AB:AB, ROW()-COUNTIF($F$6:INDEX($F:$F, ROW()-1), $F47)) : INDEX(AB:AB, ROW()-1)),
          AVERAGEIFS(unit_details[Effective Rent],
          unit_details[Active Listing?],TRUE,
          unit_details[Property Name], $F48,
          unit_details[Beds], $L48,
          unit_details[Baths], $M48,
          unit_details[Partial Baths], IF(ISNUMBER($N48),$N48,""),
          unit_details[Sqft],$P48
)),"")</f>
        <v/>
      </c>
      <c r="AI48" s="6" t="str">
        <f>IFERROR(IF($F48="Total",
         SUMPRODUCT(
         INDEX(AI:AI, ROW()-COUNTIF($F$6:INDEX($F:$F, ROW()-1), $F47)) : INDEX(AI:AI, ROW()-1),
         INDEX(AB:AB, ROW()-COUNTIF($F$6:INDEX($F:$F, ROW()-1), $F47)) : INDEX(AB:AB, ROW()-1)
         )
         /SUM(INDEX(AB:AB, ROW()-COUNTIF($F$6:INDEX($F:$F, ROW()-1), $F47)) : INDEX(AB:AB, ROW()-1)),
           AVERAGEIFS(unit_details[Effective PSF],
          unit_details[Active Listing?],TRUE,
          unit_details[Property Name], $F48,
          unit_details[Beds], $L48,
          unit_details[Baths], $M48,
          unit_details[Partial Baths], IF(ISNUMBER($N48),$N48,""),
          unit_details[Sqft],$P48
)),"")</f>
        <v/>
      </c>
      <c r="AJ48" s="824" t="str">
        <f t="shared" si="4"/>
        <v/>
      </c>
      <c r="AK48" s="531" t="str">
        <f t="shared" si="5"/>
        <v/>
      </c>
      <c r="AL48" s="714" t="str">
        <f t="shared" si="6"/>
        <v/>
      </c>
      <c r="AM48" s="531" t="str">
        <f t="shared" si="7"/>
        <v/>
      </c>
      <c r="AN48" s="716" t="str">
        <f t="shared" si="8"/>
        <v/>
      </c>
    </row>
    <row r="49" spans="6:40" x14ac:dyDescent="0.2">
      <c r="F49" s="1" t="str">
        <f t="shared" si="0"/>
        <v/>
      </c>
      <c r="G49" s="713" t="str">
        <f t="shared" si="9"/>
        <v/>
      </c>
      <c r="H49" s="17" t="str">
        <f>IFERROR(VLOOKUP($G49,Table1[[Property]:[Exposure %]],4,0),"")</f>
        <v/>
      </c>
      <c r="I49" s="3" t="str">
        <f>IFERROR(VLOOKUP($G49,Table1[[Property]:[Exposure %]],6,0),"")</f>
        <v/>
      </c>
      <c r="J49" s="3" t="str">
        <f>IFERROR(VLOOKUP($G49,Table1[[Property]:[Exposure %]],7,0),"")</f>
        <v/>
      </c>
      <c r="K49"/>
      <c r="L49"/>
      <c r="M49"/>
      <c r="N49"/>
      <c r="O49"/>
      <c r="P49"/>
      <c r="Q49"/>
      <c r="R49" s="4" t="str">
        <f>IFERROR(VLOOKUP(IF(F49="Total",F48,F49),Table1[[Property]:['# Units]],7,0)*S49,"")</f>
        <v/>
      </c>
      <c r="S49" s="27" t="str">
        <f t="shared" si="2"/>
        <v/>
      </c>
      <c r="T49" s="531" t="str">
        <f>IFERROR(
 IF($F49="Total",
   SUMPRODUCT(
   INDEX(T:T, ROW()-COUNTIF($F$6:INDEX($F:$F, ROW()-1), $F48)) : INDEX(T:T, ROW()-1),
   INDEX(W:W, ROW()-COUNTIF($F$6:INDEX($F:$F, ROW()-1), $F48)) : INDEX(W:W, ROW()-1)
   )
   /SUM(INDEX(W:W, ROW()-COUNTIF($F$6:INDEX($F:$F, ROW()-1), $F48)) : INDEX(W:W, ROW()-1)),
   AVERAGEIFS(
     INDEX((unit_details[Asking Rent],unit_details[Asking PSF]),0,1,IF($U$3="Chunk Rent",1,2)),
     unit_details[Leased Date],"&gt;="&amp;($AM$2-T$5),
     unit_details[Leased Date],"&lt;"&amp;$AM$2,
     unit_details[Beds],$L49,
     unit_details[Baths],$M49,
     unit_details[Partial Baths],IF(ISNUMBER($N49),$N49,""),
     unit_details[Sqft],$P49,
     unit_details[Property Name],$F49)
 ),"")</f>
        <v/>
      </c>
      <c r="U49" s="552" t="str">
        <f>IFERROR(
 IF($F49="Total",
   SUMPRODUCT(
   INDEX(U:U, ROW()-COUNTIF($F$6:INDEX($F:$F, ROW()-1), $F48)) : INDEX(U:U, ROW()-1),
   INDEX(W:W, ROW()-COUNTIF($F$6:INDEX($F:$F, ROW()-1), $F48)) : INDEX(W:W, ROW()-1)
   )
   /SUM(INDEX(W:W, ROW()-COUNTIF($F$6:INDEX($F:$F, ROW()-1), $F48)) : INDEX(W:W, ROW()-1)),
   AVERAGEIFS(
     INDEX((unit_details[Effective Rent],unit_details[Effective PSF]),0,1,IF($U$3="Chunk Rent",1,2)),
     unit_details[Leased Date],"&gt;="&amp;($AM$2-T$5),
     unit_details[Leased Date],"&lt;"&amp;$AM$2,
     unit_details[Beds],$L49,
     unit_details[Baths],$M49,
     unit_details[Partial Baths],IF(ISNUMBER($N49),$N49,""),
     unit_details[Sqft],$P49,
     unit_details[Property Name],$F49)
 ),"")</f>
        <v/>
      </c>
      <c r="V49" s="27" t="str">
        <f t="shared" si="10"/>
        <v/>
      </c>
      <c r="W49" s="526">
        <f>IFERROR(
  IF($F49="Total",
    SUM(INDEX(W:W, ROW()-COUNTIF($F$6:INDEX($F:$F, ROW()-1), $F48)) : INDEX(W:W, ROW()-1)),
    COUNTIFS(
      unit_details[Leased Date], "&gt;="&amp;($AM$2-T$5),
      unit_details[Leased Date], "&lt;"&amp;$AM$2,
      unit_details[Beds], $L49,
      unit_details[Baths], $M49,
      unit_details[Partial Baths], IF(ISNUMBER($N49), $N49, ""),
      unit_details[Sqft],$P49,
      unit_details[Property Name], $F49
    )
  ),
"")</f>
        <v>0</v>
      </c>
      <c r="X49" s="531" t="str">
        <f>IFERROR(
 IF($F49="Total",
   SUMPRODUCT(
   INDEX(X:X, ROW()-COUNTIF($F$6:INDEX($F:$F, ROW()-1), $F48)) : INDEX(X:X, ROW()-1),
   INDEX(AA:AA, ROW()-COUNTIF($F$6:INDEX($F:$F, ROW()-1), $F48)) : INDEX(AA:AA, ROW()-1)
   )
   /SUM(INDEX(AA:AA, ROW()-COUNTIF($F$6:INDEX($F:$F, ROW()-1), $F48)) : INDEX(AA:AA, ROW()-1)),
   AVERAGEIFS(
     INDEX((unit_details[Asking Rent],unit_details[Asking PSF]),0,1,IF($U$3="Chunk Rent",1,2)),
     unit_details[Leased Date],"&gt;="&amp;($AM$2-X$5),
     unit_details[Leased Date],"&lt;"&amp;$AM$2,
     unit_details[Beds],$L49,
     unit_details[Baths],$M49,
     unit_details[Partial Baths],IF(ISNUMBER($N49),$N49,""),
     unit_details[Sqft],$P49,
     unit_details[Property Name],$F49)
 ),"")</f>
        <v/>
      </c>
      <c r="Y49" s="552" t="str">
        <f>IFERROR(
 IF($F49="Total",
   SUMPRODUCT(
   INDEX(Y:Y, ROW()-COUNTIF($F$6:INDEX($F:$F, ROW()-1), $F48)) : INDEX(Y:Y, ROW()-1),
   INDEX(AA:AA, ROW()-COUNTIF($F$6:INDEX($F:$F, ROW()-1), $F48)) : INDEX(AA:AA, ROW()-1)
   )
   /SUM(INDEX(AA:AA, ROW()-COUNTIF($F$6:INDEX($F:$F, ROW()-1), $F48)) : INDEX(AA:AA, ROW()-1)),
   AVERAGEIFS(
     INDEX((unit_details[Effective Rent],unit_details[Effective PSF]),0,1,IF($U$3="Chunk Rent",1,2)),
     unit_details[Leased Date],"&gt;="&amp;($AM$2-X$5),
     unit_details[Leased Date],"&lt;"&amp;$AM$2,
     unit_details[Beds],$L49,
     unit_details[Baths],$M49,
     unit_details[Partial Baths],IF(ISNUMBER($N49),$N49,""),
     unit_details[Sqft],$P49,
     unit_details[Property Name],$F49)
 ),"")</f>
        <v/>
      </c>
      <c r="Z49" s="27" t="str">
        <f t="shared" si="11"/>
        <v/>
      </c>
      <c r="AA49" s="526">
        <f>IFERROR(
  IF($F49="Total",
    SUM(INDEX(AA:AA, ROW()-COUNTIF($F$6:INDEX($F:$F, ROW()-1), $F48)) : INDEX(AA:AA, ROW()-1)),
    COUNTIFS(
      unit_details[Leased Date], "&gt;="&amp;($AM$2-X$5),
      unit_details[Leased Date], "&lt;"&amp;$AM$2,
      unit_details[Beds], $L49,
      unit_details[Baths], $M49,
      unit_details[Partial Baths], IF(ISNUMBER($N49), $N49, ""),
      unit_details[Sqft],$P49,
      unit_details[Property Name], $F49
    )
  ),
"")</f>
        <v>0</v>
      </c>
      <c r="AB49" s="290">
        <f>IF($F49="Total",
SUM(INDEX(AB:AB, ROW()-COUNTIF($F$6:INDEX($F:$F, ROW()-1), $F48)) : INDEX(AB:AB, ROW()-1)),
COUNTIFS(unit_details[Active Listing?],TRUE,
          unit_details[Property Name], $F49,
          unit_details[Beds], $L49,
          unit_details[Baths], $M49,
          unit_details[Partial Baths],IF(ISNUMBER($N49),$N49,""),
          unit_details[Sqft],$P49))</f>
        <v>0</v>
      </c>
      <c r="AC49" s="27" t="str">
        <f t="shared" si="3"/>
        <v/>
      </c>
      <c r="AD49" s="293" t="str">
        <f>IFERROR(IF(AE49="","",IF($F49="Total",
SUMPRODUCT(
   INDEX(AD:AD, ROW()-COUNTIF($F$6:INDEX($F:$F, ROW()-1), $F48)) : INDEX(AD:AD, ROW()-1),
   INDEX(AB:AB, ROW()-COUNTIF($F$6:INDEX($F:$F, ROW()-1), $F48)) : INDEX(AB:AB, ROW()-1)
   )
   /SUM(INDEX(AB:AB, ROW()-COUNTIF($F$6:INDEX($F:$F, ROW()-1), $F48)) : INDEX(AB:AB, ROW()-1)),
          _xlfn.MINIFS(unit_details[Asking Rent],
          unit_details[Active Listing?],TRUE,
          unit_details[Property Name], $F49,
          unit_details[Beds], $L49,
          unit_details[Baths], $M49,
          unit_details[Partial Baths], IF(ISNUMBER($N49),$N49,""),
          unit_details[Sqft],$P49
))),"")</f>
        <v/>
      </c>
      <c r="AE49" s="5" t="str">
        <f>IFERROR(IF($F49="Total",
          SUMPRODUCT(
   INDEX(AE:AE, ROW()-COUNTIF($F$6:INDEX($F:$F, ROW()-1), $F48)) : INDEX(AE:AE, ROW()-1),
   INDEX(AB:AB, ROW()-COUNTIF($F$6:INDEX($F:$F, ROW()-1), $F48)) : INDEX(AB:AB, ROW()-1)
   )
   /SUM(INDEX(AB:AB, ROW()-COUNTIF($F$6:INDEX($F:$F, ROW()-1), $F48)) : INDEX(AB:AB, ROW()-1)),
          AVERAGEIFS(unit_details[Asking Rent],
          unit_details[Active Listing?],TRUE,
          unit_details[Property Name], $F49,
          unit_details[Beds], $L49,
          unit_details[Baths], $M49,
          unit_details[Partial Baths], IF(ISNUMBER($N49),$N49,""),
          unit_details[Sqft],$P49
)),"")</f>
        <v/>
      </c>
      <c r="AF49" s="5" t="str">
        <f>IFERROR(IF(AE49="","",IF($F49="Total",
SUMPRODUCT(
   INDEX(AF:AF, ROW()-COUNTIF($F$6:INDEX($F:$F, ROW()-1), $F48)) : INDEX(AF:AF, ROW()-1),
   INDEX(AB:AB, ROW()-COUNTIF($F$6:INDEX($F:$F, ROW()-1), $F48)) : INDEX(AB:AB, ROW()-1)
   )
   /SUM(INDEX(AB:AB, ROW()-COUNTIF($F$6:INDEX($F:$F, ROW()-1), $F48)) : INDEX(AB:AB, ROW()-1)),
           _xlfn.MAXIFS(unit_details[Asking Rent],
          unit_details[Active Listing?],TRUE,
          unit_details[Property Name], $F49,
          unit_details[Beds], $L49,
          unit_details[Baths], $M49,
          unit_details[Partial Baths], IF(ISNUMBER($N49),$N49,""),
          unit_details[Sqft],$P49
))),"")</f>
        <v/>
      </c>
      <c r="AG49" s="6" t="str">
        <f>IFERROR(IF($F49="Total",
         SUMPRODUCT(
         INDEX(AG:AG, ROW()-COUNTIF($F$6:INDEX($F:$F, ROW()-1), $F48)) : INDEX(AG:AG, ROW()-1),
         INDEX(AB:AB, ROW()-COUNTIF($F$6:INDEX($F:$F, ROW()-1), $F48)) : INDEX(AB:AB, ROW()-1)
         )
         /SUM(INDEX(AB:AB, ROW()-COUNTIF($F$6:INDEX($F:$F, ROW()-1), $F48)) : INDEX(AB:AB, ROW()-1)),
          AVERAGEIFS(unit_details[Asking PSF],
          unit_details[Active Listing?],TRUE,
          unit_details[Property Name], $F49,
          unit_details[Beds], $L49,
          unit_details[Baths], $M49,
          unit_details[Partial Baths], IF(ISNUMBER($N49),$N49,""),
          unit_details[Sqft],$P49
)),"")</f>
        <v/>
      </c>
      <c r="AH49" s="293" t="str">
        <f>IFERROR(IF($F49="Total",
         SUMPRODUCT(
         INDEX(AH:AH, ROW()-COUNTIF($F$6:INDEX($F:$F, ROW()-1), $F48)) : INDEX(AH:AH, ROW()-1),
         INDEX(AB:AB, ROW()-COUNTIF($F$6:INDEX($F:$F, ROW()-1), $F48)) : INDEX(AB:AB, ROW()-1)
         )
         /SUM(INDEX(AB:AB, ROW()-COUNTIF($F$6:INDEX($F:$F, ROW()-1), $F48)) : INDEX(AB:AB, ROW()-1)),
          AVERAGEIFS(unit_details[Effective Rent],
          unit_details[Active Listing?],TRUE,
          unit_details[Property Name], $F49,
          unit_details[Beds], $L49,
          unit_details[Baths], $M49,
          unit_details[Partial Baths], IF(ISNUMBER($N49),$N49,""),
          unit_details[Sqft],$P49
)),"")</f>
        <v/>
      </c>
      <c r="AI49" s="6" t="str">
        <f>IFERROR(IF($F49="Total",
         SUMPRODUCT(
         INDEX(AI:AI, ROW()-COUNTIF($F$6:INDEX($F:$F, ROW()-1), $F48)) : INDEX(AI:AI, ROW()-1),
         INDEX(AB:AB, ROW()-COUNTIF($F$6:INDEX($F:$F, ROW()-1), $F48)) : INDEX(AB:AB, ROW()-1)
         )
         /SUM(INDEX(AB:AB, ROW()-COUNTIF($F$6:INDEX($F:$F, ROW()-1), $F48)) : INDEX(AB:AB, ROW()-1)),
           AVERAGEIFS(unit_details[Effective PSF],
          unit_details[Active Listing?],TRUE,
          unit_details[Property Name], $F49,
          unit_details[Beds], $L49,
          unit_details[Baths], $M49,
          unit_details[Partial Baths], IF(ISNUMBER($N49),$N49,""),
          unit_details[Sqft],$P49
)),"")</f>
        <v/>
      </c>
      <c r="AJ49" s="824" t="str">
        <f t="shared" si="4"/>
        <v/>
      </c>
      <c r="AK49" s="531" t="str">
        <f t="shared" si="5"/>
        <v/>
      </c>
      <c r="AL49" s="714" t="str">
        <f t="shared" si="6"/>
        <v/>
      </c>
      <c r="AM49" s="531" t="str">
        <f t="shared" si="7"/>
        <v/>
      </c>
      <c r="AN49" s="716" t="str">
        <f t="shared" si="8"/>
        <v/>
      </c>
    </row>
    <row r="50" spans="6:40" x14ac:dyDescent="0.2">
      <c r="F50" s="1" t="str">
        <f t="shared" si="0"/>
        <v/>
      </c>
      <c r="G50" s="713" t="str">
        <f t="shared" si="9"/>
        <v/>
      </c>
      <c r="H50" s="17" t="str">
        <f>IFERROR(VLOOKUP($G50,Table1[[Property]:[Exposure %]],4,0),"")</f>
        <v/>
      </c>
      <c r="I50" s="3" t="str">
        <f>IFERROR(VLOOKUP($G50,Table1[[Property]:[Exposure %]],6,0),"")</f>
        <v/>
      </c>
      <c r="J50" s="3" t="str">
        <f>IFERROR(VLOOKUP($G50,Table1[[Property]:[Exposure %]],7,0),"")</f>
        <v/>
      </c>
      <c r="K50"/>
      <c r="L50"/>
      <c r="M50"/>
      <c r="N50"/>
      <c r="O50"/>
      <c r="P50"/>
      <c r="Q50"/>
      <c r="R50" s="4" t="str">
        <f>IFERROR(VLOOKUP(IF(F50="Total",F49,F50),Table1[[Property]:['# Units]],7,0)*S50,"")</f>
        <v/>
      </c>
      <c r="S50" s="27" t="str">
        <f t="shared" si="2"/>
        <v/>
      </c>
      <c r="T50" s="531" t="str">
        <f>IFERROR(
 IF($F50="Total",
   SUMPRODUCT(
   INDEX(T:T, ROW()-COUNTIF($F$6:INDEX($F:$F, ROW()-1), $F49)) : INDEX(T:T, ROW()-1),
   INDEX(W:W, ROW()-COUNTIF($F$6:INDEX($F:$F, ROW()-1), $F49)) : INDEX(W:W, ROW()-1)
   )
   /SUM(INDEX(W:W, ROW()-COUNTIF($F$6:INDEX($F:$F, ROW()-1), $F49)) : INDEX(W:W, ROW()-1)),
   AVERAGEIFS(
     INDEX((unit_details[Asking Rent],unit_details[Asking PSF]),0,1,IF($U$3="Chunk Rent",1,2)),
     unit_details[Leased Date],"&gt;="&amp;($AM$2-T$5),
     unit_details[Leased Date],"&lt;"&amp;$AM$2,
     unit_details[Beds],$L50,
     unit_details[Baths],$M50,
     unit_details[Partial Baths],IF(ISNUMBER($N50),$N50,""),
     unit_details[Sqft],$P50,
     unit_details[Property Name],$F50)
 ),"")</f>
        <v/>
      </c>
      <c r="U50" s="552" t="str">
        <f>IFERROR(
 IF($F50="Total",
   SUMPRODUCT(
   INDEX(U:U, ROW()-COUNTIF($F$6:INDEX($F:$F, ROW()-1), $F49)) : INDEX(U:U, ROW()-1),
   INDEX(W:W, ROW()-COUNTIF($F$6:INDEX($F:$F, ROW()-1), $F49)) : INDEX(W:W, ROW()-1)
   )
   /SUM(INDEX(W:W, ROW()-COUNTIF($F$6:INDEX($F:$F, ROW()-1), $F49)) : INDEX(W:W, ROW()-1)),
   AVERAGEIFS(
     INDEX((unit_details[Effective Rent],unit_details[Effective PSF]),0,1,IF($U$3="Chunk Rent",1,2)),
     unit_details[Leased Date],"&gt;="&amp;($AM$2-T$5),
     unit_details[Leased Date],"&lt;"&amp;$AM$2,
     unit_details[Beds],$L50,
     unit_details[Baths],$M50,
     unit_details[Partial Baths],IF(ISNUMBER($N50),$N50,""),
     unit_details[Sqft],$P50,
     unit_details[Property Name],$F50)
 ),"")</f>
        <v/>
      </c>
      <c r="V50" s="27" t="str">
        <f t="shared" si="10"/>
        <v/>
      </c>
      <c r="W50" s="526">
        <f>IFERROR(
  IF($F50="Total",
    SUM(INDEX(W:W, ROW()-COUNTIF($F$6:INDEX($F:$F, ROW()-1), $F49)) : INDEX(W:W, ROW()-1)),
    COUNTIFS(
      unit_details[Leased Date], "&gt;="&amp;($AM$2-T$5),
      unit_details[Leased Date], "&lt;"&amp;$AM$2,
      unit_details[Beds], $L50,
      unit_details[Baths], $M50,
      unit_details[Partial Baths], IF(ISNUMBER($N50), $N50, ""),
      unit_details[Sqft],$P50,
      unit_details[Property Name], $F50
    )
  ),
"")</f>
        <v>0</v>
      </c>
      <c r="X50" s="531" t="str">
        <f>IFERROR(
 IF($F50="Total",
   SUMPRODUCT(
   INDEX(X:X, ROW()-COUNTIF($F$6:INDEX($F:$F, ROW()-1), $F49)) : INDEX(X:X, ROW()-1),
   INDEX(AA:AA, ROW()-COUNTIF($F$6:INDEX($F:$F, ROW()-1), $F49)) : INDEX(AA:AA, ROW()-1)
   )
   /SUM(INDEX(AA:AA, ROW()-COUNTIF($F$6:INDEX($F:$F, ROW()-1), $F49)) : INDEX(AA:AA, ROW()-1)),
   AVERAGEIFS(
     INDEX((unit_details[Asking Rent],unit_details[Asking PSF]),0,1,IF($U$3="Chunk Rent",1,2)),
     unit_details[Leased Date],"&gt;="&amp;($AM$2-X$5),
     unit_details[Leased Date],"&lt;"&amp;$AM$2,
     unit_details[Beds],$L50,
     unit_details[Baths],$M50,
     unit_details[Partial Baths],IF(ISNUMBER($N50),$N50,""),
     unit_details[Sqft],$P50,
     unit_details[Property Name],$F50)
 ),"")</f>
        <v/>
      </c>
      <c r="Y50" s="552" t="str">
        <f>IFERROR(
 IF($F50="Total",
   SUMPRODUCT(
   INDEX(Y:Y, ROW()-COUNTIF($F$6:INDEX($F:$F, ROW()-1), $F49)) : INDEX(Y:Y, ROW()-1),
   INDEX(AA:AA, ROW()-COUNTIF($F$6:INDEX($F:$F, ROW()-1), $F49)) : INDEX(AA:AA, ROW()-1)
   )
   /SUM(INDEX(AA:AA, ROW()-COUNTIF($F$6:INDEX($F:$F, ROW()-1), $F49)) : INDEX(AA:AA, ROW()-1)),
   AVERAGEIFS(
     INDEX((unit_details[Effective Rent],unit_details[Effective PSF]),0,1,IF($U$3="Chunk Rent",1,2)),
     unit_details[Leased Date],"&gt;="&amp;($AM$2-X$5),
     unit_details[Leased Date],"&lt;"&amp;$AM$2,
     unit_details[Beds],$L50,
     unit_details[Baths],$M50,
     unit_details[Partial Baths],IF(ISNUMBER($N50),$N50,""),
     unit_details[Sqft],$P50,
     unit_details[Property Name],$F50)
 ),"")</f>
        <v/>
      </c>
      <c r="Z50" s="27" t="str">
        <f t="shared" si="11"/>
        <v/>
      </c>
      <c r="AA50" s="526">
        <f>IFERROR(
  IF($F50="Total",
    SUM(INDEX(AA:AA, ROW()-COUNTIF($F$6:INDEX($F:$F, ROW()-1), $F49)) : INDEX(AA:AA, ROW()-1)),
    COUNTIFS(
      unit_details[Leased Date], "&gt;="&amp;($AM$2-X$5),
      unit_details[Leased Date], "&lt;"&amp;$AM$2,
      unit_details[Beds], $L50,
      unit_details[Baths], $M50,
      unit_details[Partial Baths], IF(ISNUMBER($N50), $N50, ""),
      unit_details[Sqft],$P50,
      unit_details[Property Name], $F50
    )
  ),
"")</f>
        <v>0</v>
      </c>
      <c r="AB50" s="290">
        <f>IF($F50="Total",
SUM(INDEX(AB:AB, ROW()-COUNTIF($F$6:INDEX($F:$F, ROW()-1), $F49)) : INDEX(AB:AB, ROW()-1)),
COUNTIFS(unit_details[Active Listing?],TRUE,
          unit_details[Property Name], $F50,
          unit_details[Beds], $L50,
          unit_details[Baths], $M50,
          unit_details[Partial Baths],IF(ISNUMBER($N50),$N50,""),
          unit_details[Sqft],$P50))</f>
        <v>0</v>
      </c>
      <c r="AC50" s="27" t="str">
        <f t="shared" si="3"/>
        <v/>
      </c>
      <c r="AD50" s="293" t="str">
        <f>IFERROR(IF(AE50="","",IF($F50="Total",
SUMPRODUCT(
   INDEX(AD:AD, ROW()-COUNTIF($F$6:INDEX($F:$F, ROW()-1), $F49)) : INDEX(AD:AD, ROW()-1),
   INDEX(AB:AB, ROW()-COUNTIF($F$6:INDEX($F:$F, ROW()-1), $F49)) : INDEX(AB:AB, ROW()-1)
   )
   /SUM(INDEX(AB:AB, ROW()-COUNTIF($F$6:INDEX($F:$F, ROW()-1), $F49)) : INDEX(AB:AB, ROW()-1)),
          _xlfn.MINIFS(unit_details[Asking Rent],
          unit_details[Active Listing?],TRUE,
          unit_details[Property Name], $F50,
          unit_details[Beds], $L50,
          unit_details[Baths], $M50,
          unit_details[Partial Baths], IF(ISNUMBER($N50),$N50,""),
          unit_details[Sqft],$P50
))),"")</f>
        <v/>
      </c>
      <c r="AE50" s="5" t="str">
        <f>IFERROR(IF($F50="Total",
          SUMPRODUCT(
   INDEX(AE:AE, ROW()-COUNTIF($F$6:INDEX($F:$F, ROW()-1), $F49)) : INDEX(AE:AE, ROW()-1),
   INDEX(AB:AB, ROW()-COUNTIF($F$6:INDEX($F:$F, ROW()-1), $F49)) : INDEX(AB:AB, ROW()-1)
   )
   /SUM(INDEX(AB:AB, ROW()-COUNTIF($F$6:INDEX($F:$F, ROW()-1), $F49)) : INDEX(AB:AB, ROW()-1)),
          AVERAGEIFS(unit_details[Asking Rent],
          unit_details[Active Listing?],TRUE,
          unit_details[Property Name], $F50,
          unit_details[Beds], $L50,
          unit_details[Baths], $M50,
          unit_details[Partial Baths], IF(ISNUMBER($N50),$N50,""),
          unit_details[Sqft],$P50
)),"")</f>
        <v/>
      </c>
      <c r="AF50" s="5" t="str">
        <f>IFERROR(IF(AE50="","",IF($F50="Total",
SUMPRODUCT(
   INDEX(AF:AF, ROW()-COUNTIF($F$6:INDEX($F:$F, ROW()-1), $F49)) : INDEX(AF:AF, ROW()-1),
   INDEX(AB:AB, ROW()-COUNTIF($F$6:INDEX($F:$F, ROW()-1), $F49)) : INDEX(AB:AB, ROW()-1)
   )
   /SUM(INDEX(AB:AB, ROW()-COUNTIF($F$6:INDEX($F:$F, ROW()-1), $F49)) : INDEX(AB:AB, ROW()-1)),
           _xlfn.MAXIFS(unit_details[Asking Rent],
          unit_details[Active Listing?],TRUE,
          unit_details[Property Name], $F50,
          unit_details[Beds], $L50,
          unit_details[Baths], $M50,
          unit_details[Partial Baths], IF(ISNUMBER($N50),$N50,""),
          unit_details[Sqft],$P50
))),"")</f>
        <v/>
      </c>
      <c r="AG50" s="6" t="str">
        <f>IFERROR(IF($F50="Total",
         SUMPRODUCT(
         INDEX(AG:AG, ROW()-COUNTIF($F$6:INDEX($F:$F, ROW()-1), $F49)) : INDEX(AG:AG, ROW()-1),
         INDEX(AB:AB, ROW()-COUNTIF($F$6:INDEX($F:$F, ROW()-1), $F49)) : INDEX(AB:AB, ROW()-1)
         )
         /SUM(INDEX(AB:AB, ROW()-COUNTIF($F$6:INDEX($F:$F, ROW()-1), $F49)) : INDEX(AB:AB, ROW()-1)),
          AVERAGEIFS(unit_details[Asking PSF],
          unit_details[Active Listing?],TRUE,
          unit_details[Property Name], $F50,
          unit_details[Beds], $L50,
          unit_details[Baths], $M50,
          unit_details[Partial Baths], IF(ISNUMBER($N50),$N50,""),
          unit_details[Sqft],$P50
)),"")</f>
        <v/>
      </c>
      <c r="AH50" s="293" t="str">
        <f>IFERROR(IF($F50="Total",
         SUMPRODUCT(
         INDEX(AH:AH, ROW()-COUNTIF($F$6:INDEX($F:$F, ROW()-1), $F49)) : INDEX(AH:AH, ROW()-1),
         INDEX(AB:AB, ROW()-COUNTIF($F$6:INDEX($F:$F, ROW()-1), $F49)) : INDEX(AB:AB, ROW()-1)
         )
         /SUM(INDEX(AB:AB, ROW()-COUNTIF($F$6:INDEX($F:$F, ROW()-1), $F49)) : INDEX(AB:AB, ROW()-1)),
          AVERAGEIFS(unit_details[Effective Rent],
          unit_details[Active Listing?],TRUE,
          unit_details[Property Name], $F50,
          unit_details[Beds], $L50,
          unit_details[Baths], $M50,
          unit_details[Partial Baths], IF(ISNUMBER($N50),$N50,""),
          unit_details[Sqft],$P50
)),"")</f>
        <v/>
      </c>
      <c r="AI50" s="6" t="str">
        <f>IFERROR(IF($F50="Total",
         SUMPRODUCT(
         INDEX(AI:AI, ROW()-COUNTIF($F$6:INDEX($F:$F, ROW()-1), $F49)) : INDEX(AI:AI, ROW()-1),
         INDEX(AB:AB, ROW()-COUNTIF($F$6:INDEX($F:$F, ROW()-1), $F49)) : INDEX(AB:AB, ROW()-1)
         )
         /SUM(INDEX(AB:AB, ROW()-COUNTIF($F$6:INDEX($F:$F, ROW()-1), $F49)) : INDEX(AB:AB, ROW()-1)),
           AVERAGEIFS(unit_details[Effective PSF],
          unit_details[Active Listing?],TRUE,
          unit_details[Property Name], $F50,
          unit_details[Beds], $L50,
          unit_details[Baths], $M50,
          unit_details[Partial Baths], IF(ISNUMBER($N50),$N50,""),
          unit_details[Sqft],$P50
)),"")</f>
        <v/>
      </c>
      <c r="AJ50" s="824" t="str">
        <f t="shared" si="4"/>
        <v/>
      </c>
      <c r="AK50" s="531" t="str">
        <f t="shared" si="5"/>
        <v/>
      </c>
      <c r="AL50" s="714" t="str">
        <f t="shared" si="6"/>
        <v/>
      </c>
      <c r="AM50" s="531" t="str">
        <f t="shared" si="7"/>
        <v/>
      </c>
      <c r="AN50" s="716" t="str">
        <f t="shared" si="8"/>
        <v/>
      </c>
    </row>
    <row r="51" spans="6:40" x14ac:dyDescent="0.2">
      <c r="F51" s="1" t="str">
        <f t="shared" si="0"/>
        <v/>
      </c>
      <c r="G51" s="713" t="str">
        <f t="shared" si="9"/>
        <v/>
      </c>
      <c r="H51" s="17" t="str">
        <f>IFERROR(VLOOKUP($G51,Table1[[Property]:[Exposure %]],4,0),"")</f>
        <v/>
      </c>
      <c r="I51" s="3" t="str">
        <f>IFERROR(VLOOKUP($G51,Table1[[Property]:[Exposure %]],6,0),"")</f>
        <v/>
      </c>
      <c r="J51" s="3" t="str">
        <f>IFERROR(VLOOKUP($G51,Table1[[Property]:[Exposure %]],7,0),"")</f>
        <v/>
      </c>
      <c r="K51"/>
      <c r="L51"/>
      <c r="M51"/>
      <c r="N51"/>
      <c r="O51"/>
      <c r="P51"/>
      <c r="Q51"/>
      <c r="R51" s="4" t="str">
        <f>IFERROR(VLOOKUP(IF(F51="Total",F50,F51),Table1[[Property]:['# Units]],7,0)*S51,"")</f>
        <v/>
      </c>
      <c r="S51" s="27" t="str">
        <f t="shared" si="2"/>
        <v/>
      </c>
      <c r="T51" s="531" t="str">
        <f>IFERROR(
 IF($F51="Total",
   SUMPRODUCT(
   INDEX(T:T, ROW()-COUNTIF($F$6:INDEX($F:$F, ROW()-1), $F50)) : INDEX(T:T, ROW()-1),
   INDEX(W:W, ROW()-COUNTIF($F$6:INDEX($F:$F, ROW()-1), $F50)) : INDEX(W:W, ROW()-1)
   )
   /SUM(INDEX(W:W, ROW()-COUNTIF($F$6:INDEX($F:$F, ROW()-1), $F50)) : INDEX(W:W, ROW()-1)),
   AVERAGEIFS(
     INDEX((unit_details[Asking Rent],unit_details[Asking PSF]),0,1,IF($U$3="Chunk Rent",1,2)),
     unit_details[Leased Date],"&gt;="&amp;($AM$2-T$5),
     unit_details[Leased Date],"&lt;"&amp;$AM$2,
     unit_details[Beds],$L51,
     unit_details[Baths],$M51,
     unit_details[Partial Baths],IF(ISNUMBER($N51),$N51,""),
     unit_details[Sqft],$P51,
     unit_details[Property Name],$F51)
 ),"")</f>
        <v/>
      </c>
      <c r="U51" s="552" t="str">
        <f>IFERROR(
 IF($F51="Total",
   SUMPRODUCT(
   INDEX(U:U, ROW()-COUNTIF($F$6:INDEX($F:$F, ROW()-1), $F50)) : INDEX(U:U, ROW()-1),
   INDEX(W:W, ROW()-COUNTIF($F$6:INDEX($F:$F, ROW()-1), $F50)) : INDEX(W:W, ROW()-1)
   )
   /SUM(INDEX(W:W, ROW()-COUNTIF($F$6:INDEX($F:$F, ROW()-1), $F50)) : INDEX(W:W, ROW()-1)),
   AVERAGEIFS(
     INDEX((unit_details[Effective Rent],unit_details[Effective PSF]),0,1,IF($U$3="Chunk Rent",1,2)),
     unit_details[Leased Date],"&gt;="&amp;($AM$2-T$5),
     unit_details[Leased Date],"&lt;"&amp;$AM$2,
     unit_details[Beds],$L51,
     unit_details[Baths],$M51,
     unit_details[Partial Baths],IF(ISNUMBER($N51),$N51,""),
     unit_details[Sqft],$P51,
     unit_details[Property Name],$F51)
 ),"")</f>
        <v/>
      </c>
      <c r="V51" s="27" t="str">
        <f t="shared" si="10"/>
        <v/>
      </c>
      <c r="W51" s="526">
        <f>IFERROR(
  IF($F51="Total",
    SUM(INDEX(W:W, ROW()-COUNTIF($F$6:INDEX($F:$F, ROW()-1), $F50)) : INDEX(W:W, ROW()-1)),
    COUNTIFS(
      unit_details[Leased Date], "&gt;="&amp;($AM$2-T$5),
      unit_details[Leased Date], "&lt;"&amp;$AM$2,
      unit_details[Beds], $L51,
      unit_details[Baths], $M51,
      unit_details[Partial Baths], IF(ISNUMBER($N51), $N51, ""),
      unit_details[Sqft],$P51,
      unit_details[Property Name], $F51
    )
  ),
"")</f>
        <v>0</v>
      </c>
      <c r="X51" s="531" t="str">
        <f>IFERROR(
 IF($F51="Total",
   SUMPRODUCT(
   INDEX(X:X, ROW()-COUNTIF($F$6:INDEX($F:$F, ROW()-1), $F50)) : INDEX(X:X, ROW()-1),
   INDEX(AA:AA, ROW()-COUNTIF($F$6:INDEX($F:$F, ROW()-1), $F50)) : INDEX(AA:AA, ROW()-1)
   )
   /SUM(INDEX(AA:AA, ROW()-COUNTIF($F$6:INDEX($F:$F, ROW()-1), $F50)) : INDEX(AA:AA, ROW()-1)),
   AVERAGEIFS(
     INDEX((unit_details[Asking Rent],unit_details[Asking PSF]),0,1,IF($U$3="Chunk Rent",1,2)),
     unit_details[Leased Date],"&gt;="&amp;($AM$2-X$5),
     unit_details[Leased Date],"&lt;"&amp;$AM$2,
     unit_details[Beds],$L51,
     unit_details[Baths],$M51,
     unit_details[Partial Baths],IF(ISNUMBER($N51),$N51,""),
     unit_details[Sqft],$P51,
     unit_details[Property Name],$F51)
 ),"")</f>
        <v/>
      </c>
      <c r="Y51" s="552" t="str">
        <f>IFERROR(
 IF($F51="Total",
   SUMPRODUCT(
   INDEX(Y:Y, ROW()-COUNTIF($F$6:INDEX($F:$F, ROW()-1), $F50)) : INDEX(Y:Y, ROW()-1),
   INDEX(AA:AA, ROW()-COUNTIF($F$6:INDEX($F:$F, ROW()-1), $F50)) : INDEX(AA:AA, ROW()-1)
   )
   /SUM(INDEX(AA:AA, ROW()-COUNTIF($F$6:INDEX($F:$F, ROW()-1), $F50)) : INDEX(AA:AA, ROW()-1)),
   AVERAGEIFS(
     INDEX((unit_details[Effective Rent],unit_details[Effective PSF]),0,1,IF($U$3="Chunk Rent",1,2)),
     unit_details[Leased Date],"&gt;="&amp;($AM$2-X$5),
     unit_details[Leased Date],"&lt;"&amp;$AM$2,
     unit_details[Beds],$L51,
     unit_details[Baths],$M51,
     unit_details[Partial Baths],IF(ISNUMBER($N51),$N51,""),
     unit_details[Sqft],$P51,
     unit_details[Property Name],$F51)
 ),"")</f>
        <v/>
      </c>
      <c r="Z51" s="27" t="str">
        <f t="shared" si="11"/>
        <v/>
      </c>
      <c r="AA51" s="526">
        <f>IFERROR(
  IF($F51="Total",
    SUM(INDEX(AA:AA, ROW()-COUNTIF($F$6:INDEX($F:$F, ROW()-1), $F50)) : INDEX(AA:AA, ROW()-1)),
    COUNTIFS(
      unit_details[Leased Date], "&gt;="&amp;($AM$2-X$5),
      unit_details[Leased Date], "&lt;"&amp;$AM$2,
      unit_details[Beds], $L51,
      unit_details[Baths], $M51,
      unit_details[Partial Baths], IF(ISNUMBER($N51), $N51, ""),
      unit_details[Sqft],$P51,
      unit_details[Property Name], $F51
    )
  ),
"")</f>
        <v>0</v>
      </c>
      <c r="AB51" s="290">
        <f>IF($F51="Total",
SUM(INDEX(AB:AB, ROW()-COUNTIF($F$6:INDEX($F:$F, ROW()-1), $F50)) : INDEX(AB:AB, ROW()-1)),
COUNTIFS(unit_details[Active Listing?],TRUE,
          unit_details[Property Name], $F51,
          unit_details[Beds], $L51,
          unit_details[Baths], $M51,
          unit_details[Partial Baths],IF(ISNUMBER($N51),$N51,""),
          unit_details[Sqft],$P51))</f>
        <v>0</v>
      </c>
      <c r="AC51" s="27" t="str">
        <f t="shared" si="3"/>
        <v/>
      </c>
      <c r="AD51" s="293" t="str">
        <f>IFERROR(IF(AE51="","",IF($F51="Total",
SUMPRODUCT(
   INDEX(AD:AD, ROW()-COUNTIF($F$6:INDEX($F:$F, ROW()-1), $F50)) : INDEX(AD:AD, ROW()-1),
   INDEX(AB:AB, ROW()-COUNTIF($F$6:INDEX($F:$F, ROW()-1), $F50)) : INDEX(AB:AB, ROW()-1)
   )
   /SUM(INDEX(AB:AB, ROW()-COUNTIF($F$6:INDEX($F:$F, ROW()-1), $F50)) : INDEX(AB:AB, ROW()-1)),
          _xlfn.MINIFS(unit_details[Asking Rent],
          unit_details[Active Listing?],TRUE,
          unit_details[Property Name], $F51,
          unit_details[Beds], $L51,
          unit_details[Baths], $M51,
          unit_details[Partial Baths], IF(ISNUMBER($N51),$N51,""),
          unit_details[Sqft],$P51
))),"")</f>
        <v/>
      </c>
      <c r="AE51" s="5" t="str">
        <f>IFERROR(IF($F51="Total",
          SUMPRODUCT(
   INDEX(AE:AE, ROW()-COUNTIF($F$6:INDEX($F:$F, ROW()-1), $F50)) : INDEX(AE:AE, ROW()-1),
   INDEX(AB:AB, ROW()-COUNTIF($F$6:INDEX($F:$F, ROW()-1), $F50)) : INDEX(AB:AB, ROW()-1)
   )
   /SUM(INDEX(AB:AB, ROW()-COUNTIF($F$6:INDEX($F:$F, ROW()-1), $F50)) : INDEX(AB:AB, ROW()-1)),
          AVERAGEIFS(unit_details[Asking Rent],
          unit_details[Active Listing?],TRUE,
          unit_details[Property Name], $F51,
          unit_details[Beds], $L51,
          unit_details[Baths], $M51,
          unit_details[Partial Baths], IF(ISNUMBER($N51),$N51,""),
          unit_details[Sqft],$P51
)),"")</f>
        <v/>
      </c>
      <c r="AF51" s="5" t="str">
        <f>IFERROR(IF(AE51="","",IF($F51="Total",
SUMPRODUCT(
   INDEX(AF:AF, ROW()-COUNTIF($F$6:INDEX($F:$F, ROW()-1), $F50)) : INDEX(AF:AF, ROW()-1),
   INDEX(AB:AB, ROW()-COUNTIF($F$6:INDEX($F:$F, ROW()-1), $F50)) : INDEX(AB:AB, ROW()-1)
   )
   /SUM(INDEX(AB:AB, ROW()-COUNTIF($F$6:INDEX($F:$F, ROW()-1), $F50)) : INDEX(AB:AB, ROW()-1)),
           _xlfn.MAXIFS(unit_details[Asking Rent],
          unit_details[Active Listing?],TRUE,
          unit_details[Property Name], $F51,
          unit_details[Beds], $L51,
          unit_details[Baths], $M51,
          unit_details[Partial Baths], IF(ISNUMBER($N51),$N51,""),
          unit_details[Sqft],$P51
))),"")</f>
        <v/>
      </c>
      <c r="AG51" s="6" t="str">
        <f>IFERROR(IF($F51="Total",
         SUMPRODUCT(
         INDEX(AG:AG, ROW()-COUNTIF($F$6:INDEX($F:$F, ROW()-1), $F50)) : INDEX(AG:AG, ROW()-1),
         INDEX(AB:AB, ROW()-COUNTIF($F$6:INDEX($F:$F, ROW()-1), $F50)) : INDEX(AB:AB, ROW()-1)
         )
         /SUM(INDEX(AB:AB, ROW()-COUNTIF($F$6:INDEX($F:$F, ROW()-1), $F50)) : INDEX(AB:AB, ROW()-1)),
          AVERAGEIFS(unit_details[Asking PSF],
          unit_details[Active Listing?],TRUE,
          unit_details[Property Name], $F51,
          unit_details[Beds], $L51,
          unit_details[Baths], $M51,
          unit_details[Partial Baths], IF(ISNUMBER($N51),$N51,""),
          unit_details[Sqft],$P51
)),"")</f>
        <v/>
      </c>
      <c r="AH51" s="293" t="str">
        <f>IFERROR(IF($F51="Total",
         SUMPRODUCT(
         INDEX(AH:AH, ROW()-COUNTIF($F$6:INDEX($F:$F, ROW()-1), $F50)) : INDEX(AH:AH, ROW()-1),
         INDEX(AB:AB, ROW()-COUNTIF($F$6:INDEX($F:$F, ROW()-1), $F50)) : INDEX(AB:AB, ROW()-1)
         )
         /SUM(INDEX(AB:AB, ROW()-COUNTIF($F$6:INDEX($F:$F, ROW()-1), $F50)) : INDEX(AB:AB, ROW()-1)),
          AVERAGEIFS(unit_details[Effective Rent],
          unit_details[Active Listing?],TRUE,
          unit_details[Property Name], $F51,
          unit_details[Beds], $L51,
          unit_details[Baths], $M51,
          unit_details[Partial Baths], IF(ISNUMBER($N51),$N51,""),
          unit_details[Sqft],$P51
)),"")</f>
        <v/>
      </c>
      <c r="AI51" s="6" t="str">
        <f>IFERROR(IF($F51="Total",
         SUMPRODUCT(
         INDEX(AI:AI, ROW()-COUNTIF($F$6:INDEX($F:$F, ROW()-1), $F50)) : INDEX(AI:AI, ROW()-1),
         INDEX(AB:AB, ROW()-COUNTIF($F$6:INDEX($F:$F, ROW()-1), $F50)) : INDEX(AB:AB, ROW()-1)
         )
         /SUM(INDEX(AB:AB, ROW()-COUNTIF($F$6:INDEX($F:$F, ROW()-1), $F50)) : INDEX(AB:AB, ROW()-1)),
           AVERAGEIFS(unit_details[Effective PSF],
          unit_details[Active Listing?],TRUE,
          unit_details[Property Name], $F51,
          unit_details[Beds], $L51,
          unit_details[Baths], $M51,
          unit_details[Partial Baths], IF(ISNUMBER($N51),$N51,""),
          unit_details[Sqft],$P51
)),"")</f>
        <v/>
      </c>
      <c r="AJ51" s="824" t="str">
        <f t="shared" si="4"/>
        <v/>
      </c>
      <c r="AK51" s="531" t="str">
        <f t="shared" si="5"/>
        <v/>
      </c>
      <c r="AL51" s="714" t="str">
        <f t="shared" si="6"/>
        <v/>
      </c>
      <c r="AM51" s="531" t="str">
        <f t="shared" si="7"/>
        <v/>
      </c>
      <c r="AN51" s="716" t="str">
        <f t="shared" si="8"/>
        <v/>
      </c>
    </row>
    <row r="52" spans="6:40" x14ac:dyDescent="0.2">
      <c r="F52" s="1" t="str">
        <f t="shared" si="0"/>
        <v/>
      </c>
      <c r="G52" s="713" t="str">
        <f t="shared" si="9"/>
        <v/>
      </c>
      <c r="H52" s="17" t="str">
        <f>IFERROR(VLOOKUP($G52,Table1[[Property]:[Exposure %]],4,0),"")</f>
        <v/>
      </c>
      <c r="I52" s="3" t="str">
        <f>IFERROR(VLOOKUP($G52,Table1[[Property]:[Exposure %]],6,0),"")</f>
        <v/>
      </c>
      <c r="J52" s="3" t="str">
        <f>IFERROR(VLOOKUP($G52,Table1[[Property]:[Exposure %]],7,0),"")</f>
        <v/>
      </c>
      <c r="K52"/>
      <c r="L52"/>
      <c r="M52"/>
      <c r="N52"/>
      <c r="O52"/>
      <c r="P52"/>
      <c r="Q52"/>
      <c r="R52" s="4" t="str">
        <f>IFERROR(VLOOKUP(IF(F52="Total",F51,F52),Table1[[Property]:['# Units]],7,0)*S52,"")</f>
        <v/>
      </c>
      <c r="S52" s="27" t="str">
        <f t="shared" si="2"/>
        <v/>
      </c>
      <c r="T52" s="531" t="str">
        <f>IFERROR(
 IF($F52="Total",
   SUMPRODUCT(
   INDEX(T:T, ROW()-COUNTIF($F$6:INDEX($F:$F, ROW()-1), $F51)) : INDEX(T:T, ROW()-1),
   INDEX(W:W, ROW()-COUNTIF($F$6:INDEX($F:$F, ROW()-1), $F51)) : INDEX(W:W, ROW()-1)
   )
   /SUM(INDEX(W:W, ROW()-COUNTIF($F$6:INDEX($F:$F, ROW()-1), $F51)) : INDEX(W:W, ROW()-1)),
   AVERAGEIFS(
     INDEX((unit_details[Asking Rent],unit_details[Asking PSF]),0,1,IF($U$3="Chunk Rent",1,2)),
     unit_details[Leased Date],"&gt;="&amp;($AM$2-T$5),
     unit_details[Leased Date],"&lt;"&amp;$AM$2,
     unit_details[Beds],$L52,
     unit_details[Baths],$M52,
     unit_details[Partial Baths],IF(ISNUMBER($N52),$N52,""),
     unit_details[Sqft],$P52,
     unit_details[Property Name],$F52)
 ),"")</f>
        <v/>
      </c>
      <c r="U52" s="552" t="str">
        <f>IFERROR(
 IF($F52="Total",
   SUMPRODUCT(
   INDEX(U:U, ROW()-COUNTIF($F$6:INDEX($F:$F, ROW()-1), $F51)) : INDEX(U:U, ROW()-1),
   INDEX(W:W, ROW()-COUNTIF($F$6:INDEX($F:$F, ROW()-1), $F51)) : INDEX(W:W, ROW()-1)
   )
   /SUM(INDEX(W:W, ROW()-COUNTIF($F$6:INDEX($F:$F, ROW()-1), $F51)) : INDEX(W:W, ROW()-1)),
   AVERAGEIFS(
     INDEX((unit_details[Effective Rent],unit_details[Effective PSF]),0,1,IF($U$3="Chunk Rent",1,2)),
     unit_details[Leased Date],"&gt;="&amp;($AM$2-T$5),
     unit_details[Leased Date],"&lt;"&amp;$AM$2,
     unit_details[Beds],$L52,
     unit_details[Baths],$M52,
     unit_details[Partial Baths],IF(ISNUMBER($N52),$N52,""),
     unit_details[Sqft],$P52,
     unit_details[Property Name],$F52)
 ),"")</f>
        <v/>
      </c>
      <c r="V52" s="27" t="str">
        <f t="shared" si="10"/>
        <v/>
      </c>
      <c r="W52" s="526">
        <f>IFERROR(
  IF($F52="Total",
    SUM(INDEX(W:W, ROW()-COUNTIF($F$6:INDEX($F:$F, ROW()-1), $F51)) : INDEX(W:W, ROW()-1)),
    COUNTIFS(
      unit_details[Leased Date], "&gt;="&amp;($AM$2-T$5),
      unit_details[Leased Date], "&lt;"&amp;$AM$2,
      unit_details[Beds], $L52,
      unit_details[Baths], $M52,
      unit_details[Partial Baths], IF(ISNUMBER($N52), $N52, ""),
      unit_details[Sqft],$P52,
      unit_details[Property Name], $F52
    )
  ),
"")</f>
        <v>0</v>
      </c>
      <c r="X52" s="531" t="str">
        <f>IFERROR(
 IF($F52="Total",
   SUMPRODUCT(
   INDEX(X:X, ROW()-COUNTIF($F$6:INDEX($F:$F, ROW()-1), $F51)) : INDEX(X:X, ROW()-1),
   INDEX(AA:AA, ROW()-COUNTIF($F$6:INDEX($F:$F, ROW()-1), $F51)) : INDEX(AA:AA, ROW()-1)
   )
   /SUM(INDEX(AA:AA, ROW()-COUNTIF($F$6:INDEX($F:$F, ROW()-1), $F51)) : INDEX(AA:AA, ROW()-1)),
   AVERAGEIFS(
     INDEX((unit_details[Asking Rent],unit_details[Asking PSF]),0,1,IF($U$3="Chunk Rent",1,2)),
     unit_details[Leased Date],"&gt;="&amp;($AM$2-X$5),
     unit_details[Leased Date],"&lt;"&amp;$AM$2,
     unit_details[Beds],$L52,
     unit_details[Baths],$M52,
     unit_details[Partial Baths],IF(ISNUMBER($N52),$N52,""),
     unit_details[Sqft],$P52,
     unit_details[Property Name],$F52)
 ),"")</f>
        <v/>
      </c>
      <c r="Y52" s="552" t="str">
        <f>IFERROR(
 IF($F52="Total",
   SUMPRODUCT(
   INDEX(Y:Y, ROW()-COUNTIF($F$6:INDEX($F:$F, ROW()-1), $F51)) : INDEX(Y:Y, ROW()-1),
   INDEX(AA:AA, ROW()-COUNTIF($F$6:INDEX($F:$F, ROW()-1), $F51)) : INDEX(AA:AA, ROW()-1)
   )
   /SUM(INDEX(AA:AA, ROW()-COUNTIF($F$6:INDEX($F:$F, ROW()-1), $F51)) : INDEX(AA:AA, ROW()-1)),
   AVERAGEIFS(
     INDEX((unit_details[Effective Rent],unit_details[Effective PSF]),0,1,IF($U$3="Chunk Rent",1,2)),
     unit_details[Leased Date],"&gt;="&amp;($AM$2-X$5),
     unit_details[Leased Date],"&lt;"&amp;$AM$2,
     unit_details[Beds],$L52,
     unit_details[Baths],$M52,
     unit_details[Partial Baths],IF(ISNUMBER($N52),$N52,""),
     unit_details[Sqft],$P52,
     unit_details[Property Name],$F52)
 ),"")</f>
        <v/>
      </c>
      <c r="Z52" s="27" t="str">
        <f t="shared" si="11"/>
        <v/>
      </c>
      <c r="AA52" s="526">
        <f>IFERROR(
  IF($F52="Total",
    SUM(INDEX(AA:AA, ROW()-COUNTIF($F$6:INDEX($F:$F, ROW()-1), $F51)) : INDEX(AA:AA, ROW()-1)),
    COUNTIFS(
      unit_details[Leased Date], "&gt;="&amp;($AM$2-X$5),
      unit_details[Leased Date], "&lt;"&amp;$AM$2,
      unit_details[Beds], $L52,
      unit_details[Baths], $M52,
      unit_details[Partial Baths], IF(ISNUMBER($N52), $N52, ""),
      unit_details[Sqft],$P52,
      unit_details[Property Name], $F52
    )
  ),
"")</f>
        <v>0</v>
      </c>
      <c r="AB52" s="290">
        <f>IF($F52="Total",
SUM(INDEX(AB:AB, ROW()-COUNTIF($F$6:INDEX($F:$F, ROW()-1), $F51)) : INDEX(AB:AB, ROW()-1)),
COUNTIFS(unit_details[Active Listing?],TRUE,
          unit_details[Property Name], $F52,
          unit_details[Beds], $L52,
          unit_details[Baths], $M52,
          unit_details[Partial Baths],IF(ISNUMBER($N52),$N52,""),
          unit_details[Sqft],$P52))</f>
        <v>0</v>
      </c>
      <c r="AC52" s="27" t="str">
        <f t="shared" si="3"/>
        <v/>
      </c>
      <c r="AD52" s="293" t="str">
        <f>IFERROR(IF(AE52="","",IF($F52="Total",
SUMPRODUCT(
   INDEX(AD:AD, ROW()-COUNTIF($F$6:INDEX($F:$F, ROW()-1), $F51)) : INDEX(AD:AD, ROW()-1),
   INDEX(AB:AB, ROW()-COUNTIF($F$6:INDEX($F:$F, ROW()-1), $F51)) : INDEX(AB:AB, ROW()-1)
   )
   /SUM(INDEX(AB:AB, ROW()-COUNTIF($F$6:INDEX($F:$F, ROW()-1), $F51)) : INDEX(AB:AB, ROW()-1)),
          _xlfn.MINIFS(unit_details[Asking Rent],
          unit_details[Active Listing?],TRUE,
          unit_details[Property Name], $F52,
          unit_details[Beds], $L52,
          unit_details[Baths], $M52,
          unit_details[Partial Baths], IF(ISNUMBER($N52),$N52,""),
          unit_details[Sqft],$P52
))),"")</f>
        <v/>
      </c>
      <c r="AE52" s="5" t="str">
        <f>IFERROR(IF($F52="Total",
          SUMPRODUCT(
   INDEX(AE:AE, ROW()-COUNTIF($F$6:INDEX($F:$F, ROW()-1), $F51)) : INDEX(AE:AE, ROW()-1),
   INDEX(AB:AB, ROW()-COUNTIF($F$6:INDEX($F:$F, ROW()-1), $F51)) : INDEX(AB:AB, ROW()-1)
   )
   /SUM(INDEX(AB:AB, ROW()-COUNTIF($F$6:INDEX($F:$F, ROW()-1), $F51)) : INDEX(AB:AB, ROW()-1)),
          AVERAGEIFS(unit_details[Asking Rent],
          unit_details[Active Listing?],TRUE,
          unit_details[Property Name], $F52,
          unit_details[Beds], $L52,
          unit_details[Baths], $M52,
          unit_details[Partial Baths], IF(ISNUMBER($N52),$N52,""),
          unit_details[Sqft],$P52
)),"")</f>
        <v/>
      </c>
      <c r="AF52" s="5" t="str">
        <f>IFERROR(IF(AE52="","",IF($F52="Total",
SUMPRODUCT(
   INDEX(AF:AF, ROW()-COUNTIF($F$6:INDEX($F:$F, ROW()-1), $F51)) : INDEX(AF:AF, ROW()-1),
   INDEX(AB:AB, ROW()-COUNTIF($F$6:INDEX($F:$F, ROW()-1), $F51)) : INDEX(AB:AB, ROW()-1)
   )
   /SUM(INDEX(AB:AB, ROW()-COUNTIF($F$6:INDEX($F:$F, ROW()-1), $F51)) : INDEX(AB:AB, ROW()-1)),
           _xlfn.MAXIFS(unit_details[Asking Rent],
          unit_details[Active Listing?],TRUE,
          unit_details[Property Name], $F52,
          unit_details[Beds], $L52,
          unit_details[Baths], $M52,
          unit_details[Partial Baths], IF(ISNUMBER($N52),$N52,""),
          unit_details[Sqft],$P52
))),"")</f>
        <v/>
      </c>
      <c r="AG52" s="6" t="str">
        <f>IFERROR(IF($F52="Total",
         SUMPRODUCT(
         INDEX(AG:AG, ROW()-COUNTIF($F$6:INDEX($F:$F, ROW()-1), $F51)) : INDEX(AG:AG, ROW()-1),
         INDEX(AB:AB, ROW()-COUNTIF($F$6:INDEX($F:$F, ROW()-1), $F51)) : INDEX(AB:AB, ROW()-1)
         )
         /SUM(INDEX(AB:AB, ROW()-COUNTIF($F$6:INDEX($F:$F, ROW()-1), $F51)) : INDEX(AB:AB, ROW()-1)),
          AVERAGEIFS(unit_details[Asking PSF],
          unit_details[Active Listing?],TRUE,
          unit_details[Property Name], $F52,
          unit_details[Beds], $L52,
          unit_details[Baths], $M52,
          unit_details[Partial Baths], IF(ISNUMBER($N52),$N52,""),
          unit_details[Sqft],$P52
)),"")</f>
        <v/>
      </c>
      <c r="AH52" s="293" t="str">
        <f>IFERROR(IF($F52="Total",
         SUMPRODUCT(
         INDEX(AH:AH, ROW()-COUNTIF($F$6:INDEX($F:$F, ROW()-1), $F51)) : INDEX(AH:AH, ROW()-1),
         INDEX(AB:AB, ROW()-COUNTIF($F$6:INDEX($F:$F, ROW()-1), $F51)) : INDEX(AB:AB, ROW()-1)
         )
         /SUM(INDEX(AB:AB, ROW()-COUNTIF($F$6:INDEX($F:$F, ROW()-1), $F51)) : INDEX(AB:AB, ROW()-1)),
          AVERAGEIFS(unit_details[Effective Rent],
          unit_details[Active Listing?],TRUE,
          unit_details[Property Name], $F52,
          unit_details[Beds], $L52,
          unit_details[Baths], $M52,
          unit_details[Partial Baths], IF(ISNUMBER($N52),$N52,""),
          unit_details[Sqft],$P52
)),"")</f>
        <v/>
      </c>
      <c r="AI52" s="6" t="str">
        <f>IFERROR(IF($F52="Total",
         SUMPRODUCT(
         INDEX(AI:AI, ROW()-COUNTIF($F$6:INDEX($F:$F, ROW()-1), $F51)) : INDEX(AI:AI, ROW()-1),
         INDEX(AB:AB, ROW()-COUNTIF($F$6:INDEX($F:$F, ROW()-1), $F51)) : INDEX(AB:AB, ROW()-1)
         )
         /SUM(INDEX(AB:AB, ROW()-COUNTIF($F$6:INDEX($F:$F, ROW()-1), $F51)) : INDEX(AB:AB, ROW()-1)),
           AVERAGEIFS(unit_details[Effective PSF],
          unit_details[Active Listing?],TRUE,
          unit_details[Property Name], $F52,
          unit_details[Beds], $L52,
          unit_details[Baths], $M52,
          unit_details[Partial Baths], IF(ISNUMBER($N52),$N52,""),
          unit_details[Sqft],$P52
)),"")</f>
        <v/>
      </c>
      <c r="AJ52" s="824" t="str">
        <f t="shared" si="4"/>
        <v/>
      </c>
      <c r="AK52" s="531" t="str">
        <f t="shared" si="5"/>
        <v/>
      </c>
      <c r="AL52" s="714" t="str">
        <f t="shared" si="6"/>
        <v/>
      </c>
      <c r="AM52" s="531" t="str">
        <f t="shared" si="7"/>
        <v/>
      </c>
      <c r="AN52" s="716" t="str">
        <f t="shared" si="8"/>
        <v/>
      </c>
    </row>
    <row r="53" spans="6:40" x14ac:dyDescent="0.2">
      <c r="F53" s="1" t="str">
        <f t="shared" si="0"/>
        <v/>
      </c>
      <c r="G53" s="713" t="str">
        <f t="shared" si="9"/>
        <v/>
      </c>
      <c r="H53" s="17" t="str">
        <f>IFERROR(VLOOKUP($G53,Table1[[Property]:[Exposure %]],4,0),"")</f>
        <v/>
      </c>
      <c r="I53" s="3" t="str">
        <f>IFERROR(VLOOKUP($G53,Table1[[Property]:[Exposure %]],6,0),"")</f>
        <v/>
      </c>
      <c r="J53" s="3" t="str">
        <f>IFERROR(VLOOKUP($G53,Table1[[Property]:[Exposure %]],7,0),"")</f>
        <v/>
      </c>
      <c r="K53"/>
      <c r="L53"/>
      <c r="M53"/>
      <c r="N53"/>
      <c r="O53"/>
      <c r="P53"/>
      <c r="Q53"/>
      <c r="R53" s="4" t="str">
        <f>IFERROR(VLOOKUP(IF(F53="Total",F52,F53),Table1[[Property]:['# Units]],7,0)*S53,"")</f>
        <v/>
      </c>
      <c r="S53" s="27" t="str">
        <f t="shared" si="2"/>
        <v/>
      </c>
      <c r="T53" s="531" t="str">
        <f>IFERROR(
 IF($F53="Total",
   SUMPRODUCT(
   INDEX(T:T, ROW()-COUNTIF($F$6:INDEX($F:$F, ROW()-1), $F52)) : INDEX(T:T, ROW()-1),
   INDEX(W:W, ROW()-COUNTIF($F$6:INDEX($F:$F, ROW()-1), $F52)) : INDEX(W:W, ROW()-1)
   )
   /SUM(INDEX(W:W, ROW()-COUNTIF($F$6:INDEX($F:$F, ROW()-1), $F52)) : INDEX(W:W, ROW()-1)),
   AVERAGEIFS(
     INDEX((unit_details[Asking Rent],unit_details[Asking PSF]),0,1,IF($U$3="Chunk Rent",1,2)),
     unit_details[Leased Date],"&gt;="&amp;($AM$2-T$5),
     unit_details[Leased Date],"&lt;"&amp;$AM$2,
     unit_details[Beds],$L53,
     unit_details[Baths],$M53,
     unit_details[Partial Baths],IF(ISNUMBER($N53),$N53,""),
     unit_details[Sqft],$P53,
     unit_details[Property Name],$F53)
 ),"")</f>
        <v/>
      </c>
      <c r="U53" s="552" t="str">
        <f>IFERROR(
 IF($F53="Total",
   SUMPRODUCT(
   INDEX(U:U, ROW()-COUNTIF($F$6:INDEX($F:$F, ROW()-1), $F52)) : INDEX(U:U, ROW()-1),
   INDEX(W:W, ROW()-COUNTIF($F$6:INDEX($F:$F, ROW()-1), $F52)) : INDEX(W:W, ROW()-1)
   )
   /SUM(INDEX(W:W, ROW()-COUNTIF($F$6:INDEX($F:$F, ROW()-1), $F52)) : INDEX(W:W, ROW()-1)),
   AVERAGEIFS(
     INDEX((unit_details[Effective Rent],unit_details[Effective PSF]),0,1,IF($U$3="Chunk Rent",1,2)),
     unit_details[Leased Date],"&gt;="&amp;($AM$2-T$5),
     unit_details[Leased Date],"&lt;"&amp;$AM$2,
     unit_details[Beds],$L53,
     unit_details[Baths],$M53,
     unit_details[Partial Baths],IF(ISNUMBER($N53),$N53,""),
     unit_details[Sqft],$P53,
     unit_details[Property Name],$F53)
 ),"")</f>
        <v/>
      </c>
      <c r="V53" s="27" t="str">
        <f t="shared" si="10"/>
        <v/>
      </c>
      <c r="W53" s="526">
        <f>IFERROR(
  IF($F53="Total",
    SUM(INDEX(W:W, ROW()-COUNTIF($F$6:INDEX($F:$F, ROW()-1), $F52)) : INDEX(W:W, ROW()-1)),
    COUNTIFS(
      unit_details[Leased Date], "&gt;="&amp;($AM$2-T$5),
      unit_details[Leased Date], "&lt;"&amp;$AM$2,
      unit_details[Beds], $L53,
      unit_details[Baths], $M53,
      unit_details[Partial Baths], IF(ISNUMBER($N53), $N53, ""),
      unit_details[Sqft],$P53,
      unit_details[Property Name], $F53
    )
  ),
"")</f>
        <v>0</v>
      </c>
      <c r="X53" s="531" t="str">
        <f>IFERROR(
 IF($F53="Total",
   SUMPRODUCT(
   INDEX(X:X, ROW()-COUNTIF($F$6:INDEX($F:$F, ROW()-1), $F52)) : INDEX(X:X, ROW()-1),
   INDEX(AA:AA, ROW()-COUNTIF($F$6:INDEX($F:$F, ROW()-1), $F52)) : INDEX(AA:AA, ROW()-1)
   )
   /SUM(INDEX(AA:AA, ROW()-COUNTIF($F$6:INDEX($F:$F, ROW()-1), $F52)) : INDEX(AA:AA, ROW()-1)),
   AVERAGEIFS(
     INDEX((unit_details[Asking Rent],unit_details[Asking PSF]),0,1,IF($U$3="Chunk Rent",1,2)),
     unit_details[Leased Date],"&gt;="&amp;($AM$2-X$5),
     unit_details[Leased Date],"&lt;"&amp;$AM$2,
     unit_details[Beds],$L53,
     unit_details[Baths],$M53,
     unit_details[Partial Baths],IF(ISNUMBER($N53),$N53,""),
     unit_details[Sqft],$P53,
     unit_details[Property Name],$F53)
 ),"")</f>
        <v/>
      </c>
      <c r="Y53" s="552" t="str">
        <f>IFERROR(
 IF($F53="Total",
   SUMPRODUCT(
   INDEX(Y:Y, ROW()-COUNTIF($F$6:INDEX($F:$F, ROW()-1), $F52)) : INDEX(Y:Y, ROW()-1),
   INDEX(AA:AA, ROW()-COUNTIF($F$6:INDEX($F:$F, ROW()-1), $F52)) : INDEX(AA:AA, ROW()-1)
   )
   /SUM(INDEX(AA:AA, ROW()-COUNTIF($F$6:INDEX($F:$F, ROW()-1), $F52)) : INDEX(AA:AA, ROW()-1)),
   AVERAGEIFS(
     INDEX((unit_details[Effective Rent],unit_details[Effective PSF]),0,1,IF($U$3="Chunk Rent",1,2)),
     unit_details[Leased Date],"&gt;="&amp;($AM$2-X$5),
     unit_details[Leased Date],"&lt;"&amp;$AM$2,
     unit_details[Beds],$L53,
     unit_details[Baths],$M53,
     unit_details[Partial Baths],IF(ISNUMBER($N53),$N53,""),
     unit_details[Sqft],$P53,
     unit_details[Property Name],$F53)
 ),"")</f>
        <v/>
      </c>
      <c r="Z53" s="27" t="str">
        <f t="shared" si="11"/>
        <v/>
      </c>
      <c r="AA53" s="526">
        <f>IFERROR(
  IF($F53="Total",
    SUM(INDEX(AA:AA, ROW()-COUNTIF($F$6:INDEX($F:$F, ROW()-1), $F52)) : INDEX(AA:AA, ROW()-1)),
    COUNTIFS(
      unit_details[Leased Date], "&gt;="&amp;($AM$2-X$5),
      unit_details[Leased Date], "&lt;"&amp;$AM$2,
      unit_details[Beds], $L53,
      unit_details[Baths], $M53,
      unit_details[Partial Baths], IF(ISNUMBER($N53), $N53, ""),
      unit_details[Sqft],$P53,
      unit_details[Property Name], $F53
    )
  ),
"")</f>
        <v>0</v>
      </c>
      <c r="AB53" s="290">
        <f>IF($F53="Total",
SUM(INDEX(AB:AB, ROW()-COUNTIF($F$6:INDEX($F:$F, ROW()-1), $F52)) : INDEX(AB:AB, ROW()-1)),
COUNTIFS(unit_details[Active Listing?],TRUE,
          unit_details[Property Name], $F53,
          unit_details[Beds], $L53,
          unit_details[Baths], $M53,
          unit_details[Partial Baths],IF(ISNUMBER($N53),$N53,""),
          unit_details[Sqft],$P53))</f>
        <v>0</v>
      </c>
      <c r="AC53" s="27" t="str">
        <f t="shared" si="3"/>
        <v/>
      </c>
      <c r="AD53" s="293" t="str">
        <f>IFERROR(IF(AE53="","",IF($F53="Total",
SUMPRODUCT(
   INDEX(AD:AD, ROW()-COUNTIF($F$6:INDEX($F:$F, ROW()-1), $F52)) : INDEX(AD:AD, ROW()-1),
   INDEX(AB:AB, ROW()-COUNTIF($F$6:INDEX($F:$F, ROW()-1), $F52)) : INDEX(AB:AB, ROW()-1)
   )
   /SUM(INDEX(AB:AB, ROW()-COUNTIF($F$6:INDEX($F:$F, ROW()-1), $F52)) : INDEX(AB:AB, ROW()-1)),
          _xlfn.MINIFS(unit_details[Asking Rent],
          unit_details[Active Listing?],TRUE,
          unit_details[Property Name], $F53,
          unit_details[Beds], $L53,
          unit_details[Baths], $M53,
          unit_details[Partial Baths], IF(ISNUMBER($N53),$N53,""),
          unit_details[Sqft],$P53
))),"")</f>
        <v/>
      </c>
      <c r="AE53" s="5" t="str">
        <f>IFERROR(IF($F53="Total",
          SUMPRODUCT(
   INDEX(AE:AE, ROW()-COUNTIF($F$6:INDEX($F:$F, ROW()-1), $F52)) : INDEX(AE:AE, ROW()-1),
   INDEX(AB:AB, ROW()-COUNTIF($F$6:INDEX($F:$F, ROW()-1), $F52)) : INDEX(AB:AB, ROW()-1)
   )
   /SUM(INDEX(AB:AB, ROW()-COUNTIF($F$6:INDEX($F:$F, ROW()-1), $F52)) : INDEX(AB:AB, ROW()-1)),
          AVERAGEIFS(unit_details[Asking Rent],
          unit_details[Active Listing?],TRUE,
          unit_details[Property Name], $F53,
          unit_details[Beds], $L53,
          unit_details[Baths], $M53,
          unit_details[Partial Baths], IF(ISNUMBER($N53),$N53,""),
          unit_details[Sqft],$P53
)),"")</f>
        <v/>
      </c>
      <c r="AF53" s="5" t="str">
        <f>IFERROR(IF(AE53="","",IF($F53="Total",
SUMPRODUCT(
   INDEX(AF:AF, ROW()-COUNTIF($F$6:INDEX($F:$F, ROW()-1), $F52)) : INDEX(AF:AF, ROW()-1),
   INDEX(AB:AB, ROW()-COUNTIF($F$6:INDEX($F:$F, ROW()-1), $F52)) : INDEX(AB:AB, ROW()-1)
   )
   /SUM(INDEX(AB:AB, ROW()-COUNTIF($F$6:INDEX($F:$F, ROW()-1), $F52)) : INDEX(AB:AB, ROW()-1)),
           _xlfn.MAXIFS(unit_details[Asking Rent],
          unit_details[Active Listing?],TRUE,
          unit_details[Property Name], $F53,
          unit_details[Beds], $L53,
          unit_details[Baths], $M53,
          unit_details[Partial Baths], IF(ISNUMBER($N53),$N53,""),
          unit_details[Sqft],$P53
))),"")</f>
        <v/>
      </c>
      <c r="AG53" s="6" t="str">
        <f>IFERROR(IF($F53="Total",
         SUMPRODUCT(
         INDEX(AG:AG, ROW()-COUNTIF($F$6:INDEX($F:$F, ROW()-1), $F52)) : INDEX(AG:AG, ROW()-1),
         INDEX(AB:AB, ROW()-COUNTIF($F$6:INDEX($F:$F, ROW()-1), $F52)) : INDEX(AB:AB, ROW()-1)
         )
         /SUM(INDEX(AB:AB, ROW()-COUNTIF($F$6:INDEX($F:$F, ROW()-1), $F52)) : INDEX(AB:AB, ROW()-1)),
          AVERAGEIFS(unit_details[Asking PSF],
          unit_details[Active Listing?],TRUE,
          unit_details[Property Name], $F53,
          unit_details[Beds], $L53,
          unit_details[Baths], $M53,
          unit_details[Partial Baths], IF(ISNUMBER($N53),$N53,""),
          unit_details[Sqft],$P53
)),"")</f>
        <v/>
      </c>
      <c r="AH53" s="293" t="str">
        <f>IFERROR(IF($F53="Total",
         SUMPRODUCT(
         INDEX(AH:AH, ROW()-COUNTIF($F$6:INDEX($F:$F, ROW()-1), $F52)) : INDEX(AH:AH, ROW()-1),
         INDEX(AB:AB, ROW()-COUNTIF($F$6:INDEX($F:$F, ROW()-1), $F52)) : INDEX(AB:AB, ROW()-1)
         )
         /SUM(INDEX(AB:AB, ROW()-COUNTIF($F$6:INDEX($F:$F, ROW()-1), $F52)) : INDEX(AB:AB, ROW()-1)),
          AVERAGEIFS(unit_details[Effective Rent],
          unit_details[Active Listing?],TRUE,
          unit_details[Property Name], $F53,
          unit_details[Beds], $L53,
          unit_details[Baths], $M53,
          unit_details[Partial Baths], IF(ISNUMBER($N53),$N53,""),
          unit_details[Sqft],$P53
)),"")</f>
        <v/>
      </c>
      <c r="AI53" s="6" t="str">
        <f>IFERROR(IF($F53="Total",
         SUMPRODUCT(
         INDEX(AI:AI, ROW()-COUNTIF($F$6:INDEX($F:$F, ROW()-1), $F52)) : INDEX(AI:AI, ROW()-1),
         INDEX(AB:AB, ROW()-COUNTIF($F$6:INDEX($F:$F, ROW()-1), $F52)) : INDEX(AB:AB, ROW()-1)
         )
         /SUM(INDEX(AB:AB, ROW()-COUNTIF($F$6:INDEX($F:$F, ROW()-1), $F52)) : INDEX(AB:AB, ROW()-1)),
           AVERAGEIFS(unit_details[Effective PSF],
          unit_details[Active Listing?],TRUE,
          unit_details[Property Name], $F53,
          unit_details[Beds], $L53,
          unit_details[Baths], $M53,
          unit_details[Partial Baths], IF(ISNUMBER($N53),$N53,""),
          unit_details[Sqft],$P53
)),"")</f>
        <v/>
      </c>
      <c r="AJ53" s="824" t="str">
        <f t="shared" si="4"/>
        <v/>
      </c>
      <c r="AK53" s="531" t="str">
        <f t="shared" si="5"/>
        <v/>
      </c>
      <c r="AL53" s="714" t="str">
        <f t="shared" si="6"/>
        <v/>
      </c>
      <c r="AM53" s="531" t="str">
        <f t="shared" si="7"/>
        <v/>
      </c>
      <c r="AN53" s="716" t="str">
        <f t="shared" si="8"/>
        <v/>
      </c>
    </row>
    <row r="54" spans="6:40" x14ac:dyDescent="0.2">
      <c r="F54" s="1" t="str">
        <f t="shared" si="0"/>
        <v/>
      </c>
      <c r="G54" s="713" t="str">
        <f t="shared" si="9"/>
        <v/>
      </c>
      <c r="H54" s="17" t="str">
        <f>IFERROR(VLOOKUP($G54,Table1[[Property]:[Exposure %]],4,0),"")</f>
        <v/>
      </c>
      <c r="I54" s="3" t="str">
        <f>IFERROR(VLOOKUP($G54,Table1[[Property]:[Exposure %]],6,0),"")</f>
        <v/>
      </c>
      <c r="J54" s="3" t="str">
        <f>IFERROR(VLOOKUP($G54,Table1[[Property]:[Exposure %]],7,0),"")</f>
        <v/>
      </c>
      <c r="K54"/>
      <c r="L54"/>
      <c r="M54"/>
      <c r="N54"/>
      <c r="O54"/>
      <c r="P54"/>
      <c r="Q54"/>
      <c r="R54" s="4" t="str">
        <f>IFERROR(VLOOKUP(IF(F54="Total",F53,F54),Table1[[Property]:['# Units]],7,0)*S54,"")</f>
        <v/>
      </c>
      <c r="S54" s="27" t="str">
        <f t="shared" si="2"/>
        <v/>
      </c>
      <c r="T54" s="531" t="str">
        <f>IFERROR(
 IF($F54="Total",
   SUMPRODUCT(
   INDEX(T:T, ROW()-COUNTIF($F$6:INDEX($F:$F, ROW()-1), $F53)) : INDEX(T:T, ROW()-1),
   INDEX(W:W, ROW()-COUNTIF($F$6:INDEX($F:$F, ROW()-1), $F53)) : INDEX(W:W, ROW()-1)
   )
   /SUM(INDEX(W:W, ROW()-COUNTIF($F$6:INDEX($F:$F, ROW()-1), $F53)) : INDEX(W:W, ROW()-1)),
   AVERAGEIFS(
     INDEX((unit_details[Asking Rent],unit_details[Asking PSF]),0,1,IF($U$3="Chunk Rent",1,2)),
     unit_details[Leased Date],"&gt;="&amp;($AM$2-T$5),
     unit_details[Leased Date],"&lt;"&amp;$AM$2,
     unit_details[Beds],$L54,
     unit_details[Baths],$M54,
     unit_details[Partial Baths],IF(ISNUMBER($N54),$N54,""),
     unit_details[Sqft],$P54,
     unit_details[Property Name],$F54)
 ),"")</f>
        <v/>
      </c>
      <c r="U54" s="552" t="str">
        <f>IFERROR(
 IF($F54="Total",
   SUMPRODUCT(
   INDEX(U:U, ROW()-COUNTIF($F$6:INDEX($F:$F, ROW()-1), $F53)) : INDEX(U:U, ROW()-1),
   INDEX(W:W, ROW()-COUNTIF($F$6:INDEX($F:$F, ROW()-1), $F53)) : INDEX(W:W, ROW()-1)
   )
   /SUM(INDEX(W:W, ROW()-COUNTIF($F$6:INDEX($F:$F, ROW()-1), $F53)) : INDEX(W:W, ROW()-1)),
   AVERAGEIFS(
     INDEX((unit_details[Effective Rent],unit_details[Effective PSF]),0,1,IF($U$3="Chunk Rent",1,2)),
     unit_details[Leased Date],"&gt;="&amp;($AM$2-T$5),
     unit_details[Leased Date],"&lt;"&amp;$AM$2,
     unit_details[Beds],$L54,
     unit_details[Baths],$M54,
     unit_details[Partial Baths],IF(ISNUMBER($N54),$N54,""),
     unit_details[Sqft],$P54,
     unit_details[Property Name],$F54)
 ),"")</f>
        <v/>
      </c>
      <c r="V54" s="27" t="str">
        <f t="shared" si="10"/>
        <v/>
      </c>
      <c r="W54" s="526">
        <f>IFERROR(
  IF($F54="Total",
    SUM(INDEX(W:W, ROW()-COUNTIF($F$6:INDEX($F:$F, ROW()-1), $F53)) : INDEX(W:W, ROW()-1)),
    COUNTIFS(
      unit_details[Leased Date], "&gt;="&amp;($AM$2-T$5),
      unit_details[Leased Date], "&lt;"&amp;$AM$2,
      unit_details[Beds], $L54,
      unit_details[Baths], $M54,
      unit_details[Partial Baths], IF(ISNUMBER($N54), $N54, ""),
      unit_details[Sqft],$P54,
      unit_details[Property Name], $F54
    )
  ),
"")</f>
        <v>0</v>
      </c>
      <c r="X54" s="531" t="str">
        <f>IFERROR(
 IF($F54="Total",
   SUMPRODUCT(
   INDEX(X:X, ROW()-COUNTIF($F$6:INDEX($F:$F, ROW()-1), $F53)) : INDEX(X:X, ROW()-1),
   INDEX(AA:AA, ROW()-COUNTIF($F$6:INDEX($F:$F, ROW()-1), $F53)) : INDEX(AA:AA, ROW()-1)
   )
   /SUM(INDEX(AA:AA, ROW()-COUNTIF($F$6:INDEX($F:$F, ROW()-1), $F53)) : INDEX(AA:AA, ROW()-1)),
   AVERAGEIFS(
     INDEX((unit_details[Asking Rent],unit_details[Asking PSF]),0,1,IF($U$3="Chunk Rent",1,2)),
     unit_details[Leased Date],"&gt;="&amp;($AM$2-X$5),
     unit_details[Leased Date],"&lt;"&amp;$AM$2,
     unit_details[Beds],$L54,
     unit_details[Baths],$M54,
     unit_details[Partial Baths],IF(ISNUMBER($N54),$N54,""),
     unit_details[Sqft],$P54,
     unit_details[Property Name],$F54)
 ),"")</f>
        <v/>
      </c>
      <c r="Y54" s="552" t="str">
        <f>IFERROR(
 IF($F54="Total",
   SUMPRODUCT(
   INDEX(Y:Y, ROW()-COUNTIF($F$6:INDEX($F:$F, ROW()-1), $F53)) : INDEX(Y:Y, ROW()-1),
   INDEX(AA:AA, ROW()-COUNTIF($F$6:INDEX($F:$F, ROW()-1), $F53)) : INDEX(AA:AA, ROW()-1)
   )
   /SUM(INDEX(AA:AA, ROW()-COUNTIF($F$6:INDEX($F:$F, ROW()-1), $F53)) : INDEX(AA:AA, ROW()-1)),
   AVERAGEIFS(
     INDEX((unit_details[Effective Rent],unit_details[Effective PSF]),0,1,IF($U$3="Chunk Rent",1,2)),
     unit_details[Leased Date],"&gt;="&amp;($AM$2-X$5),
     unit_details[Leased Date],"&lt;"&amp;$AM$2,
     unit_details[Beds],$L54,
     unit_details[Baths],$M54,
     unit_details[Partial Baths],IF(ISNUMBER($N54),$N54,""),
     unit_details[Sqft],$P54,
     unit_details[Property Name],$F54)
 ),"")</f>
        <v/>
      </c>
      <c r="Z54" s="27" t="str">
        <f t="shared" si="11"/>
        <v/>
      </c>
      <c r="AA54" s="526">
        <f>IFERROR(
  IF($F54="Total",
    SUM(INDEX(AA:AA, ROW()-COUNTIF($F$6:INDEX($F:$F, ROW()-1), $F53)) : INDEX(AA:AA, ROW()-1)),
    COUNTIFS(
      unit_details[Leased Date], "&gt;="&amp;($AM$2-X$5),
      unit_details[Leased Date], "&lt;"&amp;$AM$2,
      unit_details[Beds], $L54,
      unit_details[Baths], $M54,
      unit_details[Partial Baths], IF(ISNUMBER($N54), $N54, ""),
      unit_details[Sqft],$P54,
      unit_details[Property Name], $F54
    )
  ),
"")</f>
        <v>0</v>
      </c>
      <c r="AB54" s="290">
        <f>IF($F54="Total",
SUM(INDEX(AB:AB, ROW()-COUNTIF($F$6:INDEX($F:$F, ROW()-1), $F53)) : INDEX(AB:AB, ROW()-1)),
COUNTIFS(unit_details[Active Listing?],TRUE,
          unit_details[Property Name], $F54,
          unit_details[Beds], $L54,
          unit_details[Baths], $M54,
          unit_details[Partial Baths],IF(ISNUMBER($N54),$N54,""),
          unit_details[Sqft],$P54))</f>
        <v>0</v>
      </c>
      <c r="AC54" s="27" t="str">
        <f t="shared" si="3"/>
        <v/>
      </c>
      <c r="AD54" s="293" t="str">
        <f>IFERROR(IF(AE54="","",IF($F54="Total",
SUMPRODUCT(
   INDEX(AD:AD, ROW()-COUNTIF($F$6:INDEX($F:$F, ROW()-1), $F53)) : INDEX(AD:AD, ROW()-1),
   INDEX(AB:AB, ROW()-COUNTIF($F$6:INDEX($F:$F, ROW()-1), $F53)) : INDEX(AB:AB, ROW()-1)
   )
   /SUM(INDEX(AB:AB, ROW()-COUNTIF($F$6:INDEX($F:$F, ROW()-1), $F53)) : INDEX(AB:AB, ROW()-1)),
          _xlfn.MINIFS(unit_details[Asking Rent],
          unit_details[Active Listing?],TRUE,
          unit_details[Property Name], $F54,
          unit_details[Beds], $L54,
          unit_details[Baths], $M54,
          unit_details[Partial Baths], IF(ISNUMBER($N54),$N54,""),
          unit_details[Sqft],$P54
))),"")</f>
        <v/>
      </c>
      <c r="AE54" s="5" t="str">
        <f>IFERROR(IF($F54="Total",
          SUMPRODUCT(
   INDEX(AE:AE, ROW()-COUNTIF($F$6:INDEX($F:$F, ROW()-1), $F53)) : INDEX(AE:AE, ROW()-1),
   INDEX(AB:AB, ROW()-COUNTIF($F$6:INDEX($F:$F, ROW()-1), $F53)) : INDEX(AB:AB, ROW()-1)
   )
   /SUM(INDEX(AB:AB, ROW()-COUNTIF($F$6:INDEX($F:$F, ROW()-1), $F53)) : INDEX(AB:AB, ROW()-1)),
          AVERAGEIFS(unit_details[Asking Rent],
          unit_details[Active Listing?],TRUE,
          unit_details[Property Name], $F54,
          unit_details[Beds], $L54,
          unit_details[Baths], $M54,
          unit_details[Partial Baths], IF(ISNUMBER($N54),$N54,""),
          unit_details[Sqft],$P54
)),"")</f>
        <v/>
      </c>
      <c r="AF54" s="5" t="str">
        <f>IFERROR(IF(AE54="","",IF($F54="Total",
SUMPRODUCT(
   INDEX(AF:AF, ROW()-COUNTIF($F$6:INDEX($F:$F, ROW()-1), $F53)) : INDEX(AF:AF, ROW()-1),
   INDEX(AB:AB, ROW()-COUNTIF($F$6:INDEX($F:$F, ROW()-1), $F53)) : INDEX(AB:AB, ROW()-1)
   )
   /SUM(INDEX(AB:AB, ROW()-COUNTIF($F$6:INDEX($F:$F, ROW()-1), $F53)) : INDEX(AB:AB, ROW()-1)),
           _xlfn.MAXIFS(unit_details[Asking Rent],
          unit_details[Active Listing?],TRUE,
          unit_details[Property Name], $F54,
          unit_details[Beds], $L54,
          unit_details[Baths], $M54,
          unit_details[Partial Baths], IF(ISNUMBER($N54),$N54,""),
          unit_details[Sqft],$P54
))),"")</f>
        <v/>
      </c>
      <c r="AG54" s="6" t="str">
        <f>IFERROR(IF($F54="Total",
         SUMPRODUCT(
         INDEX(AG:AG, ROW()-COUNTIF($F$6:INDEX($F:$F, ROW()-1), $F53)) : INDEX(AG:AG, ROW()-1),
         INDEX(AB:AB, ROW()-COUNTIF($F$6:INDEX($F:$F, ROW()-1), $F53)) : INDEX(AB:AB, ROW()-1)
         )
         /SUM(INDEX(AB:AB, ROW()-COUNTIF($F$6:INDEX($F:$F, ROW()-1), $F53)) : INDEX(AB:AB, ROW()-1)),
          AVERAGEIFS(unit_details[Asking PSF],
          unit_details[Active Listing?],TRUE,
          unit_details[Property Name], $F54,
          unit_details[Beds], $L54,
          unit_details[Baths], $M54,
          unit_details[Partial Baths], IF(ISNUMBER($N54),$N54,""),
          unit_details[Sqft],$P54
)),"")</f>
        <v/>
      </c>
      <c r="AH54" s="293" t="str">
        <f>IFERROR(IF($F54="Total",
         SUMPRODUCT(
         INDEX(AH:AH, ROW()-COUNTIF($F$6:INDEX($F:$F, ROW()-1), $F53)) : INDEX(AH:AH, ROW()-1),
         INDEX(AB:AB, ROW()-COUNTIF($F$6:INDEX($F:$F, ROW()-1), $F53)) : INDEX(AB:AB, ROW()-1)
         )
         /SUM(INDEX(AB:AB, ROW()-COUNTIF($F$6:INDEX($F:$F, ROW()-1), $F53)) : INDEX(AB:AB, ROW()-1)),
          AVERAGEIFS(unit_details[Effective Rent],
          unit_details[Active Listing?],TRUE,
          unit_details[Property Name], $F54,
          unit_details[Beds], $L54,
          unit_details[Baths], $M54,
          unit_details[Partial Baths], IF(ISNUMBER($N54),$N54,""),
          unit_details[Sqft],$P54
)),"")</f>
        <v/>
      </c>
      <c r="AI54" s="6" t="str">
        <f>IFERROR(IF($F54="Total",
         SUMPRODUCT(
         INDEX(AI:AI, ROW()-COUNTIF($F$6:INDEX($F:$F, ROW()-1), $F53)) : INDEX(AI:AI, ROW()-1),
         INDEX(AB:AB, ROW()-COUNTIF($F$6:INDEX($F:$F, ROW()-1), $F53)) : INDEX(AB:AB, ROW()-1)
         )
         /SUM(INDEX(AB:AB, ROW()-COUNTIF($F$6:INDEX($F:$F, ROW()-1), $F53)) : INDEX(AB:AB, ROW()-1)),
           AVERAGEIFS(unit_details[Effective PSF],
          unit_details[Active Listing?],TRUE,
          unit_details[Property Name], $F54,
          unit_details[Beds], $L54,
          unit_details[Baths], $M54,
          unit_details[Partial Baths], IF(ISNUMBER($N54),$N54,""),
          unit_details[Sqft],$P54
)),"")</f>
        <v/>
      </c>
      <c r="AJ54" s="824" t="str">
        <f t="shared" si="4"/>
        <v/>
      </c>
      <c r="AK54" s="531" t="str">
        <f t="shared" si="5"/>
        <v/>
      </c>
      <c r="AL54" s="714" t="str">
        <f t="shared" si="6"/>
        <v/>
      </c>
      <c r="AM54" s="531" t="str">
        <f t="shared" si="7"/>
        <v/>
      </c>
      <c r="AN54" s="716" t="str">
        <f t="shared" si="8"/>
        <v/>
      </c>
    </row>
    <row r="55" spans="6:40" x14ac:dyDescent="0.2">
      <c r="F55" s="1" t="str">
        <f t="shared" si="0"/>
        <v/>
      </c>
      <c r="G55" s="713" t="str">
        <f t="shared" si="9"/>
        <v/>
      </c>
      <c r="H55" s="17" t="str">
        <f>IFERROR(VLOOKUP($G55,Table1[[Property]:[Exposure %]],4,0),"")</f>
        <v/>
      </c>
      <c r="I55" s="3" t="str">
        <f>IFERROR(VLOOKUP($G55,Table1[[Property]:[Exposure %]],6,0),"")</f>
        <v/>
      </c>
      <c r="J55" s="3" t="str">
        <f>IFERROR(VLOOKUP($G55,Table1[[Property]:[Exposure %]],7,0),"")</f>
        <v/>
      </c>
      <c r="K55"/>
      <c r="L55"/>
      <c r="M55"/>
      <c r="N55"/>
      <c r="O55"/>
      <c r="P55"/>
      <c r="Q55"/>
      <c r="R55" s="4" t="str">
        <f>IFERROR(VLOOKUP(IF(F55="Total",F54,F55),Table1[[Property]:['# Units]],7,0)*S55,"")</f>
        <v/>
      </c>
      <c r="S55" s="27" t="str">
        <f t="shared" si="2"/>
        <v/>
      </c>
      <c r="T55" s="531" t="str">
        <f>IFERROR(
 IF($F55="Total",
   SUMPRODUCT(
   INDEX(T:T, ROW()-COUNTIF($F$6:INDEX($F:$F, ROW()-1), $F54)) : INDEX(T:T, ROW()-1),
   INDEX(W:W, ROW()-COUNTIF($F$6:INDEX($F:$F, ROW()-1), $F54)) : INDEX(W:W, ROW()-1)
   )
   /SUM(INDEX(W:W, ROW()-COUNTIF($F$6:INDEX($F:$F, ROW()-1), $F54)) : INDEX(W:W, ROW()-1)),
   AVERAGEIFS(
     INDEX((unit_details[Asking Rent],unit_details[Asking PSF]),0,1,IF($U$3="Chunk Rent",1,2)),
     unit_details[Leased Date],"&gt;="&amp;($AM$2-T$5),
     unit_details[Leased Date],"&lt;"&amp;$AM$2,
     unit_details[Beds],$L55,
     unit_details[Baths],$M55,
     unit_details[Partial Baths],IF(ISNUMBER($N55),$N55,""),
     unit_details[Sqft],$P55,
     unit_details[Property Name],$F55)
 ),"")</f>
        <v/>
      </c>
      <c r="U55" s="552" t="str">
        <f>IFERROR(
 IF($F55="Total",
   SUMPRODUCT(
   INDEX(U:U, ROW()-COUNTIF($F$6:INDEX($F:$F, ROW()-1), $F54)) : INDEX(U:U, ROW()-1),
   INDEX(W:W, ROW()-COUNTIF($F$6:INDEX($F:$F, ROW()-1), $F54)) : INDEX(W:W, ROW()-1)
   )
   /SUM(INDEX(W:W, ROW()-COUNTIF($F$6:INDEX($F:$F, ROW()-1), $F54)) : INDEX(W:W, ROW()-1)),
   AVERAGEIFS(
     INDEX((unit_details[Effective Rent],unit_details[Effective PSF]),0,1,IF($U$3="Chunk Rent",1,2)),
     unit_details[Leased Date],"&gt;="&amp;($AM$2-T$5),
     unit_details[Leased Date],"&lt;"&amp;$AM$2,
     unit_details[Beds],$L55,
     unit_details[Baths],$M55,
     unit_details[Partial Baths],IF(ISNUMBER($N55),$N55,""),
     unit_details[Sqft],$P55,
     unit_details[Property Name],$F55)
 ),"")</f>
        <v/>
      </c>
      <c r="V55" s="27" t="str">
        <f t="shared" si="10"/>
        <v/>
      </c>
      <c r="W55" s="526">
        <f>IFERROR(
  IF($F55="Total",
    SUM(INDEX(W:W, ROW()-COUNTIF($F$6:INDEX($F:$F, ROW()-1), $F54)) : INDEX(W:W, ROW()-1)),
    COUNTIFS(
      unit_details[Leased Date], "&gt;="&amp;($AM$2-T$5),
      unit_details[Leased Date], "&lt;"&amp;$AM$2,
      unit_details[Beds], $L55,
      unit_details[Baths], $M55,
      unit_details[Partial Baths], IF(ISNUMBER($N55), $N55, ""),
      unit_details[Sqft],$P55,
      unit_details[Property Name], $F55
    )
  ),
"")</f>
        <v>0</v>
      </c>
      <c r="X55" s="531" t="str">
        <f>IFERROR(
 IF($F55="Total",
   SUMPRODUCT(
   INDEX(X:X, ROW()-COUNTIF($F$6:INDEX($F:$F, ROW()-1), $F54)) : INDEX(X:X, ROW()-1),
   INDEX(AA:AA, ROW()-COUNTIF($F$6:INDEX($F:$F, ROW()-1), $F54)) : INDEX(AA:AA, ROW()-1)
   )
   /SUM(INDEX(AA:AA, ROW()-COUNTIF($F$6:INDEX($F:$F, ROW()-1), $F54)) : INDEX(AA:AA, ROW()-1)),
   AVERAGEIFS(
     INDEX((unit_details[Asking Rent],unit_details[Asking PSF]),0,1,IF($U$3="Chunk Rent",1,2)),
     unit_details[Leased Date],"&gt;="&amp;($AM$2-X$5),
     unit_details[Leased Date],"&lt;"&amp;$AM$2,
     unit_details[Beds],$L55,
     unit_details[Baths],$M55,
     unit_details[Partial Baths],IF(ISNUMBER($N55),$N55,""),
     unit_details[Sqft],$P55,
     unit_details[Property Name],$F55)
 ),"")</f>
        <v/>
      </c>
      <c r="Y55" s="552" t="str">
        <f>IFERROR(
 IF($F55="Total",
   SUMPRODUCT(
   INDEX(Y:Y, ROW()-COUNTIF($F$6:INDEX($F:$F, ROW()-1), $F54)) : INDEX(Y:Y, ROW()-1),
   INDEX(AA:AA, ROW()-COUNTIF($F$6:INDEX($F:$F, ROW()-1), $F54)) : INDEX(AA:AA, ROW()-1)
   )
   /SUM(INDEX(AA:AA, ROW()-COUNTIF($F$6:INDEX($F:$F, ROW()-1), $F54)) : INDEX(AA:AA, ROW()-1)),
   AVERAGEIFS(
     INDEX((unit_details[Effective Rent],unit_details[Effective PSF]),0,1,IF($U$3="Chunk Rent",1,2)),
     unit_details[Leased Date],"&gt;="&amp;($AM$2-X$5),
     unit_details[Leased Date],"&lt;"&amp;$AM$2,
     unit_details[Beds],$L55,
     unit_details[Baths],$M55,
     unit_details[Partial Baths],IF(ISNUMBER($N55),$N55,""),
     unit_details[Sqft],$P55,
     unit_details[Property Name],$F55)
 ),"")</f>
        <v/>
      </c>
      <c r="Z55" s="27" t="str">
        <f t="shared" si="11"/>
        <v/>
      </c>
      <c r="AA55" s="526">
        <f>IFERROR(
  IF($F55="Total",
    SUM(INDEX(AA:AA, ROW()-COUNTIF($F$6:INDEX($F:$F, ROW()-1), $F54)) : INDEX(AA:AA, ROW()-1)),
    COUNTIFS(
      unit_details[Leased Date], "&gt;="&amp;($AM$2-X$5),
      unit_details[Leased Date], "&lt;"&amp;$AM$2,
      unit_details[Beds], $L55,
      unit_details[Baths], $M55,
      unit_details[Partial Baths], IF(ISNUMBER($N55), $N55, ""),
      unit_details[Sqft],$P55,
      unit_details[Property Name], $F55
    )
  ),
"")</f>
        <v>0</v>
      </c>
      <c r="AB55" s="290">
        <f>IF($F55="Total",
SUM(INDEX(AB:AB, ROW()-COUNTIF($F$6:INDEX($F:$F, ROW()-1), $F54)) : INDEX(AB:AB, ROW()-1)),
COUNTIFS(unit_details[Active Listing?],TRUE,
          unit_details[Property Name], $F55,
          unit_details[Beds], $L55,
          unit_details[Baths], $M55,
          unit_details[Partial Baths],IF(ISNUMBER($N55),$N55,""),
          unit_details[Sqft],$P55))</f>
        <v>0</v>
      </c>
      <c r="AC55" s="27" t="str">
        <f t="shared" si="3"/>
        <v/>
      </c>
      <c r="AD55" s="293" t="str">
        <f>IFERROR(IF(AE55="","",IF($F55="Total",
SUMPRODUCT(
   INDEX(AD:AD, ROW()-COUNTIF($F$6:INDEX($F:$F, ROW()-1), $F54)) : INDEX(AD:AD, ROW()-1),
   INDEX(AB:AB, ROW()-COUNTIF($F$6:INDEX($F:$F, ROW()-1), $F54)) : INDEX(AB:AB, ROW()-1)
   )
   /SUM(INDEX(AB:AB, ROW()-COUNTIF($F$6:INDEX($F:$F, ROW()-1), $F54)) : INDEX(AB:AB, ROW()-1)),
          _xlfn.MINIFS(unit_details[Asking Rent],
          unit_details[Active Listing?],TRUE,
          unit_details[Property Name], $F55,
          unit_details[Beds], $L55,
          unit_details[Baths], $M55,
          unit_details[Partial Baths], IF(ISNUMBER($N55),$N55,""),
          unit_details[Sqft],$P55
))),"")</f>
        <v/>
      </c>
      <c r="AE55" s="5" t="str">
        <f>IFERROR(IF($F55="Total",
          SUMPRODUCT(
   INDEX(AE:AE, ROW()-COUNTIF($F$6:INDEX($F:$F, ROW()-1), $F54)) : INDEX(AE:AE, ROW()-1),
   INDEX(AB:AB, ROW()-COUNTIF($F$6:INDEX($F:$F, ROW()-1), $F54)) : INDEX(AB:AB, ROW()-1)
   )
   /SUM(INDEX(AB:AB, ROW()-COUNTIF($F$6:INDEX($F:$F, ROW()-1), $F54)) : INDEX(AB:AB, ROW()-1)),
          AVERAGEIFS(unit_details[Asking Rent],
          unit_details[Active Listing?],TRUE,
          unit_details[Property Name], $F55,
          unit_details[Beds], $L55,
          unit_details[Baths], $M55,
          unit_details[Partial Baths], IF(ISNUMBER($N55),$N55,""),
          unit_details[Sqft],$P55
)),"")</f>
        <v/>
      </c>
      <c r="AF55" s="5" t="str">
        <f>IFERROR(IF(AE55="","",IF($F55="Total",
SUMPRODUCT(
   INDEX(AF:AF, ROW()-COUNTIF($F$6:INDEX($F:$F, ROW()-1), $F54)) : INDEX(AF:AF, ROW()-1),
   INDEX(AB:AB, ROW()-COUNTIF($F$6:INDEX($F:$F, ROW()-1), $F54)) : INDEX(AB:AB, ROW()-1)
   )
   /SUM(INDEX(AB:AB, ROW()-COUNTIF($F$6:INDEX($F:$F, ROW()-1), $F54)) : INDEX(AB:AB, ROW()-1)),
           _xlfn.MAXIFS(unit_details[Asking Rent],
          unit_details[Active Listing?],TRUE,
          unit_details[Property Name], $F55,
          unit_details[Beds], $L55,
          unit_details[Baths], $M55,
          unit_details[Partial Baths], IF(ISNUMBER($N55),$N55,""),
          unit_details[Sqft],$P55
))),"")</f>
        <v/>
      </c>
      <c r="AG55" s="6" t="str">
        <f>IFERROR(IF($F55="Total",
         SUMPRODUCT(
         INDEX(AG:AG, ROW()-COUNTIF($F$6:INDEX($F:$F, ROW()-1), $F54)) : INDEX(AG:AG, ROW()-1),
         INDEX(AB:AB, ROW()-COUNTIF($F$6:INDEX($F:$F, ROW()-1), $F54)) : INDEX(AB:AB, ROW()-1)
         )
         /SUM(INDEX(AB:AB, ROW()-COUNTIF($F$6:INDEX($F:$F, ROW()-1), $F54)) : INDEX(AB:AB, ROW()-1)),
          AVERAGEIFS(unit_details[Asking PSF],
          unit_details[Active Listing?],TRUE,
          unit_details[Property Name], $F55,
          unit_details[Beds], $L55,
          unit_details[Baths], $M55,
          unit_details[Partial Baths], IF(ISNUMBER($N55),$N55,""),
          unit_details[Sqft],$P55
)),"")</f>
        <v/>
      </c>
      <c r="AH55" s="293" t="str">
        <f>IFERROR(IF($F55="Total",
         SUMPRODUCT(
         INDEX(AH:AH, ROW()-COUNTIF($F$6:INDEX($F:$F, ROW()-1), $F54)) : INDEX(AH:AH, ROW()-1),
         INDEX(AB:AB, ROW()-COUNTIF($F$6:INDEX($F:$F, ROW()-1), $F54)) : INDEX(AB:AB, ROW()-1)
         )
         /SUM(INDEX(AB:AB, ROW()-COUNTIF($F$6:INDEX($F:$F, ROW()-1), $F54)) : INDEX(AB:AB, ROW()-1)),
          AVERAGEIFS(unit_details[Effective Rent],
          unit_details[Active Listing?],TRUE,
          unit_details[Property Name], $F55,
          unit_details[Beds], $L55,
          unit_details[Baths], $M55,
          unit_details[Partial Baths], IF(ISNUMBER($N55),$N55,""),
          unit_details[Sqft],$P55
)),"")</f>
        <v/>
      </c>
      <c r="AI55" s="6" t="str">
        <f>IFERROR(IF($F55="Total",
         SUMPRODUCT(
         INDEX(AI:AI, ROW()-COUNTIF($F$6:INDEX($F:$F, ROW()-1), $F54)) : INDEX(AI:AI, ROW()-1),
         INDEX(AB:AB, ROW()-COUNTIF($F$6:INDEX($F:$F, ROW()-1), $F54)) : INDEX(AB:AB, ROW()-1)
         )
         /SUM(INDEX(AB:AB, ROW()-COUNTIF($F$6:INDEX($F:$F, ROW()-1), $F54)) : INDEX(AB:AB, ROW()-1)),
           AVERAGEIFS(unit_details[Effective PSF],
          unit_details[Active Listing?],TRUE,
          unit_details[Property Name], $F55,
          unit_details[Beds], $L55,
          unit_details[Baths], $M55,
          unit_details[Partial Baths], IF(ISNUMBER($N55),$N55,""),
          unit_details[Sqft],$P55
)),"")</f>
        <v/>
      </c>
      <c r="AJ55" s="824" t="str">
        <f t="shared" si="4"/>
        <v/>
      </c>
      <c r="AK55" s="531" t="str">
        <f t="shared" si="5"/>
        <v/>
      </c>
      <c r="AL55" s="714" t="str">
        <f t="shared" si="6"/>
        <v/>
      </c>
      <c r="AM55" s="531" t="str">
        <f t="shared" si="7"/>
        <v/>
      </c>
      <c r="AN55" s="716" t="str">
        <f t="shared" si="8"/>
        <v/>
      </c>
    </row>
    <row r="56" spans="6:40" x14ac:dyDescent="0.2">
      <c r="F56" s="1" t="str">
        <f t="shared" si="0"/>
        <v/>
      </c>
      <c r="G56" s="713" t="str">
        <f t="shared" si="9"/>
        <v/>
      </c>
      <c r="H56" s="17" t="str">
        <f>IFERROR(VLOOKUP($G56,Table1[[Property]:[Exposure %]],4,0),"")</f>
        <v/>
      </c>
      <c r="I56" s="3" t="str">
        <f>IFERROR(VLOOKUP($G56,Table1[[Property]:[Exposure %]],6,0),"")</f>
        <v/>
      </c>
      <c r="J56" s="3" t="str">
        <f>IFERROR(VLOOKUP($G56,Table1[[Property]:[Exposure %]],7,0),"")</f>
        <v/>
      </c>
      <c r="K56"/>
      <c r="L56"/>
      <c r="M56"/>
      <c r="N56"/>
      <c r="O56"/>
      <c r="P56"/>
      <c r="Q56"/>
      <c r="R56" s="4" t="str">
        <f>IFERROR(VLOOKUP(IF(F56="Total",F55,F56),Table1[[Property]:['# Units]],7,0)*S56,"")</f>
        <v/>
      </c>
      <c r="S56" s="27" t="str">
        <f t="shared" si="2"/>
        <v/>
      </c>
      <c r="T56" s="531" t="str">
        <f>IFERROR(
 IF($F56="Total",
   SUMPRODUCT(
   INDEX(T:T, ROW()-COUNTIF($F$6:INDEX($F:$F, ROW()-1), $F55)) : INDEX(T:T, ROW()-1),
   INDEX(W:W, ROW()-COUNTIF($F$6:INDEX($F:$F, ROW()-1), $F55)) : INDEX(W:W, ROW()-1)
   )
   /SUM(INDEX(W:W, ROW()-COUNTIF($F$6:INDEX($F:$F, ROW()-1), $F55)) : INDEX(W:W, ROW()-1)),
   AVERAGEIFS(
     INDEX((unit_details[Asking Rent],unit_details[Asking PSF]),0,1,IF($U$3="Chunk Rent",1,2)),
     unit_details[Leased Date],"&gt;="&amp;($AM$2-T$5),
     unit_details[Leased Date],"&lt;"&amp;$AM$2,
     unit_details[Beds],$L56,
     unit_details[Baths],$M56,
     unit_details[Partial Baths],IF(ISNUMBER($N56),$N56,""),
     unit_details[Sqft],$P56,
     unit_details[Property Name],$F56)
 ),"")</f>
        <v/>
      </c>
      <c r="U56" s="552" t="str">
        <f>IFERROR(
 IF($F56="Total",
   SUMPRODUCT(
   INDEX(U:U, ROW()-COUNTIF($F$6:INDEX($F:$F, ROW()-1), $F55)) : INDEX(U:U, ROW()-1),
   INDEX(W:W, ROW()-COUNTIF($F$6:INDEX($F:$F, ROW()-1), $F55)) : INDEX(W:W, ROW()-1)
   )
   /SUM(INDEX(W:W, ROW()-COUNTIF($F$6:INDEX($F:$F, ROW()-1), $F55)) : INDEX(W:W, ROW()-1)),
   AVERAGEIFS(
     INDEX((unit_details[Effective Rent],unit_details[Effective PSF]),0,1,IF($U$3="Chunk Rent",1,2)),
     unit_details[Leased Date],"&gt;="&amp;($AM$2-T$5),
     unit_details[Leased Date],"&lt;"&amp;$AM$2,
     unit_details[Beds],$L56,
     unit_details[Baths],$M56,
     unit_details[Partial Baths],IF(ISNUMBER($N56),$N56,""),
     unit_details[Sqft],$P56,
     unit_details[Property Name],$F56)
 ),"")</f>
        <v/>
      </c>
      <c r="V56" s="27" t="str">
        <f t="shared" si="10"/>
        <v/>
      </c>
      <c r="W56" s="526">
        <f>IFERROR(
  IF($F56="Total",
    SUM(INDEX(W:W, ROW()-COUNTIF($F$6:INDEX($F:$F, ROW()-1), $F55)) : INDEX(W:W, ROW()-1)),
    COUNTIFS(
      unit_details[Leased Date], "&gt;="&amp;($AM$2-T$5),
      unit_details[Leased Date], "&lt;"&amp;$AM$2,
      unit_details[Beds], $L56,
      unit_details[Baths], $M56,
      unit_details[Partial Baths], IF(ISNUMBER($N56), $N56, ""),
      unit_details[Sqft],$P56,
      unit_details[Property Name], $F56
    )
  ),
"")</f>
        <v>0</v>
      </c>
      <c r="X56" s="531" t="str">
        <f>IFERROR(
 IF($F56="Total",
   SUMPRODUCT(
   INDEX(X:X, ROW()-COUNTIF($F$6:INDEX($F:$F, ROW()-1), $F55)) : INDEX(X:X, ROW()-1),
   INDEX(AA:AA, ROW()-COUNTIF($F$6:INDEX($F:$F, ROW()-1), $F55)) : INDEX(AA:AA, ROW()-1)
   )
   /SUM(INDEX(AA:AA, ROW()-COUNTIF($F$6:INDEX($F:$F, ROW()-1), $F55)) : INDEX(AA:AA, ROW()-1)),
   AVERAGEIFS(
     INDEX((unit_details[Asking Rent],unit_details[Asking PSF]),0,1,IF($U$3="Chunk Rent",1,2)),
     unit_details[Leased Date],"&gt;="&amp;($AM$2-X$5),
     unit_details[Leased Date],"&lt;"&amp;$AM$2,
     unit_details[Beds],$L56,
     unit_details[Baths],$M56,
     unit_details[Partial Baths],IF(ISNUMBER($N56),$N56,""),
     unit_details[Sqft],$P56,
     unit_details[Property Name],$F56)
 ),"")</f>
        <v/>
      </c>
      <c r="Y56" s="552" t="str">
        <f>IFERROR(
 IF($F56="Total",
   SUMPRODUCT(
   INDEX(Y:Y, ROW()-COUNTIF($F$6:INDEX($F:$F, ROW()-1), $F55)) : INDEX(Y:Y, ROW()-1),
   INDEX(AA:AA, ROW()-COUNTIF($F$6:INDEX($F:$F, ROW()-1), $F55)) : INDEX(AA:AA, ROW()-1)
   )
   /SUM(INDEX(AA:AA, ROW()-COUNTIF($F$6:INDEX($F:$F, ROW()-1), $F55)) : INDEX(AA:AA, ROW()-1)),
   AVERAGEIFS(
     INDEX((unit_details[Effective Rent],unit_details[Effective PSF]),0,1,IF($U$3="Chunk Rent",1,2)),
     unit_details[Leased Date],"&gt;="&amp;($AM$2-X$5),
     unit_details[Leased Date],"&lt;"&amp;$AM$2,
     unit_details[Beds],$L56,
     unit_details[Baths],$M56,
     unit_details[Partial Baths],IF(ISNUMBER($N56),$N56,""),
     unit_details[Sqft],$P56,
     unit_details[Property Name],$F56)
 ),"")</f>
        <v/>
      </c>
      <c r="Z56" s="27" t="str">
        <f t="shared" si="11"/>
        <v/>
      </c>
      <c r="AA56" s="526">
        <f>IFERROR(
  IF($F56="Total",
    SUM(INDEX(AA:AA, ROW()-COUNTIF($F$6:INDEX($F:$F, ROW()-1), $F55)) : INDEX(AA:AA, ROW()-1)),
    COUNTIFS(
      unit_details[Leased Date], "&gt;="&amp;($AM$2-X$5),
      unit_details[Leased Date], "&lt;"&amp;$AM$2,
      unit_details[Beds], $L56,
      unit_details[Baths], $M56,
      unit_details[Partial Baths], IF(ISNUMBER($N56), $N56, ""),
      unit_details[Sqft],$P56,
      unit_details[Property Name], $F56
    )
  ),
"")</f>
        <v>0</v>
      </c>
      <c r="AB56" s="290">
        <f>IF($F56="Total",
SUM(INDEX(AB:AB, ROW()-COUNTIF($F$6:INDEX($F:$F, ROW()-1), $F55)) : INDEX(AB:AB, ROW()-1)),
COUNTIFS(unit_details[Active Listing?],TRUE,
          unit_details[Property Name], $F56,
          unit_details[Beds], $L56,
          unit_details[Baths], $M56,
          unit_details[Partial Baths],IF(ISNUMBER($N56),$N56,""),
          unit_details[Sqft],$P56))</f>
        <v>0</v>
      </c>
      <c r="AC56" s="27" t="str">
        <f t="shared" si="3"/>
        <v/>
      </c>
      <c r="AD56" s="293" t="str">
        <f>IFERROR(IF(AE56="","",IF($F56="Total",
SUMPRODUCT(
   INDEX(AD:AD, ROW()-COUNTIF($F$6:INDEX($F:$F, ROW()-1), $F55)) : INDEX(AD:AD, ROW()-1),
   INDEX(AB:AB, ROW()-COUNTIF($F$6:INDEX($F:$F, ROW()-1), $F55)) : INDEX(AB:AB, ROW()-1)
   )
   /SUM(INDEX(AB:AB, ROW()-COUNTIF($F$6:INDEX($F:$F, ROW()-1), $F55)) : INDEX(AB:AB, ROW()-1)),
          _xlfn.MINIFS(unit_details[Asking Rent],
          unit_details[Active Listing?],TRUE,
          unit_details[Property Name], $F56,
          unit_details[Beds], $L56,
          unit_details[Baths], $M56,
          unit_details[Partial Baths], IF(ISNUMBER($N56),$N56,""),
          unit_details[Sqft],$P56
))),"")</f>
        <v/>
      </c>
      <c r="AE56" s="5" t="str">
        <f>IFERROR(IF($F56="Total",
          SUMPRODUCT(
   INDEX(AE:AE, ROW()-COUNTIF($F$6:INDEX($F:$F, ROW()-1), $F55)) : INDEX(AE:AE, ROW()-1),
   INDEX(AB:AB, ROW()-COUNTIF($F$6:INDEX($F:$F, ROW()-1), $F55)) : INDEX(AB:AB, ROW()-1)
   )
   /SUM(INDEX(AB:AB, ROW()-COUNTIF($F$6:INDEX($F:$F, ROW()-1), $F55)) : INDEX(AB:AB, ROW()-1)),
          AVERAGEIFS(unit_details[Asking Rent],
          unit_details[Active Listing?],TRUE,
          unit_details[Property Name], $F56,
          unit_details[Beds], $L56,
          unit_details[Baths], $M56,
          unit_details[Partial Baths], IF(ISNUMBER($N56),$N56,""),
          unit_details[Sqft],$P56
)),"")</f>
        <v/>
      </c>
      <c r="AF56" s="5" t="str">
        <f>IFERROR(IF(AE56="","",IF($F56="Total",
SUMPRODUCT(
   INDEX(AF:AF, ROW()-COUNTIF($F$6:INDEX($F:$F, ROW()-1), $F55)) : INDEX(AF:AF, ROW()-1),
   INDEX(AB:AB, ROW()-COUNTIF($F$6:INDEX($F:$F, ROW()-1), $F55)) : INDEX(AB:AB, ROW()-1)
   )
   /SUM(INDEX(AB:AB, ROW()-COUNTIF($F$6:INDEX($F:$F, ROW()-1), $F55)) : INDEX(AB:AB, ROW()-1)),
           _xlfn.MAXIFS(unit_details[Asking Rent],
          unit_details[Active Listing?],TRUE,
          unit_details[Property Name], $F56,
          unit_details[Beds], $L56,
          unit_details[Baths], $M56,
          unit_details[Partial Baths], IF(ISNUMBER($N56),$N56,""),
          unit_details[Sqft],$P56
))),"")</f>
        <v/>
      </c>
      <c r="AG56" s="6" t="str">
        <f>IFERROR(IF($F56="Total",
         SUMPRODUCT(
         INDEX(AG:AG, ROW()-COUNTIF($F$6:INDEX($F:$F, ROW()-1), $F55)) : INDEX(AG:AG, ROW()-1),
         INDEX(AB:AB, ROW()-COUNTIF($F$6:INDEX($F:$F, ROW()-1), $F55)) : INDEX(AB:AB, ROW()-1)
         )
         /SUM(INDEX(AB:AB, ROW()-COUNTIF($F$6:INDEX($F:$F, ROW()-1), $F55)) : INDEX(AB:AB, ROW()-1)),
          AVERAGEIFS(unit_details[Asking PSF],
          unit_details[Active Listing?],TRUE,
          unit_details[Property Name], $F56,
          unit_details[Beds], $L56,
          unit_details[Baths], $M56,
          unit_details[Partial Baths], IF(ISNUMBER($N56),$N56,""),
          unit_details[Sqft],$P56
)),"")</f>
        <v/>
      </c>
      <c r="AH56" s="293" t="str">
        <f>IFERROR(IF($F56="Total",
         SUMPRODUCT(
         INDEX(AH:AH, ROW()-COUNTIF($F$6:INDEX($F:$F, ROW()-1), $F55)) : INDEX(AH:AH, ROW()-1),
         INDEX(AB:AB, ROW()-COUNTIF($F$6:INDEX($F:$F, ROW()-1), $F55)) : INDEX(AB:AB, ROW()-1)
         )
         /SUM(INDEX(AB:AB, ROW()-COUNTIF($F$6:INDEX($F:$F, ROW()-1), $F55)) : INDEX(AB:AB, ROW()-1)),
          AVERAGEIFS(unit_details[Effective Rent],
          unit_details[Active Listing?],TRUE,
          unit_details[Property Name], $F56,
          unit_details[Beds], $L56,
          unit_details[Baths], $M56,
          unit_details[Partial Baths], IF(ISNUMBER($N56),$N56,""),
          unit_details[Sqft],$P56
)),"")</f>
        <v/>
      </c>
      <c r="AI56" s="6" t="str">
        <f>IFERROR(IF($F56="Total",
         SUMPRODUCT(
         INDEX(AI:AI, ROW()-COUNTIF($F$6:INDEX($F:$F, ROW()-1), $F55)) : INDEX(AI:AI, ROW()-1),
         INDEX(AB:AB, ROW()-COUNTIF($F$6:INDEX($F:$F, ROW()-1), $F55)) : INDEX(AB:AB, ROW()-1)
         )
         /SUM(INDEX(AB:AB, ROW()-COUNTIF($F$6:INDEX($F:$F, ROW()-1), $F55)) : INDEX(AB:AB, ROW()-1)),
           AVERAGEIFS(unit_details[Effective PSF],
          unit_details[Active Listing?],TRUE,
          unit_details[Property Name], $F56,
          unit_details[Beds], $L56,
          unit_details[Baths], $M56,
          unit_details[Partial Baths], IF(ISNUMBER($N56),$N56,""),
          unit_details[Sqft],$P56
)),"")</f>
        <v/>
      </c>
      <c r="AJ56" s="824" t="str">
        <f t="shared" si="4"/>
        <v/>
      </c>
      <c r="AK56" s="531" t="str">
        <f t="shared" si="5"/>
        <v/>
      </c>
      <c r="AL56" s="714" t="str">
        <f t="shared" si="6"/>
        <v/>
      </c>
      <c r="AM56" s="531" t="str">
        <f t="shared" si="7"/>
        <v/>
      </c>
      <c r="AN56" s="716" t="str">
        <f t="shared" si="8"/>
        <v/>
      </c>
    </row>
    <row r="57" spans="6:40" x14ac:dyDescent="0.2">
      <c r="F57" s="1" t="str">
        <f t="shared" si="0"/>
        <v/>
      </c>
      <c r="G57" s="713" t="str">
        <f t="shared" si="9"/>
        <v/>
      </c>
      <c r="H57" s="17" t="str">
        <f>IFERROR(VLOOKUP($G57,Table1[[Property]:[Exposure %]],4,0),"")</f>
        <v/>
      </c>
      <c r="I57" s="3" t="str">
        <f>IFERROR(VLOOKUP($G57,Table1[[Property]:[Exposure %]],6,0),"")</f>
        <v/>
      </c>
      <c r="J57" s="3" t="str">
        <f>IFERROR(VLOOKUP($G57,Table1[[Property]:[Exposure %]],7,0),"")</f>
        <v/>
      </c>
      <c r="K57"/>
      <c r="L57"/>
      <c r="M57"/>
      <c r="N57"/>
      <c r="O57"/>
      <c r="P57"/>
      <c r="Q57"/>
      <c r="R57" s="4" t="str">
        <f>IFERROR(VLOOKUP(IF(F57="Total",F56,F57),Table1[[Property]:['# Units]],7,0)*S57,"")</f>
        <v/>
      </c>
      <c r="S57" s="27" t="str">
        <f t="shared" si="2"/>
        <v/>
      </c>
      <c r="T57" s="531" t="str">
        <f>IFERROR(
 IF($F57="Total",
   SUMPRODUCT(
   INDEX(T:T, ROW()-COUNTIF($F$6:INDEX($F:$F, ROW()-1), $F56)) : INDEX(T:T, ROW()-1),
   INDEX(W:W, ROW()-COUNTIF($F$6:INDEX($F:$F, ROW()-1), $F56)) : INDEX(W:W, ROW()-1)
   )
   /SUM(INDEX(W:W, ROW()-COUNTIF($F$6:INDEX($F:$F, ROW()-1), $F56)) : INDEX(W:W, ROW()-1)),
   AVERAGEIFS(
     INDEX((unit_details[Asking Rent],unit_details[Asking PSF]),0,1,IF($U$3="Chunk Rent",1,2)),
     unit_details[Leased Date],"&gt;="&amp;($AM$2-T$5),
     unit_details[Leased Date],"&lt;"&amp;$AM$2,
     unit_details[Beds],$L57,
     unit_details[Baths],$M57,
     unit_details[Partial Baths],IF(ISNUMBER($N57),$N57,""),
     unit_details[Sqft],$P57,
     unit_details[Property Name],$F57)
 ),"")</f>
        <v/>
      </c>
      <c r="U57" s="552" t="str">
        <f>IFERROR(
 IF($F57="Total",
   SUMPRODUCT(
   INDEX(U:U, ROW()-COUNTIF($F$6:INDEX($F:$F, ROW()-1), $F56)) : INDEX(U:U, ROW()-1),
   INDEX(W:W, ROW()-COUNTIF($F$6:INDEX($F:$F, ROW()-1), $F56)) : INDEX(W:W, ROW()-1)
   )
   /SUM(INDEX(W:W, ROW()-COUNTIF($F$6:INDEX($F:$F, ROW()-1), $F56)) : INDEX(W:W, ROW()-1)),
   AVERAGEIFS(
     INDEX((unit_details[Effective Rent],unit_details[Effective PSF]),0,1,IF($U$3="Chunk Rent",1,2)),
     unit_details[Leased Date],"&gt;="&amp;($AM$2-T$5),
     unit_details[Leased Date],"&lt;"&amp;$AM$2,
     unit_details[Beds],$L57,
     unit_details[Baths],$M57,
     unit_details[Partial Baths],IF(ISNUMBER($N57),$N57,""),
     unit_details[Sqft],$P57,
     unit_details[Property Name],$F57)
 ),"")</f>
        <v/>
      </c>
      <c r="V57" s="27" t="str">
        <f t="shared" si="10"/>
        <v/>
      </c>
      <c r="W57" s="526">
        <f>IFERROR(
  IF($F57="Total",
    SUM(INDEX(W:W, ROW()-COUNTIF($F$6:INDEX($F:$F, ROW()-1), $F56)) : INDEX(W:W, ROW()-1)),
    COUNTIFS(
      unit_details[Leased Date], "&gt;="&amp;($AM$2-T$5),
      unit_details[Leased Date], "&lt;"&amp;$AM$2,
      unit_details[Beds], $L57,
      unit_details[Baths], $M57,
      unit_details[Partial Baths], IF(ISNUMBER($N57), $N57, ""),
      unit_details[Sqft],$P57,
      unit_details[Property Name], $F57
    )
  ),
"")</f>
        <v>0</v>
      </c>
      <c r="X57" s="531" t="str">
        <f>IFERROR(
 IF($F57="Total",
   SUMPRODUCT(
   INDEX(X:X, ROW()-COUNTIF($F$6:INDEX($F:$F, ROW()-1), $F56)) : INDEX(X:X, ROW()-1),
   INDEX(AA:AA, ROW()-COUNTIF($F$6:INDEX($F:$F, ROW()-1), $F56)) : INDEX(AA:AA, ROW()-1)
   )
   /SUM(INDEX(AA:AA, ROW()-COUNTIF($F$6:INDEX($F:$F, ROW()-1), $F56)) : INDEX(AA:AA, ROW()-1)),
   AVERAGEIFS(
     INDEX((unit_details[Asking Rent],unit_details[Asking PSF]),0,1,IF($U$3="Chunk Rent",1,2)),
     unit_details[Leased Date],"&gt;="&amp;($AM$2-X$5),
     unit_details[Leased Date],"&lt;"&amp;$AM$2,
     unit_details[Beds],$L57,
     unit_details[Baths],$M57,
     unit_details[Partial Baths],IF(ISNUMBER($N57),$N57,""),
     unit_details[Sqft],$P57,
     unit_details[Property Name],$F57)
 ),"")</f>
        <v/>
      </c>
      <c r="Y57" s="552" t="str">
        <f>IFERROR(
 IF($F57="Total",
   SUMPRODUCT(
   INDEX(Y:Y, ROW()-COUNTIF($F$6:INDEX($F:$F, ROW()-1), $F56)) : INDEX(Y:Y, ROW()-1),
   INDEX(AA:AA, ROW()-COUNTIF($F$6:INDEX($F:$F, ROW()-1), $F56)) : INDEX(AA:AA, ROW()-1)
   )
   /SUM(INDEX(AA:AA, ROW()-COUNTIF($F$6:INDEX($F:$F, ROW()-1), $F56)) : INDEX(AA:AA, ROW()-1)),
   AVERAGEIFS(
     INDEX((unit_details[Effective Rent],unit_details[Effective PSF]),0,1,IF($U$3="Chunk Rent",1,2)),
     unit_details[Leased Date],"&gt;="&amp;($AM$2-X$5),
     unit_details[Leased Date],"&lt;"&amp;$AM$2,
     unit_details[Beds],$L57,
     unit_details[Baths],$M57,
     unit_details[Partial Baths],IF(ISNUMBER($N57),$N57,""),
     unit_details[Sqft],$P57,
     unit_details[Property Name],$F57)
 ),"")</f>
        <v/>
      </c>
      <c r="Z57" s="27" t="str">
        <f t="shared" si="11"/>
        <v/>
      </c>
      <c r="AA57" s="526">
        <f>IFERROR(
  IF($F57="Total",
    SUM(INDEX(AA:AA, ROW()-COUNTIF($F$6:INDEX($F:$F, ROW()-1), $F56)) : INDEX(AA:AA, ROW()-1)),
    COUNTIFS(
      unit_details[Leased Date], "&gt;="&amp;($AM$2-X$5),
      unit_details[Leased Date], "&lt;"&amp;$AM$2,
      unit_details[Beds], $L57,
      unit_details[Baths], $M57,
      unit_details[Partial Baths], IF(ISNUMBER($N57), $N57, ""),
      unit_details[Sqft],$P57,
      unit_details[Property Name], $F57
    )
  ),
"")</f>
        <v>0</v>
      </c>
      <c r="AB57" s="290">
        <f>IF($F57="Total",
SUM(INDEX(AB:AB, ROW()-COUNTIF($F$6:INDEX($F:$F, ROW()-1), $F56)) : INDEX(AB:AB, ROW()-1)),
COUNTIFS(unit_details[Active Listing?],TRUE,
          unit_details[Property Name], $F57,
          unit_details[Beds], $L57,
          unit_details[Baths], $M57,
          unit_details[Partial Baths],IF(ISNUMBER($N57),$N57,""),
          unit_details[Sqft],$P57))</f>
        <v>0</v>
      </c>
      <c r="AC57" s="27" t="str">
        <f t="shared" si="3"/>
        <v/>
      </c>
      <c r="AD57" s="293" t="str">
        <f>IFERROR(IF(AE57="","",IF($F57="Total",
SUMPRODUCT(
   INDEX(AD:AD, ROW()-COUNTIF($F$6:INDEX($F:$F, ROW()-1), $F56)) : INDEX(AD:AD, ROW()-1),
   INDEX(AB:AB, ROW()-COUNTIF($F$6:INDEX($F:$F, ROW()-1), $F56)) : INDEX(AB:AB, ROW()-1)
   )
   /SUM(INDEX(AB:AB, ROW()-COUNTIF($F$6:INDEX($F:$F, ROW()-1), $F56)) : INDEX(AB:AB, ROW()-1)),
          _xlfn.MINIFS(unit_details[Asking Rent],
          unit_details[Active Listing?],TRUE,
          unit_details[Property Name], $F57,
          unit_details[Beds], $L57,
          unit_details[Baths], $M57,
          unit_details[Partial Baths], IF(ISNUMBER($N57),$N57,""),
          unit_details[Sqft],$P57
))),"")</f>
        <v/>
      </c>
      <c r="AE57" s="5" t="str">
        <f>IFERROR(IF($F57="Total",
          SUMPRODUCT(
   INDEX(AE:AE, ROW()-COUNTIF($F$6:INDEX($F:$F, ROW()-1), $F56)) : INDEX(AE:AE, ROW()-1),
   INDEX(AB:AB, ROW()-COUNTIF($F$6:INDEX($F:$F, ROW()-1), $F56)) : INDEX(AB:AB, ROW()-1)
   )
   /SUM(INDEX(AB:AB, ROW()-COUNTIF($F$6:INDEX($F:$F, ROW()-1), $F56)) : INDEX(AB:AB, ROW()-1)),
          AVERAGEIFS(unit_details[Asking Rent],
          unit_details[Active Listing?],TRUE,
          unit_details[Property Name], $F57,
          unit_details[Beds], $L57,
          unit_details[Baths], $M57,
          unit_details[Partial Baths], IF(ISNUMBER($N57),$N57,""),
          unit_details[Sqft],$P57
)),"")</f>
        <v/>
      </c>
      <c r="AF57" s="5" t="str">
        <f>IFERROR(IF(AE57="","",IF($F57="Total",
SUMPRODUCT(
   INDEX(AF:AF, ROW()-COUNTIF($F$6:INDEX($F:$F, ROW()-1), $F56)) : INDEX(AF:AF, ROW()-1),
   INDEX(AB:AB, ROW()-COUNTIF($F$6:INDEX($F:$F, ROW()-1), $F56)) : INDEX(AB:AB, ROW()-1)
   )
   /SUM(INDEX(AB:AB, ROW()-COUNTIF($F$6:INDEX($F:$F, ROW()-1), $F56)) : INDEX(AB:AB, ROW()-1)),
           _xlfn.MAXIFS(unit_details[Asking Rent],
          unit_details[Active Listing?],TRUE,
          unit_details[Property Name], $F57,
          unit_details[Beds], $L57,
          unit_details[Baths], $M57,
          unit_details[Partial Baths], IF(ISNUMBER($N57),$N57,""),
          unit_details[Sqft],$P57
))),"")</f>
        <v/>
      </c>
      <c r="AG57" s="6" t="str">
        <f>IFERROR(IF($F57="Total",
         SUMPRODUCT(
         INDEX(AG:AG, ROW()-COUNTIF($F$6:INDEX($F:$F, ROW()-1), $F56)) : INDEX(AG:AG, ROW()-1),
         INDEX(AB:AB, ROW()-COUNTIF($F$6:INDEX($F:$F, ROW()-1), $F56)) : INDEX(AB:AB, ROW()-1)
         )
         /SUM(INDEX(AB:AB, ROW()-COUNTIF($F$6:INDEX($F:$F, ROW()-1), $F56)) : INDEX(AB:AB, ROW()-1)),
          AVERAGEIFS(unit_details[Asking PSF],
          unit_details[Active Listing?],TRUE,
          unit_details[Property Name], $F57,
          unit_details[Beds], $L57,
          unit_details[Baths], $M57,
          unit_details[Partial Baths], IF(ISNUMBER($N57),$N57,""),
          unit_details[Sqft],$P57
)),"")</f>
        <v/>
      </c>
      <c r="AH57" s="293" t="str">
        <f>IFERROR(IF($F57="Total",
         SUMPRODUCT(
         INDEX(AH:AH, ROW()-COUNTIF($F$6:INDEX($F:$F, ROW()-1), $F56)) : INDEX(AH:AH, ROW()-1),
         INDEX(AB:AB, ROW()-COUNTIF($F$6:INDEX($F:$F, ROW()-1), $F56)) : INDEX(AB:AB, ROW()-1)
         )
         /SUM(INDEX(AB:AB, ROW()-COUNTIF($F$6:INDEX($F:$F, ROW()-1), $F56)) : INDEX(AB:AB, ROW()-1)),
          AVERAGEIFS(unit_details[Effective Rent],
          unit_details[Active Listing?],TRUE,
          unit_details[Property Name], $F57,
          unit_details[Beds], $L57,
          unit_details[Baths], $M57,
          unit_details[Partial Baths], IF(ISNUMBER($N57),$N57,""),
          unit_details[Sqft],$P57
)),"")</f>
        <v/>
      </c>
      <c r="AI57" s="6" t="str">
        <f>IFERROR(IF($F57="Total",
         SUMPRODUCT(
         INDEX(AI:AI, ROW()-COUNTIF($F$6:INDEX($F:$F, ROW()-1), $F56)) : INDEX(AI:AI, ROW()-1),
         INDEX(AB:AB, ROW()-COUNTIF($F$6:INDEX($F:$F, ROW()-1), $F56)) : INDEX(AB:AB, ROW()-1)
         )
         /SUM(INDEX(AB:AB, ROW()-COUNTIF($F$6:INDEX($F:$F, ROW()-1), $F56)) : INDEX(AB:AB, ROW()-1)),
           AVERAGEIFS(unit_details[Effective PSF],
          unit_details[Active Listing?],TRUE,
          unit_details[Property Name], $F57,
          unit_details[Beds], $L57,
          unit_details[Baths], $M57,
          unit_details[Partial Baths], IF(ISNUMBER($N57),$N57,""),
          unit_details[Sqft],$P57
)),"")</f>
        <v/>
      </c>
      <c r="AJ57" s="824" t="str">
        <f t="shared" si="4"/>
        <v/>
      </c>
      <c r="AK57" s="531" t="str">
        <f t="shared" si="5"/>
        <v/>
      </c>
      <c r="AL57" s="714" t="str">
        <f t="shared" si="6"/>
        <v/>
      </c>
      <c r="AM57" s="531" t="str">
        <f t="shared" si="7"/>
        <v/>
      </c>
      <c r="AN57" s="716" t="str">
        <f t="shared" si="8"/>
        <v/>
      </c>
    </row>
    <row r="58" spans="6:40" x14ac:dyDescent="0.2">
      <c r="F58" s="1" t="str">
        <f t="shared" si="0"/>
        <v/>
      </c>
      <c r="G58" s="713" t="str">
        <f t="shared" si="9"/>
        <v/>
      </c>
      <c r="H58" s="17" t="str">
        <f>IFERROR(VLOOKUP($G58,Table1[[Property]:[Exposure %]],4,0),"")</f>
        <v/>
      </c>
      <c r="I58" s="3" t="str">
        <f>IFERROR(VLOOKUP($G58,Table1[[Property]:[Exposure %]],6,0),"")</f>
        <v/>
      </c>
      <c r="J58" s="3" t="str">
        <f>IFERROR(VLOOKUP($G58,Table1[[Property]:[Exposure %]],7,0),"")</f>
        <v/>
      </c>
      <c r="K58"/>
      <c r="L58"/>
      <c r="M58"/>
      <c r="N58"/>
      <c r="O58"/>
      <c r="P58"/>
      <c r="Q58"/>
      <c r="R58" s="4" t="str">
        <f>IFERROR(VLOOKUP(IF(F58="Total",F57,F58),Table1[[Property]:['# Units]],7,0)*S58,"")</f>
        <v/>
      </c>
      <c r="S58" s="27" t="str">
        <f t="shared" si="2"/>
        <v/>
      </c>
      <c r="T58" s="531" t="str">
        <f>IFERROR(
 IF($F58="Total",
   SUMPRODUCT(
   INDEX(T:T, ROW()-COUNTIF($F$6:INDEX($F:$F, ROW()-1), $F57)) : INDEX(T:T, ROW()-1),
   INDEX(W:W, ROW()-COUNTIF($F$6:INDEX($F:$F, ROW()-1), $F57)) : INDEX(W:W, ROW()-1)
   )
   /SUM(INDEX(W:W, ROW()-COUNTIF($F$6:INDEX($F:$F, ROW()-1), $F57)) : INDEX(W:W, ROW()-1)),
   AVERAGEIFS(
     INDEX((unit_details[Asking Rent],unit_details[Asking PSF]),0,1,IF($U$3="Chunk Rent",1,2)),
     unit_details[Leased Date],"&gt;="&amp;($AM$2-T$5),
     unit_details[Leased Date],"&lt;"&amp;$AM$2,
     unit_details[Beds],$L58,
     unit_details[Baths],$M58,
     unit_details[Partial Baths],IF(ISNUMBER($N58),$N58,""),
     unit_details[Sqft],$P58,
     unit_details[Property Name],$F58)
 ),"")</f>
        <v/>
      </c>
      <c r="U58" s="552" t="str">
        <f>IFERROR(
 IF($F58="Total",
   SUMPRODUCT(
   INDEX(U:U, ROW()-COUNTIF($F$6:INDEX($F:$F, ROW()-1), $F57)) : INDEX(U:U, ROW()-1),
   INDEX(W:W, ROW()-COUNTIF($F$6:INDEX($F:$F, ROW()-1), $F57)) : INDEX(W:W, ROW()-1)
   )
   /SUM(INDEX(W:W, ROW()-COUNTIF($F$6:INDEX($F:$F, ROW()-1), $F57)) : INDEX(W:W, ROW()-1)),
   AVERAGEIFS(
     INDEX((unit_details[Effective Rent],unit_details[Effective PSF]),0,1,IF($U$3="Chunk Rent",1,2)),
     unit_details[Leased Date],"&gt;="&amp;($AM$2-T$5),
     unit_details[Leased Date],"&lt;"&amp;$AM$2,
     unit_details[Beds],$L58,
     unit_details[Baths],$M58,
     unit_details[Partial Baths],IF(ISNUMBER($N58),$N58,""),
     unit_details[Sqft],$P58,
     unit_details[Property Name],$F58)
 ),"")</f>
        <v/>
      </c>
      <c r="V58" s="27" t="str">
        <f t="shared" si="10"/>
        <v/>
      </c>
      <c r="W58" s="526">
        <f>IFERROR(
  IF($F58="Total",
    SUM(INDEX(W:W, ROW()-COUNTIF($F$6:INDEX($F:$F, ROW()-1), $F57)) : INDEX(W:W, ROW()-1)),
    COUNTIFS(
      unit_details[Leased Date], "&gt;="&amp;($AM$2-T$5),
      unit_details[Leased Date], "&lt;"&amp;$AM$2,
      unit_details[Beds], $L58,
      unit_details[Baths], $M58,
      unit_details[Partial Baths], IF(ISNUMBER($N58), $N58, ""),
      unit_details[Sqft],$P58,
      unit_details[Property Name], $F58
    )
  ),
"")</f>
        <v>0</v>
      </c>
      <c r="X58" s="531" t="str">
        <f>IFERROR(
 IF($F58="Total",
   SUMPRODUCT(
   INDEX(X:X, ROW()-COUNTIF($F$6:INDEX($F:$F, ROW()-1), $F57)) : INDEX(X:X, ROW()-1),
   INDEX(AA:AA, ROW()-COUNTIF($F$6:INDEX($F:$F, ROW()-1), $F57)) : INDEX(AA:AA, ROW()-1)
   )
   /SUM(INDEX(AA:AA, ROW()-COUNTIF($F$6:INDEX($F:$F, ROW()-1), $F57)) : INDEX(AA:AA, ROW()-1)),
   AVERAGEIFS(
     INDEX((unit_details[Asking Rent],unit_details[Asking PSF]),0,1,IF($U$3="Chunk Rent",1,2)),
     unit_details[Leased Date],"&gt;="&amp;($AM$2-X$5),
     unit_details[Leased Date],"&lt;"&amp;$AM$2,
     unit_details[Beds],$L58,
     unit_details[Baths],$M58,
     unit_details[Partial Baths],IF(ISNUMBER($N58),$N58,""),
     unit_details[Sqft],$P58,
     unit_details[Property Name],$F58)
 ),"")</f>
        <v/>
      </c>
      <c r="Y58" s="552" t="str">
        <f>IFERROR(
 IF($F58="Total",
   SUMPRODUCT(
   INDEX(Y:Y, ROW()-COUNTIF($F$6:INDEX($F:$F, ROW()-1), $F57)) : INDEX(Y:Y, ROW()-1),
   INDEX(AA:AA, ROW()-COUNTIF($F$6:INDEX($F:$F, ROW()-1), $F57)) : INDEX(AA:AA, ROW()-1)
   )
   /SUM(INDEX(AA:AA, ROW()-COUNTIF($F$6:INDEX($F:$F, ROW()-1), $F57)) : INDEX(AA:AA, ROW()-1)),
   AVERAGEIFS(
     INDEX((unit_details[Effective Rent],unit_details[Effective PSF]),0,1,IF($U$3="Chunk Rent",1,2)),
     unit_details[Leased Date],"&gt;="&amp;($AM$2-X$5),
     unit_details[Leased Date],"&lt;"&amp;$AM$2,
     unit_details[Beds],$L58,
     unit_details[Baths],$M58,
     unit_details[Partial Baths],IF(ISNUMBER($N58),$N58,""),
     unit_details[Sqft],$P58,
     unit_details[Property Name],$F58)
 ),"")</f>
        <v/>
      </c>
      <c r="Z58" s="27" t="str">
        <f t="shared" si="11"/>
        <v/>
      </c>
      <c r="AA58" s="526">
        <f>IFERROR(
  IF($F58="Total",
    SUM(INDEX(AA:AA, ROW()-COUNTIF($F$6:INDEX($F:$F, ROW()-1), $F57)) : INDEX(AA:AA, ROW()-1)),
    COUNTIFS(
      unit_details[Leased Date], "&gt;="&amp;($AM$2-X$5),
      unit_details[Leased Date], "&lt;"&amp;$AM$2,
      unit_details[Beds], $L58,
      unit_details[Baths], $M58,
      unit_details[Partial Baths], IF(ISNUMBER($N58), $N58, ""),
      unit_details[Sqft],$P58,
      unit_details[Property Name], $F58
    )
  ),
"")</f>
        <v>0</v>
      </c>
      <c r="AB58" s="290">
        <f>IF($F58="Total",
SUM(INDEX(AB:AB, ROW()-COUNTIF($F$6:INDEX($F:$F, ROW()-1), $F57)) : INDEX(AB:AB, ROW()-1)),
COUNTIFS(unit_details[Active Listing?],TRUE,
          unit_details[Property Name], $F58,
          unit_details[Beds], $L58,
          unit_details[Baths], $M58,
          unit_details[Partial Baths],IF(ISNUMBER($N58),$N58,""),
          unit_details[Sqft],$P58))</f>
        <v>0</v>
      </c>
      <c r="AC58" s="27" t="str">
        <f t="shared" si="3"/>
        <v/>
      </c>
      <c r="AD58" s="293" t="str">
        <f>IFERROR(IF(AE58="","",IF($F58="Total",
SUMPRODUCT(
   INDEX(AD:AD, ROW()-COUNTIF($F$6:INDEX($F:$F, ROW()-1), $F57)) : INDEX(AD:AD, ROW()-1),
   INDEX(AB:AB, ROW()-COUNTIF($F$6:INDEX($F:$F, ROW()-1), $F57)) : INDEX(AB:AB, ROW()-1)
   )
   /SUM(INDEX(AB:AB, ROW()-COUNTIF($F$6:INDEX($F:$F, ROW()-1), $F57)) : INDEX(AB:AB, ROW()-1)),
          _xlfn.MINIFS(unit_details[Asking Rent],
          unit_details[Active Listing?],TRUE,
          unit_details[Property Name], $F58,
          unit_details[Beds], $L58,
          unit_details[Baths], $M58,
          unit_details[Partial Baths], IF(ISNUMBER($N58),$N58,""),
          unit_details[Sqft],$P58
))),"")</f>
        <v/>
      </c>
      <c r="AE58" s="5" t="str">
        <f>IFERROR(IF($F58="Total",
          SUMPRODUCT(
   INDEX(AE:AE, ROW()-COUNTIF($F$6:INDEX($F:$F, ROW()-1), $F57)) : INDEX(AE:AE, ROW()-1),
   INDEX(AB:AB, ROW()-COUNTIF($F$6:INDEX($F:$F, ROW()-1), $F57)) : INDEX(AB:AB, ROW()-1)
   )
   /SUM(INDEX(AB:AB, ROW()-COUNTIF($F$6:INDEX($F:$F, ROW()-1), $F57)) : INDEX(AB:AB, ROW()-1)),
          AVERAGEIFS(unit_details[Asking Rent],
          unit_details[Active Listing?],TRUE,
          unit_details[Property Name], $F58,
          unit_details[Beds], $L58,
          unit_details[Baths], $M58,
          unit_details[Partial Baths], IF(ISNUMBER($N58),$N58,""),
          unit_details[Sqft],$P58
)),"")</f>
        <v/>
      </c>
      <c r="AF58" s="5" t="str">
        <f>IFERROR(IF(AE58="","",IF($F58="Total",
SUMPRODUCT(
   INDEX(AF:AF, ROW()-COUNTIF($F$6:INDEX($F:$F, ROW()-1), $F57)) : INDEX(AF:AF, ROW()-1),
   INDEX(AB:AB, ROW()-COUNTIF($F$6:INDEX($F:$F, ROW()-1), $F57)) : INDEX(AB:AB, ROW()-1)
   )
   /SUM(INDEX(AB:AB, ROW()-COUNTIF($F$6:INDEX($F:$F, ROW()-1), $F57)) : INDEX(AB:AB, ROW()-1)),
           _xlfn.MAXIFS(unit_details[Asking Rent],
          unit_details[Active Listing?],TRUE,
          unit_details[Property Name], $F58,
          unit_details[Beds], $L58,
          unit_details[Baths], $M58,
          unit_details[Partial Baths], IF(ISNUMBER($N58),$N58,""),
          unit_details[Sqft],$P58
))),"")</f>
        <v/>
      </c>
      <c r="AG58" s="6" t="str">
        <f>IFERROR(IF($F58="Total",
         SUMPRODUCT(
         INDEX(AG:AG, ROW()-COUNTIF($F$6:INDEX($F:$F, ROW()-1), $F57)) : INDEX(AG:AG, ROW()-1),
         INDEX(AB:AB, ROW()-COUNTIF($F$6:INDEX($F:$F, ROW()-1), $F57)) : INDEX(AB:AB, ROW()-1)
         )
         /SUM(INDEX(AB:AB, ROW()-COUNTIF($F$6:INDEX($F:$F, ROW()-1), $F57)) : INDEX(AB:AB, ROW()-1)),
          AVERAGEIFS(unit_details[Asking PSF],
          unit_details[Active Listing?],TRUE,
          unit_details[Property Name], $F58,
          unit_details[Beds], $L58,
          unit_details[Baths], $M58,
          unit_details[Partial Baths], IF(ISNUMBER($N58),$N58,""),
          unit_details[Sqft],$P58
)),"")</f>
        <v/>
      </c>
      <c r="AH58" s="293" t="str">
        <f>IFERROR(IF($F58="Total",
         SUMPRODUCT(
         INDEX(AH:AH, ROW()-COUNTIF($F$6:INDEX($F:$F, ROW()-1), $F57)) : INDEX(AH:AH, ROW()-1),
         INDEX(AB:AB, ROW()-COUNTIF($F$6:INDEX($F:$F, ROW()-1), $F57)) : INDEX(AB:AB, ROW()-1)
         )
         /SUM(INDEX(AB:AB, ROW()-COUNTIF($F$6:INDEX($F:$F, ROW()-1), $F57)) : INDEX(AB:AB, ROW()-1)),
          AVERAGEIFS(unit_details[Effective Rent],
          unit_details[Active Listing?],TRUE,
          unit_details[Property Name], $F58,
          unit_details[Beds], $L58,
          unit_details[Baths], $M58,
          unit_details[Partial Baths], IF(ISNUMBER($N58),$N58,""),
          unit_details[Sqft],$P58
)),"")</f>
        <v/>
      </c>
      <c r="AI58" s="6" t="str">
        <f>IFERROR(IF($F58="Total",
         SUMPRODUCT(
         INDEX(AI:AI, ROW()-COUNTIF($F$6:INDEX($F:$F, ROW()-1), $F57)) : INDEX(AI:AI, ROW()-1),
         INDEX(AB:AB, ROW()-COUNTIF($F$6:INDEX($F:$F, ROW()-1), $F57)) : INDEX(AB:AB, ROW()-1)
         )
         /SUM(INDEX(AB:AB, ROW()-COUNTIF($F$6:INDEX($F:$F, ROW()-1), $F57)) : INDEX(AB:AB, ROW()-1)),
           AVERAGEIFS(unit_details[Effective PSF],
          unit_details[Active Listing?],TRUE,
          unit_details[Property Name], $F58,
          unit_details[Beds], $L58,
          unit_details[Baths], $M58,
          unit_details[Partial Baths], IF(ISNUMBER($N58),$N58,""),
          unit_details[Sqft],$P58
)),"")</f>
        <v/>
      </c>
      <c r="AJ58" s="824" t="str">
        <f t="shared" si="4"/>
        <v/>
      </c>
      <c r="AK58" s="531" t="str">
        <f t="shared" si="5"/>
        <v/>
      </c>
      <c r="AL58" s="714" t="str">
        <f t="shared" si="6"/>
        <v/>
      </c>
      <c r="AM58" s="531" t="str">
        <f t="shared" si="7"/>
        <v/>
      </c>
      <c r="AN58" s="716" t="str">
        <f t="shared" si="8"/>
        <v/>
      </c>
    </row>
    <row r="59" spans="6:40" x14ac:dyDescent="0.2">
      <c r="F59" s="1" t="str">
        <f t="shared" si="0"/>
        <v/>
      </c>
      <c r="G59" s="713" t="str">
        <f t="shared" si="9"/>
        <v/>
      </c>
      <c r="H59" s="17" t="str">
        <f>IFERROR(VLOOKUP($G59,Table1[[Property]:[Exposure %]],4,0),"")</f>
        <v/>
      </c>
      <c r="I59" s="3" t="str">
        <f>IFERROR(VLOOKUP($G59,Table1[[Property]:[Exposure %]],6,0),"")</f>
        <v/>
      </c>
      <c r="J59" s="3" t="str">
        <f>IFERROR(VLOOKUP($G59,Table1[[Property]:[Exposure %]],7,0),"")</f>
        <v/>
      </c>
      <c r="K59"/>
      <c r="L59"/>
      <c r="M59"/>
      <c r="N59"/>
      <c r="O59"/>
      <c r="P59"/>
      <c r="Q59"/>
      <c r="R59" s="4" t="str">
        <f>IFERROR(VLOOKUP(IF(F59="Total",F58,F59),Table1[[Property]:['# Units]],7,0)*S59,"")</f>
        <v/>
      </c>
      <c r="S59" s="27" t="str">
        <f t="shared" si="2"/>
        <v/>
      </c>
      <c r="T59" s="531" t="str">
        <f>IFERROR(
 IF($F59="Total",
   SUMPRODUCT(
   INDEX(T:T, ROW()-COUNTIF($F$6:INDEX($F:$F, ROW()-1), $F58)) : INDEX(T:T, ROW()-1),
   INDEX(W:W, ROW()-COUNTIF($F$6:INDEX($F:$F, ROW()-1), $F58)) : INDEX(W:W, ROW()-1)
   )
   /SUM(INDEX(W:W, ROW()-COUNTIF($F$6:INDEX($F:$F, ROW()-1), $F58)) : INDEX(W:W, ROW()-1)),
   AVERAGEIFS(
     INDEX((unit_details[Asking Rent],unit_details[Asking PSF]),0,1,IF($U$3="Chunk Rent",1,2)),
     unit_details[Leased Date],"&gt;="&amp;($AM$2-T$5),
     unit_details[Leased Date],"&lt;"&amp;$AM$2,
     unit_details[Beds],$L59,
     unit_details[Baths],$M59,
     unit_details[Partial Baths],IF(ISNUMBER($N59),$N59,""),
     unit_details[Sqft],$P59,
     unit_details[Property Name],$F59)
 ),"")</f>
        <v/>
      </c>
      <c r="U59" s="552" t="str">
        <f>IFERROR(
 IF($F59="Total",
   SUMPRODUCT(
   INDEX(U:U, ROW()-COUNTIF($F$6:INDEX($F:$F, ROW()-1), $F58)) : INDEX(U:U, ROW()-1),
   INDEX(W:W, ROW()-COUNTIF($F$6:INDEX($F:$F, ROW()-1), $F58)) : INDEX(W:W, ROW()-1)
   )
   /SUM(INDEX(W:W, ROW()-COUNTIF($F$6:INDEX($F:$F, ROW()-1), $F58)) : INDEX(W:W, ROW()-1)),
   AVERAGEIFS(
     INDEX((unit_details[Effective Rent],unit_details[Effective PSF]),0,1,IF($U$3="Chunk Rent",1,2)),
     unit_details[Leased Date],"&gt;="&amp;($AM$2-T$5),
     unit_details[Leased Date],"&lt;"&amp;$AM$2,
     unit_details[Beds],$L59,
     unit_details[Baths],$M59,
     unit_details[Partial Baths],IF(ISNUMBER($N59),$N59,""),
     unit_details[Sqft],$P59,
     unit_details[Property Name],$F59)
 ),"")</f>
        <v/>
      </c>
      <c r="V59" s="27" t="str">
        <f t="shared" si="10"/>
        <v/>
      </c>
      <c r="W59" s="526">
        <f>IFERROR(
  IF($F59="Total",
    SUM(INDEX(W:W, ROW()-COUNTIF($F$6:INDEX($F:$F, ROW()-1), $F58)) : INDEX(W:W, ROW()-1)),
    COUNTIFS(
      unit_details[Leased Date], "&gt;="&amp;($AM$2-T$5),
      unit_details[Leased Date], "&lt;"&amp;$AM$2,
      unit_details[Beds], $L59,
      unit_details[Baths], $M59,
      unit_details[Partial Baths], IF(ISNUMBER($N59), $N59, ""),
      unit_details[Sqft],$P59,
      unit_details[Property Name], $F59
    )
  ),
"")</f>
        <v>0</v>
      </c>
      <c r="X59" s="531" t="str">
        <f>IFERROR(
 IF($F59="Total",
   SUMPRODUCT(
   INDEX(X:X, ROW()-COUNTIF($F$6:INDEX($F:$F, ROW()-1), $F58)) : INDEX(X:X, ROW()-1),
   INDEX(AA:AA, ROW()-COUNTIF($F$6:INDEX($F:$F, ROW()-1), $F58)) : INDEX(AA:AA, ROW()-1)
   )
   /SUM(INDEX(AA:AA, ROW()-COUNTIF($F$6:INDEX($F:$F, ROW()-1), $F58)) : INDEX(AA:AA, ROW()-1)),
   AVERAGEIFS(
     INDEX((unit_details[Asking Rent],unit_details[Asking PSF]),0,1,IF($U$3="Chunk Rent",1,2)),
     unit_details[Leased Date],"&gt;="&amp;($AM$2-X$5),
     unit_details[Leased Date],"&lt;"&amp;$AM$2,
     unit_details[Beds],$L59,
     unit_details[Baths],$M59,
     unit_details[Partial Baths],IF(ISNUMBER($N59),$N59,""),
     unit_details[Sqft],$P59,
     unit_details[Property Name],$F59)
 ),"")</f>
        <v/>
      </c>
      <c r="Y59" s="552" t="str">
        <f>IFERROR(
 IF($F59="Total",
   SUMPRODUCT(
   INDEX(Y:Y, ROW()-COUNTIF($F$6:INDEX($F:$F, ROW()-1), $F58)) : INDEX(Y:Y, ROW()-1),
   INDEX(AA:AA, ROW()-COUNTIF($F$6:INDEX($F:$F, ROW()-1), $F58)) : INDEX(AA:AA, ROW()-1)
   )
   /SUM(INDEX(AA:AA, ROW()-COUNTIF($F$6:INDEX($F:$F, ROW()-1), $F58)) : INDEX(AA:AA, ROW()-1)),
   AVERAGEIFS(
     INDEX((unit_details[Effective Rent],unit_details[Effective PSF]),0,1,IF($U$3="Chunk Rent",1,2)),
     unit_details[Leased Date],"&gt;="&amp;($AM$2-X$5),
     unit_details[Leased Date],"&lt;"&amp;$AM$2,
     unit_details[Beds],$L59,
     unit_details[Baths],$M59,
     unit_details[Partial Baths],IF(ISNUMBER($N59),$N59,""),
     unit_details[Sqft],$P59,
     unit_details[Property Name],$F59)
 ),"")</f>
        <v/>
      </c>
      <c r="Z59" s="27" t="str">
        <f t="shared" si="11"/>
        <v/>
      </c>
      <c r="AA59" s="526">
        <f>IFERROR(
  IF($F59="Total",
    SUM(INDEX(AA:AA, ROW()-COUNTIF($F$6:INDEX($F:$F, ROW()-1), $F58)) : INDEX(AA:AA, ROW()-1)),
    COUNTIFS(
      unit_details[Leased Date], "&gt;="&amp;($AM$2-X$5),
      unit_details[Leased Date], "&lt;"&amp;$AM$2,
      unit_details[Beds], $L59,
      unit_details[Baths], $M59,
      unit_details[Partial Baths], IF(ISNUMBER($N59), $N59, ""),
      unit_details[Sqft],$P59,
      unit_details[Property Name], $F59
    )
  ),
"")</f>
        <v>0</v>
      </c>
      <c r="AB59" s="290">
        <f>IF($F59="Total",
SUM(INDEX(AB:AB, ROW()-COUNTIF($F$6:INDEX($F:$F, ROW()-1), $F58)) : INDEX(AB:AB, ROW()-1)),
COUNTIFS(unit_details[Active Listing?],TRUE,
          unit_details[Property Name], $F59,
          unit_details[Beds], $L59,
          unit_details[Baths], $M59,
          unit_details[Partial Baths],IF(ISNUMBER($N59),$N59,""),
          unit_details[Sqft],$P59))</f>
        <v>0</v>
      </c>
      <c r="AC59" s="27" t="str">
        <f t="shared" si="3"/>
        <v/>
      </c>
      <c r="AD59" s="293" t="str">
        <f>IFERROR(IF(AE59="","",IF($F59="Total",
SUMPRODUCT(
   INDEX(AD:AD, ROW()-COUNTIF($F$6:INDEX($F:$F, ROW()-1), $F58)) : INDEX(AD:AD, ROW()-1),
   INDEX(AB:AB, ROW()-COUNTIF($F$6:INDEX($F:$F, ROW()-1), $F58)) : INDEX(AB:AB, ROW()-1)
   )
   /SUM(INDEX(AB:AB, ROW()-COUNTIF($F$6:INDEX($F:$F, ROW()-1), $F58)) : INDEX(AB:AB, ROW()-1)),
          _xlfn.MINIFS(unit_details[Asking Rent],
          unit_details[Active Listing?],TRUE,
          unit_details[Property Name], $F59,
          unit_details[Beds], $L59,
          unit_details[Baths], $M59,
          unit_details[Partial Baths], IF(ISNUMBER($N59),$N59,""),
          unit_details[Sqft],$P59
))),"")</f>
        <v/>
      </c>
      <c r="AE59" s="5" t="str">
        <f>IFERROR(IF($F59="Total",
          SUMPRODUCT(
   INDEX(AE:AE, ROW()-COUNTIF($F$6:INDEX($F:$F, ROW()-1), $F58)) : INDEX(AE:AE, ROW()-1),
   INDEX(AB:AB, ROW()-COUNTIF($F$6:INDEX($F:$F, ROW()-1), $F58)) : INDEX(AB:AB, ROW()-1)
   )
   /SUM(INDEX(AB:AB, ROW()-COUNTIF($F$6:INDEX($F:$F, ROW()-1), $F58)) : INDEX(AB:AB, ROW()-1)),
          AVERAGEIFS(unit_details[Asking Rent],
          unit_details[Active Listing?],TRUE,
          unit_details[Property Name], $F59,
          unit_details[Beds], $L59,
          unit_details[Baths], $M59,
          unit_details[Partial Baths], IF(ISNUMBER($N59),$N59,""),
          unit_details[Sqft],$P59
)),"")</f>
        <v/>
      </c>
      <c r="AF59" s="5" t="str">
        <f>IFERROR(IF(AE59="","",IF($F59="Total",
SUMPRODUCT(
   INDEX(AF:AF, ROW()-COUNTIF($F$6:INDEX($F:$F, ROW()-1), $F58)) : INDEX(AF:AF, ROW()-1),
   INDEX(AB:AB, ROW()-COUNTIF($F$6:INDEX($F:$F, ROW()-1), $F58)) : INDEX(AB:AB, ROW()-1)
   )
   /SUM(INDEX(AB:AB, ROW()-COUNTIF($F$6:INDEX($F:$F, ROW()-1), $F58)) : INDEX(AB:AB, ROW()-1)),
           _xlfn.MAXIFS(unit_details[Asking Rent],
          unit_details[Active Listing?],TRUE,
          unit_details[Property Name], $F59,
          unit_details[Beds], $L59,
          unit_details[Baths], $M59,
          unit_details[Partial Baths], IF(ISNUMBER($N59),$N59,""),
          unit_details[Sqft],$P59
))),"")</f>
        <v/>
      </c>
      <c r="AG59" s="6" t="str">
        <f>IFERROR(IF($F59="Total",
         SUMPRODUCT(
         INDEX(AG:AG, ROW()-COUNTIF($F$6:INDEX($F:$F, ROW()-1), $F58)) : INDEX(AG:AG, ROW()-1),
         INDEX(AB:AB, ROW()-COUNTIF($F$6:INDEX($F:$F, ROW()-1), $F58)) : INDEX(AB:AB, ROW()-1)
         )
         /SUM(INDEX(AB:AB, ROW()-COUNTIF($F$6:INDEX($F:$F, ROW()-1), $F58)) : INDEX(AB:AB, ROW()-1)),
          AVERAGEIFS(unit_details[Asking PSF],
          unit_details[Active Listing?],TRUE,
          unit_details[Property Name], $F59,
          unit_details[Beds], $L59,
          unit_details[Baths], $M59,
          unit_details[Partial Baths], IF(ISNUMBER($N59),$N59,""),
          unit_details[Sqft],$P59
)),"")</f>
        <v/>
      </c>
      <c r="AH59" s="293" t="str">
        <f>IFERROR(IF($F59="Total",
         SUMPRODUCT(
         INDEX(AH:AH, ROW()-COUNTIF($F$6:INDEX($F:$F, ROW()-1), $F58)) : INDEX(AH:AH, ROW()-1),
         INDEX(AB:AB, ROW()-COUNTIF($F$6:INDEX($F:$F, ROW()-1), $F58)) : INDEX(AB:AB, ROW()-1)
         )
         /SUM(INDEX(AB:AB, ROW()-COUNTIF($F$6:INDEX($F:$F, ROW()-1), $F58)) : INDEX(AB:AB, ROW()-1)),
          AVERAGEIFS(unit_details[Effective Rent],
          unit_details[Active Listing?],TRUE,
          unit_details[Property Name], $F59,
          unit_details[Beds], $L59,
          unit_details[Baths], $M59,
          unit_details[Partial Baths], IF(ISNUMBER($N59),$N59,""),
          unit_details[Sqft],$P59
)),"")</f>
        <v/>
      </c>
      <c r="AI59" s="6" t="str">
        <f>IFERROR(IF($F59="Total",
         SUMPRODUCT(
         INDEX(AI:AI, ROW()-COUNTIF($F$6:INDEX($F:$F, ROW()-1), $F58)) : INDEX(AI:AI, ROW()-1),
         INDEX(AB:AB, ROW()-COUNTIF($F$6:INDEX($F:$F, ROW()-1), $F58)) : INDEX(AB:AB, ROW()-1)
         )
         /SUM(INDEX(AB:AB, ROW()-COUNTIF($F$6:INDEX($F:$F, ROW()-1), $F58)) : INDEX(AB:AB, ROW()-1)),
           AVERAGEIFS(unit_details[Effective PSF],
          unit_details[Active Listing?],TRUE,
          unit_details[Property Name], $F59,
          unit_details[Beds], $L59,
          unit_details[Baths], $M59,
          unit_details[Partial Baths], IF(ISNUMBER($N59),$N59,""),
          unit_details[Sqft],$P59
)),"")</f>
        <v/>
      </c>
      <c r="AJ59" s="824" t="str">
        <f t="shared" si="4"/>
        <v/>
      </c>
      <c r="AK59" s="531" t="str">
        <f t="shared" si="5"/>
        <v/>
      </c>
      <c r="AL59" s="714" t="str">
        <f t="shared" si="6"/>
        <v/>
      </c>
      <c r="AM59" s="531" t="str">
        <f t="shared" si="7"/>
        <v/>
      </c>
      <c r="AN59" s="716" t="str">
        <f t="shared" si="8"/>
        <v/>
      </c>
    </row>
    <row r="60" spans="6:40" x14ac:dyDescent="0.2">
      <c r="F60" s="1" t="str">
        <f t="shared" si="0"/>
        <v/>
      </c>
      <c r="G60" s="713" t="str">
        <f t="shared" si="9"/>
        <v/>
      </c>
      <c r="H60" s="17" t="str">
        <f>IFERROR(VLOOKUP($G60,Table1[[Property]:[Exposure %]],4,0),"")</f>
        <v/>
      </c>
      <c r="I60" s="3" t="str">
        <f>IFERROR(VLOOKUP($G60,Table1[[Property]:[Exposure %]],6,0),"")</f>
        <v/>
      </c>
      <c r="J60" s="3" t="str">
        <f>IFERROR(VLOOKUP($G60,Table1[[Property]:[Exposure %]],7,0),"")</f>
        <v/>
      </c>
      <c r="K60"/>
      <c r="L60"/>
      <c r="M60"/>
      <c r="N60"/>
      <c r="O60"/>
      <c r="P60"/>
      <c r="Q60"/>
      <c r="R60" s="4" t="str">
        <f>IFERROR(VLOOKUP(IF(F60="Total",F59,F60),Table1[[Property]:['# Units]],7,0)*S60,"")</f>
        <v/>
      </c>
      <c r="S60" s="27" t="str">
        <f t="shared" si="2"/>
        <v/>
      </c>
      <c r="T60" s="531" t="str">
        <f>IFERROR(
 IF($F60="Total",
   SUMPRODUCT(
   INDEX(T:T, ROW()-COUNTIF($F$6:INDEX($F:$F, ROW()-1), $F59)) : INDEX(T:T, ROW()-1),
   INDEX(W:W, ROW()-COUNTIF($F$6:INDEX($F:$F, ROW()-1), $F59)) : INDEX(W:W, ROW()-1)
   )
   /SUM(INDEX(W:W, ROW()-COUNTIF($F$6:INDEX($F:$F, ROW()-1), $F59)) : INDEX(W:W, ROW()-1)),
   AVERAGEIFS(
     INDEX((unit_details[Asking Rent],unit_details[Asking PSF]),0,1,IF($U$3="Chunk Rent",1,2)),
     unit_details[Leased Date],"&gt;="&amp;($AM$2-T$5),
     unit_details[Leased Date],"&lt;"&amp;$AM$2,
     unit_details[Beds],$L60,
     unit_details[Baths],$M60,
     unit_details[Partial Baths],IF(ISNUMBER($N60),$N60,""),
     unit_details[Sqft],$P60,
     unit_details[Property Name],$F60)
 ),"")</f>
        <v/>
      </c>
      <c r="U60" s="552" t="str">
        <f>IFERROR(
 IF($F60="Total",
   SUMPRODUCT(
   INDEX(U:U, ROW()-COUNTIF($F$6:INDEX($F:$F, ROW()-1), $F59)) : INDEX(U:U, ROW()-1),
   INDEX(W:W, ROW()-COUNTIF($F$6:INDEX($F:$F, ROW()-1), $F59)) : INDEX(W:W, ROW()-1)
   )
   /SUM(INDEX(W:W, ROW()-COUNTIF($F$6:INDEX($F:$F, ROW()-1), $F59)) : INDEX(W:W, ROW()-1)),
   AVERAGEIFS(
     INDEX((unit_details[Effective Rent],unit_details[Effective PSF]),0,1,IF($U$3="Chunk Rent",1,2)),
     unit_details[Leased Date],"&gt;="&amp;($AM$2-T$5),
     unit_details[Leased Date],"&lt;"&amp;$AM$2,
     unit_details[Beds],$L60,
     unit_details[Baths],$M60,
     unit_details[Partial Baths],IF(ISNUMBER($N60),$N60,""),
     unit_details[Sqft],$P60,
     unit_details[Property Name],$F60)
 ),"")</f>
        <v/>
      </c>
      <c r="V60" s="27" t="str">
        <f t="shared" si="10"/>
        <v/>
      </c>
      <c r="W60" s="526">
        <f>IFERROR(
  IF($F60="Total",
    SUM(INDEX(W:W, ROW()-COUNTIF($F$6:INDEX($F:$F, ROW()-1), $F59)) : INDEX(W:W, ROW()-1)),
    COUNTIFS(
      unit_details[Leased Date], "&gt;="&amp;($AM$2-T$5),
      unit_details[Leased Date], "&lt;"&amp;$AM$2,
      unit_details[Beds], $L60,
      unit_details[Baths], $M60,
      unit_details[Partial Baths], IF(ISNUMBER($N60), $N60, ""),
      unit_details[Sqft],$P60,
      unit_details[Property Name], $F60
    )
  ),
"")</f>
        <v>0</v>
      </c>
      <c r="X60" s="531" t="str">
        <f>IFERROR(
 IF($F60="Total",
   SUMPRODUCT(
   INDEX(X:X, ROW()-COUNTIF($F$6:INDEX($F:$F, ROW()-1), $F59)) : INDEX(X:X, ROW()-1),
   INDEX(AA:AA, ROW()-COUNTIF($F$6:INDEX($F:$F, ROW()-1), $F59)) : INDEX(AA:AA, ROW()-1)
   )
   /SUM(INDEX(AA:AA, ROW()-COUNTIF($F$6:INDEX($F:$F, ROW()-1), $F59)) : INDEX(AA:AA, ROW()-1)),
   AVERAGEIFS(
     INDEX((unit_details[Asking Rent],unit_details[Asking PSF]),0,1,IF($U$3="Chunk Rent",1,2)),
     unit_details[Leased Date],"&gt;="&amp;($AM$2-X$5),
     unit_details[Leased Date],"&lt;"&amp;$AM$2,
     unit_details[Beds],$L60,
     unit_details[Baths],$M60,
     unit_details[Partial Baths],IF(ISNUMBER($N60),$N60,""),
     unit_details[Sqft],$P60,
     unit_details[Property Name],$F60)
 ),"")</f>
        <v/>
      </c>
      <c r="Y60" s="552" t="str">
        <f>IFERROR(
 IF($F60="Total",
   SUMPRODUCT(
   INDEX(Y:Y, ROW()-COUNTIF($F$6:INDEX($F:$F, ROW()-1), $F59)) : INDEX(Y:Y, ROW()-1),
   INDEX(AA:AA, ROW()-COUNTIF($F$6:INDEX($F:$F, ROW()-1), $F59)) : INDEX(AA:AA, ROW()-1)
   )
   /SUM(INDEX(AA:AA, ROW()-COUNTIF($F$6:INDEX($F:$F, ROW()-1), $F59)) : INDEX(AA:AA, ROW()-1)),
   AVERAGEIFS(
     INDEX((unit_details[Effective Rent],unit_details[Effective PSF]),0,1,IF($U$3="Chunk Rent",1,2)),
     unit_details[Leased Date],"&gt;="&amp;($AM$2-X$5),
     unit_details[Leased Date],"&lt;"&amp;$AM$2,
     unit_details[Beds],$L60,
     unit_details[Baths],$M60,
     unit_details[Partial Baths],IF(ISNUMBER($N60),$N60,""),
     unit_details[Sqft],$P60,
     unit_details[Property Name],$F60)
 ),"")</f>
        <v/>
      </c>
      <c r="Z60" s="27" t="str">
        <f t="shared" si="11"/>
        <v/>
      </c>
      <c r="AA60" s="526">
        <f>IFERROR(
  IF($F60="Total",
    SUM(INDEX(AA:AA, ROW()-COUNTIF($F$6:INDEX($F:$F, ROW()-1), $F59)) : INDEX(AA:AA, ROW()-1)),
    COUNTIFS(
      unit_details[Leased Date], "&gt;="&amp;($AM$2-X$5),
      unit_details[Leased Date], "&lt;"&amp;$AM$2,
      unit_details[Beds], $L60,
      unit_details[Baths], $M60,
      unit_details[Partial Baths], IF(ISNUMBER($N60), $N60, ""),
      unit_details[Sqft],$P60,
      unit_details[Property Name], $F60
    )
  ),
"")</f>
        <v>0</v>
      </c>
      <c r="AB60" s="290">
        <f>IF($F60="Total",
SUM(INDEX(AB:AB, ROW()-COUNTIF($F$6:INDEX($F:$F, ROW()-1), $F59)) : INDEX(AB:AB, ROW()-1)),
COUNTIFS(unit_details[Active Listing?],TRUE,
          unit_details[Property Name], $F60,
          unit_details[Beds], $L60,
          unit_details[Baths], $M60,
          unit_details[Partial Baths],IF(ISNUMBER($N60),$N60,""),
          unit_details[Sqft],$P60))</f>
        <v>0</v>
      </c>
      <c r="AC60" s="27" t="str">
        <f t="shared" si="3"/>
        <v/>
      </c>
      <c r="AD60" s="293" t="str">
        <f>IFERROR(IF(AE60="","",IF($F60="Total",
SUMPRODUCT(
   INDEX(AD:AD, ROW()-COUNTIF($F$6:INDEX($F:$F, ROW()-1), $F59)) : INDEX(AD:AD, ROW()-1),
   INDEX(AB:AB, ROW()-COUNTIF($F$6:INDEX($F:$F, ROW()-1), $F59)) : INDEX(AB:AB, ROW()-1)
   )
   /SUM(INDEX(AB:AB, ROW()-COUNTIF($F$6:INDEX($F:$F, ROW()-1), $F59)) : INDEX(AB:AB, ROW()-1)),
          _xlfn.MINIFS(unit_details[Asking Rent],
          unit_details[Active Listing?],TRUE,
          unit_details[Property Name], $F60,
          unit_details[Beds], $L60,
          unit_details[Baths], $M60,
          unit_details[Partial Baths], IF(ISNUMBER($N60),$N60,""),
          unit_details[Sqft],$P60
))),"")</f>
        <v/>
      </c>
      <c r="AE60" s="5" t="str">
        <f>IFERROR(IF($F60="Total",
          SUMPRODUCT(
   INDEX(AE:AE, ROW()-COUNTIF($F$6:INDEX($F:$F, ROW()-1), $F59)) : INDEX(AE:AE, ROW()-1),
   INDEX(AB:AB, ROW()-COUNTIF($F$6:INDEX($F:$F, ROW()-1), $F59)) : INDEX(AB:AB, ROW()-1)
   )
   /SUM(INDEX(AB:AB, ROW()-COUNTIF($F$6:INDEX($F:$F, ROW()-1), $F59)) : INDEX(AB:AB, ROW()-1)),
          AVERAGEIFS(unit_details[Asking Rent],
          unit_details[Active Listing?],TRUE,
          unit_details[Property Name], $F60,
          unit_details[Beds], $L60,
          unit_details[Baths], $M60,
          unit_details[Partial Baths], IF(ISNUMBER($N60),$N60,""),
          unit_details[Sqft],$P60
)),"")</f>
        <v/>
      </c>
      <c r="AF60" s="5" t="str">
        <f>IFERROR(IF(AE60="","",IF($F60="Total",
SUMPRODUCT(
   INDEX(AF:AF, ROW()-COUNTIF($F$6:INDEX($F:$F, ROW()-1), $F59)) : INDEX(AF:AF, ROW()-1),
   INDEX(AB:AB, ROW()-COUNTIF($F$6:INDEX($F:$F, ROW()-1), $F59)) : INDEX(AB:AB, ROW()-1)
   )
   /SUM(INDEX(AB:AB, ROW()-COUNTIF($F$6:INDEX($F:$F, ROW()-1), $F59)) : INDEX(AB:AB, ROW()-1)),
           _xlfn.MAXIFS(unit_details[Asking Rent],
          unit_details[Active Listing?],TRUE,
          unit_details[Property Name], $F60,
          unit_details[Beds], $L60,
          unit_details[Baths], $M60,
          unit_details[Partial Baths], IF(ISNUMBER($N60),$N60,""),
          unit_details[Sqft],$P60
))),"")</f>
        <v/>
      </c>
      <c r="AG60" s="6" t="str">
        <f>IFERROR(IF($F60="Total",
         SUMPRODUCT(
         INDEX(AG:AG, ROW()-COUNTIF($F$6:INDEX($F:$F, ROW()-1), $F59)) : INDEX(AG:AG, ROW()-1),
         INDEX(AB:AB, ROW()-COUNTIF($F$6:INDEX($F:$F, ROW()-1), $F59)) : INDEX(AB:AB, ROW()-1)
         )
         /SUM(INDEX(AB:AB, ROW()-COUNTIF($F$6:INDEX($F:$F, ROW()-1), $F59)) : INDEX(AB:AB, ROW()-1)),
          AVERAGEIFS(unit_details[Asking PSF],
          unit_details[Active Listing?],TRUE,
          unit_details[Property Name], $F60,
          unit_details[Beds], $L60,
          unit_details[Baths], $M60,
          unit_details[Partial Baths], IF(ISNUMBER($N60),$N60,""),
          unit_details[Sqft],$P60
)),"")</f>
        <v/>
      </c>
      <c r="AH60" s="293" t="str">
        <f>IFERROR(IF($F60="Total",
         SUMPRODUCT(
         INDEX(AH:AH, ROW()-COUNTIF($F$6:INDEX($F:$F, ROW()-1), $F59)) : INDEX(AH:AH, ROW()-1),
         INDEX(AB:AB, ROW()-COUNTIF($F$6:INDEX($F:$F, ROW()-1), $F59)) : INDEX(AB:AB, ROW()-1)
         )
         /SUM(INDEX(AB:AB, ROW()-COUNTIF($F$6:INDEX($F:$F, ROW()-1), $F59)) : INDEX(AB:AB, ROW()-1)),
          AVERAGEIFS(unit_details[Effective Rent],
          unit_details[Active Listing?],TRUE,
          unit_details[Property Name], $F60,
          unit_details[Beds], $L60,
          unit_details[Baths], $M60,
          unit_details[Partial Baths], IF(ISNUMBER($N60),$N60,""),
          unit_details[Sqft],$P60
)),"")</f>
        <v/>
      </c>
      <c r="AI60" s="6" t="str">
        <f>IFERROR(IF($F60="Total",
         SUMPRODUCT(
         INDEX(AI:AI, ROW()-COUNTIF($F$6:INDEX($F:$F, ROW()-1), $F59)) : INDEX(AI:AI, ROW()-1),
         INDEX(AB:AB, ROW()-COUNTIF($F$6:INDEX($F:$F, ROW()-1), $F59)) : INDEX(AB:AB, ROW()-1)
         )
         /SUM(INDEX(AB:AB, ROW()-COUNTIF($F$6:INDEX($F:$F, ROW()-1), $F59)) : INDEX(AB:AB, ROW()-1)),
           AVERAGEIFS(unit_details[Effective PSF],
          unit_details[Active Listing?],TRUE,
          unit_details[Property Name], $F60,
          unit_details[Beds], $L60,
          unit_details[Baths], $M60,
          unit_details[Partial Baths], IF(ISNUMBER($N60),$N60,""),
          unit_details[Sqft],$P60
)),"")</f>
        <v/>
      </c>
      <c r="AJ60" s="824" t="str">
        <f t="shared" si="4"/>
        <v/>
      </c>
      <c r="AK60" s="531" t="str">
        <f t="shared" si="5"/>
        <v/>
      </c>
      <c r="AL60" s="714" t="str">
        <f t="shared" si="6"/>
        <v/>
      </c>
      <c r="AM60" s="531" t="str">
        <f t="shared" si="7"/>
        <v/>
      </c>
      <c r="AN60" s="716" t="str">
        <f t="shared" si="8"/>
        <v/>
      </c>
    </row>
    <row r="61" spans="6:40" x14ac:dyDescent="0.2">
      <c r="F61" s="1" t="str">
        <f t="shared" si="0"/>
        <v/>
      </c>
      <c r="G61" s="713" t="str">
        <f t="shared" si="9"/>
        <v/>
      </c>
      <c r="H61" s="17" t="str">
        <f>IFERROR(VLOOKUP($G61,Table1[[Property]:[Exposure %]],4,0),"")</f>
        <v/>
      </c>
      <c r="I61" s="3" t="str">
        <f>IFERROR(VLOOKUP($G61,Table1[[Property]:[Exposure %]],6,0),"")</f>
        <v/>
      </c>
      <c r="J61" s="3" t="str">
        <f>IFERROR(VLOOKUP($G61,Table1[[Property]:[Exposure %]],7,0),"")</f>
        <v/>
      </c>
      <c r="K61"/>
      <c r="L61"/>
      <c r="M61"/>
      <c r="N61"/>
      <c r="O61"/>
      <c r="P61"/>
      <c r="Q61"/>
      <c r="R61" s="4" t="str">
        <f>IFERROR(VLOOKUP(IF(F61="Total",F60,F61),Table1[[Property]:['# Units]],7,0)*S61,"")</f>
        <v/>
      </c>
      <c r="S61" s="27" t="str">
        <f t="shared" si="2"/>
        <v/>
      </c>
      <c r="T61" s="531" t="str">
        <f>IFERROR(
 IF($F61="Total",
   SUMPRODUCT(
   INDEX(T:T, ROW()-COUNTIF($F$6:INDEX($F:$F, ROW()-1), $F60)) : INDEX(T:T, ROW()-1),
   INDEX(W:W, ROW()-COUNTIF($F$6:INDEX($F:$F, ROW()-1), $F60)) : INDEX(W:W, ROW()-1)
   )
   /SUM(INDEX(W:W, ROW()-COUNTIF($F$6:INDEX($F:$F, ROW()-1), $F60)) : INDEX(W:W, ROW()-1)),
   AVERAGEIFS(
     INDEX((unit_details[Asking Rent],unit_details[Asking PSF]),0,1,IF($U$3="Chunk Rent",1,2)),
     unit_details[Leased Date],"&gt;="&amp;($AM$2-T$5),
     unit_details[Leased Date],"&lt;"&amp;$AM$2,
     unit_details[Beds],$L61,
     unit_details[Baths],$M61,
     unit_details[Partial Baths],IF(ISNUMBER($N61),$N61,""),
     unit_details[Sqft],$P61,
     unit_details[Property Name],$F61)
 ),"")</f>
        <v/>
      </c>
      <c r="U61" s="552" t="str">
        <f>IFERROR(
 IF($F61="Total",
   SUMPRODUCT(
   INDEX(U:U, ROW()-COUNTIF($F$6:INDEX($F:$F, ROW()-1), $F60)) : INDEX(U:U, ROW()-1),
   INDEX(W:W, ROW()-COUNTIF($F$6:INDEX($F:$F, ROW()-1), $F60)) : INDEX(W:W, ROW()-1)
   )
   /SUM(INDEX(W:W, ROW()-COUNTIF($F$6:INDEX($F:$F, ROW()-1), $F60)) : INDEX(W:W, ROW()-1)),
   AVERAGEIFS(
     INDEX((unit_details[Effective Rent],unit_details[Effective PSF]),0,1,IF($U$3="Chunk Rent",1,2)),
     unit_details[Leased Date],"&gt;="&amp;($AM$2-T$5),
     unit_details[Leased Date],"&lt;"&amp;$AM$2,
     unit_details[Beds],$L61,
     unit_details[Baths],$M61,
     unit_details[Partial Baths],IF(ISNUMBER($N61),$N61,""),
     unit_details[Sqft],$P61,
     unit_details[Property Name],$F61)
 ),"")</f>
        <v/>
      </c>
      <c r="V61" s="27" t="str">
        <f t="shared" si="10"/>
        <v/>
      </c>
      <c r="W61" s="526">
        <f>IFERROR(
  IF($F61="Total",
    SUM(INDEX(W:W, ROW()-COUNTIF($F$6:INDEX($F:$F, ROW()-1), $F60)) : INDEX(W:W, ROW()-1)),
    COUNTIFS(
      unit_details[Leased Date], "&gt;="&amp;($AM$2-T$5),
      unit_details[Leased Date], "&lt;"&amp;$AM$2,
      unit_details[Beds], $L61,
      unit_details[Baths], $M61,
      unit_details[Partial Baths], IF(ISNUMBER($N61), $N61, ""),
      unit_details[Sqft],$P61,
      unit_details[Property Name], $F61
    )
  ),
"")</f>
        <v>0</v>
      </c>
      <c r="X61" s="531" t="str">
        <f>IFERROR(
 IF($F61="Total",
   SUMPRODUCT(
   INDEX(X:X, ROW()-COUNTIF($F$6:INDEX($F:$F, ROW()-1), $F60)) : INDEX(X:X, ROW()-1),
   INDEX(AA:AA, ROW()-COUNTIF($F$6:INDEX($F:$F, ROW()-1), $F60)) : INDEX(AA:AA, ROW()-1)
   )
   /SUM(INDEX(AA:AA, ROW()-COUNTIF($F$6:INDEX($F:$F, ROW()-1), $F60)) : INDEX(AA:AA, ROW()-1)),
   AVERAGEIFS(
     INDEX((unit_details[Asking Rent],unit_details[Asking PSF]),0,1,IF($U$3="Chunk Rent",1,2)),
     unit_details[Leased Date],"&gt;="&amp;($AM$2-X$5),
     unit_details[Leased Date],"&lt;"&amp;$AM$2,
     unit_details[Beds],$L61,
     unit_details[Baths],$M61,
     unit_details[Partial Baths],IF(ISNUMBER($N61),$N61,""),
     unit_details[Sqft],$P61,
     unit_details[Property Name],$F61)
 ),"")</f>
        <v/>
      </c>
      <c r="Y61" s="552" t="str">
        <f>IFERROR(
 IF($F61="Total",
   SUMPRODUCT(
   INDEX(Y:Y, ROW()-COUNTIF($F$6:INDEX($F:$F, ROW()-1), $F60)) : INDEX(Y:Y, ROW()-1),
   INDEX(AA:AA, ROW()-COUNTIF($F$6:INDEX($F:$F, ROW()-1), $F60)) : INDEX(AA:AA, ROW()-1)
   )
   /SUM(INDEX(AA:AA, ROW()-COUNTIF($F$6:INDEX($F:$F, ROW()-1), $F60)) : INDEX(AA:AA, ROW()-1)),
   AVERAGEIFS(
     INDEX((unit_details[Effective Rent],unit_details[Effective PSF]),0,1,IF($U$3="Chunk Rent",1,2)),
     unit_details[Leased Date],"&gt;="&amp;($AM$2-X$5),
     unit_details[Leased Date],"&lt;"&amp;$AM$2,
     unit_details[Beds],$L61,
     unit_details[Baths],$M61,
     unit_details[Partial Baths],IF(ISNUMBER($N61),$N61,""),
     unit_details[Sqft],$P61,
     unit_details[Property Name],$F61)
 ),"")</f>
        <v/>
      </c>
      <c r="Z61" s="27" t="str">
        <f t="shared" si="11"/>
        <v/>
      </c>
      <c r="AA61" s="526">
        <f>IFERROR(
  IF($F61="Total",
    SUM(INDEX(AA:AA, ROW()-COUNTIF($F$6:INDEX($F:$F, ROW()-1), $F60)) : INDEX(AA:AA, ROW()-1)),
    COUNTIFS(
      unit_details[Leased Date], "&gt;="&amp;($AM$2-X$5),
      unit_details[Leased Date], "&lt;"&amp;$AM$2,
      unit_details[Beds], $L61,
      unit_details[Baths], $M61,
      unit_details[Partial Baths], IF(ISNUMBER($N61), $N61, ""),
      unit_details[Sqft],$P61,
      unit_details[Property Name], $F61
    )
  ),
"")</f>
        <v>0</v>
      </c>
      <c r="AB61" s="290">
        <f>IF($F61="Total",
SUM(INDEX(AB:AB, ROW()-COUNTIF($F$6:INDEX($F:$F, ROW()-1), $F60)) : INDEX(AB:AB, ROW()-1)),
COUNTIFS(unit_details[Active Listing?],TRUE,
          unit_details[Property Name], $F61,
          unit_details[Beds], $L61,
          unit_details[Baths], $M61,
          unit_details[Partial Baths],IF(ISNUMBER($N61),$N61,""),
          unit_details[Sqft],$P61))</f>
        <v>0</v>
      </c>
      <c r="AC61" s="27" t="str">
        <f t="shared" si="3"/>
        <v/>
      </c>
      <c r="AD61" s="293" t="str">
        <f>IFERROR(IF(AE61="","",IF($F61="Total",
SUMPRODUCT(
   INDEX(AD:AD, ROW()-COUNTIF($F$6:INDEX($F:$F, ROW()-1), $F60)) : INDEX(AD:AD, ROW()-1),
   INDEX(AB:AB, ROW()-COUNTIF($F$6:INDEX($F:$F, ROW()-1), $F60)) : INDEX(AB:AB, ROW()-1)
   )
   /SUM(INDEX(AB:AB, ROW()-COUNTIF($F$6:INDEX($F:$F, ROW()-1), $F60)) : INDEX(AB:AB, ROW()-1)),
          _xlfn.MINIFS(unit_details[Asking Rent],
          unit_details[Active Listing?],TRUE,
          unit_details[Property Name], $F61,
          unit_details[Beds], $L61,
          unit_details[Baths], $M61,
          unit_details[Partial Baths], IF(ISNUMBER($N61),$N61,""),
          unit_details[Sqft],$P61
))),"")</f>
        <v/>
      </c>
      <c r="AE61" s="5" t="str">
        <f>IFERROR(IF($F61="Total",
          SUMPRODUCT(
   INDEX(AE:AE, ROW()-COUNTIF($F$6:INDEX($F:$F, ROW()-1), $F60)) : INDEX(AE:AE, ROW()-1),
   INDEX(AB:AB, ROW()-COUNTIF($F$6:INDEX($F:$F, ROW()-1), $F60)) : INDEX(AB:AB, ROW()-1)
   )
   /SUM(INDEX(AB:AB, ROW()-COUNTIF($F$6:INDEX($F:$F, ROW()-1), $F60)) : INDEX(AB:AB, ROW()-1)),
          AVERAGEIFS(unit_details[Asking Rent],
          unit_details[Active Listing?],TRUE,
          unit_details[Property Name], $F61,
          unit_details[Beds], $L61,
          unit_details[Baths], $M61,
          unit_details[Partial Baths], IF(ISNUMBER($N61),$N61,""),
          unit_details[Sqft],$P61
)),"")</f>
        <v/>
      </c>
      <c r="AF61" s="5" t="str">
        <f>IFERROR(IF(AE61="","",IF($F61="Total",
SUMPRODUCT(
   INDEX(AF:AF, ROW()-COUNTIF($F$6:INDEX($F:$F, ROW()-1), $F60)) : INDEX(AF:AF, ROW()-1),
   INDEX(AB:AB, ROW()-COUNTIF($F$6:INDEX($F:$F, ROW()-1), $F60)) : INDEX(AB:AB, ROW()-1)
   )
   /SUM(INDEX(AB:AB, ROW()-COUNTIF($F$6:INDEX($F:$F, ROW()-1), $F60)) : INDEX(AB:AB, ROW()-1)),
           _xlfn.MAXIFS(unit_details[Asking Rent],
          unit_details[Active Listing?],TRUE,
          unit_details[Property Name], $F61,
          unit_details[Beds], $L61,
          unit_details[Baths], $M61,
          unit_details[Partial Baths], IF(ISNUMBER($N61),$N61,""),
          unit_details[Sqft],$P61
))),"")</f>
        <v/>
      </c>
      <c r="AG61" s="6" t="str">
        <f>IFERROR(IF($F61="Total",
         SUMPRODUCT(
         INDEX(AG:AG, ROW()-COUNTIF($F$6:INDEX($F:$F, ROW()-1), $F60)) : INDEX(AG:AG, ROW()-1),
         INDEX(AB:AB, ROW()-COUNTIF($F$6:INDEX($F:$F, ROW()-1), $F60)) : INDEX(AB:AB, ROW()-1)
         )
         /SUM(INDEX(AB:AB, ROW()-COUNTIF($F$6:INDEX($F:$F, ROW()-1), $F60)) : INDEX(AB:AB, ROW()-1)),
          AVERAGEIFS(unit_details[Asking PSF],
          unit_details[Active Listing?],TRUE,
          unit_details[Property Name], $F61,
          unit_details[Beds], $L61,
          unit_details[Baths], $M61,
          unit_details[Partial Baths], IF(ISNUMBER($N61),$N61,""),
          unit_details[Sqft],$P61
)),"")</f>
        <v/>
      </c>
      <c r="AH61" s="293" t="str">
        <f>IFERROR(IF($F61="Total",
         SUMPRODUCT(
         INDEX(AH:AH, ROW()-COUNTIF($F$6:INDEX($F:$F, ROW()-1), $F60)) : INDEX(AH:AH, ROW()-1),
         INDEX(AB:AB, ROW()-COUNTIF($F$6:INDEX($F:$F, ROW()-1), $F60)) : INDEX(AB:AB, ROW()-1)
         )
         /SUM(INDEX(AB:AB, ROW()-COUNTIF($F$6:INDEX($F:$F, ROW()-1), $F60)) : INDEX(AB:AB, ROW()-1)),
          AVERAGEIFS(unit_details[Effective Rent],
          unit_details[Active Listing?],TRUE,
          unit_details[Property Name], $F61,
          unit_details[Beds], $L61,
          unit_details[Baths], $M61,
          unit_details[Partial Baths], IF(ISNUMBER($N61),$N61,""),
          unit_details[Sqft],$P61
)),"")</f>
        <v/>
      </c>
      <c r="AI61" s="6" t="str">
        <f>IFERROR(IF($F61="Total",
         SUMPRODUCT(
         INDEX(AI:AI, ROW()-COUNTIF($F$6:INDEX($F:$F, ROW()-1), $F60)) : INDEX(AI:AI, ROW()-1),
         INDEX(AB:AB, ROW()-COUNTIF($F$6:INDEX($F:$F, ROW()-1), $F60)) : INDEX(AB:AB, ROW()-1)
         )
         /SUM(INDEX(AB:AB, ROW()-COUNTIF($F$6:INDEX($F:$F, ROW()-1), $F60)) : INDEX(AB:AB, ROW()-1)),
           AVERAGEIFS(unit_details[Effective PSF],
          unit_details[Active Listing?],TRUE,
          unit_details[Property Name], $F61,
          unit_details[Beds], $L61,
          unit_details[Baths], $M61,
          unit_details[Partial Baths], IF(ISNUMBER($N61),$N61,""),
          unit_details[Sqft],$P61
)),"")</f>
        <v/>
      </c>
      <c r="AJ61" s="824" t="str">
        <f t="shared" si="4"/>
        <v/>
      </c>
      <c r="AK61" s="531" t="str">
        <f t="shared" si="5"/>
        <v/>
      </c>
      <c r="AL61" s="714" t="str">
        <f t="shared" si="6"/>
        <v/>
      </c>
      <c r="AM61" s="531" t="str">
        <f t="shared" si="7"/>
        <v/>
      </c>
      <c r="AN61" s="716" t="str">
        <f t="shared" si="8"/>
        <v/>
      </c>
    </row>
    <row r="62" spans="6:40" x14ac:dyDescent="0.2">
      <c r="F62" s="1" t="str">
        <f t="shared" si="0"/>
        <v/>
      </c>
      <c r="G62" s="713" t="str">
        <f t="shared" si="9"/>
        <v/>
      </c>
      <c r="H62" s="17" t="str">
        <f>IFERROR(VLOOKUP($G62,Table1[[Property]:[Exposure %]],4,0),"")</f>
        <v/>
      </c>
      <c r="I62" s="3" t="str">
        <f>IFERROR(VLOOKUP($G62,Table1[[Property]:[Exposure %]],6,0),"")</f>
        <v/>
      </c>
      <c r="J62" s="3" t="str">
        <f>IFERROR(VLOOKUP($G62,Table1[[Property]:[Exposure %]],7,0),"")</f>
        <v/>
      </c>
      <c r="K62"/>
      <c r="L62"/>
      <c r="M62"/>
      <c r="N62"/>
      <c r="O62"/>
      <c r="P62"/>
      <c r="Q62"/>
      <c r="R62" s="4" t="str">
        <f>IFERROR(VLOOKUP(IF(F62="Total",F61,F62),Table1[[Property]:['# Units]],7,0)*S62,"")</f>
        <v/>
      </c>
      <c r="S62" s="27" t="str">
        <f t="shared" si="2"/>
        <v/>
      </c>
      <c r="T62" s="531" t="str">
        <f>IFERROR(
 IF($F62="Total",
   SUMPRODUCT(
   INDEX(T:T, ROW()-COUNTIF($F$6:INDEX($F:$F, ROW()-1), $F61)) : INDEX(T:T, ROW()-1),
   INDEX(W:W, ROW()-COUNTIF($F$6:INDEX($F:$F, ROW()-1), $F61)) : INDEX(W:W, ROW()-1)
   )
   /SUM(INDEX(W:W, ROW()-COUNTIF($F$6:INDEX($F:$F, ROW()-1), $F61)) : INDEX(W:W, ROW()-1)),
   AVERAGEIFS(
     INDEX((unit_details[Asking Rent],unit_details[Asking PSF]),0,1,IF($U$3="Chunk Rent",1,2)),
     unit_details[Leased Date],"&gt;="&amp;($AM$2-T$5),
     unit_details[Leased Date],"&lt;"&amp;$AM$2,
     unit_details[Beds],$L62,
     unit_details[Baths],$M62,
     unit_details[Partial Baths],IF(ISNUMBER($N62),$N62,""),
     unit_details[Sqft],$P62,
     unit_details[Property Name],$F62)
 ),"")</f>
        <v/>
      </c>
      <c r="U62" s="552" t="str">
        <f>IFERROR(
 IF($F62="Total",
   SUMPRODUCT(
   INDEX(U:U, ROW()-COUNTIF($F$6:INDEX($F:$F, ROW()-1), $F61)) : INDEX(U:U, ROW()-1),
   INDEX(W:W, ROW()-COUNTIF($F$6:INDEX($F:$F, ROW()-1), $F61)) : INDEX(W:W, ROW()-1)
   )
   /SUM(INDEX(W:W, ROW()-COUNTIF($F$6:INDEX($F:$F, ROW()-1), $F61)) : INDEX(W:W, ROW()-1)),
   AVERAGEIFS(
     INDEX((unit_details[Effective Rent],unit_details[Effective PSF]),0,1,IF($U$3="Chunk Rent",1,2)),
     unit_details[Leased Date],"&gt;="&amp;($AM$2-T$5),
     unit_details[Leased Date],"&lt;"&amp;$AM$2,
     unit_details[Beds],$L62,
     unit_details[Baths],$M62,
     unit_details[Partial Baths],IF(ISNUMBER($N62),$N62,""),
     unit_details[Sqft],$P62,
     unit_details[Property Name],$F62)
 ),"")</f>
        <v/>
      </c>
      <c r="V62" s="27" t="str">
        <f t="shared" si="10"/>
        <v/>
      </c>
      <c r="W62" s="526">
        <f>IFERROR(
  IF($F62="Total",
    SUM(INDEX(W:W, ROW()-COUNTIF($F$6:INDEX($F:$F, ROW()-1), $F61)) : INDEX(W:W, ROW()-1)),
    COUNTIFS(
      unit_details[Leased Date], "&gt;="&amp;($AM$2-T$5),
      unit_details[Leased Date], "&lt;"&amp;$AM$2,
      unit_details[Beds], $L62,
      unit_details[Baths], $M62,
      unit_details[Partial Baths], IF(ISNUMBER($N62), $N62, ""),
      unit_details[Sqft],$P62,
      unit_details[Property Name], $F62
    )
  ),
"")</f>
        <v>0</v>
      </c>
      <c r="X62" s="531" t="str">
        <f>IFERROR(
 IF($F62="Total",
   SUMPRODUCT(
   INDEX(X:X, ROW()-COUNTIF($F$6:INDEX($F:$F, ROW()-1), $F61)) : INDEX(X:X, ROW()-1),
   INDEX(AA:AA, ROW()-COUNTIF($F$6:INDEX($F:$F, ROW()-1), $F61)) : INDEX(AA:AA, ROW()-1)
   )
   /SUM(INDEX(AA:AA, ROW()-COUNTIF($F$6:INDEX($F:$F, ROW()-1), $F61)) : INDEX(AA:AA, ROW()-1)),
   AVERAGEIFS(
     INDEX((unit_details[Asking Rent],unit_details[Asking PSF]),0,1,IF($U$3="Chunk Rent",1,2)),
     unit_details[Leased Date],"&gt;="&amp;($AM$2-X$5),
     unit_details[Leased Date],"&lt;"&amp;$AM$2,
     unit_details[Beds],$L62,
     unit_details[Baths],$M62,
     unit_details[Partial Baths],IF(ISNUMBER($N62),$N62,""),
     unit_details[Sqft],$P62,
     unit_details[Property Name],$F62)
 ),"")</f>
        <v/>
      </c>
      <c r="Y62" s="552" t="str">
        <f>IFERROR(
 IF($F62="Total",
   SUMPRODUCT(
   INDEX(Y:Y, ROW()-COUNTIF($F$6:INDEX($F:$F, ROW()-1), $F61)) : INDEX(Y:Y, ROW()-1),
   INDEX(AA:AA, ROW()-COUNTIF($F$6:INDEX($F:$F, ROW()-1), $F61)) : INDEX(AA:AA, ROW()-1)
   )
   /SUM(INDEX(AA:AA, ROW()-COUNTIF($F$6:INDEX($F:$F, ROW()-1), $F61)) : INDEX(AA:AA, ROW()-1)),
   AVERAGEIFS(
     INDEX((unit_details[Effective Rent],unit_details[Effective PSF]),0,1,IF($U$3="Chunk Rent",1,2)),
     unit_details[Leased Date],"&gt;="&amp;($AM$2-X$5),
     unit_details[Leased Date],"&lt;"&amp;$AM$2,
     unit_details[Beds],$L62,
     unit_details[Baths],$M62,
     unit_details[Partial Baths],IF(ISNUMBER($N62),$N62,""),
     unit_details[Sqft],$P62,
     unit_details[Property Name],$F62)
 ),"")</f>
        <v/>
      </c>
      <c r="Z62" s="27" t="str">
        <f t="shared" si="11"/>
        <v/>
      </c>
      <c r="AA62" s="526">
        <f>IFERROR(
  IF($F62="Total",
    SUM(INDEX(AA:AA, ROW()-COUNTIF($F$6:INDEX($F:$F, ROW()-1), $F61)) : INDEX(AA:AA, ROW()-1)),
    COUNTIFS(
      unit_details[Leased Date], "&gt;="&amp;($AM$2-X$5),
      unit_details[Leased Date], "&lt;"&amp;$AM$2,
      unit_details[Beds], $L62,
      unit_details[Baths], $M62,
      unit_details[Partial Baths], IF(ISNUMBER($N62), $N62, ""),
      unit_details[Sqft],$P62,
      unit_details[Property Name], $F62
    )
  ),
"")</f>
        <v>0</v>
      </c>
      <c r="AB62" s="290">
        <f>IF($F62="Total",
SUM(INDEX(AB:AB, ROW()-COUNTIF($F$6:INDEX($F:$F, ROW()-1), $F61)) : INDEX(AB:AB, ROW()-1)),
COUNTIFS(unit_details[Active Listing?],TRUE,
          unit_details[Property Name], $F62,
          unit_details[Beds], $L62,
          unit_details[Baths], $M62,
          unit_details[Partial Baths],IF(ISNUMBER($N62),$N62,""),
          unit_details[Sqft],$P62))</f>
        <v>0</v>
      </c>
      <c r="AC62" s="27" t="str">
        <f t="shared" si="3"/>
        <v/>
      </c>
      <c r="AD62" s="293" t="str">
        <f>IFERROR(IF(AE62="","",IF($F62="Total",
SUMPRODUCT(
   INDEX(AD:AD, ROW()-COUNTIF($F$6:INDEX($F:$F, ROW()-1), $F61)) : INDEX(AD:AD, ROW()-1),
   INDEX(AB:AB, ROW()-COUNTIF($F$6:INDEX($F:$F, ROW()-1), $F61)) : INDEX(AB:AB, ROW()-1)
   )
   /SUM(INDEX(AB:AB, ROW()-COUNTIF($F$6:INDEX($F:$F, ROW()-1), $F61)) : INDEX(AB:AB, ROW()-1)),
          _xlfn.MINIFS(unit_details[Asking Rent],
          unit_details[Active Listing?],TRUE,
          unit_details[Property Name], $F62,
          unit_details[Beds], $L62,
          unit_details[Baths], $M62,
          unit_details[Partial Baths], IF(ISNUMBER($N62),$N62,""),
          unit_details[Sqft],$P62
))),"")</f>
        <v/>
      </c>
      <c r="AE62" s="5" t="str">
        <f>IFERROR(IF($F62="Total",
          SUMPRODUCT(
   INDEX(AE:AE, ROW()-COUNTIF($F$6:INDEX($F:$F, ROW()-1), $F61)) : INDEX(AE:AE, ROW()-1),
   INDEX(AB:AB, ROW()-COUNTIF($F$6:INDEX($F:$F, ROW()-1), $F61)) : INDEX(AB:AB, ROW()-1)
   )
   /SUM(INDEX(AB:AB, ROW()-COUNTIF($F$6:INDEX($F:$F, ROW()-1), $F61)) : INDEX(AB:AB, ROW()-1)),
          AVERAGEIFS(unit_details[Asking Rent],
          unit_details[Active Listing?],TRUE,
          unit_details[Property Name], $F62,
          unit_details[Beds], $L62,
          unit_details[Baths], $M62,
          unit_details[Partial Baths], IF(ISNUMBER($N62),$N62,""),
          unit_details[Sqft],$P62
)),"")</f>
        <v/>
      </c>
      <c r="AF62" s="5" t="str">
        <f>IFERROR(IF(AE62="","",IF($F62="Total",
SUMPRODUCT(
   INDEX(AF:AF, ROW()-COUNTIF($F$6:INDEX($F:$F, ROW()-1), $F61)) : INDEX(AF:AF, ROW()-1),
   INDEX(AB:AB, ROW()-COUNTIF($F$6:INDEX($F:$F, ROW()-1), $F61)) : INDEX(AB:AB, ROW()-1)
   )
   /SUM(INDEX(AB:AB, ROW()-COUNTIF($F$6:INDEX($F:$F, ROW()-1), $F61)) : INDEX(AB:AB, ROW()-1)),
           _xlfn.MAXIFS(unit_details[Asking Rent],
          unit_details[Active Listing?],TRUE,
          unit_details[Property Name], $F62,
          unit_details[Beds], $L62,
          unit_details[Baths], $M62,
          unit_details[Partial Baths], IF(ISNUMBER($N62),$N62,""),
          unit_details[Sqft],$P62
))),"")</f>
        <v/>
      </c>
      <c r="AG62" s="6" t="str">
        <f>IFERROR(IF($F62="Total",
         SUMPRODUCT(
         INDEX(AG:AG, ROW()-COUNTIF($F$6:INDEX($F:$F, ROW()-1), $F61)) : INDEX(AG:AG, ROW()-1),
         INDEX(AB:AB, ROW()-COUNTIF($F$6:INDEX($F:$F, ROW()-1), $F61)) : INDEX(AB:AB, ROW()-1)
         )
         /SUM(INDEX(AB:AB, ROW()-COUNTIF($F$6:INDEX($F:$F, ROW()-1), $F61)) : INDEX(AB:AB, ROW()-1)),
          AVERAGEIFS(unit_details[Asking PSF],
          unit_details[Active Listing?],TRUE,
          unit_details[Property Name], $F62,
          unit_details[Beds], $L62,
          unit_details[Baths], $M62,
          unit_details[Partial Baths], IF(ISNUMBER($N62),$N62,""),
          unit_details[Sqft],$P62
)),"")</f>
        <v/>
      </c>
      <c r="AH62" s="293" t="str">
        <f>IFERROR(IF($F62="Total",
         SUMPRODUCT(
         INDEX(AH:AH, ROW()-COUNTIF($F$6:INDEX($F:$F, ROW()-1), $F61)) : INDEX(AH:AH, ROW()-1),
         INDEX(AB:AB, ROW()-COUNTIF($F$6:INDEX($F:$F, ROW()-1), $F61)) : INDEX(AB:AB, ROW()-1)
         )
         /SUM(INDEX(AB:AB, ROW()-COUNTIF($F$6:INDEX($F:$F, ROW()-1), $F61)) : INDEX(AB:AB, ROW()-1)),
          AVERAGEIFS(unit_details[Effective Rent],
          unit_details[Active Listing?],TRUE,
          unit_details[Property Name], $F62,
          unit_details[Beds], $L62,
          unit_details[Baths], $M62,
          unit_details[Partial Baths], IF(ISNUMBER($N62),$N62,""),
          unit_details[Sqft],$P62
)),"")</f>
        <v/>
      </c>
      <c r="AI62" s="6" t="str">
        <f>IFERROR(IF($F62="Total",
         SUMPRODUCT(
         INDEX(AI:AI, ROW()-COUNTIF($F$6:INDEX($F:$F, ROW()-1), $F61)) : INDEX(AI:AI, ROW()-1),
         INDEX(AB:AB, ROW()-COUNTIF($F$6:INDEX($F:$F, ROW()-1), $F61)) : INDEX(AB:AB, ROW()-1)
         )
         /SUM(INDEX(AB:AB, ROW()-COUNTIF($F$6:INDEX($F:$F, ROW()-1), $F61)) : INDEX(AB:AB, ROW()-1)),
           AVERAGEIFS(unit_details[Effective PSF],
          unit_details[Active Listing?],TRUE,
          unit_details[Property Name], $F62,
          unit_details[Beds], $L62,
          unit_details[Baths], $M62,
          unit_details[Partial Baths], IF(ISNUMBER($N62),$N62,""),
          unit_details[Sqft],$P62
)),"")</f>
        <v/>
      </c>
      <c r="AJ62" s="824" t="str">
        <f t="shared" si="4"/>
        <v/>
      </c>
      <c r="AK62" s="531" t="str">
        <f t="shared" si="5"/>
        <v/>
      </c>
      <c r="AL62" s="714" t="str">
        <f t="shared" si="6"/>
        <v/>
      </c>
      <c r="AM62" s="531" t="str">
        <f t="shared" si="7"/>
        <v/>
      </c>
      <c r="AN62" s="716" t="str">
        <f t="shared" si="8"/>
        <v/>
      </c>
    </row>
    <row r="63" spans="6:40" x14ac:dyDescent="0.2">
      <c r="F63" s="1" t="str">
        <f t="shared" si="0"/>
        <v/>
      </c>
      <c r="G63" s="713" t="str">
        <f t="shared" si="9"/>
        <v/>
      </c>
      <c r="H63" s="17" t="str">
        <f>IFERROR(VLOOKUP($G63,Table1[[Property]:[Exposure %]],4,0),"")</f>
        <v/>
      </c>
      <c r="I63" s="3" t="str">
        <f>IFERROR(VLOOKUP($G63,Table1[[Property]:[Exposure %]],6,0),"")</f>
        <v/>
      </c>
      <c r="J63" s="3" t="str">
        <f>IFERROR(VLOOKUP($G63,Table1[[Property]:[Exposure %]],7,0),"")</f>
        <v/>
      </c>
      <c r="K63"/>
      <c r="L63"/>
      <c r="M63"/>
      <c r="N63"/>
      <c r="O63"/>
      <c r="P63"/>
      <c r="Q63"/>
      <c r="R63" s="4" t="str">
        <f>IFERROR(VLOOKUP(IF(F63="Total",F62,F63),Table1[[Property]:['# Units]],7,0)*S63,"")</f>
        <v/>
      </c>
      <c r="S63" s="27" t="str">
        <f t="shared" si="2"/>
        <v/>
      </c>
      <c r="T63" s="531" t="str">
        <f>IFERROR(
 IF($F63="Total",
   SUMPRODUCT(
   INDEX(T:T, ROW()-COUNTIF($F$6:INDEX($F:$F, ROW()-1), $F62)) : INDEX(T:T, ROW()-1),
   INDEX(W:W, ROW()-COUNTIF($F$6:INDEX($F:$F, ROW()-1), $F62)) : INDEX(W:W, ROW()-1)
   )
   /SUM(INDEX(W:W, ROW()-COUNTIF($F$6:INDEX($F:$F, ROW()-1), $F62)) : INDEX(W:W, ROW()-1)),
   AVERAGEIFS(
     INDEX((unit_details[Asking Rent],unit_details[Asking PSF]),0,1,IF($U$3="Chunk Rent",1,2)),
     unit_details[Leased Date],"&gt;="&amp;($AM$2-T$5),
     unit_details[Leased Date],"&lt;"&amp;$AM$2,
     unit_details[Beds],$L63,
     unit_details[Baths],$M63,
     unit_details[Partial Baths],IF(ISNUMBER($N63),$N63,""),
     unit_details[Sqft],$P63,
     unit_details[Property Name],$F63)
 ),"")</f>
        <v/>
      </c>
      <c r="U63" s="552" t="str">
        <f>IFERROR(
 IF($F63="Total",
   SUMPRODUCT(
   INDEX(U:U, ROW()-COUNTIF($F$6:INDEX($F:$F, ROW()-1), $F62)) : INDEX(U:U, ROW()-1),
   INDEX(W:W, ROW()-COUNTIF($F$6:INDEX($F:$F, ROW()-1), $F62)) : INDEX(W:W, ROW()-1)
   )
   /SUM(INDEX(W:W, ROW()-COUNTIF($F$6:INDEX($F:$F, ROW()-1), $F62)) : INDEX(W:W, ROW()-1)),
   AVERAGEIFS(
     INDEX((unit_details[Effective Rent],unit_details[Effective PSF]),0,1,IF($U$3="Chunk Rent",1,2)),
     unit_details[Leased Date],"&gt;="&amp;($AM$2-T$5),
     unit_details[Leased Date],"&lt;"&amp;$AM$2,
     unit_details[Beds],$L63,
     unit_details[Baths],$M63,
     unit_details[Partial Baths],IF(ISNUMBER($N63),$N63,""),
     unit_details[Sqft],$P63,
     unit_details[Property Name],$F63)
 ),"")</f>
        <v/>
      </c>
      <c r="V63" s="27" t="str">
        <f t="shared" si="10"/>
        <v/>
      </c>
      <c r="W63" s="526">
        <f>IFERROR(
  IF($F63="Total",
    SUM(INDEX(W:W, ROW()-COUNTIF($F$6:INDEX($F:$F, ROW()-1), $F62)) : INDEX(W:W, ROW()-1)),
    COUNTIFS(
      unit_details[Leased Date], "&gt;="&amp;($AM$2-T$5),
      unit_details[Leased Date], "&lt;"&amp;$AM$2,
      unit_details[Beds], $L63,
      unit_details[Baths], $M63,
      unit_details[Partial Baths], IF(ISNUMBER($N63), $N63, ""),
      unit_details[Sqft],$P63,
      unit_details[Property Name], $F63
    )
  ),
"")</f>
        <v>0</v>
      </c>
      <c r="X63" s="531" t="str">
        <f>IFERROR(
 IF($F63="Total",
   SUMPRODUCT(
   INDEX(X:X, ROW()-COUNTIF($F$6:INDEX($F:$F, ROW()-1), $F62)) : INDEX(X:X, ROW()-1),
   INDEX(AA:AA, ROW()-COUNTIF($F$6:INDEX($F:$F, ROW()-1), $F62)) : INDEX(AA:AA, ROW()-1)
   )
   /SUM(INDEX(AA:AA, ROW()-COUNTIF($F$6:INDEX($F:$F, ROW()-1), $F62)) : INDEX(AA:AA, ROW()-1)),
   AVERAGEIFS(
     INDEX((unit_details[Asking Rent],unit_details[Asking PSF]),0,1,IF($U$3="Chunk Rent",1,2)),
     unit_details[Leased Date],"&gt;="&amp;($AM$2-X$5),
     unit_details[Leased Date],"&lt;"&amp;$AM$2,
     unit_details[Beds],$L63,
     unit_details[Baths],$M63,
     unit_details[Partial Baths],IF(ISNUMBER($N63),$N63,""),
     unit_details[Sqft],$P63,
     unit_details[Property Name],$F63)
 ),"")</f>
        <v/>
      </c>
      <c r="Y63" s="552" t="str">
        <f>IFERROR(
 IF($F63="Total",
   SUMPRODUCT(
   INDEX(Y:Y, ROW()-COUNTIF($F$6:INDEX($F:$F, ROW()-1), $F62)) : INDEX(Y:Y, ROW()-1),
   INDEX(AA:AA, ROW()-COUNTIF($F$6:INDEX($F:$F, ROW()-1), $F62)) : INDEX(AA:AA, ROW()-1)
   )
   /SUM(INDEX(AA:AA, ROW()-COUNTIF($F$6:INDEX($F:$F, ROW()-1), $F62)) : INDEX(AA:AA, ROW()-1)),
   AVERAGEIFS(
     INDEX((unit_details[Effective Rent],unit_details[Effective PSF]),0,1,IF($U$3="Chunk Rent",1,2)),
     unit_details[Leased Date],"&gt;="&amp;($AM$2-X$5),
     unit_details[Leased Date],"&lt;"&amp;$AM$2,
     unit_details[Beds],$L63,
     unit_details[Baths],$M63,
     unit_details[Partial Baths],IF(ISNUMBER($N63),$N63,""),
     unit_details[Sqft],$P63,
     unit_details[Property Name],$F63)
 ),"")</f>
        <v/>
      </c>
      <c r="Z63" s="27" t="str">
        <f t="shared" si="11"/>
        <v/>
      </c>
      <c r="AA63" s="526">
        <f>IFERROR(
  IF($F63="Total",
    SUM(INDEX(AA:AA, ROW()-COUNTIF($F$6:INDEX($F:$F, ROW()-1), $F62)) : INDEX(AA:AA, ROW()-1)),
    COUNTIFS(
      unit_details[Leased Date], "&gt;="&amp;($AM$2-X$5),
      unit_details[Leased Date], "&lt;"&amp;$AM$2,
      unit_details[Beds], $L63,
      unit_details[Baths], $M63,
      unit_details[Partial Baths], IF(ISNUMBER($N63), $N63, ""),
      unit_details[Sqft],$P63,
      unit_details[Property Name], $F63
    )
  ),
"")</f>
        <v>0</v>
      </c>
      <c r="AB63" s="290">
        <f>IF($F63="Total",
SUM(INDEX(AB:AB, ROW()-COUNTIF($F$6:INDEX($F:$F, ROW()-1), $F62)) : INDEX(AB:AB, ROW()-1)),
COUNTIFS(unit_details[Active Listing?],TRUE,
          unit_details[Property Name], $F63,
          unit_details[Beds], $L63,
          unit_details[Baths], $M63,
          unit_details[Partial Baths],IF(ISNUMBER($N63),$N63,""),
          unit_details[Sqft],$P63))</f>
        <v>0</v>
      </c>
      <c r="AC63" s="27" t="str">
        <f t="shared" si="3"/>
        <v/>
      </c>
      <c r="AD63" s="293" t="str">
        <f>IFERROR(IF(AE63="","",IF($F63="Total",
SUMPRODUCT(
   INDEX(AD:AD, ROW()-COUNTIF($F$6:INDEX($F:$F, ROW()-1), $F62)) : INDEX(AD:AD, ROW()-1),
   INDEX(AB:AB, ROW()-COUNTIF($F$6:INDEX($F:$F, ROW()-1), $F62)) : INDEX(AB:AB, ROW()-1)
   )
   /SUM(INDEX(AB:AB, ROW()-COUNTIF($F$6:INDEX($F:$F, ROW()-1), $F62)) : INDEX(AB:AB, ROW()-1)),
          _xlfn.MINIFS(unit_details[Asking Rent],
          unit_details[Active Listing?],TRUE,
          unit_details[Property Name], $F63,
          unit_details[Beds], $L63,
          unit_details[Baths], $M63,
          unit_details[Partial Baths], IF(ISNUMBER($N63),$N63,""),
          unit_details[Sqft],$P63
))),"")</f>
        <v/>
      </c>
      <c r="AE63" s="5" t="str">
        <f>IFERROR(IF($F63="Total",
          SUMPRODUCT(
   INDEX(AE:AE, ROW()-COUNTIF($F$6:INDEX($F:$F, ROW()-1), $F62)) : INDEX(AE:AE, ROW()-1),
   INDEX(AB:AB, ROW()-COUNTIF($F$6:INDEX($F:$F, ROW()-1), $F62)) : INDEX(AB:AB, ROW()-1)
   )
   /SUM(INDEX(AB:AB, ROW()-COUNTIF($F$6:INDEX($F:$F, ROW()-1), $F62)) : INDEX(AB:AB, ROW()-1)),
          AVERAGEIFS(unit_details[Asking Rent],
          unit_details[Active Listing?],TRUE,
          unit_details[Property Name], $F63,
          unit_details[Beds], $L63,
          unit_details[Baths], $M63,
          unit_details[Partial Baths], IF(ISNUMBER($N63),$N63,""),
          unit_details[Sqft],$P63
)),"")</f>
        <v/>
      </c>
      <c r="AF63" s="5" t="str">
        <f>IFERROR(IF(AE63="","",IF($F63="Total",
SUMPRODUCT(
   INDEX(AF:AF, ROW()-COUNTIF($F$6:INDEX($F:$F, ROW()-1), $F62)) : INDEX(AF:AF, ROW()-1),
   INDEX(AB:AB, ROW()-COUNTIF($F$6:INDEX($F:$F, ROW()-1), $F62)) : INDEX(AB:AB, ROW()-1)
   )
   /SUM(INDEX(AB:AB, ROW()-COUNTIF($F$6:INDEX($F:$F, ROW()-1), $F62)) : INDEX(AB:AB, ROW()-1)),
           _xlfn.MAXIFS(unit_details[Asking Rent],
          unit_details[Active Listing?],TRUE,
          unit_details[Property Name], $F63,
          unit_details[Beds], $L63,
          unit_details[Baths], $M63,
          unit_details[Partial Baths], IF(ISNUMBER($N63),$N63,""),
          unit_details[Sqft],$P63
))),"")</f>
        <v/>
      </c>
      <c r="AG63" s="6" t="str">
        <f>IFERROR(IF($F63="Total",
         SUMPRODUCT(
         INDEX(AG:AG, ROW()-COUNTIF($F$6:INDEX($F:$F, ROW()-1), $F62)) : INDEX(AG:AG, ROW()-1),
         INDEX(AB:AB, ROW()-COUNTIF($F$6:INDEX($F:$F, ROW()-1), $F62)) : INDEX(AB:AB, ROW()-1)
         )
         /SUM(INDEX(AB:AB, ROW()-COUNTIF($F$6:INDEX($F:$F, ROW()-1), $F62)) : INDEX(AB:AB, ROW()-1)),
          AVERAGEIFS(unit_details[Asking PSF],
          unit_details[Active Listing?],TRUE,
          unit_details[Property Name], $F63,
          unit_details[Beds], $L63,
          unit_details[Baths], $M63,
          unit_details[Partial Baths], IF(ISNUMBER($N63),$N63,""),
          unit_details[Sqft],$P63
)),"")</f>
        <v/>
      </c>
      <c r="AH63" s="293" t="str">
        <f>IFERROR(IF($F63="Total",
         SUMPRODUCT(
         INDEX(AH:AH, ROW()-COUNTIF($F$6:INDEX($F:$F, ROW()-1), $F62)) : INDEX(AH:AH, ROW()-1),
         INDEX(AB:AB, ROW()-COUNTIF($F$6:INDEX($F:$F, ROW()-1), $F62)) : INDEX(AB:AB, ROW()-1)
         )
         /SUM(INDEX(AB:AB, ROW()-COUNTIF($F$6:INDEX($F:$F, ROW()-1), $F62)) : INDEX(AB:AB, ROW()-1)),
          AVERAGEIFS(unit_details[Effective Rent],
          unit_details[Active Listing?],TRUE,
          unit_details[Property Name], $F63,
          unit_details[Beds], $L63,
          unit_details[Baths], $M63,
          unit_details[Partial Baths], IF(ISNUMBER($N63),$N63,""),
          unit_details[Sqft],$P63
)),"")</f>
        <v/>
      </c>
      <c r="AI63" s="6" t="str">
        <f>IFERROR(IF($F63="Total",
         SUMPRODUCT(
         INDEX(AI:AI, ROW()-COUNTIF($F$6:INDEX($F:$F, ROW()-1), $F62)) : INDEX(AI:AI, ROW()-1),
         INDEX(AB:AB, ROW()-COUNTIF($F$6:INDEX($F:$F, ROW()-1), $F62)) : INDEX(AB:AB, ROW()-1)
         )
         /SUM(INDEX(AB:AB, ROW()-COUNTIF($F$6:INDEX($F:$F, ROW()-1), $F62)) : INDEX(AB:AB, ROW()-1)),
           AVERAGEIFS(unit_details[Effective PSF],
          unit_details[Active Listing?],TRUE,
          unit_details[Property Name], $F63,
          unit_details[Beds], $L63,
          unit_details[Baths], $M63,
          unit_details[Partial Baths], IF(ISNUMBER($N63),$N63,""),
          unit_details[Sqft],$P63
)),"")</f>
        <v/>
      </c>
      <c r="AJ63" s="824" t="str">
        <f t="shared" si="4"/>
        <v/>
      </c>
      <c r="AK63" s="531" t="str">
        <f t="shared" si="5"/>
        <v/>
      </c>
      <c r="AL63" s="714" t="str">
        <f t="shared" si="6"/>
        <v/>
      </c>
      <c r="AM63" s="531" t="str">
        <f t="shared" si="7"/>
        <v/>
      </c>
      <c r="AN63" s="716" t="str">
        <f t="shared" si="8"/>
        <v/>
      </c>
    </row>
    <row r="64" spans="6:40" x14ac:dyDescent="0.2">
      <c r="F64" s="1" t="str">
        <f t="shared" si="0"/>
        <v/>
      </c>
      <c r="G64" s="713" t="str">
        <f t="shared" si="9"/>
        <v/>
      </c>
      <c r="H64" s="17" t="str">
        <f>IFERROR(VLOOKUP($G64,Table1[[Property]:[Exposure %]],4,0),"")</f>
        <v/>
      </c>
      <c r="I64" s="3" t="str">
        <f>IFERROR(VLOOKUP($G64,Table1[[Property]:[Exposure %]],6,0),"")</f>
        <v/>
      </c>
      <c r="J64" s="3" t="str">
        <f>IFERROR(VLOOKUP($G64,Table1[[Property]:[Exposure %]],7,0),"")</f>
        <v/>
      </c>
      <c r="K64"/>
      <c r="L64"/>
      <c r="M64"/>
      <c r="N64"/>
      <c r="O64"/>
      <c r="P64"/>
      <c r="Q64"/>
      <c r="R64" s="4" t="str">
        <f>IFERROR(VLOOKUP(IF(F64="Total",F63,F64),Table1[[Property]:['# Units]],7,0)*S64,"")</f>
        <v/>
      </c>
      <c r="S64" s="27" t="str">
        <f t="shared" si="2"/>
        <v/>
      </c>
      <c r="T64" s="531" t="str">
        <f>IFERROR(
 IF($F64="Total",
   SUMPRODUCT(
   INDEX(T:T, ROW()-COUNTIF($F$6:INDEX($F:$F, ROW()-1), $F63)) : INDEX(T:T, ROW()-1),
   INDEX(W:W, ROW()-COUNTIF($F$6:INDEX($F:$F, ROW()-1), $F63)) : INDEX(W:W, ROW()-1)
   )
   /SUM(INDEX(W:W, ROW()-COUNTIF($F$6:INDEX($F:$F, ROW()-1), $F63)) : INDEX(W:W, ROW()-1)),
   AVERAGEIFS(
     INDEX((unit_details[Asking Rent],unit_details[Asking PSF]),0,1,IF($U$3="Chunk Rent",1,2)),
     unit_details[Leased Date],"&gt;="&amp;($AM$2-T$5),
     unit_details[Leased Date],"&lt;"&amp;$AM$2,
     unit_details[Beds],$L64,
     unit_details[Baths],$M64,
     unit_details[Partial Baths],IF(ISNUMBER($N64),$N64,""),
     unit_details[Sqft],$P64,
     unit_details[Property Name],$F64)
 ),"")</f>
        <v/>
      </c>
      <c r="U64" s="552" t="str">
        <f>IFERROR(
 IF($F64="Total",
   SUMPRODUCT(
   INDEX(U:U, ROW()-COUNTIF($F$6:INDEX($F:$F, ROW()-1), $F63)) : INDEX(U:U, ROW()-1),
   INDEX(W:W, ROW()-COUNTIF($F$6:INDEX($F:$F, ROW()-1), $F63)) : INDEX(W:W, ROW()-1)
   )
   /SUM(INDEX(W:W, ROW()-COUNTIF($F$6:INDEX($F:$F, ROW()-1), $F63)) : INDEX(W:W, ROW()-1)),
   AVERAGEIFS(
     INDEX((unit_details[Effective Rent],unit_details[Effective PSF]),0,1,IF($U$3="Chunk Rent",1,2)),
     unit_details[Leased Date],"&gt;="&amp;($AM$2-T$5),
     unit_details[Leased Date],"&lt;"&amp;$AM$2,
     unit_details[Beds],$L64,
     unit_details[Baths],$M64,
     unit_details[Partial Baths],IF(ISNUMBER($N64),$N64,""),
     unit_details[Sqft],$P64,
     unit_details[Property Name],$F64)
 ),"")</f>
        <v/>
      </c>
      <c r="V64" s="27" t="str">
        <f t="shared" si="10"/>
        <v/>
      </c>
      <c r="W64" s="526">
        <f>IFERROR(
  IF($F64="Total",
    SUM(INDEX(W:W, ROW()-COUNTIF($F$6:INDEX($F:$F, ROW()-1), $F63)) : INDEX(W:W, ROW()-1)),
    COUNTIFS(
      unit_details[Leased Date], "&gt;="&amp;($AM$2-T$5),
      unit_details[Leased Date], "&lt;"&amp;$AM$2,
      unit_details[Beds], $L64,
      unit_details[Baths], $M64,
      unit_details[Partial Baths], IF(ISNUMBER($N64), $N64, ""),
      unit_details[Sqft],$P64,
      unit_details[Property Name], $F64
    )
  ),
"")</f>
        <v>0</v>
      </c>
      <c r="X64" s="531" t="str">
        <f>IFERROR(
 IF($F64="Total",
   SUMPRODUCT(
   INDEX(X:X, ROW()-COUNTIF($F$6:INDEX($F:$F, ROW()-1), $F63)) : INDEX(X:X, ROW()-1),
   INDEX(AA:AA, ROW()-COUNTIF($F$6:INDEX($F:$F, ROW()-1), $F63)) : INDEX(AA:AA, ROW()-1)
   )
   /SUM(INDEX(AA:AA, ROW()-COUNTIF($F$6:INDEX($F:$F, ROW()-1), $F63)) : INDEX(AA:AA, ROW()-1)),
   AVERAGEIFS(
     INDEX((unit_details[Asking Rent],unit_details[Asking PSF]),0,1,IF($U$3="Chunk Rent",1,2)),
     unit_details[Leased Date],"&gt;="&amp;($AM$2-X$5),
     unit_details[Leased Date],"&lt;"&amp;$AM$2,
     unit_details[Beds],$L64,
     unit_details[Baths],$M64,
     unit_details[Partial Baths],IF(ISNUMBER($N64),$N64,""),
     unit_details[Sqft],$P64,
     unit_details[Property Name],$F64)
 ),"")</f>
        <v/>
      </c>
      <c r="Y64" s="552" t="str">
        <f>IFERROR(
 IF($F64="Total",
   SUMPRODUCT(
   INDEX(Y:Y, ROW()-COUNTIF($F$6:INDEX($F:$F, ROW()-1), $F63)) : INDEX(Y:Y, ROW()-1),
   INDEX(AA:AA, ROW()-COUNTIF($F$6:INDEX($F:$F, ROW()-1), $F63)) : INDEX(AA:AA, ROW()-1)
   )
   /SUM(INDEX(AA:AA, ROW()-COUNTIF($F$6:INDEX($F:$F, ROW()-1), $F63)) : INDEX(AA:AA, ROW()-1)),
   AVERAGEIFS(
     INDEX((unit_details[Effective Rent],unit_details[Effective PSF]),0,1,IF($U$3="Chunk Rent",1,2)),
     unit_details[Leased Date],"&gt;="&amp;($AM$2-X$5),
     unit_details[Leased Date],"&lt;"&amp;$AM$2,
     unit_details[Beds],$L64,
     unit_details[Baths],$M64,
     unit_details[Partial Baths],IF(ISNUMBER($N64),$N64,""),
     unit_details[Sqft],$P64,
     unit_details[Property Name],$F64)
 ),"")</f>
        <v/>
      </c>
      <c r="Z64" s="27" t="str">
        <f t="shared" si="11"/>
        <v/>
      </c>
      <c r="AA64" s="526">
        <f>IFERROR(
  IF($F64="Total",
    SUM(INDEX(AA:AA, ROW()-COUNTIF($F$6:INDEX($F:$F, ROW()-1), $F63)) : INDEX(AA:AA, ROW()-1)),
    COUNTIFS(
      unit_details[Leased Date], "&gt;="&amp;($AM$2-X$5),
      unit_details[Leased Date], "&lt;"&amp;$AM$2,
      unit_details[Beds], $L64,
      unit_details[Baths], $M64,
      unit_details[Partial Baths], IF(ISNUMBER($N64), $N64, ""),
      unit_details[Sqft],$P64,
      unit_details[Property Name], $F64
    )
  ),
"")</f>
        <v>0</v>
      </c>
      <c r="AB64" s="290">
        <f>IF($F64="Total",
SUM(INDEX(AB:AB, ROW()-COUNTIF($F$6:INDEX($F:$F, ROW()-1), $F63)) : INDEX(AB:AB, ROW()-1)),
COUNTIFS(unit_details[Active Listing?],TRUE,
          unit_details[Property Name], $F64,
          unit_details[Beds], $L64,
          unit_details[Baths], $M64,
          unit_details[Partial Baths],IF(ISNUMBER($N64),$N64,""),
          unit_details[Sqft],$P64))</f>
        <v>0</v>
      </c>
      <c r="AC64" s="27" t="str">
        <f t="shared" si="3"/>
        <v/>
      </c>
      <c r="AD64" s="293" t="str">
        <f>IFERROR(IF(AE64="","",IF($F64="Total",
SUMPRODUCT(
   INDEX(AD:AD, ROW()-COUNTIF($F$6:INDEX($F:$F, ROW()-1), $F63)) : INDEX(AD:AD, ROW()-1),
   INDEX(AB:AB, ROW()-COUNTIF($F$6:INDEX($F:$F, ROW()-1), $F63)) : INDEX(AB:AB, ROW()-1)
   )
   /SUM(INDEX(AB:AB, ROW()-COUNTIF($F$6:INDEX($F:$F, ROW()-1), $F63)) : INDEX(AB:AB, ROW()-1)),
          _xlfn.MINIFS(unit_details[Asking Rent],
          unit_details[Active Listing?],TRUE,
          unit_details[Property Name], $F64,
          unit_details[Beds], $L64,
          unit_details[Baths], $M64,
          unit_details[Partial Baths], IF(ISNUMBER($N64),$N64,""),
          unit_details[Sqft],$P64
))),"")</f>
        <v/>
      </c>
      <c r="AE64" s="5" t="str">
        <f>IFERROR(IF($F64="Total",
          SUMPRODUCT(
   INDEX(AE:AE, ROW()-COUNTIF($F$6:INDEX($F:$F, ROW()-1), $F63)) : INDEX(AE:AE, ROW()-1),
   INDEX(AB:AB, ROW()-COUNTIF($F$6:INDEX($F:$F, ROW()-1), $F63)) : INDEX(AB:AB, ROW()-1)
   )
   /SUM(INDEX(AB:AB, ROW()-COUNTIF($F$6:INDEX($F:$F, ROW()-1), $F63)) : INDEX(AB:AB, ROW()-1)),
          AVERAGEIFS(unit_details[Asking Rent],
          unit_details[Active Listing?],TRUE,
          unit_details[Property Name], $F64,
          unit_details[Beds], $L64,
          unit_details[Baths], $M64,
          unit_details[Partial Baths], IF(ISNUMBER($N64),$N64,""),
          unit_details[Sqft],$P64
)),"")</f>
        <v/>
      </c>
      <c r="AF64" s="5" t="str">
        <f>IFERROR(IF(AE64="","",IF($F64="Total",
SUMPRODUCT(
   INDEX(AF:AF, ROW()-COUNTIF($F$6:INDEX($F:$F, ROW()-1), $F63)) : INDEX(AF:AF, ROW()-1),
   INDEX(AB:AB, ROW()-COUNTIF($F$6:INDEX($F:$F, ROW()-1), $F63)) : INDEX(AB:AB, ROW()-1)
   )
   /SUM(INDEX(AB:AB, ROW()-COUNTIF($F$6:INDEX($F:$F, ROW()-1), $F63)) : INDEX(AB:AB, ROW()-1)),
           _xlfn.MAXIFS(unit_details[Asking Rent],
          unit_details[Active Listing?],TRUE,
          unit_details[Property Name], $F64,
          unit_details[Beds], $L64,
          unit_details[Baths], $M64,
          unit_details[Partial Baths], IF(ISNUMBER($N64),$N64,""),
          unit_details[Sqft],$P64
))),"")</f>
        <v/>
      </c>
      <c r="AG64" s="6" t="str">
        <f>IFERROR(IF($F64="Total",
         SUMPRODUCT(
         INDEX(AG:AG, ROW()-COUNTIF($F$6:INDEX($F:$F, ROW()-1), $F63)) : INDEX(AG:AG, ROW()-1),
         INDEX(AB:AB, ROW()-COUNTIF($F$6:INDEX($F:$F, ROW()-1), $F63)) : INDEX(AB:AB, ROW()-1)
         )
         /SUM(INDEX(AB:AB, ROW()-COUNTIF($F$6:INDEX($F:$F, ROW()-1), $F63)) : INDEX(AB:AB, ROW()-1)),
          AVERAGEIFS(unit_details[Asking PSF],
          unit_details[Active Listing?],TRUE,
          unit_details[Property Name], $F64,
          unit_details[Beds], $L64,
          unit_details[Baths], $M64,
          unit_details[Partial Baths], IF(ISNUMBER($N64),$N64,""),
          unit_details[Sqft],$P64
)),"")</f>
        <v/>
      </c>
      <c r="AH64" s="293" t="str">
        <f>IFERROR(IF($F64="Total",
         SUMPRODUCT(
         INDEX(AH:AH, ROW()-COUNTIF($F$6:INDEX($F:$F, ROW()-1), $F63)) : INDEX(AH:AH, ROW()-1),
         INDEX(AB:AB, ROW()-COUNTIF($F$6:INDEX($F:$F, ROW()-1), $F63)) : INDEX(AB:AB, ROW()-1)
         )
         /SUM(INDEX(AB:AB, ROW()-COUNTIF($F$6:INDEX($F:$F, ROW()-1), $F63)) : INDEX(AB:AB, ROW()-1)),
          AVERAGEIFS(unit_details[Effective Rent],
          unit_details[Active Listing?],TRUE,
          unit_details[Property Name], $F64,
          unit_details[Beds], $L64,
          unit_details[Baths], $M64,
          unit_details[Partial Baths], IF(ISNUMBER($N64),$N64,""),
          unit_details[Sqft],$P64
)),"")</f>
        <v/>
      </c>
      <c r="AI64" s="6" t="str">
        <f>IFERROR(IF($F64="Total",
         SUMPRODUCT(
         INDEX(AI:AI, ROW()-COUNTIF($F$6:INDEX($F:$F, ROW()-1), $F63)) : INDEX(AI:AI, ROW()-1),
         INDEX(AB:AB, ROW()-COUNTIF($F$6:INDEX($F:$F, ROW()-1), $F63)) : INDEX(AB:AB, ROW()-1)
         )
         /SUM(INDEX(AB:AB, ROW()-COUNTIF($F$6:INDEX($F:$F, ROW()-1), $F63)) : INDEX(AB:AB, ROW()-1)),
           AVERAGEIFS(unit_details[Effective PSF],
          unit_details[Active Listing?],TRUE,
          unit_details[Property Name], $F64,
          unit_details[Beds], $L64,
          unit_details[Baths], $M64,
          unit_details[Partial Baths], IF(ISNUMBER($N64),$N64,""),
          unit_details[Sqft],$P64
)),"")</f>
        <v/>
      </c>
      <c r="AJ64" s="824" t="str">
        <f t="shared" si="4"/>
        <v/>
      </c>
      <c r="AK64" s="531" t="str">
        <f t="shared" si="5"/>
        <v/>
      </c>
      <c r="AL64" s="714" t="str">
        <f t="shared" si="6"/>
        <v/>
      </c>
      <c r="AM64" s="531" t="str">
        <f t="shared" si="7"/>
        <v/>
      </c>
      <c r="AN64" s="716" t="str">
        <f t="shared" si="8"/>
        <v/>
      </c>
    </row>
    <row r="65" spans="6:40" x14ac:dyDescent="0.2">
      <c r="F65" s="1" t="str">
        <f t="shared" si="0"/>
        <v/>
      </c>
      <c r="G65" s="713" t="str">
        <f t="shared" si="9"/>
        <v/>
      </c>
      <c r="H65" s="17" t="str">
        <f>IFERROR(VLOOKUP($G65,Table1[[Property]:[Exposure %]],4,0),"")</f>
        <v/>
      </c>
      <c r="I65" s="3" t="str">
        <f>IFERROR(VLOOKUP($G65,Table1[[Property]:[Exposure %]],6,0),"")</f>
        <v/>
      </c>
      <c r="J65" s="3" t="str">
        <f>IFERROR(VLOOKUP($G65,Table1[[Property]:[Exposure %]],7,0),"")</f>
        <v/>
      </c>
      <c r="K65"/>
      <c r="L65"/>
      <c r="M65"/>
      <c r="N65"/>
      <c r="O65"/>
      <c r="P65"/>
      <c r="Q65"/>
      <c r="R65" s="4" t="str">
        <f>IFERROR(VLOOKUP(IF(F65="Total",F64,F65),Table1[[Property]:['# Units]],7,0)*S65,"")</f>
        <v/>
      </c>
      <c r="S65" s="27" t="str">
        <f t="shared" si="2"/>
        <v/>
      </c>
      <c r="T65" s="531" t="str">
        <f>IFERROR(
 IF($F65="Total",
   SUMPRODUCT(
   INDEX(T:T, ROW()-COUNTIF($F$6:INDEX($F:$F, ROW()-1), $F64)) : INDEX(T:T, ROW()-1),
   INDEX(W:W, ROW()-COUNTIF($F$6:INDEX($F:$F, ROW()-1), $F64)) : INDEX(W:W, ROW()-1)
   )
   /SUM(INDEX(W:W, ROW()-COUNTIF($F$6:INDEX($F:$F, ROW()-1), $F64)) : INDEX(W:W, ROW()-1)),
   AVERAGEIFS(
     INDEX((unit_details[Asking Rent],unit_details[Asking PSF]),0,1,IF($U$3="Chunk Rent",1,2)),
     unit_details[Leased Date],"&gt;="&amp;($AM$2-T$5),
     unit_details[Leased Date],"&lt;"&amp;$AM$2,
     unit_details[Beds],$L65,
     unit_details[Baths],$M65,
     unit_details[Partial Baths],IF(ISNUMBER($N65),$N65,""),
     unit_details[Sqft],$P65,
     unit_details[Property Name],$F65)
 ),"")</f>
        <v/>
      </c>
      <c r="U65" s="552" t="str">
        <f>IFERROR(
 IF($F65="Total",
   SUMPRODUCT(
   INDEX(U:U, ROW()-COUNTIF($F$6:INDEX($F:$F, ROW()-1), $F64)) : INDEX(U:U, ROW()-1),
   INDEX(W:W, ROW()-COUNTIF($F$6:INDEX($F:$F, ROW()-1), $F64)) : INDEX(W:W, ROW()-1)
   )
   /SUM(INDEX(W:W, ROW()-COUNTIF($F$6:INDEX($F:$F, ROW()-1), $F64)) : INDEX(W:W, ROW()-1)),
   AVERAGEIFS(
     INDEX((unit_details[Effective Rent],unit_details[Effective PSF]),0,1,IF($U$3="Chunk Rent",1,2)),
     unit_details[Leased Date],"&gt;="&amp;($AM$2-T$5),
     unit_details[Leased Date],"&lt;"&amp;$AM$2,
     unit_details[Beds],$L65,
     unit_details[Baths],$M65,
     unit_details[Partial Baths],IF(ISNUMBER($N65),$N65,""),
     unit_details[Sqft],$P65,
     unit_details[Property Name],$F65)
 ),"")</f>
        <v/>
      </c>
      <c r="V65" s="27" t="str">
        <f t="shared" si="10"/>
        <v/>
      </c>
      <c r="W65" s="526">
        <f>IFERROR(
  IF($F65="Total",
    SUM(INDEX(W:W, ROW()-COUNTIF($F$6:INDEX($F:$F, ROW()-1), $F64)) : INDEX(W:W, ROW()-1)),
    COUNTIFS(
      unit_details[Leased Date], "&gt;="&amp;($AM$2-T$5),
      unit_details[Leased Date], "&lt;"&amp;$AM$2,
      unit_details[Beds], $L65,
      unit_details[Baths], $M65,
      unit_details[Partial Baths], IF(ISNUMBER($N65), $N65, ""),
      unit_details[Sqft],$P65,
      unit_details[Property Name], $F65
    )
  ),
"")</f>
        <v>0</v>
      </c>
      <c r="X65" s="531" t="str">
        <f>IFERROR(
 IF($F65="Total",
   SUMPRODUCT(
   INDEX(X:X, ROW()-COUNTIF($F$6:INDEX($F:$F, ROW()-1), $F64)) : INDEX(X:X, ROW()-1),
   INDEX(AA:AA, ROW()-COUNTIF($F$6:INDEX($F:$F, ROW()-1), $F64)) : INDEX(AA:AA, ROW()-1)
   )
   /SUM(INDEX(AA:AA, ROW()-COUNTIF($F$6:INDEX($F:$F, ROW()-1), $F64)) : INDEX(AA:AA, ROW()-1)),
   AVERAGEIFS(
     INDEX((unit_details[Asking Rent],unit_details[Asking PSF]),0,1,IF($U$3="Chunk Rent",1,2)),
     unit_details[Leased Date],"&gt;="&amp;($AM$2-X$5),
     unit_details[Leased Date],"&lt;"&amp;$AM$2,
     unit_details[Beds],$L65,
     unit_details[Baths],$M65,
     unit_details[Partial Baths],IF(ISNUMBER($N65),$N65,""),
     unit_details[Sqft],$P65,
     unit_details[Property Name],$F65)
 ),"")</f>
        <v/>
      </c>
      <c r="Y65" s="552" t="str">
        <f>IFERROR(
 IF($F65="Total",
   SUMPRODUCT(
   INDEX(Y:Y, ROW()-COUNTIF($F$6:INDEX($F:$F, ROW()-1), $F64)) : INDEX(Y:Y, ROW()-1),
   INDEX(AA:AA, ROW()-COUNTIF($F$6:INDEX($F:$F, ROW()-1), $F64)) : INDEX(AA:AA, ROW()-1)
   )
   /SUM(INDEX(AA:AA, ROW()-COUNTIF($F$6:INDEX($F:$F, ROW()-1), $F64)) : INDEX(AA:AA, ROW()-1)),
   AVERAGEIFS(
     INDEX((unit_details[Effective Rent],unit_details[Effective PSF]),0,1,IF($U$3="Chunk Rent",1,2)),
     unit_details[Leased Date],"&gt;="&amp;($AM$2-X$5),
     unit_details[Leased Date],"&lt;"&amp;$AM$2,
     unit_details[Beds],$L65,
     unit_details[Baths],$M65,
     unit_details[Partial Baths],IF(ISNUMBER($N65),$N65,""),
     unit_details[Sqft],$P65,
     unit_details[Property Name],$F65)
 ),"")</f>
        <v/>
      </c>
      <c r="Z65" s="27" t="str">
        <f t="shared" si="11"/>
        <v/>
      </c>
      <c r="AA65" s="526">
        <f>IFERROR(
  IF($F65="Total",
    SUM(INDEX(AA:AA, ROW()-COUNTIF($F$6:INDEX($F:$F, ROW()-1), $F64)) : INDEX(AA:AA, ROW()-1)),
    COUNTIFS(
      unit_details[Leased Date], "&gt;="&amp;($AM$2-X$5),
      unit_details[Leased Date], "&lt;"&amp;$AM$2,
      unit_details[Beds], $L65,
      unit_details[Baths], $M65,
      unit_details[Partial Baths], IF(ISNUMBER($N65), $N65, ""),
      unit_details[Sqft],$P65,
      unit_details[Property Name], $F65
    )
  ),
"")</f>
        <v>0</v>
      </c>
      <c r="AB65" s="290">
        <f>IF($F65="Total",
SUM(INDEX(AB:AB, ROW()-COUNTIF($F$6:INDEX($F:$F, ROW()-1), $F64)) : INDEX(AB:AB, ROW()-1)),
COUNTIFS(unit_details[Active Listing?],TRUE,
          unit_details[Property Name], $F65,
          unit_details[Beds], $L65,
          unit_details[Baths], $M65,
          unit_details[Partial Baths],IF(ISNUMBER($N65),$N65,""),
          unit_details[Sqft],$P65))</f>
        <v>0</v>
      </c>
      <c r="AC65" s="27" t="str">
        <f t="shared" si="3"/>
        <v/>
      </c>
      <c r="AD65" s="293" t="str">
        <f>IFERROR(IF(AE65="","",IF($F65="Total",
SUMPRODUCT(
   INDEX(AD:AD, ROW()-COUNTIF($F$6:INDEX($F:$F, ROW()-1), $F64)) : INDEX(AD:AD, ROW()-1),
   INDEX(AB:AB, ROW()-COUNTIF($F$6:INDEX($F:$F, ROW()-1), $F64)) : INDEX(AB:AB, ROW()-1)
   )
   /SUM(INDEX(AB:AB, ROW()-COUNTIF($F$6:INDEX($F:$F, ROW()-1), $F64)) : INDEX(AB:AB, ROW()-1)),
          _xlfn.MINIFS(unit_details[Asking Rent],
          unit_details[Active Listing?],TRUE,
          unit_details[Property Name], $F65,
          unit_details[Beds], $L65,
          unit_details[Baths], $M65,
          unit_details[Partial Baths], IF(ISNUMBER($N65),$N65,""),
          unit_details[Sqft],$P65
))),"")</f>
        <v/>
      </c>
      <c r="AE65" s="5" t="str">
        <f>IFERROR(IF($F65="Total",
          SUMPRODUCT(
   INDEX(AE:AE, ROW()-COUNTIF($F$6:INDEX($F:$F, ROW()-1), $F64)) : INDEX(AE:AE, ROW()-1),
   INDEX(AB:AB, ROW()-COUNTIF($F$6:INDEX($F:$F, ROW()-1), $F64)) : INDEX(AB:AB, ROW()-1)
   )
   /SUM(INDEX(AB:AB, ROW()-COUNTIF($F$6:INDEX($F:$F, ROW()-1), $F64)) : INDEX(AB:AB, ROW()-1)),
          AVERAGEIFS(unit_details[Asking Rent],
          unit_details[Active Listing?],TRUE,
          unit_details[Property Name], $F65,
          unit_details[Beds], $L65,
          unit_details[Baths], $M65,
          unit_details[Partial Baths], IF(ISNUMBER($N65),$N65,""),
          unit_details[Sqft],$P65
)),"")</f>
        <v/>
      </c>
      <c r="AF65" s="5" t="str">
        <f>IFERROR(IF(AE65="","",IF($F65="Total",
SUMPRODUCT(
   INDEX(AF:AF, ROW()-COUNTIF($F$6:INDEX($F:$F, ROW()-1), $F64)) : INDEX(AF:AF, ROW()-1),
   INDEX(AB:AB, ROW()-COUNTIF($F$6:INDEX($F:$F, ROW()-1), $F64)) : INDEX(AB:AB, ROW()-1)
   )
   /SUM(INDEX(AB:AB, ROW()-COUNTIF($F$6:INDEX($F:$F, ROW()-1), $F64)) : INDEX(AB:AB, ROW()-1)),
           _xlfn.MAXIFS(unit_details[Asking Rent],
          unit_details[Active Listing?],TRUE,
          unit_details[Property Name], $F65,
          unit_details[Beds], $L65,
          unit_details[Baths], $M65,
          unit_details[Partial Baths], IF(ISNUMBER($N65),$N65,""),
          unit_details[Sqft],$P65
))),"")</f>
        <v/>
      </c>
      <c r="AG65" s="6" t="str">
        <f>IFERROR(IF($F65="Total",
         SUMPRODUCT(
         INDEX(AG:AG, ROW()-COUNTIF($F$6:INDEX($F:$F, ROW()-1), $F64)) : INDEX(AG:AG, ROW()-1),
         INDEX(AB:AB, ROW()-COUNTIF($F$6:INDEX($F:$F, ROW()-1), $F64)) : INDEX(AB:AB, ROW()-1)
         )
         /SUM(INDEX(AB:AB, ROW()-COUNTIF($F$6:INDEX($F:$F, ROW()-1), $F64)) : INDEX(AB:AB, ROW()-1)),
          AVERAGEIFS(unit_details[Asking PSF],
          unit_details[Active Listing?],TRUE,
          unit_details[Property Name], $F65,
          unit_details[Beds], $L65,
          unit_details[Baths], $M65,
          unit_details[Partial Baths], IF(ISNUMBER($N65),$N65,""),
          unit_details[Sqft],$P65
)),"")</f>
        <v/>
      </c>
      <c r="AH65" s="293" t="str">
        <f>IFERROR(IF($F65="Total",
         SUMPRODUCT(
         INDEX(AH:AH, ROW()-COUNTIF($F$6:INDEX($F:$F, ROW()-1), $F64)) : INDEX(AH:AH, ROW()-1),
         INDEX(AB:AB, ROW()-COUNTIF($F$6:INDEX($F:$F, ROW()-1), $F64)) : INDEX(AB:AB, ROW()-1)
         )
         /SUM(INDEX(AB:AB, ROW()-COUNTIF($F$6:INDEX($F:$F, ROW()-1), $F64)) : INDEX(AB:AB, ROW()-1)),
          AVERAGEIFS(unit_details[Effective Rent],
          unit_details[Active Listing?],TRUE,
          unit_details[Property Name], $F65,
          unit_details[Beds], $L65,
          unit_details[Baths], $M65,
          unit_details[Partial Baths], IF(ISNUMBER($N65),$N65,""),
          unit_details[Sqft],$P65
)),"")</f>
        <v/>
      </c>
      <c r="AI65" s="6" t="str">
        <f>IFERROR(IF($F65="Total",
         SUMPRODUCT(
         INDEX(AI:AI, ROW()-COUNTIF($F$6:INDEX($F:$F, ROW()-1), $F64)) : INDEX(AI:AI, ROW()-1),
         INDEX(AB:AB, ROW()-COUNTIF($F$6:INDEX($F:$F, ROW()-1), $F64)) : INDEX(AB:AB, ROW()-1)
         )
         /SUM(INDEX(AB:AB, ROW()-COUNTIF($F$6:INDEX($F:$F, ROW()-1), $F64)) : INDEX(AB:AB, ROW()-1)),
           AVERAGEIFS(unit_details[Effective PSF],
          unit_details[Active Listing?],TRUE,
          unit_details[Property Name], $F65,
          unit_details[Beds], $L65,
          unit_details[Baths], $M65,
          unit_details[Partial Baths], IF(ISNUMBER($N65),$N65,""),
          unit_details[Sqft],$P65
)),"")</f>
        <v/>
      </c>
      <c r="AJ65" s="824" t="str">
        <f t="shared" si="4"/>
        <v/>
      </c>
      <c r="AK65" s="531" t="str">
        <f t="shared" si="5"/>
        <v/>
      </c>
      <c r="AL65" s="714" t="str">
        <f t="shared" si="6"/>
        <v/>
      </c>
      <c r="AM65" s="531" t="str">
        <f t="shared" si="7"/>
        <v/>
      </c>
      <c r="AN65" s="716" t="str">
        <f t="shared" si="8"/>
        <v/>
      </c>
    </row>
    <row r="66" spans="6:40" x14ac:dyDescent="0.2">
      <c r="F66" s="1" t="str">
        <f t="shared" si="0"/>
        <v/>
      </c>
      <c r="G66" s="713" t="str">
        <f t="shared" si="9"/>
        <v/>
      </c>
      <c r="H66" s="17" t="str">
        <f>IFERROR(VLOOKUP($G66,Table1[[Property]:[Exposure %]],4,0),"")</f>
        <v/>
      </c>
      <c r="I66" s="3" t="str">
        <f>IFERROR(VLOOKUP($G66,Table1[[Property]:[Exposure %]],6,0),"")</f>
        <v/>
      </c>
      <c r="J66" s="3" t="str">
        <f>IFERROR(VLOOKUP($G66,Table1[[Property]:[Exposure %]],7,0),"")</f>
        <v/>
      </c>
      <c r="K66"/>
      <c r="L66"/>
      <c r="M66"/>
      <c r="N66"/>
      <c r="O66"/>
      <c r="P66"/>
      <c r="Q66"/>
      <c r="R66" s="4" t="str">
        <f>IFERROR(VLOOKUP(IF(F66="Total",F65,F66),Table1[[Property]:['# Units]],7,0)*S66,"")</f>
        <v/>
      </c>
      <c r="S66" s="27" t="str">
        <f t="shared" si="2"/>
        <v/>
      </c>
      <c r="T66" s="531" t="str">
        <f>IFERROR(
 IF($F66="Total",
   SUMPRODUCT(
   INDEX(T:T, ROW()-COUNTIF($F$6:INDEX($F:$F, ROW()-1), $F65)) : INDEX(T:T, ROW()-1),
   INDEX(W:W, ROW()-COUNTIF($F$6:INDEX($F:$F, ROW()-1), $F65)) : INDEX(W:W, ROW()-1)
   )
   /SUM(INDEX(W:W, ROW()-COUNTIF($F$6:INDEX($F:$F, ROW()-1), $F65)) : INDEX(W:W, ROW()-1)),
   AVERAGEIFS(
     INDEX((unit_details[Asking Rent],unit_details[Asking PSF]),0,1,IF($U$3="Chunk Rent",1,2)),
     unit_details[Leased Date],"&gt;="&amp;($AM$2-T$5),
     unit_details[Leased Date],"&lt;"&amp;$AM$2,
     unit_details[Beds],$L66,
     unit_details[Baths],$M66,
     unit_details[Partial Baths],IF(ISNUMBER($N66),$N66,""),
     unit_details[Sqft],$P66,
     unit_details[Property Name],$F66)
 ),"")</f>
        <v/>
      </c>
      <c r="U66" s="552" t="str">
        <f>IFERROR(
 IF($F66="Total",
   SUMPRODUCT(
   INDEX(U:U, ROW()-COUNTIF($F$6:INDEX($F:$F, ROW()-1), $F65)) : INDEX(U:U, ROW()-1),
   INDEX(W:W, ROW()-COUNTIF($F$6:INDEX($F:$F, ROW()-1), $F65)) : INDEX(W:W, ROW()-1)
   )
   /SUM(INDEX(W:W, ROW()-COUNTIF($F$6:INDEX($F:$F, ROW()-1), $F65)) : INDEX(W:W, ROW()-1)),
   AVERAGEIFS(
     INDEX((unit_details[Effective Rent],unit_details[Effective PSF]),0,1,IF($U$3="Chunk Rent",1,2)),
     unit_details[Leased Date],"&gt;="&amp;($AM$2-T$5),
     unit_details[Leased Date],"&lt;"&amp;$AM$2,
     unit_details[Beds],$L66,
     unit_details[Baths],$M66,
     unit_details[Partial Baths],IF(ISNUMBER($N66),$N66,""),
     unit_details[Sqft],$P66,
     unit_details[Property Name],$F66)
 ),"")</f>
        <v/>
      </c>
      <c r="V66" s="27" t="str">
        <f t="shared" si="10"/>
        <v/>
      </c>
      <c r="W66" s="526">
        <f>IFERROR(
  IF($F66="Total",
    SUM(INDEX(W:W, ROW()-COUNTIF($F$6:INDEX($F:$F, ROW()-1), $F65)) : INDEX(W:W, ROW()-1)),
    COUNTIFS(
      unit_details[Leased Date], "&gt;="&amp;($AM$2-T$5),
      unit_details[Leased Date], "&lt;"&amp;$AM$2,
      unit_details[Beds], $L66,
      unit_details[Baths], $M66,
      unit_details[Partial Baths], IF(ISNUMBER($N66), $N66, ""),
      unit_details[Sqft],$P66,
      unit_details[Property Name], $F66
    )
  ),
"")</f>
        <v>0</v>
      </c>
      <c r="X66" s="531" t="str">
        <f>IFERROR(
 IF($F66="Total",
   SUMPRODUCT(
   INDEX(X:X, ROW()-COUNTIF($F$6:INDEX($F:$F, ROW()-1), $F65)) : INDEX(X:X, ROW()-1),
   INDEX(AA:AA, ROW()-COUNTIF($F$6:INDEX($F:$F, ROW()-1), $F65)) : INDEX(AA:AA, ROW()-1)
   )
   /SUM(INDEX(AA:AA, ROW()-COUNTIF($F$6:INDEX($F:$F, ROW()-1), $F65)) : INDEX(AA:AA, ROW()-1)),
   AVERAGEIFS(
     INDEX((unit_details[Asking Rent],unit_details[Asking PSF]),0,1,IF($U$3="Chunk Rent",1,2)),
     unit_details[Leased Date],"&gt;="&amp;($AM$2-X$5),
     unit_details[Leased Date],"&lt;"&amp;$AM$2,
     unit_details[Beds],$L66,
     unit_details[Baths],$M66,
     unit_details[Partial Baths],IF(ISNUMBER($N66),$N66,""),
     unit_details[Sqft],$P66,
     unit_details[Property Name],$F66)
 ),"")</f>
        <v/>
      </c>
      <c r="Y66" s="552" t="str">
        <f>IFERROR(
 IF($F66="Total",
   SUMPRODUCT(
   INDEX(Y:Y, ROW()-COUNTIF($F$6:INDEX($F:$F, ROW()-1), $F65)) : INDEX(Y:Y, ROW()-1),
   INDEX(AA:AA, ROW()-COUNTIF($F$6:INDEX($F:$F, ROW()-1), $F65)) : INDEX(AA:AA, ROW()-1)
   )
   /SUM(INDEX(AA:AA, ROW()-COUNTIF($F$6:INDEX($F:$F, ROW()-1), $F65)) : INDEX(AA:AA, ROW()-1)),
   AVERAGEIFS(
     INDEX((unit_details[Effective Rent],unit_details[Effective PSF]),0,1,IF($U$3="Chunk Rent",1,2)),
     unit_details[Leased Date],"&gt;="&amp;($AM$2-X$5),
     unit_details[Leased Date],"&lt;"&amp;$AM$2,
     unit_details[Beds],$L66,
     unit_details[Baths],$M66,
     unit_details[Partial Baths],IF(ISNUMBER($N66),$N66,""),
     unit_details[Sqft],$P66,
     unit_details[Property Name],$F66)
 ),"")</f>
        <v/>
      </c>
      <c r="Z66" s="27" t="str">
        <f t="shared" si="11"/>
        <v/>
      </c>
      <c r="AA66" s="526">
        <f>IFERROR(
  IF($F66="Total",
    SUM(INDEX(AA:AA, ROW()-COUNTIF($F$6:INDEX($F:$F, ROW()-1), $F65)) : INDEX(AA:AA, ROW()-1)),
    COUNTIFS(
      unit_details[Leased Date], "&gt;="&amp;($AM$2-X$5),
      unit_details[Leased Date], "&lt;"&amp;$AM$2,
      unit_details[Beds], $L66,
      unit_details[Baths], $M66,
      unit_details[Partial Baths], IF(ISNUMBER($N66), $N66, ""),
      unit_details[Sqft],$P66,
      unit_details[Property Name], $F66
    )
  ),
"")</f>
        <v>0</v>
      </c>
      <c r="AB66" s="290">
        <f>IF($F66="Total",
SUM(INDEX(AB:AB, ROW()-COUNTIF($F$6:INDEX($F:$F, ROW()-1), $F65)) : INDEX(AB:AB, ROW()-1)),
COUNTIFS(unit_details[Active Listing?],TRUE,
          unit_details[Property Name], $F66,
          unit_details[Beds], $L66,
          unit_details[Baths], $M66,
          unit_details[Partial Baths],IF(ISNUMBER($N66),$N66,""),
          unit_details[Sqft],$P66))</f>
        <v>0</v>
      </c>
      <c r="AC66" s="27" t="str">
        <f t="shared" si="3"/>
        <v/>
      </c>
      <c r="AD66" s="293" t="str">
        <f>IFERROR(IF(AE66="","",IF($F66="Total",
SUMPRODUCT(
   INDEX(AD:AD, ROW()-COUNTIF($F$6:INDEX($F:$F, ROW()-1), $F65)) : INDEX(AD:AD, ROW()-1),
   INDEX(AB:AB, ROW()-COUNTIF($F$6:INDEX($F:$F, ROW()-1), $F65)) : INDEX(AB:AB, ROW()-1)
   )
   /SUM(INDEX(AB:AB, ROW()-COUNTIF($F$6:INDEX($F:$F, ROW()-1), $F65)) : INDEX(AB:AB, ROW()-1)),
          _xlfn.MINIFS(unit_details[Asking Rent],
          unit_details[Active Listing?],TRUE,
          unit_details[Property Name], $F66,
          unit_details[Beds], $L66,
          unit_details[Baths], $M66,
          unit_details[Partial Baths], IF(ISNUMBER($N66),$N66,""),
          unit_details[Sqft],$P66
))),"")</f>
        <v/>
      </c>
      <c r="AE66" s="5" t="str">
        <f>IFERROR(IF($F66="Total",
          SUMPRODUCT(
   INDEX(AE:AE, ROW()-COUNTIF($F$6:INDEX($F:$F, ROW()-1), $F65)) : INDEX(AE:AE, ROW()-1),
   INDEX(AB:AB, ROW()-COUNTIF($F$6:INDEX($F:$F, ROW()-1), $F65)) : INDEX(AB:AB, ROW()-1)
   )
   /SUM(INDEX(AB:AB, ROW()-COUNTIF($F$6:INDEX($F:$F, ROW()-1), $F65)) : INDEX(AB:AB, ROW()-1)),
          AVERAGEIFS(unit_details[Asking Rent],
          unit_details[Active Listing?],TRUE,
          unit_details[Property Name], $F66,
          unit_details[Beds], $L66,
          unit_details[Baths], $M66,
          unit_details[Partial Baths], IF(ISNUMBER($N66),$N66,""),
          unit_details[Sqft],$P66
)),"")</f>
        <v/>
      </c>
      <c r="AF66" s="5" t="str">
        <f>IFERROR(IF(AE66="","",IF($F66="Total",
SUMPRODUCT(
   INDEX(AF:AF, ROW()-COUNTIF($F$6:INDEX($F:$F, ROW()-1), $F65)) : INDEX(AF:AF, ROW()-1),
   INDEX(AB:AB, ROW()-COUNTIF($F$6:INDEX($F:$F, ROW()-1), $F65)) : INDEX(AB:AB, ROW()-1)
   )
   /SUM(INDEX(AB:AB, ROW()-COUNTIF($F$6:INDEX($F:$F, ROW()-1), $F65)) : INDEX(AB:AB, ROW()-1)),
           _xlfn.MAXIFS(unit_details[Asking Rent],
          unit_details[Active Listing?],TRUE,
          unit_details[Property Name], $F66,
          unit_details[Beds], $L66,
          unit_details[Baths], $M66,
          unit_details[Partial Baths], IF(ISNUMBER($N66),$N66,""),
          unit_details[Sqft],$P66
))),"")</f>
        <v/>
      </c>
      <c r="AG66" s="6" t="str">
        <f>IFERROR(IF($F66="Total",
         SUMPRODUCT(
         INDEX(AG:AG, ROW()-COUNTIF($F$6:INDEX($F:$F, ROW()-1), $F65)) : INDEX(AG:AG, ROW()-1),
         INDEX(AB:AB, ROW()-COUNTIF($F$6:INDEX($F:$F, ROW()-1), $F65)) : INDEX(AB:AB, ROW()-1)
         )
         /SUM(INDEX(AB:AB, ROW()-COUNTIF($F$6:INDEX($F:$F, ROW()-1), $F65)) : INDEX(AB:AB, ROW()-1)),
          AVERAGEIFS(unit_details[Asking PSF],
          unit_details[Active Listing?],TRUE,
          unit_details[Property Name], $F66,
          unit_details[Beds], $L66,
          unit_details[Baths], $M66,
          unit_details[Partial Baths], IF(ISNUMBER($N66),$N66,""),
          unit_details[Sqft],$P66
)),"")</f>
        <v/>
      </c>
      <c r="AH66" s="293" t="str">
        <f>IFERROR(IF($F66="Total",
         SUMPRODUCT(
         INDEX(AH:AH, ROW()-COUNTIF($F$6:INDEX($F:$F, ROW()-1), $F65)) : INDEX(AH:AH, ROW()-1),
         INDEX(AB:AB, ROW()-COUNTIF($F$6:INDEX($F:$F, ROW()-1), $F65)) : INDEX(AB:AB, ROW()-1)
         )
         /SUM(INDEX(AB:AB, ROW()-COUNTIF($F$6:INDEX($F:$F, ROW()-1), $F65)) : INDEX(AB:AB, ROW()-1)),
          AVERAGEIFS(unit_details[Effective Rent],
          unit_details[Active Listing?],TRUE,
          unit_details[Property Name], $F66,
          unit_details[Beds], $L66,
          unit_details[Baths], $M66,
          unit_details[Partial Baths], IF(ISNUMBER($N66),$N66,""),
          unit_details[Sqft],$P66
)),"")</f>
        <v/>
      </c>
      <c r="AI66" s="6" t="str">
        <f>IFERROR(IF($F66="Total",
         SUMPRODUCT(
         INDEX(AI:AI, ROW()-COUNTIF($F$6:INDEX($F:$F, ROW()-1), $F65)) : INDEX(AI:AI, ROW()-1),
         INDEX(AB:AB, ROW()-COUNTIF($F$6:INDEX($F:$F, ROW()-1), $F65)) : INDEX(AB:AB, ROW()-1)
         )
         /SUM(INDEX(AB:AB, ROW()-COUNTIF($F$6:INDEX($F:$F, ROW()-1), $F65)) : INDEX(AB:AB, ROW()-1)),
           AVERAGEIFS(unit_details[Effective PSF],
          unit_details[Active Listing?],TRUE,
          unit_details[Property Name], $F66,
          unit_details[Beds], $L66,
          unit_details[Baths], $M66,
          unit_details[Partial Baths], IF(ISNUMBER($N66),$N66,""),
          unit_details[Sqft],$P66
)),"")</f>
        <v/>
      </c>
      <c r="AJ66" s="824" t="str">
        <f t="shared" si="4"/>
        <v/>
      </c>
      <c r="AK66" s="531" t="str">
        <f t="shared" si="5"/>
        <v/>
      </c>
      <c r="AL66" s="714" t="str">
        <f t="shared" si="6"/>
        <v/>
      </c>
      <c r="AM66" s="531" t="str">
        <f t="shared" si="7"/>
        <v/>
      </c>
      <c r="AN66" s="716" t="str">
        <f t="shared" si="8"/>
        <v/>
      </c>
    </row>
    <row r="67" spans="6:40" x14ac:dyDescent="0.2">
      <c r="F67" s="1" t="str">
        <f t="shared" si="0"/>
        <v/>
      </c>
      <c r="G67" s="713" t="str">
        <f t="shared" si="9"/>
        <v/>
      </c>
      <c r="H67" s="17" t="str">
        <f>IFERROR(VLOOKUP($G67,Table1[[Property]:[Exposure %]],4,0),"")</f>
        <v/>
      </c>
      <c r="I67" s="3" t="str">
        <f>IFERROR(VLOOKUP($G67,Table1[[Property]:[Exposure %]],6,0),"")</f>
        <v/>
      </c>
      <c r="J67" s="3" t="str">
        <f>IFERROR(VLOOKUP($G67,Table1[[Property]:[Exposure %]],7,0),"")</f>
        <v/>
      </c>
      <c r="K67"/>
      <c r="L67"/>
      <c r="M67"/>
      <c r="N67"/>
      <c r="O67"/>
      <c r="P67"/>
      <c r="Q67"/>
      <c r="R67" s="4" t="str">
        <f>IFERROR(VLOOKUP(IF(F67="Total",F66,F67),Table1[[Property]:['# Units]],7,0)*S67,"")</f>
        <v/>
      </c>
      <c r="S67" s="27" t="str">
        <f t="shared" si="2"/>
        <v/>
      </c>
      <c r="T67" s="531" t="str">
        <f>IFERROR(
 IF($F67="Total",
   SUMPRODUCT(
   INDEX(T:T, ROW()-COUNTIF($F$6:INDEX($F:$F, ROW()-1), $F66)) : INDEX(T:T, ROW()-1),
   INDEX(W:W, ROW()-COUNTIF($F$6:INDEX($F:$F, ROW()-1), $F66)) : INDEX(W:W, ROW()-1)
   )
   /SUM(INDEX(W:W, ROW()-COUNTIF($F$6:INDEX($F:$F, ROW()-1), $F66)) : INDEX(W:W, ROW()-1)),
   AVERAGEIFS(
     INDEX((unit_details[Asking Rent],unit_details[Asking PSF]),0,1,IF($U$3="Chunk Rent",1,2)),
     unit_details[Leased Date],"&gt;="&amp;($AM$2-T$5),
     unit_details[Leased Date],"&lt;"&amp;$AM$2,
     unit_details[Beds],$L67,
     unit_details[Baths],$M67,
     unit_details[Partial Baths],IF(ISNUMBER($N67),$N67,""),
     unit_details[Sqft],$P67,
     unit_details[Property Name],$F67)
 ),"")</f>
        <v/>
      </c>
      <c r="U67" s="552" t="str">
        <f>IFERROR(
 IF($F67="Total",
   SUMPRODUCT(
   INDEX(U:U, ROW()-COUNTIF($F$6:INDEX($F:$F, ROW()-1), $F66)) : INDEX(U:U, ROW()-1),
   INDEX(W:W, ROW()-COUNTIF($F$6:INDEX($F:$F, ROW()-1), $F66)) : INDEX(W:W, ROW()-1)
   )
   /SUM(INDEX(W:W, ROW()-COUNTIF($F$6:INDEX($F:$F, ROW()-1), $F66)) : INDEX(W:W, ROW()-1)),
   AVERAGEIFS(
     INDEX((unit_details[Effective Rent],unit_details[Effective PSF]),0,1,IF($U$3="Chunk Rent",1,2)),
     unit_details[Leased Date],"&gt;="&amp;($AM$2-T$5),
     unit_details[Leased Date],"&lt;"&amp;$AM$2,
     unit_details[Beds],$L67,
     unit_details[Baths],$M67,
     unit_details[Partial Baths],IF(ISNUMBER($N67),$N67,""),
     unit_details[Sqft],$P67,
     unit_details[Property Name],$F67)
 ),"")</f>
        <v/>
      </c>
      <c r="V67" s="27" t="str">
        <f t="shared" si="10"/>
        <v/>
      </c>
      <c r="W67" s="526">
        <f>IFERROR(
  IF($F67="Total",
    SUM(INDEX(W:W, ROW()-COUNTIF($F$6:INDEX($F:$F, ROW()-1), $F66)) : INDEX(W:W, ROW()-1)),
    COUNTIFS(
      unit_details[Leased Date], "&gt;="&amp;($AM$2-T$5),
      unit_details[Leased Date], "&lt;"&amp;$AM$2,
      unit_details[Beds], $L67,
      unit_details[Baths], $M67,
      unit_details[Partial Baths], IF(ISNUMBER($N67), $N67, ""),
      unit_details[Sqft],$P67,
      unit_details[Property Name], $F67
    )
  ),
"")</f>
        <v>0</v>
      </c>
      <c r="X67" s="531" t="str">
        <f>IFERROR(
 IF($F67="Total",
   SUMPRODUCT(
   INDEX(X:X, ROW()-COUNTIF($F$6:INDEX($F:$F, ROW()-1), $F66)) : INDEX(X:X, ROW()-1),
   INDEX(AA:AA, ROW()-COUNTIF($F$6:INDEX($F:$F, ROW()-1), $F66)) : INDEX(AA:AA, ROW()-1)
   )
   /SUM(INDEX(AA:AA, ROW()-COUNTIF($F$6:INDEX($F:$F, ROW()-1), $F66)) : INDEX(AA:AA, ROW()-1)),
   AVERAGEIFS(
     INDEX((unit_details[Asking Rent],unit_details[Asking PSF]),0,1,IF($U$3="Chunk Rent",1,2)),
     unit_details[Leased Date],"&gt;="&amp;($AM$2-X$5),
     unit_details[Leased Date],"&lt;"&amp;$AM$2,
     unit_details[Beds],$L67,
     unit_details[Baths],$M67,
     unit_details[Partial Baths],IF(ISNUMBER($N67),$N67,""),
     unit_details[Sqft],$P67,
     unit_details[Property Name],$F67)
 ),"")</f>
        <v/>
      </c>
      <c r="Y67" s="552" t="str">
        <f>IFERROR(
 IF($F67="Total",
   SUMPRODUCT(
   INDEX(Y:Y, ROW()-COUNTIF($F$6:INDEX($F:$F, ROW()-1), $F66)) : INDEX(Y:Y, ROW()-1),
   INDEX(AA:AA, ROW()-COUNTIF($F$6:INDEX($F:$F, ROW()-1), $F66)) : INDEX(AA:AA, ROW()-1)
   )
   /SUM(INDEX(AA:AA, ROW()-COUNTIF($F$6:INDEX($F:$F, ROW()-1), $F66)) : INDEX(AA:AA, ROW()-1)),
   AVERAGEIFS(
     INDEX((unit_details[Effective Rent],unit_details[Effective PSF]),0,1,IF($U$3="Chunk Rent",1,2)),
     unit_details[Leased Date],"&gt;="&amp;($AM$2-X$5),
     unit_details[Leased Date],"&lt;"&amp;$AM$2,
     unit_details[Beds],$L67,
     unit_details[Baths],$M67,
     unit_details[Partial Baths],IF(ISNUMBER($N67),$N67,""),
     unit_details[Sqft],$P67,
     unit_details[Property Name],$F67)
 ),"")</f>
        <v/>
      </c>
      <c r="Z67" s="27" t="str">
        <f t="shared" si="11"/>
        <v/>
      </c>
      <c r="AA67" s="526">
        <f>IFERROR(
  IF($F67="Total",
    SUM(INDEX(AA:AA, ROW()-COUNTIF($F$6:INDEX($F:$F, ROW()-1), $F66)) : INDEX(AA:AA, ROW()-1)),
    COUNTIFS(
      unit_details[Leased Date], "&gt;="&amp;($AM$2-X$5),
      unit_details[Leased Date], "&lt;"&amp;$AM$2,
      unit_details[Beds], $L67,
      unit_details[Baths], $M67,
      unit_details[Partial Baths], IF(ISNUMBER($N67), $N67, ""),
      unit_details[Sqft],$P67,
      unit_details[Property Name], $F67
    )
  ),
"")</f>
        <v>0</v>
      </c>
      <c r="AB67" s="290">
        <f>IF($F67="Total",
SUM(INDEX(AB:AB, ROW()-COUNTIF($F$6:INDEX($F:$F, ROW()-1), $F66)) : INDEX(AB:AB, ROW()-1)),
COUNTIFS(unit_details[Active Listing?],TRUE,
          unit_details[Property Name], $F67,
          unit_details[Beds], $L67,
          unit_details[Baths], $M67,
          unit_details[Partial Baths],IF(ISNUMBER($N67),$N67,""),
          unit_details[Sqft],$P67))</f>
        <v>0</v>
      </c>
      <c r="AC67" s="27" t="str">
        <f t="shared" si="3"/>
        <v/>
      </c>
      <c r="AD67" s="293" t="str">
        <f>IFERROR(IF(AE67="","",IF($F67="Total",
SUMPRODUCT(
   INDEX(AD:AD, ROW()-COUNTIF($F$6:INDEX($F:$F, ROW()-1), $F66)) : INDEX(AD:AD, ROW()-1),
   INDEX(AB:AB, ROW()-COUNTIF($F$6:INDEX($F:$F, ROW()-1), $F66)) : INDEX(AB:AB, ROW()-1)
   )
   /SUM(INDEX(AB:AB, ROW()-COUNTIF($F$6:INDEX($F:$F, ROW()-1), $F66)) : INDEX(AB:AB, ROW()-1)),
          _xlfn.MINIFS(unit_details[Asking Rent],
          unit_details[Active Listing?],TRUE,
          unit_details[Property Name], $F67,
          unit_details[Beds], $L67,
          unit_details[Baths], $M67,
          unit_details[Partial Baths], IF(ISNUMBER($N67),$N67,""),
          unit_details[Sqft],$P67
))),"")</f>
        <v/>
      </c>
      <c r="AE67" s="5" t="str">
        <f>IFERROR(IF($F67="Total",
          SUMPRODUCT(
   INDEX(AE:AE, ROW()-COUNTIF($F$6:INDEX($F:$F, ROW()-1), $F66)) : INDEX(AE:AE, ROW()-1),
   INDEX(AB:AB, ROW()-COUNTIF($F$6:INDEX($F:$F, ROW()-1), $F66)) : INDEX(AB:AB, ROW()-1)
   )
   /SUM(INDEX(AB:AB, ROW()-COUNTIF($F$6:INDEX($F:$F, ROW()-1), $F66)) : INDEX(AB:AB, ROW()-1)),
          AVERAGEIFS(unit_details[Asking Rent],
          unit_details[Active Listing?],TRUE,
          unit_details[Property Name], $F67,
          unit_details[Beds], $L67,
          unit_details[Baths], $M67,
          unit_details[Partial Baths], IF(ISNUMBER($N67),$N67,""),
          unit_details[Sqft],$P67
)),"")</f>
        <v/>
      </c>
      <c r="AF67" s="5" t="str">
        <f>IFERROR(IF(AE67="","",IF($F67="Total",
SUMPRODUCT(
   INDEX(AF:AF, ROW()-COUNTIF($F$6:INDEX($F:$F, ROW()-1), $F66)) : INDEX(AF:AF, ROW()-1),
   INDEX(AB:AB, ROW()-COUNTIF($F$6:INDEX($F:$F, ROW()-1), $F66)) : INDEX(AB:AB, ROW()-1)
   )
   /SUM(INDEX(AB:AB, ROW()-COUNTIF($F$6:INDEX($F:$F, ROW()-1), $F66)) : INDEX(AB:AB, ROW()-1)),
           _xlfn.MAXIFS(unit_details[Asking Rent],
          unit_details[Active Listing?],TRUE,
          unit_details[Property Name], $F67,
          unit_details[Beds], $L67,
          unit_details[Baths], $M67,
          unit_details[Partial Baths], IF(ISNUMBER($N67),$N67,""),
          unit_details[Sqft],$P67
))),"")</f>
        <v/>
      </c>
      <c r="AG67" s="6" t="str">
        <f>IFERROR(IF($F67="Total",
         SUMPRODUCT(
         INDEX(AG:AG, ROW()-COUNTIF($F$6:INDEX($F:$F, ROW()-1), $F66)) : INDEX(AG:AG, ROW()-1),
         INDEX(AB:AB, ROW()-COUNTIF($F$6:INDEX($F:$F, ROW()-1), $F66)) : INDEX(AB:AB, ROW()-1)
         )
         /SUM(INDEX(AB:AB, ROW()-COUNTIF($F$6:INDEX($F:$F, ROW()-1), $F66)) : INDEX(AB:AB, ROW()-1)),
          AVERAGEIFS(unit_details[Asking PSF],
          unit_details[Active Listing?],TRUE,
          unit_details[Property Name], $F67,
          unit_details[Beds], $L67,
          unit_details[Baths], $M67,
          unit_details[Partial Baths], IF(ISNUMBER($N67),$N67,""),
          unit_details[Sqft],$P67
)),"")</f>
        <v/>
      </c>
      <c r="AH67" s="293" t="str">
        <f>IFERROR(IF($F67="Total",
         SUMPRODUCT(
         INDEX(AH:AH, ROW()-COUNTIF($F$6:INDEX($F:$F, ROW()-1), $F66)) : INDEX(AH:AH, ROW()-1),
         INDEX(AB:AB, ROW()-COUNTIF($F$6:INDEX($F:$F, ROW()-1), $F66)) : INDEX(AB:AB, ROW()-1)
         )
         /SUM(INDEX(AB:AB, ROW()-COUNTIF($F$6:INDEX($F:$F, ROW()-1), $F66)) : INDEX(AB:AB, ROW()-1)),
          AVERAGEIFS(unit_details[Effective Rent],
          unit_details[Active Listing?],TRUE,
          unit_details[Property Name], $F67,
          unit_details[Beds], $L67,
          unit_details[Baths], $M67,
          unit_details[Partial Baths], IF(ISNUMBER($N67),$N67,""),
          unit_details[Sqft],$P67
)),"")</f>
        <v/>
      </c>
      <c r="AI67" s="6" t="str">
        <f>IFERROR(IF($F67="Total",
         SUMPRODUCT(
         INDEX(AI:AI, ROW()-COUNTIF($F$6:INDEX($F:$F, ROW()-1), $F66)) : INDEX(AI:AI, ROW()-1),
         INDEX(AB:AB, ROW()-COUNTIF($F$6:INDEX($F:$F, ROW()-1), $F66)) : INDEX(AB:AB, ROW()-1)
         )
         /SUM(INDEX(AB:AB, ROW()-COUNTIF($F$6:INDEX($F:$F, ROW()-1), $F66)) : INDEX(AB:AB, ROW()-1)),
           AVERAGEIFS(unit_details[Effective PSF],
          unit_details[Active Listing?],TRUE,
          unit_details[Property Name], $F67,
          unit_details[Beds], $L67,
          unit_details[Baths], $M67,
          unit_details[Partial Baths], IF(ISNUMBER($N67),$N67,""),
          unit_details[Sqft],$P67
)),"")</f>
        <v/>
      </c>
      <c r="AJ67" s="824" t="str">
        <f t="shared" si="4"/>
        <v/>
      </c>
      <c r="AK67" s="531" t="str">
        <f t="shared" si="5"/>
        <v/>
      </c>
      <c r="AL67" s="714" t="str">
        <f t="shared" si="6"/>
        <v/>
      </c>
      <c r="AM67" s="531" t="str">
        <f t="shared" si="7"/>
        <v/>
      </c>
      <c r="AN67" s="716" t="str">
        <f t="shared" si="8"/>
        <v/>
      </c>
    </row>
    <row r="68" spans="6:40" x14ac:dyDescent="0.2">
      <c r="F68" s="1" t="str">
        <f t="shared" si="0"/>
        <v/>
      </c>
      <c r="G68" s="713" t="str">
        <f t="shared" si="9"/>
        <v/>
      </c>
      <c r="H68" s="17" t="str">
        <f>IFERROR(VLOOKUP($G68,Table1[[Property]:[Exposure %]],4,0),"")</f>
        <v/>
      </c>
      <c r="I68" s="3" t="str">
        <f>IFERROR(VLOOKUP($G68,Table1[[Property]:[Exposure %]],6,0),"")</f>
        <v/>
      </c>
      <c r="J68" s="3" t="str">
        <f>IFERROR(VLOOKUP($G68,Table1[[Property]:[Exposure %]],7,0),"")</f>
        <v/>
      </c>
      <c r="K68"/>
      <c r="L68"/>
      <c r="M68"/>
      <c r="N68"/>
      <c r="O68"/>
      <c r="P68"/>
      <c r="Q68"/>
      <c r="R68" s="4" t="str">
        <f>IFERROR(VLOOKUP(IF(F68="Total",F67,F68),Table1[[Property]:['# Units]],7,0)*S68,"")</f>
        <v/>
      </c>
      <c r="S68" s="27" t="str">
        <f t="shared" si="2"/>
        <v/>
      </c>
      <c r="T68" s="531" t="str">
        <f>IFERROR(
 IF($F68="Total",
   SUMPRODUCT(
   INDEX(T:T, ROW()-COUNTIF($F$6:INDEX($F:$F, ROW()-1), $F67)) : INDEX(T:T, ROW()-1),
   INDEX(W:W, ROW()-COUNTIF($F$6:INDEX($F:$F, ROW()-1), $F67)) : INDEX(W:W, ROW()-1)
   )
   /SUM(INDEX(W:W, ROW()-COUNTIF($F$6:INDEX($F:$F, ROW()-1), $F67)) : INDEX(W:W, ROW()-1)),
   AVERAGEIFS(
     INDEX((unit_details[Asking Rent],unit_details[Asking PSF]),0,1,IF($U$3="Chunk Rent",1,2)),
     unit_details[Leased Date],"&gt;="&amp;($AM$2-T$5),
     unit_details[Leased Date],"&lt;"&amp;$AM$2,
     unit_details[Beds],$L68,
     unit_details[Baths],$M68,
     unit_details[Partial Baths],IF(ISNUMBER($N68),$N68,""),
     unit_details[Sqft],$P68,
     unit_details[Property Name],$F68)
 ),"")</f>
        <v/>
      </c>
      <c r="U68" s="552" t="str">
        <f>IFERROR(
 IF($F68="Total",
   SUMPRODUCT(
   INDEX(U:U, ROW()-COUNTIF($F$6:INDEX($F:$F, ROW()-1), $F67)) : INDEX(U:U, ROW()-1),
   INDEX(W:W, ROW()-COUNTIF($F$6:INDEX($F:$F, ROW()-1), $F67)) : INDEX(W:W, ROW()-1)
   )
   /SUM(INDEX(W:W, ROW()-COUNTIF($F$6:INDEX($F:$F, ROW()-1), $F67)) : INDEX(W:W, ROW()-1)),
   AVERAGEIFS(
     INDEX((unit_details[Effective Rent],unit_details[Effective PSF]),0,1,IF($U$3="Chunk Rent",1,2)),
     unit_details[Leased Date],"&gt;="&amp;($AM$2-T$5),
     unit_details[Leased Date],"&lt;"&amp;$AM$2,
     unit_details[Beds],$L68,
     unit_details[Baths],$M68,
     unit_details[Partial Baths],IF(ISNUMBER($N68),$N68,""),
     unit_details[Sqft],$P68,
     unit_details[Property Name],$F68)
 ),"")</f>
        <v/>
      </c>
      <c r="V68" s="27" t="str">
        <f t="shared" si="10"/>
        <v/>
      </c>
      <c r="W68" s="526">
        <f>IFERROR(
  IF($F68="Total",
    SUM(INDEX(W:W, ROW()-COUNTIF($F$6:INDEX($F:$F, ROW()-1), $F67)) : INDEX(W:W, ROW()-1)),
    COUNTIFS(
      unit_details[Leased Date], "&gt;="&amp;($AM$2-T$5),
      unit_details[Leased Date], "&lt;"&amp;$AM$2,
      unit_details[Beds], $L68,
      unit_details[Baths], $M68,
      unit_details[Partial Baths], IF(ISNUMBER($N68), $N68, ""),
      unit_details[Sqft],$P68,
      unit_details[Property Name], $F68
    )
  ),
"")</f>
        <v>0</v>
      </c>
      <c r="X68" s="531" t="str">
        <f>IFERROR(
 IF($F68="Total",
   SUMPRODUCT(
   INDEX(X:X, ROW()-COUNTIF($F$6:INDEX($F:$F, ROW()-1), $F67)) : INDEX(X:X, ROW()-1),
   INDEX(AA:AA, ROW()-COUNTIF($F$6:INDEX($F:$F, ROW()-1), $F67)) : INDEX(AA:AA, ROW()-1)
   )
   /SUM(INDEX(AA:AA, ROW()-COUNTIF($F$6:INDEX($F:$F, ROW()-1), $F67)) : INDEX(AA:AA, ROW()-1)),
   AVERAGEIFS(
     INDEX((unit_details[Asking Rent],unit_details[Asking PSF]),0,1,IF($U$3="Chunk Rent",1,2)),
     unit_details[Leased Date],"&gt;="&amp;($AM$2-X$5),
     unit_details[Leased Date],"&lt;"&amp;$AM$2,
     unit_details[Beds],$L68,
     unit_details[Baths],$M68,
     unit_details[Partial Baths],IF(ISNUMBER($N68),$N68,""),
     unit_details[Sqft],$P68,
     unit_details[Property Name],$F68)
 ),"")</f>
        <v/>
      </c>
      <c r="Y68" s="552" t="str">
        <f>IFERROR(
 IF($F68="Total",
   SUMPRODUCT(
   INDEX(Y:Y, ROW()-COUNTIF($F$6:INDEX($F:$F, ROW()-1), $F67)) : INDEX(Y:Y, ROW()-1),
   INDEX(AA:AA, ROW()-COUNTIF($F$6:INDEX($F:$F, ROW()-1), $F67)) : INDEX(AA:AA, ROW()-1)
   )
   /SUM(INDEX(AA:AA, ROW()-COUNTIF($F$6:INDEX($F:$F, ROW()-1), $F67)) : INDEX(AA:AA, ROW()-1)),
   AVERAGEIFS(
     INDEX((unit_details[Effective Rent],unit_details[Effective PSF]),0,1,IF($U$3="Chunk Rent",1,2)),
     unit_details[Leased Date],"&gt;="&amp;($AM$2-X$5),
     unit_details[Leased Date],"&lt;"&amp;$AM$2,
     unit_details[Beds],$L68,
     unit_details[Baths],$M68,
     unit_details[Partial Baths],IF(ISNUMBER($N68),$N68,""),
     unit_details[Sqft],$P68,
     unit_details[Property Name],$F68)
 ),"")</f>
        <v/>
      </c>
      <c r="Z68" s="27" t="str">
        <f t="shared" si="11"/>
        <v/>
      </c>
      <c r="AA68" s="526">
        <f>IFERROR(
  IF($F68="Total",
    SUM(INDEX(AA:AA, ROW()-COUNTIF($F$6:INDEX($F:$F, ROW()-1), $F67)) : INDEX(AA:AA, ROW()-1)),
    COUNTIFS(
      unit_details[Leased Date], "&gt;="&amp;($AM$2-X$5),
      unit_details[Leased Date], "&lt;"&amp;$AM$2,
      unit_details[Beds], $L68,
      unit_details[Baths], $M68,
      unit_details[Partial Baths], IF(ISNUMBER($N68), $N68, ""),
      unit_details[Sqft],$P68,
      unit_details[Property Name], $F68
    )
  ),
"")</f>
        <v>0</v>
      </c>
      <c r="AB68" s="290">
        <f>IF($F68="Total",
SUM(INDEX(AB:AB, ROW()-COUNTIF($F$6:INDEX($F:$F, ROW()-1), $F67)) : INDEX(AB:AB, ROW()-1)),
COUNTIFS(unit_details[Active Listing?],TRUE,
          unit_details[Property Name], $F68,
          unit_details[Beds], $L68,
          unit_details[Baths], $M68,
          unit_details[Partial Baths],IF(ISNUMBER($N68),$N68,""),
          unit_details[Sqft],$P68))</f>
        <v>0</v>
      </c>
      <c r="AC68" s="27" t="str">
        <f t="shared" si="3"/>
        <v/>
      </c>
      <c r="AD68" s="293" t="str">
        <f>IFERROR(IF(AE68="","",IF($F68="Total",
SUMPRODUCT(
   INDEX(AD:AD, ROW()-COUNTIF($F$6:INDEX($F:$F, ROW()-1), $F67)) : INDEX(AD:AD, ROW()-1),
   INDEX(AB:AB, ROW()-COUNTIF($F$6:INDEX($F:$F, ROW()-1), $F67)) : INDEX(AB:AB, ROW()-1)
   )
   /SUM(INDEX(AB:AB, ROW()-COUNTIF($F$6:INDEX($F:$F, ROW()-1), $F67)) : INDEX(AB:AB, ROW()-1)),
          _xlfn.MINIFS(unit_details[Asking Rent],
          unit_details[Active Listing?],TRUE,
          unit_details[Property Name], $F68,
          unit_details[Beds], $L68,
          unit_details[Baths], $M68,
          unit_details[Partial Baths], IF(ISNUMBER($N68),$N68,""),
          unit_details[Sqft],$P68
))),"")</f>
        <v/>
      </c>
      <c r="AE68" s="5" t="str">
        <f>IFERROR(IF($F68="Total",
          SUMPRODUCT(
   INDEX(AE:AE, ROW()-COUNTIF($F$6:INDEX($F:$F, ROW()-1), $F67)) : INDEX(AE:AE, ROW()-1),
   INDEX(AB:AB, ROW()-COUNTIF($F$6:INDEX($F:$F, ROW()-1), $F67)) : INDEX(AB:AB, ROW()-1)
   )
   /SUM(INDEX(AB:AB, ROW()-COUNTIF($F$6:INDEX($F:$F, ROW()-1), $F67)) : INDEX(AB:AB, ROW()-1)),
          AVERAGEIFS(unit_details[Asking Rent],
          unit_details[Active Listing?],TRUE,
          unit_details[Property Name], $F68,
          unit_details[Beds], $L68,
          unit_details[Baths], $M68,
          unit_details[Partial Baths], IF(ISNUMBER($N68),$N68,""),
          unit_details[Sqft],$P68
)),"")</f>
        <v/>
      </c>
      <c r="AF68" s="5" t="str">
        <f>IFERROR(IF(AE68="","",IF($F68="Total",
SUMPRODUCT(
   INDEX(AF:AF, ROW()-COUNTIF($F$6:INDEX($F:$F, ROW()-1), $F67)) : INDEX(AF:AF, ROW()-1),
   INDEX(AB:AB, ROW()-COUNTIF($F$6:INDEX($F:$F, ROW()-1), $F67)) : INDEX(AB:AB, ROW()-1)
   )
   /SUM(INDEX(AB:AB, ROW()-COUNTIF($F$6:INDEX($F:$F, ROW()-1), $F67)) : INDEX(AB:AB, ROW()-1)),
           _xlfn.MAXIFS(unit_details[Asking Rent],
          unit_details[Active Listing?],TRUE,
          unit_details[Property Name], $F68,
          unit_details[Beds], $L68,
          unit_details[Baths], $M68,
          unit_details[Partial Baths], IF(ISNUMBER($N68),$N68,""),
          unit_details[Sqft],$P68
))),"")</f>
        <v/>
      </c>
      <c r="AG68" s="6" t="str">
        <f>IFERROR(IF($F68="Total",
         SUMPRODUCT(
         INDEX(AG:AG, ROW()-COUNTIF($F$6:INDEX($F:$F, ROW()-1), $F67)) : INDEX(AG:AG, ROW()-1),
         INDEX(AB:AB, ROW()-COUNTIF($F$6:INDEX($F:$F, ROW()-1), $F67)) : INDEX(AB:AB, ROW()-1)
         )
         /SUM(INDEX(AB:AB, ROW()-COUNTIF($F$6:INDEX($F:$F, ROW()-1), $F67)) : INDEX(AB:AB, ROW()-1)),
          AVERAGEIFS(unit_details[Asking PSF],
          unit_details[Active Listing?],TRUE,
          unit_details[Property Name], $F68,
          unit_details[Beds], $L68,
          unit_details[Baths], $M68,
          unit_details[Partial Baths], IF(ISNUMBER($N68),$N68,""),
          unit_details[Sqft],$P68
)),"")</f>
        <v/>
      </c>
      <c r="AH68" s="293" t="str">
        <f>IFERROR(IF($F68="Total",
         SUMPRODUCT(
         INDEX(AH:AH, ROW()-COUNTIF($F$6:INDEX($F:$F, ROW()-1), $F67)) : INDEX(AH:AH, ROW()-1),
         INDEX(AB:AB, ROW()-COUNTIF($F$6:INDEX($F:$F, ROW()-1), $F67)) : INDEX(AB:AB, ROW()-1)
         )
         /SUM(INDEX(AB:AB, ROW()-COUNTIF($F$6:INDEX($F:$F, ROW()-1), $F67)) : INDEX(AB:AB, ROW()-1)),
          AVERAGEIFS(unit_details[Effective Rent],
          unit_details[Active Listing?],TRUE,
          unit_details[Property Name], $F68,
          unit_details[Beds], $L68,
          unit_details[Baths], $M68,
          unit_details[Partial Baths], IF(ISNUMBER($N68),$N68,""),
          unit_details[Sqft],$P68
)),"")</f>
        <v/>
      </c>
      <c r="AI68" s="6" t="str">
        <f>IFERROR(IF($F68="Total",
         SUMPRODUCT(
         INDEX(AI:AI, ROW()-COUNTIF($F$6:INDEX($F:$F, ROW()-1), $F67)) : INDEX(AI:AI, ROW()-1),
         INDEX(AB:AB, ROW()-COUNTIF($F$6:INDEX($F:$F, ROW()-1), $F67)) : INDEX(AB:AB, ROW()-1)
         )
         /SUM(INDEX(AB:AB, ROW()-COUNTIF($F$6:INDEX($F:$F, ROW()-1), $F67)) : INDEX(AB:AB, ROW()-1)),
           AVERAGEIFS(unit_details[Effective PSF],
          unit_details[Active Listing?],TRUE,
          unit_details[Property Name], $F68,
          unit_details[Beds], $L68,
          unit_details[Baths], $M68,
          unit_details[Partial Baths], IF(ISNUMBER($N68),$N68,""),
          unit_details[Sqft],$P68
)),"")</f>
        <v/>
      </c>
      <c r="AJ68" s="824" t="str">
        <f t="shared" si="4"/>
        <v/>
      </c>
      <c r="AK68" s="531" t="str">
        <f t="shared" si="5"/>
        <v/>
      </c>
      <c r="AL68" s="714" t="str">
        <f t="shared" si="6"/>
        <v/>
      </c>
      <c r="AM68" s="531" t="str">
        <f t="shared" si="7"/>
        <v/>
      </c>
      <c r="AN68" s="716" t="str">
        <f t="shared" si="8"/>
        <v/>
      </c>
    </row>
    <row r="69" spans="6:40" x14ac:dyDescent="0.2">
      <c r="F69" s="1" t="str">
        <f t="shared" si="0"/>
        <v/>
      </c>
      <c r="G69" s="713" t="str">
        <f t="shared" si="9"/>
        <v/>
      </c>
      <c r="H69" s="17" t="str">
        <f>IFERROR(VLOOKUP($G69,Table1[[Property]:[Exposure %]],4,0),"")</f>
        <v/>
      </c>
      <c r="I69" s="3" t="str">
        <f>IFERROR(VLOOKUP($G69,Table1[[Property]:[Exposure %]],6,0),"")</f>
        <v/>
      </c>
      <c r="J69" s="3" t="str">
        <f>IFERROR(VLOOKUP($G69,Table1[[Property]:[Exposure %]],7,0),"")</f>
        <v/>
      </c>
      <c r="K69"/>
      <c r="L69"/>
      <c r="M69"/>
      <c r="N69"/>
      <c r="O69"/>
      <c r="P69"/>
      <c r="Q69"/>
      <c r="R69" s="4" t="str">
        <f>IFERROR(VLOOKUP(IF(F69="Total",F68,F69),Table1[[Property]:['# Units]],7,0)*S69,"")</f>
        <v/>
      </c>
      <c r="S69" s="27" t="str">
        <f t="shared" si="2"/>
        <v/>
      </c>
      <c r="T69" s="531" t="str">
        <f>IFERROR(
 IF($F69="Total",
   SUMPRODUCT(
   INDEX(T:T, ROW()-COUNTIF($F$6:INDEX($F:$F, ROW()-1), $F68)) : INDEX(T:T, ROW()-1),
   INDEX(W:W, ROW()-COUNTIF($F$6:INDEX($F:$F, ROW()-1), $F68)) : INDEX(W:W, ROW()-1)
   )
   /SUM(INDEX(W:W, ROW()-COUNTIF($F$6:INDEX($F:$F, ROW()-1), $F68)) : INDEX(W:W, ROW()-1)),
   AVERAGEIFS(
     INDEX((unit_details[Asking Rent],unit_details[Asking PSF]),0,1,IF($U$3="Chunk Rent",1,2)),
     unit_details[Leased Date],"&gt;="&amp;($AM$2-T$5),
     unit_details[Leased Date],"&lt;"&amp;$AM$2,
     unit_details[Beds],$L69,
     unit_details[Baths],$M69,
     unit_details[Partial Baths],IF(ISNUMBER($N69),$N69,""),
     unit_details[Sqft],$P69,
     unit_details[Property Name],$F69)
 ),"")</f>
        <v/>
      </c>
      <c r="U69" s="552" t="str">
        <f>IFERROR(
 IF($F69="Total",
   SUMPRODUCT(
   INDEX(U:U, ROW()-COUNTIF($F$6:INDEX($F:$F, ROW()-1), $F68)) : INDEX(U:U, ROW()-1),
   INDEX(W:W, ROW()-COUNTIF($F$6:INDEX($F:$F, ROW()-1), $F68)) : INDEX(W:W, ROW()-1)
   )
   /SUM(INDEX(W:W, ROW()-COUNTIF($F$6:INDEX($F:$F, ROW()-1), $F68)) : INDEX(W:W, ROW()-1)),
   AVERAGEIFS(
     INDEX((unit_details[Effective Rent],unit_details[Effective PSF]),0,1,IF($U$3="Chunk Rent",1,2)),
     unit_details[Leased Date],"&gt;="&amp;($AM$2-T$5),
     unit_details[Leased Date],"&lt;"&amp;$AM$2,
     unit_details[Beds],$L69,
     unit_details[Baths],$M69,
     unit_details[Partial Baths],IF(ISNUMBER($N69),$N69,""),
     unit_details[Sqft],$P69,
     unit_details[Property Name],$F69)
 ),"")</f>
        <v/>
      </c>
      <c r="V69" s="27" t="str">
        <f t="shared" si="10"/>
        <v/>
      </c>
      <c r="W69" s="526">
        <f>IFERROR(
  IF($F69="Total",
    SUM(INDEX(W:W, ROW()-COUNTIF($F$6:INDEX($F:$F, ROW()-1), $F68)) : INDEX(W:W, ROW()-1)),
    COUNTIFS(
      unit_details[Leased Date], "&gt;="&amp;($AM$2-T$5),
      unit_details[Leased Date], "&lt;"&amp;$AM$2,
      unit_details[Beds], $L69,
      unit_details[Baths], $M69,
      unit_details[Partial Baths], IF(ISNUMBER($N69), $N69, ""),
      unit_details[Sqft],$P69,
      unit_details[Property Name], $F69
    )
  ),
"")</f>
        <v>0</v>
      </c>
      <c r="X69" s="531" t="str">
        <f>IFERROR(
 IF($F69="Total",
   SUMPRODUCT(
   INDEX(X:X, ROW()-COUNTIF($F$6:INDEX($F:$F, ROW()-1), $F68)) : INDEX(X:X, ROW()-1),
   INDEX(AA:AA, ROW()-COUNTIF($F$6:INDEX($F:$F, ROW()-1), $F68)) : INDEX(AA:AA, ROW()-1)
   )
   /SUM(INDEX(AA:AA, ROW()-COUNTIF($F$6:INDEX($F:$F, ROW()-1), $F68)) : INDEX(AA:AA, ROW()-1)),
   AVERAGEIFS(
     INDEX((unit_details[Asking Rent],unit_details[Asking PSF]),0,1,IF($U$3="Chunk Rent",1,2)),
     unit_details[Leased Date],"&gt;="&amp;($AM$2-X$5),
     unit_details[Leased Date],"&lt;"&amp;$AM$2,
     unit_details[Beds],$L69,
     unit_details[Baths],$M69,
     unit_details[Partial Baths],IF(ISNUMBER($N69),$N69,""),
     unit_details[Sqft],$P69,
     unit_details[Property Name],$F69)
 ),"")</f>
        <v/>
      </c>
      <c r="Y69" s="552" t="str">
        <f>IFERROR(
 IF($F69="Total",
   SUMPRODUCT(
   INDEX(Y:Y, ROW()-COUNTIF($F$6:INDEX($F:$F, ROW()-1), $F68)) : INDEX(Y:Y, ROW()-1),
   INDEX(AA:AA, ROW()-COUNTIF($F$6:INDEX($F:$F, ROW()-1), $F68)) : INDEX(AA:AA, ROW()-1)
   )
   /SUM(INDEX(AA:AA, ROW()-COUNTIF($F$6:INDEX($F:$F, ROW()-1), $F68)) : INDEX(AA:AA, ROW()-1)),
   AVERAGEIFS(
     INDEX((unit_details[Effective Rent],unit_details[Effective PSF]),0,1,IF($U$3="Chunk Rent",1,2)),
     unit_details[Leased Date],"&gt;="&amp;($AM$2-X$5),
     unit_details[Leased Date],"&lt;"&amp;$AM$2,
     unit_details[Beds],$L69,
     unit_details[Baths],$M69,
     unit_details[Partial Baths],IF(ISNUMBER($N69),$N69,""),
     unit_details[Sqft],$P69,
     unit_details[Property Name],$F69)
 ),"")</f>
        <v/>
      </c>
      <c r="Z69" s="27" t="str">
        <f t="shared" si="11"/>
        <v/>
      </c>
      <c r="AA69" s="526">
        <f>IFERROR(
  IF($F69="Total",
    SUM(INDEX(AA:AA, ROW()-COUNTIF($F$6:INDEX($F:$F, ROW()-1), $F68)) : INDEX(AA:AA, ROW()-1)),
    COUNTIFS(
      unit_details[Leased Date], "&gt;="&amp;($AM$2-X$5),
      unit_details[Leased Date], "&lt;"&amp;$AM$2,
      unit_details[Beds], $L69,
      unit_details[Baths], $M69,
      unit_details[Partial Baths], IF(ISNUMBER($N69), $N69, ""),
      unit_details[Sqft],$P69,
      unit_details[Property Name], $F69
    )
  ),
"")</f>
        <v>0</v>
      </c>
      <c r="AB69" s="290">
        <f>IF($F69="Total",
SUM(INDEX(AB:AB, ROW()-COUNTIF($F$6:INDEX($F:$F, ROW()-1), $F68)) : INDEX(AB:AB, ROW()-1)),
COUNTIFS(unit_details[Active Listing?],TRUE,
          unit_details[Property Name], $F69,
          unit_details[Beds], $L69,
          unit_details[Baths], $M69,
          unit_details[Partial Baths],IF(ISNUMBER($N69),$N69,""),
          unit_details[Sqft],$P69))</f>
        <v>0</v>
      </c>
      <c r="AC69" s="27" t="str">
        <f t="shared" si="3"/>
        <v/>
      </c>
      <c r="AD69" s="293" t="str">
        <f>IFERROR(IF(AE69="","",IF($F69="Total",
SUMPRODUCT(
   INDEX(AD:AD, ROW()-COUNTIF($F$6:INDEX($F:$F, ROW()-1), $F68)) : INDEX(AD:AD, ROW()-1),
   INDEX(AB:AB, ROW()-COUNTIF($F$6:INDEX($F:$F, ROW()-1), $F68)) : INDEX(AB:AB, ROW()-1)
   )
   /SUM(INDEX(AB:AB, ROW()-COUNTIF($F$6:INDEX($F:$F, ROW()-1), $F68)) : INDEX(AB:AB, ROW()-1)),
          _xlfn.MINIFS(unit_details[Asking Rent],
          unit_details[Active Listing?],TRUE,
          unit_details[Property Name], $F69,
          unit_details[Beds], $L69,
          unit_details[Baths], $M69,
          unit_details[Partial Baths], IF(ISNUMBER($N69),$N69,""),
          unit_details[Sqft],$P69
))),"")</f>
        <v/>
      </c>
      <c r="AE69" s="5" t="str">
        <f>IFERROR(IF($F69="Total",
          SUMPRODUCT(
   INDEX(AE:AE, ROW()-COUNTIF($F$6:INDEX($F:$F, ROW()-1), $F68)) : INDEX(AE:AE, ROW()-1),
   INDEX(AB:AB, ROW()-COUNTIF($F$6:INDEX($F:$F, ROW()-1), $F68)) : INDEX(AB:AB, ROW()-1)
   )
   /SUM(INDEX(AB:AB, ROW()-COUNTIF($F$6:INDEX($F:$F, ROW()-1), $F68)) : INDEX(AB:AB, ROW()-1)),
          AVERAGEIFS(unit_details[Asking Rent],
          unit_details[Active Listing?],TRUE,
          unit_details[Property Name], $F69,
          unit_details[Beds], $L69,
          unit_details[Baths], $M69,
          unit_details[Partial Baths], IF(ISNUMBER($N69),$N69,""),
          unit_details[Sqft],$P69
)),"")</f>
        <v/>
      </c>
      <c r="AF69" s="5" t="str">
        <f>IFERROR(IF(AE69="","",IF($F69="Total",
SUMPRODUCT(
   INDEX(AF:AF, ROW()-COUNTIF($F$6:INDEX($F:$F, ROW()-1), $F68)) : INDEX(AF:AF, ROW()-1),
   INDEX(AB:AB, ROW()-COUNTIF($F$6:INDEX($F:$F, ROW()-1), $F68)) : INDEX(AB:AB, ROW()-1)
   )
   /SUM(INDEX(AB:AB, ROW()-COUNTIF($F$6:INDEX($F:$F, ROW()-1), $F68)) : INDEX(AB:AB, ROW()-1)),
           _xlfn.MAXIFS(unit_details[Asking Rent],
          unit_details[Active Listing?],TRUE,
          unit_details[Property Name], $F69,
          unit_details[Beds], $L69,
          unit_details[Baths], $M69,
          unit_details[Partial Baths], IF(ISNUMBER($N69),$N69,""),
          unit_details[Sqft],$P69
))),"")</f>
        <v/>
      </c>
      <c r="AG69" s="6" t="str">
        <f>IFERROR(IF($F69="Total",
         SUMPRODUCT(
         INDEX(AG:AG, ROW()-COUNTIF($F$6:INDEX($F:$F, ROW()-1), $F68)) : INDEX(AG:AG, ROW()-1),
         INDEX(AB:AB, ROW()-COUNTIF($F$6:INDEX($F:$F, ROW()-1), $F68)) : INDEX(AB:AB, ROW()-1)
         )
         /SUM(INDEX(AB:AB, ROW()-COUNTIF($F$6:INDEX($F:$F, ROW()-1), $F68)) : INDEX(AB:AB, ROW()-1)),
          AVERAGEIFS(unit_details[Asking PSF],
          unit_details[Active Listing?],TRUE,
          unit_details[Property Name], $F69,
          unit_details[Beds], $L69,
          unit_details[Baths], $M69,
          unit_details[Partial Baths], IF(ISNUMBER($N69),$N69,""),
          unit_details[Sqft],$P69
)),"")</f>
        <v/>
      </c>
      <c r="AH69" s="293" t="str">
        <f>IFERROR(IF($F69="Total",
         SUMPRODUCT(
         INDEX(AH:AH, ROW()-COUNTIF($F$6:INDEX($F:$F, ROW()-1), $F68)) : INDEX(AH:AH, ROW()-1),
         INDEX(AB:AB, ROW()-COUNTIF($F$6:INDEX($F:$F, ROW()-1), $F68)) : INDEX(AB:AB, ROW()-1)
         )
         /SUM(INDEX(AB:AB, ROW()-COUNTIF($F$6:INDEX($F:$F, ROW()-1), $F68)) : INDEX(AB:AB, ROW()-1)),
          AVERAGEIFS(unit_details[Effective Rent],
          unit_details[Active Listing?],TRUE,
          unit_details[Property Name], $F69,
          unit_details[Beds], $L69,
          unit_details[Baths], $M69,
          unit_details[Partial Baths], IF(ISNUMBER($N69),$N69,""),
          unit_details[Sqft],$P69
)),"")</f>
        <v/>
      </c>
      <c r="AI69" s="6" t="str">
        <f>IFERROR(IF($F69="Total",
         SUMPRODUCT(
         INDEX(AI:AI, ROW()-COUNTIF($F$6:INDEX($F:$F, ROW()-1), $F68)) : INDEX(AI:AI, ROW()-1),
         INDEX(AB:AB, ROW()-COUNTIF($F$6:INDEX($F:$F, ROW()-1), $F68)) : INDEX(AB:AB, ROW()-1)
         )
         /SUM(INDEX(AB:AB, ROW()-COUNTIF($F$6:INDEX($F:$F, ROW()-1), $F68)) : INDEX(AB:AB, ROW()-1)),
           AVERAGEIFS(unit_details[Effective PSF],
          unit_details[Active Listing?],TRUE,
          unit_details[Property Name], $F69,
          unit_details[Beds], $L69,
          unit_details[Baths], $M69,
          unit_details[Partial Baths], IF(ISNUMBER($N69),$N69,""),
          unit_details[Sqft],$P69
)),"")</f>
        <v/>
      </c>
      <c r="AJ69" s="824" t="str">
        <f t="shared" si="4"/>
        <v/>
      </c>
      <c r="AK69" s="531" t="str">
        <f t="shared" si="5"/>
        <v/>
      </c>
      <c r="AL69" s="714" t="str">
        <f t="shared" si="6"/>
        <v/>
      </c>
      <c r="AM69" s="531" t="str">
        <f t="shared" si="7"/>
        <v/>
      </c>
      <c r="AN69" s="716" t="str">
        <f t="shared" si="8"/>
        <v/>
      </c>
    </row>
    <row r="70" spans="6:40" x14ac:dyDescent="0.2">
      <c r="F70" s="1" t="str">
        <f t="shared" si="0"/>
        <v/>
      </c>
      <c r="G70" s="713" t="str">
        <f t="shared" si="9"/>
        <v/>
      </c>
      <c r="H70" s="17" t="str">
        <f>IFERROR(VLOOKUP($G70,Table1[[Property]:[Exposure %]],4,0),"")</f>
        <v/>
      </c>
      <c r="I70" s="3" t="str">
        <f>IFERROR(VLOOKUP($G70,Table1[[Property]:[Exposure %]],6,0),"")</f>
        <v/>
      </c>
      <c r="J70" s="3" t="str">
        <f>IFERROR(VLOOKUP($G70,Table1[[Property]:[Exposure %]],7,0),"")</f>
        <v/>
      </c>
      <c r="K70"/>
      <c r="L70"/>
      <c r="M70"/>
      <c r="N70"/>
      <c r="O70"/>
      <c r="P70"/>
      <c r="Q70"/>
      <c r="R70" s="4" t="str">
        <f>IFERROR(VLOOKUP(IF(F70="Total",F69,F70),Table1[[Property]:['# Units]],7,0)*S70,"")</f>
        <v/>
      </c>
      <c r="S70" s="27" t="str">
        <f t="shared" si="2"/>
        <v/>
      </c>
      <c r="T70" s="531" t="str">
        <f>IFERROR(
 IF($F70="Total",
   SUMPRODUCT(
   INDEX(T:T, ROW()-COUNTIF($F$6:INDEX($F:$F, ROW()-1), $F69)) : INDEX(T:T, ROW()-1),
   INDEX(W:W, ROW()-COUNTIF($F$6:INDEX($F:$F, ROW()-1), $F69)) : INDEX(W:W, ROW()-1)
   )
   /SUM(INDEX(W:W, ROW()-COUNTIF($F$6:INDEX($F:$F, ROW()-1), $F69)) : INDEX(W:W, ROW()-1)),
   AVERAGEIFS(
     INDEX((unit_details[Asking Rent],unit_details[Asking PSF]),0,1,IF($U$3="Chunk Rent",1,2)),
     unit_details[Leased Date],"&gt;="&amp;($AM$2-T$5),
     unit_details[Leased Date],"&lt;"&amp;$AM$2,
     unit_details[Beds],$L70,
     unit_details[Baths],$M70,
     unit_details[Partial Baths],IF(ISNUMBER($N70),$N70,""),
     unit_details[Sqft],$P70,
     unit_details[Property Name],$F70)
 ),"")</f>
        <v/>
      </c>
      <c r="U70" s="552" t="str">
        <f>IFERROR(
 IF($F70="Total",
   SUMPRODUCT(
   INDEX(U:U, ROW()-COUNTIF($F$6:INDEX($F:$F, ROW()-1), $F69)) : INDEX(U:U, ROW()-1),
   INDEX(W:W, ROW()-COUNTIF($F$6:INDEX($F:$F, ROW()-1), $F69)) : INDEX(W:W, ROW()-1)
   )
   /SUM(INDEX(W:W, ROW()-COUNTIF($F$6:INDEX($F:$F, ROW()-1), $F69)) : INDEX(W:W, ROW()-1)),
   AVERAGEIFS(
     INDEX((unit_details[Effective Rent],unit_details[Effective PSF]),0,1,IF($U$3="Chunk Rent",1,2)),
     unit_details[Leased Date],"&gt;="&amp;($AM$2-T$5),
     unit_details[Leased Date],"&lt;"&amp;$AM$2,
     unit_details[Beds],$L70,
     unit_details[Baths],$M70,
     unit_details[Partial Baths],IF(ISNUMBER($N70),$N70,""),
     unit_details[Sqft],$P70,
     unit_details[Property Name],$F70)
 ),"")</f>
        <v/>
      </c>
      <c r="V70" s="27" t="str">
        <f t="shared" si="10"/>
        <v/>
      </c>
      <c r="W70" s="526">
        <f>IFERROR(
  IF($F70="Total",
    SUM(INDEX(W:W, ROW()-COUNTIF($F$6:INDEX($F:$F, ROW()-1), $F69)) : INDEX(W:W, ROW()-1)),
    COUNTIFS(
      unit_details[Leased Date], "&gt;="&amp;($AM$2-T$5),
      unit_details[Leased Date], "&lt;"&amp;$AM$2,
      unit_details[Beds], $L70,
      unit_details[Baths], $M70,
      unit_details[Partial Baths], IF(ISNUMBER($N70), $N70, ""),
      unit_details[Sqft],$P70,
      unit_details[Property Name], $F70
    )
  ),
"")</f>
        <v>0</v>
      </c>
      <c r="X70" s="531" t="str">
        <f>IFERROR(
 IF($F70="Total",
   SUMPRODUCT(
   INDEX(X:X, ROW()-COUNTIF($F$6:INDEX($F:$F, ROW()-1), $F69)) : INDEX(X:X, ROW()-1),
   INDEX(AA:AA, ROW()-COUNTIF($F$6:INDEX($F:$F, ROW()-1), $F69)) : INDEX(AA:AA, ROW()-1)
   )
   /SUM(INDEX(AA:AA, ROW()-COUNTIF($F$6:INDEX($F:$F, ROW()-1), $F69)) : INDEX(AA:AA, ROW()-1)),
   AVERAGEIFS(
     INDEX((unit_details[Asking Rent],unit_details[Asking PSF]),0,1,IF($U$3="Chunk Rent",1,2)),
     unit_details[Leased Date],"&gt;="&amp;($AM$2-X$5),
     unit_details[Leased Date],"&lt;"&amp;$AM$2,
     unit_details[Beds],$L70,
     unit_details[Baths],$M70,
     unit_details[Partial Baths],IF(ISNUMBER($N70),$N70,""),
     unit_details[Sqft],$P70,
     unit_details[Property Name],$F70)
 ),"")</f>
        <v/>
      </c>
      <c r="Y70" s="552" t="str">
        <f>IFERROR(
 IF($F70="Total",
   SUMPRODUCT(
   INDEX(Y:Y, ROW()-COUNTIF($F$6:INDEX($F:$F, ROW()-1), $F69)) : INDEX(Y:Y, ROW()-1),
   INDEX(AA:AA, ROW()-COUNTIF($F$6:INDEX($F:$F, ROW()-1), $F69)) : INDEX(AA:AA, ROW()-1)
   )
   /SUM(INDEX(AA:AA, ROW()-COUNTIF($F$6:INDEX($F:$F, ROW()-1), $F69)) : INDEX(AA:AA, ROW()-1)),
   AVERAGEIFS(
     INDEX((unit_details[Effective Rent],unit_details[Effective PSF]),0,1,IF($U$3="Chunk Rent",1,2)),
     unit_details[Leased Date],"&gt;="&amp;($AM$2-X$5),
     unit_details[Leased Date],"&lt;"&amp;$AM$2,
     unit_details[Beds],$L70,
     unit_details[Baths],$M70,
     unit_details[Partial Baths],IF(ISNUMBER($N70),$N70,""),
     unit_details[Sqft],$P70,
     unit_details[Property Name],$F70)
 ),"")</f>
        <v/>
      </c>
      <c r="Z70" s="27" t="str">
        <f t="shared" si="11"/>
        <v/>
      </c>
      <c r="AA70" s="526">
        <f>IFERROR(
  IF($F70="Total",
    SUM(INDEX(AA:AA, ROW()-COUNTIF($F$6:INDEX($F:$F, ROW()-1), $F69)) : INDEX(AA:AA, ROW()-1)),
    COUNTIFS(
      unit_details[Leased Date], "&gt;="&amp;($AM$2-X$5),
      unit_details[Leased Date], "&lt;"&amp;$AM$2,
      unit_details[Beds], $L70,
      unit_details[Baths], $M70,
      unit_details[Partial Baths], IF(ISNUMBER($N70), $N70, ""),
      unit_details[Sqft],$P70,
      unit_details[Property Name], $F70
    )
  ),
"")</f>
        <v>0</v>
      </c>
      <c r="AB70" s="290">
        <f>IF($F70="Total",
SUM(INDEX(AB:AB, ROW()-COUNTIF($F$6:INDEX($F:$F, ROW()-1), $F69)) : INDEX(AB:AB, ROW()-1)),
COUNTIFS(unit_details[Active Listing?],TRUE,
          unit_details[Property Name], $F70,
          unit_details[Beds], $L70,
          unit_details[Baths], $M70,
          unit_details[Partial Baths],IF(ISNUMBER($N70),$N70,""),
          unit_details[Sqft],$P70))</f>
        <v>0</v>
      </c>
      <c r="AC70" s="27" t="str">
        <f t="shared" si="3"/>
        <v/>
      </c>
      <c r="AD70" s="293" t="str">
        <f>IFERROR(IF(AE70="","",IF($F70="Total",
SUMPRODUCT(
   INDEX(AD:AD, ROW()-COUNTIF($F$6:INDEX($F:$F, ROW()-1), $F69)) : INDEX(AD:AD, ROW()-1),
   INDEX(AB:AB, ROW()-COUNTIF($F$6:INDEX($F:$F, ROW()-1), $F69)) : INDEX(AB:AB, ROW()-1)
   )
   /SUM(INDEX(AB:AB, ROW()-COUNTIF($F$6:INDEX($F:$F, ROW()-1), $F69)) : INDEX(AB:AB, ROW()-1)),
          _xlfn.MINIFS(unit_details[Asking Rent],
          unit_details[Active Listing?],TRUE,
          unit_details[Property Name], $F70,
          unit_details[Beds], $L70,
          unit_details[Baths], $M70,
          unit_details[Partial Baths], IF(ISNUMBER($N70),$N70,""),
          unit_details[Sqft],$P70
))),"")</f>
        <v/>
      </c>
      <c r="AE70" s="5" t="str">
        <f>IFERROR(IF($F70="Total",
          SUMPRODUCT(
   INDEX(AE:AE, ROW()-COUNTIF($F$6:INDEX($F:$F, ROW()-1), $F69)) : INDEX(AE:AE, ROW()-1),
   INDEX(AB:AB, ROW()-COUNTIF($F$6:INDEX($F:$F, ROW()-1), $F69)) : INDEX(AB:AB, ROW()-1)
   )
   /SUM(INDEX(AB:AB, ROW()-COUNTIF($F$6:INDEX($F:$F, ROW()-1), $F69)) : INDEX(AB:AB, ROW()-1)),
          AVERAGEIFS(unit_details[Asking Rent],
          unit_details[Active Listing?],TRUE,
          unit_details[Property Name], $F70,
          unit_details[Beds], $L70,
          unit_details[Baths], $M70,
          unit_details[Partial Baths], IF(ISNUMBER($N70),$N70,""),
          unit_details[Sqft],$P70
)),"")</f>
        <v/>
      </c>
      <c r="AF70" s="5" t="str">
        <f>IFERROR(IF(AE70="","",IF($F70="Total",
SUMPRODUCT(
   INDEX(AF:AF, ROW()-COUNTIF($F$6:INDEX($F:$F, ROW()-1), $F69)) : INDEX(AF:AF, ROW()-1),
   INDEX(AB:AB, ROW()-COUNTIF($F$6:INDEX($F:$F, ROW()-1), $F69)) : INDEX(AB:AB, ROW()-1)
   )
   /SUM(INDEX(AB:AB, ROW()-COUNTIF($F$6:INDEX($F:$F, ROW()-1), $F69)) : INDEX(AB:AB, ROW()-1)),
           _xlfn.MAXIFS(unit_details[Asking Rent],
          unit_details[Active Listing?],TRUE,
          unit_details[Property Name], $F70,
          unit_details[Beds], $L70,
          unit_details[Baths], $M70,
          unit_details[Partial Baths], IF(ISNUMBER($N70),$N70,""),
          unit_details[Sqft],$P70
))),"")</f>
        <v/>
      </c>
      <c r="AG70" s="6" t="str">
        <f>IFERROR(IF($F70="Total",
         SUMPRODUCT(
         INDEX(AG:AG, ROW()-COUNTIF($F$6:INDEX($F:$F, ROW()-1), $F69)) : INDEX(AG:AG, ROW()-1),
         INDEX(AB:AB, ROW()-COUNTIF($F$6:INDEX($F:$F, ROW()-1), $F69)) : INDEX(AB:AB, ROW()-1)
         )
         /SUM(INDEX(AB:AB, ROW()-COUNTIF($F$6:INDEX($F:$F, ROW()-1), $F69)) : INDEX(AB:AB, ROW()-1)),
          AVERAGEIFS(unit_details[Asking PSF],
          unit_details[Active Listing?],TRUE,
          unit_details[Property Name], $F70,
          unit_details[Beds], $L70,
          unit_details[Baths], $M70,
          unit_details[Partial Baths], IF(ISNUMBER($N70),$N70,""),
          unit_details[Sqft],$P70
)),"")</f>
        <v/>
      </c>
      <c r="AH70" s="293" t="str">
        <f>IFERROR(IF($F70="Total",
         SUMPRODUCT(
         INDEX(AH:AH, ROW()-COUNTIF($F$6:INDEX($F:$F, ROW()-1), $F69)) : INDEX(AH:AH, ROW()-1),
         INDEX(AB:AB, ROW()-COUNTIF($F$6:INDEX($F:$F, ROW()-1), $F69)) : INDEX(AB:AB, ROW()-1)
         )
         /SUM(INDEX(AB:AB, ROW()-COUNTIF($F$6:INDEX($F:$F, ROW()-1), $F69)) : INDEX(AB:AB, ROW()-1)),
          AVERAGEIFS(unit_details[Effective Rent],
          unit_details[Active Listing?],TRUE,
          unit_details[Property Name], $F70,
          unit_details[Beds], $L70,
          unit_details[Baths], $M70,
          unit_details[Partial Baths], IF(ISNUMBER($N70),$N70,""),
          unit_details[Sqft],$P70
)),"")</f>
        <v/>
      </c>
      <c r="AI70" s="6" t="str">
        <f>IFERROR(IF($F70="Total",
         SUMPRODUCT(
         INDEX(AI:AI, ROW()-COUNTIF($F$6:INDEX($F:$F, ROW()-1), $F69)) : INDEX(AI:AI, ROW()-1),
         INDEX(AB:AB, ROW()-COUNTIF($F$6:INDEX($F:$F, ROW()-1), $F69)) : INDEX(AB:AB, ROW()-1)
         )
         /SUM(INDEX(AB:AB, ROW()-COUNTIF($F$6:INDEX($F:$F, ROW()-1), $F69)) : INDEX(AB:AB, ROW()-1)),
           AVERAGEIFS(unit_details[Effective PSF],
          unit_details[Active Listing?],TRUE,
          unit_details[Property Name], $F70,
          unit_details[Beds], $L70,
          unit_details[Baths], $M70,
          unit_details[Partial Baths], IF(ISNUMBER($N70),$N70,""),
          unit_details[Sqft],$P70
)),"")</f>
        <v/>
      </c>
      <c r="AJ70" s="824" t="str">
        <f t="shared" si="4"/>
        <v/>
      </c>
      <c r="AK70" s="531" t="str">
        <f t="shared" si="5"/>
        <v/>
      </c>
      <c r="AL70" s="714" t="str">
        <f t="shared" si="6"/>
        <v/>
      </c>
      <c r="AM70" s="531" t="str">
        <f t="shared" si="7"/>
        <v/>
      </c>
      <c r="AN70" s="716" t="str">
        <f t="shared" si="8"/>
        <v/>
      </c>
    </row>
    <row r="71" spans="6:40" x14ac:dyDescent="0.2">
      <c r="F71" s="1" t="str">
        <f t="shared" ref="F71:F134" si="12">IF(RIGHT(K71,5)="Total","Total",IF(ISTEXT(K71),K71,IF(F70="Total","",F70)))</f>
        <v/>
      </c>
      <c r="G71" s="713" t="str">
        <f t="shared" si="9"/>
        <v/>
      </c>
      <c r="H71" s="17" t="str">
        <f>IFERROR(VLOOKUP($G71,Table1[[Property]:[Exposure %]],4,0),"")</f>
        <v/>
      </c>
      <c r="I71" s="3" t="str">
        <f>IFERROR(VLOOKUP($G71,Table1[[Property]:[Exposure %]],6,0),"")</f>
        <v/>
      </c>
      <c r="J71" s="3" t="str">
        <f>IFERROR(VLOOKUP($G71,Table1[[Property]:[Exposure %]],7,0),"")</f>
        <v/>
      </c>
      <c r="K71"/>
      <c r="L71"/>
      <c r="M71"/>
      <c r="N71"/>
      <c r="O71"/>
      <c r="P71"/>
      <c r="Q71"/>
      <c r="R71" s="4" t="str">
        <f>IFERROR(VLOOKUP(IF(F71="Total",F70,F71),Table1[[Property]:['# Units]],7,0)*S71,"")</f>
        <v/>
      </c>
      <c r="S71" s="27" t="str">
        <f t="shared" ref="S71:S134" si="13">IF(Q71=0,"",Q71)</f>
        <v/>
      </c>
      <c r="T71" s="531" t="str">
        <f>IFERROR(
 IF($F71="Total",
   SUMPRODUCT(
   INDEX(T:T, ROW()-COUNTIF($F$6:INDEX($F:$F, ROW()-1), $F70)) : INDEX(T:T, ROW()-1),
   INDEX(W:W, ROW()-COUNTIF($F$6:INDEX($F:$F, ROW()-1), $F70)) : INDEX(W:W, ROW()-1)
   )
   /SUM(INDEX(W:W, ROW()-COUNTIF($F$6:INDEX($F:$F, ROW()-1), $F70)) : INDEX(W:W, ROW()-1)),
   AVERAGEIFS(
     INDEX((unit_details[Asking Rent],unit_details[Asking PSF]),0,1,IF($U$3="Chunk Rent",1,2)),
     unit_details[Leased Date],"&gt;="&amp;($AM$2-T$5),
     unit_details[Leased Date],"&lt;"&amp;$AM$2,
     unit_details[Beds],$L71,
     unit_details[Baths],$M71,
     unit_details[Partial Baths],IF(ISNUMBER($N71),$N71,""),
     unit_details[Sqft],$P71,
     unit_details[Property Name],$F71)
 ),"")</f>
        <v/>
      </c>
      <c r="U71" s="552" t="str">
        <f>IFERROR(
 IF($F71="Total",
   SUMPRODUCT(
   INDEX(U:U, ROW()-COUNTIF($F$6:INDEX($F:$F, ROW()-1), $F70)) : INDEX(U:U, ROW()-1),
   INDEX(W:W, ROW()-COUNTIF($F$6:INDEX($F:$F, ROW()-1), $F70)) : INDEX(W:W, ROW()-1)
   )
   /SUM(INDEX(W:W, ROW()-COUNTIF($F$6:INDEX($F:$F, ROW()-1), $F70)) : INDEX(W:W, ROW()-1)),
   AVERAGEIFS(
     INDEX((unit_details[Effective Rent],unit_details[Effective PSF]),0,1,IF($U$3="Chunk Rent",1,2)),
     unit_details[Leased Date],"&gt;="&amp;($AM$2-T$5),
     unit_details[Leased Date],"&lt;"&amp;$AM$2,
     unit_details[Beds],$L71,
     unit_details[Baths],$M71,
     unit_details[Partial Baths],IF(ISNUMBER($N71),$N71,""),
     unit_details[Sqft],$P71,
     unit_details[Property Name],$F71)
 ),"")</f>
        <v/>
      </c>
      <c r="V71" s="27" t="str">
        <f t="shared" si="10"/>
        <v/>
      </c>
      <c r="W71" s="526">
        <f>IFERROR(
  IF($F71="Total",
    SUM(INDEX(W:W, ROW()-COUNTIF($F$6:INDEX($F:$F, ROW()-1), $F70)) : INDEX(W:W, ROW()-1)),
    COUNTIFS(
      unit_details[Leased Date], "&gt;="&amp;($AM$2-T$5),
      unit_details[Leased Date], "&lt;"&amp;$AM$2,
      unit_details[Beds], $L71,
      unit_details[Baths], $M71,
      unit_details[Partial Baths], IF(ISNUMBER($N71), $N71, ""),
      unit_details[Sqft],$P71,
      unit_details[Property Name], $F71
    )
  ),
"")</f>
        <v>0</v>
      </c>
      <c r="X71" s="531" t="str">
        <f>IFERROR(
 IF($F71="Total",
   SUMPRODUCT(
   INDEX(X:X, ROW()-COUNTIF($F$6:INDEX($F:$F, ROW()-1), $F70)) : INDEX(X:X, ROW()-1),
   INDEX(AA:AA, ROW()-COUNTIF($F$6:INDEX($F:$F, ROW()-1), $F70)) : INDEX(AA:AA, ROW()-1)
   )
   /SUM(INDEX(AA:AA, ROW()-COUNTIF($F$6:INDEX($F:$F, ROW()-1), $F70)) : INDEX(AA:AA, ROW()-1)),
   AVERAGEIFS(
     INDEX((unit_details[Asking Rent],unit_details[Asking PSF]),0,1,IF($U$3="Chunk Rent",1,2)),
     unit_details[Leased Date],"&gt;="&amp;($AM$2-X$5),
     unit_details[Leased Date],"&lt;"&amp;$AM$2,
     unit_details[Beds],$L71,
     unit_details[Baths],$M71,
     unit_details[Partial Baths],IF(ISNUMBER($N71),$N71,""),
     unit_details[Sqft],$P71,
     unit_details[Property Name],$F71)
 ),"")</f>
        <v/>
      </c>
      <c r="Y71" s="552" t="str">
        <f>IFERROR(
 IF($F71="Total",
   SUMPRODUCT(
   INDEX(Y:Y, ROW()-COUNTIF($F$6:INDEX($F:$F, ROW()-1), $F70)) : INDEX(Y:Y, ROW()-1),
   INDEX(AA:AA, ROW()-COUNTIF($F$6:INDEX($F:$F, ROW()-1), $F70)) : INDEX(AA:AA, ROW()-1)
   )
   /SUM(INDEX(AA:AA, ROW()-COUNTIF($F$6:INDEX($F:$F, ROW()-1), $F70)) : INDEX(AA:AA, ROW()-1)),
   AVERAGEIFS(
     INDEX((unit_details[Effective Rent],unit_details[Effective PSF]),0,1,IF($U$3="Chunk Rent",1,2)),
     unit_details[Leased Date],"&gt;="&amp;($AM$2-X$5),
     unit_details[Leased Date],"&lt;"&amp;$AM$2,
     unit_details[Beds],$L71,
     unit_details[Baths],$M71,
     unit_details[Partial Baths],IF(ISNUMBER($N71),$N71,""),
     unit_details[Sqft],$P71,
     unit_details[Property Name],$F71)
 ),"")</f>
        <v/>
      </c>
      <c r="Z71" s="27" t="str">
        <f t="shared" si="11"/>
        <v/>
      </c>
      <c r="AA71" s="526">
        <f>IFERROR(
  IF($F71="Total",
    SUM(INDEX(AA:AA, ROW()-COUNTIF($F$6:INDEX($F:$F, ROW()-1), $F70)) : INDEX(AA:AA, ROW()-1)),
    COUNTIFS(
      unit_details[Leased Date], "&gt;="&amp;($AM$2-X$5),
      unit_details[Leased Date], "&lt;"&amp;$AM$2,
      unit_details[Beds], $L71,
      unit_details[Baths], $M71,
      unit_details[Partial Baths], IF(ISNUMBER($N71), $N71, ""),
      unit_details[Sqft],$P71,
      unit_details[Property Name], $F71
    )
  ),
"")</f>
        <v>0</v>
      </c>
      <c r="AB71" s="290">
        <f>IF($F71="Total",
SUM(INDEX(AB:AB, ROW()-COUNTIF($F$6:INDEX($F:$F, ROW()-1), $F70)) : INDEX(AB:AB, ROW()-1)),
COUNTIFS(unit_details[Active Listing?],TRUE,
          unit_details[Property Name], $F71,
          unit_details[Beds], $L71,
          unit_details[Baths], $M71,
          unit_details[Partial Baths],IF(ISNUMBER($N71),$N71,""),
          unit_details[Sqft],$P71))</f>
        <v>0</v>
      </c>
      <c r="AC71" s="27" t="str">
        <f t="shared" ref="AC71:AC134" si="14">IFERROR(AB71/R71,"")</f>
        <v/>
      </c>
      <c r="AD71" s="293" t="str">
        <f>IFERROR(IF(AE71="","",IF($F71="Total",
SUMPRODUCT(
   INDEX(AD:AD, ROW()-COUNTIF($F$6:INDEX($F:$F, ROW()-1), $F70)) : INDEX(AD:AD, ROW()-1),
   INDEX(AB:AB, ROW()-COUNTIF($F$6:INDEX($F:$F, ROW()-1), $F70)) : INDEX(AB:AB, ROW()-1)
   )
   /SUM(INDEX(AB:AB, ROW()-COUNTIF($F$6:INDEX($F:$F, ROW()-1), $F70)) : INDEX(AB:AB, ROW()-1)),
          _xlfn.MINIFS(unit_details[Asking Rent],
          unit_details[Active Listing?],TRUE,
          unit_details[Property Name], $F71,
          unit_details[Beds], $L71,
          unit_details[Baths], $M71,
          unit_details[Partial Baths], IF(ISNUMBER($N71),$N71,""),
          unit_details[Sqft],$P71
))),"")</f>
        <v/>
      </c>
      <c r="AE71" s="5" t="str">
        <f>IFERROR(IF($F71="Total",
          SUMPRODUCT(
   INDEX(AE:AE, ROW()-COUNTIF($F$6:INDEX($F:$F, ROW()-1), $F70)) : INDEX(AE:AE, ROW()-1),
   INDEX(AB:AB, ROW()-COUNTIF($F$6:INDEX($F:$F, ROW()-1), $F70)) : INDEX(AB:AB, ROW()-1)
   )
   /SUM(INDEX(AB:AB, ROW()-COUNTIF($F$6:INDEX($F:$F, ROW()-1), $F70)) : INDEX(AB:AB, ROW()-1)),
          AVERAGEIFS(unit_details[Asking Rent],
          unit_details[Active Listing?],TRUE,
          unit_details[Property Name], $F71,
          unit_details[Beds], $L71,
          unit_details[Baths], $M71,
          unit_details[Partial Baths], IF(ISNUMBER($N71),$N71,""),
          unit_details[Sqft],$P71
)),"")</f>
        <v/>
      </c>
      <c r="AF71" s="5" t="str">
        <f>IFERROR(IF(AE71="","",IF($F71="Total",
SUMPRODUCT(
   INDEX(AF:AF, ROW()-COUNTIF($F$6:INDEX($F:$F, ROW()-1), $F70)) : INDEX(AF:AF, ROW()-1),
   INDEX(AB:AB, ROW()-COUNTIF($F$6:INDEX($F:$F, ROW()-1), $F70)) : INDEX(AB:AB, ROW()-1)
   )
   /SUM(INDEX(AB:AB, ROW()-COUNTIF($F$6:INDEX($F:$F, ROW()-1), $F70)) : INDEX(AB:AB, ROW()-1)),
           _xlfn.MAXIFS(unit_details[Asking Rent],
          unit_details[Active Listing?],TRUE,
          unit_details[Property Name], $F71,
          unit_details[Beds], $L71,
          unit_details[Baths], $M71,
          unit_details[Partial Baths], IF(ISNUMBER($N71),$N71,""),
          unit_details[Sqft],$P71
))),"")</f>
        <v/>
      </c>
      <c r="AG71" s="6" t="str">
        <f>IFERROR(IF($F71="Total",
         SUMPRODUCT(
         INDEX(AG:AG, ROW()-COUNTIF($F$6:INDEX($F:$F, ROW()-1), $F70)) : INDEX(AG:AG, ROW()-1),
         INDEX(AB:AB, ROW()-COUNTIF($F$6:INDEX($F:$F, ROW()-1), $F70)) : INDEX(AB:AB, ROW()-1)
         )
         /SUM(INDEX(AB:AB, ROW()-COUNTIF($F$6:INDEX($F:$F, ROW()-1), $F70)) : INDEX(AB:AB, ROW()-1)),
          AVERAGEIFS(unit_details[Asking PSF],
          unit_details[Active Listing?],TRUE,
          unit_details[Property Name], $F71,
          unit_details[Beds], $L71,
          unit_details[Baths], $M71,
          unit_details[Partial Baths], IF(ISNUMBER($N71),$N71,""),
          unit_details[Sqft],$P71
)),"")</f>
        <v/>
      </c>
      <c r="AH71" s="293" t="str">
        <f>IFERROR(IF($F71="Total",
         SUMPRODUCT(
         INDEX(AH:AH, ROW()-COUNTIF($F$6:INDEX($F:$F, ROW()-1), $F70)) : INDEX(AH:AH, ROW()-1),
         INDEX(AB:AB, ROW()-COUNTIF($F$6:INDEX($F:$F, ROW()-1), $F70)) : INDEX(AB:AB, ROW()-1)
         )
         /SUM(INDEX(AB:AB, ROW()-COUNTIF($F$6:INDEX($F:$F, ROW()-1), $F70)) : INDEX(AB:AB, ROW()-1)),
          AVERAGEIFS(unit_details[Effective Rent],
          unit_details[Active Listing?],TRUE,
          unit_details[Property Name], $F71,
          unit_details[Beds], $L71,
          unit_details[Baths], $M71,
          unit_details[Partial Baths], IF(ISNUMBER($N71),$N71,""),
          unit_details[Sqft],$P71
)),"")</f>
        <v/>
      </c>
      <c r="AI71" s="6" t="str">
        <f>IFERROR(IF($F71="Total",
         SUMPRODUCT(
         INDEX(AI:AI, ROW()-COUNTIF($F$6:INDEX($F:$F, ROW()-1), $F70)) : INDEX(AI:AI, ROW()-1),
         INDEX(AB:AB, ROW()-COUNTIF($F$6:INDEX($F:$F, ROW()-1), $F70)) : INDEX(AB:AB, ROW()-1)
         )
         /SUM(INDEX(AB:AB, ROW()-COUNTIF($F$6:INDEX($F:$F, ROW()-1), $F70)) : INDEX(AB:AB, ROW()-1)),
           AVERAGEIFS(unit_details[Effective PSF],
          unit_details[Active Listing?],TRUE,
          unit_details[Property Name], $F71,
          unit_details[Beds], $L71,
          unit_details[Baths], $M71,
          unit_details[Partial Baths], IF(ISNUMBER($N71),$N71,""),
          unit_details[Sqft],$P71
)),"")</f>
        <v/>
      </c>
      <c r="AJ71" s="824" t="str">
        <f t="shared" ref="AJ71:AJ134" si="15">IFERROR((AE71-AH71)/AE71,"")</f>
        <v/>
      </c>
      <c r="AK71" s="531" t="str">
        <f t="shared" ref="AK71:AK134" si="16">IFERROR(
IF(AND($AM$3="Asking Rent",$U$3="Chunk Rent"),$AE71-$T71,
IF(AND($AM$3="Effective Rent",$U$3="Chunk Rent"),$AH71-$U71,
IF(AND($AM$3="Asking Rent",$U$3="Rent PSF"),$AG71-$T71,$AI71-$U71))),"")</f>
        <v/>
      </c>
      <c r="AL71" s="714" t="str">
        <f t="shared" ref="AL71:AL134" si="17">IFERROR(AK71/(IF($AM$3="Asking Rent",T71,U71)),"")</f>
        <v/>
      </c>
      <c r="AM71" s="531" t="str">
        <f t="shared" ref="AM71:AM134" si="18">IFERROR(
IF(AND($AM$3="Asking Rent",$U$3="Chunk Rent"),$AE71-$X71,
IF(AND($AM$3="Effective Rent",$U$3="Chunk Rent"),$AH71-$Y71,
IF(AND($AM$3="Asking Rent",$U$3="Rent PSF"),$AG71-$X71,$AI71-$Y71))),"")</f>
        <v/>
      </c>
      <c r="AN71" s="716" t="str">
        <f t="shared" ref="AN71:AN134" si="19">IFERROR(AM71/(IF($AM$3="Asking Rent",X71,Y71)),"")</f>
        <v/>
      </c>
    </row>
    <row r="72" spans="6:40" x14ac:dyDescent="0.2">
      <c r="F72" s="1" t="str">
        <f t="shared" si="12"/>
        <v/>
      </c>
      <c r="G72" s="713" t="str">
        <f t="shared" ref="G72:G135" si="20">IF(F72=F71,"",F72)</f>
        <v/>
      </c>
      <c r="H72" s="17" t="str">
        <f>IFERROR(VLOOKUP($G72,Table1[[Property]:[Exposure %]],4,0),"")</f>
        <v/>
      </c>
      <c r="I72" s="3" t="str">
        <f>IFERROR(VLOOKUP($G72,Table1[[Property]:[Exposure %]],6,0),"")</f>
        <v/>
      </c>
      <c r="J72" s="3" t="str">
        <f>IFERROR(VLOOKUP($G72,Table1[[Property]:[Exposure %]],7,0),"")</f>
        <v/>
      </c>
      <c r="K72"/>
      <c r="L72"/>
      <c r="M72"/>
      <c r="N72"/>
      <c r="O72"/>
      <c r="P72"/>
      <c r="Q72"/>
      <c r="R72" s="4" t="str">
        <f>IFERROR(VLOOKUP(IF(F72="Total",F71,F72),Table1[[Property]:['# Units]],7,0)*S72,"")</f>
        <v/>
      </c>
      <c r="S72" s="27" t="str">
        <f t="shared" si="13"/>
        <v/>
      </c>
      <c r="T72" s="531" t="str">
        <f>IFERROR(
 IF($F72="Total",
   SUMPRODUCT(
   INDEX(T:T, ROW()-COUNTIF($F$6:INDEX($F:$F, ROW()-1), $F71)) : INDEX(T:T, ROW()-1),
   INDEX(W:W, ROW()-COUNTIF($F$6:INDEX($F:$F, ROW()-1), $F71)) : INDEX(W:W, ROW()-1)
   )
   /SUM(INDEX(W:W, ROW()-COUNTIF($F$6:INDEX($F:$F, ROW()-1), $F71)) : INDEX(W:W, ROW()-1)),
   AVERAGEIFS(
     INDEX((unit_details[Asking Rent],unit_details[Asking PSF]),0,1,IF($U$3="Chunk Rent",1,2)),
     unit_details[Leased Date],"&gt;="&amp;($AM$2-T$5),
     unit_details[Leased Date],"&lt;"&amp;$AM$2,
     unit_details[Beds],$L72,
     unit_details[Baths],$M72,
     unit_details[Partial Baths],IF(ISNUMBER($N72),$N72,""),
     unit_details[Sqft],$P72,
     unit_details[Property Name],$F72)
 ),"")</f>
        <v/>
      </c>
      <c r="U72" s="552" t="str">
        <f>IFERROR(
 IF($F72="Total",
   SUMPRODUCT(
   INDEX(U:U, ROW()-COUNTIF($F$6:INDEX($F:$F, ROW()-1), $F71)) : INDEX(U:U, ROW()-1),
   INDEX(W:W, ROW()-COUNTIF($F$6:INDEX($F:$F, ROW()-1), $F71)) : INDEX(W:W, ROW()-1)
   )
   /SUM(INDEX(W:W, ROW()-COUNTIF($F$6:INDEX($F:$F, ROW()-1), $F71)) : INDEX(W:W, ROW()-1)),
   AVERAGEIFS(
     INDEX((unit_details[Effective Rent],unit_details[Effective PSF]),0,1,IF($U$3="Chunk Rent",1,2)),
     unit_details[Leased Date],"&gt;="&amp;($AM$2-T$5),
     unit_details[Leased Date],"&lt;"&amp;$AM$2,
     unit_details[Beds],$L72,
     unit_details[Baths],$M72,
     unit_details[Partial Baths],IF(ISNUMBER($N72),$N72,""),
     unit_details[Sqft],$P72,
     unit_details[Property Name],$F72)
 ),"")</f>
        <v/>
      </c>
      <c r="V72" s="27" t="str">
        <f t="shared" ref="V72:V135" si="21">IFERROR(IF((T72-U72)/T72=0,"",(T72-U72)/T72),"")</f>
        <v/>
      </c>
      <c r="W72" s="526">
        <f>IFERROR(
  IF($F72="Total",
    SUM(INDEX(W:W, ROW()-COUNTIF($F$6:INDEX($F:$F, ROW()-1), $F71)) : INDEX(W:W, ROW()-1)),
    COUNTIFS(
      unit_details[Leased Date], "&gt;="&amp;($AM$2-T$5),
      unit_details[Leased Date], "&lt;"&amp;$AM$2,
      unit_details[Beds], $L72,
      unit_details[Baths], $M72,
      unit_details[Partial Baths], IF(ISNUMBER($N72), $N72, ""),
      unit_details[Sqft],$P72,
      unit_details[Property Name], $F72
    )
  ),
"")</f>
        <v>0</v>
      </c>
      <c r="X72" s="531" t="str">
        <f>IFERROR(
 IF($F72="Total",
   SUMPRODUCT(
   INDEX(X:X, ROW()-COUNTIF($F$6:INDEX($F:$F, ROW()-1), $F71)) : INDEX(X:X, ROW()-1),
   INDEX(AA:AA, ROW()-COUNTIF($F$6:INDEX($F:$F, ROW()-1), $F71)) : INDEX(AA:AA, ROW()-1)
   )
   /SUM(INDEX(AA:AA, ROW()-COUNTIF($F$6:INDEX($F:$F, ROW()-1), $F71)) : INDEX(AA:AA, ROW()-1)),
   AVERAGEIFS(
     INDEX((unit_details[Asking Rent],unit_details[Asking PSF]),0,1,IF($U$3="Chunk Rent",1,2)),
     unit_details[Leased Date],"&gt;="&amp;($AM$2-X$5),
     unit_details[Leased Date],"&lt;"&amp;$AM$2,
     unit_details[Beds],$L72,
     unit_details[Baths],$M72,
     unit_details[Partial Baths],IF(ISNUMBER($N72),$N72,""),
     unit_details[Sqft],$P72,
     unit_details[Property Name],$F72)
 ),"")</f>
        <v/>
      </c>
      <c r="Y72" s="552" t="str">
        <f>IFERROR(
 IF($F72="Total",
   SUMPRODUCT(
   INDEX(Y:Y, ROW()-COUNTIF($F$6:INDEX($F:$F, ROW()-1), $F71)) : INDEX(Y:Y, ROW()-1),
   INDEX(AA:AA, ROW()-COUNTIF($F$6:INDEX($F:$F, ROW()-1), $F71)) : INDEX(AA:AA, ROW()-1)
   )
   /SUM(INDEX(AA:AA, ROW()-COUNTIF($F$6:INDEX($F:$F, ROW()-1), $F71)) : INDEX(AA:AA, ROW()-1)),
   AVERAGEIFS(
     INDEX((unit_details[Effective Rent],unit_details[Effective PSF]),0,1,IF($U$3="Chunk Rent",1,2)),
     unit_details[Leased Date],"&gt;="&amp;($AM$2-X$5),
     unit_details[Leased Date],"&lt;"&amp;$AM$2,
     unit_details[Beds],$L72,
     unit_details[Baths],$M72,
     unit_details[Partial Baths],IF(ISNUMBER($N72),$N72,""),
     unit_details[Sqft],$P72,
     unit_details[Property Name],$F72)
 ),"")</f>
        <v/>
      </c>
      <c r="Z72" s="27" t="str">
        <f t="shared" ref="Z72:Z135" si="22">IFERROR(IF((X72-Y72)/X72=0,"",(X72-Y72)/X72),"")</f>
        <v/>
      </c>
      <c r="AA72" s="526">
        <f>IFERROR(
  IF($F72="Total",
    SUM(INDEX(AA:AA, ROW()-COUNTIF($F$6:INDEX($F:$F, ROW()-1), $F71)) : INDEX(AA:AA, ROW()-1)),
    COUNTIFS(
      unit_details[Leased Date], "&gt;="&amp;($AM$2-X$5),
      unit_details[Leased Date], "&lt;"&amp;$AM$2,
      unit_details[Beds], $L72,
      unit_details[Baths], $M72,
      unit_details[Partial Baths], IF(ISNUMBER($N72), $N72, ""),
      unit_details[Sqft],$P72,
      unit_details[Property Name], $F72
    )
  ),
"")</f>
        <v>0</v>
      </c>
      <c r="AB72" s="290">
        <f>IF($F72="Total",
SUM(INDEX(AB:AB, ROW()-COUNTIF($F$6:INDEX($F:$F, ROW()-1), $F71)) : INDEX(AB:AB, ROW()-1)),
COUNTIFS(unit_details[Active Listing?],TRUE,
          unit_details[Property Name], $F72,
          unit_details[Beds], $L72,
          unit_details[Baths], $M72,
          unit_details[Partial Baths],IF(ISNUMBER($N72),$N72,""),
          unit_details[Sqft],$P72))</f>
        <v>0</v>
      </c>
      <c r="AC72" s="27" t="str">
        <f t="shared" si="14"/>
        <v/>
      </c>
      <c r="AD72" s="293" t="str">
        <f>IFERROR(IF(AE72="","",IF($F72="Total",
SUMPRODUCT(
   INDEX(AD:AD, ROW()-COUNTIF($F$6:INDEX($F:$F, ROW()-1), $F71)) : INDEX(AD:AD, ROW()-1),
   INDEX(AB:AB, ROW()-COUNTIF($F$6:INDEX($F:$F, ROW()-1), $F71)) : INDEX(AB:AB, ROW()-1)
   )
   /SUM(INDEX(AB:AB, ROW()-COUNTIF($F$6:INDEX($F:$F, ROW()-1), $F71)) : INDEX(AB:AB, ROW()-1)),
          _xlfn.MINIFS(unit_details[Asking Rent],
          unit_details[Active Listing?],TRUE,
          unit_details[Property Name], $F72,
          unit_details[Beds], $L72,
          unit_details[Baths], $M72,
          unit_details[Partial Baths], IF(ISNUMBER($N72),$N72,""),
          unit_details[Sqft],$P72
))),"")</f>
        <v/>
      </c>
      <c r="AE72" s="5" t="str">
        <f>IFERROR(IF($F72="Total",
          SUMPRODUCT(
   INDEX(AE:AE, ROW()-COUNTIF($F$6:INDEX($F:$F, ROW()-1), $F71)) : INDEX(AE:AE, ROW()-1),
   INDEX(AB:AB, ROW()-COUNTIF($F$6:INDEX($F:$F, ROW()-1), $F71)) : INDEX(AB:AB, ROW()-1)
   )
   /SUM(INDEX(AB:AB, ROW()-COUNTIF($F$6:INDEX($F:$F, ROW()-1), $F71)) : INDEX(AB:AB, ROW()-1)),
          AVERAGEIFS(unit_details[Asking Rent],
          unit_details[Active Listing?],TRUE,
          unit_details[Property Name], $F72,
          unit_details[Beds], $L72,
          unit_details[Baths], $M72,
          unit_details[Partial Baths], IF(ISNUMBER($N72),$N72,""),
          unit_details[Sqft],$P72
)),"")</f>
        <v/>
      </c>
      <c r="AF72" s="5" t="str">
        <f>IFERROR(IF(AE72="","",IF($F72="Total",
SUMPRODUCT(
   INDEX(AF:AF, ROW()-COUNTIF($F$6:INDEX($F:$F, ROW()-1), $F71)) : INDEX(AF:AF, ROW()-1),
   INDEX(AB:AB, ROW()-COUNTIF($F$6:INDEX($F:$F, ROW()-1), $F71)) : INDEX(AB:AB, ROW()-1)
   )
   /SUM(INDEX(AB:AB, ROW()-COUNTIF($F$6:INDEX($F:$F, ROW()-1), $F71)) : INDEX(AB:AB, ROW()-1)),
           _xlfn.MAXIFS(unit_details[Asking Rent],
          unit_details[Active Listing?],TRUE,
          unit_details[Property Name], $F72,
          unit_details[Beds], $L72,
          unit_details[Baths], $M72,
          unit_details[Partial Baths], IF(ISNUMBER($N72),$N72,""),
          unit_details[Sqft],$P72
))),"")</f>
        <v/>
      </c>
      <c r="AG72" s="6" t="str">
        <f>IFERROR(IF($F72="Total",
         SUMPRODUCT(
         INDEX(AG:AG, ROW()-COUNTIF($F$6:INDEX($F:$F, ROW()-1), $F71)) : INDEX(AG:AG, ROW()-1),
         INDEX(AB:AB, ROW()-COUNTIF($F$6:INDEX($F:$F, ROW()-1), $F71)) : INDEX(AB:AB, ROW()-1)
         )
         /SUM(INDEX(AB:AB, ROW()-COUNTIF($F$6:INDEX($F:$F, ROW()-1), $F71)) : INDEX(AB:AB, ROW()-1)),
          AVERAGEIFS(unit_details[Asking PSF],
          unit_details[Active Listing?],TRUE,
          unit_details[Property Name], $F72,
          unit_details[Beds], $L72,
          unit_details[Baths], $M72,
          unit_details[Partial Baths], IF(ISNUMBER($N72),$N72,""),
          unit_details[Sqft],$P72
)),"")</f>
        <v/>
      </c>
      <c r="AH72" s="293" t="str">
        <f>IFERROR(IF($F72="Total",
         SUMPRODUCT(
         INDEX(AH:AH, ROW()-COUNTIF($F$6:INDEX($F:$F, ROW()-1), $F71)) : INDEX(AH:AH, ROW()-1),
         INDEX(AB:AB, ROW()-COUNTIF($F$6:INDEX($F:$F, ROW()-1), $F71)) : INDEX(AB:AB, ROW()-1)
         )
         /SUM(INDEX(AB:AB, ROW()-COUNTIF($F$6:INDEX($F:$F, ROW()-1), $F71)) : INDEX(AB:AB, ROW()-1)),
          AVERAGEIFS(unit_details[Effective Rent],
          unit_details[Active Listing?],TRUE,
          unit_details[Property Name], $F72,
          unit_details[Beds], $L72,
          unit_details[Baths], $M72,
          unit_details[Partial Baths], IF(ISNUMBER($N72),$N72,""),
          unit_details[Sqft],$P72
)),"")</f>
        <v/>
      </c>
      <c r="AI72" s="6" t="str">
        <f>IFERROR(IF($F72="Total",
         SUMPRODUCT(
         INDEX(AI:AI, ROW()-COUNTIF($F$6:INDEX($F:$F, ROW()-1), $F71)) : INDEX(AI:AI, ROW()-1),
         INDEX(AB:AB, ROW()-COUNTIF($F$6:INDEX($F:$F, ROW()-1), $F71)) : INDEX(AB:AB, ROW()-1)
         )
         /SUM(INDEX(AB:AB, ROW()-COUNTIF($F$6:INDEX($F:$F, ROW()-1), $F71)) : INDEX(AB:AB, ROW()-1)),
           AVERAGEIFS(unit_details[Effective PSF],
          unit_details[Active Listing?],TRUE,
          unit_details[Property Name], $F72,
          unit_details[Beds], $L72,
          unit_details[Baths], $M72,
          unit_details[Partial Baths], IF(ISNUMBER($N72),$N72,""),
          unit_details[Sqft],$P72
)),"")</f>
        <v/>
      </c>
      <c r="AJ72" s="824" t="str">
        <f t="shared" si="15"/>
        <v/>
      </c>
      <c r="AK72" s="531" t="str">
        <f t="shared" si="16"/>
        <v/>
      </c>
      <c r="AL72" s="714" t="str">
        <f t="shared" si="17"/>
        <v/>
      </c>
      <c r="AM72" s="531" t="str">
        <f t="shared" si="18"/>
        <v/>
      </c>
      <c r="AN72" s="716" t="str">
        <f t="shared" si="19"/>
        <v/>
      </c>
    </row>
    <row r="73" spans="6:40" x14ac:dyDescent="0.2">
      <c r="F73" s="1" t="str">
        <f t="shared" si="12"/>
        <v/>
      </c>
      <c r="G73" s="713" t="str">
        <f t="shared" si="20"/>
        <v/>
      </c>
      <c r="H73" s="17" t="str">
        <f>IFERROR(VLOOKUP($G73,Table1[[Property]:[Exposure %]],4,0),"")</f>
        <v/>
      </c>
      <c r="I73" s="3" t="str">
        <f>IFERROR(VLOOKUP($G73,Table1[[Property]:[Exposure %]],6,0),"")</f>
        <v/>
      </c>
      <c r="J73" s="3" t="str">
        <f>IFERROR(VLOOKUP($G73,Table1[[Property]:[Exposure %]],7,0),"")</f>
        <v/>
      </c>
      <c r="K73"/>
      <c r="L73"/>
      <c r="M73"/>
      <c r="N73"/>
      <c r="O73"/>
      <c r="P73"/>
      <c r="Q73"/>
      <c r="R73" s="4" t="str">
        <f>IFERROR(VLOOKUP(IF(F73="Total",F72,F73),Table1[[Property]:['# Units]],7,0)*S73,"")</f>
        <v/>
      </c>
      <c r="S73" s="27" t="str">
        <f t="shared" si="13"/>
        <v/>
      </c>
      <c r="T73" s="531" t="str">
        <f>IFERROR(
 IF($F73="Total",
   SUMPRODUCT(
   INDEX(T:T, ROW()-COUNTIF($F$6:INDEX($F:$F, ROW()-1), $F72)) : INDEX(T:T, ROW()-1),
   INDEX(W:W, ROW()-COUNTIF($F$6:INDEX($F:$F, ROW()-1), $F72)) : INDEX(W:W, ROW()-1)
   )
   /SUM(INDEX(W:W, ROW()-COUNTIF($F$6:INDEX($F:$F, ROW()-1), $F72)) : INDEX(W:W, ROW()-1)),
   AVERAGEIFS(
     INDEX((unit_details[Asking Rent],unit_details[Asking PSF]),0,1,IF($U$3="Chunk Rent",1,2)),
     unit_details[Leased Date],"&gt;="&amp;($AM$2-T$5),
     unit_details[Leased Date],"&lt;"&amp;$AM$2,
     unit_details[Beds],$L73,
     unit_details[Baths],$M73,
     unit_details[Partial Baths],IF(ISNUMBER($N73),$N73,""),
     unit_details[Sqft],$P73,
     unit_details[Property Name],$F73)
 ),"")</f>
        <v/>
      </c>
      <c r="U73" s="552" t="str">
        <f>IFERROR(
 IF($F73="Total",
   SUMPRODUCT(
   INDEX(U:U, ROW()-COUNTIF($F$6:INDEX($F:$F, ROW()-1), $F72)) : INDEX(U:U, ROW()-1),
   INDEX(W:W, ROW()-COUNTIF($F$6:INDEX($F:$F, ROW()-1), $F72)) : INDEX(W:W, ROW()-1)
   )
   /SUM(INDEX(W:W, ROW()-COUNTIF($F$6:INDEX($F:$F, ROW()-1), $F72)) : INDEX(W:W, ROW()-1)),
   AVERAGEIFS(
     INDEX((unit_details[Effective Rent],unit_details[Effective PSF]),0,1,IF($U$3="Chunk Rent",1,2)),
     unit_details[Leased Date],"&gt;="&amp;($AM$2-T$5),
     unit_details[Leased Date],"&lt;"&amp;$AM$2,
     unit_details[Beds],$L73,
     unit_details[Baths],$M73,
     unit_details[Partial Baths],IF(ISNUMBER($N73),$N73,""),
     unit_details[Sqft],$P73,
     unit_details[Property Name],$F73)
 ),"")</f>
        <v/>
      </c>
      <c r="V73" s="27" t="str">
        <f t="shared" si="21"/>
        <v/>
      </c>
      <c r="W73" s="526">
        <f>IFERROR(
  IF($F73="Total",
    SUM(INDEX(W:W, ROW()-COUNTIF($F$6:INDEX($F:$F, ROW()-1), $F72)) : INDEX(W:W, ROW()-1)),
    COUNTIFS(
      unit_details[Leased Date], "&gt;="&amp;($AM$2-T$5),
      unit_details[Leased Date], "&lt;"&amp;$AM$2,
      unit_details[Beds], $L73,
      unit_details[Baths], $M73,
      unit_details[Partial Baths], IF(ISNUMBER($N73), $N73, ""),
      unit_details[Sqft],$P73,
      unit_details[Property Name], $F73
    )
  ),
"")</f>
        <v>0</v>
      </c>
      <c r="X73" s="531" t="str">
        <f>IFERROR(
 IF($F73="Total",
   SUMPRODUCT(
   INDEX(X:X, ROW()-COUNTIF($F$6:INDEX($F:$F, ROW()-1), $F72)) : INDEX(X:X, ROW()-1),
   INDEX(AA:AA, ROW()-COUNTIF($F$6:INDEX($F:$F, ROW()-1), $F72)) : INDEX(AA:AA, ROW()-1)
   )
   /SUM(INDEX(AA:AA, ROW()-COUNTIF($F$6:INDEX($F:$F, ROW()-1), $F72)) : INDEX(AA:AA, ROW()-1)),
   AVERAGEIFS(
     INDEX((unit_details[Asking Rent],unit_details[Asking PSF]),0,1,IF($U$3="Chunk Rent",1,2)),
     unit_details[Leased Date],"&gt;="&amp;($AM$2-X$5),
     unit_details[Leased Date],"&lt;"&amp;$AM$2,
     unit_details[Beds],$L73,
     unit_details[Baths],$M73,
     unit_details[Partial Baths],IF(ISNUMBER($N73),$N73,""),
     unit_details[Sqft],$P73,
     unit_details[Property Name],$F73)
 ),"")</f>
        <v/>
      </c>
      <c r="Y73" s="552" t="str">
        <f>IFERROR(
 IF($F73="Total",
   SUMPRODUCT(
   INDEX(Y:Y, ROW()-COUNTIF($F$6:INDEX($F:$F, ROW()-1), $F72)) : INDEX(Y:Y, ROW()-1),
   INDEX(AA:AA, ROW()-COUNTIF($F$6:INDEX($F:$F, ROW()-1), $F72)) : INDEX(AA:AA, ROW()-1)
   )
   /SUM(INDEX(AA:AA, ROW()-COUNTIF($F$6:INDEX($F:$F, ROW()-1), $F72)) : INDEX(AA:AA, ROW()-1)),
   AVERAGEIFS(
     INDEX((unit_details[Effective Rent],unit_details[Effective PSF]),0,1,IF($U$3="Chunk Rent",1,2)),
     unit_details[Leased Date],"&gt;="&amp;($AM$2-X$5),
     unit_details[Leased Date],"&lt;"&amp;$AM$2,
     unit_details[Beds],$L73,
     unit_details[Baths],$M73,
     unit_details[Partial Baths],IF(ISNUMBER($N73),$N73,""),
     unit_details[Sqft],$P73,
     unit_details[Property Name],$F73)
 ),"")</f>
        <v/>
      </c>
      <c r="Z73" s="27" t="str">
        <f t="shared" si="22"/>
        <v/>
      </c>
      <c r="AA73" s="526">
        <f>IFERROR(
  IF($F73="Total",
    SUM(INDEX(AA:AA, ROW()-COUNTIF($F$6:INDEX($F:$F, ROW()-1), $F72)) : INDEX(AA:AA, ROW()-1)),
    COUNTIFS(
      unit_details[Leased Date], "&gt;="&amp;($AM$2-X$5),
      unit_details[Leased Date], "&lt;"&amp;$AM$2,
      unit_details[Beds], $L73,
      unit_details[Baths], $M73,
      unit_details[Partial Baths], IF(ISNUMBER($N73), $N73, ""),
      unit_details[Sqft],$P73,
      unit_details[Property Name], $F73
    )
  ),
"")</f>
        <v>0</v>
      </c>
      <c r="AB73" s="290">
        <f>IF($F73="Total",
SUM(INDEX(AB:AB, ROW()-COUNTIF($F$6:INDEX($F:$F, ROW()-1), $F72)) : INDEX(AB:AB, ROW()-1)),
COUNTIFS(unit_details[Active Listing?],TRUE,
          unit_details[Property Name], $F73,
          unit_details[Beds], $L73,
          unit_details[Baths], $M73,
          unit_details[Partial Baths],IF(ISNUMBER($N73),$N73,""),
          unit_details[Sqft],$P73))</f>
        <v>0</v>
      </c>
      <c r="AC73" s="27" t="str">
        <f t="shared" si="14"/>
        <v/>
      </c>
      <c r="AD73" s="293" t="str">
        <f>IFERROR(IF(AE73="","",IF($F73="Total",
SUMPRODUCT(
   INDEX(AD:AD, ROW()-COUNTIF($F$6:INDEX($F:$F, ROW()-1), $F72)) : INDEX(AD:AD, ROW()-1),
   INDEX(AB:AB, ROW()-COUNTIF($F$6:INDEX($F:$F, ROW()-1), $F72)) : INDEX(AB:AB, ROW()-1)
   )
   /SUM(INDEX(AB:AB, ROW()-COUNTIF($F$6:INDEX($F:$F, ROW()-1), $F72)) : INDEX(AB:AB, ROW()-1)),
          _xlfn.MINIFS(unit_details[Asking Rent],
          unit_details[Active Listing?],TRUE,
          unit_details[Property Name], $F73,
          unit_details[Beds], $L73,
          unit_details[Baths], $M73,
          unit_details[Partial Baths], IF(ISNUMBER($N73),$N73,""),
          unit_details[Sqft],$P73
))),"")</f>
        <v/>
      </c>
      <c r="AE73" s="5" t="str">
        <f>IFERROR(IF($F73="Total",
          SUMPRODUCT(
   INDEX(AE:AE, ROW()-COUNTIF($F$6:INDEX($F:$F, ROW()-1), $F72)) : INDEX(AE:AE, ROW()-1),
   INDEX(AB:AB, ROW()-COUNTIF($F$6:INDEX($F:$F, ROW()-1), $F72)) : INDEX(AB:AB, ROW()-1)
   )
   /SUM(INDEX(AB:AB, ROW()-COUNTIF($F$6:INDEX($F:$F, ROW()-1), $F72)) : INDEX(AB:AB, ROW()-1)),
          AVERAGEIFS(unit_details[Asking Rent],
          unit_details[Active Listing?],TRUE,
          unit_details[Property Name], $F73,
          unit_details[Beds], $L73,
          unit_details[Baths], $M73,
          unit_details[Partial Baths], IF(ISNUMBER($N73),$N73,""),
          unit_details[Sqft],$P73
)),"")</f>
        <v/>
      </c>
      <c r="AF73" s="5" t="str">
        <f>IFERROR(IF(AE73="","",IF($F73="Total",
SUMPRODUCT(
   INDEX(AF:AF, ROW()-COUNTIF($F$6:INDEX($F:$F, ROW()-1), $F72)) : INDEX(AF:AF, ROW()-1),
   INDEX(AB:AB, ROW()-COUNTIF($F$6:INDEX($F:$F, ROW()-1), $F72)) : INDEX(AB:AB, ROW()-1)
   )
   /SUM(INDEX(AB:AB, ROW()-COUNTIF($F$6:INDEX($F:$F, ROW()-1), $F72)) : INDEX(AB:AB, ROW()-1)),
           _xlfn.MAXIFS(unit_details[Asking Rent],
          unit_details[Active Listing?],TRUE,
          unit_details[Property Name], $F73,
          unit_details[Beds], $L73,
          unit_details[Baths], $M73,
          unit_details[Partial Baths], IF(ISNUMBER($N73),$N73,""),
          unit_details[Sqft],$P73
))),"")</f>
        <v/>
      </c>
      <c r="AG73" s="6" t="str">
        <f>IFERROR(IF($F73="Total",
         SUMPRODUCT(
         INDEX(AG:AG, ROW()-COUNTIF($F$6:INDEX($F:$F, ROW()-1), $F72)) : INDEX(AG:AG, ROW()-1),
         INDEX(AB:AB, ROW()-COUNTIF($F$6:INDEX($F:$F, ROW()-1), $F72)) : INDEX(AB:AB, ROW()-1)
         )
         /SUM(INDEX(AB:AB, ROW()-COUNTIF($F$6:INDEX($F:$F, ROW()-1), $F72)) : INDEX(AB:AB, ROW()-1)),
          AVERAGEIFS(unit_details[Asking PSF],
          unit_details[Active Listing?],TRUE,
          unit_details[Property Name], $F73,
          unit_details[Beds], $L73,
          unit_details[Baths], $M73,
          unit_details[Partial Baths], IF(ISNUMBER($N73),$N73,""),
          unit_details[Sqft],$P73
)),"")</f>
        <v/>
      </c>
      <c r="AH73" s="293" t="str">
        <f>IFERROR(IF($F73="Total",
         SUMPRODUCT(
         INDEX(AH:AH, ROW()-COUNTIF($F$6:INDEX($F:$F, ROW()-1), $F72)) : INDEX(AH:AH, ROW()-1),
         INDEX(AB:AB, ROW()-COUNTIF($F$6:INDEX($F:$F, ROW()-1), $F72)) : INDEX(AB:AB, ROW()-1)
         )
         /SUM(INDEX(AB:AB, ROW()-COUNTIF($F$6:INDEX($F:$F, ROW()-1), $F72)) : INDEX(AB:AB, ROW()-1)),
          AVERAGEIFS(unit_details[Effective Rent],
          unit_details[Active Listing?],TRUE,
          unit_details[Property Name], $F73,
          unit_details[Beds], $L73,
          unit_details[Baths], $M73,
          unit_details[Partial Baths], IF(ISNUMBER($N73),$N73,""),
          unit_details[Sqft],$P73
)),"")</f>
        <v/>
      </c>
      <c r="AI73" s="6" t="str">
        <f>IFERROR(IF($F73="Total",
         SUMPRODUCT(
         INDEX(AI:AI, ROW()-COUNTIF($F$6:INDEX($F:$F, ROW()-1), $F72)) : INDEX(AI:AI, ROW()-1),
         INDEX(AB:AB, ROW()-COUNTIF($F$6:INDEX($F:$F, ROW()-1), $F72)) : INDEX(AB:AB, ROW()-1)
         )
         /SUM(INDEX(AB:AB, ROW()-COUNTIF($F$6:INDEX($F:$F, ROW()-1), $F72)) : INDEX(AB:AB, ROW()-1)),
           AVERAGEIFS(unit_details[Effective PSF],
          unit_details[Active Listing?],TRUE,
          unit_details[Property Name], $F73,
          unit_details[Beds], $L73,
          unit_details[Baths], $M73,
          unit_details[Partial Baths], IF(ISNUMBER($N73),$N73,""),
          unit_details[Sqft],$P73
)),"")</f>
        <v/>
      </c>
      <c r="AJ73" s="824" t="str">
        <f t="shared" si="15"/>
        <v/>
      </c>
      <c r="AK73" s="531" t="str">
        <f t="shared" si="16"/>
        <v/>
      </c>
      <c r="AL73" s="714" t="str">
        <f t="shared" si="17"/>
        <v/>
      </c>
      <c r="AM73" s="531" t="str">
        <f t="shared" si="18"/>
        <v/>
      </c>
      <c r="AN73" s="716" t="str">
        <f t="shared" si="19"/>
        <v/>
      </c>
    </row>
    <row r="74" spans="6:40" x14ac:dyDescent="0.2">
      <c r="F74" s="1" t="str">
        <f t="shared" si="12"/>
        <v/>
      </c>
      <c r="G74" s="713" t="str">
        <f t="shared" si="20"/>
        <v/>
      </c>
      <c r="H74" s="17" t="str">
        <f>IFERROR(VLOOKUP($G74,Table1[[Property]:[Exposure %]],4,0),"")</f>
        <v/>
      </c>
      <c r="I74" s="3" t="str">
        <f>IFERROR(VLOOKUP($G74,Table1[[Property]:[Exposure %]],6,0),"")</f>
        <v/>
      </c>
      <c r="J74" s="3" t="str">
        <f>IFERROR(VLOOKUP($G74,Table1[[Property]:[Exposure %]],7,0),"")</f>
        <v/>
      </c>
      <c r="K74"/>
      <c r="L74"/>
      <c r="M74"/>
      <c r="N74"/>
      <c r="O74"/>
      <c r="P74"/>
      <c r="Q74"/>
      <c r="R74" s="4" t="str">
        <f>IFERROR(VLOOKUP(IF(F74="Total",F73,F74),Table1[[Property]:['# Units]],7,0)*S74,"")</f>
        <v/>
      </c>
      <c r="S74" s="27" t="str">
        <f t="shared" si="13"/>
        <v/>
      </c>
      <c r="T74" s="531" t="str">
        <f>IFERROR(
 IF($F74="Total",
   SUMPRODUCT(
   INDEX(T:T, ROW()-COUNTIF($F$6:INDEX($F:$F, ROW()-1), $F73)) : INDEX(T:T, ROW()-1),
   INDEX(W:W, ROW()-COUNTIF($F$6:INDEX($F:$F, ROW()-1), $F73)) : INDEX(W:W, ROW()-1)
   )
   /SUM(INDEX(W:W, ROW()-COUNTIF($F$6:INDEX($F:$F, ROW()-1), $F73)) : INDEX(W:W, ROW()-1)),
   AVERAGEIFS(
     INDEX((unit_details[Asking Rent],unit_details[Asking PSF]),0,1,IF($U$3="Chunk Rent",1,2)),
     unit_details[Leased Date],"&gt;="&amp;($AM$2-T$5),
     unit_details[Leased Date],"&lt;"&amp;$AM$2,
     unit_details[Beds],$L74,
     unit_details[Baths],$M74,
     unit_details[Partial Baths],IF(ISNUMBER($N74),$N74,""),
     unit_details[Sqft],$P74,
     unit_details[Property Name],$F74)
 ),"")</f>
        <v/>
      </c>
      <c r="U74" s="552" t="str">
        <f>IFERROR(
 IF($F74="Total",
   SUMPRODUCT(
   INDEX(U:U, ROW()-COUNTIF($F$6:INDEX($F:$F, ROW()-1), $F73)) : INDEX(U:U, ROW()-1),
   INDEX(W:W, ROW()-COUNTIF($F$6:INDEX($F:$F, ROW()-1), $F73)) : INDEX(W:W, ROW()-1)
   )
   /SUM(INDEX(W:W, ROW()-COUNTIF($F$6:INDEX($F:$F, ROW()-1), $F73)) : INDEX(W:W, ROW()-1)),
   AVERAGEIFS(
     INDEX((unit_details[Effective Rent],unit_details[Effective PSF]),0,1,IF($U$3="Chunk Rent",1,2)),
     unit_details[Leased Date],"&gt;="&amp;($AM$2-T$5),
     unit_details[Leased Date],"&lt;"&amp;$AM$2,
     unit_details[Beds],$L74,
     unit_details[Baths],$M74,
     unit_details[Partial Baths],IF(ISNUMBER($N74),$N74,""),
     unit_details[Sqft],$P74,
     unit_details[Property Name],$F74)
 ),"")</f>
        <v/>
      </c>
      <c r="V74" s="27" t="str">
        <f t="shared" si="21"/>
        <v/>
      </c>
      <c r="W74" s="526">
        <f>IFERROR(
  IF($F74="Total",
    SUM(INDEX(W:W, ROW()-COUNTIF($F$6:INDEX($F:$F, ROW()-1), $F73)) : INDEX(W:W, ROW()-1)),
    COUNTIFS(
      unit_details[Leased Date], "&gt;="&amp;($AM$2-T$5),
      unit_details[Leased Date], "&lt;"&amp;$AM$2,
      unit_details[Beds], $L74,
      unit_details[Baths], $M74,
      unit_details[Partial Baths], IF(ISNUMBER($N74), $N74, ""),
      unit_details[Sqft],$P74,
      unit_details[Property Name], $F74
    )
  ),
"")</f>
        <v>0</v>
      </c>
      <c r="X74" s="531" t="str">
        <f>IFERROR(
 IF($F74="Total",
   SUMPRODUCT(
   INDEX(X:X, ROW()-COUNTIF($F$6:INDEX($F:$F, ROW()-1), $F73)) : INDEX(X:X, ROW()-1),
   INDEX(AA:AA, ROW()-COUNTIF($F$6:INDEX($F:$F, ROW()-1), $F73)) : INDEX(AA:AA, ROW()-1)
   )
   /SUM(INDEX(AA:AA, ROW()-COUNTIF($F$6:INDEX($F:$F, ROW()-1), $F73)) : INDEX(AA:AA, ROW()-1)),
   AVERAGEIFS(
     INDEX((unit_details[Asking Rent],unit_details[Asking PSF]),0,1,IF($U$3="Chunk Rent",1,2)),
     unit_details[Leased Date],"&gt;="&amp;($AM$2-X$5),
     unit_details[Leased Date],"&lt;"&amp;$AM$2,
     unit_details[Beds],$L74,
     unit_details[Baths],$M74,
     unit_details[Partial Baths],IF(ISNUMBER($N74),$N74,""),
     unit_details[Sqft],$P74,
     unit_details[Property Name],$F74)
 ),"")</f>
        <v/>
      </c>
      <c r="Y74" s="552" t="str">
        <f>IFERROR(
 IF($F74="Total",
   SUMPRODUCT(
   INDEX(Y:Y, ROW()-COUNTIF($F$6:INDEX($F:$F, ROW()-1), $F73)) : INDEX(Y:Y, ROW()-1),
   INDEX(AA:AA, ROW()-COUNTIF($F$6:INDEX($F:$F, ROW()-1), $F73)) : INDEX(AA:AA, ROW()-1)
   )
   /SUM(INDEX(AA:AA, ROW()-COUNTIF($F$6:INDEX($F:$F, ROW()-1), $F73)) : INDEX(AA:AA, ROW()-1)),
   AVERAGEIFS(
     INDEX((unit_details[Effective Rent],unit_details[Effective PSF]),0,1,IF($U$3="Chunk Rent",1,2)),
     unit_details[Leased Date],"&gt;="&amp;($AM$2-X$5),
     unit_details[Leased Date],"&lt;"&amp;$AM$2,
     unit_details[Beds],$L74,
     unit_details[Baths],$M74,
     unit_details[Partial Baths],IF(ISNUMBER($N74),$N74,""),
     unit_details[Sqft],$P74,
     unit_details[Property Name],$F74)
 ),"")</f>
        <v/>
      </c>
      <c r="Z74" s="27" t="str">
        <f t="shared" si="22"/>
        <v/>
      </c>
      <c r="AA74" s="526">
        <f>IFERROR(
  IF($F74="Total",
    SUM(INDEX(AA:AA, ROW()-COUNTIF($F$6:INDEX($F:$F, ROW()-1), $F73)) : INDEX(AA:AA, ROW()-1)),
    COUNTIFS(
      unit_details[Leased Date], "&gt;="&amp;($AM$2-X$5),
      unit_details[Leased Date], "&lt;"&amp;$AM$2,
      unit_details[Beds], $L74,
      unit_details[Baths], $M74,
      unit_details[Partial Baths], IF(ISNUMBER($N74), $N74, ""),
      unit_details[Sqft],$P74,
      unit_details[Property Name], $F74
    )
  ),
"")</f>
        <v>0</v>
      </c>
      <c r="AB74" s="290">
        <f>IF($F74="Total",
SUM(INDEX(AB:AB, ROW()-COUNTIF($F$6:INDEX($F:$F, ROW()-1), $F73)) : INDEX(AB:AB, ROW()-1)),
COUNTIFS(unit_details[Active Listing?],TRUE,
          unit_details[Property Name], $F74,
          unit_details[Beds], $L74,
          unit_details[Baths], $M74,
          unit_details[Partial Baths],IF(ISNUMBER($N74),$N74,""),
          unit_details[Sqft],$P74))</f>
        <v>0</v>
      </c>
      <c r="AC74" s="27" t="str">
        <f t="shared" si="14"/>
        <v/>
      </c>
      <c r="AD74" s="293" t="str">
        <f>IFERROR(IF(AE74="","",IF($F74="Total",
SUMPRODUCT(
   INDEX(AD:AD, ROW()-COUNTIF($F$6:INDEX($F:$F, ROW()-1), $F73)) : INDEX(AD:AD, ROW()-1),
   INDEX(AB:AB, ROW()-COUNTIF($F$6:INDEX($F:$F, ROW()-1), $F73)) : INDEX(AB:AB, ROW()-1)
   )
   /SUM(INDEX(AB:AB, ROW()-COUNTIF($F$6:INDEX($F:$F, ROW()-1), $F73)) : INDEX(AB:AB, ROW()-1)),
          _xlfn.MINIFS(unit_details[Asking Rent],
          unit_details[Active Listing?],TRUE,
          unit_details[Property Name], $F74,
          unit_details[Beds], $L74,
          unit_details[Baths], $M74,
          unit_details[Partial Baths], IF(ISNUMBER($N74),$N74,""),
          unit_details[Sqft],$P74
))),"")</f>
        <v/>
      </c>
      <c r="AE74" s="5" t="str">
        <f>IFERROR(IF($F74="Total",
          SUMPRODUCT(
   INDEX(AE:AE, ROW()-COUNTIF($F$6:INDEX($F:$F, ROW()-1), $F73)) : INDEX(AE:AE, ROW()-1),
   INDEX(AB:AB, ROW()-COUNTIF($F$6:INDEX($F:$F, ROW()-1), $F73)) : INDEX(AB:AB, ROW()-1)
   )
   /SUM(INDEX(AB:AB, ROW()-COUNTIF($F$6:INDEX($F:$F, ROW()-1), $F73)) : INDEX(AB:AB, ROW()-1)),
          AVERAGEIFS(unit_details[Asking Rent],
          unit_details[Active Listing?],TRUE,
          unit_details[Property Name], $F74,
          unit_details[Beds], $L74,
          unit_details[Baths], $M74,
          unit_details[Partial Baths], IF(ISNUMBER($N74),$N74,""),
          unit_details[Sqft],$P74
)),"")</f>
        <v/>
      </c>
      <c r="AF74" s="5" t="str">
        <f>IFERROR(IF(AE74="","",IF($F74="Total",
SUMPRODUCT(
   INDEX(AF:AF, ROW()-COUNTIF($F$6:INDEX($F:$F, ROW()-1), $F73)) : INDEX(AF:AF, ROW()-1),
   INDEX(AB:AB, ROW()-COUNTIF($F$6:INDEX($F:$F, ROW()-1), $F73)) : INDEX(AB:AB, ROW()-1)
   )
   /SUM(INDEX(AB:AB, ROW()-COUNTIF($F$6:INDEX($F:$F, ROW()-1), $F73)) : INDEX(AB:AB, ROW()-1)),
           _xlfn.MAXIFS(unit_details[Asking Rent],
          unit_details[Active Listing?],TRUE,
          unit_details[Property Name], $F74,
          unit_details[Beds], $L74,
          unit_details[Baths], $M74,
          unit_details[Partial Baths], IF(ISNUMBER($N74),$N74,""),
          unit_details[Sqft],$P74
))),"")</f>
        <v/>
      </c>
      <c r="AG74" s="6" t="str">
        <f>IFERROR(IF($F74="Total",
         SUMPRODUCT(
         INDEX(AG:AG, ROW()-COUNTIF($F$6:INDEX($F:$F, ROW()-1), $F73)) : INDEX(AG:AG, ROW()-1),
         INDEX(AB:AB, ROW()-COUNTIF($F$6:INDEX($F:$F, ROW()-1), $F73)) : INDEX(AB:AB, ROW()-1)
         )
         /SUM(INDEX(AB:AB, ROW()-COUNTIF($F$6:INDEX($F:$F, ROW()-1), $F73)) : INDEX(AB:AB, ROW()-1)),
          AVERAGEIFS(unit_details[Asking PSF],
          unit_details[Active Listing?],TRUE,
          unit_details[Property Name], $F74,
          unit_details[Beds], $L74,
          unit_details[Baths], $M74,
          unit_details[Partial Baths], IF(ISNUMBER($N74),$N74,""),
          unit_details[Sqft],$P74
)),"")</f>
        <v/>
      </c>
      <c r="AH74" s="293" t="str">
        <f>IFERROR(IF($F74="Total",
         SUMPRODUCT(
         INDEX(AH:AH, ROW()-COUNTIF($F$6:INDEX($F:$F, ROW()-1), $F73)) : INDEX(AH:AH, ROW()-1),
         INDEX(AB:AB, ROW()-COUNTIF($F$6:INDEX($F:$F, ROW()-1), $F73)) : INDEX(AB:AB, ROW()-1)
         )
         /SUM(INDEX(AB:AB, ROW()-COUNTIF($F$6:INDEX($F:$F, ROW()-1), $F73)) : INDEX(AB:AB, ROW()-1)),
          AVERAGEIFS(unit_details[Effective Rent],
          unit_details[Active Listing?],TRUE,
          unit_details[Property Name], $F74,
          unit_details[Beds], $L74,
          unit_details[Baths], $M74,
          unit_details[Partial Baths], IF(ISNUMBER($N74),$N74,""),
          unit_details[Sqft],$P74
)),"")</f>
        <v/>
      </c>
      <c r="AI74" s="6" t="str">
        <f>IFERROR(IF($F74="Total",
         SUMPRODUCT(
         INDEX(AI:AI, ROW()-COUNTIF($F$6:INDEX($F:$F, ROW()-1), $F73)) : INDEX(AI:AI, ROW()-1),
         INDEX(AB:AB, ROW()-COUNTIF($F$6:INDEX($F:$F, ROW()-1), $F73)) : INDEX(AB:AB, ROW()-1)
         )
         /SUM(INDEX(AB:AB, ROW()-COUNTIF($F$6:INDEX($F:$F, ROW()-1), $F73)) : INDEX(AB:AB, ROW()-1)),
           AVERAGEIFS(unit_details[Effective PSF],
          unit_details[Active Listing?],TRUE,
          unit_details[Property Name], $F74,
          unit_details[Beds], $L74,
          unit_details[Baths], $M74,
          unit_details[Partial Baths], IF(ISNUMBER($N74),$N74,""),
          unit_details[Sqft],$P74
)),"")</f>
        <v/>
      </c>
      <c r="AJ74" s="824" t="str">
        <f t="shared" si="15"/>
        <v/>
      </c>
      <c r="AK74" s="531" t="str">
        <f t="shared" si="16"/>
        <v/>
      </c>
      <c r="AL74" s="714" t="str">
        <f t="shared" si="17"/>
        <v/>
      </c>
      <c r="AM74" s="531" t="str">
        <f t="shared" si="18"/>
        <v/>
      </c>
      <c r="AN74" s="716" t="str">
        <f t="shared" si="19"/>
        <v/>
      </c>
    </row>
    <row r="75" spans="6:40" x14ac:dyDescent="0.2">
      <c r="F75" s="1" t="str">
        <f t="shared" si="12"/>
        <v/>
      </c>
      <c r="G75" s="713" t="str">
        <f t="shared" si="20"/>
        <v/>
      </c>
      <c r="H75" s="17" t="str">
        <f>IFERROR(VLOOKUP($G75,Table1[[Property]:[Exposure %]],4,0),"")</f>
        <v/>
      </c>
      <c r="I75" s="3" t="str">
        <f>IFERROR(VLOOKUP($G75,Table1[[Property]:[Exposure %]],6,0),"")</f>
        <v/>
      </c>
      <c r="J75" s="3" t="str">
        <f>IFERROR(VLOOKUP($G75,Table1[[Property]:[Exposure %]],7,0),"")</f>
        <v/>
      </c>
      <c r="K75"/>
      <c r="L75"/>
      <c r="M75"/>
      <c r="N75"/>
      <c r="O75"/>
      <c r="P75"/>
      <c r="Q75"/>
      <c r="R75" s="4" t="str">
        <f>IFERROR(VLOOKUP(IF(F75="Total",F74,F75),Table1[[Property]:['# Units]],7,0)*S75,"")</f>
        <v/>
      </c>
      <c r="S75" s="27" t="str">
        <f t="shared" si="13"/>
        <v/>
      </c>
      <c r="T75" s="531" t="str">
        <f>IFERROR(
 IF($F75="Total",
   SUMPRODUCT(
   INDEX(T:T, ROW()-COUNTIF($F$6:INDEX($F:$F, ROW()-1), $F74)) : INDEX(T:T, ROW()-1),
   INDEX(W:W, ROW()-COUNTIF($F$6:INDEX($F:$F, ROW()-1), $F74)) : INDEX(W:W, ROW()-1)
   )
   /SUM(INDEX(W:W, ROW()-COUNTIF($F$6:INDEX($F:$F, ROW()-1), $F74)) : INDEX(W:W, ROW()-1)),
   AVERAGEIFS(
     INDEX((unit_details[Asking Rent],unit_details[Asking PSF]),0,1,IF($U$3="Chunk Rent",1,2)),
     unit_details[Leased Date],"&gt;="&amp;($AM$2-T$5),
     unit_details[Leased Date],"&lt;"&amp;$AM$2,
     unit_details[Beds],$L75,
     unit_details[Baths],$M75,
     unit_details[Partial Baths],IF(ISNUMBER($N75),$N75,""),
     unit_details[Sqft],$P75,
     unit_details[Property Name],$F75)
 ),"")</f>
        <v/>
      </c>
      <c r="U75" s="552" t="str">
        <f>IFERROR(
 IF($F75="Total",
   SUMPRODUCT(
   INDEX(U:U, ROW()-COUNTIF($F$6:INDEX($F:$F, ROW()-1), $F74)) : INDEX(U:U, ROW()-1),
   INDEX(W:W, ROW()-COUNTIF($F$6:INDEX($F:$F, ROW()-1), $F74)) : INDEX(W:W, ROW()-1)
   )
   /SUM(INDEX(W:W, ROW()-COUNTIF($F$6:INDEX($F:$F, ROW()-1), $F74)) : INDEX(W:W, ROW()-1)),
   AVERAGEIFS(
     INDEX((unit_details[Effective Rent],unit_details[Effective PSF]),0,1,IF($U$3="Chunk Rent",1,2)),
     unit_details[Leased Date],"&gt;="&amp;($AM$2-T$5),
     unit_details[Leased Date],"&lt;"&amp;$AM$2,
     unit_details[Beds],$L75,
     unit_details[Baths],$M75,
     unit_details[Partial Baths],IF(ISNUMBER($N75),$N75,""),
     unit_details[Sqft],$P75,
     unit_details[Property Name],$F75)
 ),"")</f>
        <v/>
      </c>
      <c r="V75" s="27" t="str">
        <f t="shared" si="21"/>
        <v/>
      </c>
      <c r="W75" s="526">
        <f>IFERROR(
  IF($F75="Total",
    SUM(INDEX(W:W, ROW()-COUNTIF($F$6:INDEX($F:$F, ROW()-1), $F74)) : INDEX(W:W, ROW()-1)),
    COUNTIFS(
      unit_details[Leased Date], "&gt;="&amp;($AM$2-T$5),
      unit_details[Leased Date], "&lt;"&amp;$AM$2,
      unit_details[Beds], $L75,
      unit_details[Baths], $M75,
      unit_details[Partial Baths], IF(ISNUMBER($N75), $N75, ""),
      unit_details[Sqft],$P75,
      unit_details[Property Name], $F75
    )
  ),
"")</f>
        <v>0</v>
      </c>
      <c r="X75" s="531" t="str">
        <f>IFERROR(
 IF($F75="Total",
   SUMPRODUCT(
   INDEX(X:X, ROW()-COUNTIF($F$6:INDEX($F:$F, ROW()-1), $F74)) : INDEX(X:X, ROW()-1),
   INDEX(AA:AA, ROW()-COUNTIF($F$6:INDEX($F:$F, ROW()-1), $F74)) : INDEX(AA:AA, ROW()-1)
   )
   /SUM(INDEX(AA:AA, ROW()-COUNTIF($F$6:INDEX($F:$F, ROW()-1), $F74)) : INDEX(AA:AA, ROW()-1)),
   AVERAGEIFS(
     INDEX((unit_details[Asking Rent],unit_details[Asking PSF]),0,1,IF($U$3="Chunk Rent",1,2)),
     unit_details[Leased Date],"&gt;="&amp;($AM$2-X$5),
     unit_details[Leased Date],"&lt;"&amp;$AM$2,
     unit_details[Beds],$L75,
     unit_details[Baths],$M75,
     unit_details[Partial Baths],IF(ISNUMBER($N75),$N75,""),
     unit_details[Sqft],$P75,
     unit_details[Property Name],$F75)
 ),"")</f>
        <v/>
      </c>
      <c r="Y75" s="552" t="str">
        <f>IFERROR(
 IF($F75="Total",
   SUMPRODUCT(
   INDEX(Y:Y, ROW()-COUNTIF($F$6:INDEX($F:$F, ROW()-1), $F74)) : INDEX(Y:Y, ROW()-1),
   INDEX(AA:AA, ROW()-COUNTIF($F$6:INDEX($F:$F, ROW()-1), $F74)) : INDEX(AA:AA, ROW()-1)
   )
   /SUM(INDEX(AA:AA, ROW()-COUNTIF($F$6:INDEX($F:$F, ROW()-1), $F74)) : INDEX(AA:AA, ROW()-1)),
   AVERAGEIFS(
     INDEX((unit_details[Effective Rent],unit_details[Effective PSF]),0,1,IF($U$3="Chunk Rent",1,2)),
     unit_details[Leased Date],"&gt;="&amp;($AM$2-X$5),
     unit_details[Leased Date],"&lt;"&amp;$AM$2,
     unit_details[Beds],$L75,
     unit_details[Baths],$M75,
     unit_details[Partial Baths],IF(ISNUMBER($N75),$N75,""),
     unit_details[Sqft],$P75,
     unit_details[Property Name],$F75)
 ),"")</f>
        <v/>
      </c>
      <c r="Z75" s="27" t="str">
        <f t="shared" si="22"/>
        <v/>
      </c>
      <c r="AA75" s="526">
        <f>IFERROR(
  IF($F75="Total",
    SUM(INDEX(AA:AA, ROW()-COUNTIF($F$6:INDEX($F:$F, ROW()-1), $F74)) : INDEX(AA:AA, ROW()-1)),
    COUNTIFS(
      unit_details[Leased Date], "&gt;="&amp;($AM$2-X$5),
      unit_details[Leased Date], "&lt;"&amp;$AM$2,
      unit_details[Beds], $L75,
      unit_details[Baths], $M75,
      unit_details[Partial Baths], IF(ISNUMBER($N75), $N75, ""),
      unit_details[Sqft],$P75,
      unit_details[Property Name], $F75
    )
  ),
"")</f>
        <v>0</v>
      </c>
      <c r="AB75" s="290">
        <f>IF($F75="Total",
SUM(INDEX(AB:AB, ROW()-COUNTIF($F$6:INDEX($F:$F, ROW()-1), $F74)) : INDEX(AB:AB, ROW()-1)),
COUNTIFS(unit_details[Active Listing?],TRUE,
          unit_details[Property Name], $F75,
          unit_details[Beds], $L75,
          unit_details[Baths], $M75,
          unit_details[Partial Baths],IF(ISNUMBER($N75),$N75,""),
          unit_details[Sqft],$P75))</f>
        <v>0</v>
      </c>
      <c r="AC75" s="27" t="str">
        <f t="shared" si="14"/>
        <v/>
      </c>
      <c r="AD75" s="293" t="str">
        <f>IFERROR(IF(AE75="","",IF($F75="Total",
SUMPRODUCT(
   INDEX(AD:AD, ROW()-COUNTIF($F$6:INDEX($F:$F, ROW()-1), $F74)) : INDEX(AD:AD, ROW()-1),
   INDEX(AB:AB, ROW()-COUNTIF($F$6:INDEX($F:$F, ROW()-1), $F74)) : INDEX(AB:AB, ROW()-1)
   )
   /SUM(INDEX(AB:AB, ROW()-COUNTIF($F$6:INDEX($F:$F, ROW()-1), $F74)) : INDEX(AB:AB, ROW()-1)),
          _xlfn.MINIFS(unit_details[Asking Rent],
          unit_details[Active Listing?],TRUE,
          unit_details[Property Name], $F75,
          unit_details[Beds], $L75,
          unit_details[Baths], $M75,
          unit_details[Partial Baths], IF(ISNUMBER($N75),$N75,""),
          unit_details[Sqft],$P75
))),"")</f>
        <v/>
      </c>
      <c r="AE75" s="5" t="str">
        <f>IFERROR(IF($F75="Total",
          SUMPRODUCT(
   INDEX(AE:AE, ROW()-COUNTIF($F$6:INDEX($F:$F, ROW()-1), $F74)) : INDEX(AE:AE, ROW()-1),
   INDEX(AB:AB, ROW()-COUNTIF($F$6:INDEX($F:$F, ROW()-1), $F74)) : INDEX(AB:AB, ROW()-1)
   )
   /SUM(INDEX(AB:AB, ROW()-COUNTIF($F$6:INDEX($F:$F, ROW()-1), $F74)) : INDEX(AB:AB, ROW()-1)),
          AVERAGEIFS(unit_details[Asking Rent],
          unit_details[Active Listing?],TRUE,
          unit_details[Property Name], $F75,
          unit_details[Beds], $L75,
          unit_details[Baths], $M75,
          unit_details[Partial Baths], IF(ISNUMBER($N75),$N75,""),
          unit_details[Sqft],$P75
)),"")</f>
        <v/>
      </c>
      <c r="AF75" s="5" t="str">
        <f>IFERROR(IF(AE75="","",IF($F75="Total",
SUMPRODUCT(
   INDEX(AF:AF, ROW()-COUNTIF($F$6:INDEX($F:$F, ROW()-1), $F74)) : INDEX(AF:AF, ROW()-1),
   INDEX(AB:AB, ROW()-COUNTIF($F$6:INDEX($F:$F, ROW()-1), $F74)) : INDEX(AB:AB, ROW()-1)
   )
   /SUM(INDEX(AB:AB, ROW()-COUNTIF($F$6:INDEX($F:$F, ROW()-1), $F74)) : INDEX(AB:AB, ROW()-1)),
           _xlfn.MAXIFS(unit_details[Asking Rent],
          unit_details[Active Listing?],TRUE,
          unit_details[Property Name], $F75,
          unit_details[Beds], $L75,
          unit_details[Baths], $M75,
          unit_details[Partial Baths], IF(ISNUMBER($N75),$N75,""),
          unit_details[Sqft],$P75
))),"")</f>
        <v/>
      </c>
      <c r="AG75" s="6" t="str">
        <f>IFERROR(IF($F75="Total",
         SUMPRODUCT(
         INDEX(AG:AG, ROW()-COUNTIF($F$6:INDEX($F:$F, ROW()-1), $F74)) : INDEX(AG:AG, ROW()-1),
         INDEX(AB:AB, ROW()-COUNTIF($F$6:INDEX($F:$F, ROW()-1), $F74)) : INDEX(AB:AB, ROW()-1)
         )
         /SUM(INDEX(AB:AB, ROW()-COUNTIF($F$6:INDEX($F:$F, ROW()-1), $F74)) : INDEX(AB:AB, ROW()-1)),
          AVERAGEIFS(unit_details[Asking PSF],
          unit_details[Active Listing?],TRUE,
          unit_details[Property Name], $F75,
          unit_details[Beds], $L75,
          unit_details[Baths], $M75,
          unit_details[Partial Baths], IF(ISNUMBER($N75),$N75,""),
          unit_details[Sqft],$P75
)),"")</f>
        <v/>
      </c>
      <c r="AH75" s="293" t="str">
        <f>IFERROR(IF($F75="Total",
         SUMPRODUCT(
         INDEX(AH:AH, ROW()-COUNTIF($F$6:INDEX($F:$F, ROW()-1), $F74)) : INDEX(AH:AH, ROW()-1),
         INDEX(AB:AB, ROW()-COUNTIF($F$6:INDEX($F:$F, ROW()-1), $F74)) : INDEX(AB:AB, ROW()-1)
         )
         /SUM(INDEX(AB:AB, ROW()-COUNTIF($F$6:INDEX($F:$F, ROW()-1), $F74)) : INDEX(AB:AB, ROW()-1)),
          AVERAGEIFS(unit_details[Effective Rent],
          unit_details[Active Listing?],TRUE,
          unit_details[Property Name], $F75,
          unit_details[Beds], $L75,
          unit_details[Baths], $M75,
          unit_details[Partial Baths], IF(ISNUMBER($N75),$N75,""),
          unit_details[Sqft],$P75
)),"")</f>
        <v/>
      </c>
      <c r="AI75" s="6" t="str">
        <f>IFERROR(IF($F75="Total",
         SUMPRODUCT(
         INDEX(AI:AI, ROW()-COUNTIF($F$6:INDEX($F:$F, ROW()-1), $F74)) : INDEX(AI:AI, ROW()-1),
         INDEX(AB:AB, ROW()-COUNTIF($F$6:INDEX($F:$F, ROW()-1), $F74)) : INDEX(AB:AB, ROW()-1)
         )
         /SUM(INDEX(AB:AB, ROW()-COUNTIF($F$6:INDEX($F:$F, ROW()-1), $F74)) : INDEX(AB:AB, ROW()-1)),
           AVERAGEIFS(unit_details[Effective PSF],
          unit_details[Active Listing?],TRUE,
          unit_details[Property Name], $F75,
          unit_details[Beds], $L75,
          unit_details[Baths], $M75,
          unit_details[Partial Baths], IF(ISNUMBER($N75),$N75,""),
          unit_details[Sqft],$P75
)),"")</f>
        <v/>
      </c>
      <c r="AJ75" s="824" t="str">
        <f t="shared" si="15"/>
        <v/>
      </c>
      <c r="AK75" s="531" t="str">
        <f t="shared" si="16"/>
        <v/>
      </c>
      <c r="AL75" s="714" t="str">
        <f t="shared" si="17"/>
        <v/>
      </c>
      <c r="AM75" s="531" t="str">
        <f t="shared" si="18"/>
        <v/>
      </c>
      <c r="AN75" s="716" t="str">
        <f t="shared" si="19"/>
        <v/>
      </c>
    </row>
    <row r="76" spans="6:40" x14ac:dyDescent="0.2">
      <c r="F76" s="1" t="str">
        <f t="shared" si="12"/>
        <v/>
      </c>
      <c r="G76" s="713" t="str">
        <f t="shared" si="20"/>
        <v/>
      </c>
      <c r="H76" s="17" t="str">
        <f>IFERROR(VLOOKUP($G76,Table1[[Property]:[Exposure %]],4,0),"")</f>
        <v/>
      </c>
      <c r="I76" s="3" t="str">
        <f>IFERROR(VLOOKUP($G76,Table1[[Property]:[Exposure %]],6,0),"")</f>
        <v/>
      </c>
      <c r="J76" s="3" t="str">
        <f>IFERROR(VLOOKUP($G76,Table1[[Property]:[Exposure %]],7,0),"")</f>
        <v/>
      </c>
      <c r="K76"/>
      <c r="L76"/>
      <c r="M76"/>
      <c r="N76"/>
      <c r="O76"/>
      <c r="P76"/>
      <c r="Q76"/>
      <c r="R76" s="4" t="str">
        <f>IFERROR(VLOOKUP(IF(F76="Total",F75,F76),Table1[[Property]:['# Units]],7,0)*S76,"")</f>
        <v/>
      </c>
      <c r="S76" s="27" t="str">
        <f t="shared" si="13"/>
        <v/>
      </c>
      <c r="T76" s="531" t="str">
        <f>IFERROR(
 IF($F76="Total",
   SUMPRODUCT(
   INDEX(T:T, ROW()-COUNTIF($F$6:INDEX($F:$F, ROW()-1), $F75)) : INDEX(T:T, ROW()-1),
   INDEX(W:W, ROW()-COUNTIF($F$6:INDEX($F:$F, ROW()-1), $F75)) : INDEX(W:W, ROW()-1)
   )
   /SUM(INDEX(W:W, ROW()-COUNTIF($F$6:INDEX($F:$F, ROW()-1), $F75)) : INDEX(W:W, ROW()-1)),
   AVERAGEIFS(
     INDEX((unit_details[Asking Rent],unit_details[Asking PSF]),0,1,IF($U$3="Chunk Rent",1,2)),
     unit_details[Leased Date],"&gt;="&amp;($AM$2-T$5),
     unit_details[Leased Date],"&lt;"&amp;$AM$2,
     unit_details[Beds],$L76,
     unit_details[Baths],$M76,
     unit_details[Partial Baths],IF(ISNUMBER($N76),$N76,""),
     unit_details[Sqft],$P76,
     unit_details[Property Name],$F76)
 ),"")</f>
        <v/>
      </c>
      <c r="U76" s="552" t="str">
        <f>IFERROR(
 IF($F76="Total",
   SUMPRODUCT(
   INDEX(U:U, ROW()-COUNTIF($F$6:INDEX($F:$F, ROW()-1), $F75)) : INDEX(U:U, ROW()-1),
   INDEX(W:W, ROW()-COUNTIF($F$6:INDEX($F:$F, ROW()-1), $F75)) : INDEX(W:W, ROW()-1)
   )
   /SUM(INDEX(W:W, ROW()-COUNTIF($F$6:INDEX($F:$F, ROW()-1), $F75)) : INDEX(W:W, ROW()-1)),
   AVERAGEIFS(
     INDEX((unit_details[Effective Rent],unit_details[Effective PSF]),0,1,IF($U$3="Chunk Rent",1,2)),
     unit_details[Leased Date],"&gt;="&amp;($AM$2-T$5),
     unit_details[Leased Date],"&lt;"&amp;$AM$2,
     unit_details[Beds],$L76,
     unit_details[Baths],$M76,
     unit_details[Partial Baths],IF(ISNUMBER($N76),$N76,""),
     unit_details[Sqft],$P76,
     unit_details[Property Name],$F76)
 ),"")</f>
        <v/>
      </c>
      <c r="V76" s="27" t="str">
        <f t="shared" si="21"/>
        <v/>
      </c>
      <c r="W76" s="526">
        <f>IFERROR(
  IF($F76="Total",
    SUM(INDEX(W:W, ROW()-COUNTIF($F$6:INDEX($F:$F, ROW()-1), $F75)) : INDEX(W:W, ROW()-1)),
    COUNTIFS(
      unit_details[Leased Date], "&gt;="&amp;($AM$2-T$5),
      unit_details[Leased Date], "&lt;"&amp;$AM$2,
      unit_details[Beds], $L76,
      unit_details[Baths], $M76,
      unit_details[Partial Baths], IF(ISNUMBER($N76), $N76, ""),
      unit_details[Sqft],$P76,
      unit_details[Property Name], $F76
    )
  ),
"")</f>
        <v>0</v>
      </c>
      <c r="X76" s="531" t="str">
        <f>IFERROR(
 IF($F76="Total",
   SUMPRODUCT(
   INDEX(X:X, ROW()-COUNTIF($F$6:INDEX($F:$F, ROW()-1), $F75)) : INDEX(X:X, ROW()-1),
   INDEX(AA:AA, ROW()-COUNTIF($F$6:INDEX($F:$F, ROW()-1), $F75)) : INDEX(AA:AA, ROW()-1)
   )
   /SUM(INDEX(AA:AA, ROW()-COUNTIF($F$6:INDEX($F:$F, ROW()-1), $F75)) : INDEX(AA:AA, ROW()-1)),
   AVERAGEIFS(
     INDEX((unit_details[Asking Rent],unit_details[Asking PSF]),0,1,IF($U$3="Chunk Rent",1,2)),
     unit_details[Leased Date],"&gt;="&amp;($AM$2-X$5),
     unit_details[Leased Date],"&lt;"&amp;$AM$2,
     unit_details[Beds],$L76,
     unit_details[Baths],$M76,
     unit_details[Partial Baths],IF(ISNUMBER($N76),$N76,""),
     unit_details[Sqft],$P76,
     unit_details[Property Name],$F76)
 ),"")</f>
        <v/>
      </c>
      <c r="Y76" s="552" t="str">
        <f>IFERROR(
 IF($F76="Total",
   SUMPRODUCT(
   INDEX(Y:Y, ROW()-COUNTIF($F$6:INDEX($F:$F, ROW()-1), $F75)) : INDEX(Y:Y, ROW()-1),
   INDEX(AA:AA, ROW()-COUNTIF($F$6:INDEX($F:$F, ROW()-1), $F75)) : INDEX(AA:AA, ROW()-1)
   )
   /SUM(INDEX(AA:AA, ROW()-COUNTIF($F$6:INDEX($F:$F, ROW()-1), $F75)) : INDEX(AA:AA, ROW()-1)),
   AVERAGEIFS(
     INDEX((unit_details[Effective Rent],unit_details[Effective PSF]),0,1,IF($U$3="Chunk Rent",1,2)),
     unit_details[Leased Date],"&gt;="&amp;($AM$2-X$5),
     unit_details[Leased Date],"&lt;"&amp;$AM$2,
     unit_details[Beds],$L76,
     unit_details[Baths],$M76,
     unit_details[Partial Baths],IF(ISNUMBER($N76),$N76,""),
     unit_details[Sqft],$P76,
     unit_details[Property Name],$F76)
 ),"")</f>
        <v/>
      </c>
      <c r="Z76" s="27" t="str">
        <f t="shared" si="22"/>
        <v/>
      </c>
      <c r="AA76" s="526">
        <f>IFERROR(
  IF($F76="Total",
    SUM(INDEX(AA:AA, ROW()-COUNTIF($F$6:INDEX($F:$F, ROW()-1), $F75)) : INDEX(AA:AA, ROW()-1)),
    COUNTIFS(
      unit_details[Leased Date], "&gt;="&amp;($AM$2-X$5),
      unit_details[Leased Date], "&lt;"&amp;$AM$2,
      unit_details[Beds], $L76,
      unit_details[Baths], $M76,
      unit_details[Partial Baths], IF(ISNUMBER($N76), $N76, ""),
      unit_details[Sqft],$P76,
      unit_details[Property Name], $F76
    )
  ),
"")</f>
        <v>0</v>
      </c>
      <c r="AB76" s="290">
        <f>IF($F76="Total",
SUM(INDEX(AB:AB, ROW()-COUNTIF($F$6:INDEX($F:$F, ROW()-1), $F75)) : INDEX(AB:AB, ROW()-1)),
COUNTIFS(unit_details[Active Listing?],TRUE,
          unit_details[Property Name], $F76,
          unit_details[Beds], $L76,
          unit_details[Baths], $M76,
          unit_details[Partial Baths],IF(ISNUMBER($N76),$N76,""),
          unit_details[Sqft],$P76))</f>
        <v>0</v>
      </c>
      <c r="AC76" s="27" t="str">
        <f t="shared" si="14"/>
        <v/>
      </c>
      <c r="AD76" s="293" t="str">
        <f>IFERROR(IF(AE76="","",IF($F76="Total",
SUMPRODUCT(
   INDEX(AD:AD, ROW()-COUNTIF($F$6:INDEX($F:$F, ROW()-1), $F75)) : INDEX(AD:AD, ROW()-1),
   INDEX(AB:AB, ROW()-COUNTIF($F$6:INDEX($F:$F, ROW()-1), $F75)) : INDEX(AB:AB, ROW()-1)
   )
   /SUM(INDEX(AB:AB, ROW()-COUNTIF($F$6:INDEX($F:$F, ROW()-1), $F75)) : INDEX(AB:AB, ROW()-1)),
          _xlfn.MINIFS(unit_details[Asking Rent],
          unit_details[Active Listing?],TRUE,
          unit_details[Property Name], $F76,
          unit_details[Beds], $L76,
          unit_details[Baths], $M76,
          unit_details[Partial Baths], IF(ISNUMBER($N76),$N76,""),
          unit_details[Sqft],$P76
))),"")</f>
        <v/>
      </c>
      <c r="AE76" s="5" t="str">
        <f>IFERROR(IF($F76="Total",
          SUMPRODUCT(
   INDEX(AE:AE, ROW()-COUNTIF($F$6:INDEX($F:$F, ROW()-1), $F75)) : INDEX(AE:AE, ROW()-1),
   INDEX(AB:AB, ROW()-COUNTIF($F$6:INDEX($F:$F, ROW()-1), $F75)) : INDEX(AB:AB, ROW()-1)
   )
   /SUM(INDEX(AB:AB, ROW()-COUNTIF($F$6:INDEX($F:$F, ROW()-1), $F75)) : INDEX(AB:AB, ROW()-1)),
          AVERAGEIFS(unit_details[Asking Rent],
          unit_details[Active Listing?],TRUE,
          unit_details[Property Name], $F76,
          unit_details[Beds], $L76,
          unit_details[Baths], $M76,
          unit_details[Partial Baths], IF(ISNUMBER($N76),$N76,""),
          unit_details[Sqft],$P76
)),"")</f>
        <v/>
      </c>
      <c r="AF76" s="5" t="str">
        <f>IFERROR(IF(AE76="","",IF($F76="Total",
SUMPRODUCT(
   INDEX(AF:AF, ROW()-COUNTIF($F$6:INDEX($F:$F, ROW()-1), $F75)) : INDEX(AF:AF, ROW()-1),
   INDEX(AB:AB, ROW()-COUNTIF($F$6:INDEX($F:$F, ROW()-1), $F75)) : INDEX(AB:AB, ROW()-1)
   )
   /SUM(INDEX(AB:AB, ROW()-COUNTIF($F$6:INDEX($F:$F, ROW()-1), $F75)) : INDEX(AB:AB, ROW()-1)),
           _xlfn.MAXIFS(unit_details[Asking Rent],
          unit_details[Active Listing?],TRUE,
          unit_details[Property Name], $F76,
          unit_details[Beds], $L76,
          unit_details[Baths], $M76,
          unit_details[Partial Baths], IF(ISNUMBER($N76),$N76,""),
          unit_details[Sqft],$P76
))),"")</f>
        <v/>
      </c>
      <c r="AG76" s="6" t="str">
        <f>IFERROR(IF($F76="Total",
         SUMPRODUCT(
         INDEX(AG:AG, ROW()-COUNTIF($F$6:INDEX($F:$F, ROW()-1), $F75)) : INDEX(AG:AG, ROW()-1),
         INDEX(AB:AB, ROW()-COUNTIF($F$6:INDEX($F:$F, ROW()-1), $F75)) : INDEX(AB:AB, ROW()-1)
         )
         /SUM(INDEX(AB:AB, ROW()-COUNTIF($F$6:INDEX($F:$F, ROW()-1), $F75)) : INDEX(AB:AB, ROW()-1)),
          AVERAGEIFS(unit_details[Asking PSF],
          unit_details[Active Listing?],TRUE,
          unit_details[Property Name], $F76,
          unit_details[Beds], $L76,
          unit_details[Baths], $M76,
          unit_details[Partial Baths], IF(ISNUMBER($N76),$N76,""),
          unit_details[Sqft],$P76
)),"")</f>
        <v/>
      </c>
      <c r="AH76" s="293" t="str">
        <f>IFERROR(IF($F76="Total",
         SUMPRODUCT(
         INDEX(AH:AH, ROW()-COUNTIF($F$6:INDEX($F:$F, ROW()-1), $F75)) : INDEX(AH:AH, ROW()-1),
         INDEX(AB:AB, ROW()-COUNTIF($F$6:INDEX($F:$F, ROW()-1), $F75)) : INDEX(AB:AB, ROW()-1)
         )
         /SUM(INDEX(AB:AB, ROW()-COUNTIF($F$6:INDEX($F:$F, ROW()-1), $F75)) : INDEX(AB:AB, ROW()-1)),
          AVERAGEIFS(unit_details[Effective Rent],
          unit_details[Active Listing?],TRUE,
          unit_details[Property Name], $F76,
          unit_details[Beds], $L76,
          unit_details[Baths], $M76,
          unit_details[Partial Baths], IF(ISNUMBER($N76),$N76,""),
          unit_details[Sqft],$P76
)),"")</f>
        <v/>
      </c>
      <c r="AI76" s="6" t="str">
        <f>IFERROR(IF($F76="Total",
         SUMPRODUCT(
         INDEX(AI:AI, ROW()-COUNTIF($F$6:INDEX($F:$F, ROW()-1), $F75)) : INDEX(AI:AI, ROW()-1),
         INDEX(AB:AB, ROW()-COUNTIF($F$6:INDEX($F:$F, ROW()-1), $F75)) : INDEX(AB:AB, ROW()-1)
         )
         /SUM(INDEX(AB:AB, ROW()-COUNTIF($F$6:INDEX($F:$F, ROW()-1), $F75)) : INDEX(AB:AB, ROW()-1)),
           AVERAGEIFS(unit_details[Effective PSF],
          unit_details[Active Listing?],TRUE,
          unit_details[Property Name], $F76,
          unit_details[Beds], $L76,
          unit_details[Baths], $M76,
          unit_details[Partial Baths], IF(ISNUMBER($N76),$N76,""),
          unit_details[Sqft],$P76
)),"")</f>
        <v/>
      </c>
      <c r="AJ76" s="824" t="str">
        <f t="shared" si="15"/>
        <v/>
      </c>
      <c r="AK76" s="531" t="str">
        <f t="shared" si="16"/>
        <v/>
      </c>
      <c r="AL76" s="714" t="str">
        <f t="shared" si="17"/>
        <v/>
      </c>
      <c r="AM76" s="531" t="str">
        <f t="shared" si="18"/>
        <v/>
      </c>
      <c r="AN76" s="716" t="str">
        <f t="shared" si="19"/>
        <v/>
      </c>
    </row>
    <row r="77" spans="6:40" x14ac:dyDescent="0.2">
      <c r="F77" s="1" t="str">
        <f t="shared" si="12"/>
        <v/>
      </c>
      <c r="G77" s="713" t="str">
        <f t="shared" si="20"/>
        <v/>
      </c>
      <c r="H77" s="17" t="str">
        <f>IFERROR(VLOOKUP($G77,Table1[[Property]:[Exposure %]],4,0),"")</f>
        <v/>
      </c>
      <c r="I77" s="3" t="str">
        <f>IFERROR(VLOOKUP($G77,Table1[[Property]:[Exposure %]],6,0),"")</f>
        <v/>
      </c>
      <c r="J77" s="3" t="str">
        <f>IFERROR(VLOOKUP($G77,Table1[[Property]:[Exposure %]],7,0),"")</f>
        <v/>
      </c>
      <c r="K77"/>
      <c r="L77"/>
      <c r="M77"/>
      <c r="N77"/>
      <c r="O77"/>
      <c r="P77"/>
      <c r="Q77"/>
      <c r="R77" s="4" t="str">
        <f>IFERROR(VLOOKUP(IF(F77="Total",F76,F77),Table1[[Property]:['# Units]],7,0)*S77,"")</f>
        <v/>
      </c>
      <c r="S77" s="27" t="str">
        <f t="shared" si="13"/>
        <v/>
      </c>
      <c r="T77" s="531" t="str">
        <f>IFERROR(
 IF($F77="Total",
   SUMPRODUCT(
   INDEX(T:T, ROW()-COUNTIF($F$6:INDEX($F:$F, ROW()-1), $F76)) : INDEX(T:T, ROW()-1),
   INDEX(W:W, ROW()-COUNTIF($F$6:INDEX($F:$F, ROW()-1), $F76)) : INDEX(W:W, ROW()-1)
   )
   /SUM(INDEX(W:W, ROW()-COUNTIF($F$6:INDEX($F:$F, ROW()-1), $F76)) : INDEX(W:W, ROW()-1)),
   AVERAGEIFS(
     INDEX((unit_details[Asking Rent],unit_details[Asking PSF]),0,1,IF($U$3="Chunk Rent",1,2)),
     unit_details[Leased Date],"&gt;="&amp;($AM$2-T$5),
     unit_details[Leased Date],"&lt;"&amp;$AM$2,
     unit_details[Beds],$L77,
     unit_details[Baths],$M77,
     unit_details[Partial Baths],IF(ISNUMBER($N77),$N77,""),
     unit_details[Sqft],$P77,
     unit_details[Property Name],$F77)
 ),"")</f>
        <v/>
      </c>
      <c r="U77" s="552" t="str">
        <f>IFERROR(
 IF($F77="Total",
   SUMPRODUCT(
   INDEX(U:U, ROW()-COUNTIF($F$6:INDEX($F:$F, ROW()-1), $F76)) : INDEX(U:U, ROW()-1),
   INDEX(W:W, ROW()-COUNTIF($F$6:INDEX($F:$F, ROW()-1), $F76)) : INDEX(W:W, ROW()-1)
   )
   /SUM(INDEX(W:W, ROW()-COUNTIF($F$6:INDEX($F:$F, ROW()-1), $F76)) : INDEX(W:W, ROW()-1)),
   AVERAGEIFS(
     INDEX((unit_details[Effective Rent],unit_details[Effective PSF]),0,1,IF($U$3="Chunk Rent",1,2)),
     unit_details[Leased Date],"&gt;="&amp;($AM$2-T$5),
     unit_details[Leased Date],"&lt;"&amp;$AM$2,
     unit_details[Beds],$L77,
     unit_details[Baths],$M77,
     unit_details[Partial Baths],IF(ISNUMBER($N77),$N77,""),
     unit_details[Sqft],$P77,
     unit_details[Property Name],$F77)
 ),"")</f>
        <v/>
      </c>
      <c r="V77" s="27" t="str">
        <f t="shared" si="21"/>
        <v/>
      </c>
      <c r="W77" s="526">
        <f>IFERROR(
  IF($F77="Total",
    SUM(INDEX(W:W, ROW()-COUNTIF($F$6:INDEX($F:$F, ROW()-1), $F76)) : INDEX(W:W, ROW()-1)),
    COUNTIFS(
      unit_details[Leased Date], "&gt;="&amp;($AM$2-T$5),
      unit_details[Leased Date], "&lt;"&amp;$AM$2,
      unit_details[Beds], $L77,
      unit_details[Baths], $M77,
      unit_details[Partial Baths], IF(ISNUMBER($N77), $N77, ""),
      unit_details[Sqft],$P77,
      unit_details[Property Name], $F77
    )
  ),
"")</f>
        <v>0</v>
      </c>
      <c r="X77" s="531" t="str">
        <f>IFERROR(
 IF($F77="Total",
   SUMPRODUCT(
   INDEX(X:X, ROW()-COUNTIF($F$6:INDEX($F:$F, ROW()-1), $F76)) : INDEX(X:X, ROW()-1),
   INDEX(AA:AA, ROW()-COUNTIF($F$6:INDEX($F:$F, ROW()-1), $F76)) : INDEX(AA:AA, ROW()-1)
   )
   /SUM(INDEX(AA:AA, ROW()-COUNTIF($F$6:INDEX($F:$F, ROW()-1), $F76)) : INDEX(AA:AA, ROW()-1)),
   AVERAGEIFS(
     INDEX((unit_details[Asking Rent],unit_details[Asking PSF]),0,1,IF($U$3="Chunk Rent",1,2)),
     unit_details[Leased Date],"&gt;="&amp;($AM$2-X$5),
     unit_details[Leased Date],"&lt;"&amp;$AM$2,
     unit_details[Beds],$L77,
     unit_details[Baths],$M77,
     unit_details[Partial Baths],IF(ISNUMBER($N77),$N77,""),
     unit_details[Sqft],$P77,
     unit_details[Property Name],$F77)
 ),"")</f>
        <v/>
      </c>
      <c r="Y77" s="552" t="str">
        <f>IFERROR(
 IF($F77="Total",
   SUMPRODUCT(
   INDEX(Y:Y, ROW()-COUNTIF($F$6:INDEX($F:$F, ROW()-1), $F76)) : INDEX(Y:Y, ROW()-1),
   INDEX(AA:AA, ROW()-COUNTIF($F$6:INDEX($F:$F, ROW()-1), $F76)) : INDEX(AA:AA, ROW()-1)
   )
   /SUM(INDEX(AA:AA, ROW()-COUNTIF($F$6:INDEX($F:$F, ROW()-1), $F76)) : INDEX(AA:AA, ROW()-1)),
   AVERAGEIFS(
     INDEX((unit_details[Effective Rent],unit_details[Effective PSF]),0,1,IF($U$3="Chunk Rent",1,2)),
     unit_details[Leased Date],"&gt;="&amp;($AM$2-X$5),
     unit_details[Leased Date],"&lt;"&amp;$AM$2,
     unit_details[Beds],$L77,
     unit_details[Baths],$M77,
     unit_details[Partial Baths],IF(ISNUMBER($N77),$N77,""),
     unit_details[Sqft],$P77,
     unit_details[Property Name],$F77)
 ),"")</f>
        <v/>
      </c>
      <c r="Z77" s="27" t="str">
        <f t="shared" si="22"/>
        <v/>
      </c>
      <c r="AA77" s="526">
        <f>IFERROR(
  IF($F77="Total",
    SUM(INDEX(AA:AA, ROW()-COUNTIF($F$6:INDEX($F:$F, ROW()-1), $F76)) : INDEX(AA:AA, ROW()-1)),
    COUNTIFS(
      unit_details[Leased Date], "&gt;="&amp;($AM$2-X$5),
      unit_details[Leased Date], "&lt;"&amp;$AM$2,
      unit_details[Beds], $L77,
      unit_details[Baths], $M77,
      unit_details[Partial Baths], IF(ISNUMBER($N77), $N77, ""),
      unit_details[Sqft],$P77,
      unit_details[Property Name], $F77
    )
  ),
"")</f>
        <v>0</v>
      </c>
      <c r="AB77" s="290">
        <f>IF($F77="Total",
SUM(INDEX(AB:AB, ROW()-COUNTIF($F$6:INDEX($F:$F, ROW()-1), $F76)) : INDEX(AB:AB, ROW()-1)),
COUNTIFS(unit_details[Active Listing?],TRUE,
          unit_details[Property Name], $F77,
          unit_details[Beds], $L77,
          unit_details[Baths], $M77,
          unit_details[Partial Baths],IF(ISNUMBER($N77),$N77,""),
          unit_details[Sqft],$P77))</f>
        <v>0</v>
      </c>
      <c r="AC77" s="27" t="str">
        <f t="shared" si="14"/>
        <v/>
      </c>
      <c r="AD77" s="293" t="str">
        <f>IFERROR(IF(AE77="","",IF($F77="Total",
SUMPRODUCT(
   INDEX(AD:AD, ROW()-COUNTIF($F$6:INDEX($F:$F, ROW()-1), $F76)) : INDEX(AD:AD, ROW()-1),
   INDEX(AB:AB, ROW()-COUNTIF($F$6:INDEX($F:$F, ROW()-1), $F76)) : INDEX(AB:AB, ROW()-1)
   )
   /SUM(INDEX(AB:AB, ROW()-COUNTIF($F$6:INDEX($F:$F, ROW()-1), $F76)) : INDEX(AB:AB, ROW()-1)),
          _xlfn.MINIFS(unit_details[Asking Rent],
          unit_details[Active Listing?],TRUE,
          unit_details[Property Name], $F77,
          unit_details[Beds], $L77,
          unit_details[Baths], $M77,
          unit_details[Partial Baths], IF(ISNUMBER($N77),$N77,""),
          unit_details[Sqft],$P77
))),"")</f>
        <v/>
      </c>
      <c r="AE77" s="5" t="str">
        <f>IFERROR(IF($F77="Total",
          SUMPRODUCT(
   INDEX(AE:AE, ROW()-COUNTIF($F$6:INDEX($F:$F, ROW()-1), $F76)) : INDEX(AE:AE, ROW()-1),
   INDEX(AB:AB, ROW()-COUNTIF($F$6:INDEX($F:$F, ROW()-1), $F76)) : INDEX(AB:AB, ROW()-1)
   )
   /SUM(INDEX(AB:AB, ROW()-COUNTIF($F$6:INDEX($F:$F, ROW()-1), $F76)) : INDEX(AB:AB, ROW()-1)),
          AVERAGEIFS(unit_details[Asking Rent],
          unit_details[Active Listing?],TRUE,
          unit_details[Property Name], $F77,
          unit_details[Beds], $L77,
          unit_details[Baths], $M77,
          unit_details[Partial Baths], IF(ISNUMBER($N77),$N77,""),
          unit_details[Sqft],$P77
)),"")</f>
        <v/>
      </c>
      <c r="AF77" s="5" t="str">
        <f>IFERROR(IF(AE77="","",IF($F77="Total",
SUMPRODUCT(
   INDEX(AF:AF, ROW()-COUNTIF($F$6:INDEX($F:$F, ROW()-1), $F76)) : INDEX(AF:AF, ROW()-1),
   INDEX(AB:AB, ROW()-COUNTIF($F$6:INDEX($F:$F, ROW()-1), $F76)) : INDEX(AB:AB, ROW()-1)
   )
   /SUM(INDEX(AB:AB, ROW()-COUNTIF($F$6:INDEX($F:$F, ROW()-1), $F76)) : INDEX(AB:AB, ROW()-1)),
           _xlfn.MAXIFS(unit_details[Asking Rent],
          unit_details[Active Listing?],TRUE,
          unit_details[Property Name], $F77,
          unit_details[Beds], $L77,
          unit_details[Baths], $M77,
          unit_details[Partial Baths], IF(ISNUMBER($N77),$N77,""),
          unit_details[Sqft],$P77
))),"")</f>
        <v/>
      </c>
      <c r="AG77" s="6" t="str">
        <f>IFERROR(IF($F77="Total",
         SUMPRODUCT(
         INDEX(AG:AG, ROW()-COUNTIF($F$6:INDEX($F:$F, ROW()-1), $F76)) : INDEX(AG:AG, ROW()-1),
         INDEX(AB:AB, ROW()-COUNTIF($F$6:INDEX($F:$F, ROW()-1), $F76)) : INDEX(AB:AB, ROW()-1)
         )
         /SUM(INDEX(AB:AB, ROW()-COUNTIF($F$6:INDEX($F:$F, ROW()-1), $F76)) : INDEX(AB:AB, ROW()-1)),
          AVERAGEIFS(unit_details[Asking PSF],
          unit_details[Active Listing?],TRUE,
          unit_details[Property Name], $F77,
          unit_details[Beds], $L77,
          unit_details[Baths], $M77,
          unit_details[Partial Baths], IF(ISNUMBER($N77),$N77,""),
          unit_details[Sqft],$P77
)),"")</f>
        <v/>
      </c>
      <c r="AH77" s="293" t="str">
        <f>IFERROR(IF($F77="Total",
         SUMPRODUCT(
         INDEX(AH:AH, ROW()-COUNTIF($F$6:INDEX($F:$F, ROW()-1), $F76)) : INDEX(AH:AH, ROW()-1),
         INDEX(AB:AB, ROW()-COUNTIF($F$6:INDEX($F:$F, ROW()-1), $F76)) : INDEX(AB:AB, ROW()-1)
         )
         /SUM(INDEX(AB:AB, ROW()-COUNTIF($F$6:INDEX($F:$F, ROW()-1), $F76)) : INDEX(AB:AB, ROW()-1)),
          AVERAGEIFS(unit_details[Effective Rent],
          unit_details[Active Listing?],TRUE,
          unit_details[Property Name], $F77,
          unit_details[Beds], $L77,
          unit_details[Baths], $M77,
          unit_details[Partial Baths], IF(ISNUMBER($N77),$N77,""),
          unit_details[Sqft],$P77
)),"")</f>
        <v/>
      </c>
      <c r="AI77" s="6" t="str">
        <f>IFERROR(IF($F77="Total",
         SUMPRODUCT(
         INDEX(AI:AI, ROW()-COUNTIF($F$6:INDEX($F:$F, ROW()-1), $F76)) : INDEX(AI:AI, ROW()-1),
         INDEX(AB:AB, ROW()-COUNTIF($F$6:INDEX($F:$F, ROW()-1), $F76)) : INDEX(AB:AB, ROW()-1)
         )
         /SUM(INDEX(AB:AB, ROW()-COUNTIF($F$6:INDEX($F:$F, ROW()-1), $F76)) : INDEX(AB:AB, ROW()-1)),
           AVERAGEIFS(unit_details[Effective PSF],
          unit_details[Active Listing?],TRUE,
          unit_details[Property Name], $F77,
          unit_details[Beds], $L77,
          unit_details[Baths], $M77,
          unit_details[Partial Baths], IF(ISNUMBER($N77),$N77,""),
          unit_details[Sqft],$P77
)),"")</f>
        <v/>
      </c>
      <c r="AJ77" s="824" t="str">
        <f t="shared" si="15"/>
        <v/>
      </c>
      <c r="AK77" s="531" t="str">
        <f t="shared" si="16"/>
        <v/>
      </c>
      <c r="AL77" s="714" t="str">
        <f t="shared" si="17"/>
        <v/>
      </c>
      <c r="AM77" s="531" t="str">
        <f t="shared" si="18"/>
        <v/>
      </c>
      <c r="AN77" s="716" t="str">
        <f t="shared" si="19"/>
        <v/>
      </c>
    </row>
    <row r="78" spans="6:40" x14ac:dyDescent="0.2">
      <c r="F78" s="1" t="str">
        <f t="shared" si="12"/>
        <v/>
      </c>
      <c r="G78" s="713" t="str">
        <f t="shared" si="20"/>
        <v/>
      </c>
      <c r="H78" s="17" t="str">
        <f>IFERROR(VLOOKUP($G78,Table1[[Property]:[Exposure %]],4,0),"")</f>
        <v/>
      </c>
      <c r="I78" s="3" t="str">
        <f>IFERROR(VLOOKUP($G78,Table1[[Property]:[Exposure %]],6,0),"")</f>
        <v/>
      </c>
      <c r="J78" s="3" t="str">
        <f>IFERROR(VLOOKUP($G78,Table1[[Property]:[Exposure %]],7,0),"")</f>
        <v/>
      </c>
      <c r="K78"/>
      <c r="L78"/>
      <c r="M78"/>
      <c r="N78"/>
      <c r="O78"/>
      <c r="P78"/>
      <c r="Q78"/>
      <c r="R78" s="4" t="str">
        <f>IFERROR(VLOOKUP(IF(F78="Total",F77,F78),Table1[[Property]:['# Units]],7,0)*S78,"")</f>
        <v/>
      </c>
      <c r="S78" s="27" t="str">
        <f t="shared" si="13"/>
        <v/>
      </c>
      <c r="T78" s="531" t="str">
        <f>IFERROR(
 IF($F78="Total",
   SUMPRODUCT(
   INDEX(T:T, ROW()-COUNTIF($F$6:INDEX($F:$F, ROW()-1), $F77)) : INDEX(T:T, ROW()-1),
   INDEX(W:W, ROW()-COUNTIF($F$6:INDEX($F:$F, ROW()-1), $F77)) : INDEX(W:W, ROW()-1)
   )
   /SUM(INDEX(W:W, ROW()-COUNTIF($F$6:INDEX($F:$F, ROW()-1), $F77)) : INDEX(W:W, ROW()-1)),
   AVERAGEIFS(
     INDEX((unit_details[Asking Rent],unit_details[Asking PSF]),0,1,IF($U$3="Chunk Rent",1,2)),
     unit_details[Leased Date],"&gt;="&amp;($AM$2-T$5),
     unit_details[Leased Date],"&lt;"&amp;$AM$2,
     unit_details[Beds],$L78,
     unit_details[Baths],$M78,
     unit_details[Partial Baths],IF(ISNUMBER($N78),$N78,""),
     unit_details[Sqft],$P78,
     unit_details[Property Name],$F78)
 ),"")</f>
        <v/>
      </c>
      <c r="U78" s="552" t="str">
        <f>IFERROR(
 IF($F78="Total",
   SUMPRODUCT(
   INDEX(U:U, ROW()-COUNTIF($F$6:INDEX($F:$F, ROW()-1), $F77)) : INDEX(U:U, ROW()-1),
   INDEX(W:W, ROW()-COUNTIF($F$6:INDEX($F:$F, ROW()-1), $F77)) : INDEX(W:W, ROW()-1)
   )
   /SUM(INDEX(W:W, ROW()-COUNTIF($F$6:INDEX($F:$F, ROW()-1), $F77)) : INDEX(W:W, ROW()-1)),
   AVERAGEIFS(
     INDEX((unit_details[Effective Rent],unit_details[Effective PSF]),0,1,IF($U$3="Chunk Rent",1,2)),
     unit_details[Leased Date],"&gt;="&amp;($AM$2-T$5),
     unit_details[Leased Date],"&lt;"&amp;$AM$2,
     unit_details[Beds],$L78,
     unit_details[Baths],$M78,
     unit_details[Partial Baths],IF(ISNUMBER($N78),$N78,""),
     unit_details[Sqft],$P78,
     unit_details[Property Name],$F78)
 ),"")</f>
        <v/>
      </c>
      <c r="V78" s="27" t="str">
        <f t="shared" si="21"/>
        <v/>
      </c>
      <c r="W78" s="526">
        <f>IFERROR(
  IF($F78="Total",
    SUM(INDEX(W:W, ROW()-COUNTIF($F$6:INDEX($F:$F, ROW()-1), $F77)) : INDEX(W:W, ROW()-1)),
    COUNTIFS(
      unit_details[Leased Date], "&gt;="&amp;($AM$2-T$5),
      unit_details[Leased Date], "&lt;"&amp;$AM$2,
      unit_details[Beds], $L78,
      unit_details[Baths], $M78,
      unit_details[Partial Baths], IF(ISNUMBER($N78), $N78, ""),
      unit_details[Sqft],$P78,
      unit_details[Property Name], $F78
    )
  ),
"")</f>
        <v>0</v>
      </c>
      <c r="X78" s="531" t="str">
        <f>IFERROR(
 IF($F78="Total",
   SUMPRODUCT(
   INDEX(X:X, ROW()-COUNTIF($F$6:INDEX($F:$F, ROW()-1), $F77)) : INDEX(X:X, ROW()-1),
   INDEX(AA:AA, ROW()-COUNTIF($F$6:INDEX($F:$F, ROW()-1), $F77)) : INDEX(AA:AA, ROW()-1)
   )
   /SUM(INDEX(AA:AA, ROW()-COUNTIF($F$6:INDEX($F:$F, ROW()-1), $F77)) : INDEX(AA:AA, ROW()-1)),
   AVERAGEIFS(
     INDEX((unit_details[Asking Rent],unit_details[Asking PSF]),0,1,IF($U$3="Chunk Rent",1,2)),
     unit_details[Leased Date],"&gt;="&amp;($AM$2-X$5),
     unit_details[Leased Date],"&lt;"&amp;$AM$2,
     unit_details[Beds],$L78,
     unit_details[Baths],$M78,
     unit_details[Partial Baths],IF(ISNUMBER($N78),$N78,""),
     unit_details[Sqft],$P78,
     unit_details[Property Name],$F78)
 ),"")</f>
        <v/>
      </c>
      <c r="Y78" s="552" t="str">
        <f>IFERROR(
 IF($F78="Total",
   SUMPRODUCT(
   INDEX(Y:Y, ROW()-COUNTIF($F$6:INDEX($F:$F, ROW()-1), $F77)) : INDEX(Y:Y, ROW()-1),
   INDEX(AA:AA, ROW()-COUNTIF($F$6:INDEX($F:$F, ROW()-1), $F77)) : INDEX(AA:AA, ROW()-1)
   )
   /SUM(INDEX(AA:AA, ROW()-COUNTIF($F$6:INDEX($F:$F, ROW()-1), $F77)) : INDEX(AA:AA, ROW()-1)),
   AVERAGEIFS(
     INDEX((unit_details[Effective Rent],unit_details[Effective PSF]),0,1,IF($U$3="Chunk Rent",1,2)),
     unit_details[Leased Date],"&gt;="&amp;($AM$2-X$5),
     unit_details[Leased Date],"&lt;"&amp;$AM$2,
     unit_details[Beds],$L78,
     unit_details[Baths],$M78,
     unit_details[Partial Baths],IF(ISNUMBER($N78),$N78,""),
     unit_details[Sqft],$P78,
     unit_details[Property Name],$F78)
 ),"")</f>
        <v/>
      </c>
      <c r="Z78" s="27" t="str">
        <f t="shared" si="22"/>
        <v/>
      </c>
      <c r="AA78" s="526">
        <f>IFERROR(
  IF($F78="Total",
    SUM(INDEX(AA:AA, ROW()-COUNTIF($F$6:INDEX($F:$F, ROW()-1), $F77)) : INDEX(AA:AA, ROW()-1)),
    COUNTIFS(
      unit_details[Leased Date], "&gt;="&amp;($AM$2-X$5),
      unit_details[Leased Date], "&lt;"&amp;$AM$2,
      unit_details[Beds], $L78,
      unit_details[Baths], $M78,
      unit_details[Partial Baths], IF(ISNUMBER($N78), $N78, ""),
      unit_details[Sqft],$P78,
      unit_details[Property Name], $F78
    )
  ),
"")</f>
        <v>0</v>
      </c>
      <c r="AB78" s="290">
        <f>IF($F78="Total",
SUM(INDEX(AB:AB, ROW()-COUNTIF($F$6:INDEX($F:$F, ROW()-1), $F77)) : INDEX(AB:AB, ROW()-1)),
COUNTIFS(unit_details[Active Listing?],TRUE,
          unit_details[Property Name], $F78,
          unit_details[Beds], $L78,
          unit_details[Baths], $M78,
          unit_details[Partial Baths],IF(ISNUMBER($N78),$N78,""),
          unit_details[Sqft],$P78))</f>
        <v>0</v>
      </c>
      <c r="AC78" s="27" t="str">
        <f t="shared" si="14"/>
        <v/>
      </c>
      <c r="AD78" s="293" t="str">
        <f>IFERROR(IF(AE78="","",IF($F78="Total",
SUMPRODUCT(
   INDEX(AD:AD, ROW()-COUNTIF($F$6:INDEX($F:$F, ROW()-1), $F77)) : INDEX(AD:AD, ROW()-1),
   INDEX(AB:AB, ROW()-COUNTIF($F$6:INDEX($F:$F, ROW()-1), $F77)) : INDEX(AB:AB, ROW()-1)
   )
   /SUM(INDEX(AB:AB, ROW()-COUNTIF($F$6:INDEX($F:$F, ROW()-1), $F77)) : INDEX(AB:AB, ROW()-1)),
          _xlfn.MINIFS(unit_details[Asking Rent],
          unit_details[Active Listing?],TRUE,
          unit_details[Property Name], $F78,
          unit_details[Beds], $L78,
          unit_details[Baths], $M78,
          unit_details[Partial Baths], IF(ISNUMBER($N78),$N78,""),
          unit_details[Sqft],$P78
))),"")</f>
        <v/>
      </c>
      <c r="AE78" s="5" t="str">
        <f>IFERROR(IF($F78="Total",
          SUMPRODUCT(
   INDEX(AE:AE, ROW()-COUNTIF($F$6:INDEX($F:$F, ROW()-1), $F77)) : INDEX(AE:AE, ROW()-1),
   INDEX(AB:AB, ROW()-COUNTIF($F$6:INDEX($F:$F, ROW()-1), $F77)) : INDEX(AB:AB, ROW()-1)
   )
   /SUM(INDEX(AB:AB, ROW()-COUNTIF($F$6:INDEX($F:$F, ROW()-1), $F77)) : INDEX(AB:AB, ROW()-1)),
          AVERAGEIFS(unit_details[Asking Rent],
          unit_details[Active Listing?],TRUE,
          unit_details[Property Name], $F78,
          unit_details[Beds], $L78,
          unit_details[Baths], $M78,
          unit_details[Partial Baths], IF(ISNUMBER($N78),$N78,""),
          unit_details[Sqft],$P78
)),"")</f>
        <v/>
      </c>
      <c r="AF78" s="5" t="str">
        <f>IFERROR(IF(AE78="","",IF($F78="Total",
SUMPRODUCT(
   INDEX(AF:AF, ROW()-COUNTIF($F$6:INDEX($F:$F, ROW()-1), $F77)) : INDEX(AF:AF, ROW()-1),
   INDEX(AB:AB, ROW()-COUNTIF($F$6:INDEX($F:$F, ROW()-1), $F77)) : INDEX(AB:AB, ROW()-1)
   )
   /SUM(INDEX(AB:AB, ROW()-COUNTIF($F$6:INDEX($F:$F, ROW()-1), $F77)) : INDEX(AB:AB, ROW()-1)),
           _xlfn.MAXIFS(unit_details[Asking Rent],
          unit_details[Active Listing?],TRUE,
          unit_details[Property Name], $F78,
          unit_details[Beds], $L78,
          unit_details[Baths], $M78,
          unit_details[Partial Baths], IF(ISNUMBER($N78),$N78,""),
          unit_details[Sqft],$P78
))),"")</f>
        <v/>
      </c>
      <c r="AG78" s="6" t="str">
        <f>IFERROR(IF($F78="Total",
         SUMPRODUCT(
         INDEX(AG:AG, ROW()-COUNTIF($F$6:INDEX($F:$F, ROW()-1), $F77)) : INDEX(AG:AG, ROW()-1),
         INDEX(AB:AB, ROW()-COUNTIF($F$6:INDEX($F:$F, ROW()-1), $F77)) : INDEX(AB:AB, ROW()-1)
         )
         /SUM(INDEX(AB:AB, ROW()-COUNTIF($F$6:INDEX($F:$F, ROW()-1), $F77)) : INDEX(AB:AB, ROW()-1)),
          AVERAGEIFS(unit_details[Asking PSF],
          unit_details[Active Listing?],TRUE,
          unit_details[Property Name], $F78,
          unit_details[Beds], $L78,
          unit_details[Baths], $M78,
          unit_details[Partial Baths], IF(ISNUMBER($N78),$N78,""),
          unit_details[Sqft],$P78
)),"")</f>
        <v/>
      </c>
      <c r="AH78" s="293" t="str">
        <f>IFERROR(IF($F78="Total",
         SUMPRODUCT(
         INDEX(AH:AH, ROW()-COUNTIF($F$6:INDEX($F:$F, ROW()-1), $F77)) : INDEX(AH:AH, ROW()-1),
         INDEX(AB:AB, ROW()-COUNTIF($F$6:INDEX($F:$F, ROW()-1), $F77)) : INDEX(AB:AB, ROW()-1)
         )
         /SUM(INDEX(AB:AB, ROW()-COUNTIF($F$6:INDEX($F:$F, ROW()-1), $F77)) : INDEX(AB:AB, ROW()-1)),
          AVERAGEIFS(unit_details[Effective Rent],
          unit_details[Active Listing?],TRUE,
          unit_details[Property Name], $F78,
          unit_details[Beds], $L78,
          unit_details[Baths], $M78,
          unit_details[Partial Baths], IF(ISNUMBER($N78),$N78,""),
          unit_details[Sqft],$P78
)),"")</f>
        <v/>
      </c>
      <c r="AI78" s="6" t="str">
        <f>IFERROR(IF($F78="Total",
         SUMPRODUCT(
         INDEX(AI:AI, ROW()-COUNTIF($F$6:INDEX($F:$F, ROW()-1), $F77)) : INDEX(AI:AI, ROW()-1),
         INDEX(AB:AB, ROW()-COUNTIF($F$6:INDEX($F:$F, ROW()-1), $F77)) : INDEX(AB:AB, ROW()-1)
         )
         /SUM(INDEX(AB:AB, ROW()-COUNTIF($F$6:INDEX($F:$F, ROW()-1), $F77)) : INDEX(AB:AB, ROW()-1)),
           AVERAGEIFS(unit_details[Effective PSF],
          unit_details[Active Listing?],TRUE,
          unit_details[Property Name], $F78,
          unit_details[Beds], $L78,
          unit_details[Baths], $M78,
          unit_details[Partial Baths], IF(ISNUMBER($N78),$N78,""),
          unit_details[Sqft],$P78
)),"")</f>
        <v/>
      </c>
      <c r="AJ78" s="824" t="str">
        <f t="shared" si="15"/>
        <v/>
      </c>
      <c r="AK78" s="531" t="str">
        <f t="shared" si="16"/>
        <v/>
      </c>
      <c r="AL78" s="714" t="str">
        <f t="shared" si="17"/>
        <v/>
      </c>
      <c r="AM78" s="531" t="str">
        <f t="shared" si="18"/>
        <v/>
      </c>
      <c r="AN78" s="716" t="str">
        <f t="shared" si="19"/>
        <v/>
      </c>
    </row>
    <row r="79" spans="6:40" x14ac:dyDescent="0.2">
      <c r="F79" s="1" t="str">
        <f t="shared" si="12"/>
        <v/>
      </c>
      <c r="G79" s="713" t="str">
        <f t="shared" si="20"/>
        <v/>
      </c>
      <c r="H79" s="17" t="str">
        <f>IFERROR(VLOOKUP($G79,Table1[[Property]:[Exposure %]],4,0),"")</f>
        <v/>
      </c>
      <c r="I79" s="3" t="str">
        <f>IFERROR(VLOOKUP($G79,Table1[[Property]:[Exposure %]],6,0),"")</f>
        <v/>
      </c>
      <c r="J79" s="3" t="str">
        <f>IFERROR(VLOOKUP($G79,Table1[[Property]:[Exposure %]],7,0),"")</f>
        <v/>
      </c>
      <c r="K79"/>
      <c r="L79"/>
      <c r="M79"/>
      <c r="N79"/>
      <c r="O79"/>
      <c r="P79"/>
      <c r="Q79"/>
      <c r="R79" s="4" t="str">
        <f>IFERROR(VLOOKUP(IF(F79="Total",F78,F79),Table1[[Property]:['# Units]],7,0)*S79,"")</f>
        <v/>
      </c>
      <c r="S79" s="27" t="str">
        <f t="shared" si="13"/>
        <v/>
      </c>
      <c r="T79" s="531" t="str">
        <f>IFERROR(
 IF($F79="Total",
   SUMPRODUCT(
   INDEX(T:T, ROW()-COUNTIF($F$6:INDEX($F:$F, ROW()-1), $F78)) : INDEX(T:T, ROW()-1),
   INDEX(W:W, ROW()-COUNTIF($F$6:INDEX($F:$F, ROW()-1), $F78)) : INDEX(W:W, ROW()-1)
   )
   /SUM(INDEX(W:W, ROW()-COUNTIF($F$6:INDEX($F:$F, ROW()-1), $F78)) : INDEX(W:W, ROW()-1)),
   AVERAGEIFS(
     INDEX((unit_details[Asking Rent],unit_details[Asking PSF]),0,1,IF($U$3="Chunk Rent",1,2)),
     unit_details[Leased Date],"&gt;="&amp;($AM$2-T$5),
     unit_details[Leased Date],"&lt;"&amp;$AM$2,
     unit_details[Beds],$L79,
     unit_details[Baths],$M79,
     unit_details[Partial Baths],IF(ISNUMBER($N79),$N79,""),
     unit_details[Sqft],$P79,
     unit_details[Property Name],$F79)
 ),"")</f>
        <v/>
      </c>
      <c r="U79" s="552" t="str">
        <f>IFERROR(
 IF($F79="Total",
   SUMPRODUCT(
   INDEX(U:U, ROW()-COUNTIF($F$6:INDEX($F:$F, ROW()-1), $F78)) : INDEX(U:U, ROW()-1),
   INDEX(W:W, ROW()-COUNTIF($F$6:INDEX($F:$F, ROW()-1), $F78)) : INDEX(W:W, ROW()-1)
   )
   /SUM(INDEX(W:W, ROW()-COUNTIF($F$6:INDEX($F:$F, ROW()-1), $F78)) : INDEX(W:W, ROW()-1)),
   AVERAGEIFS(
     INDEX((unit_details[Effective Rent],unit_details[Effective PSF]),0,1,IF($U$3="Chunk Rent",1,2)),
     unit_details[Leased Date],"&gt;="&amp;($AM$2-T$5),
     unit_details[Leased Date],"&lt;"&amp;$AM$2,
     unit_details[Beds],$L79,
     unit_details[Baths],$M79,
     unit_details[Partial Baths],IF(ISNUMBER($N79),$N79,""),
     unit_details[Sqft],$P79,
     unit_details[Property Name],$F79)
 ),"")</f>
        <v/>
      </c>
      <c r="V79" s="27" t="str">
        <f t="shared" si="21"/>
        <v/>
      </c>
      <c r="W79" s="526">
        <f>IFERROR(
  IF($F79="Total",
    SUM(INDEX(W:W, ROW()-COUNTIF($F$6:INDEX($F:$F, ROW()-1), $F78)) : INDEX(W:W, ROW()-1)),
    COUNTIFS(
      unit_details[Leased Date], "&gt;="&amp;($AM$2-T$5),
      unit_details[Leased Date], "&lt;"&amp;$AM$2,
      unit_details[Beds], $L79,
      unit_details[Baths], $M79,
      unit_details[Partial Baths], IF(ISNUMBER($N79), $N79, ""),
      unit_details[Sqft],$P79,
      unit_details[Property Name], $F79
    )
  ),
"")</f>
        <v>0</v>
      </c>
      <c r="X79" s="531" t="str">
        <f>IFERROR(
 IF($F79="Total",
   SUMPRODUCT(
   INDEX(X:X, ROW()-COUNTIF($F$6:INDEX($F:$F, ROW()-1), $F78)) : INDEX(X:X, ROW()-1),
   INDEX(AA:AA, ROW()-COUNTIF($F$6:INDEX($F:$F, ROW()-1), $F78)) : INDEX(AA:AA, ROW()-1)
   )
   /SUM(INDEX(AA:AA, ROW()-COUNTIF($F$6:INDEX($F:$F, ROW()-1), $F78)) : INDEX(AA:AA, ROW()-1)),
   AVERAGEIFS(
     INDEX((unit_details[Asking Rent],unit_details[Asking PSF]),0,1,IF($U$3="Chunk Rent",1,2)),
     unit_details[Leased Date],"&gt;="&amp;($AM$2-X$5),
     unit_details[Leased Date],"&lt;"&amp;$AM$2,
     unit_details[Beds],$L79,
     unit_details[Baths],$M79,
     unit_details[Partial Baths],IF(ISNUMBER($N79),$N79,""),
     unit_details[Sqft],$P79,
     unit_details[Property Name],$F79)
 ),"")</f>
        <v/>
      </c>
      <c r="Y79" s="552" t="str">
        <f>IFERROR(
 IF($F79="Total",
   SUMPRODUCT(
   INDEX(Y:Y, ROW()-COUNTIF($F$6:INDEX($F:$F, ROW()-1), $F78)) : INDEX(Y:Y, ROW()-1),
   INDEX(AA:AA, ROW()-COUNTIF($F$6:INDEX($F:$F, ROW()-1), $F78)) : INDEX(AA:AA, ROW()-1)
   )
   /SUM(INDEX(AA:AA, ROW()-COUNTIF($F$6:INDEX($F:$F, ROW()-1), $F78)) : INDEX(AA:AA, ROW()-1)),
   AVERAGEIFS(
     INDEX((unit_details[Effective Rent],unit_details[Effective PSF]),0,1,IF($U$3="Chunk Rent",1,2)),
     unit_details[Leased Date],"&gt;="&amp;($AM$2-X$5),
     unit_details[Leased Date],"&lt;"&amp;$AM$2,
     unit_details[Beds],$L79,
     unit_details[Baths],$M79,
     unit_details[Partial Baths],IF(ISNUMBER($N79),$N79,""),
     unit_details[Sqft],$P79,
     unit_details[Property Name],$F79)
 ),"")</f>
        <v/>
      </c>
      <c r="Z79" s="27" t="str">
        <f t="shared" si="22"/>
        <v/>
      </c>
      <c r="AA79" s="526">
        <f>IFERROR(
  IF($F79="Total",
    SUM(INDEX(AA:AA, ROW()-COUNTIF($F$6:INDEX($F:$F, ROW()-1), $F78)) : INDEX(AA:AA, ROW()-1)),
    COUNTIFS(
      unit_details[Leased Date], "&gt;="&amp;($AM$2-X$5),
      unit_details[Leased Date], "&lt;"&amp;$AM$2,
      unit_details[Beds], $L79,
      unit_details[Baths], $M79,
      unit_details[Partial Baths], IF(ISNUMBER($N79), $N79, ""),
      unit_details[Sqft],$P79,
      unit_details[Property Name], $F79
    )
  ),
"")</f>
        <v>0</v>
      </c>
      <c r="AB79" s="290">
        <f>IF($F79="Total",
SUM(INDEX(AB:AB, ROW()-COUNTIF($F$6:INDEX($F:$F, ROW()-1), $F78)) : INDEX(AB:AB, ROW()-1)),
COUNTIFS(unit_details[Active Listing?],TRUE,
          unit_details[Property Name], $F79,
          unit_details[Beds], $L79,
          unit_details[Baths], $M79,
          unit_details[Partial Baths],IF(ISNUMBER($N79),$N79,""),
          unit_details[Sqft],$P79))</f>
        <v>0</v>
      </c>
      <c r="AC79" s="27" t="str">
        <f t="shared" si="14"/>
        <v/>
      </c>
      <c r="AD79" s="293" t="str">
        <f>IFERROR(IF(AE79="","",IF($F79="Total",
SUMPRODUCT(
   INDEX(AD:AD, ROW()-COUNTIF($F$6:INDEX($F:$F, ROW()-1), $F78)) : INDEX(AD:AD, ROW()-1),
   INDEX(AB:AB, ROW()-COUNTIF($F$6:INDEX($F:$F, ROW()-1), $F78)) : INDEX(AB:AB, ROW()-1)
   )
   /SUM(INDEX(AB:AB, ROW()-COUNTIF($F$6:INDEX($F:$F, ROW()-1), $F78)) : INDEX(AB:AB, ROW()-1)),
          _xlfn.MINIFS(unit_details[Asking Rent],
          unit_details[Active Listing?],TRUE,
          unit_details[Property Name], $F79,
          unit_details[Beds], $L79,
          unit_details[Baths], $M79,
          unit_details[Partial Baths], IF(ISNUMBER($N79),$N79,""),
          unit_details[Sqft],$P79
))),"")</f>
        <v/>
      </c>
      <c r="AE79" s="5" t="str">
        <f>IFERROR(IF($F79="Total",
          SUMPRODUCT(
   INDEX(AE:AE, ROW()-COUNTIF($F$6:INDEX($F:$F, ROW()-1), $F78)) : INDEX(AE:AE, ROW()-1),
   INDEX(AB:AB, ROW()-COUNTIF($F$6:INDEX($F:$F, ROW()-1), $F78)) : INDEX(AB:AB, ROW()-1)
   )
   /SUM(INDEX(AB:AB, ROW()-COUNTIF($F$6:INDEX($F:$F, ROW()-1), $F78)) : INDEX(AB:AB, ROW()-1)),
          AVERAGEIFS(unit_details[Asking Rent],
          unit_details[Active Listing?],TRUE,
          unit_details[Property Name], $F79,
          unit_details[Beds], $L79,
          unit_details[Baths], $M79,
          unit_details[Partial Baths], IF(ISNUMBER($N79),$N79,""),
          unit_details[Sqft],$P79
)),"")</f>
        <v/>
      </c>
      <c r="AF79" s="5" t="str">
        <f>IFERROR(IF(AE79="","",IF($F79="Total",
SUMPRODUCT(
   INDEX(AF:AF, ROW()-COUNTIF($F$6:INDEX($F:$F, ROW()-1), $F78)) : INDEX(AF:AF, ROW()-1),
   INDEX(AB:AB, ROW()-COUNTIF($F$6:INDEX($F:$F, ROW()-1), $F78)) : INDEX(AB:AB, ROW()-1)
   )
   /SUM(INDEX(AB:AB, ROW()-COUNTIF($F$6:INDEX($F:$F, ROW()-1), $F78)) : INDEX(AB:AB, ROW()-1)),
           _xlfn.MAXIFS(unit_details[Asking Rent],
          unit_details[Active Listing?],TRUE,
          unit_details[Property Name], $F79,
          unit_details[Beds], $L79,
          unit_details[Baths], $M79,
          unit_details[Partial Baths], IF(ISNUMBER($N79),$N79,""),
          unit_details[Sqft],$P79
))),"")</f>
        <v/>
      </c>
      <c r="AG79" s="6" t="str">
        <f>IFERROR(IF($F79="Total",
         SUMPRODUCT(
         INDEX(AG:AG, ROW()-COUNTIF($F$6:INDEX($F:$F, ROW()-1), $F78)) : INDEX(AG:AG, ROW()-1),
         INDEX(AB:AB, ROW()-COUNTIF($F$6:INDEX($F:$F, ROW()-1), $F78)) : INDEX(AB:AB, ROW()-1)
         )
         /SUM(INDEX(AB:AB, ROW()-COUNTIF($F$6:INDEX($F:$F, ROW()-1), $F78)) : INDEX(AB:AB, ROW()-1)),
          AVERAGEIFS(unit_details[Asking PSF],
          unit_details[Active Listing?],TRUE,
          unit_details[Property Name], $F79,
          unit_details[Beds], $L79,
          unit_details[Baths], $M79,
          unit_details[Partial Baths], IF(ISNUMBER($N79),$N79,""),
          unit_details[Sqft],$P79
)),"")</f>
        <v/>
      </c>
      <c r="AH79" s="293" t="str">
        <f>IFERROR(IF($F79="Total",
         SUMPRODUCT(
         INDEX(AH:AH, ROW()-COUNTIF($F$6:INDEX($F:$F, ROW()-1), $F78)) : INDEX(AH:AH, ROW()-1),
         INDEX(AB:AB, ROW()-COUNTIF($F$6:INDEX($F:$F, ROW()-1), $F78)) : INDEX(AB:AB, ROW()-1)
         )
         /SUM(INDEX(AB:AB, ROW()-COUNTIF($F$6:INDEX($F:$F, ROW()-1), $F78)) : INDEX(AB:AB, ROW()-1)),
          AVERAGEIFS(unit_details[Effective Rent],
          unit_details[Active Listing?],TRUE,
          unit_details[Property Name], $F79,
          unit_details[Beds], $L79,
          unit_details[Baths], $M79,
          unit_details[Partial Baths], IF(ISNUMBER($N79),$N79,""),
          unit_details[Sqft],$P79
)),"")</f>
        <v/>
      </c>
      <c r="AI79" s="6" t="str">
        <f>IFERROR(IF($F79="Total",
         SUMPRODUCT(
         INDEX(AI:AI, ROW()-COUNTIF($F$6:INDEX($F:$F, ROW()-1), $F78)) : INDEX(AI:AI, ROW()-1),
         INDEX(AB:AB, ROW()-COUNTIF($F$6:INDEX($F:$F, ROW()-1), $F78)) : INDEX(AB:AB, ROW()-1)
         )
         /SUM(INDEX(AB:AB, ROW()-COUNTIF($F$6:INDEX($F:$F, ROW()-1), $F78)) : INDEX(AB:AB, ROW()-1)),
           AVERAGEIFS(unit_details[Effective PSF],
          unit_details[Active Listing?],TRUE,
          unit_details[Property Name], $F79,
          unit_details[Beds], $L79,
          unit_details[Baths], $M79,
          unit_details[Partial Baths], IF(ISNUMBER($N79),$N79,""),
          unit_details[Sqft],$P79
)),"")</f>
        <v/>
      </c>
      <c r="AJ79" s="824" t="str">
        <f t="shared" si="15"/>
        <v/>
      </c>
      <c r="AK79" s="531" t="str">
        <f t="shared" si="16"/>
        <v/>
      </c>
      <c r="AL79" s="714" t="str">
        <f t="shared" si="17"/>
        <v/>
      </c>
      <c r="AM79" s="531" t="str">
        <f t="shared" si="18"/>
        <v/>
      </c>
      <c r="AN79" s="716" t="str">
        <f t="shared" si="19"/>
        <v/>
      </c>
    </row>
    <row r="80" spans="6:40" x14ac:dyDescent="0.2">
      <c r="F80" s="1" t="str">
        <f t="shared" si="12"/>
        <v/>
      </c>
      <c r="G80" s="713" t="str">
        <f t="shared" si="20"/>
        <v/>
      </c>
      <c r="H80" s="17" t="str">
        <f>IFERROR(VLOOKUP($G80,Table1[[Property]:[Exposure %]],4,0),"")</f>
        <v/>
      </c>
      <c r="I80" s="3" t="str">
        <f>IFERROR(VLOOKUP($G80,Table1[[Property]:[Exposure %]],6,0),"")</f>
        <v/>
      </c>
      <c r="J80" s="3" t="str">
        <f>IFERROR(VLOOKUP($G80,Table1[[Property]:[Exposure %]],7,0),"")</f>
        <v/>
      </c>
      <c r="K80"/>
      <c r="L80"/>
      <c r="M80"/>
      <c r="N80"/>
      <c r="O80"/>
      <c r="P80"/>
      <c r="Q80"/>
      <c r="R80" s="4" t="str">
        <f>IFERROR(VLOOKUP(IF(F80="Total",F79,F80),Table1[[Property]:['# Units]],7,0)*S80,"")</f>
        <v/>
      </c>
      <c r="S80" s="27" t="str">
        <f t="shared" si="13"/>
        <v/>
      </c>
      <c r="T80" s="531" t="str">
        <f>IFERROR(
 IF($F80="Total",
   SUMPRODUCT(
   INDEX(T:T, ROW()-COUNTIF($F$6:INDEX($F:$F, ROW()-1), $F79)) : INDEX(T:T, ROW()-1),
   INDEX(W:W, ROW()-COUNTIF($F$6:INDEX($F:$F, ROW()-1), $F79)) : INDEX(W:W, ROW()-1)
   )
   /SUM(INDEX(W:W, ROW()-COUNTIF($F$6:INDEX($F:$F, ROW()-1), $F79)) : INDEX(W:W, ROW()-1)),
   AVERAGEIFS(
     INDEX((unit_details[Asking Rent],unit_details[Asking PSF]),0,1,IF($U$3="Chunk Rent",1,2)),
     unit_details[Leased Date],"&gt;="&amp;($AM$2-T$5),
     unit_details[Leased Date],"&lt;"&amp;$AM$2,
     unit_details[Beds],$L80,
     unit_details[Baths],$M80,
     unit_details[Partial Baths],IF(ISNUMBER($N80),$N80,""),
     unit_details[Sqft],$P80,
     unit_details[Property Name],$F80)
 ),"")</f>
        <v/>
      </c>
      <c r="U80" s="552" t="str">
        <f>IFERROR(
 IF($F80="Total",
   SUMPRODUCT(
   INDEX(U:U, ROW()-COUNTIF($F$6:INDEX($F:$F, ROW()-1), $F79)) : INDEX(U:U, ROW()-1),
   INDEX(W:W, ROW()-COUNTIF($F$6:INDEX($F:$F, ROW()-1), $F79)) : INDEX(W:W, ROW()-1)
   )
   /SUM(INDEX(W:W, ROW()-COUNTIF($F$6:INDEX($F:$F, ROW()-1), $F79)) : INDEX(W:W, ROW()-1)),
   AVERAGEIFS(
     INDEX((unit_details[Effective Rent],unit_details[Effective PSF]),0,1,IF($U$3="Chunk Rent",1,2)),
     unit_details[Leased Date],"&gt;="&amp;($AM$2-T$5),
     unit_details[Leased Date],"&lt;"&amp;$AM$2,
     unit_details[Beds],$L80,
     unit_details[Baths],$M80,
     unit_details[Partial Baths],IF(ISNUMBER($N80),$N80,""),
     unit_details[Sqft],$P80,
     unit_details[Property Name],$F80)
 ),"")</f>
        <v/>
      </c>
      <c r="V80" s="27" t="str">
        <f t="shared" si="21"/>
        <v/>
      </c>
      <c r="W80" s="526">
        <f>IFERROR(
  IF($F80="Total",
    SUM(INDEX(W:W, ROW()-COUNTIF($F$6:INDEX($F:$F, ROW()-1), $F79)) : INDEX(W:W, ROW()-1)),
    COUNTIFS(
      unit_details[Leased Date], "&gt;="&amp;($AM$2-T$5),
      unit_details[Leased Date], "&lt;"&amp;$AM$2,
      unit_details[Beds], $L80,
      unit_details[Baths], $M80,
      unit_details[Partial Baths], IF(ISNUMBER($N80), $N80, ""),
      unit_details[Sqft],$P80,
      unit_details[Property Name], $F80
    )
  ),
"")</f>
        <v>0</v>
      </c>
      <c r="X80" s="531" t="str">
        <f>IFERROR(
 IF($F80="Total",
   SUMPRODUCT(
   INDEX(X:X, ROW()-COUNTIF($F$6:INDEX($F:$F, ROW()-1), $F79)) : INDEX(X:X, ROW()-1),
   INDEX(AA:AA, ROW()-COUNTIF($F$6:INDEX($F:$F, ROW()-1), $F79)) : INDEX(AA:AA, ROW()-1)
   )
   /SUM(INDEX(AA:AA, ROW()-COUNTIF($F$6:INDEX($F:$F, ROW()-1), $F79)) : INDEX(AA:AA, ROW()-1)),
   AVERAGEIFS(
     INDEX((unit_details[Asking Rent],unit_details[Asking PSF]),0,1,IF($U$3="Chunk Rent",1,2)),
     unit_details[Leased Date],"&gt;="&amp;($AM$2-X$5),
     unit_details[Leased Date],"&lt;"&amp;$AM$2,
     unit_details[Beds],$L80,
     unit_details[Baths],$M80,
     unit_details[Partial Baths],IF(ISNUMBER($N80),$N80,""),
     unit_details[Sqft],$P80,
     unit_details[Property Name],$F80)
 ),"")</f>
        <v/>
      </c>
      <c r="Y80" s="552" t="str">
        <f>IFERROR(
 IF($F80="Total",
   SUMPRODUCT(
   INDEX(Y:Y, ROW()-COUNTIF($F$6:INDEX($F:$F, ROW()-1), $F79)) : INDEX(Y:Y, ROW()-1),
   INDEX(AA:AA, ROW()-COUNTIF($F$6:INDEX($F:$F, ROW()-1), $F79)) : INDEX(AA:AA, ROW()-1)
   )
   /SUM(INDEX(AA:AA, ROW()-COUNTIF($F$6:INDEX($F:$F, ROW()-1), $F79)) : INDEX(AA:AA, ROW()-1)),
   AVERAGEIFS(
     INDEX((unit_details[Effective Rent],unit_details[Effective PSF]),0,1,IF($U$3="Chunk Rent",1,2)),
     unit_details[Leased Date],"&gt;="&amp;($AM$2-X$5),
     unit_details[Leased Date],"&lt;"&amp;$AM$2,
     unit_details[Beds],$L80,
     unit_details[Baths],$M80,
     unit_details[Partial Baths],IF(ISNUMBER($N80),$N80,""),
     unit_details[Sqft],$P80,
     unit_details[Property Name],$F80)
 ),"")</f>
        <v/>
      </c>
      <c r="Z80" s="27" t="str">
        <f t="shared" si="22"/>
        <v/>
      </c>
      <c r="AA80" s="526">
        <f>IFERROR(
  IF($F80="Total",
    SUM(INDEX(AA:AA, ROW()-COUNTIF($F$6:INDEX($F:$F, ROW()-1), $F79)) : INDEX(AA:AA, ROW()-1)),
    COUNTIFS(
      unit_details[Leased Date], "&gt;="&amp;($AM$2-X$5),
      unit_details[Leased Date], "&lt;"&amp;$AM$2,
      unit_details[Beds], $L80,
      unit_details[Baths], $M80,
      unit_details[Partial Baths], IF(ISNUMBER($N80), $N80, ""),
      unit_details[Sqft],$P80,
      unit_details[Property Name], $F80
    )
  ),
"")</f>
        <v>0</v>
      </c>
      <c r="AB80" s="290">
        <f>IF($F80="Total",
SUM(INDEX(AB:AB, ROW()-COUNTIF($F$6:INDEX($F:$F, ROW()-1), $F79)) : INDEX(AB:AB, ROW()-1)),
COUNTIFS(unit_details[Active Listing?],TRUE,
          unit_details[Property Name], $F80,
          unit_details[Beds], $L80,
          unit_details[Baths], $M80,
          unit_details[Partial Baths],IF(ISNUMBER($N80),$N80,""),
          unit_details[Sqft],$P80))</f>
        <v>0</v>
      </c>
      <c r="AC80" s="27" t="str">
        <f t="shared" si="14"/>
        <v/>
      </c>
      <c r="AD80" s="293" t="str">
        <f>IFERROR(IF(AE80="","",IF($F80="Total",
SUMPRODUCT(
   INDEX(AD:AD, ROW()-COUNTIF($F$6:INDEX($F:$F, ROW()-1), $F79)) : INDEX(AD:AD, ROW()-1),
   INDEX(AB:AB, ROW()-COUNTIF($F$6:INDEX($F:$F, ROW()-1), $F79)) : INDEX(AB:AB, ROW()-1)
   )
   /SUM(INDEX(AB:AB, ROW()-COUNTIF($F$6:INDEX($F:$F, ROW()-1), $F79)) : INDEX(AB:AB, ROW()-1)),
          _xlfn.MINIFS(unit_details[Asking Rent],
          unit_details[Active Listing?],TRUE,
          unit_details[Property Name], $F80,
          unit_details[Beds], $L80,
          unit_details[Baths], $M80,
          unit_details[Partial Baths], IF(ISNUMBER($N80),$N80,""),
          unit_details[Sqft],$P80
))),"")</f>
        <v/>
      </c>
      <c r="AE80" s="5" t="str">
        <f>IFERROR(IF($F80="Total",
          SUMPRODUCT(
   INDEX(AE:AE, ROW()-COUNTIF($F$6:INDEX($F:$F, ROW()-1), $F79)) : INDEX(AE:AE, ROW()-1),
   INDEX(AB:AB, ROW()-COUNTIF($F$6:INDEX($F:$F, ROW()-1), $F79)) : INDEX(AB:AB, ROW()-1)
   )
   /SUM(INDEX(AB:AB, ROW()-COUNTIF($F$6:INDEX($F:$F, ROW()-1), $F79)) : INDEX(AB:AB, ROW()-1)),
          AVERAGEIFS(unit_details[Asking Rent],
          unit_details[Active Listing?],TRUE,
          unit_details[Property Name], $F80,
          unit_details[Beds], $L80,
          unit_details[Baths], $M80,
          unit_details[Partial Baths], IF(ISNUMBER($N80),$N80,""),
          unit_details[Sqft],$P80
)),"")</f>
        <v/>
      </c>
      <c r="AF80" s="5" t="str">
        <f>IFERROR(IF(AE80="","",IF($F80="Total",
SUMPRODUCT(
   INDEX(AF:AF, ROW()-COUNTIF($F$6:INDEX($F:$F, ROW()-1), $F79)) : INDEX(AF:AF, ROW()-1),
   INDEX(AB:AB, ROW()-COUNTIF($F$6:INDEX($F:$F, ROW()-1), $F79)) : INDEX(AB:AB, ROW()-1)
   )
   /SUM(INDEX(AB:AB, ROW()-COUNTIF($F$6:INDEX($F:$F, ROW()-1), $F79)) : INDEX(AB:AB, ROW()-1)),
           _xlfn.MAXIFS(unit_details[Asking Rent],
          unit_details[Active Listing?],TRUE,
          unit_details[Property Name], $F80,
          unit_details[Beds], $L80,
          unit_details[Baths], $M80,
          unit_details[Partial Baths], IF(ISNUMBER($N80),$N80,""),
          unit_details[Sqft],$P80
))),"")</f>
        <v/>
      </c>
      <c r="AG80" s="6" t="str">
        <f>IFERROR(IF($F80="Total",
         SUMPRODUCT(
         INDEX(AG:AG, ROW()-COUNTIF($F$6:INDEX($F:$F, ROW()-1), $F79)) : INDEX(AG:AG, ROW()-1),
         INDEX(AB:AB, ROW()-COUNTIF($F$6:INDEX($F:$F, ROW()-1), $F79)) : INDEX(AB:AB, ROW()-1)
         )
         /SUM(INDEX(AB:AB, ROW()-COUNTIF($F$6:INDEX($F:$F, ROW()-1), $F79)) : INDEX(AB:AB, ROW()-1)),
          AVERAGEIFS(unit_details[Asking PSF],
          unit_details[Active Listing?],TRUE,
          unit_details[Property Name], $F80,
          unit_details[Beds], $L80,
          unit_details[Baths], $M80,
          unit_details[Partial Baths], IF(ISNUMBER($N80),$N80,""),
          unit_details[Sqft],$P80
)),"")</f>
        <v/>
      </c>
      <c r="AH80" s="293" t="str">
        <f>IFERROR(IF($F80="Total",
         SUMPRODUCT(
         INDEX(AH:AH, ROW()-COUNTIF($F$6:INDEX($F:$F, ROW()-1), $F79)) : INDEX(AH:AH, ROW()-1),
         INDEX(AB:AB, ROW()-COUNTIF($F$6:INDEX($F:$F, ROW()-1), $F79)) : INDEX(AB:AB, ROW()-1)
         )
         /SUM(INDEX(AB:AB, ROW()-COUNTIF($F$6:INDEX($F:$F, ROW()-1), $F79)) : INDEX(AB:AB, ROW()-1)),
          AVERAGEIFS(unit_details[Effective Rent],
          unit_details[Active Listing?],TRUE,
          unit_details[Property Name], $F80,
          unit_details[Beds], $L80,
          unit_details[Baths], $M80,
          unit_details[Partial Baths], IF(ISNUMBER($N80),$N80,""),
          unit_details[Sqft],$P80
)),"")</f>
        <v/>
      </c>
      <c r="AI80" s="6" t="str">
        <f>IFERROR(IF($F80="Total",
         SUMPRODUCT(
         INDEX(AI:AI, ROW()-COUNTIF($F$6:INDEX($F:$F, ROW()-1), $F79)) : INDEX(AI:AI, ROW()-1),
         INDEX(AB:AB, ROW()-COUNTIF($F$6:INDEX($F:$F, ROW()-1), $F79)) : INDEX(AB:AB, ROW()-1)
         )
         /SUM(INDEX(AB:AB, ROW()-COUNTIF($F$6:INDEX($F:$F, ROW()-1), $F79)) : INDEX(AB:AB, ROW()-1)),
           AVERAGEIFS(unit_details[Effective PSF],
          unit_details[Active Listing?],TRUE,
          unit_details[Property Name], $F80,
          unit_details[Beds], $L80,
          unit_details[Baths], $M80,
          unit_details[Partial Baths], IF(ISNUMBER($N80),$N80,""),
          unit_details[Sqft],$P80
)),"")</f>
        <v/>
      </c>
      <c r="AJ80" s="824" t="str">
        <f t="shared" si="15"/>
        <v/>
      </c>
      <c r="AK80" s="531" t="str">
        <f t="shared" si="16"/>
        <v/>
      </c>
      <c r="AL80" s="714" t="str">
        <f t="shared" si="17"/>
        <v/>
      </c>
      <c r="AM80" s="531" t="str">
        <f t="shared" si="18"/>
        <v/>
      </c>
      <c r="AN80" s="716" t="str">
        <f t="shared" si="19"/>
        <v/>
      </c>
    </row>
    <row r="81" spans="6:40" x14ac:dyDescent="0.2">
      <c r="F81" s="1" t="str">
        <f t="shared" si="12"/>
        <v/>
      </c>
      <c r="G81" s="713" t="str">
        <f t="shared" si="20"/>
        <v/>
      </c>
      <c r="H81" s="17" t="str">
        <f>IFERROR(VLOOKUP($G81,Table1[[Property]:[Exposure %]],4,0),"")</f>
        <v/>
      </c>
      <c r="I81" s="3" t="str">
        <f>IFERROR(VLOOKUP($G81,Table1[[Property]:[Exposure %]],6,0),"")</f>
        <v/>
      </c>
      <c r="J81" s="3" t="str">
        <f>IFERROR(VLOOKUP($G81,Table1[[Property]:[Exposure %]],7,0),"")</f>
        <v/>
      </c>
      <c r="K81"/>
      <c r="L81"/>
      <c r="M81"/>
      <c r="N81"/>
      <c r="O81"/>
      <c r="P81"/>
      <c r="Q81"/>
      <c r="R81" s="4" t="str">
        <f>IFERROR(VLOOKUP(IF(F81="Total",F80,F81),Table1[[Property]:['# Units]],7,0)*S81,"")</f>
        <v/>
      </c>
      <c r="S81" s="27" t="str">
        <f t="shared" si="13"/>
        <v/>
      </c>
      <c r="T81" s="531" t="str">
        <f>IFERROR(
 IF($F81="Total",
   SUMPRODUCT(
   INDEX(T:T, ROW()-COUNTIF($F$6:INDEX($F:$F, ROW()-1), $F80)) : INDEX(T:T, ROW()-1),
   INDEX(W:W, ROW()-COUNTIF($F$6:INDEX($F:$F, ROW()-1), $F80)) : INDEX(W:W, ROW()-1)
   )
   /SUM(INDEX(W:W, ROW()-COUNTIF($F$6:INDEX($F:$F, ROW()-1), $F80)) : INDEX(W:W, ROW()-1)),
   AVERAGEIFS(
     INDEX((unit_details[Asking Rent],unit_details[Asking PSF]),0,1,IF($U$3="Chunk Rent",1,2)),
     unit_details[Leased Date],"&gt;="&amp;($AM$2-T$5),
     unit_details[Leased Date],"&lt;"&amp;$AM$2,
     unit_details[Beds],$L81,
     unit_details[Baths],$M81,
     unit_details[Partial Baths],IF(ISNUMBER($N81),$N81,""),
     unit_details[Sqft],$P81,
     unit_details[Property Name],$F81)
 ),"")</f>
        <v/>
      </c>
      <c r="U81" s="552" t="str">
        <f>IFERROR(
 IF($F81="Total",
   SUMPRODUCT(
   INDEX(U:U, ROW()-COUNTIF($F$6:INDEX($F:$F, ROW()-1), $F80)) : INDEX(U:U, ROW()-1),
   INDEX(W:W, ROW()-COUNTIF($F$6:INDEX($F:$F, ROW()-1), $F80)) : INDEX(W:W, ROW()-1)
   )
   /SUM(INDEX(W:W, ROW()-COUNTIF($F$6:INDEX($F:$F, ROW()-1), $F80)) : INDEX(W:W, ROW()-1)),
   AVERAGEIFS(
     INDEX((unit_details[Effective Rent],unit_details[Effective PSF]),0,1,IF($U$3="Chunk Rent",1,2)),
     unit_details[Leased Date],"&gt;="&amp;($AM$2-T$5),
     unit_details[Leased Date],"&lt;"&amp;$AM$2,
     unit_details[Beds],$L81,
     unit_details[Baths],$M81,
     unit_details[Partial Baths],IF(ISNUMBER($N81),$N81,""),
     unit_details[Sqft],$P81,
     unit_details[Property Name],$F81)
 ),"")</f>
        <v/>
      </c>
      <c r="V81" s="27" t="str">
        <f t="shared" si="21"/>
        <v/>
      </c>
      <c r="W81" s="526">
        <f>IFERROR(
  IF($F81="Total",
    SUM(INDEX(W:W, ROW()-COUNTIF($F$6:INDEX($F:$F, ROW()-1), $F80)) : INDEX(W:W, ROW()-1)),
    COUNTIFS(
      unit_details[Leased Date], "&gt;="&amp;($AM$2-T$5),
      unit_details[Leased Date], "&lt;"&amp;$AM$2,
      unit_details[Beds], $L81,
      unit_details[Baths], $M81,
      unit_details[Partial Baths], IF(ISNUMBER($N81), $N81, ""),
      unit_details[Sqft],$P81,
      unit_details[Property Name], $F81
    )
  ),
"")</f>
        <v>0</v>
      </c>
      <c r="X81" s="531" t="str">
        <f>IFERROR(
 IF($F81="Total",
   SUMPRODUCT(
   INDEX(X:X, ROW()-COUNTIF($F$6:INDEX($F:$F, ROW()-1), $F80)) : INDEX(X:X, ROW()-1),
   INDEX(AA:AA, ROW()-COUNTIF($F$6:INDEX($F:$F, ROW()-1), $F80)) : INDEX(AA:AA, ROW()-1)
   )
   /SUM(INDEX(AA:AA, ROW()-COUNTIF($F$6:INDEX($F:$F, ROW()-1), $F80)) : INDEX(AA:AA, ROW()-1)),
   AVERAGEIFS(
     INDEX((unit_details[Asking Rent],unit_details[Asking PSF]),0,1,IF($U$3="Chunk Rent",1,2)),
     unit_details[Leased Date],"&gt;="&amp;($AM$2-X$5),
     unit_details[Leased Date],"&lt;"&amp;$AM$2,
     unit_details[Beds],$L81,
     unit_details[Baths],$M81,
     unit_details[Partial Baths],IF(ISNUMBER($N81),$N81,""),
     unit_details[Sqft],$P81,
     unit_details[Property Name],$F81)
 ),"")</f>
        <v/>
      </c>
      <c r="Y81" s="552" t="str">
        <f>IFERROR(
 IF($F81="Total",
   SUMPRODUCT(
   INDEX(Y:Y, ROW()-COUNTIF($F$6:INDEX($F:$F, ROW()-1), $F80)) : INDEX(Y:Y, ROW()-1),
   INDEX(AA:AA, ROW()-COUNTIF($F$6:INDEX($F:$F, ROW()-1), $F80)) : INDEX(AA:AA, ROW()-1)
   )
   /SUM(INDEX(AA:AA, ROW()-COUNTIF($F$6:INDEX($F:$F, ROW()-1), $F80)) : INDEX(AA:AA, ROW()-1)),
   AVERAGEIFS(
     INDEX((unit_details[Effective Rent],unit_details[Effective PSF]),0,1,IF($U$3="Chunk Rent",1,2)),
     unit_details[Leased Date],"&gt;="&amp;($AM$2-X$5),
     unit_details[Leased Date],"&lt;"&amp;$AM$2,
     unit_details[Beds],$L81,
     unit_details[Baths],$M81,
     unit_details[Partial Baths],IF(ISNUMBER($N81),$N81,""),
     unit_details[Sqft],$P81,
     unit_details[Property Name],$F81)
 ),"")</f>
        <v/>
      </c>
      <c r="Z81" s="27" t="str">
        <f t="shared" si="22"/>
        <v/>
      </c>
      <c r="AA81" s="526">
        <f>IFERROR(
  IF($F81="Total",
    SUM(INDEX(AA:AA, ROW()-COUNTIF($F$6:INDEX($F:$F, ROW()-1), $F80)) : INDEX(AA:AA, ROW()-1)),
    COUNTIFS(
      unit_details[Leased Date], "&gt;="&amp;($AM$2-X$5),
      unit_details[Leased Date], "&lt;"&amp;$AM$2,
      unit_details[Beds], $L81,
      unit_details[Baths], $M81,
      unit_details[Partial Baths], IF(ISNUMBER($N81), $N81, ""),
      unit_details[Sqft],$P81,
      unit_details[Property Name], $F81
    )
  ),
"")</f>
        <v>0</v>
      </c>
      <c r="AB81" s="290">
        <f>IF($F81="Total",
SUM(INDEX(AB:AB, ROW()-COUNTIF($F$6:INDEX($F:$F, ROW()-1), $F80)) : INDEX(AB:AB, ROW()-1)),
COUNTIFS(unit_details[Active Listing?],TRUE,
          unit_details[Property Name], $F81,
          unit_details[Beds], $L81,
          unit_details[Baths], $M81,
          unit_details[Partial Baths],IF(ISNUMBER($N81),$N81,""),
          unit_details[Sqft],$P81))</f>
        <v>0</v>
      </c>
      <c r="AC81" s="27" t="str">
        <f t="shared" si="14"/>
        <v/>
      </c>
      <c r="AD81" s="293" t="str">
        <f>IFERROR(IF(AE81="","",IF($F81="Total",
SUMPRODUCT(
   INDEX(AD:AD, ROW()-COUNTIF($F$6:INDEX($F:$F, ROW()-1), $F80)) : INDEX(AD:AD, ROW()-1),
   INDEX(AB:AB, ROW()-COUNTIF($F$6:INDEX($F:$F, ROW()-1), $F80)) : INDEX(AB:AB, ROW()-1)
   )
   /SUM(INDEX(AB:AB, ROW()-COUNTIF($F$6:INDEX($F:$F, ROW()-1), $F80)) : INDEX(AB:AB, ROW()-1)),
          _xlfn.MINIFS(unit_details[Asking Rent],
          unit_details[Active Listing?],TRUE,
          unit_details[Property Name], $F81,
          unit_details[Beds], $L81,
          unit_details[Baths], $M81,
          unit_details[Partial Baths], IF(ISNUMBER($N81),$N81,""),
          unit_details[Sqft],$P81
))),"")</f>
        <v/>
      </c>
      <c r="AE81" s="5" t="str">
        <f>IFERROR(IF($F81="Total",
          SUMPRODUCT(
   INDEX(AE:AE, ROW()-COUNTIF($F$6:INDEX($F:$F, ROW()-1), $F80)) : INDEX(AE:AE, ROW()-1),
   INDEX(AB:AB, ROW()-COUNTIF($F$6:INDEX($F:$F, ROW()-1), $F80)) : INDEX(AB:AB, ROW()-1)
   )
   /SUM(INDEX(AB:AB, ROW()-COUNTIF($F$6:INDEX($F:$F, ROW()-1), $F80)) : INDEX(AB:AB, ROW()-1)),
          AVERAGEIFS(unit_details[Asking Rent],
          unit_details[Active Listing?],TRUE,
          unit_details[Property Name], $F81,
          unit_details[Beds], $L81,
          unit_details[Baths], $M81,
          unit_details[Partial Baths], IF(ISNUMBER($N81),$N81,""),
          unit_details[Sqft],$P81
)),"")</f>
        <v/>
      </c>
      <c r="AF81" s="5" t="str">
        <f>IFERROR(IF(AE81="","",IF($F81="Total",
SUMPRODUCT(
   INDEX(AF:AF, ROW()-COUNTIF($F$6:INDEX($F:$F, ROW()-1), $F80)) : INDEX(AF:AF, ROW()-1),
   INDEX(AB:AB, ROW()-COUNTIF($F$6:INDEX($F:$F, ROW()-1), $F80)) : INDEX(AB:AB, ROW()-1)
   )
   /SUM(INDEX(AB:AB, ROW()-COUNTIF($F$6:INDEX($F:$F, ROW()-1), $F80)) : INDEX(AB:AB, ROW()-1)),
           _xlfn.MAXIFS(unit_details[Asking Rent],
          unit_details[Active Listing?],TRUE,
          unit_details[Property Name], $F81,
          unit_details[Beds], $L81,
          unit_details[Baths], $M81,
          unit_details[Partial Baths], IF(ISNUMBER($N81),$N81,""),
          unit_details[Sqft],$P81
))),"")</f>
        <v/>
      </c>
      <c r="AG81" s="6" t="str">
        <f>IFERROR(IF($F81="Total",
         SUMPRODUCT(
         INDEX(AG:AG, ROW()-COUNTIF($F$6:INDEX($F:$F, ROW()-1), $F80)) : INDEX(AG:AG, ROW()-1),
         INDEX(AB:AB, ROW()-COUNTIF($F$6:INDEX($F:$F, ROW()-1), $F80)) : INDEX(AB:AB, ROW()-1)
         )
         /SUM(INDEX(AB:AB, ROW()-COUNTIF($F$6:INDEX($F:$F, ROW()-1), $F80)) : INDEX(AB:AB, ROW()-1)),
          AVERAGEIFS(unit_details[Asking PSF],
          unit_details[Active Listing?],TRUE,
          unit_details[Property Name], $F81,
          unit_details[Beds], $L81,
          unit_details[Baths], $M81,
          unit_details[Partial Baths], IF(ISNUMBER($N81),$N81,""),
          unit_details[Sqft],$P81
)),"")</f>
        <v/>
      </c>
      <c r="AH81" s="293" t="str">
        <f>IFERROR(IF($F81="Total",
         SUMPRODUCT(
         INDEX(AH:AH, ROW()-COUNTIF($F$6:INDEX($F:$F, ROW()-1), $F80)) : INDEX(AH:AH, ROW()-1),
         INDEX(AB:AB, ROW()-COUNTIF($F$6:INDEX($F:$F, ROW()-1), $F80)) : INDEX(AB:AB, ROW()-1)
         )
         /SUM(INDEX(AB:AB, ROW()-COUNTIF($F$6:INDEX($F:$F, ROW()-1), $F80)) : INDEX(AB:AB, ROW()-1)),
          AVERAGEIFS(unit_details[Effective Rent],
          unit_details[Active Listing?],TRUE,
          unit_details[Property Name], $F81,
          unit_details[Beds], $L81,
          unit_details[Baths], $M81,
          unit_details[Partial Baths], IF(ISNUMBER($N81),$N81,""),
          unit_details[Sqft],$P81
)),"")</f>
        <v/>
      </c>
      <c r="AI81" s="6" t="str">
        <f>IFERROR(IF($F81="Total",
         SUMPRODUCT(
         INDEX(AI:AI, ROW()-COUNTIF($F$6:INDEX($F:$F, ROW()-1), $F80)) : INDEX(AI:AI, ROW()-1),
         INDEX(AB:AB, ROW()-COUNTIF($F$6:INDEX($F:$F, ROW()-1), $F80)) : INDEX(AB:AB, ROW()-1)
         )
         /SUM(INDEX(AB:AB, ROW()-COUNTIF($F$6:INDEX($F:$F, ROW()-1), $F80)) : INDEX(AB:AB, ROW()-1)),
           AVERAGEIFS(unit_details[Effective PSF],
          unit_details[Active Listing?],TRUE,
          unit_details[Property Name], $F81,
          unit_details[Beds], $L81,
          unit_details[Baths], $M81,
          unit_details[Partial Baths], IF(ISNUMBER($N81),$N81,""),
          unit_details[Sqft],$P81
)),"")</f>
        <v/>
      </c>
      <c r="AJ81" s="824" t="str">
        <f t="shared" si="15"/>
        <v/>
      </c>
      <c r="AK81" s="531" t="str">
        <f t="shared" si="16"/>
        <v/>
      </c>
      <c r="AL81" s="714" t="str">
        <f t="shared" si="17"/>
        <v/>
      </c>
      <c r="AM81" s="531" t="str">
        <f t="shared" si="18"/>
        <v/>
      </c>
      <c r="AN81" s="716" t="str">
        <f t="shared" si="19"/>
        <v/>
      </c>
    </row>
    <row r="82" spans="6:40" x14ac:dyDescent="0.2">
      <c r="F82" s="1" t="str">
        <f t="shared" si="12"/>
        <v/>
      </c>
      <c r="G82" s="713" t="str">
        <f t="shared" si="20"/>
        <v/>
      </c>
      <c r="H82" s="17" t="str">
        <f>IFERROR(VLOOKUP($G82,Table1[[Property]:[Exposure %]],4,0),"")</f>
        <v/>
      </c>
      <c r="I82" s="3" t="str">
        <f>IFERROR(VLOOKUP($G82,Table1[[Property]:[Exposure %]],6,0),"")</f>
        <v/>
      </c>
      <c r="J82" s="3" t="str">
        <f>IFERROR(VLOOKUP($G82,Table1[[Property]:[Exposure %]],7,0),"")</f>
        <v/>
      </c>
      <c r="K82"/>
      <c r="L82"/>
      <c r="M82"/>
      <c r="N82"/>
      <c r="O82"/>
      <c r="P82"/>
      <c r="Q82"/>
      <c r="R82" s="4" t="str">
        <f>IFERROR(VLOOKUP(IF(F82="Total",F81,F82),Table1[[Property]:['# Units]],7,0)*S82,"")</f>
        <v/>
      </c>
      <c r="S82" s="27" t="str">
        <f t="shared" si="13"/>
        <v/>
      </c>
      <c r="T82" s="531" t="str">
        <f>IFERROR(
 IF($F82="Total",
   SUMPRODUCT(
   INDEX(T:T, ROW()-COUNTIF($F$6:INDEX($F:$F, ROW()-1), $F81)) : INDEX(T:T, ROW()-1),
   INDEX(W:W, ROW()-COUNTIF($F$6:INDEX($F:$F, ROW()-1), $F81)) : INDEX(W:W, ROW()-1)
   )
   /SUM(INDEX(W:W, ROW()-COUNTIF($F$6:INDEX($F:$F, ROW()-1), $F81)) : INDEX(W:W, ROW()-1)),
   AVERAGEIFS(
     INDEX((unit_details[Asking Rent],unit_details[Asking PSF]),0,1,IF($U$3="Chunk Rent",1,2)),
     unit_details[Leased Date],"&gt;="&amp;($AM$2-T$5),
     unit_details[Leased Date],"&lt;"&amp;$AM$2,
     unit_details[Beds],$L82,
     unit_details[Baths],$M82,
     unit_details[Partial Baths],IF(ISNUMBER($N82),$N82,""),
     unit_details[Sqft],$P82,
     unit_details[Property Name],$F82)
 ),"")</f>
        <v/>
      </c>
      <c r="U82" s="552" t="str">
        <f>IFERROR(
 IF($F82="Total",
   SUMPRODUCT(
   INDEX(U:U, ROW()-COUNTIF($F$6:INDEX($F:$F, ROW()-1), $F81)) : INDEX(U:U, ROW()-1),
   INDEX(W:W, ROW()-COUNTIF($F$6:INDEX($F:$F, ROW()-1), $F81)) : INDEX(W:W, ROW()-1)
   )
   /SUM(INDEX(W:W, ROW()-COUNTIF($F$6:INDEX($F:$F, ROW()-1), $F81)) : INDEX(W:W, ROW()-1)),
   AVERAGEIFS(
     INDEX((unit_details[Effective Rent],unit_details[Effective PSF]),0,1,IF($U$3="Chunk Rent",1,2)),
     unit_details[Leased Date],"&gt;="&amp;($AM$2-T$5),
     unit_details[Leased Date],"&lt;"&amp;$AM$2,
     unit_details[Beds],$L82,
     unit_details[Baths],$M82,
     unit_details[Partial Baths],IF(ISNUMBER($N82),$N82,""),
     unit_details[Sqft],$P82,
     unit_details[Property Name],$F82)
 ),"")</f>
        <v/>
      </c>
      <c r="V82" s="27" t="str">
        <f t="shared" si="21"/>
        <v/>
      </c>
      <c r="W82" s="526">
        <f>IFERROR(
  IF($F82="Total",
    SUM(INDEX(W:W, ROW()-COUNTIF($F$6:INDEX($F:$F, ROW()-1), $F81)) : INDEX(W:W, ROW()-1)),
    COUNTIFS(
      unit_details[Leased Date], "&gt;="&amp;($AM$2-T$5),
      unit_details[Leased Date], "&lt;"&amp;$AM$2,
      unit_details[Beds], $L82,
      unit_details[Baths], $M82,
      unit_details[Partial Baths], IF(ISNUMBER($N82), $N82, ""),
      unit_details[Sqft],$P82,
      unit_details[Property Name], $F82
    )
  ),
"")</f>
        <v>0</v>
      </c>
      <c r="X82" s="531" t="str">
        <f>IFERROR(
 IF($F82="Total",
   SUMPRODUCT(
   INDEX(X:X, ROW()-COUNTIF($F$6:INDEX($F:$F, ROW()-1), $F81)) : INDEX(X:X, ROW()-1),
   INDEX(AA:AA, ROW()-COUNTIF($F$6:INDEX($F:$F, ROW()-1), $F81)) : INDEX(AA:AA, ROW()-1)
   )
   /SUM(INDEX(AA:AA, ROW()-COUNTIF($F$6:INDEX($F:$F, ROW()-1), $F81)) : INDEX(AA:AA, ROW()-1)),
   AVERAGEIFS(
     INDEX((unit_details[Asking Rent],unit_details[Asking PSF]),0,1,IF($U$3="Chunk Rent",1,2)),
     unit_details[Leased Date],"&gt;="&amp;($AM$2-X$5),
     unit_details[Leased Date],"&lt;"&amp;$AM$2,
     unit_details[Beds],$L82,
     unit_details[Baths],$M82,
     unit_details[Partial Baths],IF(ISNUMBER($N82),$N82,""),
     unit_details[Sqft],$P82,
     unit_details[Property Name],$F82)
 ),"")</f>
        <v/>
      </c>
      <c r="Y82" s="552" t="str">
        <f>IFERROR(
 IF($F82="Total",
   SUMPRODUCT(
   INDEX(Y:Y, ROW()-COUNTIF($F$6:INDEX($F:$F, ROW()-1), $F81)) : INDEX(Y:Y, ROW()-1),
   INDEX(AA:AA, ROW()-COUNTIF($F$6:INDEX($F:$F, ROW()-1), $F81)) : INDEX(AA:AA, ROW()-1)
   )
   /SUM(INDEX(AA:AA, ROW()-COUNTIF($F$6:INDEX($F:$F, ROW()-1), $F81)) : INDEX(AA:AA, ROW()-1)),
   AVERAGEIFS(
     INDEX((unit_details[Effective Rent],unit_details[Effective PSF]),0,1,IF($U$3="Chunk Rent",1,2)),
     unit_details[Leased Date],"&gt;="&amp;($AM$2-X$5),
     unit_details[Leased Date],"&lt;"&amp;$AM$2,
     unit_details[Beds],$L82,
     unit_details[Baths],$M82,
     unit_details[Partial Baths],IF(ISNUMBER($N82),$N82,""),
     unit_details[Sqft],$P82,
     unit_details[Property Name],$F82)
 ),"")</f>
        <v/>
      </c>
      <c r="Z82" s="27" t="str">
        <f t="shared" si="22"/>
        <v/>
      </c>
      <c r="AA82" s="526">
        <f>IFERROR(
  IF($F82="Total",
    SUM(INDEX(AA:AA, ROW()-COUNTIF($F$6:INDEX($F:$F, ROW()-1), $F81)) : INDEX(AA:AA, ROW()-1)),
    COUNTIFS(
      unit_details[Leased Date], "&gt;="&amp;($AM$2-X$5),
      unit_details[Leased Date], "&lt;"&amp;$AM$2,
      unit_details[Beds], $L82,
      unit_details[Baths], $M82,
      unit_details[Partial Baths], IF(ISNUMBER($N82), $N82, ""),
      unit_details[Sqft],$P82,
      unit_details[Property Name], $F82
    )
  ),
"")</f>
        <v>0</v>
      </c>
      <c r="AB82" s="290">
        <f>IF($F82="Total",
SUM(INDEX(AB:AB, ROW()-COUNTIF($F$6:INDEX($F:$F, ROW()-1), $F81)) : INDEX(AB:AB, ROW()-1)),
COUNTIFS(unit_details[Active Listing?],TRUE,
          unit_details[Property Name], $F82,
          unit_details[Beds], $L82,
          unit_details[Baths], $M82,
          unit_details[Partial Baths],IF(ISNUMBER($N82),$N82,""),
          unit_details[Sqft],$P82))</f>
        <v>0</v>
      </c>
      <c r="AC82" s="27" t="str">
        <f t="shared" si="14"/>
        <v/>
      </c>
      <c r="AD82" s="293" t="str">
        <f>IFERROR(IF(AE82="","",IF($F82="Total",
SUMPRODUCT(
   INDEX(AD:AD, ROW()-COUNTIF($F$6:INDEX($F:$F, ROW()-1), $F81)) : INDEX(AD:AD, ROW()-1),
   INDEX(AB:AB, ROW()-COUNTIF($F$6:INDEX($F:$F, ROW()-1), $F81)) : INDEX(AB:AB, ROW()-1)
   )
   /SUM(INDEX(AB:AB, ROW()-COUNTIF($F$6:INDEX($F:$F, ROW()-1), $F81)) : INDEX(AB:AB, ROW()-1)),
          _xlfn.MINIFS(unit_details[Asking Rent],
          unit_details[Active Listing?],TRUE,
          unit_details[Property Name], $F82,
          unit_details[Beds], $L82,
          unit_details[Baths], $M82,
          unit_details[Partial Baths], IF(ISNUMBER($N82),$N82,""),
          unit_details[Sqft],$P82
))),"")</f>
        <v/>
      </c>
      <c r="AE82" s="5" t="str">
        <f>IFERROR(IF($F82="Total",
          SUMPRODUCT(
   INDEX(AE:AE, ROW()-COUNTIF($F$6:INDEX($F:$F, ROW()-1), $F81)) : INDEX(AE:AE, ROW()-1),
   INDEX(AB:AB, ROW()-COUNTIF($F$6:INDEX($F:$F, ROW()-1), $F81)) : INDEX(AB:AB, ROW()-1)
   )
   /SUM(INDEX(AB:AB, ROW()-COUNTIF($F$6:INDEX($F:$F, ROW()-1), $F81)) : INDEX(AB:AB, ROW()-1)),
          AVERAGEIFS(unit_details[Asking Rent],
          unit_details[Active Listing?],TRUE,
          unit_details[Property Name], $F82,
          unit_details[Beds], $L82,
          unit_details[Baths], $M82,
          unit_details[Partial Baths], IF(ISNUMBER($N82),$N82,""),
          unit_details[Sqft],$P82
)),"")</f>
        <v/>
      </c>
      <c r="AF82" s="5" t="str">
        <f>IFERROR(IF(AE82="","",IF($F82="Total",
SUMPRODUCT(
   INDEX(AF:AF, ROW()-COUNTIF($F$6:INDEX($F:$F, ROW()-1), $F81)) : INDEX(AF:AF, ROW()-1),
   INDEX(AB:AB, ROW()-COUNTIF($F$6:INDEX($F:$F, ROW()-1), $F81)) : INDEX(AB:AB, ROW()-1)
   )
   /SUM(INDEX(AB:AB, ROW()-COUNTIF($F$6:INDEX($F:$F, ROW()-1), $F81)) : INDEX(AB:AB, ROW()-1)),
           _xlfn.MAXIFS(unit_details[Asking Rent],
          unit_details[Active Listing?],TRUE,
          unit_details[Property Name], $F82,
          unit_details[Beds], $L82,
          unit_details[Baths], $M82,
          unit_details[Partial Baths], IF(ISNUMBER($N82),$N82,""),
          unit_details[Sqft],$P82
))),"")</f>
        <v/>
      </c>
      <c r="AG82" s="6" t="str">
        <f>IFERROR(IF($F82="Total",
         SUMPRODUCT(
         INDEX(AG:AG, ROW()-COUNTIF($F$6:INDEX($F:$F, ROW()-1), $F81)) : INDEX(AG:AG, ROW()-1),
         INDEX(AB:AB, ROW()-COUNTIF($F$6:INDEX($F:$F, ROW()-1), $F81)) : INDEX(AB:AB, ROW()-1)
         )
         /SUM(INDEX(AB:AB, ROW()-COUNTIF($F$6:INDEX($F:$F, ROW()-1), $F81)) : INDEX(AB:AB, ROW()-1)),
          AVERAGEIFS(unit_details[Asking PSF],
          unit_details[Active Listing?],TRUE,
          unit_details[Property Name], $F82,
          unit_details[Beds], $L82,
          unit_details[Baths], $M82,
          unit_details[Partial Baths], IF(ISNUMBER($N82),$N82,""),
          unit_details[Sqft],$P82
)),"")</f>
        <v/>
      </c>
      <c r="AH82" s="293" t="str">
        <f>IFERROR(IF($F82="Total",
         SUMPRODUCT(
         INDEX(AH:AH, ROW()-COUNTIF($F$6:INDEX($F:$F, ROW()-1), $F81)) : INDEX(AH:AH, ROW()-1),
         INDEX(AB:AB, ROW()-COUNTIF($F$6:INDEX($F:$F, ROW()-1), $F81)) : INDEX(AB:AB, ROW()-1)
         )
         /SUM(INDEX(AB:AB, ROW()-COUNTIF($F$6:INDEX($F:$F, ROW()-1), $F81)) : INDEX(AB:AB, ROW()-1)),
          AVERAGEIFS(unit_details[Effective Rent],
          unit_details[Active Listing?],TRUE,
          unit_details[Property Name], $F82,
          unit_details[Beds], $L82,
          unit_details[Baths], $M82,
          unit_details[Partial Baths], IF(ISNUMBER($N82),$N82,""),
          unit_details[Sqft],$P82
)),"")</f>
        <v/>
      </c>
      <c r="AI82" s="6" t="str">
        <f>IFERROR(IF($F82="Total",
         SUMPRODUCT(
         INDEX(AI:AI, ROW()-COUNTIF($F$6:INDEX($F:$F, ROW()-1), $F81)) : INDEX(AI:AI, ROW()-1),
         INDEX(AB:AB, ROW()-COUNTIF($F$6:INDEX($F:$F, ROW()-1), $F81)) : INDEX(AB:AB, ROW()-1)
         )
         /SUM(INDEX(AB:AB, ROW()-COUNTIF($F$6:INDEX($F:$F, ROW()-1), $F81)) : INDEX(AB:AB, ROW()-1)),
           AVERAGEIFS(unit_details[Effective PSF],
          unit_details[Active Listing?],TRUE,
          unit_details[Property Name], $F82,
          unit_details[Beds], $L82,
          unit_details[Baths], $M82,
          unit_details[Partial Baths], IF(ISNUMBER($N82),$N82,""),
          unit_details[Sqft],$P82
)),"")</f>
        <v/>
      </c>
      <c r="AJ82" s="824" t="str">
        <f t="shared" si="15"/>
        <v/>
      </c>
      <c r="AK82" s="531" t="str">
        <f t="shared" si="16"/>
        <v/>
      </c>
      <c r="AL82" s="714" t="str">
        <f t="shared" si="17"/>
        <v/>
      </c>
      <c r="AM82" s="531" t="str">
        <f t="shared" si="18"/>
        <v/>
      </c>
      <c r="AN82" s="716" t="str">
        <f t="shared" si="19"/>
        <v/>
      </c>
    </row>
    <row r="83" spans="6:40" x14ac:dyDescent="0.2">
      <c r="F83" s="1" t="str">
        <f t="shared" si="12"/>
        <v/>
      </c>
      <c r="G83" s="713" t="str">
        <f t="shared" si="20"/>
        <v/>
      </c>
      <c r="H83" s="17" t="str">
        <f>IFERROR(VLOOKUP($G83,Table1[[Property]:[Exposure %]],4,0),"")</f>
        <v/>
      </c>
      <c r="I83" s="3" t="str">
        <f>IFERROR(VLOOKUP($G83,Table1[[Property]:[Exposure %]],6,0),"")</f>
        <v/>
      </c>
      <c r="J83" s="3" t="str">
        <f>IFERROR(VLOOKUP($G83,Table1[[Property]:[Exposure %]],7,0),"")</f>
        <v/>
      </c>
      <c r="K83"/>
      <c r="L83"/>
      <c r="M83"/>
      <c r="N83"/>
      <c r="O83"/>
      <c r="P83"/>
      <c r="Q83"/>
      <c r="R83" s="4" t="str">
        <f>IFERROR(VLOOKUP(IF(F83="Total",F82,F83),Table1[[Property]:['# Units]],7,0)*S83,"")</f>
        <v/>
      </c>
      <c r="S83" s="27" t="str">
        <f t="shared" si="13"/>
        <v/>
      </c>
      <c r="T83" s="531" t="str">
        <f>IFERROR(
 IF($F83="Total",
   SUMPRODUCT(
   INDEX(T:T, ROW()-COUNTIF($F$6:INDEX($F:$F, ROW()-1), $F82)) : INDEX(T:T, ROW()-1),
   INDEX(W:W, ROW()-COUNTIF($F$6:INDEX($F:$F, ROW()-1), $F82)) : INDEX(W:W, ROW()-1)
   )
   /SUM(INDEX(W:W, ROW()-COUNTIF($F$6:INDEX($F:$F, ROW()-1), $F82)) : INDEX(W:W, ROW()-1)),
   AVERAGEIFS(
     INDEX((unit_details[Asking Rent],unit_details[Asking PSF]),0,1,IF($U$3="Chunk Rent",1,2)),
     unit_details[Leased Date],"&gt;="&amp;($AM$2-T$5),
     unit_details[Leased Date],"&lt;"&amp;$AM$2,
     unit_details[Beds],$L83,
     unit_details[Baths],$M83,
     unit_details[Partial Baths],IF(ISNUMBER($N83),$N83,""),
     unit_details[Sqft],$P83,
     unit_details[Property Name],$F83)
 ),"")</f>
        <v/>
      </c>
      <c r="U83" s="552" t="str">
        <f>IFERROR(
 IF($F83="Total",
   SUMPRODUCT(
   INDEX(U:U, ROW()-COUNTIF($F$6:INDEX($F:$F, ROW()-1), $F82)) : INDEX(U:U, ROW()-1),
   INDEX(W:W, ROW()-COUNTIF($F$6:INDEX($F:$F, ROW()-1), $F82)) : INDEX(W:W, ROW()-1)
   )
   /SUM(INDEX(W:W, ROW()-COUNTIF($F$6:INDEX($F:$F, ROW()-1), $F82)) : INDEX(W:W, ROW()-1)),
   AVERAGEIFS(
     INDEX((unit_details[Effective Rent],unit_details[Effective PSF]),0,1,IF($U$3="Chunk Rent",1,2)),
     unit_details[Leased Date],"&gt;="&amp;($AM$2-T$5),
     unit_details[Leased Date],"&lt;"&amp;$AM$2,
     unit_details[Beds],$L83,
     unit_details[Baths],$M83,
     unit_details[Partial Baths],IF(ISNUMBER($N83),$N83,""),
     unit_details[Sqft],$P83,
     unit_details[Property Name],$F83)
 ),"")</f>
        <v/>
      </c>
      <c r="V83" s="27" t="str">
        <f t="shared" si="21"/>
        <v/>
      </c>
      <c r="W83" s="526">
        <f>IFERROR(
  IF($F83="Total",
    SUM(INDEX(W:W, ROW()-COUNTIF($F$6:INDEX($F:$F, ROW()-1), $F82)) : INDEX(W:W, ROW()-1)),
    COUNTIFS(
      unit_details[Leased Date], "&gt;="&amp;($AM$2-T$5),
      unit_details[Leased Date], "&lt;"&amp;$AM$2,
      unit_details[Beds], $L83,
      unit_details[Baths], $M83,
      unit_details[Partial Baths], IF(ISNUMBER($N83), $N83, ""),
      unit_details[Sqft],$P83,
      unit_details[Property Name], $F83
    )
  ),
"")</f>
        <v>0</v>
      </c>
      <c r="X83" s="531" t="str">
        <f>IFERROR(
 IF($F83="Total",
   SUMPRODUCT(
   INDEX(X:X, ROW()-COUNTIF($F$6:INDEX($F:$F, ROW()-1), $F82)) : INDEX(X:X, ROW()-1),
   INDEX(AA:AA, ROW()-COUNTIF($F$6:INDEX($F:$F, ROW()-1), $F82)) : INDEX(AA:AA, ROW()-1)
   )
   /SUM(INDEX(AA:AA, ROW()-COUNTIF($F$6:INDEX($F:$F, ROW()-1), $F82)) : INDEX(AA:AA, ROW()-1)),
   AVERAGEIFS(
     INDEX((unit_details[Asking Rent],unit_details[Asking PSF]),0,1,IF($U$3="Chunk Rent",1,2)),
     unit_details[Leased Date],"&gt;="&amp;($AM$2-X$5),
     unit_details[Leased Date],"&lt;"&amp;$AM$2,
     unit_details[Beds],$L83,
     unit_details[Baths],$M83,
     unit_details[Partial Baths],IF(ISNUMBER($N83),$N83,""),
     unit_details[Sqft],$P83,
     unit_details[Property Name],$F83)
 ),"")</f>
        <v/>
      </c>
      <c r="Y83" s="552" t="str">
        <f>IFERROR(
 IF($F83="Total",
   SUMPRODUCT(
   INDEX(Y:Y, ROW()-COUNTIF($F$6:INDEX($F:$F, ROW()-1), $F82)) : INDEX(Y:Y, ROW()-1),
   INDEX(AA:AA, ROW()-COUNTIF($F$6:INDEX($F:$F, ROW()-1), $F82)) : INDEX(AA:AA, ROW()-1)
   )
   /SUM(INDEX(AA:AA, ROW()-COUNTIF($F$6:INDEX($F:$F, ROW()-1), $F82)) : INDEX(AA:AA, ROW()-1)),
   AVERAGEIFS(
     INDEX((unit_details[Effective Rent],unit_details[Effective PSF]),0,1,IF($U$3="Chunk Rent",1,2)),
     unit_details[Leased Date],"&gt;="&amp;($AM$2-X$5),
     unit_details[Leased Date],"&lt;"&amp;$AM$2,
     unit_details[Beds],$L83,
     unit_details[Baths],$M83,
     unit_details[Partial Baths],IF(ISNUMBER($N83),$N83,""),
     unit_details[Sqft],$P83,
     unit_details[Property Name],$F83)
 ),"")</f>
        <v/>
      </c>
      <c r="Z83" s="27" t="str">
        <f t="shared" si="22"/>
        <v/>
      </c>
      <c r="AA83" s="526">
        <f>IFERROR(
  IF($F83="Total",
    SUM(INDEX(AA:AA, ROW()-COUNTIF($F$6:INDEX($F:$F, ROW()-1), $F82)) : INDEX(AA:AA, ROW()-1)),
    COUNTIFS(
      unit_details[Leased Date], "&gt;="&amp;($AM$2-X$5),
      unit_details[Leased Date], "&lt;"&amp;$AM$2,
      unit_details[Beds], $L83,
      unit_details[Baths], $M83,
      unit_details[Partial Baths], IF(ISNUMBER($N83), $N83, ""),
      unit_details[Sqft],$P83,
      unit_details[Property Name], $F83
    )
  ),
"")</f>
        <v>0</v>
      </c>
      <c r="AB83" s="290">
        <f>IF($F83="Total",
SUM(INDEX(AB:AB, ROW()-COUNTIF($F$6:INDEX($F:$F, ROW()-1), $F82)) : INDEX(AB:AB, ROW()-1)),
COUNTIFS(unit_details[Active Listing?],TRUE,
          unit_details[Property Name], $F83,
          unit_details[Beds], $L83,
          unit_details[Baths], $M83,
          unit_details[Partial Baths],IF(ISNUMBER($N83),$N83,""),
          unit_details[Sqft],$P83))</f>
        <v>0</v>
      </c>
      <c r="AC83" s="27" t="str">
        <f t="shared" si="14"/>
        <v/>
      </c>
      <c r="AD83" s="293" t="str">
        <f>IFERROR(IF(AE83="","",IF($F83="Total",
SUMPRODUCT(
   INDEX(AD:AD, ROW()-COUNTIF($F$6:INDEX($F:$F, ROW()-1), $F82)) : INDEX(AD:AD, ROW()-1),
   INDEX(AB:AB, ROW()-COUNTIF($F$6:INDEX($F:$F, ROW()-1), $F82)) : INDEX(AB:AB, ROW()-1)
   )
   /SUM(INDEX(AB:AB, ROW()-COUNTIF($F$6:INDEX($F:$F, ROW()-1), $F82)) : INDEX(AB:AB, ROW()-1)),
          _xlfn.MINIFS(unit_details[Asking Rent],
          unit_details[Active Listing?],TRUE,
          unit_details[Property Name], $F83,
          unit_details[Beds], $L83,
          unit_details[Baths], $M83,
          unit_details[Partial Baths], IF(ISNUMBER($N83),$N83,""),
          unit_details[Sqft],$P83
))),"")</f>
        <v/>
      </c>
      <c r="AE83" s="5" t="str">
        <f>IFERROR(IF($F83="Total",
          SUMPRODUCT(
   INDEX(AE:AE, ROW()-COUNTIF($F$6:INDEX($F:$F, ROW()-1), $F82)) : INDEX(AE:AE, ROW()-1),
   INDEX(AB:AB, ROW()-COUNTIF($F$6:INDEX($F:$F, ROW()-1), $F82)) : INDEX(AB:AB, ROW()-1)
   )
   /SUM(INDEX(AB:AB, ROW()-COUNTIF($F$6:INDEX($F:$F, ROW()-1), $F82)) : INDEX(AB:AB, ROW()-1)),
          AVERAGEIFS(unit_details[Asking Rent],
          unit_details[Active Listing?],TRUE,
          unit_details[Property Name], $F83,
          unit_details[Beds], $L83,
          unit_details[Baths], $M83,
          unit_details[Partial Baths], IF(ISNUMBER($N83),$N83,""),
          unit_details[Sqft],$P83
)),"")</f>
        <v/>
      </c>
      <c r="AF83" s="5" t="str">
        <f>IFERROR(IF(AE83="","",IF($F83="Total",
SUMPRODUCT(
   INDEX(AF:AF, ROW()-COUNTIF($F$6:INDEX($F:$F, ROW()-1), $F82)) : INDEX(AF:AF, ROW()-1),
   INDEX(AB:AB, ROW()-COUNTIF($F$6:INDEX($F:$F, ROW()-1), $F82)) : INDEX(AB:AB, ROW()-1)
   )
   /SUM(INDEX(AB:AB, ROW()-COUNTIF($F$6:INDEX($F:$F, ROW()-1), $F82)) : INDEX(AB:AB, ROW()-1)),
           _xlfn.MAXIFS(unit_details[Asking Rent],
          unit_details[Active Listing?],TRUE,
          unit_details[Property Name], $F83,
          unit_details[Beds], $L83,
          unit_details[Baths], $M83,
          unit_details[Partial Baths], IF(ISNUMBER($N83),$N83,""),
          unit_details[Sqft],$P83
))),"")</f>
        <v/>
      </c>
      <c r="AG83" s="6" t="str">
        <f>IFERROR(IF($F83="Total",
         SUMPRODUCT(
         INDEX(AG:AG, ROW()-COUNTIF($F$6:INDEX($F:$F, ROW()-1), $F82)) : INDEX(AG:AG, ROW()-1),
         INDEX(AB:AB, ROW()-COUNTIF($F$6:INDEX($F:$F, ROW()-1), $F82)) : INDEX(AB:AB, ROW()-1)
         )
         /SUM(INDEX(AB:AB, ROW()-COUNTIF($F$6:INDEX($F:$F, ROW()-1), $F82)) : INDEX(AB:AB, ROW()-1)),
          AVERAGEIFS(unit_details[Asking PSF],
          unit_details[Active Listing?],TRUE,
          unit_details[Property Name], $F83,
          unit_details[Beds], $L83,
          unit_details[Baths], $M83,
          unit_details[Partial Baths], IF(ISNUMBER($N83),$N83,""),
          unit_details[Sqft],$P83
)),"")</f>
        <v/>
      </c>
      <c r="AH83" s="293" t="str">
        <f>IFERROR(IF($F83="Total",
         SUMPRODUCT(
         INDEX(AH:AH, ROW()-COUNTIF($F$6:INDEX($F:$F, ROW()-1), $F82)) : INDEX(AH:AH, ROW()-1),
         INDEX(AB:AB, ROW()-COUNTIF($F$6:INDEX($F:$F, ROW()-1), $F82)) : INDEX(AB:AB, ROW()-1)
         )
         /SUM(INDEX(AB:AB, ROW()-COUNTIF($F$6:INDEX($F:$F, ROW()-1), $F82)) : INDEX(AB:AB, ROW()-1)),
          AVERAGEIFS(unit_details[Effective Rent],
          unit_details[Active Listing?],TRUE,
          unit_details[Property Name], $F83,
          unit_details[Beds], $L83,
          unit_details[Baths], $M83,
          unit_details[Partial Baths], IF(ISNUMBER($N83),$N83,""),
          unit_details[Sqft],$P83
)),"")</f>
        <v/>
      </c>
      <c r="AI83" s="6" t="str">
        <f>IFERROR(IF($F83="Total",
         SUMPRODUCT(
         INDEX(AI:AI, ROW()-COUNTIF($F$6:INDEX($F:$F, ROW()-1), $F82)) : INDEX(AI:AI, ROW()-1),
         INDEX(AB:AB, ROW()-COUNTIF($F$6:INDEX($F:$F, ROW()-1), $F82)) : INDEX(AB:AB, ROW()-1)
         )
         /SUM(INDEX(AB:AB, ROW()-COUNTIF($F$6:INDEX($F:$F, ROW()-1), $F82)) : INDEX(AB:AB, ROW()-1)),
           AVERAGEIFS(unit_details[Effective PSF],
          unit_details[Active Listing?],TRUE,
          unit_details[Property Name], $F83,
          unit_details[Beds], $L83,
          unit_details[Baths], $M83,
          unit_details[Partial Baths], IF(ISNUMBER($N83),$N83,""),
          unit_details[Sqft],$P83
)),"")</f>
        <v/>
      </c>
      <c r="AJ83" s="824" t="str">
        <f t="shared" si="15"/>
        <v/>
      </c>
      <c r="AK83" s="531" t="str">
        <f t="shared" si="16"/>
        <v/>
      </c>
      <c r="AL83" s="714" t="str">
        <f t="shared" si="17"/>
        <v/>
      </c>
      <c r="AM83" s="531" t="str">
        <f t="shared" si="18"/>
        <v/>
      </c>
      <c r="AN83" s="716" t="str">
        <f t="shared" si="19"/>
        <v/>
      </c>
    </row>
    <row r="84" spans="6:40" x14ac:dyDescent="0.2">
      <c r="F84" s="1" t="str">
        <f t="shared" si="12"/>
        <v/>
      </c>
      <c r="G84" s="713" t="str">
        <f t="shared" si="20"/>
        <v/>
      </c>
      <c r="H84" s="17" t="str">
        <f>IFERROR(VLOOKUP($G84,Table1[[Property]:[Exposure %]],4,0),"")</f>
        <v/>
      </c>
      <c r="I84" s="3" t="str">
        <f>IFERROR(VLOOKUP($G84,Table1[[Property]:[Exposure %]],6,0),"")</f>
        <v/>
      </c>
      <c r="J84" s="3" t="str">
        <f>IFERROR(VLOOKUP($G84,Table1[[Property]:[Exposure %]],7,0),"")</f>
        <v/>
      </c>
      <c r="K84"/>
      <c r="L84"/>
      <c r="M84"/>
      <c r="N84"/>
      <c r="O84"/>
      <c r="P84"/>
      <c r="Q84"/>
      <c r="R84" s="4" t="str">
        <f>IFERROR(VLOOKUP(IF(F84="Total",F83,F84),Table1[[Property]:['# Units]],7,0)*S84,"")</f>
        <v/>
      </c>
      <c r="S84" s="27" t="str">
        <f t="shared" si="13"/>
        <v/>
      </c>
      <c r="T84" s="531" t="str">
        <f>IFERROR(
 IF($F84="Total",
   SUMPRODUCT(
   INDEX(T:T, ROW()-COUNTIF($F$6:INDEX($F:$F, ROW()-1), $F83)) : INDEX(T:T, ROW()-1),
   INDEX(W:W, ROW()-COUNTIF($F$6:INDEX($F:$F, ROW()-1), $F83)) : INDEX(W:W, ROW()-1)
   )
   /SUM(INDEX(W:W, ROW()-COUNTIF($F$6:INDEX($F:$F, ROW()-1), $F83)) : INDEX(W:W, ROW()-1)),
   AVERAGEIFS(
     INDEX((unit_details[Asking Rent],unit_details[Asking PSF]),0,1,IF($U$3="Chunk Rent",1,2)),
     unit_details[Leased Date],"&gt;="&amp;($AM$2-T$5),
     unit_details[Leased Date],"&lt;"&amp;$AM$2,
     unit_details[Beds],$L84,
     unit_details[Baths],$M84,
     unit_details[Partial Baths],IF(ISNUMBER($N84),$N84,""),
     unit_details[Sqft],$P84,
     unit_details[Property Name],$F84)
 ),"")</f>
        <v/>
      </c>
      <c r="U84" s="552" t="str">
        <f>IFERROR(
 IF($F84="Total",
   SUMPRODUCT(
   INDEX(U:U, ROW()-COUNTIF($F$6:INDEX($F:$F, ROW()-1), $F83)) : INDEX(U:U, ROW()-1),
   INDEX(W:W, ROW()-COUNTIF($F$6:INDEX($F:$F, ROW()-1), $F83)) : INDEX(W:W, ROW()-1)
   )
   /SUM(INDEX(W:W, ROW()-COUNTIF($F$6:INDEX($F:$F, ROW()-1), $F83)) : INDEX(W:W, ROW()-1)),
   AVERAGEIFS(
     INDEX((unit_details[Effective Rent],unit_details[Effective PSF]),0,1,IF($U$3="Chunk Rent",1,2)),
     unit_details[Leased Date],"&gt;="&amp;($AM$2-T$5),
     unit_details[Leased Date],"&lt;"&amp;$AM$2,
     unit_details[Beds],$L84,
     unit_details[Baths],$M84,
     unit_details[Partial Baths],IF(ISNUMBER($N84),$N84,""),
     unit_details[Sqft],$P84,
     unit_details[Property Name],$F84)
 ),"")</f>
        <v/>
      </c>
      <c r="V84" s="27" t="str">
        <f t="shared" si="21"/>
        <v/>
      </c>
      <c r="W84" s="526">
        <f>IFERROR(
  IF($F84="Total",
    SUM(INDEX(W:W, ROW()-COUNTIF($F$6:INDEX($F:$F, ROW()-1), $F83)) : INDEX(W:W, ROW()-1)),
    COUNTIFS(
      unit_details[Leased Date], "&gt;="&amp;($AM$2-T$5),
      unit_details[Leased Date], "&lt;"&amp;$AM$2,
      unit_details[Beds], $L84,
      unit_details[Baths], $M84,
      unit_details[Partial Baths], IF(ISNUMBER($N84), $N84, ""),
      unit_details[Sqft],$P84,
      unit_details[Property Name], $F84
    )
  ),
"")</f>
        <v>0</v>
      </c>
      <c r="X84" s="531" t="str">
        <f>IFERROR(
 IF($F84="Total",
   SUMPRODUCT(
   INDEX(X:X, ROW()-COUNTIF($F$6:INDEX($F:$F, ROW()-1), $F83)) : INDEX(X:X, ROW()-1),
   INDEX(AA:AA, ROW()-COUNTIF($F$6:INDEX($F:$F, ROW()-1), $F83)) : INDEX(AA:AA, ROW()-1)
   )
   /SUM(INDEX(AA:AA, ROW()-COUNTIF($F$6:INDEX($F:$F, ROW()-1), $F83)) : INDEX(AA:AA, ROW()-1)),
   AVERAGEIFS(
     INDEX((unit_details[Asking Rent],unit_details[Asking PSF]),0,1,IF($U$3="Chunk Rent",1,2)),
     unit_details[Leased Date],"&gt;="&amp;($AM$2-X$5),
     unit_details[Leased Date],"&lt;"&amp;$AM$2,
     unit_details[Beds],$L84,
     unit_details[Baths],$M84,
     unit_details[Partial Baths],IF(ISNUMBER($N84),$N84,""),
     unit_details[Sqft],$P84,
     unit_details[Property Name],$F84)
 ),"")</f>
        <v/>
      </c>
      <c r="Y84" s="552" t="str">
        <f>IFERROR(
 IF($F84="Total",
   SUMPRODUCT(
   INDEX(Y:Y, ROW()-COUNTIF($F$6:INDEX($F:$F, ROW()-1), $F83)) : INDEX(Y:Y, ROW()-1),
   INDEX(AA:AA, ROW()-COUNTIF($F$6:INDEX($F:$F, ROW()-1), $F83)) : INDEX(AA:AA, ROW()-1)
   )
   /SUM(INDEX(AA:AA, ROW()-COUNTIF($F$6:INDEX($F:$F, ROW()-1), $F83)) : INDEX(AA:AA, ROW()-1)),
   AVERAGEIFS(
     INDEX((unit_details[Effective Rent],unit_details[Effective PSF]),0,1,IF($U$3="Chunk Rent",1,2)),
     unit_details[Leased Date],"&gt;="&amp;($AM$2-X$5),
     unit_details[Leased Date],"&lt;"&amp;$AM$2,
     unit_details[Beds],$L84,
     unit_details[Baths],$M84,
     unit_details[Partial Baths],IF(ISNUMBER($N84),$N84,""),
     unit_details[Sqft],$P84,
     unit_details[Property Name],$F84)
 ),"")</f>
        <v/>
      </c>
      <c r="Z84" s="27" t="str">
        <f t="shared" si="22"/>
        <v/>
      </c>
      <c r="AA84" s="526">
        <f>IFERROR(
  IF($F84="Total",
    SUM(INDEX(AA:AA, ROW()-COUNTIF($F$6:INDEX($F:$F, ROW()-1), $F83)) : INDEX(AA:AA, ROW()-1)),
    COUNTIFS(
      unit_details[Leased Date], "&gt;="&amp;($AM$2-X$5),
      unit_details[Leased Date], "&lt;"&amp;$AM$2,
      unit_details[Beds], $L84,
      unit_details[Baths], $M84,
      unit_details[Partial Baths], IF(ISNUMBER($N84), $N84, ""),
      unit_details[Sqft],$P84,
      unit_details[Property Name], $F84
    )
  ),
"")</f>
        <v>0</v>
      </c>
      <c r="AB84" s="290">
        <f>IF($F84="Total",
SUM(INDEX(AB:AB, ROW()-COUNTIF($F$6:INDEX($F:$F, ROW()-1), $F83)) : INDEX(AB:AB, ROW()-1)),
COUNTIFS(unit_details[Active Listing?],TRUE,
          unit_details[Property Name], $F84,
          unit_details[Beds], $L84,
          unit_details[Baths], $M84,
          unit_details[Partial Baths],IF(ISNUMBER($N84),$N84,""),
          unit_details[Sqft],$P84))</f>
        <v>0</v>
      </c>
      <c r="AC84" s="27" t="str">
        <f t="shared" si="14"/>
        <v/>
      </c>
      <c r="AD84" s="293" t="str">
        <f>IFERROR(IF(AE84="","",IF($F84="Total",
SUMPRODUCT(
   INDEX(AD:AD, ROW()-COUNTIF($F$6:INDEX($F:$F, ROW()-1), $F83)) : INDEX(AD:AD, ROW()-1),
   INDEX(AB:AB, ROW()-COUNTIF($F$6:INDEX($F:$F, ROW()-1), $F83)) : INDEX(AB:AB, ROW()-1)
   )
   /SUM(INDEX(AB:AB, ROW()-COUNTIF($F$6:INDEX($F:$F, ROW()-1), $F83)) : INDEX(AB:AB, ROW()-1)),
          _xlfn.MINIFS(unit_details[Asking Rent],
          unit_details[Active Listing?],TRUE,
          unit_details[Property Name], $F84,
          unit_details[Beds], $L84,
          unit_details[Baths], $M84,
          unit_details[Partial Baths], IF(ISNUMBER($N84),$N84,""),
          unit_details[Sqft],$P84
))),"")</f>
        <v/>
      </c>
      <c r="AE84" s="5" t="str">
        <f>IFERROR(IF($F84="Total",
          SUMPRODUCT(
   INDEX(AE:AE, ROW()-COUNTIF($F$6:INDEX($F:$F, ROW()-1), $F83)) : INDEX(AE:AE, ROW()-1),
   INDEX(AB:AB, ROW()-COUNTIF($F$6:INDEX($F:$F, ROW()-1), $F83)) : INDEX(AB:AB, ROW()-1)
   )
   /SUM(INDEX(AB:AB, ROW()-COUNTIF($F$6:INDEX($F:$F, ROW()-1), $F83)) : INDEX(AB:AB, ROW()-1)),
          AVERAGEIFS(unit_details[Asking Rent],
          unit_details[Active Listing?],TRUE,
          unit_details[Property Name], $F84,
          unit_details[Beds], $L84,
          unit_details[Baths], $M84,
          unit_details[Partial Baths], IF(ISNUMBER($N84),$N84,""),
          unit_details[Sqft],$P84
)),"")</f>
        <v/>
      </c>
      <c r="AF84" s="5" t="str">
        <f>IFERROR(IF(AE84="","",IF($F84="Total",
SUMPRODUCT(
   INDEX(AF:AF, ROW()-COUNTIF($F$6:INDEX($F:$F, ROW()-1), $F83)) : INDEX(AF:AF, ROW()-1),
   INDEX(AB:AB, ROW()-COUNTIF($F$6:INDEX($F:$F, ROW()-1), $F83)) : INDEX(AB:AB, ROW()-1)
   )
   /SUM(INDEX(AB:AB, ROW()-COUNTIF($F$6:INDEX($F:$F, ROW()-1), $F83)) : INDEX(AB:AB, ROW()-1)),
           _xlfn.MAXIFS(unit_details[Asking Rent],
          unit_details[Active Listing?],TRUE,
          unit_details[Property Name], $F84,
          unit_details[Beds], $L84,
          unit_details[Baths], $M84,
          unit_details[Partial Baths], IF(ISNUMBER($N84),$N84,""),
          unit_details[Sqft],$P84
))),"")</f>
        <v/>
      </c>
      <c r="AG84" s="6" t="str">
        <f>IFERROR(IF($F84="Total",
         SUMPRODUCT(
         INDEX(AG:AG, ROW()-COUNTIF($F$6:INDEX($F:$F, ROW()-1), $F83)) : INDEX(AG:AG, ROW()-1),
         INDEX(AB:AB, ROW()-COUNTIF($F$6:INDEX($F:$F, ROW()-1), $F83)) : INDEX(AB:AB, ROW()-1)
         )
         /SUM(INDEX(AB:AB, ROW()-COUNTIF($F$6:INDEX($F:$F, ROW()-1), $F83)) : INDEX(AB:AB, ROW()-1)),
          AVERAGEIFS(unit_details[Asking PSF],
          unit_details[Active Listing?],TRUE,
          unit_details[Property Name], $F84,
          unit_details[Beds], $L84,
          unit_details[Baths], $M84,
          unit_details[Partial Baths], IF(ISNUMBER($N84),$N84,""),
          unit_details[Sqft],$P84
)),"")</f>
        <v/>
      </c>
      <c r="AH84" s="293" t="str">
        <f>IFERROR(IF($F84="Total",
         SUMPRODUCT(
         INDEX(AH:AH, ROW()-COUNTIF($F$6:INDEX($F:$F, ROW()-1), $F83)) : INDEX(AH:AH, ROW()-1),
         INDEX(AB:AB, ROW()-COUNTIF($F$6:INDEX($F:$F, ROW()-1), $F83)) : INDEX(AB:AB, ROW()-1)
         )
         /SUM(INDEX(AB:AB, ROW()-COUNTIF($F$6:INDEX($F:$F, ROW()-1), $F83)) : INDEX(AB:AB, ROW()-1)),
          AVERAGEIFS(unit_details[Effective Rent],
          unit_details[Active Listing?],TRUE,
          unit_details[Property Name], $F84,
          unit_details[Beds], $L84,
          unit_details[Baths], $M84,
          unit_details[Partial Baths], IF(ISNUMBER($N84),$N84,""),
          unit_details[Sqft],$P84
)),"")</f>
        <v/>
      </c>
      <c r="AI84" s="6" t="str">
        <f>IFERROR(IF($F84="Total",
         SUMPRODUCT(
         INDEX(AI:AI, ROW()-COUNTIF($F$6:INDEX($F:$F, ROW()-1), $F83)) : INDEX(AI:AI, ROW()-1),
         INDEX(AB:AB, ROW()-COUNTIF($F$6:INDEX($F:$F, ROW()-1), $F83)) : INDEX(AB:AB, ROW()-1)
         )
         /SUM(INDEX(AB:AB, ROW()-COUNTIF($F$6:INDEX($F:$F, ROW()-1), $F83)) : INDEX(AB:AB, ROW()-1)),
           AVERAGEIFS(unit_details[Effective PSF],
          unit_details[Active Listing?],TRUE,
          unit_details[Property Name], $F84,
          unit_details[Beds], $L84,
          unit_details[Baths], $M84,
          unit_details[Partial Baths], IF(ISNUMBER($N84),$N84,""),
          unit_details[Sqft],$P84
)),"")</f>
        <v/>
      </c>
      <c r="AJ84" s="824" t="str">
        <f t="shared" si="15"/>
        <v/>
      </c>
      <c r="AK84" s="531" t="str">
        <f t="shared" si="16"/>
        <v/>
      </c>
      <c r="AL84" s="714" t="str">
        <f t="shared" si="17"/>
        <v/>
      </c>
      <c r="AM84" s="531" t="str">
        <f t="shared" si="18"/>
        <v/>
      </c>
      <c r="AN84" s="716" t="str">
        <f t="shared" si="19"/>
        <v/>
      </c>
    </row>
    <row r="85" spans="6:40" x14ac:dyDescent="0.2">
      <c r="F85" s="1" t="str">
        <f t="shared" si="12"/>
        <v/>
      </c>
      <c r="G85" s="713" t="str">
        <f t="shared" si="20"/>
        <v/>
      </c>
      <c r="H85" s="17" t="str">
        <f>IFERROR(VLOOKUP($G85,Table1[[Property]:[Exposure %]],4,0),"")</f>
        <v/>
      </c>
      <c r="I85" s="3" t="str">
        <f>IFERROR(VLOOKUP($G85,Table1[[Property]:[Exposure %]],6,0),"")</f>
        <v/>
      </c>
      <c r="J85" s="3" t="str">
        <f>IFERROR(VLOOKUP($G85,Table1[[Property]:[Exposure %]],7,0),"")</f>
        <v/>
      </c>
      <c r="K85"/>
      <c r="L85"/>
      <c r="M85"/>
      <c r="N85"/>
      <c r="O85"/>
      <c r="P85"/>
      <c r="Q85"/>
      <c r="R85" s="4" t="str">
        <f>IFERROR(VLOOKUP(IF(F85="Total",F84,F85),Table1[[Property]:['# Units]],7,0)*S85,"")</f>
        <v/>
      </c>
      <c r="S85" s="27" t="str">
        <f t="shared" si="13"/>
        <v/>
      </c>
      <c r="T85" s="531" t="str">
        <f>IFERROR(
 IF($F85="Total",
   SUMPRODUCT(
   INDEX(T:T, ROW()-COUNTIF($F$6:INDEX($F:$F, ROW()-1), $F84)) : INDEX(T:T, ROW()-1),
   INDEX(W:W, ROW()-COUNTIF($F$6:INDEX($F:$F, ROW()-1), $F84)) : INDEX(W:W, ROW()-1)
   )
   /SUM(INDEX(W:W, ROW()-COUNTIF($F$6:INDEX($F:$F, ROW()-1), $F84)) : INDEX(W:W, ROW()-1)),
   AVERAGEIFS(
     INDEX((unit_details[Asking Rent],unit_details[Asking PSF]),0,1,IF($U$3="Chunk Rent",1,2)),
     unit_details[Leased Date],"&gt;="&amp;($AM$2-T$5),
     unit_details[Leased Date],"&lt;"&amp;$AM$2,
     unit_details[Beds],$L85,
     unit_details[Baths],$M85,
     unit_details[Partial Baths],IF(ISNUMBER($N85),$N85,""),
     unit_details[Sqft],$P85,
     unit_details[Property Name],$F85)
 ),"")</f>
        <v/>
      </c>
      <c r="U85" s="552" t="str">
        <f>IFERROR(
 IF($F85="Total",
   SUMPRODUCT(
   INDEX(U:U, ROW()-COUNTIF($F$6:INDEX($F:$F, ROW()-1), $F84)) : INDEX(U:U, ROW()-1),
   INDEX(W:W, ROW()-COUNTIF($F$6:INDEX($F:$F, ROW()-1), $F84)) : INDEX(W:W, ROW()-1)
   )
   /SUM(INDEX(W:W, ROW()-COUNTIF($F$6:INDEX($F:$F, ROW()-1), $F84)) : INDEX(W:W, ROW()-1)),
   AVERAGEIFS(
     INDEX((unit_details[Effective Rent],unit_details[Effective PSF]),0,1,IF($U$3="Chunk Rent",1,2)),
     unit_details[Leased Date],"&gt;="&amp;($AM$2-T$5),
     unit_details[Leased Date],"&lt;"&amp;$AM$2,
     unit_details[Beds],$L85,
     unit_details[Baths],$M85,
     unit_details[Partial Baths],IF(ISNUMBER($N85),$N85,""),
     unit_details[Sqft],$P85,
     unit_details[Property Name],$F85)
 ),"")</f>
        <v/>
      </c>
      <c r="V85" s="27" t="str">
        <f t="shared" si="21"/>
        <v/>
      </c>
      <c r="W85" s="526">
        <f>IFERROR(
  IF($F85="Total",
    SUM(INDEX(W:W, ROW()-COUNTIF($F$6:INDEX($F:$F, ROW()-1), $F84)) : INDEX(W:W, ROW()-1)),
    COUNTIFS(
      unit_details[Leased Date], "&gt;="&amp;($AM$2-T$5),
      unit_details[Leased Date], "&lt;"&amp;$AM$2,
      unit_details[Beds], $L85,
      unit_details[Baths], $M85,
      unit_details[Partial Baths], IF(ISNUMBER($N85), $N85, ""),
      unit_details[Sqft],$P85,
      unit_details[Property Name], $F85
    )
  ),
"")</f>
        <v>0</v>
      </c>
      <c r="X85" s="531" t="str">
        <f>IFERROR(
 IF($F85="Total",
   SUMPRODUCT(
   INDEX(X:X, ROW()-COUNTIF($F$6:INDEX($F:$F, ROW()-1), $F84)) : INDEX(X:X, ROW()-1),
   INDEX(AA:AA, ROW()-COUNTIF($F$6:INDEX($F:$F, ROW()-1), $F84)) : INDEX(AA:AA, ROW()-1)
   )
   /SUM(INDEX(AA:AA, ROW()-COUNTIF($F$6:INDEX($F:$F, ROW()-1), $F84)) : INDEX(AA:AA, ROW()-1)),
   AVERAGEIFS(
     INDEX((unit_details[Asking Rent],unit_details[Asking PSF]),0,1,IF($U$3="Chunk Rent",1,2)),
     unit_details[Leased Date],"&gt;="&amp;($AM$2-X$5),
     unit_details[Leased Date],"&lt;"&amp;$AM$2,
     unit_details[Beds],$L85,
     unit_details[Baths],$M85,
     unit_details[Partial Baths],IF(ISNUMBER($N85),$N85,""),
     unit_details[Sqft],$P85,
     unit_details[Property Name],$F85)
 ),"")</f>
        <v/>
      </c>
      <c r="Y85" s="552" t="str">
        <f>IFERROR(
 IF($F85="Total",
   SUMPRODUCT(
   INDEX(Y:Y, ROW()-COUNTIF($F$6:INDEX($F:$F, ROW()-1), $F84)) : INDEX(Y:Y, ROW()-1),
   INDEX(AA:AA, ROW()-COUNTIF($F$6:INDEX($F:$F, ROW()-1), $F84)) : INDEX(AA:AA, ROW()-1)
   )
   /SUM(INDEX(AA:AA, ROW()-COUNTIF($F$6:INDEX($F:$F, ROW()-1), $F84)) : INDEX(AA:AA, ROW()-1)),
   AVERAGEIFS(
     INDEX((unit_details[Effective Rent],unit_details[Effective PSF]),0,1,IF($U$3="Chunk Rent",1,2)),
     unit_details[Leased Date],"&gt;="&amp;($AM$2-X$5),
     unit_details[Leased Date],"&lt;"&amp;$AM$2,
     unit_details[Beds],$L85,
     unit_details[Baths],$M85,
     unit_details[Partial Baths],IF(ISNUMBER($N85),$N85,""),
     unit_details[Sqft],$P85,
     unit_details[Property Name],$F85)
 ),"")</f>
        <v/>
      </c>
      <c r="Z85" s="27" t="str">
        <f t="shared" si="22"/>
        <v/>
      </c>
      <c r="AA85" s="526">
        <f>IFERROR(
  IF($F85="Total",
    SUM(INDEX(AA:AA, ROW()-COUNTIF($F$6:INDEX($F:$F, ROW()-1), $F84)) : INDEX(AA:AA, ROW()-1)),
    COUNTIFS(
      unit_details[Leased Date], "&gt;="&amp;($AM$2-X$5),
      unit_details[Leased Date], "&lt;"&amp;$AM$2,
      unit_details[Beds], $L85,
      unit_details[Baths], $M85,
      unit_details[Partial Baths], IF(ISNUMBER($N85), $N85, ""),
      unit_details[Sqft],$P85,
      unit_details[Property Name], $F85
    )
  ),
"")</f>
        <v>0</v>
      </c>
      <c r="AB85" s="290">
        <f>IF($F85="Total",
SUM(INDEX(AB:AB, ROW()-COUNTIF($F$6:INDEX($F:$F, ROW()-1), $F84)) : INDEX(AB:AB, ROW()-1)),
COUNTIFS(unit_details[Active Listing?],TRUE,
          unit_details[Property Name], $F85,
          unit_details[Beds], $L85,
          unit_details[Baths], $M85,
          unit_details[Partial Baths],IF(ISNUMBER($N85),$N85,""),
          unit_details[Sqft],$P85))</f>
        <v>0</v>
      </c>
      <c r="AC85" s="27" t="str">
        <f t="shared" si="14"/>
        <v/>
      </c>
      <c r="AD85" s="293" t="str">
        <f>IFERROR(IF(AE85="","",IF($F85="Total",
SUMPRODUCT(
   INDEX(AD:AD, ROW()-COUNTIF($F$6:INDEX($F:$F, ROW()-1), $F84)) : INDEX(AD:AD, ROW()-1),
   INDEX(AB:AB, ROW()-COUNTIF($F$6:INDEX($F:$F, ROW()-1), $F84)) : INDEX(AB:AB, ROW()-1)
   )
   /SUM(INDEX(AB:AB, ROW()-COUNTIF($F$6:INDEX($F:$F, ROW()-1), $F84)) : INDEX(AB:AB, ROW()-1)),
          _xlfn.MINIFS(unit_details[Asking Rent],
          unit_details[Active Listing?],TRUE,
          unit_details[Property Name], $F85,
          unit_details[Beds], $L85,
          unit_details[Baths], $M85,
          unit_details[Partial Baths], IF(ISNUMBER($N85),$N85,""),
          unit_details[Sqft],$P85
))),"")</f>
        <v/>
      </c>
      <c r="AE85" s="5" t="str">
        <f>IFERROR(IF($F85="Total",
          SUMPRODUCT(
   INDEX(AE:AE, ROW()-COUNTIF($F$6:INDEX($F:$F, ROW()-1), $F84)) : INDEX(AE:AE, ROW()-1),
   INDEX(AB:AB, ROW()-COUNTIF($F$6:INDEX($F:$F, ROW()-1), $F84)) : INDEX(AB:AB, ROW()-1)
   )
   /SUM(INDEX(AB:AB, ROW()-COUNTIF($F$6:INDEX($F:$F, ROW()-1), $F84)) : INDEX(AB:AB, ROW()-1)),
          AVERAGEIFS(unit_details[Asking Rent],
          unit_details[Active Listing?],TRUE,
          unit_details[Property Name], $F85,
          unit_details[Beds], $L85,
          unit_details[Baths], $M85,
          unit_details[Partial Baths], IF(ISNUMBER($N85),$N85,""),
          unit_details[Sqft],$P85
)),"")</f>
        <v/>
      </c>
      <c r="AF85" s="5" t="str">
        <f>IFERROR(IF(AE85="","",IF($F85="Total",
SUMPRODUCT(
   INDEX(AF:AF, ROW()-COUNTIF($F$6:INDEX($F:$F, ROW()-1), $F84)) : INDEX(AF:AF, ROW()-1),
   INDEX(AB:AB, ROW()-COUNTIF($F$6:INDEX($F:$F, ROW()-1), $F84)) : INDEX(AB:AB, ROW()-1)
   )
   /SUM(INDEX(AB:AB, ROW()-COUNTIF($F$6:INDEX($F:$F, ROW()-1), $F84)) : INDEX(AB:AB, ROW()-1)),
           _xlfn.MAXIFS(unit_details[Asking Rent],
          unit_details[Active Listing?],TRUE,
          unit_details[Property Name], $F85,
          unit_details[Beds], $L85,
          unit_details[Baths], $M85,
          unit_details[Partial Baths], IF(ISNUMBER($N85),$N85,""),
          unit_details[Sqft],$P85
))),"")</f>
        <v/>
      </c>
      <c r="AG85" s="6" t="str">
        <f>IFERROR(IF($F85="Total",
         SUMPRODUCT(
         INDEX(AG:AG, ROW()-COUNTIF($F$6:INDEX($F:$F, ROW()-1), $F84)) : INDEX(AG:AG, ROW()-1),
         INDEX(AB:AB, ROW()-COUNTIF($F$6:INDEX($F:$F, ROW()-1), $F84)) : INDEX(AB:AB, ROW()-1)
         )
         /SUM(INDEX(AB:AB, ROW()-COUNTIF($F$6:INDEX($F:$F, ROW()-1), $F84)) : INDEX(AB:AB, ROW()-1)),
          AVERAGEIFS(unit_details[Asking PSF],
          unit_details[Active Listing?],TRUE,
          unit_details[Property Name], $F85,
          unit_details[Beds], $L85,
          unit_details[Baths], $M85,
          unit_details[Partial Baths], IF(ISNUMBER($N85),$N85,""),
          unit_details[Sqft],$P85
)),"")</f>
        <v/>
      </c>
      <c r="AH85" s="293" t="str">
        <f>IFERROR(IF($F85="Total",
         SUMPRODUCT(
         INDEX(AH:AH, ROW()-COUNTIF($F$6:INDEX($F:$F, ROW()-1), $F84)) : INDEX(AH:AH, ROW()-1),
         INDEX(AB:AB, ROW()-COUNTIF($F$6:INDEX($F:$F, ROW()-1), $F84)) : INDEX(AB:AB, ROW()-1)
         )
         /SUM(INDEX(AB:AB, ROW()-COUNTIF($F$6:INDEX($F:$F, ROW()-1), $F84)) : INDEX(AB:AB, ROW()-1)),
          AVERAGEIFS(unit_details[Effective Rent],
          unit_details[Active Listing?],TRUE,
          unit_details[Property Name], $F85,
          unit_details[Beds], $L85,
          unit_details[Baths], $M85,
          unit_details[Partial Baths], IF(ISNUMBER($N85),$N85,""),
          unit_details[Sqft],$P85
)),"")</f>
        <v/>
      </c>
      <c r="AI85" s="6" t="str">
        <f>IFERROR(IF($F85="Total",
         SUMPRODUCT(
         INDEX(AI:AI, ROW()-COUNTIF($F$6:INDEX($F:$F, ROW()-1), $F84)) : INDEX(AI:AI, ROW()-1),
         INDEX(AB:AB, ROW()-COUNTIF($F$6:INDEX($F:$F, ROW()-1), $F84)) : INDEX(AB:AB, ROW()-1)
         )
         /SUM(INDEX(AB:AB, ROW()-COUNTIF($F$6:INDEX($F:$F, ROW()-1), $F84)) : INDEX(AB:AB, ROW()-1)),
           AVERAGEIFS(unit_details[Effective PSF],
          unit_details[Active Listing?],TRUE,
          unit_details[Property Name], $F85,
          unit_details[Beds], $L85,
          unit_details[Baths], $M85,
          unit_details[Partial Baths], IF(ISNUMBER($N85),$N85,""),
          unit_details[Sqft],$P85
)),"")</f>
        <v/>
      </c>
      <c r="AJ85" s="824" t="str">
        <f t="shared" si="15"/>
        <v/>
      </c>
      <c r="AK85" s="531" t="str">
        <f t="shared" si="16"/>
        <v/>
      </c>
      <c r="AL85" s="714" t="str">
        <f t="shared" si="17"/>
        <v/>
      </c>
      <c r="AM85" s="531" t="str">
        <f t="shared" si="18"/>
        <v/>
      </c>
      <c r="AN85" s="716" t="str">
        <f t="shared" si="19"/>
        <v/>
      </c>
    </row>
    <row r="86" spans="6:40" x14ac:dyDescent="0.2">
      <c r="F86" s="1" t="str">
        <f t="shared" si="12"/>
        <v/>
      </c>
      <c r="G86" s="713" t="str">
        <f t="shared" si="20"/>
        <v/>
      </c>
      <c r="H86" s="17" t="str">
        <f>IFERROR(VLOOKUP($G86,Table1[[Property]:[Exposure %]],4,0),"")</f>
        <v/>
      </c>
      <c r="I86" s="3" t="str">
        <f>IFERROR(VLOOKUP($G86,Table1[[Property]:[Exposure %]],6,0),"")</f>
        <v/>
      </c>
      <c r="J86" s="3" t="str">
        <f>IFERROR(VLOOKUP($G86,Table1[[Property]:[Exposure %]],7,0),"")</f>
        <v/>
      </c>
      <c r="K86"/>
      <c r="L86"/>
      <c r="M86"/>
      <c r="N86"/>
      <c r="O86"/>
      <c r="P86"/>
      <c r="Q86"/>
      <c r="R86" s="4" t="str">
        <f>IFERROR(VLOOKUP(IF(F86="Total",F85,F86),Table1[[Property]:['# Units]],7,0)*S86,"")</f>
        <v/>
      </c>
      <c r="S86" s="27" t="str">
        <f t="shared" si="13"/>
        <v/>
      </c>
      <c r="T86" s="531" t="str">
        <f>IFERROR(
 IF($F86="Total",
   SUMPRODUCT(
   INDEX(T:T, ROW()-COUNTIF($F$6:INDEX($F:$F, ROW()-1), $F85)) : INDEX(T:T, ROW()-1),
   INDEX(W:W, ROW()-COUNTIF($F$6:INDEX($F:$F, ROW()-1), $F85)) : INDEX(W:W, ROW()-1)
   )
   /SUM(INDEX(W:W, ROW()-COUNTIF($F$6:INDEX($F:$F, ROW()-1), $F85)) : INDEX(W:W, ROW()-1)),
   AVERAGEIFS(
     INDEX((unit_details[Asking Rent],unit_details[Asking PSF]),0,1,IF($U$3="Chunk Rent",1,2)),
     unit_details[Leased Date],"&gt;="&amp;($AM$2-T$5),
     unit_details[Leased Date],"&lt;"&amp;$AM$2,
     unit_details[Beds],$L86,
     unit_details[Baths],$M86,
     unit_details[Partial Baths],IF(ISNUMBER($N86),$N86,""),
     unit_details[Sqft],$P86,
     unit_details[Property Name],$F86)
 ),"")</f>
        <v/>
      </c>
      <c r="U86" s="552" t="str">
        <f>IFERROR(
 IF($F86="Total",
   SUMPRODUCT(
   INDEX(U:U, ROW()-COUNTIF($F$6:INDEX($F:$F, ROW()-1), $F85)) : INDEX(U:U, ROW()-1),
   INDEX(W:W, ROW()-COUNTIF($F$6:INDEX($F:$F, ROW()-1), $F85)) : INDEX(W:W, ROW()-1)
   )
   /SUM(INDEX(W:W, ROW()-COUNTIF($F$6:INDEX($F:$F, ROW()-1), $F85)) : INDEX(W:W, ROW()-1)),
   AVERAGEIFS(
     INDEX((unit_details[Effective Rent],unit_details[Effective PSF]),0,1,IF($U$3="Chunk Rent",1,2)),
     unit_details[Leased Date],"&gt;="&amp;($AM$2-T$5),
     unit_details[Leased Date],"&lt;"&amp;$AM$2,
     unit_details[Beds],$L86,
     unit_details[Baths],$M86,
     unit_details[Partial Baths],IF(ISNUMBER($N86),$N86,""),
     unit_details[Sqft],$P86,
     unit_details[Property Name],$F86)
 ),"")</f>
        <v/>
      </c>
      <c r="V86" s="27" t="str">
        <f t="shared" si="21"/>
        <v/>
      </c>
      <c r="W86" s="526">
        <f>IFERROR(
  IF($F86="Total",
    SUM(INDEX(W:W, ROW()-COUNTIF($F$6:INDEX($F:$F, ROW()-1), $F85)) : INDEX(W:W, ROW()-1)),
    COUNTIFS(
      unit_details[Leased Date], "&gt;="&amp;($AM$2-T$5),
      unit_details[Leased Date], "&lt;"&amp;$AM$2,
      unit_details[Beds], $L86,
      unit_details[Baths], $M86,
      unit_details[Partial Baths], IF(ISNUMBER($N86), $N86, ""),
      unit_details[Sqft],$P86,
      unit_details[Property Name], $F86
    )
  ),
"")</f>
        <v>0</v>
      </c>
      <c r="X86" s="531" t="str">
        <f>IFERROR(
 IF($F86="Total",
   SUMPRODUCT(
   INDEX(X:X, ROW()-COUNTIF($F$6:INDEX($F:$F, ROW()-1), $F85)) : INDEX(X:X, ROW()-1),
   INDEX(AA:AA, ROW()-COUNTIF($F$6:INDEX($F:$F, ROW()-1), $F85)) : INDEX(AA:AA, ROW()-1)
   )
   /SUM(INDEX(AA:AA, ROW()-COUNTIF($F$6:INDEX($F:$F, ROW()-1), $F85)) : INDEX(AA:AA, ROW()-1)),
   AVERAGEIFS(
     INDEX((unit_details[Asking Rent],unit_details[Asking PSF]),0,1,IF($U$3="Chunk Rent",1,2)),
     unit_details[Leased Date],"&gt;="&amp;($AM$2-X$5),
     unit_details[Leased Date],"&lt;"&amp;$AM$2,
     unit_details[Beds],$L86,
     unit_details[Baths],$M86,
     unit_details[Partial Baths],IF(ISNUMBER($N86),$N86,""),
     unit_details[Sqft],$P86,
     unit_details[Property Name],$F86)
 ),"")</f>
        <v/>
      </c>
      <c r="Y86" s="552" t="str">
        <f>IFERROR(
 IF($F86="Total",
   SUMPRODUCT(
   INDEX(Y:Y, ROW()-COUNTIF($F$6:INDEX($F:$F, ROW()-1), $F85)) : INDEX(Y:Y, ROW()-1),
   INDEX(AA:AA, ROW()-COUNTIF($F$6:INDEX($F:$F, ROW()-1), $F85)) : INDEX(AA:AA, ROW()-1)
   )
   /SUM(INDEX(AA:AA, ROW()-COUNTIF($F$6:INDEX($F:$F, ROW()-1), $F85)) : INDEX(AA:AA, ROW()-1)),
   AVERAGEIFS(
     INDEX((unit_details[Effective Rent],unit_details[Effective PSF]),0,1,IF($U$3="Chunk Rent",1,2)),
     unit_details[Leased Date],"&gt;="&amp;($AM$2-X$5),
     unit_details[Leased Date],"&lt;"&amp;$AM$2,
     unit_details[Beds],$L86,
     unit_details[Baths],$M86,
     unit_details[Partial Baths],IF(ISNUMBER($N86),$N86,""),
     unit_details[Sqft],$P86,
     unit_details[Property Name],$F86)
 ),"")</f>
        <v/>
      </c>
      <c r="Z86" s="27" t="str">
        <f t="shared" si="22"/>
        <v/>
      </c>
      <c r="AA86" s="526">
        <f>IFERROR(
  IF($F86="Total",
    SUM(INDEX(AA:AA, ROW()-COUNTIF($F$6:INDEX($F:$F, ROW()-1), $F85)) : INDEX(AA:AA, ROW()-1)),
    COUNTIFS(
      unit_details[Leased Date], "&gt;="&amp;($AM$2-X$5),
      unit_details[Leased Date], "&lt;"&amp;$AM$2,
      unit_details[Beds], $L86,
      unit_details[Baths], $M86,
      unit_details[Partial Baths], IF(ISNUMBER($N86), $N86, ""),
      unit_details[Sqft],$P86,
      unit_details[Property Name], $F86
    )
  ),
"")</f>
        <v>0</v>
      </c>
      <c r="AB86" s="290">
        <f>IF($F86="Total",
SUM(INDEX(AB:AB, ROW()-COUNTIF($F$6:INDEX($F:$F, ROW()-1), $F85)) : INDEX(AB:AB, ROW()-1)),
COUNTIFS(unit_details[Active Listing?],TRUE,
          unit_details[Property Name], $F86,
          unit_details[Beds], $L86,
          unit_details[Baths], $M86,
          unit_details[Partial Baths],IF(ISNUMBER($N86),$N86,""),
          unit_details[Sqft],$P86))</f>
        <v>0</v>
      </c>
      <c r="AC86" s="27" t="str">
        <f t="shared" si="14"/>
        <v/>
      </c>
      <c r="AD86" s="293" t="str">
        <f>IFERROR(IF(AE86="","",IF($F86="Total",
SUMPRODUCT(
   INDEX(AD:AD, ROW()-COUNTIF($F$6:INDEX($F:$F, ROW()-1), $F85)) : INDEX(AD:AD, ROW()-1),
   INDEX(AB:AB, ROW()-COUNTIF($F$6:INDEX($F:$F, ROW()-1), $F85)) : INDEX(AB:AB, ROW()-1)
   )
   /SUM(INDEX(AB:AB, ROW()-COUNTIF($F$6:INDEX($F:$F, ROW()-1), $F85)) : INDEX(AB:AB, ROW()-1)),
          _xlfn.MINIFS(unit_details[Asking Rent],
          unit_details[Active Listing?],TRUE,
          unit_details[Property Name], $F86,
          unit_details[Beds], $L86,
          unit_details[Baths], $M86,
          unit_details[Partial Baths], IF(ISNUMBER($N86),$N86,""),
          unit_details[Sqft],$P86
))),"")</f>
        <v/>
      </c>
      <c r="AE86" s="5" t="str">
        <f>IFERROR(IF($F86="Total",
          SUMPRODUCT(
   INDEX(AE:AE, ROW()-COUNTIF($F$6:INDEX($F:$F, ROW()-1), $F85)) : INDEX(AE:AE, ROW()-1),
   INDEX(AB:AB, ROW()-COUNTIF($F$6:INDEX($F:$F, ROW()-1), $F85)) : INDEX(AB:AB, ROW()-1)
   )
   /SUM(INDEX(AB:AB, ROW()-COUNTIF($F$6:INDEX($F:$F, ROW()-1), $F85)) : INDEX(AB:AB, ROW()-1)),
          AVERAGEIFS(unit_details[Asking Rent],
          unit_details[Active Listing?],TRUE,
          unit_details[Property Name], $F86,
          unit_details[Beds], $L86,
          unit_details[Baths], $M86,
          unit_details[Partial Baths], IF(ISNUMBER($N86),$N86,""),
          unit_details[Sqft],$P86
)),"")</f>
        <v/>
      </c>
      <c r="AF86" s="5" t="str">
        <f>IFERROR(IF(AE86="","",IF($F86="Total",
SUMPRODUCT(
   INDEX(AF:AF, ROW()-COUNTIF($F$6:INDEX($F:$F, ROW()-1), $F85)) : INDEX(AF:AF, ROW()-1),
   INDEX(AB:AB, ROW()-COUNTIF($F$6:INDEX($F:$F, ROW()-1), $F85)) : INDEX(AB:AB, ROW()-1)
   )
   /SUM(INDEX(AB:AB, ROW()-COUNTIF($F$6:INDEX($F:$F, ROW()-1), $F85)) : INDEX(AB:AB, ROW()-1)),
           _xlfn.MAXIFS(unit_details[Asking Rent],
          unit_details[Active Listing?],TRUE,
          unit_details[Property Name], $F86,
          unit_details[Beds], $L86,
          unit_details[Baths], $M86,
          unit_details[Partial Baths], IF(ISNUMBER($N86),$N86,""),
          unit_details[Sqft],$P86
))),"")</f>
        <v/>
      </c>
      <c r="AG86" s="6" t="str">
        <f>IFERROR(IF($F86="Total",
         SUMPRODUCT(
         INDEX(AG:AG, ROW()-COUNTIF($F$6:INDEX($F:$F, ROW()-1), $F85)) : INDEX(AG:AG, ROW()-1),
         INDEX(AB:AB, ROW()-COUNTIF($F$6:INDEX($F:$F, ROW()-1), $F85)) : INDEX(AB:AB, ROW()-1)
         )
         /SUM(INDEX(AB:AB, ROW()-COUNTIF($F$6:INDEX($F:$F, ROW()-1), $F85)) : INDEX(AB:AB, ROW()-1)),
          AVERAGEIFS(unit_details[Asking PSF],
          unit_details[Active Listing?],TRUE,
          unit_details[Property Name], $F86,
          unit_details[Beds], $L86,
          unit_details[Baths], $M86,
          unit_details[Partial Baths], IF(ISNUMBER($N86),$N86,""),
          unit_details[Sqft],$P86
)),"")</f>
        <v/>
      </c>
      <c r="AH86" s="293" t="str">
        <f>IFERROR(IF($F86="Total",
         SUMPRODUCT(
         INDEX(AH:AH, ROW()-COUNTIF($F$6:INDEX($F:$F, ROW()-1), $F85)) : INDEX(AH:AH, ROW()-1),
         INDEX(AB:AB, ROW()-COUNTIF($F$6:INDEX($F:$F, ROW()-1), $F85)) : INDEX(AB:AB, ROW()-1)
         )
         /SUM(INDEX(AB:AB, ROW()-COUNTIF($F$6:INDEX($F:$F, ROW()-1), $F85)) : INDEX(AB:AB, ROW()-1)),
          AVERAGEIFS(unit_details[Effective Rent],
          unit_details[Active Listing?],TRUE,
          unit_details[Property Name], $F86,
          unit_details[Beds], $L86,
          unit_details[Baths], $M86,
          unit_details[Partial Baths], IF(ISNUMBER($N86),$N86,""),
          unit_details[Sqft],$P86
)),"")</f>
        <v/>
      </c>
      <c r="AI86" s="6" t="str">
        <f>IFERROR(IF($F86="Total",
         SUMPRODUCT(
         INDEX(AI:AI, ROW()-COUNTIF($F$6:INDEX($F:$F, ROW()-1), $F85)) : INDEX(AI:AI, ROW()-1),
         INDEX(AB:AB, ROW()-COUNTIF($F$6:INDEX($F:$F, ROW()-1), $F85)) : INDEX(AB:AB, ROW()-1)
         )
         /SUM(INDEX(AB:AB, ROW()-COUNTIF($F$6:INDEX($F:$F, ROW()-1), $F85)) : INDEX(AB:AB, ROW()-1)),
           AVERAGEIFS(unit_details[Effective PSF],
          unit_details[Active Listing?],TRUE,
          unit_details[Property Name], $F86,
          unit_details[Beds], $L86,
          unit_details[Baths], $M86,
          unit_details[Partial Baths], IF(ISNUMBER($N86),$N86,""),
          unit_details[Sqft],$P86
)),"")</f>
        <v/>
      </c>
      <c r="AJ86" s="824" t="str">
        <f t="shared" si="15"/>
        <v/>
      </c>
      <c r="AK86" s="531" t="str">
        <f t="shared" si="16"/>
        <v/>
      </c>
      <c r="AL86" s="714" t="str">
        <f t="shared" si="17"/>
        <v/>
      </c>
      <c r="AM86" s="531" t="str">
        <f t="shared" si="18"/>
        <v/>
      </c>
      <c r="AN86" s="716" t="str">
        <f t="shared" si="19"/>
        <v/>
      </c>
    </row>
    <row r="87" spans="6:40" x14ac:dyDescent="0.2">
      <c r="F87" s="1" t="str">
        <f t="shared" si="12"/>
        <v/>
      </c>
      <c r="G87" s="713" t="str">
        <f t="shared" si="20"/>
        <v/>
      </c>
      <c r="H87" s="17" t="str">
        <f>IFERROR(VLOOKUP($G87,Table1[[Property]:[Exposure %]],4,0),"")</f>
        <v/>
      </c>
      <c r="I87" s="3" t="str">
        <f>IFERROR(VLOOKUP($G87,Table1[[Property]:[Exposure %]],6,0),"")</f>
        <v/>
      </c>
      <c r="J87" s="3" t="str">
        <f>IFERROR(VLOOKUP($G87,Table1[[Property]:[Exposure %]],7,0),"")</f>
        <v/>
      </c>
      <c r="K87"/>
      <c r="L87"/>
      <c r="M87"/>
      <c r="N87"/>
      <c r="O87"/>
      <c r="P87"/>
      <c r="Q87"/>
      <c r="R87" s="4" t="str">
        <f>IFERROR(VLOOKUP(IF(F87="Total",F86,F87),Table1[[Property]:['# Units]],7,0)*S87,"")</f>
        <v/>
      </c>
      <c r="S87" s="27" t="str">
        <f t="shared" si="13"/>
        <v/>
      </c>
      <c r="T87" s="531" t="str">
        <f>IFERROR(
 IF($F87="Total",
   SUMPRODUCT(
   INDEX(T:T, ROW()-COUNTIF($F$6:INDEX($F:$F, ROW()-1), $F86)) : INDEX(T:T, ROW()-1),
   INDEX(W:W, ROW()-COUNTIF($F$6:INDEX($F:$F, ROW()-1), $F86)) : INDEX(W:W, ROW()-1)
   )
   /SUM(INDEX(W:W, ROW()-COUNTIF($F$6:INDEX($F:$F, ROW()-1), $F86)) : INDEX(W:W, ROW()-1)),
   AVERAGEIFS(
     INDEX((unit_details[Asking Rent],unit_details[Asking PSF]),0,1,IF($U$3="Chunk Rent",1,2)),
     unit_details[Leased Date],"&gt;="&amp;($AM$2-T$5),
     unit_details[Leased Date],"&lt;"&amp;$AM$2,
     unit_details[Beds],$L87,
     unit_details[Baths],$M87,
     unit_details[Partial Baths],IF(ISNUMBER($N87),$N87,""),
     unit_details[Sqft],$P87,
     unit_details[Property Name],$F87)
 ),"")</f>
        <v/>
      </c>
      <c r="U87" s="552" t="str">
        <f>IFERROR(
 IF($F87="Total",
   SUMPRODUCT(
   INDEX(U:U, ROW()-COUNTIF($F$6:INDEX($F:$F, ROW()-1), $F86)) : INDEX(U:U, ROW()-1),
   INDEX(W:W, ROW()-COUNTIF($F$6:INDEX($F:$F, ROW()-1), $F86)) : INDEX(W:W, ROW()-1)
   )
   /SUM(INDEX(W:W, ROW()-COUNTIF($F$6:INDEX($F:$F, ROW()-1), $F86)) : INDEX(W:W, ROW()-1)),
   AVERAGEIFS(
     INDEX((unit_details[Effective Rent],unit_details[Effective PSF]),0,1,IF($U$3="Chunk Rent",1,2)),
     unit_details[Leased Date],"&gt;="&amp;($AM$2-T$5),
     unit_details[Leased Date],"&lt;"&amp;$AM$2,
     unit_details[Beds],$L87,
     unit_details[Baths],$M87,
     unit_details[Partial Baths],IF(ISNUMBER($N87),$N87,""),
     unit_details[Sqft],$P87,
     unit_details[Property Name],$F87)
 ),"")</f>
        <v/>
      </c>
      <c r="V87" s="27" t="str">
        <f t="shared" si="21"/>
        <v/>
      </c>
      <c r="W87" s="526">
        <f>IFERROR(
  IF($F87="Total",
    SUM(INDEX(W:W, ROW()-COUNTIF($F$6:INDEX($F:$F, ROW()-1), $F86)) : INDEX(W:W, ROW()-1)),
    COUNTIFS(
      unit_details[Leased Date], "&gt;="&amp;($AM$2-T$5),
      unit_details[Leased Date], "&lt;"&amp;$AM$2,
      unit_details[Beds], $L87,
      unit_details[Baths], $M87,
      unit_details[Partial Baths], IF(ISNUMBER($N87), $N87, ""),
      unit_details[Sqft],$P87,
      unit_details[Property Name], $F87
    )
  ),
"")</f>
        <v>0</v>
      </c>
      <c r="X87" s="531" t="str">
        <f>IFERROR(
 IF($F87="Total",
   SUMPRODUCT(
   INDEX(X:X, ROW()-COUNTIF($F$6:INDEX($F:$F, ROW()-1), $F86)) : INDEX(X:X, ROW()-1),
   INDEX(AA:AA, ROW()-COUNTIF($F$6:INDEX($F:$F, ROW()-1), $F86)) : INDEX(AA:AA, ROW()-1)
   )
   /SUM(INDEX(AA:AA, ROW()-COUNTIF($F$6:INDEX($F:$F, ROW()-1), $F86)) : INDEX(AA:AA, ROW()-1)),
   AVERAGEIFS(
     INDEX((unit_details[Asking Rent],unit_details[Asking PSF]),0,1,IF($U$3="Chunk Rent",1,2)),
     unit_details[Leased Date],"&gt;="&amp;($AM$2-X$5),
     unit_details[Leased Date],"&lt;"&amp;$AM$2,
     unit_details[Beds],$L87,
     unit_details[Baths],$M87,
     unit_details[Partial Baths],IF(ISNUMBER($N87),$N87,""),
     unit_details[Sqft],$P87,
     unit_details[Property Name],$F87)
 ),"")</f>
        <v/>
      </c>
      <c r="Y87" s="552" t="str">
        <f>IFERROR(
 IF($F87="Total",
   SUMPRODUCT(
   INDEX(Y:Y, ROW()-COUNTIF($F$6:INDEX($F:$F, ROW()-1), $F86)) : INDEX(Y:Y, ROW()-1),
   INDEX(AA:AA, ROW()-COUNTIF($F$6:INDEX($F:$F, ROW()-1), $F86)) : INDEX(AA:AA, ROW()-1)
   )
   /SUM(INDEX(AA:AA, ROW()-COUNTIF($F$6:INDEX($F:$F, ROW()-1), $F86)) : INDEX(AA:AA, ROW()-1)),
   AVERAGEIFS(
     INDEX((unit_details[Effective Rent],unit_details[Effective PSF]),0,1,IF($U$3="Chunk Rent",1,2)),
     unit_details[Leased Date],"&gt;="&amp;($AM$2-X$5),
     unit_details[Leased Date],"&lt;"&amp;$AM$2,
     unit_details[Beds],$L87,
     unit_details[Baths],$M87,
     unit_details[Partial Baths],IF(ISNUMBER($N87),$N87,""),
     unit_details[Sqft],$P87,
     unit_details[Property Name],$F87)
 ),"")</f>
        <v/>
      </c>
      <c r="Z87" s="27" t="str">
        <f t="shared" si="22"/>
        <v/>
      </c>
      <c r="AA87" s="526">
        <f>IFERROR(
  IF($F87="Total",
    SUM(INDEX(AA:AA, ROW()-COUNTIF($F$6:INDEX($F:$F, ROW()-1), $F86)) : INDEX(AA:AA, ROW()-1)),
    COUNTIFS(
      unit_details[Leased Date], "&gt;="&amp;($AM$2-X$5),
      unit_details[Leased Date], "&lt;"&amp;$AM$2,
      unit_details[Beds], $L87,
      unit_details[Baths], $M87,
      unit_details[Partial Baths], IF(ISNUMBER($N87), $N87, ""),
      unit_details[Sqft],$P87,
      unit_details[Property Name], $F87
    )
  ),
"")</f>
        <v>0</v>
      </c>
      <c r="AB87" s="290">
        <f>IF($F87="Total",
SUM(INDEX(AB:AB, ROW()-COUNTIF($F$6:INDEX($F:$F, ROW()-1), $F86)) : INDEX(AB:AB, ROW()-1)),
COUNTIFS(unit_details[Active Listing?],TRUE,
          unit_details[Property Name], $F87,
          unit_details[Beds], $L87,
          unit_details[Baths], $M87,
          unit_details[Partial Baths],IF(ISNUMBER($N87),$N87,""),
          unit_details[Sqft],$P87))</f>
        <v>0</v>
      </c>
      <c r="AC87" s="27" t="str">
        <f t="shared" si="14"/>
        <v/>
      </c>
      <c r="AD87" s="293" t="str">
        <f>IFERROR(IF(AE87="","",IF($F87="Total",
SUMPRODUCT(
   INDEX(AD:AD, ROW()-COUNTIF($F$6:INDEX($F:$F, ROW()-1), $F86)) : INDEX(AD:AD, ROW()-1),
   INDEX(AB:AB, ROW()-COUNTIF($F$6:INDEX($F:$F, ROW()-1), $F86)) : INDEX(AB:AB, ROW()-1)
   )
   /SUM(INDEX(AB:AB, ROW()-COUNTIF($F$6:INDEX($F:$F, ROW()-1), $F86)) : INDEX(AB:AB, ROW()-1)),
          _xlfn.MINIFS(unit_details[Asking Rent],
          unit_details[Active Listing?],TRUE,
          unit_details[Property Name], $F87,
          unit_details[Beds], $L87,
          unit_details[Baths], $M87,
          unit_details[Partial Baths], IF(ISNUMBER($N87),$N87,""),
          unit_details[Sqft],$P87
))),"")</f>
        <v/>
      </c>
      <c r="AE87" s="5" t="str">
        <f>IFERROR(IF($F87="Total",
          SUMPRODUCT(
   INDEX(AE:AE, ROW()-COUNTIF($F$6:INDEX($F:$F, ROW()-1), $F86)) : INDEX(AE:AE, ROW()-1),
   INDEX(AB:AB, ROW()-COUNTIF($F$6:INDEX($F:$F, ROW()-1), $F86)) : INDEX(AB:AB, ROW()-1)
   )
   /SUM(INDEX(AB:AB, ROW()-COUNTIF($F$6:INDEX($F:$F, ROW()-1), $F86)) : INDEX(AB:AB, ROW()-1)),
          AVERAGEIFS(unit_details[Asking Rent],
          unit_details[Active Listing?],TRUE,
          unit_details[Property Name], $F87,
          unit_details[Beds], $L87,
          unit_details[Baths], $M87,
          unit_details[Partial Baths], IF(ISNUMBER($N87),$N87,""),
          unit_details[Sqft],$P87
)),"")</f>
        <v/>
      </c>
      <c r="AF87" s="5" t="str">
        <f>IFERROR(IF(AE87="","",IF($F87="Total",
SUMPRODUCT(
   INDEX(AF:AF, ROW()-COUNTIF($F$6:INDEX($F:$F, ROW()-1), $F86)) : INDEX(AF:AF, ROW()-1),
   INDEX(AB:AB, ROW()-COUNTIF($F$6:INDEX($F:$F, ROW()-1), $F86)) : INDEX(AB:AB, ROW()-1)
   )
   /SUM(INDEX(AB:AB, ROW()-COUNTIF($F$6:INDEX($F:$F, ROW()-1), $F86)) : INDEX(AB:AB, ROW()-1)),
           _xlfn.MAXIFS(unit_details[Asking Rent],
          unit_details[Active Listing?],TRUE,
          unit_details[Property Name], $F87,
          unit_details[Beds], $L87,
          unit_details[Baths], $M87,
          unit_details[Partial Baths], IF(ISNUMBER($N87),$N87,""),
          unit_details[Sqft],$P87
))),"")</f>
        <v/>
      </c>
      <c r="AG87" s="6" t="str">
        <f>IFERROR(IF($F87="Total",
         SUMPRODUCT(
         INDEX(AG:AG, ROW()-COUNTIF($F$6:INDEX($F:$F, ROW()-1), $F86)) : INDEX(AG:AG, ROW()-1),
         INDEX(AB:AB, ROW()-COUNTIF($F$6:INDEX($F:$F, ROW()-1), $F86)) : INDEX(AB:AB, ROW()-1)
         )
         /SUM(INDEX(AB:AB, ROW()-COUNTIF($F$6:INDEX($F:$F, ROW()-1), $F86)) : INDEX(AB:AB, ROW()-1)),
          AVERAGEIFS(unit_details[Asking PSF],
          unit_details[Active Listing?],TRUE,
          unit_details[Property Name], $F87,
          unit_details[Beds], $L87,
          unit_details[Baths], $M87,
          unit_details[Partial Baths], IF(ISNUMBER($N87),$N87,""),
          unit_details[Sqft],$P87
)),"")</f>
        <v/>
      </c>
      <c r="AH87" s="293" t="str">
        <f>IFERROR(IF($F87="Total",
         SUMPRODUCT(
         INDEX(AH:AH, ROW()-COUNTIF($F$6:INDEX($F:$F, ROW()-1), $F86)) : INDEX(AH:AH, ROW()-1),
         INDEX(AB:AB, ROW()-COUNTIF($F$6:INDEX($F:$F, ROW()-1), $F86)) : INDEX(AB:AB, ROW()-1)
         )
         /SUM(INDEX(AB:AB, ROW()-COUNTIF($F$6:INDEX($F:$F, ROW()-1), $F86)) : INDEX(AB:AB, ROW()-1)),
          AVERAGEIFS(unit_details[Effective Rent],
          unit_details[Active Listing?],TRUE,
          unit_details[Property Name], $F87,
          unit_details[Beds], $L87,
          unit_details[Baths], $M87,
          unit_details[Partial Baths], IF(ISNUMBER($N87),$N87,""),
          unit_details[Sqft],$P87
)),"")</f>
        <v/>
      </c>
      <c r="AI87" s="6" t="str">
        <f>IFERROR(IF($F87="Total",
         SUMPRODUCT(
         INDEX(AI:AI, ROW()-COUNTIF($F$6:INDEX($F:$F, ROW()-1), $F86)) : INDEX(AI:AI, ROW()-1),
         INDEX(AB:AB, ROW()-COUNTIF($F$6:INDEX($F:$F, ROW()-1), $F86)) : INDEX(AB:AB, ROW()-1)
         )
         /SUM(INDEX(AB:AB, ROW()-COUNTIF($F$6:INDEX($F:$F, ROW()-1), $F86)) : INDEX(AB:AB, ROW()-1)),
           AVERAGEIFS(unit_details[Effective PSF],
          unit_details[Active Listing?],TRUE,
          unit_details[Property Name], $F87,
          unit_details[Beds], $L87,
          unit_details[Baths], $M87,
          unit_details[Partial Baths], IF(ISNUMBER($N87),$N87,""),
          unit_details[Sqft],$P87
)),"")</f>
        <v/>
      </c>
      <c r="AJ87" s="824" t="str">
        <f t="shared" si="15"/>
        <v/>
      </c>
      <c r="AK87" s="531" t="str">
        <f t="shared" si="16"/>
        <v/>
      </c>
      <c r="AL87" s="714" t="str">
        <f t="shared" si="17"/>
        <v/>
      </c>
      <c r="AM87" s="531" t="str">
        <f t="shared" si="18"/>
        <v/>
      </c>
      <c r="AN87" s="716" t="str">
        <f t="shared" si="19"/>
        <v/>
      </c>
    </row>
    <row r="88" spans="6:40" x14ac:dyDescent="0.2">
      <c r="F88" s="1" t="str">
        <f t="shared" si="12"/>
        <v/>
      </c>
      <c r="G88" s="713" t="str">
        <f t="shared" si="20"/>
        <v/>
      </c>
      <c r="H88" s="17" t="str">
        <f>IFERROR(VLOOKUP($G88,Table1[[Property]:[Exposure %]],4,0),"")</f>
        <v/>
      </c>
      <c r="I88" s="3" t="str">
        <f>IFERROR(VLOOKUP($G88,Table1[[Property]:[Exposure %]],6,0),"")</f>
        <v/>
      </c>
      <c r="J88" s="3" t="str">
        <f>IFERROR(VLOOKUP($G88,Table1[[Property]:[Exposure %]],7,0),"")</f>
        <v/>
      </c>
      <c r="K88"/>
      <c r="L88"/>
      <c r="M88"/>
      <c r="N88"/>
      <c r="O88"/>
      <c r="P88"/>
      <c r="Q88"/>
      <c r="R88" s="4" t="str">
        <f>IFERROR(VLOOKUP(IF(F88="Total",F87,F88),Table1[[Property]:['# Units]],7,0)*S88,"")</f>
        <v/>
      </c>
      <c r="S88" s="27" t="str">
        <f t="shared" si="13"/>
        <v/>
      </c>
      <c r="T88" s="531" t="str">
        <f>IFERROR(
 IF($F88="Total",
   SUMPRODUCT(
   INDEX(T:T, ROW()-COUNTIF($F$6:INDEX($F:$F, ROW()-1), $F87)) : INDEX(T:T, ROW()-1),
   INDEX(W:W, ROW()-COUNTIF($F$6:INDEX($F:$F, ROW()-1), $F87)) : INDEX(W:W, ROW()-1)
   )
   /SUM(INDEX(W:W, ROW()-COUNTIF($F$6:INDEX($F:$F, ROW()-1), $F87)) : INDEX(W:W, ROW()-1)),
   AVERAGEIFS(
     INDEX((unit_details[Asking Rent],unit_details[Asking PSF]),0,1,IF($U$3="Chunk Rent",1,2)),
     unit_details[Leased Date],"&gt;="&amp;($AM$2-T$5),
     unit_details[Leased Date],"&lt;"&amp;$AM$2,
     unit_details[Beds],$L88,
     unit_details[Baths],$M88,
     unit_details[Partial Baths],IF(ISNUMBER($N88),$N88,""),
     unit_details[Sqft],$P88,
     unit_details[Property Name],$F88)
 ),"")</f>
        <v/>
      </c>
      <c r="U88" s="552" t="str">
        <f>IFERROR(
 IF($F88="Total",
   SUMPRODUCT(
   INDEX(U:U, ROW()-COUNTIF($F$6:INDEX($F:$F, ROW()-1), $F87)) : INDEX(U:U, ROW()-1),
   INDEX(W:W, ROW()-COUNTIF($F$6:INDEX($F:$F, ROW()-1), $F87)) : INDEX(W:W, ROW()-1)
   )
   /SUM(INDEX(W:W, ROW()-COUNTIF($F$6:INDEX($F:$F, ROW()-1), $F87)) : INDEX(W:W, ROW()-1)),
   AVERAGEIFS(
     INDEX((unit_details[Effective Rent],unit_details[Effective PSF]),0,1,IF($U$3="Chunk Rent",1,2)),
     unit_details[Leased Date],"&gt;="&amp;($AM$2-T$5),
     unit_details[Leased Date],"&lt;"&amp;$AM$2,
     unit_details[Beds],$L88,
     unit_details[Baths],$M88,
     unit_details[Partial Baths],IF(ISNUMBER($N88),$N88,""),
     unit_details[Sqft],$P88,
     unit_details[Property Name],$F88)
 ),"")</f>
        <v/>
      </c>
      <c r="V88" s="27" t="str">
        <f t="shared" si="21"/>
        <v/>
      </c>
      <c r="W88" s="526">
        <f>IFERROR(
  IF($F88="Total",
    SUM(INDEX(W:W, ROW()-COUNTIF($F$6:INDEX($F:$F, ROW()-1), $F87)) : INDEX(W:W, ROW()-1)),
    COUNTIFS(
      unit_details[Leased Date], "&gt;="&amp;($AM$2-T$5),
      unit_details[Leased Date], "&lt;"&amp;$AM$2,
      unit_details[Beds], $L88,
      unit_details[Baths], $M88,
      unit_details[Partial Baths], IF(ISNUMBER($N88), $N88, ""),
      unit_details[Sqft],$P88,
      unit_details[Property Name], $F88
    )
  ),
"")</f>
        <v>0</v>
      </c>
      <c r="X88" s="531" t="str">
        <f>IFERROR(
 IF($F88="Total",
   SUMPRODUCT(
   INDEX(X:X, ROW()-COUNTIF($F$6:INDEX($F:$F, ROW()-1), $F87)) : INDEX(X:X, ROW()-1),
   INDEX(AA:AA, ROW()-COUNTIF($F$6:INDEX($F:$F, ROW()-1), $F87)) : INDEX(AA:AA, ROW()-1)
   )
   /SUM(INDEX(AA:AA, ROW()-COUNTIF($F$6:INDEX($F:$F, ROW()-1), $F87)) : INDEX(AA:AA, ROW()-1)),
   AVERAGEIFS(
     INDEX((unit_details[Asking Rent],unit_details[Asking PSF]),0,1,IF($U$3="Chunk Rent",1,2)),
     unit_details[Leased Date],"&gt;="&amp;($AM$2-X$5),
     unit_details[Leased Date],"&lt;"&amp;$AM$2,
     unit_details[Beds],$L88,
     unit_details[Baths],$M88,
     unit_details[Partial Baths],IF(ISNUMBER($N88),$N88,""),
     unit_details[Sqft],$P88,
     unit_details[Property Name],$F88)
 ),"")</f>
        <v/>
      </c>
      <c r="Y88" s="552" t="str">
        <f>IFERROR(
 IF($F88="Total",
   SUMPRODUCT(
   INDEX(Y:Y, ROW()-COUNTIF($F$6:INDEX($F:$F, ROW()-1), $F87)) : INDEX(Y:Y, ROW()-1),
   INDEX(AA:AA, ROW()-COUNTIF($F$6:INDEX($F:$F, ROW()-1), $F87)) : INDEX(AA:AA, ROW()-1)
   )
   /SUM(INDEX(AA:AA, ROW()-COUNTIF($F$6:INDEX($F:$F, ROW()-1), $F87)) : INDEX(AA:AA, ROW()-1)),
   AVERAGEIFS(
     INDEX((unit_details[Effective Rent],unit_details[Effective PSF]),0,1,IF($U$3="Chunk Rent",1,2)),
     unit_details[Leased Date],"&gt;="&amp;($AM$2-X$5),
     unit_details[Leased Date],"&lt;"&amp;$AM$2,
     unit_details[Beds],$L88,
     unit_details[Baths],$M88,
     unit_details[Partial Baths],IF(ISNUMBER($N88),$N88,""),
     unit_details[Sqft],$P88,
     unit_details[Property Name],$F88)
 ),"")</f>
        <v/>
      </c>
      <c r="Z88" s="27" t="str">
        <f t="shared" si="22"/>
        <v/>
      </c>
      <c r="AA88" s="526">
        <f>IFERROR(
  IF($F88="Total",
    SUM(INDEX(AA:AA, ROW()-COUNTIF($F$6:INDEX($F:$F, ROW()-1), $F87)) : INDEX(AA:AA, ROW()-1)),
    COUNTIFS(
      unit_details[Leased Date], "&gt;="&amp;($AM$2-X$5),
      unit_details[Leased Date], "&lt;"&amp;$AM$2,
      unit_details[Beds], $L88,
      unit_details[Baths], $M88,
      unit_details[Partial Baths], IF(ISNUMBER($N88), $N88, ""),
      unit_details[Sqft],$P88,
      unit_details[Property Name], $F88
    )
  ),
"")</f>
        <v>0</v>
      </c>
      <c r="AB88" s="290">
        <f>IF($F88="Total",
SUM(INDEX(AB:AB, ROW()-COUNTIF($F$6:INDEX($F:$F, ROW()-1), $F87)) : INDEX(AB:AB, ROW()-1)),
COUNTIFS(unit_details[Active Listing?],TRUE,
          unit_details[Property Name], $F88,
          unit_details[Beds], $L88,
          unit_details[Baths], $M88,
          unit_details[Partial Baths],IF(ISNUMBER($N88),$N88,""),
          unit_details[Sqft],$P88))</f>
        <v>0</v>
      </c>
      <c r="AC88" s="27" t="str">
        <f t="shared" si="14"/>
        <v/>
      </c>
      <c r="AD88" s="293" t="str">
        <f>IFERROR(IF(AE88="","",IF($F88="Total",
SUMPRODUCT(
   INDEX(AD:AD, ROW()-COUNTIF($F$6:INDEX($F:$F, ROW()-1), $F87)) : INDEX(AD:AD, ROW()-1),
   INDEX(AB:AB, ROW()-COUNTIF($F$6:INDEX($F:$F, ROW()-1), $F87)) : INDEX(AB:AB, ROW()-1)
   )
   /SUM(INDEX(AB:AB, ROW()-COUNTIF($F$6:INDEX($F:$F, ROW()-1), $F87)) : INDEX(AB:AB, ROW()-1)),
          _xlfn.MINIFS(unit_details[Asking Rent],
          unit_details[Active Listing?],TRUE,
          unit_details[Property Name], $F88,
          unit_details[Beds], $L88,
          unit_details[Baths], $M88,
          unit_details[Partial Baths], IF(ISNUMBER($N88),$N88,""),
          unit_details[Sqft],$P88
))),"")</f>
        <v/>
      </c>
      <c r="AE88" s="5" t="str">
        <f>IFERROR(IF($F88="Total",
          SUMPRODUCT(
   INDEX(AE:AE, ROW()-COUNTIF($F$6:INDEX($F:$F, ROW()-1), $F87)) : INDEX(AE:AE, ROW()-1),
   INDEX(AB:AB, ROW()-COUNTIF($F$6:INDEX($F:$F, ROW()-1), $F87)) : INDEX(AB:AB, ROW()-1)
   )
   /SUM(INDEX(AB:AB, ROW()-COUNTIF($F$6:INDEX($F:$F, ROW()-1), $F87)) : INDEX(AB:AB, ROW()-1)),
          AVERAGEIFS(unit_details[Asking Rent],
          unit_details[Active Listing?],TRUE,
          unit_details[Property Name], $F88,
          unit_details[Beds], $L88,
          unit_details[Baths], $M88,
          unit_details[Partial Baths], IF(ISNUMBER($N88),$N88,""),
          unit_details[Sqft],$P88
)),"")</f>
        <v/>
      </c>
      <c r="AF88" s="5" t="str">
        <f>IFERROR(IF(AE88="","",IF($F88="Total",
SUMPRODUCT(
   INDEX(AF:AF, ROW()-COUNTIF($F$6:INDEX($F:$F, ROW()-1), $F87)) : INDEX(AF:AF, ROW()-1),
   INDEX(AB:AB, ROW()-COUNTIF($F$6:INDEX($F:$F, ROW()-1), $F87)) : INDEX(AB:AB, ROW()-1)
   )
   /SUM(INDEX(AB:AB, ROW()-COUNTIF($F$6:INDEX($F:$F, ROW()-1), $F87)) : INDEX(AB:AB, ROW()-1)),
           _xlfn.MAXIFS(unit_details[Asking Rent],
          unit_details[Active Listing?],TRUE,
          unit_details[Property Name], $F88,
          unit_details[Beds], $L88,
          unit_details[Baths], $M88,
          unit_details[Partial Baths], IF(ISNUMBER($N88),$N88,""),
          unit_details[Sqft],$P88
))),"")</f>
        <v/>
      </c>
      <c r="AG88" s="6" t="str">
        <f>IFERROR(IF($F88="Total",
         SUMPRODUCT(
         INDEX(AG:AG, ROW()-COUNTIF($F$6:INDEX($F:$F, ROW()-1), $F87)) : INDEX(AG:AG, ROW()-1),
         INDEX(AB:AB, ROW()-COUNTIF($F$6:INDEX($F:$F, ROW()-1), $F87)) : INDEX(AB:AB, ROW()-1)
         )
         /SUM(INDEX(AB:AB, ROW()-COUNTIF($F$6:INDEX($F:$F, ROW()-1), $F87)) : INDEX(AB:AB, ROW()-1)),
          AVERAGEIFS(unit_details[Asking PSF],
          unit_details[Active Listing?],TRUE,
          unit_details[Property Name], $F88,
          unit_details[Beds], $L88,
          unit_details[Baths], $M88,
          unit_details[Partial Baths], IF(ISNUMBER($N88),$N88,""),
          unit_details[Sqft],$P88
)),"")</f>
        <v/>
      </c>
      <c r="AH88" s="293" t="str">
        <f>IFERROR(IF($F88="Total",
         SUMPRODUCT(
         INDEX(AH:AH, ROW()-COUNTIF($F$6:INDEX($F:$F, ROW()-1), $F87)) : INDEX(AH:AH, ROW()-1),
         INDEX(AB:AB, ROW()-COUNTIF($F$6:INDEX($F:$F, ROW()-1), $F87)) : INDEX(AB:AB, ROW()-1)
         )
         /SUM(INDEX(AB:AB, ROW()-COUNTIF($F$6:INDEX($F:$F, ROW()-1), $F87)) : INDEX(AB:AB, ROW()-1)),
          AVERAGEIFS(unit_details[Effective Rent],
          unit_details[Active Listing?],TRUE,
          unit_details[Property Name], $F88,
          unit_details[Beds], $L88,
          unit_details[Baths], $M88,
          unit_details[Partial Baths], IF(ISNUMBER($N88),$N88,""),
          unit_details[Sqft],$P88
)),"")</f>
        <v/>
      </c>
      <c r="AI88" s="6" t="str">
        <f>IFERROR(IF($F88="Total",
         SUMPRODUCT(
         INDEX(AI:AI, ROW()-COUNTIF($F$6:INDEX($F:$F, ROW()-1), $F87)) : INDEX(AI:AI, ROW()-1),
         INDEX(AB:AB, ROW()-COUNTIF($F$6:INDEX($F:$F, ROW()-1), $F87)) : INDEX(AB:AB, ROW()-1)
         )
         /SUM(INDEX(AB:AB, ROW()-COUNTIF($F$6:INDEX($F:$F, ROW()-1), $F87)) : INDEX(AB:AB, ROW()-1)),
           AVERAGEIFS(unit_details[Effective PSF],
          unit_details[Active Listing?],TRUE,
          unit_details[Property Name], $F88,
          unit_details[Beds], $L88,
          unit_details[Baths], $M88,
          unit_details[Partial Baths], IF(ISNUMBER($N88),$N88,""),
          unit_details[Sqft],$P88
)),"")</f>
        <v/>
      </c>
      <c r="AJ88" s="824" t="str">
        <f t="shared" si="15"/>
        <v/>
      </c>
      <c r="AK88" s="531" t="str">
        <f t="shared" si="16"/>
        <v/>
      </c>
      <c r="AL88" s="714" t="str">
        <f t="shared" si="17"/>
        <v/>
      </c>
      <c r="AM88" s="531" t="str">
        <f t="shared" si="18"/>
        <v/>
      </c>
      <c r="AN88" s="716" t="str">
        <f t="shared" si="19"/>
        <v/>
      </c>
    </row>
    <row r="89" spans="6:40" x14ac:dyDescent="0.2">
      <c r="F89" s="1" t="str">
        <f t="shared" si="12"/>
        <v/>
      </c>
      <c r="G89" s="713" t="str">
        <f t="shared" si="20"/>
        <v/>
      </c>
      <c r="H89" s="17" t="str">
        <f>IFERROR(VLOOKUP($G89,Table1[[Property]:[Exposure %]],4,0),"")</f>
        <v/>
      </c>
      <c r="I89" s="3" t="str">
        <f>IFERROR(VLOOKUP($G89,Table1[[Property]:[Exposure %]],6,0),"")</f>
        <v/>
      </c>
      <c r="J89" s="3" t="str">
        <f>IFERROR(VLOOKUP($G89,Table1[[Property]:[Exposure %]],7,0),"")</f>
        <v/>
      </c>
      <c r="K89"/>
      <c r="L89"/>
      <c r="M89"/>
      <c r="N89"/>
      <c r="O89"/>
      <c r="P89"/>
      <c r="Q89"/>
      <c r="R89" s="4" t="str">
        <f>IFERROR(VLOOKUP(IF(F89="Total",F88,F89),Table1[[Property]:['# Units]],7,0)*S89,"")</f>
        <v/>
      </c>
      <c r="S89" s="27" t="str">
        <f t="shared" si="13"/>
        <v/>
      </c>
      <c r="T89" s="531" t="str">
        <f>IFERROR(
 IF($F89="Total",
   SUMPRODUCT(
   INDEX(T:T, ROW()-COUNTIF($F$6:INDEX($F:$F, ROW()-1), $F88)) : INDEX(T:T, ROW()-1),
   INDEX(W:W, ROW()-COUNTIF($F$6:INDEX($F:$F, ROW()-1), $F88)) : INDEX(W:W, ROW()-1)
   )
   /SUM(INDEX(W:W, ROW()-COUNTIF($F$6:INDEX($F:$F, ROW()-1), $F88)) : INDEX(W:W, ROW()-1)),
   AVERAGEIFS(
     INDEX((unit_details[Asking Rent],unit_details[Asking PSF]),0,1,IF($U$3="Chunk Rent",1,2)),
     unit_details[Leased Date],"&gt;="&amp;($AM$2-T$5),
     unit_details[Leased Date],"&lt;"&amp;$AM$2,
     unit_details[Beds],$L89,
     unit_details[Baths],$M89,
     unit_details[Partial Baths],IF(ISNUMBER($N89),$N89,""),
     unit_details[Sqft],$P89,
     unit_details[Property Name],$F89)
 ),"")</f>
        <v/>
      </c>
      <c r="U89" s="552" t="str">
        <f>IFERROR(
 IF($F89="Total",
   SUMPRODUCT(
   INDEX(U:U, ROW()-COUNTIF($F$6:INDEX($F:$F, ROW()-1), $F88)) : INDEX(U:U, ROW()-1),
   INDEX(W:W, ROW()-COUNTIF($F$6:INDEX($F:$F, ROW()-1), $F88)) : INDEX(W:W, ROW()-1)
   )
   /SUM(INDEX(W:W, ROW()-COUNTIF($F$6:INDEX($F:$F, ROW()-1), $F88)) : INDEX(W:W, ROW()-1)),
   AVERAGEIFS(
     INDEX((unit_details[Effective Rent],unit_details[Effective PSF]),0,1,IF($U$3="Chunk Rent",1,2)),
     unit_details[Leased Date],"&gt;="&amp;($AM$2-T$5),
     unit_details[Leased Date],"&lt;"&amp;$AM$2,
     unit_details[Beds],$L89,
     unit_details[Baths],$M89,
     unit_details[Partial Baths],IF(ISNUMBER($N89),$N89,""),
     unit_details[Sqft],$P89,
     unit_details[Property Name],$F89)
 ),"")</f>
        <v/>
      </c>
      <c r="V89" s="27" t="str">
        <f t="shared" si="21"/>
        <v/>
      </c>
      <c r="W89" s="526">
        <f>IFERROR(
  IF($F89="Total",
    SUM(INDEX(W:W, ROW()-COUNTIF($F$6:INDEX($F:$F, ROW()-1), $F88)) : INDEX(W:W, ROW()-1)),
    COUNTIFS(
      unit_details[Leased Date], "&gt;="&amp;($AM$2-T$5),
      unit_details[Leased Date], "&lt;"&amp;$AM$2,
      unit_details[Beds], $L89,
      unit_details[Baths], $M89,
      unit_details[Partial Baths], IF(ISNUMBER($N89), $N89, ""),
      unit_details[Sqft],$P89,
      unit_details[Property Name], $F89
    )
  ),
"")</f>
        <v>0</v>
      </c>
      <c r="X89" s="531" t="str">
        <f>IFERROR(
 IF($F89="Total",
   SUMPRODUCT(
   INDEX(X:X, ROW()-COUNTIF($F$6:INDEX($F:$F, ROW()-1), $F88)) : INDEX(X:X, ROW()-1),
   INDEX(AA:AA, ROW()-COUNTIF($F$6:INDEX($F:$F, ROW()-1), $F88)) : INDEX(AA:AA, ROW()-1)
   )
   /SUM(INDEX(AA:AA, ROW()-COUNTIF($F$6:INDEX($F:$F, ROW()-1), $F88)) : INDEX(AA:AA, ROW()-1)),
   AVERAGEIFS(
     INDEX((unit_details[Asking Rent],unit_details[Asking PSF]),0,1,IF($U$3="Chunk Rent",1,2)),
     unit_details[Leased Date],"&gt;="&amp;($AM$2-X$5),
     unit_details[Leased Date],"&lt;"&amp;$AM$2,
     unit_details[Beds],$L89,
     unit_details[Baths],$M89,
     unit_details[Partial Baths],IF(ISNUMBER($N89),$N89,""),
     unit_details[Sqft],$P89,
     unit_details[Property Name],$F89)
 ),"")</f>
        <v/>
      </c>
      <c r="Y89" s="552" t="str">
        <f>IFERROR(
 IF($F89="Total",
   SUMPRODUCT(
   INDEX(Y:Y, ROW()-COUNTIF($F$6:INDEX($F:$F, ROW()-1), $F88)) : INDEX(Y:Y, ROW()-1),
   INDEX(AA:AA, ROW()-COUNTIF($F$6:INDEX($F:$F, ROW()-1), $F88)) : INDEX(AA:AA, ROW()-1)
   )
   /SUM(INDEX(AA:AA, ROW()-COUNTIF($F$6:INDEX($F:$F, ROW()-1), $F88)) : INDEX(AA:AA, ROW()-1)),
   AVERAGEIFS(
     INDEX((unit_details[Effective Rent],unit_details[Effective PSF]),0,1,IF($U$3="Chunk Rent",1,2)),
     unit_details[Leased Date],"&gt;="&amp;($AM$2-X$5),
     unit_details[Leased Date],"&lt;"&amp;$AM$2,
     unit_details[Beds],$L89,
     unit_details[Baths],$M89,
     unit_details[Partial Baths],IF(ISNUMBER($N89),$N89,""),
     unit_details[Sqft],$P89,
     unit_details[Property Name],$F89)
 ),"")</f>
        <v/>
      </c>
      <c r="Z89" s="27" t="str">
        <f t="shared" si="22"/>
        <v/>
      </c>
      <c r="AA89" s="526">
        <f>IFERROR(
  IF($F89="Total",
    SUM(INDEX(AA:AA, ROW()-COUNTIF($F$6:INDEX($F:$F, ROW()-1), $F88)) : INDEX(AA:AA, ROW()-1)),
    COUNTIFS(
      unit_details[Leased Date], "&gt;="&amp;($AM$2-X$5),
      unit_details[Leased Date], "&lt;"&amp;$AM$2,
      unit_details[Beds], $L89,
      unit_details[Baths], $M89,
      unit_details[Partial Baths], IF(ISNUMBER($N89), $N89, ""),
      unit_details[Sqft],$P89,
      unit_details[Property Name], $F89
    )
  ),
"")</f>
        <v>0</v>
      </c>
      <c r="AB89" s="290">
        <f>IF($F89="Total",
SUM(INDEX(AB:AB, ROW()-COUNTIF($F$6:INDEX($F:$F, ROW()-1), $F88)) : INDEX(AB:AB, ROW()-1)),
COUNTIFS(unit_details[Active Listing?],TRUE,
          unit_details[Property Name], $F89,
          unit_details[Beds], $L89,
          unit_details[Baths], $M89,
          unit_details[Partial Baths],IF(ISNUMBER($N89),$N89,""),
          unit_details[Sqft],$P89))</f>
        <v>0</v>
      </c>
      <c r="AC89" s="27" t="str">
        <f t="shared" si="14"/>
        <v/>
      </c>
      <c r="AD89" s="293" t="str">
        <f>IFERROR(IF(AE89="","",IF($F89="Total",
SUMPRODUCT(
   INDEX(AD:AD, ROW()-COUNTIF($F$6:INDEX($F:$F, ROW()-1), $F88)) : INDEX(AD:AD, ROW()-1),
   INDEX(AB:AB, ROW()-COUNTIF($F$6:INDEX($F:$F, ROW()-1), $F88)) : INDEX(AB:AB, ROW()-1)
   )
   /SUM(INDEX(AB:AB, ROW()-COUNTIF($F$6:INDEX($F:$F, ROW()-1), $F88)) : INDEX(AB:AB, ROW()-1)),
          _xlfn.MINIFS(unit_details[Asking Rent],
          unit_details[Active Listing?],TRUE,
          unit_details[Property Name], $F89,
          unit_details[Beds], $L89,
          unit_details[Baths], $M89,
          unit_details[Partial Baths], IF(ISNUMBER($N89),$N89,""),
          unit_details[Sqft],$P89
))),"")</f>
        <v/>
      </c>
      <c r="AE89" s="5" t="str">
        <f>IFERROR(IF($F89="Total",
          SUMPRODUCT(
   INDEX(AE:AE, ROW()-COUNTIF($F$6:INDEX($F:$F, ROW()-1), $F88)) : INDEX(AE:AE, ROW()-1),
   INDEX(AB:AB, ROW()-COUNTIF($F$6:INDEX($F:$F, ROW()-1), $F88)) : INDEX(AB:AB, ROW()-1)
   )
   /SUM(INDEX(AB:AB, ROW()-COUNTIF($F$6:INDEX($F:$F, ROW()-1), $F88)) : INDEX(AB:AB, ROW()-1)),
          AVERAGEIFS(unit_details[Asking Rent],
          unit_details[Active Listing?],TRUE,
          unit_details[Property Name], $F89,
          unit_details[Beds], $L89,
          unit_details[Baths], $M89,
          unit_details[Partial Baths], IF(ISNUMBER($N89),$N89,""),
          unit_details[Sqft],$P89
)),"")</f>
        <v/>
      </c>
      <c r="AF89" s="5" t="str">
        <f>IFERROR(IF(AE89="","",IF($F89="Total",
SUMPRODUCT(
   INDEX(AF:AF, ROW()-COUNTIF($F$6:INDEX($F:$F, ROW()-1), $F88)) : INDEX(AF:AF, ROW()-1),
   INDEX(AB:AB, ROW()-COUNTIF($F$6:INDEX($F:$F, ROW()-1), $F88)) : INDEX(AB:AB, ROW()-1)
   )
   /SUM(INDEX(AB:AB, ROW()-COUNTIF($F$6:INDEX($F:$F, ROW()-1), $F88)) : INDEX(AB:AB, ROW()-1)),
           _xlfn.MAXIFS(unit_details[Asking Rent],
          unit_details[Active Listing?],TRUE,
          unit_details[Property Name], $F89,
          unit_details[Beds], $L89,
          unit_details[Baths], $M89,
          unit_details[Partial Baths], IF(ISNUMBER($N89),$N89,""),
          unit_details[Sqft],$P89
))),"")</f>
        <v/>
      </c>
      <c r="AG89" s="6" t="str">
        <f>IFERROR(IF($F89="Total",
         SUMPRODUCT(
         INDEX(AG:AG, ROW()-COUNTIF($F$6:INDEX($F:$F, ROW()-1), $F88)) : INDEX(AG:AG, ROW()-1),
         INDEX(AB:AB, ROW()-COUNTIF($F$6:INDEX($F:$F, ROW()-1), $F88)) : INDEX(AB:AB, ROW()-1)
         )
         /SUM(INDEX(AB:AB, ROW()-COUNTIF($F$6:INDEX($F:$F, ROW()-1), $F88)) : INDEX(AB:AB, ROW()-1)),
          AVERAGEIFS(unit_details[Asking PSF],
          unit_details[Active Listing?],TRUE,
          unit_details[Property Name], $F89,
          unit_details[Beds], $L89,
          unit_details[Baths], $M89,
          unit_details[Partial Baths], IF(ISNUMBER($N89),$N89,""),
          unit_details[Sqft],$P89
)),"")</f>
        <v/>
      </c>
      <c r="AH89" s="293" t="str">
        <f>IFERROR(IF($F89="Total",
         SUMPRODUCT(
         INDEX(AH:AH, ROW()-COUNTIF($F$6:INDEX($F:$F, ROW()-1), $F88)) : INDEX(AH:AH, ROW()-1),
         INDEX(AB:AB, ROW()-COUNTIF($F$6:INDEX($F:$F, ROW()-1), $F88)) : INDEX(AB:AB, ROW()-1)
         )
         /SUM(INDEX(AB:AB, ROW()-COUNTIF($F$6:INDEX($F:$F, ROW()-1), $F88)) : INDEX(AB:AB, ROW()-1)),
          AVERAGEIFS(unit_details[Effective Rent],
          unit_details[Active Listing?],TRUE,
          unit_details[Property Name], $F89,
          unit_details[Beds], $L89,
          unit_details[Baths], $M89,
          unit_details[Partial Baths], IF(ISNUMBER($N89),$N89,""),
          unit_details[Sqft],$P89
)),"")</f>
        <v/>
      </c>
      <c r="AI89" s="6" t="str">
        <f>IFERROR(IF($F89="Total",
         SUMPRODUCT(
         INDEX(AI:AI, ROW()-COUNTIF($F$6:INDEX($F:$F, ROW()-1), $F88)) : INDEX(AI:AI, ROW()-1),
         INDEX(AB:AB, ROW()-COUNTIF($F$6:INDEX($F:$F, ROW()-1), $F88)) : INDEX(AB:AB, ROW()-1)
         )
         /SUM(INDEX(AB:AB, ROW()-COUNTIF($F$6:INDEX($F:$F, ROW()-1), $F88)) : INDEX(AB:AB, ROW()-1)),
           AVERAGEIFS(unit_details[Effective PSF],
          unit_details[Active Listing?],TRUE,
          unit_details[Property Name], $F89,
          unit_details[Beds], $L89,
          unit_details[Baths], $M89,
          unit_details[Partial Baths], IF(ISNUMBER($N89),$N89,""),
          unit_details[Sqft],$P89
)),"")</f>
        <v/>
      </c>
      <c r="AJ89" s="824" t="str">
        <f t="shared" si="15"/>
        <v/>
      </c>
      <c r="AK89" s="531" t="str">
        <f t="shared" si="16"/>
        <v/>
      </c>
      <c r="AL89" s="714" t="str">
        <f t="shared" si="17"/>
        <v/>
      </c>
      <c r="AM89" s="531" t="str">
        <f t="shared" si="18"/>
        <v/>
      </c>
      <c r="AN89" s="716" t="str">
        <f t="shared" si="19"/>
        <v/>
      </c>
    </row>
    <row r="90" spans="6:40" x14ac:dyDescent="0.2">
      <c r="F90" s="1" t="str">
        <f t="shared" si="12"/>
        <v/>
      </c>
      <c r="G90" s="713" t="str">
        <f t="shared" si="20"/>
        <v/>
      </c>
      <c r="H90" s="17" t="str">
        <f>IFERROR(VLOOKUP($G90,Table1[[Property]:[Exposure %]],4,0),"")</f>
        <v/>
      </c>
      <c r="I90" s="3" t="str">
        <f>IFERROR(VLOOKUP($G90,Table1[[Property]:[Exposure %]],6,0),"")</f>
        <v/>
      </c>
      <c r="J90" s="3" t="str">
        <f>IFERROR(VLOOKUP($G90,Table1[[Property]:[Exposure %]],7,0),"")</f>
        <v/>
      </c>
      <c r="K90"/>
      <c r="L90"/>
      <c r="M90"/>
      <c r="N90"/>
      <c r="O90"/>
      <c r="P90"/>
      <c r="Q90"/>
      <c r="R90" s="4" t="str">
        <f>IFERROR(VLOOKUP(IF(F90="Total",F89,F90),Table1[[Property]:['# Units]],7,0)*S90,"")</f>
        <v/>
      </c>
      <c r="S90" s="27" t="str">
        <f t="shared" si="13"/>
        <v/>
      </c>
      <c r="T90" s="531" t="str">
        <f>IFERROR(
 IF($F90="Total",
   SUMPRODUCT(
   INDEX(T:T, ROW()-COUNTIF($F$6:INDEX($F:$F, ROW()-1), $F89)) : INDEX(T:T, ROW()-1),
   INDEX(W:W, ROW()-COUNTIF($F$6:INDEX($F:$F, ROW()-1), $F89)) : INDEX(W:W, ROW()-1)
   )
   /SUM(INDEX(W:W, ROW()-COUNTIF($F$6:INDEX($F:$F, ROW()-1), $F89)) : INDEX(W:W, ROW()-1)),
   AVERAGEIFS(
     INDEX((unit_details[Asking Rent],unit_details[Asking PSF]),0,1,IF($U$3="Chunk Rent",1,2)),
     unit_details[Leased Date],"&gt;="&amp;($AM$2-T$5),
     unit_details[Leased Date],"&lt;"&amp;$AM$2,
     unit_details[Beds],$L90,
     unit_details[Baths],$M90,
     unit_details[Partial Baths],IF(ISNUMBER($N90),$N90,""),
     unit_details[Sqft],$P90,
     unit_details[Property Name],$F90)
 ),"")</f>
        <v/>
      </c>
      <c r="U90" s="552" t="str">
        <f>IFERROR(
 IF($F90="Total",
   SUMPRODUCT(
   INDEX(U:U, ROW()-COUNTIF($F$6:INDEX($F:$F, ROW()-1), $F89)) : INDEX(U:U, ROW()-1),
   INDEX(W:W, ROW()-COUNTIF($F$6:INDEX($F:$F, ROW()-1), $F89)) : INDEX(W:W, ROW()-1)
   )
   /SUM(INDEX(W:W, ROW()-COUNTIF($F$6:INDEX($F:$F, ROW()-1), $F89)) : INDEX(W:W, ROW()-1)),
   AVERAGEIFS(
     INDEX((unit_details[Effective Rent],unit_details[Effective PSF]),0,1,IF($U$3="Chunk Rent",1,2)),
     unit_details[Leased Date],"&gt;="&amp;($AM$2-T$5),
     unit_details[Leased Date],"&lt;"&amp;$AM$2,
     unit_details[Beds],$L90,
     unit_details[Baths],$M90,
     unit_details[Partial Baths],IF(ISNUMBER($N90),$N90,""),
     unit_details[Sqft],$P90,
     unit_details[Property Name],$F90)
 ),"")</f>
        <v/>
      </c>
      <c r="V90" s="27" t="str">
        <f t="shared" si="21"/>
        <v/>
      </c>
      <c r="W90" s="526">
        <f>IFERROR(
  IF($F90="Total",
    SUM(INDEX(W:W, ROW()-COUNTIF($F$6:INDEX($F:$F, ROW()-1), $F89)) : INDEX(W:W, ROW()-1)),
    COUNTIFS(
      unit_details[Leased Date], "&gt;="&amp;($AM$2-T$5),
      unit_details[Leased Date], "&lt;"&amp;$AM$2,
      unit_details[Beds], $L90,
      unit_details[Baths], $M90,
      unit_details[Partial Baths], IF(ISNUMBER($N90), $N90, ""),
      unit_details[Sqft],$P90,
      unit_details[Property Name], $F90
    )
  ),
"")</f>
        <v>0</v>
      </c>
      <c r="X90" s="531" t="str">
        <f>IFERROR(
 IF($F90="Total",
   SUMPRODUCT(
   INDEX(X:X, ROW()-COUNTIF($F$6:INDEX($F:$F, ROW()-1), $F89)) : INDEX(X:X, ROW()-1),
   INDEX(AA:AA, ROW()-COUNTIF($F$6:INDEX($F:$F, ROW()-1), $F89)) : INDEX(AA:AA, ROW()-1)
   )
   /SUM(INDEX(AA:AA, ROW()-COUNTIF($F$6:INDEX($F:$F, ROW()-1), $F89)) : INDEX(AA:AA, ROW()-1)),
   AVERAGEIFS(
     INDEX((unit_details[Asking Rent],unit_details[Asking PSF]),0,1,IF($U$3="Chunk Rent",1,2)),
     unit_details[Leased Date],"&gt;="&amp;($AM$2-X$5),
     unit_details[Leased Date],"&lt;"&amp;$AM$2,
     unit_details[Beds],$L90,
     unit_details[Baths],$M90,
     unit_details[Partial Baths],IF(ISNUMBER($N90),$N90,""),
     unit_details[Sqft],$P90,
     unit_details[Property Name],$F90)
 ),"")</f>
        <v/>
      </c>
      <c r="Y90" s="552" t="str">
        <f>IFERROR(
 IF($F90="Total",
   SUMPRODUCT(
   INDEX(Y:Y, ROW()-COUNTIF($F$6:INDEX($F:$F, ROW()-1), $F89)) : INDEX(Y:Y, ROW()-1),
   INDEX(AA:AA, ROW()-COUNTIF($F$6:INDEX($F:$F, ROW()-1), $F89)) : INDEX(AA:AA, ROW()-1)
   )
   /SUM(INDEX(AA:AA, ROW()-COUNTIF($F$6:INDEX($F:$F, ROW()-1), $F89)) : INDEX(AA:AA, ROW()-1)),
   AVERAGEIFS(
     INDEX((unit_details[Effective Rent],unit_details[Effective PSF]),0,1,IF($U$3="Chunk Rent",1,2)),
     unit_details[Leased Date],"&gt;="&amp;($AM$2-X$5),
     unit_details[Leased Date],"&lt;"&amp;$AM$2,
     unit_details[Beds],$L90,
     unit_details[Baths],$M90,
     unit_details[Partial Baths],IF(ISNUMBER($N90),$N90,""),
     unit_details[Sqft],$P90,
     unit_details[Property Name],$F90)
 ),"")</f>
        <v/>
      </c>
      <c r="Z90" s="27" t="str">
        <f t="shared" si="22"/>
        <v/>
      </c>
      <c r="AA90" s="526">
        <f>IFERROR(
  IF($F90="Total",
    SUM(INDEX(AA:AA, ROW()-COUNTIF($F$6:INDEX($F:$F, ROW()-1), $F89)) : INDEX(AA:AA, ROW()-1)),
    COUNTIFS(
      unit_details[Leased Date], "&gt;="&amp;($AM$2-X$5),
      unit_details[Leased Date], "&lt;"&amp;$AM$2,
      unit_details[Beds], $L90,
      unit_details[Baths], $M90,
      unit_details[Partial Baths], IF(ISNUMBER($N90), $N90, ""),
      unit_details[Sqft],$P90,
      unit_details[Property Name], $F90
    )
  ),
"")</f>
        <v>0</v>
      </c>
      <c r="AB90" s="290">
        <f>IF($F90="Total",
SUM(INDEX(AB:AB, ROW()-COUNTIF($F$6:INDEX($F:$F, ROW()-1), $F89)) : INDEX(AB:AB, ROW()-1)),
COUNTIFS(unit_details[Active Listing?],TRUE,
          unit_details[Property Name], $F90,
          unit_details[Beds], $L90,
          unit_details[Baths], $M90,
          unit_details[Partial Baths],IF(ISNUMBER($N90),$N90,""),
          unit_details[Sqft],$P90))</f>
        <v>0</v>
      </c>
      <c r="AC90" s="27" t="str">
        <f t="shared" si="14"/>
        <v/>
      </c>
      <c r="AD90" s="293" t="str">
        <f>IFERROR(IF(AE90="","",IF($F90="Total",
SUMPRODUCT(
   INDEX(AD:AD, ROW()-COUNTIF($F$6:INDEX($F:$F, ROW()-1), $F89)) : INDEX(AD:AD, ROW()-1),
   INDEX(AB:AB, ROW()-COUNTIF($F$6:INDEX($F:$F, ROW()-1), $F89)) : INDEX(AB:AB, ROW()-1)
   )
   /SUM(INDEX(AB:AB, ROW()-COUNTIF($F$6:INDEX($F:$F, ROW()-1), $F89)) : INDEX(AB:AB, ROW()-1)),
          _xlfn.MINIFS(unit_details[Asking Rent],
          unit_details[Active Listing?],TRUE,
          unit_details[Property Name], $F90,
          unit_details[Beds], $L90,
          unit_details[Baths], $M90,
          unit_details[Partial Baths], IF(ISNUMBER($N90),$N90,""),
          unit_details[Sqft],$P90
))),"")</f>
        <v/>
      </c>
      <c r="AE90" s="5" t="str">
        <f>IFERROR(IF($F90="Total",
          SUMPRODUCT(
   INDEX(AE:AE, ROW()-COUNTIF($F$6:INDEX($F:$F, ROW()-1), $F89)) : INDEX(AE:AE, ROW()-1),
   INDEX(AB:AB, ROW()-COUNTIF($F$6:INDEX($F:$F, ROW()-1), $F89)) : INDEX(AB:AB, ROW()-1)
   )
   /SUM(INDEX(AB:AB, ROW()-COUNTIF($F$6:INDEX($F:$F, ROW()-1), $F89)) : INDEX(AB:AB, ROW()-1)),
          AVERAGEIFS(unit_details[Asking Rent],
          unit_details[Active Listing?],TRUE,
          unit_details[Property Name], $F90,
          unit_details[Beds], $L90,
          unit_details[Baths], $M90,
          unit_details[Partial Baths], IF(ISNUMBER($N90),$N90,""),
          unit_details[Sqft],$P90
)),"")</f>
        <v/>
      </c>
      <c r="AF90" s="5" t="str">
        <f>IFERROR(IF(AE90="","",IF($F90="Total",
SUMPRODUCT(
   INDEX(AF:AF, ROW()-COUNTIF($F$6:INDEX($F:$F, ROW()-1), $F89)) : INDEX(AF:AF, ROW()-1),
   INDEX(AB:AB, ROW()-COUNTIF($F$6:INDEX($F:$F, ROW()-1), $F89)) : INDEX(AB:AB, ROW()-1)
   )
   /SUM(INDEX(AB:AB, ROW()-COUNTIF($F$6:INDEX($F:$F, ROW()-1), $F89)) : INDEX(AB:AB, ROW()-1)),
           _xlfn.MAXIFS(unit_details[Asking Rent],
          unit_details[Active Listing?],TRUE,
          unit_details[Property Name], $F90,
          unit_details[Beds], $L90,
          unit_details[Baths], $M90,
          unit_details[Partial Baths], IF(ISNUMBER($N90),$N90,""),
          unit_details[Sqft],$P90
))),"")</f>
        <v/>
      </c>
      <c r="AG90" s="6" t="str">
        <f>IFERROR(IF($F90="Total",
         SUMPRODUCT(
         INDEX(AG:AG, ROW()-COUNTIF($F$6:INDEX($F:$F, ROW()-1), $F89)) : INDEX(AG:AG, ROW()-1),
         INDEX(AB:AB, ROW()-COUNTIF($F$6:INDEX($F:$F, ROW()-1), $F89)) : INDEX(AB:AB, ROW()-1)
         )
         /SUM(INDEX(AB:AB, ROW()-COUNTIF($F$6:INDEX($F:$F, ROW()-1), $F89)) : INDEX(AB:AB, ROW()-1)),
          AVERAGEIFS(unit_details[Asking PSF],
          unit_details[Active Listing?],TRUE,
          unit_details[Property Name], $F90,
          unit_details[Beds], $L90,
          unit_details[Baths], $M90,
          unit_details[Partial Baths], IF(ISNUMBER($N90),$N90,""),
          unit_details[Sqft],$P90
)),"")</f>
        <v/>
      </c>
      <c r="AH90" s="293" t="str">
        <f>IFERROR(IF($F90="Total",
         SUMPRODUCT(
         INDEX(AH:AH, ROW()-COUNTIF($F$6:INDEX($F:$F, ROW()-1), $F89)) : INDEX(AH:AH, ROW()-1),
         INDEX(AB:AB, ROW()-COUNTIF($F$6:INDEX($F:$F, ROW()-1), $F89)) : INDEX(AB:AB, ROW()-1)
         )
         /SUM(INDEX(AB:AB, ROW()-COUNTIF($F$6:INDEX($F:$F, ROW()-1), $F89)) : INDEX(AB:AB, ROW()-1)),
          AVERAGEIFS(unit_details[Effective Rent],
          unit_details[Active Listing?],TRUE,
          unit_details[Property Name], $F90,
          unit_details[Beds], $L90,
          unit_details[Baths], $M90,
          unit_details[Partial Baths], IF(ISNUMBER($N90),$N90,""),
          unit_details[Sqft],$P90
)),"")</f>
        <v/>
      </c>
      <c r="AI90" s="6" t="str">
        <f>IFERROR(IF($F90="Total",
         SUMPRODUCT(
         INDEX(AI:AI, ROW()-COUNTIF($F$6:INDEX($F:$F, ROW()-1), $F89)) : INDEX(AI:AI, ROW()-1),
         INDEX(AB:AB, ROW()-COUNTIF($F$6:INDEX($F:$F, ROW()-1), $F89)) : INDEX(AB:AB, ROW()-1)
         )
         /SUM(INDEX(AB:AB, ROW()-COUNTIF($F$6:INDEX($F:$F, ROW()-1), $F89)) : INDEX(AB:AB, ROW()-1)),
           AVERAGEIFS(unit_details[Effective PSF],
          unit_details[Active Listing?],TRUE,
          unit_details[Property Name], $F90,
          unit_details[Beds], $L90,
          unit_details[Baths], $M90,
          unit_details[Partial Baths], IF(ISNUMBER($N90),$N90,""),
          unit_details[Sqft],$P90
)),"")</f>
        <v/>
      </c>
      <c r="AJ90" s="824" t="str">
        <f t="shared" si="15"/>
        <v/>
      </c>
      <c r="AK90" s="531" t="str">
        <f t="shared" si="16"/>
        <v/>
      </c>
      <c r="AL90" s="714" t="str">
        <f t="shared" si="17"/>
        <v/>
      </c>
      <c r="AM90" s="531" t="str">
        <f t="shared" si="18"/>
        <v/>
      </c>
      <c r="AN90" s="716" t="str">
        <f t="shared" si="19"/>
        <v/>
      </c>
    </row>
    <row r="91" spans="6:40" x14ac:dyDescent="0.2">
      <c r="F91" s="1" t="str">
        <f t="shared" si="12"/>
        <v/>
      </c>
      <c r="G91" s="713" t="str">
        <f t="shared" si="20"/>
        <v/>
      </c>
      <c r="H91" s="17" t="str">
        <f>IFERROR(VLOOKUP($G91,Table1[[Property]:[Exposure %]],4,0),"")</f>
        <v/>
      </c>
      <c r="I91" s="3" t="str">
        <f>IFERROR(VLOOKUP($G91,Table1[[Property]:[Exposure %]],6,0),"")</f>
        <v/>
      </c>
      <c r="J91" s="3" t="str">
        <f>IFERROR(VLOOKUP($G91,Table1[[Property]:[Exposure %]],7,0),"")</f>
        <v/>
      </c>
      <c r="K91"/>
      <c r="L91"/>
      <c r="M91"/>
      <c r="N91"/>
      <c r="O91"/>
      <c r="P91"/>
      <c r="Q91"/>
      <c r="R91" s="4" t="str">
        <f>IFERROR(VLOOKUP(IF(F91="Total",F90,F91),Table1[[Property]:['# Units]],7,0)*S91,"")</f>
        <v/>
      </c>
      <c r="S91" s="27" t="str">
        <f t="shared" si="13"/>
        <v/>
      </c>
      <c r="T91" s="531" t="str">
        <f>IFERROR(
 IF($F91="Total",
   SUMPRODUCT(
   INDEX(T:T, ROW()-COUNTIF($F$6:INDEX($F:$F, ROW()-1), $F90)) : INDEX(T:T, ROW()-1),
   INDEX(W:W, ROW()-COUNTIF($F$6:INDEX($F:$F, ROW()-1), $F90)) : INDEX(W:W, ROW()-1)
   )
   /SUM(INDEX(W:W, ROW()-COUNTIF($F$6:INDEX($F:$F, ROW()-1), $F90)) : INDEX(W:W, ROW()-1)),
   AVERAGEIFS(
     INDEX((unit_details[Asking Rent],unit_details[Asking PSF]),0,1,IF($U$3="Chunk Rent",1,2)),
     unit_details[Leased Date],"&gt;="&amp;($AM$2-T$5),
     unit_details[Leased Date],"&lt;"&amp;$AM$2,
     unit_details[Beds],$L91,
     unit_details[Baths],$M91,
     unit_details[Partial Baths],IF(ISNUMBER($N91),$N91,""),
     unit_details[Sqft],$P91,
     unit_details[Property Name],$F91)
 ),"")</f>
        <v/>
      </c>
      <c r="U91" s="552" t="str">
        <f>IFERROR(
 IF($F91="Total",
   SUMPRODUCT(
   INDEX(U:U, ROW()-COUNTIF($F$6:INDEX($F:$F, ROW()-1), $F90)) : INDEX(U:U, ROW()-1),
   INDEX(W:W, ROW()-COUNTIF($F$6:INDEX($F:$F, ROW()-1), $F90)) : INDEX(W:W, ROW()-1)
   )
   /SUM(INDEX(W:W, ROW()-COUNTIF($F$6:INDEX($F:$F, ROW()-1), $F90)) : INDEX(W:W, ROW()-1)),
   AVERAGEIFS(
     INDEX((unit_details[Effective Rent],unit_details[Effective PSF]),0,1,IF($U$3="Chunk Rent",1,2)),
     unit_details[Leased Date],"&gt;="&amp;($AM$2-T$5),
     unit_details[Leased Date],"&lt;"&amp;$AM$2,
     unit_details[Beds],$L91,
     unit_details[Baths],$M91,
     unit_details[Partial Baths],IF(ISNUMBER($N91),$N91,""),
     unit_details[Sqft],$P91,
     unit_details[Property Name],$F91)
 ),"")</f>
        <v/>
      </c>
      <c r="V91" s="27" t="str">
        <f t="shared" si="21"/>
        <v/>
      </c>
      <c r="W91" s="526">
        <f>IFERROR(
  IF($F91="Total",
    SUM(INDEX(W:W, ROW()-COUNTIF($F$6:INDEX($F:$F, ROW()-1), $F90)) : INDEX(W:W, ROW()-1)),
    COUNTIFS(
      unit_details[Leased Date], "&gt;="&amp;($AM$2-T$5),
      unit_details[Leased Date], "&lt;"&amp;$AM$2,
      unit_details[Beds], $L91,
      unit_details[Baths], $M91,
      unit_details[Partial Baths], IF(ISNUMBER($N91), $N91, ""),
      unit_details[Sqft],$P91,
      unit_details[Property Name], $F91
    )
  ),
"")</f>
        <v>0</v>
      </c>
      <c r="X91" s="531" t="str">
        <f>IFERROR(
 IF($F91="Total",
   SUMPRODUCT(
   INDEX(X:X, ROW()-COUNTIF($F$6:INDEX($F:$F, ROW()-1), $F90)) : INDEX(X:X, ROW()-1),
   INDEX(AA:AA, ROW()-COUNTIF($F$6:INDEX($F:$F, ROW()-1), $F90)) : INDEX(AA:AA, ROW()-1)
   )
   /SUM(INDEX(AA:AA, ROW()-COUNTIF($F$6:INDEX($F:$F, ROW()-1), $F90)) : INDEX(AA:AA, ROW()-1)),
   AVERAGEIFS(
     INDEX((unit_details[Asking Rent],unit_details[Asking PSF]),0,1,IF($U$3="Chunk Rent",1,2)),
     unit_details[Leased Date],"&gt;="&amp;($AM$2-X$5),
     unit_details[Leased Date],"&lt;"&amp;$AM$2,
     unit_details[Beds],$L91,
     unit_details[Baths],$M91,
     unit_details[Partial Baths],IF(ISNUMBER($N91),$N91,""),
     unit_details[Sqft],$P91,
     unit_details[Property Name],$F91)
 ),"")</f>
        <v/>
      </c>
      <c r="Y91" s="552" t="str">
        <f>IFERROR(
 IF($F91="Total",
   SUMPRODUCT(
   INDEX(Y:Y, ROW()-COUNTIF($F$6:INDEX($F:$F, ROW()-1), $F90)) : INDEX(Y:Y, ROW()-1),
   INDEX(AA:AA, ROW()-COUNTIF($F$6:INDEX($F:$F, ROW()-1), $F90)) : INDEX(AA:AA, ROW()-1)
   )
   /SUM(INDEX(AA:AA, ROW()-COUNTIF($F$6:INDEX($F:$F, ROW()-1), $F90)) : INDEX(AA:AA, ROW()-1)),
   AVERAGEIFS(
     INDEX((unit_details[Effective Rent],unit_details[Effective PSF]),0,1,IF($U$3="Chunk Rent",1,2)),
     unit_details[Leased Date],"&gt;="&amp;($AM$2-X$5),
     unit_details[Leased Date],"&lt;"&amp;$AM$2,
     unit_details[Beds],$L91,
     unit_details[Baths],$M91,
     unit_details[Partial Baths],IF(ISNUMBER($N91),$N91,""),
     unit_details[Sqft],$P91,
     unit_details[Property Name],$F91)
 ),"")</f>
        <v/>
      </c>
      <c r="Z91" s="27" t="str">
        <f t="shared" si="22"/>
        <v/>
      </c>
      <c r="AA91" s="526">
        <f>IFERROR(
  IF($F91="Total",
    SUM(INDEX(AA:AA, ROW()-COUNTIF($F$6:INDEX($F:$F, ROW()-1), $F90)) : INDEX(AA:AA, ROW()-1)),
    COUNTIFS(
      unit_details[Leased Date], "&gt;="&amp;($AM$2-X$5),
      unit_details[Leased Date], "&lt;"&amp;$AM$2,
      unit_details[Beds], $L91,
      unit_details[Baths], $M91,
      unit_details[Partial Baths], IF(ISNUMBER($N91), $N91, ""),
      unit_details[Sqft],$P91,
      unit_details[Property Name], $F91
    )
  ),
"")</f>
        <v>0</v>
      </c>
      <c r="AB91" s="290">
        <f>IF($F91="Total",
SUM(INDEX(AB:AB, ROW()-COUNTIF($F$6:INDEX($F:$F, ROW()-1), $F90)) : INDEX(AB:AB, ROW()-1)),
COUNTIFS(unit_details[Active Listing?],TRUE,
          unit_details[Property Name], $F91,
          unit_details[Beds], $L91,
          unit_details[Baths], $M91,
          unit_details[Partial Baths],IF(ISNUMBER($N91),$N91,""),
          unit_details[Sqft],$P91))</f>
        <v>0</v>
      </c>
      <c r="AC91" s="27" t="str">
        <f t="shared" si="14"/>
        <v/>
      </c>
      <c r="AD91" s="293" t="str">
        <f>IFERROR(IF(AE91="","",IF($F91="Total",
SUMPRODUCT(
   INDEX(AD:AD, ROW()-COUNTIF($F$6:INDEX($F:$F, ROW()-1), $F90)) : INDEX(AD:AD, ROW()-1),
   INDEX(AB:AB, ROW()-COUNTIF($F$6:INDEX($F:$F, ROW()-1), $F90)) : INDEX(AB:AB, ROW()-1)
   )
   /SUM(INDEX(AB:AB, ROW()-COUNTIF($F$6:INDEX($F:$F, ROW()-1), $F90)) : INDEX(AB:AB, ROW()-1)),
          _xlfn.MINIFS(unit_details[Asking Rent],
          unit_details[Active Listing?],TRUE,
          unit_details[Property Name], $F91,
          unit_details[Beds], $L91,
          unit_details[Baths], $M91,
          unit_details[Partial Baths], IF(ISNUMBER($N91),$N91,""),
          unit_details[Sqft],$P91
))),"")</f>
        <v/>
      </c>
      <c r="AE91" s="5" t="str">
        <f>IFERROR(IF($F91="Total",
          SUMPRODUCT(
   INDEX(AE:AE, ROW()-COUNTIF($F$6:INDEX($F:$F, ROW()-1), $F90)) : INDEX(AE:AE, ROW()-1),
   INDEX(AB:AB, ROW()-COUNTIF($F$6:INDEX($F:$F, ROW()-1), $F90)) : INDEX(AB:AB, ROW()-1)
   )
   /SUM(INDEX(AB:AB, ROW()-COUNTIF($F$6:INDEX($F:$F, ROW()-1), $F90)) : INDEX(AB:AB, ROW()-1)),
          AVERAGEIFS(unit_details[Asking Rent],
          unit_details[Active Listing?],TRUE,
          unit_details[Property Name], $F91,
          unit_details[Beds], $L91,
          unit_details[Baths], $M91,
          unit_details[Partial Baths], IF(ISNUMBER($N91),$N91,""),
          unit_details[Sqft],$P91
)),"")</f>
        <v/>
      </c>
      <c r="AF91" s="5" t="str">
        <f>IFERROR(IF(AE91="","",IF($F91="Total",
SUMPRODUCT(
   INDEX(AF:AF, ROW()-COUNTIF($F$6:INDEX($F:$F, ROW()-1), $F90)) : INDEX(AF:AF, ROW()-1),
   INDEX(AB:AB, ROW()-COUNTIF($F$6:INDEX($F:$F, ROW()-1), $F90)) : INDEX(AB:AB, ROW()-1)
   )
   /SUM(INDEX(AB:AB, ROW()-COUNTIF($F$6:INDEX($F:$F, ROW()-1), $F90)) : INDEX(AB:AB, ROW()-1)),
           _xlfn.MAXIFS(unit_details[Asking Rent],
          unit_details[Active Listing?],TRUE,
          unit_details[Property Name], $F91,
          unit_details[Beds], $L91,
          unit_details[Baths], $M91,
          unit_details[Partial Baths], IF(ISNUMBER($N91),$N91,""),
          unit_details[Sqft],$P91
))),"")</f>
        <v/>
      </c>
      <c r="AG91" s="6" t="str">
        <f>IFERROR(IF($F91="Total",
         SUMPRODUCT(
         INDEX(AG:AG, ROW()-COUNTIF($F$6:INDEX($F:$F, ROW()-1), $F90)) : INDEX(AG:AG, ROW()-1),
         INDEX(AB:AB, ROW()-COUNTIF($F$6:INDEX($F:$F, ROW()-1), $F90)) : INDEX(AB:AB, ROW()-1)
         )
         /SUM(INDEX(AB:AB, ROW()-COUNTIF($F$6:INDEX($F:$F, ROW()-1), $F90)) : INDEX(AB:AB, ROW()-1)),
          AVERAGEIFS(unit_details[Asking PSF],
          unit_details[Active Listing?],TRUE,
          unit_details[Property Name], $F91,
          unit_details[Beds], $L91,
          unit_details[Baths], $M91,
          unit_details[Partial Baths], IF(ISNUMBER($N91),$N91,""),
          unit_details[Sqft],$P91
)),"")</f>
        <v/>
      </c>
      <c r="AH91" s="293" t="str">
        <f>IFERROR(IF($F91="Total",
         SUMPRODUCT(
         INDEX(AH:AH, ROW()-COUNTIF($F$6:INDEX($F:$F, ROW()-1), $F90)) : INDEX(AH:AH, ROW()-1),
         INDEX(AB:AB, ROW()-COUNTIF($F$6:INDEX($F:$F, ROW()-1), $F90)) : INDEX(AB:AB, ROW()-1)
         )
         /SUM(INDEX(AB:AB, ROW()-COUNTIF($F$6:INDEX($F:$F, ROW()-1), $F90)) : INDEX(AB:AB, ROW()-1)),
          AVERAGEIFS(unit_details[Effective Rent],
          unit_details[Active Listing?],TRUE,
          unit_details[Property Name], $F91,
          unit_details[Beds], $L91,
          unit_details[Baths], $M91,
          unit_details[Partial Baths], IF(ISNUMBER($N91),$N91,""),
          unit_details[Sqft],$P91
)),"")</f>
        <v/>
      </c>
      <c r="AI91" s="6" t="str">
        <f>IFERROR(IF($F91="Total",
         SUMPRODUCT(
         INDEX(AI:AI, ROW()-COUNTIF($F$6:INDEX($F:$F, ROW()-1), $F90)) : INDEX(AI:AI, ROW()-1),
         INDEX(AB:AB, ROW()-COUNTIF($F$6:INDEX($F:$F, ROW()-1), $F90)) : INDEX(AB:AB, ROW()-1)
         )
         /SUM(INDEX(AB:AB, ROW()-COUNTIF($F$6:INDEX($F:$F, ROW()-1), $F90)) : INDEX(AB:AB, ROW()-1)),
           AVERAGEIFS(unit_details[Effective PSF],
          unit_details[Active Listing?],TRUE,
          unit_details[Property Name], $F91,
          unit_details[Beds], $L91,
          unit_details[Baths], $M91,
          unit_details[Partial Baths], IF(ISNUMBER($N91),$N91,""),
          unit_details[Sqft],$P91
)),"")</f>
        <v/>
      </c>
      <c r="AJ91" s="824" t="str">
        <f t="shared" si="15"/>
        <v/>
      </c>
      <c r="AK91" s="531" t="str">
        <f t="shared" si="16"/>
        <v/>
      </c>
      <c r="AL91" s="714" t="str">
        <f t="shared" si="17"/>
        <v/>
      </c>
      <c r="AM91" s="531" t="str">
        <f t="shared" si="18"/>
        <v/>
      </c>
      <c r="AN91" s="716" t="str">
        <f t="shared" si="19"/>
        <v/>
      </c>
    </row>
    <row r="92" spans="6:40" x14ac:dyDescent="0.2">
      <c r="F92" s="1" t="str">
        <f t="shared" si="12"/>
        <v/>
      </c>
      <c r="G92" s="713" t="str">
        <f t="shared" si="20"/>
        <v/>
      </c>
      <c r="H92" s="17" t="str">
        <f>IFERROR(VLOOKUP($G92,Table1[[Property]:[Exposure %]],4,0),"")</f>
        <v/>
      </c>
      <c r="I92" s="3" t="str">
        <f>IFERROR(VLOOKUP($G92,Table1[[Property]:[Exposure %]],6,0),"")</f>
        <v/>
      </c>
      <c r="J92" s="3" t="str">
        <f>IFERROR(VLOOKUP($G92,Table1[[Property]:[Exposure %]],7,0),"")</f>
        <v/>
      </c>
      <c r="K92"/>
      <c r="L92"/>
      <c r="M92"/>
      <c r="N92"/>
      <c r="O92"/>
      <c r="P92"/>
      <c r="Q92"/>
      <c r="R92" s="4" t="str">
        <f>IFERROR(VLOOKUP(IF(F92="Total",F91,F92),Table1[[Property]:['# Units]],7,0)*S92,"")</f>
        <v/>
      </c>
      <c r="S92" s="27" t="str">
        <f t="shared" si="13"/>
        <v/>
      </c>
      <c r="T92" s="531" t="str">
        <f>IFERROR(
 IF($F92="Total",
   SUMPRODUCT(
   INDEX(T:T, ROW()-COUNTIF($F$6:INDEX($F:$F, ROW()-1), $F91)) : INDEX(T:T, ROW()-1),
   INDEX(W:W, ROW()-COUNTIF($F$6:INDEX($F:$F, ROW()-1), $F91)) : INDEX(W:W, ROW()-1)
   )
   /SUM(INDEX(W:W, ROW()-COUNTIF($F$6:INDEX($F:$F, ROW()-1), $F91)) : INDEX(W:W, ROW()-1)),
   AVERAGEIFS(
     INDEX((unit_details[Asking Rent],unit_details[Asking PSF]),0,1,IF($U$3="Chunk Rent",1,2)),
     unit_details[Leased Date],"&gt;="&amp;($AM$2-T$5),
     unit_details[Leased Date],"&lt;"&amp;$AM$2,
     unit_details[Beds],$L92,
     unit_details[Baths],$M92,
     unit_details[Partial Baths],IF(ISNUMBER($N92),$N92,""),
     unit_details[Sqft],$P92,
     unit_details[Property Name],$F92)
 ),"")</f>
        <v/>
      </c>
      <c r="U92" s="552" t="str">
        <f>IFERROR(
 IF($F92="Total",
   SUMPRODUCT(
   INDEX(U:U, ROW()-COUNTIF($F$6:INDEX($F:$F, ROW()-1), $F91)) : INDEX(U:U, ROW()-1),
   INDEX(W:W, ROW()-COUNTIF($F$6:INDEX($F:$F, ROW()-1), $F91)) : INDEX(W:W, ROW()-1)
   )
   /SUM(INDEX(W:W, ROW()-COUNTIF($F$6:INDEX($F:$F, ROW()-1), $F91)) : INDEX(W:W, ROW()-1)),
   AVERAGEIFS(
     INDEX((unit_details[Effective Rent],unit_details[Effective PSF]),0,1,IF($U$3="Chunk Rent",1,2)),
     unit_details[Leased Date],"&gt;="&amp;($AM$2-T$5),
     unit_details[Leased Date],"&lt;"&amp;$AM$2,
     unit_details[Beds],$L92,
     unit_details[Baths],$M92,
     unit_details[Partial Baths],IF(ISNUMBER($N92),$N92,""),
     unit_details[Sqft],$P92,
     unit_details[Property Name],$F92)
 ),"")</f>
        <v/>
      </c>
      <c r="V92" s="27" t="str">
        <f t="shared" si="21"/>
        <v/>
      </c>
      <c r="W92" s="526">
        <f>IFERROR(
  IF($F92="Total",
    SUM(INDEX(W:W, ROW()-COUNTIF($F$6:INDEX($F:$F, ROW()-1), $F91)) : INDEX(W:W, ROW()-1)),
    COUNTIFS(
      unit_details[Leased Date], "&gt;="&amp;($AM$2-T$5),
      unit_details[Leased Date], "&lt;"&amp;$AM$2,
      unit_details[Beds], $L92,
      unit_details[Baths], $M92,
      unit_details[Partial Baths], IF(ISNUMBER($N92), $N92, ""),
      unit_details[Sqft],$P92,
      unit_details[Property Name], $F92
    )
  ),
"")</f>
        <v>0</v>
      </c>
      <c r="X92" s="531" t="str">
        <f>IFERROR(
 IF($F92="Total",
   SUMPRODUCT(
   INDEX(X:X, ROW()-COUNTIF($F$6:INDEX($F:$F, ROW()-1), $F91)) : INDEX(X:X, ROW()-1),
   INDEX(AA:AA, ROW()-COUNTIF($F$6:INDEX($F:$F, ROW()-1), $F91)) : INDEX(AA:AA, ROW()-1)
   )
   /SUM(INDEX(AA:AA, ROW()-COUNTIF($F$6:INDEX($F:$F, ROW()-1), $F91)) : INDEX(AA:AA, ROW()-1)),
   AVERAGEIFS(
     INDEX((unit_details[Asking Rent],unit_details[Asking PSF]),0,1,IF($U$3="Chunk Rent",1,2)),
     unit_details[Leased Date],"&gt;="&amp;($AM$2-X$5),
     unit_details[Leased Date],"&lt;"&amp;$AM$2,
     unit_details[Beds],$L92,
     unit_details[Baths],$M92,
     unit_details[Partial Baths],IF(ISNUMBER($N92),$N92,""),
     unit_details[Sqft],$P92,
     unit_details[Property Name],$F92)
 ),"")</f>
        <v/>
      </c>
      <c r="Y92" s="552" t="str">
        <f>IFERROR(
 IF($F92="Total",
   SUMPRODUCT(
   INDEX(Y:Y, ROW()-COUNTIF($F$6:INDEX($F:$F, ROW()-1), $F91)) : INDEX(Y:Y, ROW()-1),
   INDEX(AA:AA, ROW()-COUNTIF($F$6:INDEX($F:$F, ROW()-1), $F91)) : INDEX(AA:AA, ROW()-1)
   )
   /SUM(INDEX(AA:AA, ROW()-COUNTIF($F$6:INDEX($F:$F, ROW()-1), $F91)) : INDEX(AA:AA, ROW()-1)),
   AVERAGEIFS(
     INDEX((unit_details[Effective Rent],unit_details[Effective PSF]),0,1,IF($U$3="Chunk Rent",1,2)),
     unit_details[Leased Date],"&gt;="&amp;($AM$2-X$5),
     unit_details[Leased Date],"&lt;"&amp;$AM$2,
     unit_details[Beds],$L92,
     unit_details[Baths],$M92,
     unit_details[Partial Baths],IF(ISNUMBER($N92),$N92,""),
     unit_details[Sqft],$P92,
     unit_details[Property Name],$F92)
 ),"")</f>
        <v/>
      </c>
      <c r="Z92" s="27" t="str">
        <f t="shared" si="22"/>
        <v/>
      </c>
      <c r="AA92" s="526">
        <f>IFERROR(
  IF($F92="Total",
    SUM(INDEX(AA:AA, ROW()-COUNTIF($F$6:INDEX($F:$F, ROW()-1), $F91)) : INDEX(AA:AA, ROW()-1)),
    COUNTIFS(
      unit_details[Leased Date], "&gt;="&amp;($AM$2-X$5),
      unit_details[Leased Date], "&lt;"&amp;$AM$2,
      unit_details[Beds], $L92,
      unit_details[Baths], $M92,
      unit_details[Partial Baths], IF(ISNUMBER($N92), $N92, ""),
      unit_details[Sqft],$P92,
      unit_details[Property Name], $F92
    )
  ),
"")</f>
        <v>0</v>
      </c>
      <c r="AB92" s="290">
        <f>IF($F92="Total",
SUM(INDEX(AB:AB, ROW()-COUNTIF($F$6:INDEX($F:$F, ROW()-1), $F91)) : INDEX(AB:AB, ROW()-1)),
COUNTIFS(unit_details[Active Listing?],TRUE,
          unit_details[Property Name], $F92,
          unit_details[Beds], $L92,
          unit_details[Baths], $M92,
          unit_details[Partial Baths],IF(ISNUMBER($N92),$N92,""),
          unit_details[Sqft],$P92))</f>
        <v>0</v>
      </c>
      <c r="AC92" s="27" t="str">
        <f t="shared" si="14"/>
        <v/>
      </c>
      <c r="AD92" s="293" t="str">
        <f>IFERROR(IF(AE92="","",IF($F92="Total",
SUMPRODUCT(
   INDEX(AD:AD, ROW()-COUNTIF($F$6:INDEX($F:$F, ROW()-1), $F91)) : INDEX(AD:AD, ROW()-1),
   INDEX(AB:AB, ROW()-COUNTIF($F$6:INDEX($F:$F, ROW()-1), $F91)) : INDEX(AB:AB, ROW()-1)
   )
   /SUM(INDEX(AB:AB, ROW()-COUNTIF($F$6:INDEX($F:$F, ROW()-1), $F91)) : INDEX(AB:AB, ROW()-1)),
          _xlfn.MINIFS(unit_details[Asking Rent],
          unit_details[Active Listing?],TRUE,
          unit_details[Property Name], $F92,
          unit_details[Beds], $L92,
          unit_details[Baths], $M92,
          unit_details[Partial Baths], IF(ISNUMBER($N92),$N92,""),
          unit_details[Sqft],$P92
))),"")</f>
        <v/>
      </c>
      <c r="AE92" s="5" t="str">
        <f>IFERROR(IF($F92="Total",
          SUMPRODUCT(
   INDEX(AE:AE, ROW()-COUNTIF($F$6:INDEX($F:$F, ROW()-1), $F91)) : INDEX(AE:AE, ROW()-1),
   INDEX(AB:AB, ROW()-COUNTIF($F$6:INDEX($F:$F, ROW()-1), $F91)) : INDEX(AB:AB, ROW()-1)
   )
   /SUM(INDEX(AB:AB, ROW()-COUNTIF($F$6:INDEX($F:$F, ROW()-1), $F91)) : INDEX(AB:AB, ROW()-1)),
          AVERAGEIFS(unit_details[Asking Rent],
          unit_details[Active Listing?],TRUE,
          unit_details[Property Name], $F92,
          unit_details[Beds], $L92,
          unit_details[Baths], $M92,
          unit_details[Partial Baths], IF(ISNUMBER($N92),$N92,""),
          unit_details[Sqft],$P92
)),"")</f>
        <v/>
      </c>
      <c r="AF92" s="5" t="str">
        <f>IFERROR(IF(AE92="","",IF($F92="Total",
SUMPRODUCT(
   INDEX(AF:AF, ROW()-COUNTIF($F$6:INDEX($F:$F, ROW()-1), $F91)) : INDEX(AF:AF, ROW()-1),
   INDEX(AB:AB, ROW()-COUNTIF($F$6:INDEX($F:$F, ROW()-1), $F91)) : INDEX(AB:AB, ROW()-1)
   )
   /SUM(INDEX(AB:AB, ROW()-COUNTIF($F$6:INDEX($F:$F, ROW()-1), $F91)) : INDEX(AB:AB, ROW()-1)),
           _xlfn.MAXIFS(unit_details[Asking Rent],
          unit_details[Active Listing?],TRUE,
          unit_details[Property Name], $F92,
          unit_details[Beds], $L92,
          unit_details[Baths], $M92,
          unit_details[Partial Baths], IF(ISNUMBER($N92),$N92,""),
          unit_details[Sqft],$P92
))),"")</f>
        <v/>
      </c>
      <c r="AG92" s="6" t="str">
        <f>IFERROR(IF($F92="Total",
         SUMPRODUCT(
         INDEX(AG:AG, ROW()-COUNTIF($F$6:INDEX($F:$F, ROW()-1), $F91)) : INDEX(AG:AG, ROW()-1),
         INDEX(AB:AB, ROW()-COUNTIF($F$6:INDEX($F:$F, ROW()-1), $F91)) : INDEX(AB:AB, ROW()-1)
         )
         /SUM(INDEX(AB:AB, ROW()-COUNTIF($F$6:INDEX($F:$F, ROW()-1), $F91)) : INDEX(AB:AB, ROW()-1)),
          AVERAGEIFS(unit_details[Asking PSF],
          unit_details[Active Listing?],TRUE,
          unit_details[Property Name], $F92,
          unit_details[Beds], $L92,
          unit_details[Baths], $M92,
          unit_details[Partial Baths], IF(ISNUMBER($N92),$N92,""),
          unit_details[Sqft],$P92
)),"")</f>
        <v/>
      </c>
      <c r="AH92" s="293" t="str">
        <f>IFERROR(IF($F92="Total",
         SUMPRODUCT(
         INDEX(AH:AH, ROW()-COUNTIF($F$6:INDEX($F:$F, ROW()-1), $F91)) : INDEX(AH:AH, ROW()-1),
         INDEX(AB:AB, ROW()-COUNTIF($F$6:INDEX($F:$F, ROW()-1), $F91)) : INDEX(AB:AB, ROW()-1)
         )
         /SUM(INDEX(AB:AB, ROW()-COUNTIF($F$6:INDEX($F:$F, ROW()-1), $F91)) : INDEX(AB:AB, ROW()-1)),
          AVERAGEIFS(unit_details[Effective Rent],
          unit_details[Active Listing?],TRUE,
          unit_details[Property Name], $F92,
          unit_details[Beds], $L92,
          unit_details[Baths], $M92,
          unit_details[Partial Baths], IF(ISNUMBER($N92),$N92,""),
          unit_details[Sqft],$P92
)),"")</f>
        <v/>
      </c>
      <c r="AI92" s="6" t="str">
        <f>IFERROR(IF($F92="Total",
         SUMPRODUCT(
         INDEX(AI:AI, ROW()-COUNTIF($F$6:INDEX($F:$F, ROW()-1), $F91)) : INDEX(AI:AI, ROW()-1),
         INDEX(AB:AB, ROW()-COUNTIF($F$6:INDEX($F:$F, ROW()-1), $F91)) : INDEX(AB:AB, ROW()-1)
         )
         /SUM(INDEX(AB:AB, ROW()-COUNTIF($F$6:INDEX($F:$F, ROW()-1), $F91)) : INDEX(AB:AB, ROW()-1)),
           AVERAGEIFS(unit_details[Effective PSF],
          unit_details[Active Listing?],TRUE,
          unit_details[Property Name], $F92,
          unit_details[Beds], $L92,
          unit_details[Baths], $M92,
          unit_details[Partial Baths], IF(ISNUMBER($N92),$N92,""),
          unit_details[Sqft],$P92
)),"")</f>
        <v/>
      </c>
      <c r="AJ92" s="824" t="str">
        <f t="shared" si="15"/>
        <v/>
      </c>
      <c r="AK92" s="531" t="str">
        <f t="shared" si="16"/>
        <v/>
      </c>
      <c r="AL92" s="714" t="str">
        <f t="shared" si="17"/>
        <v/>
      </c>
      <c r="AM92" s="531" t="str">
        <f t="shared" si="18"/>
        <v/>
      </c>
      <c r="AN92" s="716" t="str">
        <f t="shared" si="19"/>
        <v/>
      </c>
    </row>
    <row r="93" spans="6:40" x14ac:dyDescent="0.2">
      <c r="F93" s="1" t="str">
        <f t="shared" si="12"/>
        <v/>
      </c>
      <c r="G93" s="713" t="str">
        <f t="shared" si="20"/>
        <v/>
      </c>
      <c r="H93" s="17" t="str">
        <f>IFERROR(VLOOKUP($G93,Table1[[Property]:[Exposure %]],4,0),"")</f>
        <v/>
      </c>
      <c r="I93" s="3" t="str">
        <f>IFERROR(VLOOKUP($G93,Table1[[Property]:[Exposure %]],6,0),"")</f>
        <v/>
      </c>
      <c r="J93" s="3" t="str">
        <f>IFERROR(VLOOKUP($G93,Table1[[Property]:[Exposure %]],7,0),"")</f>
        <v/>
      </c>
      <c r="K93"/>
      <c r="L93"/>
      <c r="M93"/>
      <c r="N93"/>
      <c r="O93"/>
      <c r="P93"/>
      <c r="Q93"/>
      <c r="R93" s="4" t="str">
        <f>IFERROR(VLOOKUP(IF(F93="Total",F92,F93),Table1[[Property]:['# Units]],7,0)*S93,"")</f>
        <v/>
      </c>
      <c r="S93" s="27" t="str">
        <f t="shared" si="13"/>
        <v/>
      </c>
      <c r="T93" s="531" t="str">
        <f>IFERROR(
 IF($F93="Total",
   SUMPRODUCT(
   INDEX(T:T, ROW()-COUNTIF($F$6:INDEX($F:$F, ROW()-1), $F92)) : INDEX(T:T, ROW()-1),
   INDEX(W:W, ROW()-COUNTIF($F$6:INDEX($F:$F, ROW()-1), $F92)) : INDEX(W:W, ROW()-1)
   )
   /SUM(INDEX(W:W, ROW()-COUNTIF($F$6:INDEX($F:$F, ROW()-1), $F92)) : INDEX(W:W, ROW()-1)),
   AVERAGEIFS(
     INDEX((unit_details[Asking Rent],unit_details[Asking PSF]),0,1,IF($U$3="Chunk Rent",1,2)),
     unit_details[Leased Date],"&gt;="&amp;($AM$2-T$5),
     unit_details[Leased Date],"&lt;"&amp;$AM$2,
     unit_details[Beds],$L93,
     unit_details[Baths],$M93,
     unit_details[Partial Baths],IF(ISNUMBER($N93),$N93,""),
     unit_details[Sqft],$P93,
     unit_details[Property Name],$F93)
 ),"")</f>
        <v/>
      </c>
      <c r="U93" s="552" t="str">
        <f>IFERROR(
 IF($F93="Total",
   SUMPRODUCT(
   INDEX(U:U, ROW()-COUNTIF($F$6:INDEX($F:$F, ROW()-1), $F92)) : INDEX(U:U, ROW()-1),
   INDEX(W:W, ROW()-COUNTIF($F$6:INDEX($F:$F, ROW()-1), $F92)) : INDEX(W:W, ROW()-1)
   )
   /SUM(INDEX(W:W, ROW()-COUNTIF($F$6:INDEX($F:$F, ROW()-1), $F92)) : INDEX(W:W, ROW()-1)),
   AVERAGEIFS(
     INDEX((unit_details[Effective Rent],unit_details[Effective PSF]),0,1,IF($U$3="Chunk Rent",1,2)),
     unit_details[Leased Date],"&gt;="&amp;($AM$2-T$5),
     unit_details[Leased Date],"&lt;"&amp;$AM$2,
     unit_details[Beds],$L93,
     unit_details[Baths],$M93,
     unit_details[Partial Baths],IF(ISNUMBER($N93),$N93,""),
     unit_details[Sqft],$P93,
     unit_details[Property Name],$F93)
 ),"")</f>
        <v/>
      </c>
      <c r="V93" s="27" t="str">
        <f t="shared" si="21"/>
        <v/>
      </c>
      <c r="W93" s="526">
        <f>IFERROR(
  IF($F93="Total",
    SUM(INDEX(W:W, ROW()-COUNTIF($F$6:INDEX($F:$F, ROW()-1), $F92)) : INDEX(W:W, ROW()-1)),
    COUNTIFS(
      unit_details[Leased Date], "&gt;="&amp;($AM$2-T$5),
      unit_details[Leased Date], "&lt;"&amp;$AM$2,
      unit_details[Beds], $L93,
      unit_details[Baths], $M93,
      unit_details[Partial Baths], IF(ISNUMBER($N93), $N93, ""),
      unit_details[Sqft],$P93,
      unit_details[Property Name], $F93
    )
  ),
"")</f>
        <v>0</v>
      </c>
      <c r="X93" s="531" t="str">
        <f>IFERROR(
 IF($F93="Total",
   SUMPRODUCT(
   INDEX(X:X, ROW()-COUNTIF($F$6:INDEX($F:$F, ROW()-1), $F92)) : INDEX(X:X, ROW()-1),
   INDEX(AA:AA, ROW()-COUNTIF($F$6:INDEX($F:$F, ROW()-1), $F92)) : INDEX(AA:AA, ROW()-1)
   )
   /SUM(INDEX(AA:AA, ROW()-COUNTIF($F$6:INDEX($F:$F, ROW()-1), $F92)) : INDEX(AA:AA, ROW()-1)),
   AVERAGEIFS(
     INDEX((unit_details[Asking Rent],unit_details[Asking PSF]),0,1,IF($U$3="Chunk Rent",1,2)),
     unit_details[Leased Date],"&gt;="&amp;($AM$2-X$5),
     unit_details[Leased Date],"&lt;"&amp;$AM$2,
     unit_details[Beds],$L93,
     unit_details[Baths],$M93,
     unit_details[Partial Baths],IF(ISNUMBER($N93),$N93,""),
     unit_details[Sqft],$P93,
     unit_details[Property Name],$F93)
 ),"")</f>
        <v/>
      </c>
      <c r="Y93" s="552" t="str">
        <f>IFERROR(
 IF($F93="Total",
   SUMPRODUCT(
   INDEX(Y:Y, ROW()-COUNTIF($F$6:INDEX($F:$F, ROW()-1), $F92)) : INDEX(Y:Y, ROW()-1),
   INDEX(AA:AA, ROW()-COUNTIF($F$6:INDEX($F:$F, ROW()-1), $F92)) : INDEX(AA:AA, ROW()-1)
   )
   /SUM(INDEX(AA:AA, ROW()-COUNTIF($F$6:INDEX($F:$F, ROW()-1), $F92)) : INDEX(AA:AA, ROW()-1)),
   AVERAGEIFS(
     INDEX((unit_details[Effective Rent],unit_details[Effective PSF]),0,1,IF($U$3="Chunk Rent",1,2)),
     unit_details[Leased Date],"&gt;="&amp;($AM$2-X$5),
     unit_details[Leased Date],"&lt;"&amp;$AM$2,
     unit_details[Beds],$L93,
     unit_details[Baths],$M93,
     unit_details[Partial Baths],IF(ISNUMBER($N93),$N93,""),
     unit_details[Sqft],$P93,
     unit_details[Property Name],$F93)
 ),"")</f>
        <v/>
      </c>
      <c r="Z93" s="27" t="str">
        <f t="shared" si="22"/>
        <v/>
      </c>
      <c r="AA93" s="526">
        <f>IFERROR(
  IF($F93="Total",
    SUM(INDEX(AA:AA, ROW()-COUNTIF($F$6:INDEX($F:$F, ROW()-1), $F92)) : INDEX(AA:AA, ROW()-1)),
    COUNTIFS(
      unit_details[Leased Date], "&gt;="&amp;($AM$2-X$5),
      unit_details[Leased Date], "&lt;"&amp;$AM$2,
      unit_details[Beds], $L93,
      unit_details[Baths], $M93,
      unit_details[Partial Baths], IF(ISNUMBER($N93), $N93, ""),
      unit_details[Sqft],$P93,
      unit_details[Property Name], $F93
    )
  ),
"")</f>
        <v>0</v>
      </c>
      <c r="AB93" s="290">
        <f>IF($F93="Total",
SUM(INDEX(AB:AB, ROW()-COUNTIF($F$6:INDEX($F:$F, ROW()-1), $F92)) : INDEX(AB:AB, ROW()-1)),
COUNTIFS(unit_details[Active Listing?],TRUE,
          unit_details[Property Name], $F93,
          unit_details[Beds], $L93,
          unit_details[Baths], $M93,
          unit_details[Partial Baths],IF(ISNUMBER($N93),$N93,""),
          unit_details[Sqft],$P93))</f>
        <v>0</v>
      </c>
      <c r="AC93" s="27" t="str">
        <f t="shared" si="14"/>
        <v/>
      </c>
      <c r="AD93" s="293" t="str">
        <f>IFERROR(IF(AE93="","",IF($F93="Total",
SUMPRODUCT(
   INDEX(AD:AD, ROW()-COUNTIF($F$6:INDEX($F:$F, ROW()-1), $F92)) : INDEX(AD:AD, ROW()-1),
   INDEX(AB:AB, ROW()-COUNTIF($F$6:INDEX($F:$F, ROW()-1), $F92)) : INDEX(AB:AB, ROW()-1)
   )
   /SUM(INDEX(AB:AB, ROW()-COUNTIF($F$6:INDEX($F:$F, ROW()-1), $F92)) : INDEX(AB:AB, ROW()-1)),
          _xlfn.MINIFS(unit_details[Asking Rent],
          unit_details[Active Listing?],TRUE,
          unit_details[Property Name], $F93,
          unit_details[Beds], $L93,
          unit_details[Baths], $M93,
          unit_details[Partial Baths], IF(ISNUMBER($N93),$N93,""),
          unit_details[Sqft],$P93
))),"")</f>
        <v/>
      </c>
      <c r="AE93" s="5" t="str">
        <f>IFERROR(IF($F93="Total",
          SUMPRODUCT(
   INDEX(AE:AE, ROW()-COUNTIF($F$6:INDEX($F:$F, ROW()-1), $F92)) : INDEX(AE:AE, ROW()-1),
   INDEX(AB:AB, ROW()-COUNTIF($F$6:INDEX($F:$F, ROW()-1), $F92)) : INDEX(AB:AB, ROW()-1)
   )
   /SUM(INDEX(AB:AB, ROW()-COUNTIF($F$6:INDEX($F:$F, ROW()-1), $F92)) : INDEX(AB:AB, ROW()-1)),
          AVERAGEIFS(unit_details[Asking Rent],
          unit_details[Active Listing?],TRUE,
          unit_details[Property Name], $F93,
          unit_details[Beds], $L93,
          unit_details[Baths], $M93,
          unit_details[Partial Baths], IF(ISNUMBER($N93),$N93,""),
          unit_details[Sqft],$P93
)),"")</f>
        <v/>
      </c>
      <c r="AF93" s="5" t="str">
        <f>IFERROR(IF(AE93="","",IF($F93="Total",
SUMPRODUCT(
   INDEX(AF:AF, ROW()-COUNTIF($F$6:INDEX($F:$F, ROW()-1), $F92)) : INDEX(AF:AF, ROW()-1),
   INDEX(AB:AB, ROW()-COUNTIF($F$6:INDEX($F:$F, ROW()-1), $F92)) : INDEX(AB:AB, ROW()-1)
   )
   /SUM(INDEX(AB:AB, ROW()-COUNTIF($F$6:INDEX($F:$F, ROW()-1), $F92)) : INDEX(AB:AB, ROW()-1)),
           _xlfn.MAXIFS(unit_details[Asking Rent],
          unit_details[Active Listing?],TRUE,
          unit_details[Property Name], $F93,
          unit_details[Beds], $L93,
          unit_details[Baths], $M93,
          unit_details[Partial Baths], IF(ISNUMBER($N93),$N93,""),
          unit_details[Sqft],$P93
))),"")</f>
        <v/>
      </c>
      <c r="AG93" s="6" t="str">
        <f>IFERROR(IF($F93="Total",
         SUMPRODUCT(
         INDEX(AG:AG, ROW()-COUNTIF($F$6:INDEX($F:$F, ROW()-1), $F92)) : INDEX(AG:AG, ROW()-1),
         INDEX(AB:AB, ROW()-COUNTIF($F$6:INDEX($F:$F, ROW()-1), $F92)) : INDEX(AB:AB, ROW()-1)
         )
         /SUM(INDEX(AB:AB, ROW()-COUNTIF($F$6:INDEX($F:$F, ROW()-1), $F92)) : INDEX(AB:AB, ROW()-1)),
          AVERAGEIFS(unit_details[Asking PSF],
          unit_details[Active Listing?],TRUE,
          unit_details[Property Name], $F93,
          unit_details[Beds], $L93,
          unit_details[Baths], $M93,
          unit_details[Partial Baths], IF(ISNUMBER($N93),$N93,""),
          unit_details[Sqft],$P93
)),"")</f>
        <v/>
      </c>
      <c r="AH93" s="293" t="str">
        <f>IFERROR(IF($F93="Total",
         SUMPRODUCT(
         INDEX(AH:AH, ROW()-COUNTIF($F$6:INDEX($F:$F, ROW()-1), $F92)) : INDEX(AH:AH, ROW()-1),
         INDEX(AB:AB, ROW()-COUNTIF($F$6:INDEX($F:$F, ROW()-1), $F92)) : INDEX(AB:AB, ROW()-1)
         )
         /SUM(INDEX(AB:AB, ROW()-COUNTIF($F$6:INDEX($F:$F, ROW()-1), $F92)) : INDEX(AB:AB, ROW()-1)),
          AVERAGEIFS(unit_details[Effective Rent],
          unit_details[Active Listing?],TRUE,
          unit_details[Property Name], $F93,
          unit_details[Beds], $L93,
          unit_details[Baths], $M93,
          unit_details[Partial Baths], IF(ISNUMBER($N93),$N93,""),
          unit_details[Sqft],$P93
)),"")</f>
        <v/>
      </c>
      <c r="AI93" s="6" t="str">
        <f>IFERROR(IF($F93="Total",
         SUMPRODUCT(
         INDEX(AI:AI, ROW()-COUNTIF($F$6:INDEX($F:$F, ROW()-1), $F92)) : INDEX(AI:AI, ROW()-1),
         INDEX(AB:AB, ROW()-COUNTIF($F$6:INDEX($F:$F, ROW()-1), $F92)) : INDEX(AB:AB, ROW()-1)
         )
         /SUM(INDEX(AB:AB, ROW()-COUNTIF($F$6:INDEX($F:$F, ROW()-1), $F92)) : INDEX(AB:AB, ROW()-1)),
           AVERAGEIFS(unit_details[Effective PSF],
          unit_details[Active Listing?],TRUE,
          unit_details[Property Name], $F93,
          unit_details[Beds], $L93,
          unit_details[Baths], $M93,
          unit_details[Partial Baths], IF(ISNUMBER($N93),$N93,""),
          unit_details[Sqft],$P93
)),"")</f>
        <v/>
      </c>
      <c r="AJ93" s="824" t="str">
        <f t="shared" si="15"/>
        <v/>
      </c>
      <c r="AK93" s="531" t="str">
        <f t="shared" si="16"/>
        <v/>
      </c>
      <c r="AL93" s="714" t="str">
        <f t="shared" si="17"/>
        <v/>
      </c>
      <c r="AM93" s="531" t="str">
        <f t="shared" si="18"/>
        <v/>
      </c>
      <c r="AN93" s="716" t="str">
        <f t="shared" si="19"/>
        <v/>
      </c>
    </row>
    <row r="94" spans="6:40" x14ac:dyDescent="0.2">
      <c r="F94" s="1" t="str">
        <f t="shared" si="12"/>
        <v/>
      </c>
      <c r="G94" s="713" t="str">
        <f t="shared" si="20"/>
        <v/>
      </c>
      <c r="H94" s="17" t="str">
        <f>IFERROR(VLOOKUP($G94,Table1[[Property]:[Exposure %]],4,0),"")</f>
        <v/>
      </c>
      <c r="I94" s="3" t="str">
        <f>IFERROR(VLOOKUP($G94,Table1[[Property]:[Exposure %]],6,0),"")</f>
        <v/>
      </c>
      <c r="J94" s="3" t="str">
        <f>IFERROR(VLOOKUP($G94,Table1[[Property]:[Exposure %]],7,0),"")</f>
        <v/>
      </c>
      <c r="K94"/>
      <c r="L94"/>
      <c r="M94"/>
      <c r="N94"/>
      <c r="O94"/>
      <c r="P94"/>
      <c r="Q94"/>
      <c r="R94" s="4" t="str">
        <f>IFERROR(VLOOKUP(IF(F94="Total",F93,F94),Table1[[Property]:['# Units]],7,0)*S94,"")</f>
        <v/>
      </c>
      <c r="S94" s="27" t="str">
        <f t="shared" si="13"/>
        <v/>
      </c>
      <c r="T94" s="531" t="str">
        <f>IFERROR(
 IF($F94="Total",
   SUMPRODUCT(
   INDEX(T:T, ROW()-COUNTIF($F$6:INDEX($F:$F, ROW()-1), $F93)) : INDEX(T:T, ROW()-1),
   INDEX(W:W, ROW()-COUNTIF($F$6:INDEX($F:$F, ROW()-1), $F93)) : INDEX(W:W, ROW()-1)
   )
   /SUM(INDEX(W:W, ROW()-COUNTIF($F$6:INDEX($F:$F, ROW()-1), $F93)) : INDEX(W:W, ROW()-1)),
   AVERAGEIFS(
     INDEX((unit_details[Asking Rent],unit_details[Asking PSF]),0,1,IF($U$3="Chunk Rent",1,2)),
     unit_details[Leased Date],"&gt;="&amp;($AM$2-T$5),
     unit_details[Leased Date],"&lt;"&amp;$AM$2,
     unit_details[Beds],$L94,
     unit_details[Baths],$M94,
     unit_details[Partial Baths],IF(ISNUMBER($N94),$N94,""),
     unit_details[Sqft],$P94,
     unit_details[Property Name],$F94)
 ),"")</f>
        <v/>
      </c>
      <c r="U94" s="552" t="str">
        <f>IFERROR(
 IF($F94="Total",
   SUMPRODUCT(
   INDEX(U:U, ROW()-COUNTIF($F$6:INDEX($F:$F, ROW()-1), $F93)) : INDEX(U:U, ROW()-1),
   INDEX(W:W, ROW()-COUNTIF($F$6:INDEX($F:$F, ROW()-1), $F93)) : INDEX(W:W, ROW()-1)
   )
   /SUM(INDEX(W:W, ROW()-COUNTIF($F$6:INDEX($F:$F, ROW()-1), $F93)) : INDEX(W:W, ROW()-1)),
   AVERAGEIFS(
     INDEX((unit_details[Effective Rent],unit_details[Effective PSF]),0,1,IF($U$3="Chunk Rent",1,2)),
     unit_details[Leased Date],"&gt;="&amp;($AM$2-T$5),
     unit_details[Leased Date],"&lt;"&amp;$AM$2,
     unit_details[Beds],$L94,
     unit_details[Baths],$M94,
     unit_details[Partial Baths],IF(ISNUMBER($N94),$N94,""),
     unit_details[Sqft],$P94,
     unit_details[Property Name],$F94)
 ),"")</f>
        <v/>
      </c>
      <c r="V94" s="27" t="str">
        <f t="shared" si="21"/>
        <v/>
      </c>
      <c r="W94" s="526">
        <f>IFERROR(
  IF($F94="Total",
    SUM(INDEX(W:W, ROW()-COUNTIF($F$6:INDEX($F:$F, ROW()-1), $F93)) : INDEX(W:W, ROW()-1)),
    COUNTIFS(
      unit_details[Leased Date], "&gt;="&amp;($AM$2-T$5),
      unit_details[Leased Date], "&lt;"&amp;$AM$2,
      unit_details[Beds], $L94,
      unit_details[Baths], $M94,
      unit_details[Partial Baths], IF(ISNUMBER($N94), $N94, ""),
      unit_details[Sqft],$P94,
      unit_details[Property Name], $F94
    )
  ),
"")</f>
        <v>0</v>
      </c>
      <c r="X94" s="531" t="str">
        <f>IFERROR(
 IF($F94="Total",
   SUMPRODUCT(
   INDEX(X:X, ROW()-COUNTIF($F$6:INDEX($F:$F, ROW()-1), $F93)) : INDEX(X:X, ROW()-1),
   INDEX(AA:AA, ROW()-COUNTIF($F$6:INDEX($F:$F, ROW()-1), $F93)) : INDEX(AA:AA, ROW()-1)
   )
   /SUM(INDEX(AA:AA, ROW()-COUNTIF($F$6:INDEX($F:$F, ROW()-1), $F93)) : INDEX(AA:AA, ROW()-1)),
   AVERAGEIFS(
     INDEX((unit_details[Asking Rent],unit_details[Asking PSF]),0,1,IF($U$3="Chunk Rent",1,2)),
     unit_details[Leased Date],"&gt;="&amp;($AM$2-X$5),
     unit_details[Leased Date],"&lt;"&amp;$AM$2,
     unit_details[Beds],$L94,
     unit_details[Baths],$M94,
     unit_details[Partial Baths],IF(ISNUMBER($N94),$N94,""),
     unit_details[Sqft],$P94,
     unit_details[Property Name],$F94)
 ),"")</f>
        <v/>
      </c>
      <c r="Y94" s="552" t="str">
        <f>IFERROR(
 IF($F94="Total",
   SUMPRODUCT(
   INDEX(Y:Y, ROW()-COUNTIF($F$6:INDEX($F:$F, ROW()-1), $F93)) : INDEX(Y:Y, ROW()-1),
   INDEX(AA:AA, ROW()-COUNTIF($F$6:INDEX($F:$F, ROW()-1), $F93)) : INDEX(AA:AA, ROW()-1)
   )
   /SUM(INDEX(AA:AA, ROW()-COUNTIF($F$6:INDEX($F:$F, ROW()-1), $F93)) : INDEX(AA:AA, ROW()-1)),
   AVERAGEIFS(
     INDEX((unit_details[Effective Rent],unit_details[Effective PSF]),0,1,IF($U$3="Chunk Rent",1,2)),
     unit_details[Leased Date],"&gt;="&amp;($AM$2-X$5),
     unit_details[Leased Date],"&lt;"&amp;$AM$2,
     unit_details[Beds],$L94,
     unit_details[Baths],$M94,
     unit_details[Partial Baths],IF(ISNUMBER($N94),$N94,""),
     unit_details[Sqft],$P94,
     unit_details[Property Name],$F94)
 ),"")</f>
        <v/>
      </c>
      <c r="Z94" s="27" t="str">
        <f t="shared" si="22"/>
        <v/>
      </c>
      <c r="AA94" s="526">
        <f>IFERROR(
  IF($F94="Total",
    SUM(INDEX(AA:AA, ROW()-COUNTIF($F$6:INDEX($F:$F, ROW()-1), $F93)) : INDEX(AA:AA, ROW()-1)),
    COUNTIFS(
      unit_details[Leased Date], "&gt;="&amp;($AM$2-X$5),
      unit_details[Leased Date], "&lt;"&amp;$AM$2,
      unit_details[Beds], $L94,
      unit_details[Baths], $M94,
      unit_details[Partial Baths], IF(ISNUMBER($N94), $N94, ""),
      unit_details[Sqft],$P94,
      unit_details[Property Name], $F94
    )
  ),
"")</f>
        <v>0</v>
      </c>
      <c r="AB94" s="290">
        <f>IF($F94="Total",
SUM(INDEX(AB:AB, ROW()-COUNTIF($F$6:INDEX($F:$F, ROW()-1), $F93)) : INDEX(AB:AB, ROW()-1)),
COUNTIFS(unit_details[Active Listing?],TRUE,
          unit_details[Property Name], $F94,
          unit_details[Beds], $L94,
          unit_details[Baths], $M94,
          unit_details[Partial Baths],IF(ISNUMBER($N94),$N94,""),
          unit_details[Sqft],$P94))</f>
        <v>0</v>
      </c>
      <c r="AC94" s="27" t="str">
        <f t="shared" si="14"/>
        <v/>
      </c>
      <c r="AD94" s="293" t="str">
        <f>IFERROR(IF(AE94="","",IF($F94="Total",
SUMPRODUCT(
   INDEX(AD:AD, ROW()-COUNTIF($F$6:INDEX($F:$F, ROW()-1), $F93)) : INDEX(AD:AD, ROW()-1),
   INDEX(AB:AB, ROW()-COUNTIF($F$6:INDEX($F:$F, ROW()-1), $F93)) : INDEX(AB:AB, ROW()-1)
   )
   /SUM(INDEX(AB:AB, ROW()-COUNTIF($F$6:INDEX($F:$F, ROW()-1), $F93)) : INDEX(AB:AB, ROW()-1)),
          _xlfn.MINIFS(unit_details[Asking Rent],
          unit_details[Active Listing?],TRUE,
          unit_details[Property Name], $F94,
          unit_details[Beds], $L94,
          unit_details[Baths], $M94,
          unit_details[Partial Baths], IF(ISNUMBER($N94),$N94,""),
          unit_details[Sqft],$P94
))),"")</f>
        <v/>
      </c>
      <c r="AE94" s="5" t="str">
        <f>IFERROR(IF($F94="Total",
          SUMPRODUCT(
   INDEX(AE:AE, ROW()-COUNTIF($F$6:INDEX($F:$F, ROW()-1), $F93)) : INDEX(AE:AE, ROW()-1),
   INDEX(AB:AB, ROW()-COUNTIF($F$6:INDEX($F:$F, ROW()-1), $F93)) : INDEX(AB:AB, ROW()-1)
   )
   /SUM(INDEX(AB:AB, ROW()-COUNTIF($F$6:INDEX($F:$F, ROW()-1), $F93)) : INDEX(AB:AB, ROW()-1)),
          AVERAGEIFS(unit_details[Asking Rent],
          unit_details[Active Listing?],TRUE,
          unit_details[Property Name], $F94,
          unit_details[Beds], $L94,
          unit_details[Baths], $M94,
          unit_details[Partial Baths], IF(ISNUMBER($N94),$N94,""),
          unit_details[Sqft],$P94
)),"")</f>
        <v/>
      </c>
      <c r="AF94" s="5" t="str">
        <f>IFERROR(IF(AE94="","",IF($F94="Total",
SUMPRODUCT(
   INDEX(AF:AF, ROW()-COUNTIF($F$6:INDEX($F:$F, ROW()-1), $F93)) : INDEX(AF:AF, ROW()-1),
   INDEX(AB:AB, ROW()-COUNTIF($F$6:INDEX($F:$F, ROW()-1), $F93)) : INDEX(AB:AB, ROW()-1)
   )
   /SUM(INDEX(AB:AB, ROW()-COUNTIF($F$6:INDEX($F:$F, ROW()-1), $F93)) : INDEX(AB:AB, ROW()-1)),
           _xlfn.MAXIFS(unit_details[Asking Rent],
          unit_details[Active Listing?],TRUE,
          unit_details[Property Name], $F94,
          unit_details[Beds], $L94,
          unit_details[Baths], $M94,
          unit_details[Partial Baths], IF(ISNUMBER($N94),$N94,""),
          unit_details[Sqft],$P94
))),"")</f>
        <v/>
      </c>
      <c r="AG94" s="6" t="str">
        <f>IFERROR(IF($F94="Total",
         SUMPRODUCT(
         INDEX(AG:AG, ROW()-COUNTIF($F$6:INDEX($F:$F, ROW()-1), $F93)) : INDEX(AG:AG, ROW()-1),
         INDEX(AB:AB, ROW()-COUNTIF($F$6:INDEX($F:$F, ROW()-1), $F93)) : INDEX(AB:AB, ROW()-1)
         )
         /SUM(INDEX(AB:AB, ROW()-COUNTIF($F$6:INDEX($F:$F, ROW()-1), $F93)) : INDEX(AB:AB, ROW()-1)),
          AVERAGEIFS(unit_details[Asking PSF],
          unit_details[Active Listing?],TRUE,
          unit_details[Property Name], $F94,
          unit_details[Beds], $L94,
          unit_details[Baths], $M94,
          unit_details[Partial Baths], IF(ISNUMBER($N94),$N94,""),
          unit_details[Sqft],$P94
)),"")</f>
        <v/>
      </c>
      <c r="AH94" s="293" t="str">
        <f>IFERROR(IF($F94="Total",
         SUMPRODUCT(
         INDEX(AH:AH, ROW()-COUNTIF($F$6:INDEX($F:$F, ROW()-1), $F93)) : INDEX(AH:AH, ROW()-1),
         INDEX(AB:AB, ROW()-COUNTIF($F$6:INDEX($F:$F, ROW()-1), $F93)) : INDEX(AB:AB, ROW()-1)
         )
         /SUM(INDEX(AB:AB, ROW()-COUNTIF($F$6:INDEX($F:$F, ROW()-1), $F93)) : INDEX(AB:AB, ROW()-1)),
          AVERAGEIFS(unit_details[Effective Rent],
          unit_details[Active Listing?],TRUE,
          unit_details[Property Name], $F94,
          unit_details[Beds], $L94,
          unit_details[Baths], $M94,
          unit_details[Partial Baths], IF(ISNUMBER($N94),$N94,""),
          unit_details[Sqft],$P94
)),"")</f>
        <v/>
      </c>
      <c r="AI94" s="6" t="str">
        <f>IFERROR(IF($F94="Total",
         SUMPRODUCT(
         INDEX(AI:AI, ROW()-COUNTIF($F$6:INDEX($F:$F, ROW()-1), $F93)) : INDEX(AI:AI, ROW()-1),
         INDEX(AB:AB, ROW()-COUNTIF($F$6:INDEX($F:$F, ROW()-1), $F93)) : INDEX(AB:AB, ROW()-1)
         )
         /SUM(INDEX(AB:AB, ROW()-COUNTIF($F$6:INDEX($F:$F, ROW()-1), $F93)) : INDEX(AB:AB, ROW()-1)),
           AVERAGEIFS(unit_details[Effective PSF],
          unit_details[Active Listing?],TRUE,
          unit_details[Property Name], $F94,
          unit_details[Beds], $L94,
          unit_details[Baths], $M94,
          unit_details[Partial Baths], IF(ISNUMBER($N94),$N94,""),
          unit_details[Sqft],$P94
)),"")</f>
        <v/>
      </c>
      <c r="AJ94" s="824" t="str">
        <f t="shared" si="15"/>
        <v/>
      </c>
      <c r="AK94" s="531" t="str">
        <f t="shared" si="16"/>
        <v/>
      </c>
      <c r="AL94" s="714" t="str">
        <f t="shared" si="17"/>
        <v/>
      </c>
      <c r="AM94" s="531" t="str">
        <f t="shared" si="18"/>
        <v/>
      </c>
      <c r="AN94" s="716" t="str">
        <f t="shared" si="19"/>
        <v/>
      </c>
    </row>
    <row r="95" spans="6:40" x14ac:dyDescent="0.2">
      <c r="F95" s="1" t="str">
        <f t="shared" si="12"/>
        <v/>
      </c>
      <c r="G95" s="713" t="str">
        <f t="shared" si="20"/>
        <v/>
      </c>
      <c r="H95" s="17" t="str">
        <f>IFERROR(VLOOKUP($G95,Table1[[Property]:[Exposure %]],4,0),"")</f>
        <v/>
      </c>
      <c r="I95" s="3" t="str">
        <f>IFERROR(VLOOKUP($G95,Table1[[Property]:[Exposure %]],6,0),"")</f>
        <v/>
      </c>
      <c r="J95" s="3" t="str">
        <f>IFERROR(VLOOKUP($G95,Table1[[Property]:[Exposure %]],7,0),"")</f>
        <v/>
      </c>
      <c r="K95"/>
      <c r="L95"/>
      <c r="M95"/>
      <c r="N95"/>
      <c r="O95"/>
      <c r="P95"/>
      <c r="Q95"/>
      <c r="R95" s="4" t="str">
        <f>IFERROR(VLOOKUP(IF(F95="Total",F94,F95),Table1[[Property]:['# Units]],7,0)*S95,"")</f>
        <v/>
      </c>
      <c r="S95" s="27" t="str">
        <f t="shared" si="13"/>
        <v/>
      </c>
      <c r="T95" s="531" t="str">
        <f>IFERROR(
 IF($F95="Total",
   SUMPRODUCT(
   INDEX(T:T, ROW()-COUNTIF($F$6:INDEX($F:$F, ROW()-1), $F94)) : INDEX(T:T, ROW()-1),
   INDEX(W:W, ROW()-COUNTIF($F$6:INDEX($F:$F, ROW()-1), $F94)) : INDEX(W:W, ROW()-1)
   )
   /SUM(INDEX(W:W, ROW()-COUNTIF($F$6:INDEX($F:$F, ROW()-1), $F94)) : INDEX(W:W, ROW()-1)),
   AVERAGEIFS(
     INDEX((unit_details[Asking Rent],unit_details[Asking PSF]),0,1,IF($U$3="Chunk Rent",1,2)),
     unit_details[Leased Date],"&gt;="&amp;($AM$2-T$5),
     unit_details[Leased Date],"&lt;"&amp;$AM$2,
     unit_details[Beds],$L95,
     unit_details[Baths],$M95,
     unit_details[Partial Baths],IF(ISNUMBER($N95),$N95,""),
     unit_details[Sqft],$P95,
     unit_details[Property Name],$F95)
 ),"")</f>
        <v/>
      </c>
      <c r="U95" s="552" t="str">
        <f>IFERROR(
 IF($F95="Total",
   SUMPRODUCT(
   INDEX(U:U, ROW()-COUNTIF($F$6:INDEX($F:$F, ROW()-1), $F94)) : INDEX(U:U, ROW()-1),
   INDEX(W:W, ROW()-COUNTIF($F$6:INDEX($F:$F, ROW()-1), $F94)) : INDEX(W:W, ROW()-1)
   )
   /SUM(INDEX(W:W, ROW()-COUNTIF($F$6:INDEX($F:$F, ROW()-1), $F94)) : INDEX(W:W, ROW()-1)),
   AVERAGEIFS(
     INDEX((unit_details[Effective Rent],unit_details[Effective PSF]),0,1,IF($U$3="Chunk Rent",1,2)),
     unit_details[Leased Date],"&gt;="&amp;($AM$2-T$5),
     unit_details[Leased Date],"&lt;"&amp;$AM$2,
     unit_details[Beds],$L95,
     unit_details[Baths],$M95,
     unit_details[Partial Baths],IF(ISNUMBER($N95),$N95,""),
     unit_details[Sqft],$P95,
     unit_details[Property Name],$F95)
 ),"")</f>
        <v/>
      </c>
      <c r="V95" s="27" t="str">
        <f t="shared" si="21"/>
        <v/>
      </c>
      <c r="W95" s="526">
        <f>IFERROR(
  IF($F95="Total",
    SUM(INDEX(W:W, ROW()-COUNTIF($F$6:INDEX($F:$F, ROW()-1), $F94)) : INDEX(W:W, ROW()-1)),
    COUNTIFS(
      unit_details[Leased Date], "&gt;="&amp;($AM$2-T$5),
      unit_details[Leased Date], "&lt;"&amp;$AM$2,
      unit_details[Beds], $L95,
      unit_details[Baths], $M95,
      unit_details[Partial Baths], IF(ISNUMBER($N95), $N95, ""),
      unit_details[Sqft],$P95,
      unit_details[Property Name], $F95
    )
  ),
"")</f>
        <v>0</v>
      </c>
      <c r="X95" s="531" t="str">
        <f>IFERROR(
 IF($F95="Total",
   SUMPRODUCT(
   INDEX(X:X, ROW()-COUNTIF($F$6:INDEX($F:$F, ROW()-1), $F94)) : INDEX(X:X, ROW()-1),
   INDEX(AA:AA, ROW()-COUNTIF($F$6:INDEX($F:$F, ROW()-1), $F94)) : INDEX(AA:AA, ROW()-1)
   )
   /SUM(INDEX(AA:AA, ROW()-COUNTIF($F$6:INDEX($F:$F, ROW()-1), $F94)) : INDEX(AA:AA, ROW()-1)),
   AVERAGEIFS(
     INDEX((unit_details[Asking Rent],unit_details[Asking PSF]),0,1,IF($U$3="Chunk Rent",1,2)),
     unit_details[Leased Date],"&gt;="&amp;($AM$2-X$5),
     unit_details[Leased Date],"&lt;"&amp;$AM$2,
     unit_details[Beds],$L95,
     unit_details[Baths],$M95,
     unit_details[Partial Baths],IF(ISNUMBER($N95),$N95,""),
     unit_details[Sqft],$P95,
     unit_details[Property Name],$F95)
 ),"")</f>
        <v/>
      </c>
      <c r="Y95" s="552" t="str">
        <f>IFERROR(
 IF($F95="Total",
   SUMPRODUCT(
   INDEX(Y:Y, ROW()-COUNTIF($F$6:INDEX($F:$F, ROW()-1), $F94)) : INDEX(Y:Y, ROW()-1),
   INDEX(AA:AA, ROW()-COUNTIF($F$6:INDEX($F:$F, ROW()-1), $F94)) : INDEX(AA:AA, ROW()-1)
   )
   /SUM(INDEX(AA:AA, ROW()-COUNTIF($F$6:INDEX($F:$F, ROW()-1), $F94)) : INDEX(AA:AA, ROW()-1)),
   AVERAGEIFS(
     INDEX((unit_details[Effective Rent],unit_details[Effective PSF]),0,1,IF($U$3="Chunk Rent",1,2)),
     unit_details[Leased Date],"&gt;="&amp;($AM$2-X$5),
     unit_details[Leased Date],"&lt;"&amp;$AM$2,
     unit_details[Beds],$L95,
     unit_details[Baths],$M95,
     unit_details[Partial Baths],IF(ISNUMBER($N95),$N95,""),
     unit_details[Sqft],$P95,
     unit_details[Property Name],$F95)
 ),"")</f>
        <v/>
      </c>
      <c r="Z95" s="27" t="str">
        <f t="shared" si="22"/>
        <v/>
      </c>
      <c r="AA95" s="526">
        <f>IFERROR(
  IF($F95="Total",
    SUM(INDEX(AA:AA, ROW()-COUNTIF($F$6:INDEX($F:$F, ROW()-1), $F94)) : INDEX(AA:AA, ROW()-1)),
    COUNTIFS(
      unit_details[Leased Date], "&gt;="&amp;($AM$2-X$5),
      unit_details[Leased Date], "&lt;"&amp;$AM$2,
      unit_details[Beds], $L95,
      unit_details[Baths], $M95,
      unit_details[Partial Baths], IF(ISNUMBER($N95), $N95, ""),
      unit_details[Sqft],$P95,
      unit_details[Property Name], $F95
    )
  ),
"")</f>
        <v>0</v>
      </c>
      <c r="AB95" s="290">
        <f>IF($F95="Total",
SUM(INDEX(AB:AB, ROW()-COUNTIF($F$6:INDEX($F:$F, ROW()-1), $F94)) : INDEX(AB:AB, ROW()-1)),
COUNTIFS(unit_details[Active Listing?],TRUE,
          unit_details[Property Name], $F95,
          unit_details[Beds], $L95,
          unit_details[Baths], $M95,
          unit_details[Partial Baths],IF(ISNUMBER($N95),$N95,""),
          unit_details[Sqft],$P95))</f>
        <v>0</v>
      </c>
      <c r="AC95" s="27" t="str">
        <f t="shared" si="14"/>
        <v/>
      </c>
      <c r="AD95" s="293" t="str">
        <f>IFERROR(IF(AE95="","",IF($F95="Total",
SUMPRODUCT(
   INDEX(AD:AD, ROW()-COUNTIF($F$6:INDEX($F:$F, ROW()-1), $F94)) : INDEX(AD:AD, ROW()-1),
   INDEX(AB:AB, ROW()-COUNTIF($F$6:INDEX($F:$F, ROW()-1), $F94)) : INDEX(AB:AB, ROW()-1)
   )
   /SUM(INDEX(AB:AB, ROW()-COUNTIF($F$6:INDEX($F:$F, ROW()-1), $F94)) : INDEX(AB:AB, ROW()-1)),
          _xlfn.MINIFS(unit_details[Asking Rent],
          unit_details[Active Listing?],TRUE,
          unit_details[Property Name], $F95,
          unit_details[Beds], $L95,
          unit_details[Baths], $M95,
          unit_details[Partial Baths], IF(ISNUMBER($N95),$N95,""),
          unit_details[Sqft],$P95
))),"")</f>
        <v/>
      </c>
      <c r="AE95" s="5" t="str">
        <f>IFERROR(IF($F95="Total",
          SUMPRODUCT(
   INDEX(AE:AE, ROW()-COUNTIF($F$6:INDEX($F:$F, ROW()-1), $F94)) : INDEX(AE:AE, ROW()-1),
   INDEX(AB:AB, ROW()-COUNTIF($F$6:INDEX($F:$F, ROW()-1), $F94)) : INDEX(AB:AB, ROW()-1)
   )
   /SUM(INDEX(AB:AB, ROW()-COUNTIF($F$6:INDEX($F:$F, ROW()-1), $F94)) : INDEX(AB:AB, ROW()-1)),
          AVERAGEIFS(unit_details[Asking Rent],
          unit_details[Active Listing?],TRUE,
          unit_details[Property Name], $F95,
          unit_details[Beds], $L95,
          unit_details[Baths], $M95,
          unit_details[Partial Baths], IF(ISNUMBER($N95),$N95,""),
          unit_details[Sqft],$P95
)),"")</f>
        <v/>
      </c>
      <c r="AF95" s="5" t="str">
        <f>IFERROR(IF(AE95="","",IF($F95="Total",
SUMPRODUCT(
   INDEX(AF:AF, ROW()-COUNTIF($F$6:INDEX($F:$F, ROW()-1), $F94)) : INDEX(AF:AF, ROW()-1),
   INDEX(AB:AB, ROW()-COUNTIF($F$6:INDEX($F:$F, ROW()-1), $F94)) : INDEX(AB:AB, ROW()-1)
   )
   /SUM(INDEX(AB:AB, ROW()-COUNTIF($F$6:INDEX($F:$F, ROW()-1), $F94)) : INDEX(AB:AB, ROW()-1)),
           _xlfn.MAXIFS(unit_details[Asking Rent],
          unit_details[Active Listing?],TRUE,
          unit_details[Property Name], $F95,
          unit_details[Beds], $L95,
          unit_details[Baths], $M95,
          unit_details[Partial Baths], IF(ISNUMBER($N95),$N95,""),
          unit_details[Sqft],$P95
))),"")</f>
        <v/>
      </c>
      <c r="AG95" s="6" t="str">
        <f>IFERROR(IF($F95="Total",
         SUMPRODUCT(
         INDEX(AG:AG, ROW()-COUNTIF($F$6:INDEX($F:$F, ROW()-1), $F94)) : INDEX(AG:AG, ROW()-1),
         INDEX(AB:AB, ROW()-COUNTIF($F$6:INDEX($F:$F, ROW()-1), $F94)) : INDEX(AB:AB, ROW()-1)
         )
         /SUM(INDEX(AB:AB, ROW()-COUNTIF($F$6:INDEX($F:$F, ROW()-1), $F94)) : INDEX(AB:AB, ROW()-1)),
          AVERAGEIFS(unit_details[Asking PSF],
          unit_details[Active Listing?],TRUE,
          unit_details[Property Name], $F95,
          unit_details[Beds], $L95,
          unit_details[Baths], $M95,
          unit_details[Partial Baths], IF(ISNUMBER($N95),$N95,""),
          unit_details[Sqft],$P95
)),"")</f>
        <v/>
      </c>
      <c r="AH95" s="293" t="str">
        <f>IFERROR(IF($F95="Total",
         SUMPRODUCT(
         INDEX(AH:AH, ROW()-COUNTIF($F$6:INDEX($F:$F, ROW()-1), $F94)) : INDEX(AH:AH, ROW()-1),
         INDEX(AB:AB, ROW()-COUNTIF($F$6:INDEX($F:$F, ROW()-1), $F94)) : INDEX(AB:AB, ROW()-1)
         )
         /SUM(INDEX(AB:AB, ROW()-COUNTIF($F$6:INDEX($F:$F, ROW()-1), $F94)) : INDEX(AB:AB, ROW()-1)),
          AVERAGEIFS(unit_details[Effective Rent],
          unit_details[Active Listing?],TRUE,
          unit_details[Property Name], $F95,
          unit_details[Beds], $L95,
          unit_details[Baths], $M95,
          unit_details[Partial Baths], IF(ISNUMBER($N95),$N95,""),
          unit_details[Sqft],$P95
)),"")</f>
        <v/>
      </c>
      <c r="AI95" s="6" t="str">
        <f>IFERROR(IF($F95="Total",
         SUMPRODUCT(
         INDEX(AI:AI, ROW()-COUNTIF($F$6:INDEX($F:$F, ROW()-1), $F94)) : INDEX(AI:AI, ROW()-1),
         INDEX(AB:AB, ROW()-COUNTIF($F$6:INDEX($F:$F, ROW()-1), $F94)) : INDEX(AB:AB, ROW()-1)
         )
         /SUM(INDEX(AB:AB, ROW()-COUNTIF($F$6:INDEX($F:$F, ROW()-1), $F94)) : INDEX(AB:AB, ROW()-1)),
           AVERAGEIFS(unit_details[Effective PSF],
          unit_details[Active Listing?],TRUE,
          unit_details[Property Name], $F95,
          unit_details[Beds], $L95,
          unit_details[Baths], $M95,
          unit_details[Partial Baths], IF(ISNUMBER($N95),$N95,""),
          unit_details[Sqft],$P95
)),"")</f>
        <v/>
      </c>
      <c r="AJ95" s="824" t="str">
        <f t="shared" si="15"/>
        <v/>
      </c>
      <c r="AK95" s="531" t="str">
        <f t="shared" si="16"/>
        <v/>
      </c>
      <c r="AL95" s="714" t="str">
        <f t="shared" si="17"/>
        <v/>
      </c>
      <c r="AM95" s="531" t="str">
        <f t="shared" si="18"/>
        <v/>
      </c>
      <c r="AN95" s="716" t="str">
        <f t="shared" si="19"/>
        <v/>
      </c>
    </row>
    <row r="96" spans="6:40" x14ac:dyDescent="0.2">
      <c r="F96" s="1" t="str">
        <f t="shared" si="12"/>
        <v/>
      </c>
      <c r="G96" s="713" t="str">
        <f t="shared" si="20"/>
        <v/>
      </c>
      <c r="H96" s="17" t="str">
        <f>IFERROR(VLOOKUP($G96,Table1[[Property]:[Exposure %]],4,0),"")</f>
        <v/>
      </c>
      <c r="I96" s="3" t="str">
        <f>IFERROR(VLOOKUP($G96,Table1[[Property]:[Exposure %]],6,0),"")</f>
        <v/>
      </c>
      <c r="J96" s="3" t="str">
        <f>IFERROR(VLOOKUP($G96,Table1[[Property]:[Exposure %]],7,0),"")</f>
        <v/>
      </c>
      <c r="K96"/>
      <c r="L96"/>
      <c r="M96"/>
      <c r="N96"/>
      <c r="O96"/>
      <c r="P96"/>
      <c r="Q96"/>
      <c r="R96" s="4" t="str">
        <f>IFERROR(VLOOKUP(IF(F96="Total",F95,F96),Table1[[Property]:['# Units]],7,0)*S96,"")</f>
        <v/>
      </c>
      <c r="S96" s="27" t="str">
        <f t="shared" si="13"/>
        <v/>
      </c>
      <c r="T96" s="531" t="str">
        <f>IFERROR(
 IF($F96="Total",
   SUMPRODUCT(
   INDEX(T:T, ROW()-COUNTIF($F$6:INDEX($F:$F, ROW()-1), $F95)) : INDEX(T:T, ROW()-1),
   INDEX(W:W, ROW()-COUNTIF($F$6:INDEX($F:$F, ROW()-1), $F95)) : INDEX(W:W, ROW()-1)
   )
   /SUM(INDEX(W:W, ROW()-COUNTIF($F$6:INDEX($F:$F, ROW()-1), $F95)) : INDEX(W:W, ROW()-1)),
   AVERAGEIFS(
     INDEX((unit_details[Asking Rent],unit_details[Asking PSF]),0,1,IF($U$3="Chunk Rent",1,2)),
     unit_details[Leased Date],"&gt;="&amp;($AM$2-T$5),
     unit_details[Leased Date],"&lt;"&amp;$AM$2,
     unit_details[Beds],$L96,
     unit_details[Baths],$M96,
     unit_details[Partial Baths],IF(ISNUMBER($N96),$N96,""),
     unit_details[Sqft],$P96,
     unit_details[Property Name],$F96)
 ),"")</f>
        <v/>
      </c>
      <c r="U96" s="552" t="str">
        <f>IFERROR(
 IF($F96="Total",
   SUMPRODUCT(
   INDEX(U:U, ROW()-COUNTIF($F$6:INDEX($F:$F, ROW()-1), $F95)) : INDEX(U:U, ROW()-1),
   INDEX(W:W, ROW()-COUNTIF($F$6:INDEX($F:$F, ROW()-1), $F95)) : INDEX(W:W, ROW()-1)
   )
   /SUM(INDEX(W:W, ROW()-COUNTIF($F$6:INDEX($F:$F, ROW()-1), $F95)) : INDEX(W:W, ROW()-1)),
   AVERAGEIFS(
     INDEX((unit_details[Effective Rent],unit_details[Effective PSF]),0,1,IF($U$3="Chunk Rent",1,2)),
     unit_details[Leased Date],"&gt;="&amp;($AM$2-T$5),
     unit_details[Leased Date],"&lt;"&amp;$AM$2,
     unit_details[Beds],$L96,
     unit_details[Baths],$M96,
     unit_details[Partial Baths],IF(ISNUMBER($N96),$N96,""),
     unit_details[Sqft],$P96,
     unit_details[Property Name],$F96)
 ),"")</f>
        <v/>
      </c>
      <c r="V96" s="27" t="str">
        <f t="shared" si="21"/>
        <v/>
      </c>
      <c r="W96" s="526">
        <f>IFERROR(
  IF($F96="Total",
    SUM(INDEX(W:W, ROW()-COUNTIF($F$6:INDEX($F:$F, ROW()-1), $F95)) : INDEX(W:W, ROW()-1)),
    COUNTIFS(
      unit_details[Leased Date], "&gt;="&amp;($AM$2-T$5),
      unit_details[Leased Date], "&lt;"&amp;$AM$2,
      unit_details[Beds], $L96,
      unit_details[Baths], $M96,
      unit_details[Partial Baths], IF(ISNUMBER($N96), $N96, ""),
      unit_details[Sqft],$P96,
      unit_details[Property Name], $F96
    )
  ),
"")</f>
        <v>0</v>
      </c>
      <c r="X96" s="531" t="str">
        <f>IFERROR(
 IF($F96="Total",
   SUMPRODUCT(
   INDEX(X:X, ROW()-COUNTIF($F$6:INDEX($F:$F, ROW()-1), $F95)) : INDEX(X:X, ROW()-1),
   INDEX(AA:AA, ROW()-COUNTIF($F$6:INDEX($F:$F, ROW()-1), $F95)) : INDEX(AA:AA, ROW()-1)
   )
   /SUM(INDEX(AA:AA, ROW()-COUNTIF($F$6:INDEX($F:$F, ROW()-1), $F95)) : INDEX(AA:AA, ROW()-1)),
   AVERAGEIFS(
     INDEX((unit_details[Asking Rent],unit_details[Asking PSF]),0,1,IF($U$3="Chunk Rent",1,2)),
     unit_details[Leased Date],"&gt;="&amp;($AM$2-X$5),
     unit_details[Leased Date],"&lt;"&amp;$AM$2,
     unit_details[Beds],$L96,
     unit_details[Baths],$M96,
     unit_details[Partial Baths],IF(ISNUMBER($N96),$N96,""),
     unit_details[Sqft],$P96,
     unit_details[Property Name],$F96)
 ),"")</f>
        <v/>
      </c>
      <c r="Y96" s="552" t="str">
        <f>IFERROR(
 IF($F96="Total",
   SUMPRODUCT(
   INDEX(Y:Y, ROW()-COUNTIF($F$6:INDEX($F:$F, ROW()-1), $F95)) : INDEX(Y:Y, ROW()-1),
   INDEX(AA:AA, ROW()-COUNTIF($F$6:INDEX($F:$F, ROW()-1), $F95)) : INDEX(AA:AA, ROW()-1)
   )
   /SUM(INDEX(AA:AA, ROW()-COUNTIF($F$6:INDEX($F:$F, ROW()-1), $F95)) : INDEX(AA:AA, ROW()-1)),
   AVERAGEIFS(
     INDEX((unit_details[Effective Rent],unit_details[Effective PSF]),0,1,IF($U$3="Chunk Rent",1,2)),
     unit_details[Leased Date],"&gt;="&amp;($AM$2-X$5),
     unit_details[Leased Date],"&lt;"&amp;$AM$2,
     unit_details[Beds],$L96,
     unit_details[Baths],$M96,
     unit_details[Partial Baths],IF(ISNUMBER($N96),$N96,""),
     unit_details[Sqft],$P96,
     unit_details[Property Name],$F96)
 ),"")</f>
        <v/>
      </c>
      <c r="Z96" s="27" t="str">
        <f t="shared" si="22"/>
        <v/>
      </c>
      <c r="AA96" s="526">
        <f>IFERROR(
  IF($F96="Total",
    SUM(INDEX(AA:AA, ROW()-COUNTIF($F$6:INDEX($F:$F, ROW()-1), $F95)) : INDEX(AA:AA, ROW()-1)),
    COUNTIFS(
      unit_details[Leased Date], "&gt;="&amp;($AM$2-X$5),
      unit_details[Leased Date], "&lt;"&amp;$AM$2,
      unit_details[Beds], $L96,
      unit_details[Baths], $M96,
      unit_details[Partial Baths], IF(ISNUMBER($N96), $N96, ""),
      unit_details[Sqft],$P96,
      unit_details[Property Name], $F96
    )
  ),
"")</f>
        <v>0</v>
      </c>
      <c r="AB96" s="290">
        <f>IF($F96="Total",
SUM(INDEX(AB:AB, ROW()-COUNTIF($F$6:INDEX($F:$F, ROW()-1), $F95)) : INDEX(AB:AB, ROW()-1)),
COUNTIFS(unit_details[Active Listing?],TRUE,
          unit_details[Property Name], $F96,
          unit_details[Beds], $L96,
          unit_details[Baths], $M96,
          unit_details[Partial Baths],IF(ISNUMBER($N96),$N96,""),
          unit_details[Sqft],$P96))</f>
        <v>0</v>
      </c>
      <c r="AC96" s="27" t="str">
        <f t="shared" si="14"/>
        <v/>
      </c>
      <c r="AD96" s="293" t="str">
        <f>IFERROR(IF(AE96="","",IF($F96="Total",
SUMPRODUCT(
   INDEX(AD:AD, ROW()-COUNTIF($F$6:INDEX($F:$F, ROW()-1), $F95)) : INDEX(AD:AD, ROW()-1),
   INDEX(AB:AB, ROW()-COUNTIF($F$6:INDEX($F:$F, ROW()-1), $F95)) : INDEX(AB:AB, ROW()-1)
   )
   /SUM(INDEX(AB:AB, ROW()-COUNTIF($F$6:INDEX($F:$F, ROW()-1), $F95)) : INDEX(AB:AB, ROW()-1)),
          _xlfn.MINIFS(unit_details[Asking Rent],
          unit_details[Active Listing?],TRUE,
          unit_details[Property Name], $F96,
          unit_details[Beds], $L96,
          unit_details[Baths], $M96,
          unit_details[Partial Baths], IF(ISNUMBER($N96),$N96,""),
          unit_details[Sqft],$P96
))),"")</f>
        <v/>
      </c>
      <c r="AE96" s="5" t="str">
        <f>IFERROR(IF($F96="Total",
          SUMPRODUCT(
   INDEX(AE:AE, ROW()-COUNTIF($F$6:INDEX($F:$F, ROW()-1), $F95)) : INDEX(AE:AE, ROW()-1),
   INDEX(AB:AB, ROW()-COUNTIF($F$6:INDEX($F:$F, ROW()-1), $F95)) : INDEX(AB:AB, ROW()-1)
   )
   /SUM(INDEX(AB:AB, ROW()-COUNTIF($F$6:INDEX($F:$F, ROW()-1), $F95)) : INDEX(AB:AB, ROW()-1)),
          AVERAGEIFS(unit_details[Asking Rent],
          unit_details[Active Listing?],TRUE,
          unit_details[Property Name], $F96,
          unit_details[Beds], $L96,
          unit_details[Baths], $M96,
          unit_details[Partial Baths], IF(ISNUMBER($N96),$N96,""),
          unit_details[Sqft],$P96
)),"")</f>
        <v/>
      </c>
      <c r="AF96" s="5" t="str">
        <f>IFERROR(IF(AE96="","",IF($F96="Total",
SUMPRODUCT(
   INDEX(AF:AF, ROW()-COUNTIF($F$6:INDEX($F:$F, ROW()-1), $F95)) : INDEX(AF:AF, ROW()-1),
   INDEX(AB:AB, ROW()-COUNTIF($F$6:INDEX($F:$F, ROW()-1), $F95)) : INDEX(AB:AB, ROW()-1)
   )
   /SUM(INDEX(AB:AB, ROW()-COUNTIF($F$6:INDEX($F:$F, ROW()-1), $F95)) : INDEX(AB:AB, ROW()-1)),
           _xlfn.MAXIFS(unit_details[Asking Rent],
          unit_details[Active Listing?],TRUE,
          unit_details[Property Name], $F96,
          unit_details[Beds], $L96,
          unit_details[Baths], $M96,
          unit_details[Partial Baths], IF(ISNUMBER($N96),$N96,""),
          unit_details[Sqft],$P96
))),"")</f>
        <v/>
      </c>
      <c r="AG96" s="6" t="str">
        <f>IFERROR(IF($F96="Total",
         SUMPRODUCT(
         INDEX(AG:AG, ROW()-COUNTIF($F$6:INDEX($F:$F, ROW()-1), $F95)) : INDEX(AG:AG, ROW()-1),
         INDEX(AB:AB, ROW()-COUNTIF($F$6:INDEX($F:$F, ROW()-1), $F95)) : INDEX(AB:AB, ROW()-1)
         )
         /SUM(INDEX(AB:AB, ROW()-COUNTIF($F$6:INDEX($F:$F, ROW()-1), $F95)) : INDEX(AB:AB, ROW()-1)),
          AVERAGEIFS(unit_details[Asking PSF],
          unit_details[Active Listing?],TRUE,
          unit_details[Property Name], $F96,
          unit_details[Beds], $L96,
          unit_details[Baths], $M96,
          unit_details[Partial Baths], IF(ISNUMBER($N96),$N96,""),
          unit_details[Sqft],$P96
)),"")</f>
        <v/>
      </c>
      <c r="AH96" s="293" t="str">
        <f>IFERROR(IF($F96="Total",
         SUMPRODUCT(
         INDEX(AH:AH, ROW()-COUNTIF($F$6:INDEX($F:$F, ROW()-1), $F95)) : INDEX(AH:AH, ROW()-1),
         INDEX(AB:AB, ROW()-COUNTIF($F$6:INDEX($F:$F, ROW()-1), $F95)) : INDEX(AB:AB, ROW()-1)
         )
         /SUM(INDEX(AB:AB, ROW()-COUNTIF($F$6:INDEX($F:$F, ROW()-1), $F95)) : INDEX(AB:AB, ROW()-1)),
          AVERAGEIFS(unit_details[Effective Rent],
          unit_details[Active Listing?],TRUE,
          unit_details[Property Name], $F96,
          unit_details[Beds], $L96,
          unit_details[Baths], $M96,
          unit_details[Partial Baths], IF(ISNUMBER($N96),$N96,""),
          unit_details[Sqft],$P96
)),"")</f>
        <v/>
      </c>
      <c r="AI96" s="6" t="str">
        <f>IFERROR(IF($F96="Total",
         SUMPRODUCT(
         INDEX(AI:AI, ROW()-COUNTIF($F$6:INDEX($F:$F, ROW()-1), $F95)) : INDEX(AI:AI, ROW()-1),
         INDEX(AB:AB, ROW()-COUNTIF($F$6:INDEX($F:$F, ROW()-1), $F95)) : INDEX(AB:AB, ROW()-1)
         )
         /SUM(INDEX(AB:AB, ROW()-COUNTIF($F$6:INDEX($F:$F, ROW()-1), $F95)) : INDEX(AB:AB, ROW()-1)),
           AVERAGEIFS(unit_details[Effective PSF],
          unit_details[Active Listing?],TRUE,
          unit_details[Property Name], $F96,
          unit_details[Beds], $L96,
          unit_details[Baths], $M96,
          unit_details[Partial Baths], IF(ISNUMBER($N96),$N96,""),
          unit_details[Sqft],$P96
)),"")</f>
        <v/>
      </c>
      <c r="AJ96" s="824" t="str">
        <f t="shared" si="15"/>
        <v/>
      </c>
      <c r="AK96" s="531" t="str">
        <f t="shared" si="16"/>
        <v/>
      </c>
      <c r="AL96" s="714" t="str">
        <f t="shared" si="17"/>
        <v/>
      </c>
      <c r="AM96" s="531" t="str">
        <f t="shared" si="18"/>
        <v/>
      </c>
      <c r="AN96" s="716" t="str">
        <f t="shared" si="19"/>
        <v/>
      </c>
    </row>
    <row r="97" spans="6:40" x14ac:dyDescent="0.2">
      <c r="F97" s="1" t="str">
        <f t="shared" si="12"/>
        <v/>
      </c>
      <c r="G97" s="713" t="str">
        <f t="shared" si="20"/>
        <v/>
      </c>
      <c r="H97" s="17" t="str">
        <f>IFERROR(VLOOKUP($G97,Table1[[Property]:[Exposure %]],4,0),"")</f>
        <v/>
      </c>
      <c r="I97" s="3" t="str">
        <f>IFERROR(VLOOKUP($G97,Table1[[Property]:[Exposure %]],6,0),"")</f>
        <v/>
      </c>
      <c r="J97" s="3" t="str">
        <f>IFERROR(VLOOKUP($G97,Table1[[Property]:[Exposure %]],7,0),"")</f>
        <v/>
      </c>
      <c r="K97"/>
      <c r="L97"/>
      <c r="M97"/>
      <c r="N97"/>
      <c r="O97"/>
      <c r="P97"/>
      <c r="Q97"/>
      <c r="R97" s="4" t="str">
        <f>IFERROR(VLOOKUP(IF(F97="Total",F96,F97),Table1[[Property]:['# Units]],7,0)*S97,"")</f>
        <v/>
      </c>
      <c r="S97" s="27" t="str">
        <f t="shared" si="13"/>
        <v/>
      </c>
      <c r="T97" s="531" t="str">
        <f>IFERROR(
 IF($F97="Total",
   SUMPRODUCT(
   INDEX(T:T, ROW()-COUNTIF($F$6:INDEX($F:$F, ROW()-1), $F96)) : INDEX(T:T, ROW()-1),
   INDEX(W:W, ROW()-COUNTIF($F$6:INDEX($F:$F, ROW()-1), $F96)) : INDEX(W:W, ROW()-1)
   )
   /SUM(INDEX(W:W, ROW()-COUNTIF($F$6:INDEX($F:$F, ROW()-1), $F96)) : INDEX(W:W, ROW()-1)),
   AVERAGEIFS(
     INDEX((unit_details[Asking Rent],unit_details[Asking PSF]),0,1,IF($U$3="Chunk Rent",1,2)),
     unit_details[Leased Date],"&gt;="&amp;($AM$2-T$5),
     unit_details[Leased Date],"&lt;"&amp;$AM$2,
     unit_details[Beds],$L97,
     unit_details[Baths],$M97,
     unit_details[Partial Baths],IF(ISNUMBER($N97),$N97,""),
     unit_details[Sqft],$P97,
     unit_details[Property Name],$F97)
 ),"")</f>
        <v/>
      </c>
      <c r="U97" s="552" t="str">
        <f>IFERROR(
 IF($F97="Total",
   SUMPRODUCT(
   INDEX(U:U, ROW()-COUNTIF($F$6:INDEX($F:$F, ROW()-1), $F96)) : INDEX(U:U, ROW()-1),
   INDEX(W:W, ROW()-COUNTIF($F$6:INDEX($F:$F, ROW()-1), $F96)) : INDEX(W:W, ROW()-1)
   )
   /SUM(INDEX(W:W, ROW()-COUNTIF($F$6:INDEX($F:$F, ROW()-1), $F96)) : INDEX(W:W, ROW()-1)),
   AVERAGEIFS(
     INDEX((unit_details[Effective Rent],unit_details[Effective PSF]),0,1,IF($U$3="Chunk Rent",1,2)),
     unit_details[Leased Date],"&gt;="&amp;($AM$2-T$5),
     unit_details[Leased Date],"&lt;"&amp;$AM$2,
     unit_details[Beds],$L97,
     unit_details[Baths],$M97,
     unit_details[Partial Baths],IF(ISNUMBER($N97),$N97,""),
     unit_details[Sqft],$P97,
     unit_details[Property Name],$F97)
 ),"")</f>
        <v/>
      </c>
      <c r="V97" s="27" t="str">
        <f t="shared" si="21"/>
        <v/>
      </c>
      <c r="W97" s="526">
        <f>IFERROR(
  IF($F97="Total",
    SUM(INDEX(W:W, ROW()-COUNTIF($F$6:INDEX($F:$F, ROW()-1), $F96)) : INDEX(W:W, ROW()-1)),
    COUNTIFS(
      unit_details[Leased Date], "&gt;="&amp;($AM$2-T$5),
      unit_details[Leased Date], "&lt;"&amp;$AM$2,
      unit_details[Beds], $L97,
      unit_details[Baths], $M97,
      unit_details[Partial Baths], IF(ISNUMBER($N97), $N97, ""),
      unit_details[Sqft],$P97,
      unit_details[Property Name], $F97
    )
  ),
"")</f>
        <v>0</v>
      </c>
      <c r="X97" s="531" t="str">
        <f>IFERROR(
 IF($F97="Total",
   SUMPRODUCT(
   INDEX(X:X, ROW()-COUNTIF($F$6:INDEX($F:$F, ROW()-1), $F96)) : INDEX(X:X, ROW()-1),
   INDEX(AA:AA, ROW()-COUNTIF($F$6:INDEX($F:$F, ROW()-1), $F96)) : INDEX(AA:AA, ROW()-1)
   )
   /SUM(INDEX(AA:AA, ROW()-COUNTIF($F$6:INDEX($F:$F, ROW()-1), $F96)) : INDEX(AA:AA, ROW()-1)),
   AVERAGEIFS(
     INDEX((unit_details[Asking Rent],unit_details[Asking PSF]),0,1,IF($U$3="Chunk Rent",1,2)),
     unit_details[Leased Date],"&gt;="&amp;($AM$2-X$5),
     unit_details[Leased Date],"&lt;"&amp;$AM$2,
     unit_details[Beds],$L97,
     unit_details[Baths],$M97,
     unit_details[Partial Baths],IF(ISNUMBER($N97),$N97,""),
     unit_details[Sqft],$P97,
     unit_details[Property Name],$F97)
 ),"")</f>
        <v/>
      </c>
      <c r="Y97" s="552" t="str">
        <f>IFERROR(
 IF($F97="Total",
   SUMPRODUCT(
   INDEX(Y:Y, ROW()-COUNTIF($F$6:INDEX($F:$F, ROW()-1), $F96)) : INDEX(Y:Y, ROW()-1),
   INDEX(AA:AA, ROW()-COUNTIF($F$6:INDEX($F:$F, ROW()-1), $F96)) : INDEX(AA:AA, ROW()-1)
   )
   /SUM(INDEX(AA:AA, ROW()-COUNTIF($F$6:INDEX($F:$F, ROW()-1), $F96)) : INDEX(AA:AA, ROW()-1)),
   AVERAGEIFS(
     INDEX((unit_details[Effective Rent],unit_details[Effective PSF]),0,1,IF($U$3="Chunk Rent",1,2)),
     unit_details[Leased Date],"&gt;="&amp;($AM$2-X$5),
     unit_details[Leased Date],"&lt;"&amp;$AM$2,
     unit_details[Beds],$L97,
     unit_details[Baths],$M97,
     unit_details[Partial Baths],IF(ISNUMBER($N97),$N97,""),
     unit_details[Sqft],$P97,
     unit_details[Property Name],$F97)
 ),"")</f>
        <v/>
      </c>
      <c r="Z97" s="27" t="str">
        <f t="shared" si="22"/>
        <v/>
      </c>
      <c r="AA97" s="526">
        <f>IFERROR(
  IF($F97="Total",
    SUM(INDEX(AA:AA, ROW()-COUNTIF($F$6:INDEX($F:$F, ROW()-1), $F96)) : INDEX(AA:AA, ROW()-1)),
    COUNTIFS(
      unit_details[Leased Date], "&gt;="&amp;($AM$2-X$5),
      unit_details[Leased Date], "&lt;"&amp;$AM$2,
      unit_details[Beds], $L97,
      unit_details[Baths], $M97,
      unit_details[Partial Baths], IF(ISNUMBER($N97), $N97, ""),
      unit_details[Sqft],$P97,
      unit_details[Property Name], $F97
    )
  ),
"")</f>
        <v>0</v>
      </c>
      <c r="AB97" s="290">
        <f>IF($F97="Total",
SUM(INDEX(AB:AB, ROW()-COUNTIF($F$6:INDEX($F:$F, ROW()-1), $F96)) : INDEX(AB:AB, ROW()-1)),
COUNTIFS(unit_details[Active Listing?],TRUE,
          unit_details[Property Name], $F97,
          unit_details[Beds], $L97,
          unit_details[Baths], $M97,
          unit_details[Partial Baths],IF(ISNUMBER($N97),$N97,""),
          unit_details[Sqft],$P97))</f>
        <v>0</v>
      </c>
      <c r="AC97" s="27" t="str">
        <f t="shared" si="14"/>
        <v/>
      </c>
      <c r="AD97" s="293" t="str">
        <f>IFERROR(IF(AE97="","",IF($F97="Total",
SUMPRODUCT(
   INDEX(AD:AD, ROW()-COUNTIF($F$6:INDEX($F:$F, ROW()-1), $F96)) : INDEX(AD:AD, ROW()-1),
   INDEX(AB:AB, ROW()-COUNTIF($F$6:INDEX($F:$F, ROW()-1), $F96)) : INDEX(AB:AB, ROW()-1)
   )
   /SUM(INDEX(AB:AB, ROW()-COUNTIF($F$6:INDEX($F:$F, ROW()-1), $F96)) : INDEX(AB:AB, ROW()-1)),
          _xlfn.MINIFS(unit_details[Asking Rent],
          unit_details[Active Listing?],TRUE,
          unit_details[Property Name], $F97,
          unit_details[Beds], $L97,
          unit_details[Baths], $M97,
          unit_details[Partial Baths], IF(ISNUMBER($N97),$N97,""),
          unit_details[Sqft],$P97
))),"")</f>
        <v/>
      </c>
      <c r="AE97" s="5" t="str">
        <f>IFERROR(IF($F97="Total",
          SUMPRODUCT(
   INDEX(AE:AE, ROW()-COUNTIF($F$6:INDEX($F:$F, ROW()-1), $F96)) : INDEX(AE:AE, ROW()-1),
   INDEX(AB:AB, ROW()-COUNTIF($F$6:INDEX($F:$F, ROW()-1), $F96)) : INDEX(AB:AB, ROW()-1)
   )
   /SUM(INDEX(AB:AB, ROW()-COUNTIF($F$6:INDEX($F:$F, ROW()-1), $F96)) : INDEX(AB:AB, ROW()-1)),
          AVERAGEIFS(unit_details[Asking Rent],
          unit_details[Active Listing?],TRUE,
          unit_details[Property Name], $F97,
          unit_details[Beds], $L97,
          unit_details[Baths], $M97,
          unit_details[Partial Baths], IF(ISNUMBER($N97),$N97,""),
          unit_details[Sqft],$P97
)),"")</f>
        <v/>
      </c>
      <c r="AF97" s="5" t="str">
        <f>IFERROR(IF(AE97="","",IF($F97="Total",
SUMPRODUCT(
   INDEX(AF:AF, ROW()-COUNTIF($F$6:INDEX($F:$F, ROW()-1), $F96)) : INDEX(AF:AF, ROW()-1),
   INDEX(AB:AB, ROW()-COUNTIF($F$6:INDEX($F:$F, ROW()-1), $F96)) : INDEX(AB:AB, ROW()-1)
   )
   /SUM(INDEX(AB:AB, ROW()-COUNTIF($F$6:INDEX($F:$F, ROW()-1), $F96)) : INDEX(AB:AB, ROW()-1)),
           _xlfn.MAXIFS(unit_details[Asking Rent],
          unit_details[Active Listing?],TRUE,
          unit_details[Property Name], $F97,
          unit_details[Beds], $L97,
          unit_details[Baths], $M97,
          unit_details[Partial Baths], IF(ISNUMBER($N97),$N97,""),
          unit_details[Sqft],$P97
))),"")</f>
        <v/>
      </c>
      <c r="AG97" s="6" t="str">
        <f>IFERROR(IF($F97="Total",
         SUMPRODUCT(
         INDEX(AG:AG, ROW()-COUNTIF($F$6:INDEX($F:$F, ROW()-1), $F96)) : INDEX(AG:AG, ROW()-1),
         INDEX(AB:AB, ROW()-COUNTIF($F$6:INDEX($F:$F, ROW()-1), $F96)) : INDEX(AB:AB, ROW()-1)
         )
         /SUM(INDEX(AB:AB, ROW()-COUNTIF($F$6:INDEX($F:$F, ROW()-1), $F96)) : INDEX(AB:AB, ROW()-1)),
          AVERAGEIFS(unit_details[Asking PSF],
          unit_details[Active Listing?],TRUE,
          unit_details[Property Name], $F97,
          unit_details[Beds], $L97,
          unit_details[Baths], $M97,
          unit_details[Partial Baths], IF(ISNUMBER($N97),$N97,""),
          unit_details[Sqft],$P97
)),"")</f>
        <v/>
      </c>
      <c r="AH97" s="293" t="str">
        <f>IFERROR(IF($F97="Total",
         SUMPRODUCT(
         INDEX(AH:AH, ROW()-COUNTIF($F$6:INDEX($F:$F, ROW()-1), $F96)) : INDEX(AH:AH, ROW()-1),
         INDEX(AB:AB, ROW()-COUNTIF($F$6:INDEX($F:$F, ROW()-1), $F96)) : INDEX(AB:AB, ROW()-1)
         )
         /SUM(INDEX(AB:AB, ROW()-COUNTIF($F$6:INDEX($F:$F, ROW()-1), $F96)) : INDEX(AB:AB, ROW()-1)),
          AVERAGEIFS(unit_details[Effective Rent],
          unit_details[Active Listing?],TRUE,
          unit_details[Property Name], $F97,
          unit_details[Beds], $L97,
          unit_details[Baths], $M97,
          unit_details[Partial Baths], IF(ISNUMBER($N97),$N97,""),
          unit_details[Sqft],$P97
)),"")</f>
        <v/>
      </c>
      <c r="AI97" s="6" t="str">
        <f>IFERROR(IF($F97="Total",
         SUMPRODUCT(
         INDEX(AI:AI, ROW()-COUNTIF($F$6:INDEX($F:$F, ROW()-1), $F96)) : INDEX(AI:AI, ROW()-1),
         INDEX(AB:AB, ROW()-COUNTIF($F$6:INDEX($F:$F, ROW()-1), $F96)) : INDEX(AB:AB, ROW()-1)
         )
         /SUM(INDEX(AB:AB, ROW()-COUNTIF($F$6:INDEX($F:$F, ROW()-1), $F96)) : INDEX(AB:AB, ROW()-1)),
           AVERAGEIFS(unit_details[Effective PSF],
          unit_details[Active Listing?],TRUE,
          unit_details[Property Name], $F97,
          unit_details[Beds], $L97,
          unit_details[Baths], $M97,
          unit_details[Partial Baths], IF(ISNUMBER($N97),$N97,""),
          unit_details[Sqft],$P97
)),"")</f>
        <v/>
      </c>
      <c r="AJ97" s="824" t="str">
        <f t="shared" si="15"/>
        <v/>
      </c>
      <c r="AK97" s="531" t="str">
        <f t="shared" si="16"/>
        <v/>
      </c>
      <c r="AL97" s="714" t="str">
        <f t="shared" si="17"/>
        <v/>
      </c>
      <c r="AM97" s="531" t="str">
        <f t="shared" si="18"/>
        <v/>
      </c>
      <c r="AN97" s="716" t="str">
        <f t="shared" si="19"/>
        <v/>
      </c>
    </row>
    <row r="98" spans="6:40" x14ac:dyDescent="0.2">
      <c r="F98" s="1" t="str">
        <f t="shared" si="12"/>
        <v/>
      </c>
      <c r="G98" s="713" t="str">
        <f t="shared" si="20"/>
        <v/>
      </c>
      <c r="H98" s="17" t="str">
        <f>IFERROR(VLOOKUP($G98,Table1[[Property]:[Exposure %]],4,0),"")</f>
        <v/>
      </c>
      <c r="I98" s="3" t="str">
        <f>IFERROR(VLOOKUP($G98,Table1[[Property]:[Exposure %]],6,0),"")</f>
        <v/>
      </c>
      <c r="J98" s="3" t="str">
        <f>IFERROR(VLOOKUP($G98,Table1[[Property]:[Exposure %]],7,0),"")</f>
        <v/>
      </c>
      <c r="K98"/>
      <c r="L98"/>
      <c r="M98"/>
      <c r="N98"/>
      <c r="O98"/>
      <c r="P98"/>
      <c r="Q98"/>
      <c r="R98" s="4" t="str">
        <f>IFERROR(VLOOKUP(IF(F98="Total",F97,F98),Table1[[Property]:['# Units]],7,0)*S98,"")</f>
        <v/>
      </c>
      <c r="S98" s="27" t="str">
        <f t="shared" si="13"/>
        <v/>
      </c>
      <c r="T98" s="531" t="str">
        <f>IFERROR(
 IF($F98="Total",
   SUMPRODUCT(
   INDEX(T:T, ROW()-COUNTIF($F$6:INDEX($F:$F, ROW()-1), $F97)) : INDEX(T:T, ROW()-1),
   INDEX(W:W, ROW()-COUNTIF($F$6:INDEX($F:$F, ROW()-1), $F97)) : INDEX(W:W, ROW()-1)
   )
   /SUM(INDEX(W:W, ROW()-COUNTIF($F$6:INDEX($F:$F, ROW()-1), $F97)) : INDEX(W:W, ROW()-1)),
   AVERAGEIFS(
     INDEX((unit_details[Asking Rent],unit_details[Asking PSF]),0,1,IF($U$3="Chunk Rent",1,2)),
     unit_details[Leased Date],"&gt;="&amp;($AM$2-T$5),
     unit_details[Leased Date],"&lt;"&amp;$AM$2,
     unit_details[Beds],$L98,
     unit_details[Baths],$M98,
     unit_details[Partial Baths],IF(ISNUMBER($N98),$N98,""),
     unit_details[Sqft],$P98,
     unit_details[Property Name],$F98)
 ),"")</f>
        <v/>
      </c>
      <c r="U98" s="552" t="str">
        <f>IFERROR(
 IF($F98="Total",
   SUMPRODUCT(
   INDEX(U:U, ROW()-COUNTIF($F$6:INDEX($F:$F, ROW()-1), $F97)) : INDEX(U:U, ROW()-1),
   INDEX(W:W, ROW()-COUNTIF($F$6:INDEX($F:$F, ROW()-1), $F97)) : INDEX(W:W, ROW()-1)
   )
   /SUM(INDEX(W:W, ROW()-COUNTIF($F$6:INDEX($F:$F, ROW()-1), $F97)) : INDEX(W:W, ROW()-1)),
   AVERAGEIFS(
     INDEX((unit_details[Effective Rent],unit_details[Effective PSF]),0,1,IF($U$3="Chunk Rent",1,2)),
     unit_details[Leased Date],"&gt;="&amp;($AM$2-T$5),
     unit_details[Leased Date],"&lt;"&amp;$AM$2,
     unit_details[Beds],$L98,
     unit_details[Baths],$M98,
     unit_details[Partial Baths],IF(ISNUMBER($N98),$N98,""),
     unit_details[Sqft],$P98,
     unit_details[Property Name],$F98)
 ),"")</f>
        <v/>
      </c>
      <c r="V98" s="27" t="str">
        <f t="shared" si="21"/>
        <v/>
      </c>
      <c r="W98" s="526">
        <f>IFERROR(
  IF($F98="Total",
    SUM(INDEX(W:W, ROW()-COUNTIF($F$6:INDEX($F:$F, ROW()-1), $F97)) : INDEX(W:W, ROW()-1)),
    COUNTIFS(
      unit_details[Leased Date], "&gt;="&amp;($AM$2-T$5),
      unit_details[Leased Date], "&lt;"&amp;$AM$2,
      unit_details[Beds], $L98,
      unit_details[Baths], $M98,
      unit_details[Partial Baths], IF(ISNUMBER($N98), $N98, ""),
      unit_details[Sqft],$P98,
      unit_details[Property Name], $F98
    )
  ),
"")</f>
        <v>0</v>
      </c>
      <c r="X98" s="531" t="str">
        <f>IFERROR(
 IF($F98="Total",
   SUMPRODUCT(
   INDEX(X:X, ROW()-COUNTIF($F$6:INDEX($F:$F, ROW()-1), $F97)) : INDEX(X:X, ROW()-1),
   INDEX(AA:AA, ROW()-COUNTIF($F$6:INDEX($F:$F, ROW()-1), $F97)) : INDEX(AA:AA, ROW()-1)
   )
   /SUM(INDEX(AA:AA, ROW()-COUNTIF($F$6:INDEX($F:$F, ROW()-1), $F97)) : INDEX(AA:AA, ROW()-1)),
   AVERAGEIFS(
     INDEX((unit_details[Asking Rent],unit_details[Asking PSF]),0,1,IF($U$3="Chunk Rent",1,2)),
     unit_details[Leased Date],"&gt;="&amp;($AM$2-X$5),
     unit_details[Leased Date],"&lt;"&amp;$AM$2,
     unit_details[Beds],$L98,
     unit_details[Baths],$M98,
     unit_details[Partial Baths],IF(ISNUMBER($N98),$N98,""),
     unit_details[Sqft],$P98,
     unit_details[Property Name],$F98)
 ),"")</f>
        <v/>
      </c>
      <c r="Y98" s="552" t="str">
        <f>IFERROR(
 IF($F98="Total",
   SUMPRODUCT(
   INDEX(Y:Y, ROW()-COUNTIF($F$6:INDEX($F:$F, ROW()-1), $F97)) : INDEX(Y:Y, ROW()-1),
   INDEX(AA:AA, ROW()-COUNTIF($F$6:INDEX($F:$F, ROW()-1), $F97)) : INDEX(AA:AA, ROW()-1)
   )
   /SUM(INDEX(AA:AA, ROW()-COUNTIF($F$6:INDEX($F:$F, ROW()-1), $F97)) : INDEX(AA:AA, ROW()-1)),
   AVERAGEIFS(
     INDEX((unit_details[Effective Rent],unit_details[Effective PSF]),0,1,IF($U$3="Chunk Rent",1,2)),
     unit_details[Leased Date],"&gt;="&amp;($AM$2-X$5),
     unit_details[Leased Date],"&lt;"&amp;$AM$2,
     unit_details[Beds],$L98,
     unit_details[Baths],$M98,
     unit_details[Partial Baths],IF(ISNUMBER($N98),$N98,""),
     unit_details[Sqft],$P98,
     unit_details[Property Name],$F98)
 ),"")</f>
        <v/>
      </c>
      <c r="Z98" s="27" t="str">
        <f t="shared" si="22"/>
        <v/>
      </c>
      <c r="AA98" s="526">
        <f>IFERROR(
  IF($F98="Total",
    SUM(INDEX(AA:AA, ROW()-COUNTIF($F$6:INDEX($F:$F, ROW()-1), $F97)) : INDEX(AA:AA, ROW()-1)),
    COUNTIFS(
      unit_details[Leased Date], "&gt;="&amp;($AM$2-X$5),
      unit_details[Leased Date], "&lt;"&amp;$AM$2,
      unit_details[Beds], $L98,
      unit_details[Baths], $M98,
      unit_details[Partial Baths], IF(ISNUMBER($N98), $N98, ""),
      unit_details[Sqft],$P98,
      unit_details[Property Name], $F98
    )
  ),
"")</f>
        <v>0</v>
      </c>
      <c r="AB98" s="290">
        <f>IF($F98="Total",
SUM(INDEX(AB:AB, ROW()-COUNTIF($F$6:INDEX($F:$F, ROW()-1), $F97)) : INDEX(AB:AB, ROW()-1)),
COUNTIFS(unit_details[Active Listing?],TRUE,
          unit_details[Property Name], $F98,
          unit_details[Beds], $L98,
          unit_details[Baths], $M98,
          unit_details[Partial Baths],IF(ISNUMBER($N98),$N98,""),
          unit_details[Sqft],$P98))</f>
        <v>0</v>
      </c>
      <c r="AC98" s="27" t="str">
        <f t="shared" si="14"/>
        <v/>
      </c>
      <c r="AD98" s="293" t="str">
        <f>IFERROR(IF(AE98="","",IF($F98="Total",
SUMPRODUCT(
   INDEX(AD:AD, ROW()-COUNTIF($F$6:INDEX($F:$F, ROW()-1), $F97)) : INDEX(AD:AD, ROW()-1),
   INDEX(AB:AB, ROW()-COUNTIF($F$6:INDEX($F:$F, ROW()-1), $F97)) : INDEX(AB:AB, ROW()-1)
   )
   /SUM(INDEX(AB:AB, ROW()-COUNTIF($F$6:INDEX($F:$F, ROW()-1), $F97)) : INDEX(AB:AB, ROW()-1)),
          _xlfn.MINIFS(unit_details[Asking Rent],
          unit_details[Active Listing?],TRUE,
          unit_details[Property Name], $F98,
          unit_details[Beds], $L98,
          unit_details[Baths], $M98,
          unit_details[Partial Baths], IF(ISNUMBER($N98),$N98,""),
          unit_details[Sqft],$P98
))),"")</f>
        <v/>
      </c>
      <c r="AE98" s="5" t="str">
        <f>IFERROR(IF($F98="Total",
          SUMPRODUCT(
   INDEX(AE:AE, ROW()-COUNTIF($F$6:INDEX($F:$F, ROW()-1), $F97)) : INDEX(AE:AE, ROW()-1),
   INDEX(AB:AB, ROW()-COUNTIF($F$6:INDEX($F:$F, ROW()-1), $F97)) : INDEX(AB:AB, ROW()-1)
   )
   /SUM(INDEX(AB:AB, ROW()-COUNTIF($F$6:INDEX($F:$F, ROW()-1), $F97)) : INDEX(AB:AB, ROW()-1)),
          AVERAGEIFS(unit_details[Asking Rent],
          unit_details[Active Listing?],TRUE,
          unit_details[Property Name], $F98,
          unit_details[Beds], $L98,
          unit_details[Baths], $M98,
          unit_details[Partial Baths], IF(ISNUMBER($N98),$N98,""),
          unit_details[Sqft],$P98
)),"")</f>
        <v/>
      </c>
      <c r="AF98" s="5" t="str">
        <f>IFERROR(IF(AE98="","",IF($F98="Total",
SUMPRODUCT(
   INDEX(AF:AF, ROW()-COUNTIF($F$6:INDEX($F:$F, ROW()-1), $F97)) : INDEX(AF:AF, ROW()-1),
   INDEX(AB:AB, ROW()-COUNTIF($F$6:INDEX($F:$F, ROW()-1), $F97)) : INDEX(AB:AB, ROW()-1)
   )
   /SUM(INDEX(AB:AB, ROW()-COUNTIF($F$6:INDEX($F:$F, ROW()-1), $F97)) : INDEX(AB:AB, ROW()-1)),
           _xlfn.MAXIFS(unit_details[Asking Rent],
          unit_details[Active Listing?],TRUE,
          unit_details[Property Name], $F98,
          unit_details[Beds], $L98,
          unit_details[Baths], $M98,
          unit_details[Partial Baths], IF(ISNUMBER($N98),$N98,""),
          unit_details[Sqft],$P98
))),"")</f>
        <v/>
      </c>
      <c r="AG98" s="6" t="str">
        <f>IFERROR(IF($F98="Total",
         SUMPRODUCT(
         INDEX(AG:AG, ROW()-COUNTIF($F$6:INDEX($F:$F, ROW()-1), $F97)) : INDEX(AG:AG, ROW()-1),
         INDEX(AB:AB, ROW()-COUNTIF($F$6:INDEX($F:$F, ROW()-1), $F97)) : INDEX(AB:AB, ROW()-1)
         )
         /SUM(INDEX(AB:AB, ROW()-COUNTIF($F$6:INDEX($F:$F, ROW()-1), $F97)) : INDEX(AB:AB, ROW()-1)),
          AVERAGEIFS(unit_details[Asking PSF],
          unit_details[Active Listing?],TRUE,
          unit_details[Property Name], $F98,
          unit_details[Beds], $L98,
          unit_details[Baths], $M98,
          unit_details[Partial Baths], IF(ISNUMBER($N98),$N98,""),
          unit_details[Sqft],$P98
)),"")</f>
        <v/>
      </c>
      <c r="AH98" s="293" t="str">
        <f>IFERROR(IF($F98="Total",
         SUMPRODUCT(
         INDEX(AH:AH, ROW()-COUNTIF($F$6:INDEX($F:$F, ROW()-1), $F97)) : INDEX(AH:AH, ROW()-1),
         INDEX(AB:AB, ROW()-COUNTIF($F$6:INDEX($F:$F, ROW()-1), $F97)) : INDEX(AB:AB, ROW()-1)
         )
         /SUM(INDEX(AB:AB, ROW()-COUNTIF($F$6:INDEX($F:$F, ROW()-1), $F97)) : INDEX(AB:AB, ROW()-1)),
          AVERAGEIFS(unit_details[Effective Rent],
          unit_details[Active Listing?],TRUE,
          unit_details[Property Name], $F98,
          unit_details[Beds], $L98,
          unit_details[Baths], $M98,
          unit_details[Partial Baths], IF(ISNUMBER($N98),$N98,""),
          unit_details[Sqft],$P98
)),"")</f>
        <v/>
      </c>
      <c r="AI98" s="6" t="str">
        <f>IFERROR(IF($F98="Total",
         SUMPRODUCT(
         INDEX(AI:AI, ROW()-COUNTIF($F$6:INDEX($F:$F, ROW()-1), $F97)) : INDEX(AI:AI, ROW()-1),
         INDEX(AB:AB, ROW()-COUNTIF($F$6:INDEX($F:$F, ROW()-1), $F97)) : INDEX(AB:AB, ROW()-1)
         )
         /SUM(INDEX(AB:AB, ROW()-COUNTIF($F$6:INDEX($F:$F, ROW()-1), $F97)) : INDEX(AB:AB, ROW()-1)),
           AVERAGEIFS(unit_details[Effective PSF],
          unit_details[Active Listing?],TRUE,
          unit_details[Property Name], $F98,
          unit_details[Beds], $L98,
          unit_details[Baths], $M98,
          unit_details[Partial Baths], IF(ISNUMBER($N98),$N98,""),
          unit_details[Sqft],$P98
)),"")</f>
        <v/>
      </c>
      <c r="AJ98" s="824" t="str">
        <f t="shared" si="15"/>
        <v/>
      </c>
      <c r="AK98" s="531" t="str">
        <f t="shared" si="16"/>
        <v/>
      </c>
      <c r="AL98" s="714" t="str">
        <f t="shared" si="17"/>
        <v/>
      </c>
      <c r="AM98" s="531" t="str">
        <f t="shared" si="18"/>
        <v/>
      </c>
      <c r="AN98" s="716" t="str">
        <f t="shared" si="19"/>
        <v/>
      </c>
    </row>
    <row r="99" spans="6:40" x14ac:dyDescent="0.2">
      <c r="F99" s="1" t="str">
        <f t="shared" si="12"/>
        <v/>
      </c>
      <c r="G99" s="713" t="str">
        <f t="shared" si="20"/>
        <v/>
      </c>
      <c r="H99" s="17" t="str">
        <f>IFERROR(VLOOKUP($G99,Table1[[Property]:[Exposure %]],4,0),"")</f>
        <v/>
      </c>
      <c r="I99" s="3" t="str">
        <f>IFERROR(VLOOKUP($G99,Table1[[Property]:[Exposure %]],6,0),"")</f>
        <v/>
      </c>
      <c r="J99" s="3" t="str">
        <f>IFERROR(VLOOKUP($G99,Table1[[Property]:[Exposure %]],7,0),"")</f>
        <v/>
      </c>
      <c r="K99"/>
      <c r="L99"/>
      <c r="M99"/>
      <c r="N99"/>
      <c r="O99"/>
      <c r="P99"/>
      <c r="Q99"/>
      <c r="R99" s="4" t="str">
        <f>IFERROR(VLOOKUP(IF(F99="Total",F98,F99),Table1[[Property]:['# Units]],7,0)*S99,"")</f>
        <v/>
      </c>
      <c r="S99" s="27" t="str">
        <f t="shared" si="13"/>
        <v/>
      </c>
      <c r="T99" s="531" t="str">
        <f>IFERROR(
 IF($F99="Total",
   SUMPRODUCT(
   INDEX(T:T, ROW()-COUNTIF($F$6:INDEX($F:$F, ROW()-1), $F98)) : INDEX(T:T, ROW()-1),
   INDEX(W:W, ROW()-COUNTIF($F$6:INDEX($F:$F, ROW()-1), $F98)) : INDEX(W:W, ROW()-1)
   )
   /SUM(INDEX(W:W, ROW()-COUNTIF($F$6:INDEX($F:$F, ROW()-1), $F98)) : INDEX(W:W, ROW()-1)),
   AVERAGEIFS(
     INDEX((unit_details[Asking Rent],unit_details[Asking PSF]),0,1,IF($U$3="Chunk Rent",1,2)),
     unit_details[Leased Date],"&gt;="&amp;($AM$2-T$5),
     unit_details[Leased Date],"&lt;"&amp;$AM$2,
     unit_details[Beds],$L99,
     unit_details[Baths],$M99,
     unit_details[Partial Baths],IF(ISNUMBER($N99),$N99,""),
     unit_details[Sqft],$P99,
     unit_details[Property Name],$F99)
 ),"")</f>
        <v/>
      </c>
      <c r="U99" s="552" t="str">
        <f>IFERROR(
 IF($F99="Total",
   SUMPRODUCT(
   INDEX(U:U, ROW()-COUNTIF($F$6:INDEX($F:$F, ROW()-1), $F98)) : INDEX(U:U, ROW()-1),
   INDEX(W:W, ROW()-COUNTIF($F$6:INDEX($F:$F, ROW()-1), $F98)) : INDEX(W:W, ROW()-1)
   )
   /SUM(INDEX(W:W, ROW()-COUNTIF($F$6:INDEX($F:$F, ROW()-1), $F98)) : INDEX(W:W, ROW()-1)),
   AVERAGEIFS(
     INDEX((unit_details[Effective Rent],unit_details[Effective PSF]),0,1,IF($U$3="Chunk Rent",1,2)),
     unit_details[Leased Date],"&gt;="&amp;($AM$2-T$5),
     unit_details[Leased Date],"&lt;"&amp;$AM$2,
     unit_details[Beds],$L99,
     unit_details[Baths],$M99,
     unit_details[Partial Baths],IF(ISNUMBER($N99),$N99,""),
     unit_details[Sqft],$P99,
     unit_details[Property Name],$F99)
 ),"")</f>
        <v/>
      </c>
      <c r="V99" s="27" t="str">
        <f t="shared" si="21"/>
        <v/>
      </c>
      <c r="W99" s="526">
        <f>IFERROR(
  IF($F99="Total",
    SUM(INDEX(W:W, ROW()-COUNTIF($F$6:INDEX($F:$F, ROW()-1), $F98)) : INDEX(W:W, ROW()-1)),
    COUNTIFS(
      unit_details[Leased Date], "&gt;="&amp;($AM$2-T$5),
      unit_details[Leased Date], "&lt;"&amp;$AM$2,
      unit_details[Beds], $L99,
      unit_details[Baths], $M99,
      unit_details[Partial Baths], IF(ISNUMBER($N99), $N99, ""),
      unit_details[Sqft],$P99,
      unit_details[Property Name], $F99
    )
  ),
"")</f>
        <v>0</v>
      </c>
      <c r="X99" s="531" t="str">
        <f>IFERROR(
 IF($F99="Total",
   SUMPRODUCT(
   INDEX(X:X, ROW()-COUNTIF($F$6:INDEX($F:$F, ROW()-1), $F98)) : INDEX(X:X, ROW()-1),
   INDEX(AA:AA, ROW()-COUNTIF($F$6:INDEX($F:$F, ROW()-1), $F98)) : INDEX(AA:AA, ROW()-1)
   )
   /SUM(INDEX(AA:AA, ROW()-COUNTIF($F$6:INDEX($F:$F, ROW()-1), $F98)) : INDEX(AA:AA, ROW()-1)),
   AVERAGEIFS(
     INDEX((unit_details[Asking Rent],unit_details[Asking PSF]),0,1,IF($U$3="Chunk Rent",1,2)),
     unit_details[Leased Date],"&gt;="&amp;($AM$2-X$5),
     unit_details[Leased Date],"&lt;"&amp;$AM$2,
     unit_details[Beds],$L99,
     unit_details[Baths],$M99,
     unit_details[Partial Baths],IF(ISNUMBER($N99),$N99,""),
     unit_details[Sqft],$P99,
     unit_details[Property Name],$F99)
 ),"")</f>
        <v/>
      </c>
      <c r="Y99" s="552" t="str">
        <f>IFERROR(
 IF($F99="Total",
   SUMPRODUCT(
   INDEX(Y:Y, ROW()-COUNTIF($F$6:INDEX($F:$F, ROW()-1), $F98)) : INDEX(Y:Y, ROW()-1),
   INDEX(AA:AA, ROW()-COUNTIF($F$6:INDEX($F:$F, ROW()-1), $F98)) : INDEX(AA:AA, ROW()-1)
   )
   /SUM(INDEX(AA:AA, ROW()-COUNTIF($F$6:INDEX($F:$F, ROW()-1), $F98)) : INDEX(AA:AA, ROW()-1)),
   AVERAGEIFS(
     INDEX((unit_details[Effective Rent],unit_details[Effective PSF]),0,1,IF($U$3="Chunk Rent",1,2)),
     unit_details[Leased Date],"&gt;="&amp;($AM$2-X$5),
     unit_details[Leased Date],"&lt;"&amp;$AM$2,
     unit_details[Beds],$L99,
     unit_details[Baths],$M99,
     unit_details[Partial Baths],IF(ISNUMBER($N99),$N99,""),
     unit_details[Sqft],$P99,
     unit_details[Property Name],$F99)
 ),"")</f>
        <v/>
      </c>
      <c r="Z99" s="27" t="str">
        <f t="shared" si="22"/>
        <v/>
      </c>
      <c r="AA99" s="526">
        <f>IFERROR(
  IF($F99="Total",
    SUM(INDEX(AA:AA, ROW()-COUNTIF($F$6:INDEX($F:$F, ROW()-1), $F98)) : INDEX(AA:AA, ROW()-1)),
    COUNTIFS(
      unit_details[Leased Date], "&gt;="&amp;($AM$2-X$5),
      unit_details[Leased Date], "&lt;"&amp;$AM$2,
      unit_details[Beds], $L99,
      unit_details[Baths], $M99,
      unit_details[Partial Baths], IF(ISNUMBER($N99), $N99, ""),
      unit_details[Sqft],$P99,
      unit_details[Property Name], $F99
    )
  ),
"")</f>
        <v>0</v>
      </c>
      <c r="AB99" s="290">
        <f>IF($F99="Total",
SUM(INDEX(AB:AB, ROW()-COUNTIF($F$6:INDEX($F:$F, ROW()-1), $F98)) : INDEX(AB:AB, ROW()-1)),
COUNTIFS(unit_details[Active Listing?],TRUE,
          unit_details[Property Name], $F99,
          unit_details[Beds], $L99,
          unit_details[Baths], $M99,
          unit_details[Partial Baths],IF(ISNUMBER($N99),$N99,""),
          unit_details[Sqft],$P99))</f>
        <v>0</v>
      </c>
      <c r="AC99" s="27" t="str">
        <f t="shared" si="14"/>
        <v/>
      </c>
      <c r="AD99" s="293" t="str">
        <f>IFERROR(IF(AE99="","",IF($F99="Total",
SUMPRODUCT(
   INDEX(AD:AD, ROW()-COUNTIF($F$6:INDEX($F:$F, ROW()-1), $F98)) : INDEX(AD:AD, ROW()-1),
   INDEX(AB:AB, ROW()-COUNTIF($F$6:INDEX($F:$F, ROW()-1), $F98)) : INDEX(AB:AB, ROW()-1)
   )
   /SUM(INDEX(AB:AB, ROW()-COUNTIF($F$6:INDEX($F:$F, ROW()-1), $F98)) : INDEX(AB:AB, ROW()-1)),
          _xlfn.MINIFS(unit_details[Asking Rent],
          unit_details[Active Listing?],TRUE,
          unit_details[Property Name], $F99,
          unit_details[Beds], $L99,
          unit_details[Baths], $M99,
          unit_details[Partial Baths], IF(ISNUMBER($N99),$N99,""),
          unit_details[Sqft],$P99
))),"")</f>
        <v/>
      </c>
      <c r="AE99" s="5" t="str">
        <f>IFERROR(IF($F99="Total",
          SUMPRODUCT(
   INDEX(AE:AE, ROW()-COUNTIF($F$6:INDEX($F:$F, ROW()-1), $F98)) : INDEX(AE:AE, ROW()-1),
   INDEX(AB:AB, ROW()-COUNTIF($F$6:INDEX($F:$F, ROW()-1), $F98)) : INDEX(AB:AB, ROW()-1)
   )
   /SUM(INDEX(AB:AB, ROW()-COUNTIF($F$6:INDEX($F:$F, ROW()-1), $F98)) : INDEX(AB:AB, ROW()-1)),
          AVERAGEIFS(unit_details[Asking Rent],
          unit_details[Active Listing?],TRUE,
          unit_details[Property Name], $F99,
          unit_details[Beds], $L99,
          unit_details[Baths], $M99,
          unit_details[Partial Baths], IF(ISNUMBER($N99),$N99,""),
          unit_details[Sqft],$P99
)),"")</f>
        <v/>
      </c>
      <c r="AF99" s="5" t="str">
        <f>IFERROR(IF(AE99="","",IF($F99="Total",
SUMPRODUCT(
   INDEX(AF:AF, ROW()-COUNTIF($F$6:INDEX($F:$F, ROW()-1), $F98)) : INDEX(AF:AF, ROW()-1),
   INDEX(AB:AB, ROW()-COUNTIF($F$6:INDEX($F:$F, ROW()-1), $F98)) : INDEX(AB:AB, ROW()-1)
   )
   /SUM(INDEX(AB:AB, ROW()-COUNTIF($F$6:INDEX($F:$F, ROW()-1), $F98)) : INDEX(AB:AB, ROW()-1)),
           _xlfn.MAXIFS(unit_details[Asking Rent],
          unit_details[Active Listing?],TRUE,
          unit_details[Property Name], $F99,
          unit_details[Beds], $L99,
          unit_details[Baths], $M99,
          unit_details[Partial Baths], IF(ISNUMBER($N99),$N99,""),
          unit_details[Sqft],$P99
))),"")</f>
        <v/>
      </c>
      <c r="AG99" s="6" t="str">
        <f>IFERROR(IF($F99="Total",
         SUMPRODUCT(
         INDEX(AG:AG, ROW()-COUNTIF($F$6:INDEX($F:$F, ROW()-1), $F98)) : INDEX(AG:AG, ROW()-1),
         INDEX(AB:AB, ROW()-COUNTIF($F$6:INDEX($F:$F, ROW()-1), $F98)) : INDEX(AB:AB, ROW()-1)
         )
         /SUM(INDEX(AB:AB, ROW()-COUNTIF($F$6:INDEX($F:$F, ROW()-1), $F98)) : INDEX(AB:AB, ROW()-1)),
          AVERAGEIFS(unit_details[Asking PSF],
          unit_details[Active Listing?],TRUE,
          unit_details[Property Name], $F99,
          unit_details[Beds], $L99,
          unit_details[Baths], $M99,
          unit_details[Partial Baths], IF(ISNUMBER($N99),$N99,""),
          unit_details[Sqft],$P99
)),"")</f>
        <v/>
      </c>
      <c r="AH99" s="293" t="str">
        <f>IFERROR(IF($F99="Total",
         SUMPRODUCT(
         INDEX(AH:AH, ROW()-COUNTIF($F$6:INDEX($F:$F, ROW()-1), $F98)) : INDEX(AH:AH, ROW()-1),
         INDEX(AB:AB, ROW()-COUNTIF($F$6:INDEX($F:$F, ROW()-1), $F98)) : INDEX(AB:AB, ROW()-1)
         )
         /SUM(INDEX(AB:AB, ROW()-COUNTIF($F$6:INDEX($F:$F, ROW()-1), $F98)) : INDEX(AB:AB, ROW()-1)),
          AVERAGEIFS(unit_details[Effective Rent],
          unit_details[Active Listing?],TRUE,
          unit_details[Property Name], $F99,
          unit_details[Beds], $L99,
          unit_details[Baths], $M99,
          unit_details[Partial Baths], IF(ISNUMBER($N99),$N99,""),
          unit_details[Sqft],$P99
)),"")</f>
        <v/>
      </c>
      <c r="AI99" s="6" t="str">
        <f>IFERROR(IF($F99="Total",
         SUMPRODUCT(
         INDEX(AI:AI, ROW()-COUNTIF($F$6:INDEX($F:$F, ROW()-1), $F98)) : INDEX(AI:AI, ROW()-1),
         INDEX(AB:AB, ROW()-COUNTIF($F$6:INDEX($F:$F, ROW()-1), $F98)) : INDEX(AB:AB, ROW()-1)
         )
         /SUM(INDEX(AB:AB, ROW()-COUNTIF($F$6:INDEX($F:$F, ROW()-1), $F98)) : INDEX(AB:AB, ROW()-1)),
           AVERAGEIFS(unit_details[Effective PSF],
          unit_details[Active Listing?],TRUE,
          unit_details[Property Name], $F99,
          unit_details[Beds], $L99,
          unit_details[Baths], $M99,
          unit_details[Partial Baths], IF(ISNUMBER($N99),$N99,""),
          unit_details[Sqft],$P99
)),"")</f>
        <v/>
      </c>
      <c r="AJ99" s="824" t="str">
        <f t="shared" si="15"/>
        <v/>
      </c>
      <c r="AK99" s="531" t="str">
        <f t="shared" si="16"/>
        <v/>
      </c>
      <c r="AL99" s="714" t="str">
        <f t="shared" si="17"/>
        <v/>
      </c>
      <c r="AM99" s="531" t="str">
        <f t="shared" si="18"/>
        <v/>
      </c>
      <c r="AN99" s="716" t="str">
        <f t="shared" si="19"/>
        <v/>
      </c>
    </row>
    <row r="100" spans="6:40" x14ac:dyDescent="0.2">
      <c r="F100" s="1" t="str">
        <f t="shared" si="12"/>
        <v/>
      </c>
      <c r="G100" s="713" t="str">
        <f t="shared" si="20"/>
        <v/>
      </c>
      <c r="H100" s="17" t="str">
        <f>IFERROR(VLOOKUP($G100,Table1[[Property]:[Exposure %]],4,0),"")</f>
        <v/>
      </c>
      <c r="I100" s="3" t="str">
        <f>IFERROR(VLOOKUP($G100,Table1[[Property]:[Exposure %]],6,0),"")</f>
        <v/>
      </c>
      <c r="J100" s="3" t="str">
        <f>IFERROR(VLOOKUP($G100,Table1[[Property]:[Exposure %]],7,0),"")</f>
        <v/>
      </c>
      <c r="K100"/>
      <c r="L100"/>
      <c r="M100"/>
      <c r="N100"/>
      <c r="O100"/>
      <c r="P100"/>
      <c r="Q100"/>
      <c r="R100" s="4" t="str">
        <f>IFERROR(VLOOKUP(IF(F100="Total",F99,F100),Table1[[Property]:['# Units]],7,0)*S100,"")</f>
        <v/>
      </c>
      <c r="S100" s="27" t="str">
        <f t="shared" si="13"/>
        <v/>
      </c>
      <c r="T100" s="531" t="str">
        <f>IFERROR(
 IF($F100="Total",
   SUMPRODUCT(
   INDEX(T:T, ROW()-COUNTIF($F$6:INDEX($F:$F, ROW()-1), $F99)) : INDEX(T:T, ROW()-1),
   INDEX(W:W, ROW()-COUNTIF($F$6:INDEX($F:$F, ROW()-1), $F99)) : INDEX(W:W, ROW()-1)
   )
   /SUM(INDEX(W:W, ROW()-COUNTIF($F$6:INDEX($F:$F, ROW()-1), $F99)) : INDEX(W:W, ROW()-1)),
   AVERAGEIFS(
     INDEX((unit_details[Asking Rent],unit_details[Asking PSF]),0,1,IF($U$3="Chunk Rent",1,2)),
     unit_details[Leased Date],"&gt;="&amp;($AM$2-T$5),
     unit_details[Leased Date],"&lt;"&amp;$AM$2,
     unit_details[Beds],$L100,
     unit_details[Baths],$M100,
     unit_details[Partial Baths],IF(ISNUMBER($N100),$N100,""),
     unit_details[Sqft],$P100,
     unit_details[Property Name],$F100)
 ),"")</f>
        <v/>
      </c>
      <c r="U100" s="552" t="str">
        <f>IFERROR(
 IF($F100="Total",
   SUMPRODUCT(
   INDEX(U:U, ROW()-COUNTIF($F$6:INDEX($F:$F, ROW()-1), $F99)) : INDEX(U:U, ROW()-1),
   INDEX(W:W, ROW()-COUNTIF($F$6:INDEX($F:$F, ROW()-1), $F99)) : INDEX(W:W, ROW()-1)
   )
   /SUM(INDEX(W:W, ROW()-COUNTIF($F$6:INDEX($F:$F, ROW()-1), $F99)) : INDEX(W:W, ROW()-1)),
   AVERAGEIFS(
     INDEX((unit_details[Effective Rent],unit_details[Effective PSF]),0,1,IF($U$3="Chunk Rent",1,2)),
     unit_details[Leased Date],"&gt;="&amp;($AM$2-T$5),
     unit_details[Leased Date],"&lt;"&amp;$AM$2,
     unit_details[Beds],$L100,
     unit_details[Baths],$M100,
     unit_details[Partial Baths],IF(ISNUMBER($N100),$N100,""),
     unit_details[Sqft],$P100,
     unit_details[Property Name],$F100)
 ),"")</f>
        <v/>
      </c>
      <c r="V100" s="27" t="str">
        <f t="shared" si="21"/>
        <v/>
      </c>
      <c r="W100" s="526">
        <f>IFERROR(
  IF($F100="Total",
    SUM(INDEX(W:W, ROW()-COUNTIF($F$6:INDEX($F:$F, ROW()-1), $F99)) : INDEX(W:W, ROW()-1)),
    COUNTIFS(
      unit_details[Leased Date], "&gt;="&amp;($AM$2-T$5),
      unit_details[Leased Date], "&lt;"&amp;$AM$2,
      unit_details[Beds], $L100,
      unit_details[Baths], $M100,
      unit_details[Partial Baths], IF(ISNUMBER($N100), $N100, ""),
      unit_details[Sqft],$P100,
      unit_details[Property Name], $F100
    )
  ),
"")</f>
        <v>0</v>
      </c>
      <c r="X100" s="531" t="str">
        <f>IFERROR(
 IF($F100="Total",
   SUMPRODUCT(
   INDEX(X:X, ROW()-COUNTIF($F$6:INDEX($F:$F, ROW()-1), $F99)) : INDEX(X:X, ROW()-1),
   INDEX(AA:AA, ROW()-COUNTIF($F$6:INDEX($F:$F, ROW()-1), $F99)) : INDEX(AA:AA, ROW()-1)
   )
   /SUM(INDEX(AA:AA, ROW()-COUNTIF($F$6:INDEX($F:$F, ROW()-1), $F99)) : INDEX(AA:AA, ROW()-1)),
   AVERAGEIFS(
     INDEX((unit_details[Asking Rent],unit_details[Asking PSF]),0,1,IF($U$3="Chunk Rent",1,2)),
     unit_details[Leased Date],"&gt;="&amp;($AM$2-X$5),
     unit_details[Leased Date],"&lt;"&amp;$AM$2,
     unit_details[Beds],$L100,
     unit_details[Baths],$M100,
     unit_details[Partial Baths],IF(ISNUMBER($N100),$N100,""),
     unit_details[Sqft],$P100,
     unit_details[Property Name],$F100)
 ),"")</f>
        <v/>
      </c>
      <c r="Y100" s="552" t="str">
        <f>IFERROR(
 IF($F100="Total",
   SUMPRODUCT(
   INDEX(Y:Y, ROW()-COUNTIF($F$6:INDEX($F:$F, ROW()-1), $F99)) : INDEX(Y:Y, ROW()-1),
   INDEX(AA:AA, ROW()-COUNTIF($F$6:INDEX($F:$F, ROW()-1), $F99)) : INDEX(AA:AA, ROW()-1)
   )
   /SUM(INDEX(AA:AA, ROW()-COUNTIF($F$6:INDEX($F:$F, ROW()-1), $F99)) : INDEX(AA:AA, ROW()-1)),
   AVERAGEIFS(
     INDEX((unit_details[Effective Rent],unit_details[Effective PSF]),0,1,IF($U$3="Chunk Rent",1,2)),
     unit_details[Leased Date],"&gt;="&amp;($AM$2-X$5),
     unit_details[Leased Date],"&lt;"&amp;$AM$2,
     unit_details[Beds],$L100,
     unit_details[Baths],$M100,
     unit_details[Partial Baths],IF(ISNUMBER($N100),$N100,""),
     unit_details[Sqft],$P100,
     unit_details[Property Name],$F100)
 ),"")</f>
        <v/>
      </c>
      <c r="Z100" s="27" t="str">
        <f t="shared" si="22"/>
        <v/>
      </c>
      <c r="AA100" s="526">
        <f>IFERROR(
  IF($F100="Total",
    SUM(INDEX(AA:AA, ROW()-COUNTIF($F$6:INDEX($F:$F, ROW()-1), $F99)) : INDEX(AA:AA, ROW()-1)),
    COUNTIFS(
      unit_details[Leased Date], "&gt;="&amp;($AM$2-X$5),
      unit_details[Leased Date], "&lt;"&amp;$AM$2,
      unit_details[Beds], $L100,
      unit_details[Baths], $M100,
      unit_details[Partial Baths], IF(ISNUMBER($N100), $N100, ""),
      unit_details[Sqft],$P100,
      unit_details[Property Name], $F100
    )
  ),
"")</f>
        <v>0</v>
      </c>
      <c r="AB100" s="290">
        <f>IF($F100="Total",
SUM(INDEX(AB:AB, ROW()-COUNTIF($F$6:INDEX($F:$F, ROW()-1), $F99)) : INDEX(AB:AB, ROW()-1)),
COUNTIFS(unit_details[Active Listing?],TRUE,
          unit_details[Property Name], $F100,
          unit_details[Beds], $L100,
          unit_details[Baths], $M100,
          unit_details[Partial Baths],IF(ISNUMBER($N100),$N100,""),
          unit_details[Sqft],$P100))</f>
        <v>0</v>
      </c>
      <c r="AC100" s="27" t="str">
        <f t="shared" si="14"/>
        <v/>
      </c>
      <c r="AD100" s="293" t="str">
        <f>IFERROR(IF(AE100="","",IF($F100="Total",
SUMPRODUCT(
   INDEX(AD:AD, ROW()-COUNTIF($F$6:INDEX($F:$F, ROW()-1), $F99)) : INDEX(AD:AD, ROW()-1),
   INDEX(AB:AB, ROW()-COUNTIF($F$6:INDEX($F:$F, ROW()-1), $F99)) : INDEX(AB:AB, ROW()-1)
   )
   /SUM(INDEX(AB:AB, ROW()-COUNTIF($F$6:INDEX($F:$F, ROW()-1), $F99)) : INDEX(AB:AB, ROW()-1)),
          _xlfn.MINIFS(unit_details[Asking Rent],
          unit_details[Active Listing?],TRUE,
          unit_details[Property Name], $F100,
          unit_details[Beds], $L100,
          unit_details[Baths], $M100,
          unit_details[Partial Baths], IF(ISNUMBER($N100),$N100,""),
          unit_details[Sqft],$P100
))),"")</f>
        <v/>
      </c>
      <c r="AE100" s="5" t="str">
        <f>IFERROR(IF($F100="Total",
          SUMPRODUCT(
   INDEX(AE:AE, ROW()-COUNTIF($F$6:INDEX($F:$F, ROW()-1), $F99)) : INDEX(AE:AE, ROW()-1),
   INDEX(AB:AB, ROW()-COUNTIF($F$6:INDEX($F:$F, ROW()-1), $F99)) : INDEX(AB:AB, ROW()-1)
   )
   /SUM(INDEX(AB:AB, ROW()-COUNTIF($F$6:INDEX($F:$F, ROW()-1), $F99)) : INDEX(AB:AB, ROW()-1)),
          AVERAGEIFS(unit_details[Asking Rent],
          unit_details[Active Listing?],TRUE,
          unit_details[Property Name], $F100,
          unit_details[Beds], $L100,
          unit_details[Baths], $M100,
          unit_details[Partial Baths], IF(ISNUMBER($N100),$N100,""),
          unit_details[Sqft],$P100
)),"")</f>
        <v/>
      </c>
      <c r="AF100" s="5" t="str">
        <f>IFERROR(IF(AE100="","",IF($F100="Total",
SUMPRODUCT(
   INDEX(AF:AF, ROW()-COUNTIF($F$6:INDEX($F:$F, ROW()-1), $F99)) : INDEX(AF:AF, ROW()-1),
   INDEX(AB:AB, ROW()-COUNTIF($F$6:INDEX($F:$F, ROW()-1), $F99)) : INDEX(AB:AB, ROW()-1)
   )
   /SUM(INDEX(AB:AB, ROW()-COUNTIF($F$6:INDEX($F:$F, ROW()-1), $F99)) : INDEX(AB:AB, ROW()-1)),
           _xlfn.MAXIFS(unit_details[Asking Rent],
          unit_details[Active Listing?],TRUE,
          unit_details[Property Name], $F100,
          unit_details[Beds], $L100,
          unit_details[Baths], $M100,
          unit_details[Partial Baths], IF(ISNUMBER($N100),$N100,""),
          unit_details[Sqft],$P100
))),"")</f>
        <v/>
      </c>
      <c r="AG100" s="6" t="str">
        <f>IFERROR(IF($F100="Total",
         SUMPRODUCT(
         INDEX(AG:AG, ROW()-COUNTIF($F$6:INDEX($F:$F, ROW()-1), $F99)) : INDEX(AG:AG, ROW()-1),
         INDEX(AB:AB, ROW()-COUNTIF($F$6:INDEX($F:$F, ROW()-1), $F99)) : INDEX(AB:AB, ROW()-1)
         )
         /SUM(INDEX(AB:AB, ROW()-COUNTIF($F$6:INDEX($F:$F, ROW()-1), $F99)) : INDEX(AB:AB, ROW()-1)),
          AVERAGEIFS(unit_details[Asking PSF],
          unit_details[Active Listing?],TRUE,
          unit_details[Property Name], $F100,
          unit_details[Beds], $L100,
          unit_details[Baths], $M100,
          unit_details[Partial Baths], IF(ISNUMBER($N100),$N100,""),
          unit_details[Sqft],$P100
)),"")</f>
        <v/>
      </c>
      <c r="AH100" s="293" t="str">
        <f>IFERROR(IF($F100="Total",
         SUMPRODUCT(
         INDEX(AH:AH, ROW()-COUNTIF($F$6:INDEX($F:$F, ROW()-1), $F99)) : INDEX(AH:AH, ROW()-1),
         INDEX(AB:AB, ROW()-COUNTIF($F$6:INDEX($F:$F, ROW()-1), $F99)) : INDEX(AB:AB, ROW()-1)
         )
         /SUM(INDEX(AB:AB, ROW()-COUNTIF($F$6:INDEX($F:$F, ROW()-1), $F99)) : INDEX(AB:AB, ROW()-1)),
          AVERAGEIFS(unit_details[Effective Rent],
          unit_details[Active Listing?],TRUE,
          unit_details[Property Name], $F100,
          unit_details[Beds], $L100,
          unit_details[Baths], $M100,
          unit_details[Partial Baths], IF(ISNUMBER($N100),$N100,""),
          unit_details[Sqft],$P100
)),"")</f>
        <v/>
      </c>
      <c r="AI100" s="6" t="str">
        <f>IFERROR(IF($F100="Total",
         SUMPRODUCT(
         INDEX(AI:AI, ROW()-COUNTIF($F$6:INDEX($F:$F, ROW()-1), $F99)) : INDEX(AI:AI, ROW()-1),
         INDEX(AB:AB, ROW()-COUNTIF($F$6:INDEX($F:$F, ROW()-1), $F99)) : INDEX(AB:AB, ROW()-1)
         )
         /SUM(INDEX(AB:AB, ROW()-COUNTIF($F$6:INDEX($F:$F, ROW()-1), $F99)) : INDEX(AB:AB, ROW()-1)),
           AVERAGEIFS(unit_details[Effective PSF],
          unit_details[Active Listing?],TRUE,
          unit_details[Property Name], $F100,
          unit_details[Beds], $L100,
          unit_details[Baths], $M100,
          unit_details[Partial Baths], IF(ISNUMBER($N100),$N100,""),
          unit_details[Sqft],$P100
)),"")</f>
        <v/>
      </c>
      <c r="AJ100" s="824" t="str">
        <f t="shared" si="15"/>
        <v/>
      </c>
      <c r="AK100" s="531" t="str">
        <f t="shared" si="16"/>
        <v/>
      </c>
      <c r="AL100" s="714" t="str">
        <f t="shared" si="17"/>
        <v/>
      </c>
      <c r="AM100" s="531" t="str">
        <f t="shared" si="18"/>
        <v/>
      </c>
      <c r="AN100" s="716" t="str">
        <f t="shared" si="19"/>
        <v/>
      </c>
    </row>
    <row r="101" spans="6:40" x14ac:dyDescent="0.2">
      <c r="F101" s="1" t="str">
        <f t="shared" si="12"/>
        <v/>
      </c>
      <c r="G101" s="713" t="str">
        <f t="shared" si="20"/>
        <v/>
      </c>
      <c r="H101" s="17" t="str">
        <f>IFERROR(VLOOKUP($G101,Table1[[Property]:[Exposure %]],4,0),"")</f>
        <v/>
      </c>
      <c r="I101" s="3" t="str">
        <f>IFERROR(VLOOKUP($G101,Table1[[Property]:[Exposure %]],6,0),"")</f>
        <v/>
      </c>
      <c r="J101" s="3" t="str">
        <f>IFERROR(VLOOKUP($G101,Table1[[Property]:[Exposure %]],7,0),"")</f>
        <v/>
      </c>
      <c r="K101"/>
      <c r="L101"/>
      <c r="M101"/>
      <c r="N101"/>
      <c r="O101"/>
      <c r="P101"/>
      <c r="Q101"/>
      <c r="R101" s="4" t="str">
        <f>IFERROR(VLOOKUP(IF(F101="Total",F100,F101),Table1[[Property]:['# Units]],7,0)*S101,"")</f>
        <v/>
      </c>
      <c r="S101" s="27" t="str">
        <f t="shared" si="13"/>
        <v/>
      </c>
      <c r="T101" s="531" t="str">
        <f>IFERROR(
 IF($F101="Total",
   SUMPRODUCT(
   INDEX(T:T, ROW()-COUNTIF($F$6:INDEX($F:$F, ROW()-1), $F100)) : INDEX(T:T, ROW()-1),
   INDEX(W:W, ROW()-COUNTIF($F$6:INDEX($F:$F, ROW()-1), $F100)) : INDEX(W:W, ROW()-1)
   )
   /SUM(INDEX(W:W, ROW()-COUNTIF($F$6:INDEX($F:$F, ROW()-1), $F100)) : INDEX(W:W, ROW()-1)),
   AVERAGEIFS(
     INDEX((unit_details[Asking Rent],unit_details[Asking PSF]),0,1,IF($U$3="Chunk Rent",1,2)),
     unit_details[Leased Date],"&gt;="&amp;($AM$2-T$5),
     unit_details[Leased Date],"&lt;"&amp;$AM$2,
     unit_details[Beds],$L101,
     unit_details[Baths],$M101,
     unit_details[Partial Baths],IF(ISNUMBER($N101),$N101,""),
     unit_details[Sqft],$P101,
     unit_details[Property Name],$F101)
 ),"")</f>
        <v/>
      </c>
      <c r="U101" s="552" t="str">
        <f>IFERROR(
 IF($F101="Total",
   SUMPRODUCT(
   INDEX(U:U, ROW()-COUNTIF($F$6:INDEX($F:$F, ROW()-1), $F100)) : INDEX(U:U, ROW()-1),
   INDEX(W:W, ROW()-COUNTIF($F$6:INDEX($F:$F, ROW()-1), $F100)) : INDEX(W:W, ROW()-1)
   )
   /SUM(INDEX(W:W, ROW()-COUNTIF($F$6:INDEX($F:$F, ROW()-1), $F100)) : INDEX(W:W, ROW()-1)),
   AVERAGEIFS(
     INDEX((unit_details[Effective Rent],unit_details[Effective PSF]),0,1,IF($U$3="Chunk Rent",1,2)),
     unit_details[Leased Date],"&gt;="&amp;($AM$2-T$5),
     unit_details[Leased Date],"&lt;"&amp;$AM$2,
     unit_details[Beds],$L101,
     unit_details[Baths],$M101,
     unit_details[Partial Baths],IF(ISNUMBER($N101),$N101,""),
     unit_details[Sqft],$P101,
     unit_details[Property Name],$F101)
 ),"")</f>
        <v/>
      </c>
      <c r="V101" s="27" t="str">
        <f t="shared" si="21"/>
        <v/>
      </c>
      <c r="W101" s="526">
        <f>IFERROR(
  IF($F101="Total",
    SUM(INDEX(W:W, ROW()-COUNTIF($F$6:INDEX($F:$F, ROW()-1), $F100)) : INDEX(W:W, ROW()-1)),
    COUNTIFS(
      unit_details[Leased Date], "&gt;="&amp;($AM$2-T$5),
      unit_details[Leased Date], "&lt;"&amp;$AM$2,
      unit_details[Beds], $L101,
      unit_details[Baths], $M101,
      unit_details[Partial Baths], IF(ISNUMBER($N101), $N101, ""),
      unit_details[Sqft],$P101,
      unit_details[Property Name], $F101
    )
  ),
"")</f>
        <v>0</v>
      </c>
      <c r="X101" s="531" t="str">
        <f>IFERROR(
 IF($F101="Total",
   SUMPRODUCT(
   INDEX(X:X, ROW()-COUNTIF($F$6:INDEX($F:$F, ROW()-1), $F100)) : INDEX(X:X, ROW()-1),
   INDEX(AA:AA, ROW()-COUNTIF($F$6:INDEX($F:$F, ROW()-1), $F100)) : INDEX(AA:AA, ROW()-1)
   )
   /SUM(INDEX(AA:AA, ROW()-COUNTIF($F$6:INDEX($F:$F, ROW()-1), $F100)) : INDEX(AA:AA, ROW()-1)),
   AVERAGEIFS(
     INDEX((unit_details[Asking Rent],unit_details[Asking PSF]),0,1,IF($U$3="Chunk Rent",1,2)),
     unit_details[Leased Date],"&gt;="&amp;($AM$2-X$5),
     unit_details[Leased Date],"&lt;"&amp;$AM$2,
     unit_details[Beds],$L101,
     unit_details[Baths],$M101,
     unit_details[Partial Baths],IF(ISNUMBER($N101),$N101,""),
     unit_details[Sqft],$P101,
     unit_details[Property Name],$F101)
 ),"")</f>
        <v/>
      </c>
      <c r="Y101" s="552" t="str">
        <f>IFERROR(
 IF($F101="Total",
   SUMPRODUCT(
   INDEX(Y:Y, ROW()-COUNTIF($F$6:INDEX($F:$F, ROW()-1), $F100)) : INDEX(Y:Y, ROW()-1),
   INDEX(AA:AA, ROW()-COUNTIF($F$6:INDEX($F:$F, ROW()-1), $F100)) : INDEX(AA:AA, ROW()-1)
   )
   /SUM(INDEX(AA:AA, ROW()-COUNTIF($F$6:INDEX($F:$F, ROW()-1), $F100)) : INDEX(AA:AA, ROW()-1)),
   AVERAGEIFS(
     INDEX((unit_details[Effective Rent],unit_details[Effective PSF]),0,1,IF($U$3="Chunk Rent",1,2)),
     unit_details[Leased Date],"&gt;="&amp;($AM$2-X$5),
     unit_details[Leased Date],"&lt;"&amp;$AM$2,
     unit_details[Beds],$L101,
     unit_details[Baths],$M101,
     unit_details[Partial Baths],IF(ISNUMBER($N101),$N101,""),
     unit_details[Sqft],$P101,
     unit_details[Property Name],$F101)
 ),"")</f>
        <v/>
      </c>
      <c r="Z101" s="27" t="str">
        <f t="shared" si="22"/>
        <v/>
      </c>
      <c r="AA101" s="526">
        <f>IFERROR(
  IF($F101="Total",
    SUM(INDEX(AA:AA, ROW()-COUNTIF($F$6:INDEX($F:$F, ROW()-1), $F100)) : INDEX(AA:AA, ROW()-1)),
    COUNTIFS(
      unit_details[Leased Date], "&gt;="&amp;($AM$2-X$5),
      unit_details[Leased Date], "&lt;"&amp;$AM$2,
      unit_details[Beds], $L101,
      unit_details[Baths], $M101,
      unit_details[Partial Baths], IF(ISNUMBER($N101), $N101, ""),
      unit_details[Sqft],$P101,
      unit_details[Property Name], $F101
    )
  ),
"")</f>
        <v>0</v>
      </c>
      <c r="AB101" s="290">
        <f>IF($F101="Total",
SUM(INDEX(AB:AB, ROW()-COUNTIF($F$6:INDEX($F:$F, ROW()-1), $F100)) : INDEX(AB:AB, ROW()-1)),
COUNTIFS(unit_details[Active Listing?],TRUE,
          unit_details[Property Name], $F101,
          unit_details[Beds], $L101,
          unit_details[Baths], $M101,
          unit_details[Partial Baths],IF(ISNUMBER($N101),$N101,""),
          unit_details[Sqft],$P101))</f>
        <v>0</v>
      </c>
      <c r="AC101" s="27" t="str">
        <f t="shared" si="14"/>
        <v/>
      </c>
      <c r="AD101" s="293" t="str">
        <f>IFERROR(IF(AE101="","",IF($F101="Total",
SUMPRODUCT(
   INDEX(AD:AD, ROW()-COUNTIF($F$6:INDEX($F:$F, ROW()-1), $F100)) : INDEX(AD:AD, ROW()-1),
   INDEX(AB:AB, ROW()-COUNTIF($F$6:INDEX($F:$F, ROW()-1), $F100)) : INDEX(AB:AB, ROW()-1)
   )
   /SUM(INDEX(AB:AB, ROW()-COUNTIF($F$6:INDEX($F:$F, ROW()-1), $F100)) : INDEX(AB:AB, ROW()-1)),
          _xlfn.MINIFS(unit_details[Asking Rent],
          unit_details[Active Listing?],TRUE,
          unit_details[Property Name], $F101,
          unit_details[Beds], $L101,
          unit_details[Baths], $M101,
          unit_details[Partial Baths], IF(ISNUMBER($N101),$N101,""),
          unit_details[Sqft],$P101
))),"")</f>
        <v/>
      </c>
      <c r="AE101" s="5" t="str">
        <f>IFERROR(IF($F101="Total",
          SUMPRODUCT(
   INDEX(AE:AE, ROW()-COUNTIF($F$6:INDEX($F:$F, ROW()-1), $F100)) : INDEX(AE:AE, ROW()-1),
   INDEX(AB:AB, ROW()-COUNTIF($F$6:INDEX($F:$F, ROW()-1), $F100)) : INDEX(AB:AB, ROW()-1)
   )
   /SUM(INDEX(AB:AB, ROW()-COUNTIF($F$6:INDEX($F:$F, ROW()-1), $F100)) : INDEX(AB:AB, ROW()-1)),
          AVERAGEIFS(unit_details[Asking Rent],
          unit_details[Active Listing?],TRUE,
          unit_details[Property Name], $F101,
          unit_details[Beds], $L101,
          unit_details[Baths], $M101,
          unit_details[Partial Baths], IF(ISNUMBER($N101),$N101,""),
          unit_details[Sqft],$P101
)),"")</f>
        <v/>
      </c>
      <c r="AF101" s="5" t="str">
        <f>IFERROR(IF(AE101="","",IF($F101="Total",
SUMPRODUCT(
   INDEX(AF:AF, ROW()-COUNTIF($F$6:INDEX($F:$F, ROW()-1), $F100)) : INDEX(AF:AF, ROW()-1),
   INDEX(AB:AB, ROW()-COUNTIF($F$6:INDEX($F:$F, ROW()-1), $F100)) : INDEX(AB:AB, ROW()-1)
   )
   /SUM(INDEX(AB:AB, ROW()-COUNTIF($F$6:INDEX($F:$F, ROW()-1), $F100)) : INDEX(AB:AB, ROW()-1)),
           _xlfn.MAXIFS(unit_details[Asking Rent],
          unit_details[Active Listing?],TRUE,
          unit_details[Property Name], $F101,
          unit_details[Beds], $L101,
          unit_details[Baths], $M101,
          unit_details[Partial Baths], IF(ISNUMBER($N101),$N101,""),
          unit_details[Sqft],$P101
))),"")</f>
        <v/>
      </c>
      <c r="AG101" s="6" t="str">
        <f>IFERROR(IF($F101="Total",
         SUMPRODUCT(
         INDEX(AG:AG, ROW()-COUNTIF($F$6:INDEX($F:$F, ROW()-1), $F100)) : INDEX(AG:AG, ROW()-1),
         INDEX(AB:AB, ROW()-COUNTIF($F$6:INDEX($F:$F, ROW()-1), $F100)) : INDEX(AB:AB, ROW()-1)
         )
         /SUM(INDEX(AB:AB, ROW()-COUNTIF($F$6:INDEX($F:$F, ROW()-1), $F100)) : INDEX(AB:AB, ROW()-1)),
          AVERAGEIFS(unit_details[Asking PSF],
          unit_details[Active Listing?],TRUE,
          unit_details[Property Name], $F101,
          unit_details[Beds], $L101,
          unit_details[Baths], $M101,
          unit_details[Partial Baths], IF(ISNUMBER($N101),$N101,""),
          unit_details[Sqft],$P101
)),"")</f>
        <v/>
      </c>
      <c r="AH101" s="293" t="str">
        <f>IFERROR(IF($F101="Total",
         SUMPRODUCT(
         INDEX(AH:AH, ROW()-COUNTIF($F$6:INDEX($F:$F, ROW()-1), $F100)) : INDEX(AH:AH, ROW()-1),
         INDEX(AB:AB, ROW()-COUNTIF($F$6:INDEX($F:$F, ROW()-1), $F100)) : INDEX(AB:AB, ROW()-1)
         )
         /SUM(INDEX(AB:AB, ROW()-COUNTIF($F$6:INDEX($F:$F, ROW()-1), $F100)) : INDEX(AB:AB, ROW()-1)),
          AVERAGEIFS(unit_details[Effective Rent],
          unit_details[Active Listing?],TRUE,
          unit_details[Property Name], $F101,
          unit_details[Beds], $L101,
          unit_details[Baths], $M101,
          unit_details[Partial Baths], IF(ISNUMBER($N101),$N101,""),
          unit_details[Sqft],$P101
)),"")</f>
        <v/>
      </c>
      <c r="AI101" s="6" t="str">
        <f>IFERROR(IF($F101="Total",
         SUMPRODUCT(
         INDEX(AI:AI, ROW()-COUNTIF($F$6:INDEX($F:$F, ROW()-1), $F100)) : INDEX(AI:AI, ROW()-1),
         INDEX(AB:AB, ROW()-COUNTIF($F$6:INDEX($F:$F, ROW()-1), $F100)) : INDEX(AB:AB, ROW()-1)
         )
         /SUM(INDEX(AB:AB, ROW()-COUNTIF($F$6:INDEX($F:$F, ROW()-1), $F100)) : INDEX(AB:AB, ROW()-1)),
           AVERAGEIFS(unit_details[Effective PSF],
          unit_details[Active Listing?],TRUE,
          unit_details[Property Name], $F101,
          unit_details[Beds], $L101,
          unit_details[Baths], $M101,
          unit_details[Partial Baths], IF(ISNUMBER($N101),$N101,""),
          unit_details[Sqft],$P101
)),"")</f>
        <v/>
      </c>
      <c r="AJ101" s="824" t="str">
        <f t="shared" si="15"/>
        <v/>
      </c>
      <c r="AK101" s="531" t="str">
        <f t="shared" si="16"/>
        <v/>
      </c>
      <c r="AL101" s="714" t="str">
        <f t="shared" si="17"/>
        <v/>
      </c>
      <c r="AM101" s="531" t="str">
        <f t="shared" si="18"/>
        <v/>
      </c>
      <c r="AN101" s="716" t="str">
        <f t="shared" si="19"/>
        <v/>
      </c>
    </row>
    <row r="102" spans="6:40" x14ac:dyDescent="0.2">
      <c r="F102" s="1" t="str">
        <f t="shared" si="12"/>
        <v/>
      </c>
      <c r="G102" s="713" t="str">
        <f t="shared" si="20"/>
        <v/>
      </c>
      <c r="H102" s="17" t="str">
        <f>IFERROR(VLOOKUP($G102,Table1[[Property]:[Exposure %]],4,0),"")</f>
        <v/>
      </c>
      <c r="I102" s="3" t="str">
        <f>IFERROR(VLOOKUP($G102,Table1[[Property]:[Exposure %]],6,0),"")</f>
        <v/>
      </c>
      <c r="J102" s="3" t="str">
        <f>IFERROR(VLOOKUP($G102,Table1[[Property]:[Exposure %]],7,0),"")</f>
        <v/>
      </c>
      <c r="K102"/>
      <c r="L102"/>
      <c r="M102"/>
      <c r="N102"/>
      <c r="O102"/>
      <c r="P102"/>
      <c r="Q102"/>
      <c r="R102" s="4" t="str">
        <f>IFERROR(VLOOKUP(IF(F102="Total",F101,F102),Table1[[Property]:['# Units]],7,0)*S102,"")</f>
        <v/>
      </c>
      <c r="S102" s="27" t="str">
        <f t="shared" si="13"/>
        <v/>
      </c>
      <c r="T102" s="531" t="str">
        <f>IFERROR(
 IF($F102="Total",
   SUMPRODUCT(
   INDEX(T:T, ROW()-COUNTIF($F$6:INDEX($F:$F, ROW()-1), $F101)) : INDEX(T:T, ROW()-1),
   INDEX(W:W, ROW()-COUNTIF($F$6:INDEX($F:$F, ROW()-1), $F101)) : INDEX(W:W, ROW()-1)
   )
   /SUM(INDEX(W:W, ROW()-COUNTIF($F$6:INDEX($F:$F, ROW()-1), $F101)) : INDEX(W:W, ROW()-1)),
   AVERAGEIFS(
     INDEX((unit_details[Asking Rent],unit_details[Asking PSF]),0,1,IF($U$3="Chunk Rent",1,2)),
     unit_details[Leased Date],"&gt;="&amp;($AM$2-T$5),
     unit_details[Leased Date],"&lt;"&amp;$AM$2,
     unit_details[Beds],$L102,
     unit_details[Baths],$M102,
     unit_details[Partial Baths],IF(ISNUMBER($N102),$N102,""),
     unit_details[Sqft],$P102,
     unit_details[Property Name],$F102)
 ),"")</f>
        <v/>
      </c>
      <c r="U102" s="552" t="str">
        <f>IFERROR(
 IF($F102="Total",
   SUMPRODUCT(
   INDEX(U:U, ROW()-COUNTIF($F$6:INDEX($F:$F, ROW()-1), $F101)) : INDEX(U:U, ROW()-1),
   INDEX(W:W, ROW()-COUNTIF($F$6:INDEX($F:$F, ROW()-1), $F101)) : INDEX(W:W, ROW()-1)
   )
   /SUM(INDEX(W:W, ROW()-COUNTIF($F$6:INDEX($F:$F, ROW()-1), $F101)) : INDEX(W:W, ROW()-1)),
   AVERAGEIFS(
     INDEX((unit_details[Effective Rent],unit_details[Effective PSF]),0,1,IF($U$3="Chunk Rent",1,2)),
     unit_details[Leased Date],"&gt;="&amp;($AM$2-T$5),
     unit_details[Leased Date],"&lt;"&amp;$AM$2,
     unit_details[Beds],$L102,
     unit_details[Baths],$M102,
     unit_details[Partial Baths],IF(ISNUMBER($N102),$N102,""),
     unit_details[Sqft],$P102,
     unit_details[Property Name],$F102)
 ),"")</f>
        <v/>
      </c>
      <c r="V102" s="27" t="str">
        <f t="shared" si="21"/>
        <v/>
      </c>
      <c r="W102" s="526">
        <f>IFERROR(
  IF($F102="Total",
    SUM(INDEX(W:W, ROW()-COUNTIF($F$6:INDEX($F:$F, ROW()-1), $F101)) : INDEX(W:W, ROW()-1)),
    COUNTIFS(
      unit_details[Leased Date], "&gt;="&amp;($AM$2-T$5),
      unit_details[Leased Date], "&lt;"&amp;$AM$2,
      unit_details[Beds], $L102,
      unit_details[Baths], $M102,
      unit_details[Partial Baths], IF(ISNUMBER($N102), $N102, ""),
      unit_details[Sqft],$P102,
      unit_details[Property Name], $F102
    )
  ),
"")</f>
        <v>0</v>
      </c>
      <c r="X102" s="531" t="str">
        <f>IFERROR(
 IF($F102="Total",
   SUMPRODUCT(
   INDEX(X:X, ROW()-COUNTIF($F$6:INDEX($F:$F, ROW()-1), $F101)) : INDEX(X:X, ROW()-1),
   INDEX(AA:AA, ROW()-COUNTIF($F$6:INDEX($F:$F, ROW()-1), $F101)) : INDEX(AA:AA, ROW()-1)
   )
   /SUM(INDEX(AA:AA, ROW()-COUNTIF($F$6:INDEX($F:$F, ROW()-1), $F101)) : INDEX(AA:AA, ROW()-1)),
   AVERAGEIFS(
     INDEX((unit_details[Asking Rent],unit_details[Asking PSF]),0,1,IF($U$3="Chunk Rent",1,2)),
     unit_details[Leased Date],"&gt;="&amp;($AM$2-X$5),
     unit_details[Leased Date],"&lt;"&amp;$AM$2,
     unit_details[Beds],$L102,
     unit_details[Baths],$M102,
     unit_details[Partial Baths],IF(ISNUMBER($N102),$N102,""),
     unit_details[Sqft],$P102,
     unit_details[Property Name],$F102)
 ),"")</f>
        <v/>
      </c>
      <c r="Y102" s="552" t="str">
        <f>IFERROR(
 IF($F102="Total",
   SUMPRODUCT(
   INDEX(Y:Y, ROW()-COUNTIF($F$6:INDEX($F:$F, ROW()-1), $F101)) : INDEX(Y:Y, ROW()-1),
   INDEX(AA:AA, ROW()-COUNTIF($F$6:INDEX($F:$F, ROW()-1), $F101)) : INDEX(AA:AA, ROW()-1)
   )
   /SUM(INDEX(AA:AA, ROW()-COUNTIF($F$6:INDEX($F:$F, ROW()-1), $F101)) : INDEX(AA:AA, ROW()-1)),
   AVERAGEIFS(
     INDEX((unit_details[Effective Rent],unit_details[Effective PSF]),0,1,IF($U$3="Chunk Rent",1,2)),
     unit_details[Leased Date],"&gt;="&amp;($AM$2-X$5),
     unit_details[Leased Date],"&lt;"&amp;$AM$2,
     unit_details[Beds],$L102,
     unit_details[Baths],$M102,
     unit_details[Partial Baths],IF(ISNUMBER($N102),$N102,""),
     unit_details[Sqft],$P102,
     unit_details[Property Name],$F102)
 ),"")</f>
        <v/>
      </c>
      <c r="Z102" s="27" t="str">
        <f t="shared" si="22"/>
        <v/>
      </c>
      <c r="AA102" s="526">
        <f>IFERROR(
  IF($F102="Total",
    SUM(INDEX(AA:AA, ROW()-COUNTIF($F$6:INDEX($F:$F, ROW()-1), $F101)) : INDEX(AA:AA, ROW()-1)),
    COUNTIFS(
      unit_details[Leased Date], "&gt;="&amp;($AM$2-X$5),
      unit_details[Leased Date], "&lt;"&amp;$AM$2,
      unit_details[Beds], $L102,
      unit_details[Baths], $M102,
      unit_details[Partial Baths], IF(ISNUMBER($N102), $N102, ""),
      unit_details[Sqft],$P102,
      unit_details[Property Name], $F102
    )
  ),
"")</f>
        <v>0</v>
      </c>
      <c r="AB102" s="290">
        <f>IF($F102="Total",
SUM(INDEX(AB:AB, ROW()-COUNTIF($F$6:INDEX($F:$F, ROW()-1), $F101)) : INDEX(AB:AB, ROW()-1)),
COUNTIFS(unit_details[Active Listing?],TRUE,
          unit_details[Property Name], $F102,
          unit_details[Beds], $L102,
          unit_details[Baths], $M102,
          unit_details[Partial Baths],IF(ISNUMBER($N102),$N102,""),
          unit_details[Sqft],$P102))</f>
        <v>0</v>
      </c>
      <c r="AC102" s="27" t="str">
        <f t="shared" si="14"/>
        <v/>
      </c>
      <c r="AD102" s="293" t="str">
        <f>IFERROR(IF(AE102="","",IF($F102="Total",
SUMPRODUCT(
   INDEX(AD:AD, ROW()-COUNTIF($F$6:INDEX($F:$F, ROW()-1), $F101)) : INDEX(AD:AD, ROW()-1),
   INDEX(AB:AB, ROW()-COUNTIF($F$6:INDEX($F:$F, ROW()-1), $F101)) : INDEX(AB:AB, ROW()-1)
   )
   /SUM(INDEX(AB:AB, ROW()-COUNTIF($F$6:INDEX($F:$F, ROW()-1), $F101)) : INDEX(AB:AB, ROW()-1)),
          _xlfn.MINIFS(unit_details[Asking Rent],
          unit_details[Active Listing?],TRUE,
          unit_details[Property Name], $F102,
          unit_details[Beds], $L102,
          unit_details[Baths], $M102,
          unit_details[Partial Baths], IF(ISNUMBER($N102),$N102,""),
          unit_details[Sqft],$P102
))),"")</f>
        <v/>
      </c>
      <c r="AE102" s="5" t="str">
        <f>IFERROR(IF($F102="Total",
          SUMPRODUCT(
   INDEX(AE:AE, ROW()-COUNTIF($F$6:INDEX($F:$F, ROW()-1), $F101)) : INDEX(AE:AE, ROW()-1),
   INDEX(AB:AB, ROW()-COUNTIF($F$6:INDEX($F:$F, ROW()-1), $F101)) : INDEX(AB:AB, ROW()-1)
   )
   /SUM(INDEX(AB:AB, ROW()-COUNTIF($F$6:INDEX($F:$F, ROW()-1), $F101)) : INDEX(AB:AB, ROW()-1)),
          AVERAGEIFS(unit_details[Asking Rent],
          unit_details[Active Listing?],TRUE,
          unit_details[Property Name], $F102,
          unit_details[Beds], $L102,
          unit_details[Baths], $M102,
          unit_details[Partial Baths], IF(ISNUMBER($N102),$N102,""),
          unit_details[Sqft],$P102
)),"")</f>
        <v/>
      </c>
      <c r="AF102" s="5" t="str">
        <f>IFERROR(IF(AE102="","",IF($F102="Total",
SUMPRODUCT(
   INDEX(AF:AF, ROW()-COUNTIF($F$6:INDEX($F:$F, ROW()-1), $F101)) : INDEX(AF:AF, ROW()-1),
   INDEX(AB:AB, ROW()-COUNTIF($F$6:INDEX($F:$F, ROW()-1), $F101)) : INDEX(AB:AB, ROW()-1)
   )
   /SUM(INDEX(AB:AB, ROW()-COUNTIF($F$6:INDEX($F:$F, ROW()-1), $F101)) : INDEX(AB:AB, ROW()-1)),
           _xlfn.MAXIFS(unit_details[Asking Rent],
          unit_details[Active Listing?],TRUE,
          unit_details[Property Name], $F102,
          unit_details[Beds], $L102,
          unit_details[Baths], $M102,
          unit_details[Partial Baths], IF(ISNUMBER($N102),$N102,""),
          unit_details[Sqft],$P102
))),"")</f>
        <v/>
      </c>
      <c r="AG102" s="6" t="str">
        <f>IFERROR(IF($F102="Total",
         SUMPRODUCT(
         INDEX(AG:AG, ROW()-COUNTIF($F$6:INDEX($F:$F, ROW()-1), $F101)) : INDEX(AG:AG, ROW()-1),
         INDEX(AB:AB, ROW()-COUNTIF($F$6:INDEX($F:$F, ROW()-1), $F101)) : INDEX(AB:AB, ROW()-1)
         )
         /SUM(INDEX(AB:AB, ROW()-COUNTIF($F$6:INDEX($F:$F, ROW()-1), $F101)) : INDEX(AB:AB, ROW()-1)),
          AVERAGEIFS(unit_details[Asking PSF],
          unit_details[Active Listing?],TRUE,
          unit_details[Property Name], $F102,
          unit_details[Beds], $L102,
          unit_details[Baths], $M102,
          unit_details[Partial Baths], IF(ISNUMBER($N102),$N102,""),
          unit_details[Sqft],$P102
)),"")</f>
        <v/>
      </c>
      <c r="AH102" s="293" t="str">
        <f>IFERROR(IF($F102="Total",
         SUMPRODUCT(
         INDEX(AH:AH, ROW()-COUNTIF($F$6:INDEX($F:$F, ROW()-1), $F101)) : INDEX(AH:AH, ROW()-1),
         INDEX(AB:AB, ROW()-COUNTIF($F$6:INDEX($F:$F, ROW()-1), $F101)) : INDEX(AB:AB, ROW()-1)
         )
         /SUM(INDEX(AB:AB, ROW()-COUNTIF($F$6:INDEX($F:$F, ROW()-1), $F101)) : INDEX(AB:AB, ROW()-1)),
          AVERAGEIFS(unit_details[Effective Rent],
          unit_details[Active Listing?],TRUE,
          unit_details[Property Name], $F102,
          unit_details[Beds], $L102,
          unit_details[Baths], $M102,
          unit_details[Partial Baths], IF(ISNUMBER($N102),$N102,""),
          unit_details[Sqft],$P102
)),"")</f>
        <v/>
      </c>
      <c r="AI102" s="6" t="str">
        <f>IFERROR(IF($F102="Total",
         SUMPRODUCT(
         INDEX(AI:AI, ROW()-COUNTIF($F$6:INDEX($F:$F, ROW()-1), $F101)) : INDEX(AI:AI, ROW()-1),
         INDEX(AB:AB, ROW()-COUNTIF($F$6:INDEX($F:$F, ROW()-1), $F101)) : INDEX(AB:AB, ROW()-1)
         )
         /SUM(INDEX(AB:AB, ROW()-COUNTIF($F$6:INDEX($F:$F, ROW()-1), $F101)) : INDEX(AB:AB, ROW()-1)),
           AVERAGEIFS(unit_details[Effective PSF],
          unit_details[Active Listing?],TRUE,
          unit_details[Property Name], $F102,
          unit_details[Beds], $L102,
          unit_details[Baths], $M102,
          unit_details[Partial Baths], IF(ISNUMBER($N102),$N102,""),
          unit_details[Sqft],$P102
)),"")</f>
        <v/>
      </c>
      <c r="AJ102" s="824" t="str">
        <f t="shared" si="15"/>
        <v/>
      </c>
      <c r="AK102" s="531" t="str">
        <f t="shared" si="16"/>
        <v/>
      </c>
      <c r="AL102" s="714" t="str">
        <f t="shared" si="17"/>
        <v/>
      </c>
      <c r="AM102" s="531" t="str">
        <f t="shared" si="18"/>
        <v/>
      </c>
      <c r="AN102" s="716" t="str">
        <f t="shared" si="19"/>
        <v/>
      </c>
    </row>
    <row r="103" spans="6:40" x14ac:dyDescent="0.2">
      <c r="F103" s="1" t="str">
        <f t="shared" si="12"/>
        <v/>
      </c>
      <c r="G103" s="713" t="str">
        <f t="shared" si="20"/>
        <v/>
      </c>
      <c r="H103" s="17" t="str">
        <f>IFERROR(VLOOKUP($G103,Table1[[Property]:[Exposure %]],4,0),"")</f>
        <v/>
      </c>
      <c r="I103" s="3" t="str">
        <f>IFERROR(VLOOKUP($G103,Table1[[Property]:[Exposure %]],6,0),"")</f>
        <v/>
      </c>
      <c r="J103" s="3" t="str">
        <f>IFERROR(VLOOKUP($G103,Table1[[Property]:[Exposure %]],7,0),"")</f>
        <v/>
      </c>
      <c r="K103"/>
      <c r="L103"/>
      <c r="M103"/>
      <c r="N103"/>
      <c r="O103"/>
      <c r="P103"/>
      <c r="Q103"/>
      <c r="R103" s="4" t="str">
        <f>IFERROR(VLOOKUP(IF(F103="Total",F102,F103),Table1[[Property]:['# Units]],7,0)*S103,"")</f>
        <v/>
      </c>
      <c r="S103" s="27" t="str">
        <f t="shared" si="13"/>
        <v/>
      </c>
      <c r="T103" s="531" t="str">
        <f>IFERROR(
 IF($F103="Total",
   SUMPRODUCT(
   INDEX(T:T, ROW()-COUNTIF($F$6:INDEX($F:$F, ROW()-1), $F102)) : INDEX(T:T, ROW()-1),
   INDEX(W:W, ROW()-COUNTIF($F$6:INDEX($F:$F, ROW()-1), $F102)) : INDEX(W:W, ROW()-1)
   )
   /SUM(INDEX(W:W, ROW()-COUNTIF($F$6:INDEX($F:$F, ROW()-1), $F102)) : INDEX(W:W, ROW()-1)),
   AVERAGEIFS(
     INDEX((unit_details[Asking Rent],unit_details[Asking PSF]),0,1,IF($U$3="Chunk Rent",1,2)),
     unit_details[Leased Date],"&gt;="&amp;($AM$2-T$5),
     unit_details[Leased Date],"&lt;"&amp;$AM$2,
     unit_details[Beds],$L103,
     unit_details[Baths],$M103,
     unit_details[Partial Baths],IF(ISNUMBER($N103),$N103,""),
     unit_details[Sqft],$P103,
     unit_details[Property Name],$F103)
 ),"")</f>
        <v/>
      </c>
      <c r="U103" s="552" t="str">
        <f>IFERROR(
 IF($F103="Total",
   SUMPRODUCT(
   INDEX(U:U, ROW()-COUNTIF($F$6:INDEX($F:$F, ROW()-1), $F102)) : INDEX(U:U, ROW()-1),
   INDEX(W:W, ROW()-COUNTIF($F$6:INDEX($F:$F, ROW()-1), $F102)) : INDEX(W:W, ROW()-1)
   )
   /SUM(INDEX(W:W, ROW()-COUNTIF($F$6:INDEX($F:$F, ROW()-1), $F102)) : INDEX(W:W, ROW()-1)),
   AVERAGEIFS(
     INDEX((unit_details[Effective Rent],unit_details[Effective PSF]),0,1,IF($U$3="Chunk Rent",1,2)),
     unit_details[Leased Date],"&gt;="&amp;($AM$2-T$5),
     unit_details[Leased Date],"&lt;"&amp;$AM$2,
     unit_details[Beds],$L103,
     unit_details[Baths],$M103,
     unit_details[Partial Baths],IF(ISNUMBER($N103),$N103,""),
     unit_details[Sqft],$P103,
     unit_details[Property Name],$F103)
 ),"")</f>
        <v/>
      </c>
      <c r="V103" s="27" t="str">
        <f t="shared" si="21"/>
        <v/>
      </c>
      <c r="W103" s="526">
        <f>IFERROR(
  IF($F103="Total",
    SUM(INDEX(W:W, ROW()-COUNTIF($F$6:INDEX($F:$F, ROW()-1), $F102)) : INDEX(W:W, ROW()-1)),
    COUNTIFS(
      unit_details[Leased Date], "&gt;="&amp;($AM$2-T$5),
      unit_details[Leased Date], "&lt;"&amp;$AM$2,
      unit_details[Beds], $L103,
      unit_details[Baths], $M103,
      unit_details[Partial Baths], IF(ISNUMBER($N103), $N103, ""),
      unit_details[Sqft],$P103,
      unit_details[Property Name], $F103
    )
  ),
"")</f>
        <v>0</v>
      </c>
      <c r="X103" s="531" t="str">
        <f>IFERROR(
 IF($F103="Total",
   SUMPRODUCT(
   INDEX(X:X, ROW()-COUNTIF($F$6:INDEX($F:$F, ROW()-1), $F102)) : INDEX(X:X, ROW()-1),
   INDEX(AA:AA, ROW()-COUNTIF($F$6:INDEX($F:$F, ROW()-1), $F102)) : INDEX(AA:AA, ROW()-1)
   )
   /SUM(INDEX(AA:AA, ROW()-COUNTIF($F$6:INDEX($F:$F, ROW()-1), $F102)) : INDEX(AA:AA, ROW()-1)),
   AVERAGEIFS(
     INDEX((unit_details[Asking Rent],unit_details[Asking PSF]),0,1,IF($U$3="Chunk Rent",1,2)),
     unit_details[Leased Date],"&gt;="&amp;($AM$2-X$5),
     unit_details[Leased Date],"&lt;"&amp;$AM$2,
     unit_details[Beds],$L103,
     unit_details[Baths],$M103,
     unit_details[Partial Baths],IF(ISNUMBER($N103),$N103,""),
     unit_details[Sqft],$P103,
     unit_details[Property Name],$F103)
 ),"")</f>
        <v/>
      </c>
      <c r="Y103" s="552" t="str">
        <f>IFERROR(
 IF($F103="Total",
   SUMPRODUCT(
   INDEX(Y:Y, ROW()-COUNTIF($F$6:INDEX($F:$F, ROW()-1), $F102)) : INDEX(Y:Y, ROW()-1),
   INDEX(AA:AA, ROW()-COUNTIF($F$6:INDEX($F:$F, ROW()-1), $F102)) : INDEX(AA:AA, ROW()-1)
   )
   /SUM(INDEX(AA:AA, ROW()-COUNTIF($F$6:INDEX($F:$F, ROW()-1), $F102)) : INDEX(AA:AA, ROW()-1)),
   AVERAGEIFS(
     INDEX((unit_details[Effective Rent],unit_details[Effective PSF]),0,1,IF($U$3="Chunk Rent",1,2)),
     unit_details[Leased Date],"&gt;="&amp;($AM$2-X$5),
     unit_details[Leased Date],"&lt;"&amp;$AM$2,
     unit_details[Beds],$L103,
     unit_details[Baths],$M103,
     unit_details[Partial Baths],IF(ISNUMBER($N103),$N103,""),
     unit_details[Sqft],$P103,
     unit_details[Property Name],$F103)
 ),"")</f>
        <v/>
      </c>
      <c r="Z103" s="27" t="str">
        <f t="shared" si="22"/>
        <v/>
      </c>
      <c r="AA103" s="526">
        <f>IFERROR(
  IF($F103="Total",
    SUM(INDEX(AA:AA, ROW()-COUNTIF($F$6:INDEX($F:$F, ROW()-1), $F102)) : INDEX(AA:AA, ROW()-1)),
    COUNTIFS(
      unit_details[Leased Date], "&gt;="&amp;($AM$2-X$5),
      unit_details[Leased Date], "&lt;"&amp;$AM$2,
      unit_details[Beds], $L103,
      unit_details[Baths], $M103,
      unit_details[Partial Baths], IF(ISNUMBER($N103), $N103, ""),
      unit_details[Sqft],$P103,
      unit_details[Property Name], $F103
    )
  ),
"")</f>
        <v>0</v>
      </c>
      <c r="AB103" s="290">
        <f>IF($F103="Total",
SUM(INDEX(AB:AB, ROW()-COUNTIF($F$6:INDEX($F:$F, ROW()-1), $F102)) : INDEX(AB:AB, ROW()-1)),
COUNTIFS(unit_details[Active Listing?],TRUE,
          unit_details[Property Name], $F103,
          unit_details[Beds], $L103,
          unit_details[Baths], $M103,
          unit_details[Partial Baths],IF(ISNUMBER($N103),$N103,""),
          unit_details[Sqft],$P103))</f>
        <v>0</v>
      </c>
      <c r="AC103" s="27" t="str">
        <f t="shared" si="14"/>
        <v/>
      </c>
      <c r="AD103" s="293" t="str">
        <f>IFERROR(IF(AE103="","",IF($F103="Total",
SUMPRODUCT(
   INDEX(AD:AD, ROW()-COUNTIF($F$6:INDEX($F:$F, ROW()-1), $F102)) : INDEX(AD:AD, ROW()-1),
   INDEX(AB:AB, ROW()-COUNTIF($F$6:INDEX($F:$F, ROW()-1), $F102)) : INDEX(AB:AB, ROW()-1)
   )
   /SUM(INDEX(AB:AB, ROW()-COUNTIF($F$6:INDEX($F:$F, ROW()-1), $F102)) : INDEX(AB:AB, ROW()-1)),
          _xlfn.MINIFS(unit_details[Asking Rent],
          unit_details[Active Listing?],TRUE,
          unit_details[Property Name], $F103,
          unit_details[Beds], $L103,
          unit_details[Baths], $M103,
          unit_details[Partial Baths], IF(ISNUMBER($N103),$N103,""),
          unit_details[Sqft],$P103
))),"")</f>
        <v/>
      </c>
      <c r="AE103" s="5" t="str">
        <f>IFERROR(IF($F103="Total",
          SUMPRODUCT(
   INDEX(AE:AE, ROW()-COUNTIF($F$6:INDEX($F:$F, ROW()-1), $F102)) : INDEX(AE:AE, ROW()-1),
   INDEX(AB:AB, ROW()-COUNTIF($F$6:INDEX($F:$F, ROW()-1), $F102)) : INDEX(AB:AB, ROW()-1)
   )
   /SUM(INDEX(AB:AB, ROW()-COUNTIF($F$6:INDEX($F:$F, ROW()-1), $F102)) : INDEX(AB:AB, ROW()-1)),
          AVERAGEIFS(unit_details[Asking Rent],
          unit_details[Active Listing?],TRUE,
          unit_details[Property Name], $F103,
          unit_details[Beds], $L103,
          unit_details[Baths], $M103,
          unit_details[Partial Baths], IF(ISNUMBER($N103),$N103,""),
          unit_details[Sqft],$P103
)),"")</f>
        <v/>
      </c>
      <c r="AF103" s="5" t="str">
        <f>IFERROR(IF(AE103="","",IF($F103="Total",
SUMPRODUCT(
   INDEX(AF:AF, ROW()-COUNTIF($F$6:INDEX($F:$F, ROW()-1), $F102)) : INDEX(AF:AF, ROW()-1),
   INDEX(AB:AB, ROW()-COUNTIF($F$6:INDEX($F:$F, ROW()-1), $F102)) : INDEX(AB:AB, ROW()-1)
   )
   /SUM(INDEX(AB:AB, ROW()-COUNTIF($F$6:INDEX($F:$F, ROW()-1), $F102)) : INDEX(AB:AB, ROW()-1)),
           _xlfn.MAXIFS(unit_details[Asking Rent],
          unit_details[Active Listing?],TRUE,
          unit_details[Property Name], $F103,
          unit_details[Beds], $L103,
          unit_details[Baths], $M103,
          unit_details[Partial Baths], IF(ISNUMBER($N103),$N103,""),
          unit_details[Sqft],$P103
))),"")</f>
        <v/>
      </c>
      <c r="AG103" s="6" t="str">
        <f>IFERROR(IF($F103="Total",
         SUMPRODUCT(
         INDEX(AG:AG, ROW()-COUNTIF($F$6:INDEX($F:$F, ROW()-1), $F102)) : INDEX(AG:AG, ROW()-1),
         INDEX(AB:AB, ROW()-COUNTIF($F$6:INDEX($F:$F, ROW()-1), $F102)) : INDEX(AB:AB, ROW()-1)
         )
         /SUM(INDEX(AB:AB, ROW()-COUNTIF($F$6:INDEX($F:$F, ROW()-1), $F102)) : INDEX(AB:AB, ROW()-1)),
          AVERAGEIFS(unit_details[Asking PSF],
          unit_details[Active Listing?],TRUE,
          unit_details[Property Name], $F103,
          unit_details[Beds], $L103,
          unit_details[Baths], $M103,
          unit_details[Partial Baths], IF(ISNUMBER($N103),$N103,""),
          unit_details[Sqft],$P103
)),"")</f>
        <v/>
      </c>
      <c r="AH103" s="293" t="str">
        <f>IFERROR(IF($F103="Total",
         SUMPRODUCT(
         INDEX(AH:AH, ROW()-COUNTIF($F$6:INDEX($F:$F, ROW()-1), $F102)) : INDEX(AH:AH, ROW()-1),
         INDEX(AB:AB, ROW()-COUNTIF($F$6:INDEX($F:$F, ROW()-1), $F102)) : INDEX(AB:AB, ROW()-1)
         )
         /SUM(INDEX(AB:AB, ROW()-COUNTIF($F$6:INDEX($F:$F, ROW()-1), $F102)) : INDEX(AB:AB, ROW()-1)),
          AVERAGEIFS(unit_details[Effective Rent],
          unit_details[Active Listing?],TRUE,
          unit_details[Property Name], $F103,
          unit_details[Beds], $L103,
          unit_details[Baths], $M103,
          unit_details[Partial Baths], IF(ISNUMBER($N103),$N103,""),
          unit_details[Sqft],$P103
)),"")</f>
        <v/>
      </c>
      <c r="AI103" s="6" t="str">
        <f>IFERROR(IF($F103="Total",
         SUMPRODUCT(
         INDEX(AI:AI, ROW()-COUNTIF($F$6:INDEX($F:$F, ROW()-1), $F102)) : INDEX(AI:AI, ROW()-1),
         INDEX(AB:AB, ROW()-COUNTIF($F$6:INDEX($F:$F, ROW()-1), $F102)) : INDEX(AB:AB, ROW()-1)
         )
         /SUM(INDEX(AB:AB, ROW()-COUNTIF($F$6:INDEX($F:$F, ROW()-1), $F102)) : INDEX(AB:AB, ROW()-1)),
           AVERAGEIFS(unit_details[Effective PSF],
          unit_details[Active Listing?],TRUE,
          unit_details[Property Name], $F103,
          unit_details[Beds], $L103,
          unit_details[Baths], $M103,
          unit_details[Partial Baths], IF(ISNUMBER($N103),$N103,""),
          unit_details[Sqft],$P103
)),"")</f>
        <v/>
      </c>
      <c r="AJ103" s="824" t="str">
        <f t="shared" si="15"/>
        <v/>
      </c>
      <c r="AK103" s="531" t="str">
        <f t="shared" si="16"/>
        <v/>
      </c>
      <c r="AL103" s="714" t="str">
        <f t="shared" si="17"/>
        <v/>
      </c>
      <c r="AM103" s="531" t="str">
        <f t="shared" si="18"/>
        <v/>
      </c>
      <c r="AN103" s="716" t="str">
        <f t="shared" si="19"/>
        <v/>
      </c>
    </row>
    <row r="104" spans="6:40" x14ac:dyDescent="0.2">
      <c r="F104" s="1" t="str">
        <f t="shared" si="12"/>
        <v/>
      </c>
      <c r="G104" s="713" t="str">
        <f t="shared" si="20"/>
        <v/>
      </c>
      <c r="H104" s="17" t="str">
        <f>IFERROR(VLOOKUP($G104,Table1[[Property]:[Exposure %]],4,0),"")</f>
        <v/>
      </c>
      <c r="I104" s="3" t="str">
        <f>IFERROR(VLOOKUP($G104,Table1[[Property]:[Exposure %]],6,0),"")</f>
        <v/>
      </c>
      <c r="J104" s="3" t="str">
        <f>IFERROR(VLOOKUP($G104,Table1[[Property]:[Exposure %]],7,0),"")</f>
        <v/>
      </c>
      <c r="K104"/>
      <c r="L104"/>
      <c r="M104"/>
      <c r="N104"/>
      <c r="O104"/>
      <c r="P104"/>
      <c r="Q104"/>
      <c r="R104" s="4" t="str">
        <f>IFERROR(VLOOKUP(IF(F104="Total",F103,F104),Table1[[Property]:['# Units]],7,0)*S104,"")</f>
        <v/>
      </c>
      <c r="S104" s="27" t="str">
        <f t="shared" si="13"/>
        <v/>
      </c>
      <c r="T104" s="531" t="str">
        <f>IFERROR(
 IF($F104="Total",
   SUMPRODUCT(
   INDEX(T:T, ROW()-COUNTIF($F$6:INDEX($F:$F, ROW()-1), $F103)) : INDEX(T:T, ROW()-1),
   INDEX(W:W, ROW()-COUNTIF($F$6:INDEX($F:$F, ROW()-1), $F103)) : INDEX(W:W, ROW()-1)
   )
   /SUM(INDEX(W:W, ROW()-COUNTIF($F$6:INDEX($F:$F, ROW()-1), $F103)) : INDEX(W:W, ROW()-1)),
   AVERAGEIFS(
     INDEX((unit_details[Asking Rent],unit_details[Asking PSF]),0,1,IF($U$3="Chunk Rent",1,2)),
     unit_details[Leased Date],"&gt;="&amp;($AM$2-T$5),
     unit_details[Leased Date],"&lt;"&amp;$AM$2,
     unit_details[Beds],$L104,
     unit_details[Baths],$M104,
     unit_details[Partial Baths],IF(ISNUMBER($N104),$N104,""),
     unit_details[Sqft],$P104,
     unit_details[Property Name],$F104)
 ),"")</f>
        <v/>
      </c>
      <c r="U104" s="552" t="str">
        <f>IFERROR(
 IF($F104="Total",
   SUMPRODUCT(
   INDEX(U:U, ROW()-COUNTIF($F$6:INDEX($F:$F, ROW()-1), $F103)) : INDEX(U:U, ROW()-1),
   INDEX(W:W, ROW()-COUNTIF($F$6:INDEX($F:$F, ROW()-1), $F103)) : INDEX(W:W, ROW()-1)
   )
   /SUM(INDEX(W:W, ROW()-COUNTIF($F$6:INDEX($F:$F, ROW()-1), $F103)) : INDEX(W:W, ROW()-1)),
   AVERAGEIFS(
     INDEX((unit_details[Effective Rent],unit_details[Effective PSF]),0,1,IF($U$3="Chunk Rent",1,2)),
     unit_details[Leased Date],"&gt;="&amp;($AM$2-T$5),
     unit_details[Leased Date],"&lt;"&amp;$AM$2,
     unit_details[Beds],$L104,
     unit_details[Baths],$M104,
     unit_details[Partial Baths],IF(ISNUMBER($N104),$N104,""),
     unit_details[Sqft],$P104,
     unit_details[Property Name],$F104)
 ),"")</f>
        <v/>
      </c>
      <c r="V104" s="27" t="str">
        <f t="shared" si="21"/>
        <v/>
      </c>
      <c r="W104" s="526">
        <f>IFERROR(
  IF($F104="Total",
    SUM(INDEX(W:W, ROW()-COUNTIF($F$6:INDEX($F:$F, ROW()-1), $F103)) : INDEX(W:W, ROW()-1)),
    COUNTIFS(
      unit_details[Leased Date], "&gt;="&amp;($AM$2-T$5),
      unit_details[Leased Date], "&lt;"&amp;$AM$2,
      unit_details[Beds], $L104,
      unit_details[Baths], $M104,
      unit_details[Partial Baths], IF(ISNUMBER($N104), $N104, ""),
      unit_details[Sqft],$P104,
      unit_details[Property Name], $F104
    )
  ),
"")</f>
        <v>0</v>
      </c>
      <c r="X104" s="531" t="str">
        <f>IFERROR(
 IF($F104="Total",
   SUMPRODUCT(
   INDEX(X:X, ROW()-COUNTIF($F$6:INDEX($F:$F, ROW()-1), $F103)) : INDEX(X:X, ROW()-1),
   INDEX(AA:AA, ROW()-COUNTIF($F$6:INDEX($F:$F, ROW()-1), $F103)) : INDEX(AA:AA, ROW()-1)
   )
   /SUM(INDEX(AA:AA, ROW()-COUNTIF($F$6:INDEX($F:$F, ROW()-1), $F103)) : INDEX(AA:AA, ROW()-1)),
   AVERAGEIFS(
     INDEX((unit_details[Asking Rent],unit_details[Asking PSF]),0,1,IF($U$3="Chunk Rent",1,2)),
     unit_details[Leased Date],"&gt;="&amp;($AM$2-X$5),
     unit_details[Leased Date],"&lt;"&amp;$AM$2,
     unit_details[Beds],$L104,
     unit_details[Baths],$M104,
     unit_details[Partial Baths],IF(ISNUMBER($N104),$N104,""),
     unit_details[Sqft],$P104,
     unit_details[Property Name],$F104)
 ),"")</f>
        <v/>
      </c>
      <c r="Y104" s="552" t="str">
        <f>IFERROR(
 IF($F104="Total",
   SUMPRODUCT(
   INDEX(Y:Y, ROW()-COUNTIF($F$6:INDEX($F:$F, ROW()-1), $F103)) : INDEX(Y:Y, ROW()-1),
   INDEX(AA:AA, ROW()-COUNTIF($F$6:INDEX($F:$F, ROW()-1), $F103)) : INDEX(AA:AA, ROW()-1)
   )
   /SUM(INDEX(AA:AA, ROW()-COUNTIF($F$6:INDEX($F:$F, ROW()-1), $F103)) : INDEX(AA:AA, ROW()-1)),
   AVERAGEIFS(
     INDEX((unit_details[Effective Rent],unit_details[Effective PSF]),0,1,IF($U$3="Chunk Rent",1,2)),
     unit_details[Leased Date],"&gt;="&amp;($AM$2-X$5),
     unit_details[Leased Date],"&lt;"&amp;$AM$2,
     unit_details[Beds],$L104,
     unit_details[Baths],$M104,
     unit_details[Partial Baths],IF(ISNUMBER($N104),$N104,""),
     unit_details[Sqft],$P104,
     unit_details[Property Name],$F104)
 ),"")</f>
        <v/>
      </c>
      <c r="Z104" s="27" t="str">
        <f t="shared" si="22"/>
        <v/>
      </c>
      <c r="AA104" s="526">
        <f>IFERROR(
  IF($F104="Total",
    SUM(INDEX(AA:AA, ROW()-COUNTIF($F$6:INDEX($F:$F, ROW()-1), $F103)) : INDEX(AA:AA, ROW()-1)),
    COUNTIFS(
      unit_details[Leased Date], "&gt;="&amp;($AM$2-X$5),
      unit_details[Leased Date], "&lt;"&amp;$AM$2,
      unit_details[Beds], $L104,
      unit_details[Baths], $M104,
      unit_details[Partial Baths], IF(ISNUMBER($N104), $N104, ""),
      unit_details[Sqft],$P104,
      unit_details[Property Name], $F104
    )
  ),
"")</f>
        <v>0</v>
      </c>
      <c r="AB104" s="290">
        <f>IF($F104="Total",
SUM(INDEX(AB:AB, ROW()-COUNTIF($F$6:INDEX($F:$F, ROW()-1), $F103)) : INDEX(AB:AB, ROW()-1)),
COUNTIFS(unit_details[Active Listing?],TRUE,
          unit_details[Property Name], $F104,
          unit_details[Beds], $L104,
          unit_details[Baths], $M104,
          unit_details[Partial Baths],IF(ISNUMBER($N104),$N104,""),
          unit_details[Sqft],$P104))</f>
        <v>0</v>
      </c>
      <c r="AC104" s="27" t="str">
        <f t="shared" si="14"/>
        <v/>
      </c>
      <c r="AD104" s="293" t="str">
        <f>IFERROR(IF(AE104="","",IF($F104="Total",
SUMPRODUCT(
   INDEX(AD:AD, ROW()-COUNTIF($F$6:INDEX($F:$F, ROW()-1), $F103)) : INDEX(AD:AD, ROW()-1),
   INDEX(AB:AB, ROW()-COUNTIF($F$6:INDEX($F:$F, ROW()-1), $F103)) : INDEX(AB:AB, ROW()-1)
   )
   /SUM(INDEX(AB:AB, ROW()-COUNTIF($F$6:INDEX($F:$F, ROW()-1), $F103)) : INDEX(AB:AB, ROW()-1)),
          _xlfn.MINIFS(unit_details[Asking Rent],
          unit_details[Active Listing?],TRUE,
          unit_details[Property Name], $F104,
          unit_details[Beds], $L104,
          unit_details[Baths], $M104,
          unit_details[Partial Baths], IF(ISNUMBER($N104),$N104,""),
          unit_details[Sqft],$P104
))),"")</f>
        <v/>
      </c>
      <c r="AE104" s="5" t="str">
        <f>IFERROR(IF($F104="Total",
          SUMPRODUCT(
   INDEX(AE:AE, ROW()-COUNTIF($F$6:INDEX($F:$F, ROW()-1), $F103)) : INDEX(AE:AE, ROW()-1),
   INDEX(AB:AB, ROW()-COUNTIF($F$6:INDEX($F:$F, ROW()-1), $F103)) : INDEX(AB:AB, ROW()-1)
   )
   /SUM(INDEX(AB:AB, ROW()-COUNTIF($F$6:INDEX($F:$F, ROW()-1), $F103)) : INDEX(AB:AB, ROW()-1)),
          AVERAGEIFS(unit_details[Asking Rent],
          unit_details[Active Listing?],TRUE,
          unit_details[Property Name], $F104,
          unit_details[Beds], $L104,
          unit_details[Baths], $M104,
          unit_details[Partial Baths], IF(ISNUMBER($N104),$N104,""),
          unit_details[Sqft],$P104
)),"")</f>
        <v/>
      </c>
      <c r="AF104" s="5" t="str">
        <f>IFERROR(IF(AE104="","",IF($F104="Total",
SUMPRODUCT(
   INDEX(AF:AF, ROW()-COUNTIF($F$6:INDEX($F:$F, ROW()-1), $F103)) : INDEX(AF:AF, ROW()-1),
   INDEX(AB:AB, ROW()-COUNTIF($F$6:INDEX($F:$F, ROW()-1), $F103)) : INDEX(AB:AB, ROW()-1)
   )
   /SUM(INDEX(AB:AB, ROW()-COUNTIF($F$6:INDEX($F:$F, ROW()-1), $F103)) : INDEX(AB:AB, ROW()-1)),
           _xlfn.MAXIFS(unit_details[Asking Rent],
          unit_details[Active Listing?],TRUE,
          unit_details[Property Name], $F104,
          unit_details[Beds], $L104,
          unit_details[Baths], $M104,
          unit_details[Partial Baths], IF(ISNUMBER($N104),$N104,""),
          unit_details[Sqft],$P104
))),"")</f>
        <v/>
      </c>
      <c r="AG104" s="6" t="str">
        <f>IFERROR(IF($F104="Total",
         SUMPRODUCT(
         INDEX(AG:AG, ROW()-COUNTIF($F$6:INDEX($F:$F, ROW()-1), $F103)) : INDEX(AG:AG, ROW()-1),
         INDEX(AB:AB, ROW()-COUNTIF($F$6:INDEX($F:$F, ROW()-1), $F103)) : INDEX(AB:AB, ROW()-1)
         )
         /SUM(INDEX(AB:AB, ROW()-COUNTIF($F$6:INDEX($F:$F, ROW()-1), $F103)) : INDEX(AB:AB, ROW()-1)),
          AVERAGEIFS(unit_details[Asking PSF],
          unit_details[Active Listing?],TRUE,
          unit_details[Property Name], $F104,
          unit_details[Beds], $L104,
          unit_details[Baths], $M104,
          unit_details[Partial Baths], IF(ISNUMBER($N104),$N104,""),
          unit_details[Sqft],$P104
)),"")</f>
        <v/>
      </c>
      <c r="AH104" s="293" t="str">
        <f>IFERROR(IF($F104="Total",
         SUMPRODUCT(
         INDEX(AH:AH, ROW()-COUNTIF($F$6:INDEX($F:$F, ROW()-1), $F103)) : INDEX(AH:AH, ROW()-1),
         INDEX(AB:AB, ROW()-COUNTIF($F$6:INDEX($F:$F, ROW()-1), $F103)) : INDEX(AB:AB, ROW()-1)
         )
         /SUM(INDEX(AB:AB, ROW()-COUNTIF($F$6:INDEX($F:$F, ROW()-1), $F103)) : INDEX(AB:AB, ROW()-1)),
          AVERAGEIFS(unit_details[Effective Rent],
          unit_details[Active Listing?],TRUE,
          unit_details[Property Name], $F104,
          unit_details[Beds], $L104,
          unit_details[Baths], $M104,
          unit_details[Partial Baths], IF(ISNUMBER($N104),$N104,""),
          unit_details[Sqft],$P104
)),"")</f>
        <v/>
      </c>
      <c r="AI104" s="6" t="str">
        <f>IFERROR(IF($F104="Total",
         SUMPRODUCT(
         INDEX(AI:AI, ROW()-COUNTIF($F$6:INDEX($F:$F, ROW()-1), $F103)) : INDEX(AI:AI, ROW()-1),
         INDEX(AB:AB, ROW()-COUNTIF($F$6:INDEX($F:$F, ROW()-1), $F103)) : INDEX(AB:AB, ROW()-1)
         )
         /SUM(INDEX(AB:AB, ROW()-COUNTIF($F$6:INDEX($F:$F, ROW()-1), $F103)) : INDEX(AB:AB, ROW()-1)),
           AVERAGEIFS(unit_details[Effective PSF],
          unit_details[Active Listing?],TRUE,
          unit_details[Property Name], $F104,
          unit_details[Beds], $L104,
          unit_details[Baths], $M104,
          unit_details[Partial Baths], IF(ISNUMBER($N104),$N104,""),
          unit_details[Sqft],$P104
)),"")</f>
        <v/>
      </c>
      <c r="AJ104" s="824" t="str">
        <f t="shared" si="15"/>
        <v/>
      </c>
      <c r="AK104" s="531" t="str">
        <f t="shared" si="16"/>
        <v/>
      </c>
      <c r="AL104" s="714" t="str">
        <f t="shared" si="17"/>
        <v/>
      </c>
      <c r="AM104" s="531" t="str">
        <f t="shared" si="18"/>
        <v/>
      </c>
      <c r="AN104" s="716" t="str">
        <f t="shared" si="19"/>
        <v/>
      </c>
    </row>
    <row r="105" spans="6:40" x14ac:dyDescent="0.2">
      <c r="F105" s="1" t="str">
        <f t="shared" si="12"/>
        <v/>
      </c>
      <c r="G105" s="713" t="str">
        <f t="shared" si="20"/>
        <v/>
      </c>
      <c r="H105" s="17" t="str">
        <f>IFERROR(VLOOKUP($G105,Table1[[Property]:[Exposure %]],4,0),"")</f>
        <v/>
      </c>
      <c r="I105" s="3" t="str">
        <f>IFERROR(VLOOKUP($G105,Table1[[Property]:[Exposure %]],6,0),"")</f>
        <v/>
      </c>
      <c r="J105" s="3" t="str">
        <f>IFERROR(VLOOKUP($G105,Table1[[Property]:[Exposure %]],7,0),"")</f>
        <v/>
      </c>
      <c r="K105"/>
      <c r="L105"/>
      <c r="M105"/>
      <c r="N105"/>
      <c r="O105"/>
      <c r="P105"/>
      <c r="Q105"/>
      <c r="R105" s="4" t="str">
        <f>IFERROR(VLOOKUP(IF(F105="Total",F104,F105),Table1[[Property]:['# Units]],7,0)*S105,"")</f>
        <v/>
      </c>
      <c r="S105" s="27" t="str">
        <f t="shared" si="13"/>
        <v/>
      </c>
      <c r="T105" s="531" t="str">
        <f>IFERROR(
 IF($F105="Total",
   SUMPRODUCT(
   INDEX(T:T, ROW()-COUNTIF($F$6:INDEX($F:$F, ROW()-1), $F104)) : INDEX(T:T, ROW()-1),
   INDEX(W:W, ROW()-COUNTIF($F$6:INDEX($F:$F, ROW()-1), $F104)) : INDEX(W:W, ROW()-1)
   )
   /SUM(INDEX(W:W, ROW()-COUNTIF($F$6:INDEX($F:$F, ROW()-1), $F104)) : INDEX(W:W, ROW()-1)),
   AVERAGEIFS(
     INDEX((unit_details[Asking Rent],unit_details[Asking PSF]),0,1,IF($U$3="Chunk Rent",1,2)),
     unit_details[Leased Date],"&gt;="&amp;($AM$2-T$5),
     unit_details[Leased Date],"&lt;"&amp;$AM$2,
     unit_details[Beds],$L105,
     unit_details[Baths],$M105,
     unit_details[Partial Baths],IF(ISNUMBER($N105),$N105,""),
     unit_details[Sqft],$P105,
     unit_details[Property Name],$F105)
 ),"")</f>
        <v/>
      </c>
      <c r="U105" s="552" t="str">
        <f>IFERROR(
 IF($F105="Total",
   SUMPRODUCT(
   INDEX(U:U, ROW()-COUNTIF($F$6:INDEX($F:$F, ROW()-1), $F104)) : INDEX(U:U, ROW()-1),
   INDEX(W:W, ROW()-COUNTIF($F$6:INDEX($F:$F, ROW()-1), $F104)) : INDEX(W:W, ROW()-1)
   )
   /SUM(INDEX(W:W, ROW()-COUNTIF($F$6:INDEX($F:$F, ROW()-1), $F104)) : INDEX(W:W, ROW()-1)),
   AVERAGEIFS(
     INDEX((unit_details[Effective Rent],unit_details[Effective PSF]),0,1,IF($U$3="Chunk Rent",1,2)),
     unit_details[Leased Date],"&gt;="&amp;($AM$2-T$5),
     unit_details[Leased Date],"&lt;"&amp;$AM$2,
     unit_details[Beds],$L105,
     unit_details[Baths],$M105,
     unit_details[Partial Baths],IF(ISNUMBER($N105),$N105,""),
     unit_details[Sqft],$P105,
     unit_details[Property Name],$F105)
 ),"")</f>
        <v/>
      </c>
      <c r="V105" s="27" t="str">
        <f t="shared" si="21"/>
        <v/>
      </c>
      <c r="W105" s="526">
        <f>IFERROR(
  IF($F105="Total",
    SUM(INDEX(W:W, ROW()-COUNTIF($F$6:INDEX($F:$F, ROW()-1), $F104)) : INDEX(W:W, ROW()-1)),
    COUNTIFS(
      unit_details[Leased Date], "&gt;="&amp;($AM$2-T$5),
      unit_details[Leased Date], "&lt;"&amp;$AM$2,
      unit_details[Beds], $L105,
      unit_details[Baths], $M105,
      unit_details[Partial Baths], IF(ISNUMBER($N105), $N105, ""),
      unit_details[Sqft],$P105,
      unit_details[Property Name], $F105
    )
  ),
"")</f>
        <v>0</v>
      </c>
      <c r="X105" s="531" t="str">
        <f>IFERROR(
 IF($F105="Total",
   SUMPRODUCT(
   INDEX(X:X, ROW()-COUNTIF($F$6:INDEX($F:$F, ROW()-1), $F104)) : INDEX(X:X, ROW()-1),
   INDEX(AA:AA, ROW()-COUNTIF($F$6:INDEX($F:$F, ROW()-1), $F104)) : INDEX(AA:AA, ROW()-1)
   )
   /SUM(INDEX(AA:AA, ROW()-COUNTIF($F$6:INDEX($F:$F, ROW()-1), $F104)) : INDEX(AA:AA, ROW()-1)),
   AVERAGEIFS(
     INDEX((unit_details[Asking Rent],unit_details[Asking PSF]),0,1,IF($U$3="Chunk Rent",1,2)),
     unit_details[Leased Date],"&gt;="&amp;($AM$2-X$5),
     unit_details[Leased Date],"&lt;"&amp;$AM$2,
     unit_details[Beds],$L105,
     unit_details[Baths],$M105,
     unit_details[Partial Baths],IF(ISNUMBER($N105),$N105,""),
     unit_details[Sqft],$P105,
     unit_details[Property Name],$F105)
 ),"")</f>
        <v/>
      </c>
      <c r="Y105" s="552" t="str">
        <f>IFERROR(
 IF($F105="Total",
   SUMPRODUCT(
   INDEX(Y:Y, ROW()-COUNTIF($F$6:INDEX($F:$F, ROW()-1), $F104)) : INDEX(Y:Y, ROW()-1),
   INDEX(AA:AA, ROW()-COUNTIF($F$6:INDEX($F:$F, ROW()-1), $F104)) : INDEX(AA:AA, ROW()-1)
   )
   /SUM(INDEX(AA:AA, ROW()-COUNTIF($F$6:INDEX($F:$F, ROW()-1), $F104)) : INDEX(AA:AA, ROW()-1)),
   AVERAGEIFS(
     INDEX((unit_details[Effective Rent],unit_details[Effective PSF]),0,1,IF($U$3="Chunk Rent",1,2)),
     unit_details[Leased Date],"&gt;="&amp;($AM$2-X$5),
     unit_details[Leased Date],"&lt;"&amp;$AM$2,
     unit_details[Beds],$L105,
     unit_details[Baths],$M105,
     unit_details[Partial Baths],IF(ISNUMBER($N105),$N105,""),
     unit_details[Sqft],$P105,
     unit_details[Property Name],$F105)
 ),"")</f>
        <v/>
      </c>
      <c r="Z105" s="27" t="str">
        <f t="shared" si="22"/>
        <v/>
      </c>
      <c r="AA105" s="526">
        <f>IFERROR(
  IF($F105="Total",
    SUM(INDEX(AA:AA, ROW()-COUNTIF($F$6:INDEX($F:$F, ROW()-1), $F104)) : INDEX(AA:AA, ROW()-1)),
    COUNTIFS(
      unit_details[Leased Date], "&gt;="&amp;($AM$2-X$5),
      unit_details[Leased Date], "&lt;"&amp;$AM$2,
      unit_details[Beds], $L105,
      unit_details[Baths], $M105,
      unit_details[Partial Baths], IF(ISNUMBER($N105), $N105, ""),
      unit_details[Sqft],$P105,
      unit_details[Property Name], $F105
    )
  ),
"")</f>
        <v>0</v>
      </c>
      <c r="AB105" s="290">
        <f>IF($F105="Total",
SUM(INDEX(AB:AB, ROW()-COUNTIF($F$6:INDEX($F:$F, ROW()-1), $F104)) : INDEX(AB:AB, ROW()-1)),
COUNTIFS(unit_details[Active Listing?],TRUE,
          unit_details[Property Name], $F105,
          unit_details[Beds], $L105,
          unit_details[Baths], $M105,
          unit_details[Partial Baths],IF(ISNUMBER($N105),$N105,""),
          unit_details[Sqft],$P105))</f>
        <v>0</v>
      </c>
      <c r="AC105" s="27" t="str">
        <f t="shared" si="14"/>
        <v/>
      </c>
      <c r="AD105" s="293" t="str">
        <f>IFERROR(IF(AE105="","",IF($F105="Total",
SUMPRODUCT(
   INDEX(AD:AD, ROW()-COUNTIF($F$6:INDEX($F:$F, ROW()-1), $F104)) : INDEX(AD:AD, ROW()-1),
   INDEX(AB:AB, ROW()-COUNTIF($F$6:INDEX($F:$F, ROW()-1), $F104)) : INDEX(AB:AB, ROW()-1)
   )
   /SUM(INDEX(AB:AB, ROW()-COUNTIF($F$6:INDEX($F:$F, ROW()-1), $F104)) : INDEX(AB:AB, ROW()-1)),
          _xlfn.MINIFS(unit_details[Asking Rent],
          unit_details[Active Listing?],TRUE,
          unit_details[Property Name], $F105,
          unit_details[Beds], $L105,
          unit_details[Baths], $M105,
          unit_details[Partial Baths], IF(ISNUMBER($N105),$N105,""),
          unit_details[Sqft],$P105
))),"")</f>
        <v/>
      </c>
      <c r="AE105" s="5" t="str">
        <f>IFERROR(IF($F105="Total",
          SUMPRODUCT(
   INDEX(AE:AE, ROW()-COUNTIF($F$6:INDEX($F:$F, ROW()-1), $F104)) : INDEX(AE:AE, ROW()-1),
   INDEX(AB:AB, ROW()-COUNTIF($F$6:INDEX($F:$F, ROW()-1), $F104)) : INDEX(AB:AB, ROW()-1)
   )
   /SUM(INDEX(AB:AB, ROW()-COUNTIF($F$6:INDEX($F:$F, ROW()-1), $F104)) : INDEX(AB:AB, ROW()-1)),
          AVERAGEIFS(unit_details[Asking Rent],
          unit_details[Active Listing?],TRUE,
          unit_details[Property Name], $F105,
          unit_details[Beds], $L105,
          unit_details[Baths], $M105,
          unit_details[Partial Baths], IF(ISNUMBER($N105),$N105,""),
          unit_details[Sqft],$P105
)),"")</f>
        <v/>
      </c>
      <c r="AF105" s="5" t="str">
        <f>IFERROR(IF(AE105="","",IF($F105="Total",
SUMPRODUCT(
   INDEX(AF:AF, ROW()-COUNTIF($F$6:INDEX($F:$F, ROW()-1), $F104)) : INDEX(AF:AF, ROW()-1),
   INDEX(AB:AB, ROW()-COUNTIF($F$6:INDEX($F:$F, ROW()-1), $F104)) : INDEX(AB:AB, ROW()-1)
   )
   /SUM(INDEX(AB:AB, ROW()-COUNTIF($F$6:INDEX($F:$F, ROW()-1), $F104)) : INDEX(AB:AB, ROW()-1)),
           _xlfn.MAXIFS(unit_details[Asking Rent],
          unit_details[Active Listing?],TRUE,
          unit_details[Property Name], $F105,
          unit_details[Beds], $L105,
          unit_details[Baths], $M105,
          unit_details[Partial Baths], IF(ISNUMBER($N105),$N105,""),
          unit_details[Sqft],$P105
))),"")</f>
        <v/>
      </c>
      <c r="AG105" s="6" t="str">
        <f>IFERROR(IF($F105="Total",
         SUMPRODUCT(
         INDEX(AG:AG, ROW()-COUNTIF($F$6:INDEX($F:$F, ROW()-1), $F104)) : INDEX(AG:AG, ROW()-1),
         INDEX(AB:AB, ROW()-COUNTIF($F$6:INDEX($F:$F, ROW()-1), $F104)) : INDEX(AB:AB, ROW()-1)
         )
         /SUM(INDEX(AB:AB, ROW()-COUNTIF($F$6:INDEX($F:$F, ROW()-1), $F104)) : INDEX(AB:AB, ROW()-1)),
          AVERAGEIFS(unit_details[Asking PSF],
          unit_details[Active Listing?],TRUE,
          unit_details[Property Name], $F105,
          unit_details[Beds], $L105,
          unit_details[Baths], $M105,
          unit_details[Partial Baths], IF(ISNUMBER($N105),$N105,""),
          unit_details[Sqft],$P105
)),"")</f>
        <v/>
      </c>
      <c r="AH105" s="293" t="str">
        <f>IFERROR(IF($F105="Total",
         SUMPRODUCT(
         INDEX(AH:AH, ROW()-COUNTIF($F$6:INDEX($F:$F, ROW()-1), $F104)) : INDEX(AH:AH, ROW()-1),
         INDEX(AB:AB, ROW()-COUNTIF($F$6:INDEX($F:$F, ROW()-1), $F104)) : INDEX(AB:AB, ROW()-1)
         )
         /SUM(INDEX(AB:AB, ROW()-COUNTIF($F$6:INDEX($F:$F, ROW()-1), $F104)) : INDEX(AB:AB, ROW()-1)),
          AVERAGEIFS(unit_details[Effective Rent],
          unit_details[Active Listing?],TRUE,
          unit_details[Property Name], $F105,
          unit_details[Beds], $L105,
          unit_details[Baths], $M105,
          unit_details[Partial Baths], IF(ISNUMBER($N105),$N105,""),
          unit_details[Sqft],$P105
)),"")</f>
        <v/>
      </c>
      <c r="AI105" s="6" t="str">
        <f>IFERROR(IF($F105="Total",
         SUMPRODUCT(
         INDEX(AI:AI, ROW()-COUNTIF($F$6:INDEX($F:$F, ROW()-1), $F104)) : INDEX(AI:AI, ROW()-1),
         INDEX(AB:AB, ROW()-COUNTIF($F$6:INDEX($F:$F, ROW()-1), $F104)) : INDEX(AB:AB, ROW()-1)
         )
         /SUM(INDEX(AB:AB, ROW()-COUNTIF($F$6:INDEX($F:$F, ROW()-1), $F104)) : INDEX(AB:AB, ROW()-1)),
           AVERAGEIFS(unit_details[Effective PSF],
          unit_details[Active Listing?],TRUE,
          unit_details[Property Name], $F105,
          unit_details[Beds], $L105,
          unit_details[Baths], $M105,
          unit_details[Partial Baths], IF(ISNUMBER($N105),$N105,""),
          unit_details[Sqft],$P105
)),"")</f>
        <v/>
      </c>
      <c r="AJ105" s="824" t="str">
        <f t="shared" si="15"/>
        <v/>
      </c>
      <c r="AK105" s="531" t="str">
        <f t="shared" si="16"/>
        <v/>
      </c>
      <c r="AL105" s="714" t="str">
        <f t="shared" si="17"/>
        <v/>
      </c>
      <c r="AM105" s="531" t="str">
        <f t="shared" si="18"/>
        <v/>
      </c>
      <c r="AN105" s="716" t="str">
        <f t="shared" si="19"/>
        <v/>
      </c>
    </row>
    <row r="106" spans="6:40" x14ac:dyDescent="0.2">
      <c r="F106" s="1" t="str">
        <f t="shared" si="12"/>
        <v/>
      </c>
      <c r="G106" s="713" t="str">
        <f t="shared" si="20"/>
        <v/>
      </c>
      <c r="H106" s="17" t="str">
        <f>IFERROR(VLOOKUP($G106,Table1[[Property]:[Exposure %]],4,0),"")</f>
        <v/>
      </c>
      <c r="I106" s="3" t="str">
        <f>IFERROR(VLOOKUP($G106,Table1[[Property]:[Exposure %]],6,0),"")</f>
        <v/>
      </c>
      <c r="J106" s="3" t="str">
        <f>IFERROR(VLOOKUP($G106,Table1[[Property]:[Exposure %]],7,0),"")</f>
        <v/>
      </c>
      <c r="K106"/>
      <c r="L106"/>
      <c r="M106"/>
      <c r="N106"/>
      <c r="O106"/>
      <c r="P106"/>
      <c r="Q106"/>
      <c r="R106" s="4" t="str">
        <f>IFERROR(VLOOKUP(IF(F106="Total",F105,F106),Table1[[Property]:['# Units]],7,0)*S106,"")</f>
        <v/>
      </c>
      <c r="S106" s="27" t="str">
        <f t="shared" si="13"/>
        <v/>
      </c>
      <c r="T106" s="531" t="str">
        <f>IFERROR(
 IF($F106="Total",
   SUMPRODUCT(
   INDEX(T:T, ROW()-COUNTIF($F$6:INDEX($F:$F, ROW()-1), $F105)) : INDEX(T:T, ROW()-1),
   INDEX(W:W, ROW()-COUNTIF($F$6:INDEX($F:$F, ROW()-1), $F105)) : INDEX(W:W, ROW()-1)
   )
   /SUM(INDEX(W:W, ROW()-COUNTIF($F$6:INDEX($F:$F, ROW()-1), $F105)) : INDEX(W:W, ROW()-1)),
   AVERAGEIFS(
     INDEX((unit_details[Asking Rent],unit_details[Asking PSF]),0,1,IF($U$3="Chunk Rent",1,2)),
     unit_details[Leased Date],"&gt;="&amp;($AM$2-T$5),
     unit_details[Leased Date],"&lt;"&amp;$AM$2,
     unit_details[Beds],$L106,
     unit_details[Baths],$M106,
     unit_details[Partial Baths],IF(ISNUMBER($N106),$N106,""),
     unit_details[Sqft],$P106,
     unit_details[Property Name],$F106)
 ),"")</f>
        <v/>
      </c>
      <c r="U106" s="552" t="str">
        <f>IFERROR(
 IF($F106="Total",
   SUMPRODUCT(
   INDEX(U:U, ROW()-COUNTIF($F$6:INDEX($F:$F, ROW()-1), $F105)) : INDEX(U:U, ROW()-1),
   INDEX(W:W, ROW()-COUNTIF($F$6:INDEX($F:$F, ROW()-1), $F105)) : INDEX(W:W, ROW()-1)
   )
   /SUM(INDEX(W:W, ROW()-COUNTIF($F$6:INDEX($F:$F, ROW()-1), $F105)) : INDEX(W:W, ROW()-1)),
   AVERAGEIFS(
     INDEX((unit_details[Effective Rent],unit_details[Effective PSF]),0,1,IF($U$3="Chunk Rent",1,2)),
     unit_details[Leased Date],"&gt;="&amp;($AM$2-T$5),
     unit_details[Leased Date],"&lt;"&amp;$AM$2,
     unit_details[Beds],$L106,
     unit_details[Baths],$M106,
     unit_details[Partial Baths],IF(ISNUMBER($N106),$N106,""),
     unit_details[Sqft],$P106,
     unit_details[Property Name],$F106)
 ),"")</f>
        <v/>
      </c>
      <c r="V106" s="27" t="str">
        <f t="shared" si="21"/>
        <v/>
      </c>
      <c r="W106" s="526">
        <f>IFERROR(
  IF($F106="Total",
    SUM(INDEX(W:W, ROW()-COUNTIF($F$6:INDEX($F:$F, ROW()-1), $F105)) : INDEX(W:W, ROW()-1)),
    COUNTIFS(
      unit_details[Leased Date], "&gt;="&amp;($AM$2-T$5),
      unit_details[Leased Date], "&lt;"&amp;$AM$2,
      unit_details[Beds], $L106,
      unit_details[Baths], $M106,
      unit_details[Partial Baths], IF(ISNUMBER($N106), $N106, ""),
      unit_details[Sqft],$P106,
      unit_details[Property Name], $F106
    )
  ),
"")</f>
        <v>0</v>
      </c>
      <c r="X106" s="531" t="str">
        <f>IFERROR(
 IF($F106="Total",
   SUMPRODUCT(
   INDEX(X:X, ROW()-COUNTIF($F$6:INDEX($F:$F, ROW()-1), $F105)) : INDEX(X:X, ROW()-1),
   INDEX(AA:AA, ROW()-COUNTIF($F$6:INDEX($F:$F, ROW()-1), $F105)) : INDEX(AA:AA, ROW()-1)
   )
   /SUM(INDEX(AA:AA, ROW()-COUNTIF($F$6:INDEX($F:$F, ROW()-1), $F105)) : INDEX(AA:AA, ROW()-1)),
   AVERAGEIFS(
     INDEX((unit_details[Asking Rent],unit_details[Asking PSF]),0,1,IF($U$3="Chunk Rent",1,2)),
     unit_details[Leased Date],"&gt;="&amp;($AM$2-X$5),
     unit_details[Leased Date],"&lt;"&amp;$AM$2,
     unit_details[Beds],$L106,
     unit_details[Baths],$M106,
     unit_details[Partial Baths],IF(ISNUMBER($N106),$N106,""),
     unit_details[Sqft],$P106,
     unit_details[Property Name],$F106)
 ),"")</f>
        <v/>
      </c>
      <c r="Y106" s="552" t="str">
        <f>IFERROR(
 IF($F106="Total",
   SUMPRODUCT(
   INDEX(Y:Y, ROW()-COUNTIF($F$6:INDEX($F:$F, ROW()-1), $F105)) : INDEX(Y:Y, ROW()-1),
   INDEX(AA:AA, ROW()-COUNTIF($F$6:INDEX($F:$F, ROW()-1), $F105)) : INDEX(AA:AA, ROW()-1)
   )
   /SUM(INDEX(AA:AA, ROW()-COUNTIF($F$6:INDEX($F:$F, ROW()-1), $F105)) : INDEX(AA:AA, ROW()-1)),
   AVERAGEIFS(
     INDEX((unit_details[Effective Rent],unit_details[Effective PSF]),0,1,IF($U$3="Chunk Rent",1,2)),
     unit_details[Leased Date],"&gt;="&amp;($AM$2-X$5),
     unit_details[Leased Date],"&lt;"&amp;$AM$2,
     unit_details[Beds],$L106,
     unit_details[Baths],$M106,
     unit_details[Partial Baths],IF(ISNUMBER($N106),$N106,""),
     unit_details[Sqft],$P106,
     unit_details[Property Name],$F106)
 ),"")</f>
        <v/>
      </c>
      <c r="Z106" s="27" t="str">
        <f t="shared" si="22"/>
        <v/>
      </c>
      <c r="AA106" s="526">
        <f>IFERROR(
  IF($F106="Total",
    SUM(INDEX(AA:AA, ROW()-COUNTIF($F$6:INDEX($F:$F, ROW()-1), $F105)) : INDEX(AA:AA, ROW()-1)),
    COUNTIFS(
      unit_details[Leased Date], "&gt;="&amp;($AM$2-X$5),
      unit_details[Leased Date], "&lt;"&amp;$AM$2,
      unit_details[Beds], $L106,
      unit_details[Baths], $M106,
      unit_details[Partial Baths], IF(ISNUMBER($N106), $N106, ""),
      unit_details[Sqft],$P106,
      unit_details[Property Name], $F106
    )
  ),
"")</f>
        <v>0</v>
      </c>
      <c r="AB106" s="290">
        <f>IF($F106="Total",
SUM(INDEX(AB:AB, ROW()-COUNTIF($F$6:INDEX($F:$F, ROW()-1), $F105)) : INDEX(AB:AB, ROW()-1)),
COUNTIFS(unit_details[Active Listing?],TRUE,
          unit_details[Property Name], $F106,
          unit_details[Beds], $L106,
          unit_details[Baths], $M106,
          unit_details[Partial Baths],IF(ISNUMBER($N106),$N106,""),
          unit_details[Sqft],$P106))</f>
        <v>0</v>
      </c>
      <c r="AC106" s="27" t="str">
        <f t="shared" si="14"/>
        <v/>
      </c>
      <c r="AD106" s="293" t="str">
        <f>IFERROR(IF(AE106="","",IF($F106="Total",
SUMPRODUCT(
   INDEX(AD:AD, ROW()-COUNTIF($F$6:INDEX($F:$F, ROW()-1), $F105)) : INDEX(AD:AD, ROW()-1),
   INDEX(AB:AB, ROW()-COUNTIF($F$6:INDEX($F:$F, ROW()-1), $F105)) : INDEX(AB:AB, ROW()-1)
   )
   /SUM(INDEX(AB:AB, ROW()-COUNTIF($F$6:INDEX($F:$F, ROW()-1), $F105)) : INDEX(AB:AB, ROW()-1)),
          _xlfn.MINIFS(unit_details[Asking Rent],
          unit_details[Active Listing?],TRUE,
          unit_details[Property Name], $F106,
          unit_details[Beds], $L106,
          unit_details[Baths], $M106,
          unit_details[Partial Baths], IF(ISNUMBER($N106),$N106,""),
          unit_details[Sqft],$P106
))),"")</f>
        <v/>
      </c>
      <c r="AE106" s="5" t="str">
        <f>IFERROR(IF($F106="Total",
          SUMPRODUCT(
   INDEX(AE:AE, ROW()-COUNTIF($F$6:INDEX($F:$F, ROW()-1), $F105)) : INDEX(AE:AE, ROW()-1),
   INDEX(AB:AB, ROW()-COUNTIF($F$6:INDEX($F:$F, ROW()-1), $F105)) : INDEX(AB:AB, ROW()-1)
   )
   /SUM(INDEX(AB:AB, ROW()-COUNTIF($F$6:INDEX($F:$F, ROW()-1), $F105)) : INDEX(AB:AB, ROW()-1)),
          AVERAGEIFS(unit_details[Asking Rent],
          unit_details[Active Listing?],TRUE,
          unit_details[Property Name], $F106,
          unit_details[Beds], $L106,
          unit_details[Baths], $M106,
          unit_details[Partial Baths], IF(ISNUMBER($N106),$N106,""),
          unit_details[Sqft],$P106
)),"")</f>
        <v/>
      </c>
      <c r="AF106" s="5" t="str">
        <f>IFERROR(IF(AE106="","",IF($F106="Total",
SUMPRODUCT(
   INDEX(AF:AF, ROW()-COUNTIF($F$6:INDEX($F:$F, ROW()-1), $F105)) : INDEX(AF:AF, ROW()-1),
   INDEX(AB:AB, ROW()-COUNTIF($F$6:INDEX($F:$F, ROW()-1), $F105)) : INDEX(AB:AB, ROW()-1)
   )
   /SUM(INDEX(AB:AB, ROW()-COUNTIF($F$6:INDEX($F:$F, ROW()-1), $F105)) : INDEX(AB:AB, ROW()-1)),
           _xlfn.MAXIFS(unit_details[Asking Rent],
          unit_details[Active Listing?],TRUE,
          unit_details[Property Name], $F106,
          unit_details[Beds], $L106,
          unit_details[Baths], $M106,
          unit_details[Partial Baths], IF(ISNUMBER($N106),$N106,""),
          unit_details[Sqft],$P106
))),"")</f>
        <v/>
      </c>
      <c r="AG106" s="6" t="str">
        <f>IFERROR(IF($F106="Total",
         SUMPRODUCT(
         INDEX(AG:AG, ROW()-COUNTIF($F$6:INDEX($F:$F, ROW()-1), $F105)) : INDEX(AG:AG, ROW()-1),
         INDEX(AB:AB, ROW()-COUNTIF($F$6:INDEX($F:$F, ROW()-1), $F105)) : INDEX(AB:AB, ROW()-1)
         )
         /SUM(INDEX(AB:AB, ROW()-COUNTIF($F$6:INDEX($F:$F, ROW()-1), $F105)) : INDEX(AB:AB, ROW()-1)),
          AVERAGEIFS(unit_details[Asking PSF],
          unit_details[Active Listing?],TRUE,
          unit_details[Property Name], $F106,
          unit_details[Beds], $L106,
          unit_details[Baths], $M106,
          unit_details[Partial Baths], IF(ISNUMBER($N106),$N106,""),
          unit_details[Sqft],$P106
)),"")</f>
        <v/>
      </c>
      <c r="AH106" s="293" t="str">
        <f>IFERROR(IF($F106="Total",
         SUMPRODUCT(
         INDEX(AH:AH, ROW()-COUNTIF($F$6:INDEX($F:$F, ROW()-1), $F105)) : INDEX(AH:AH, ROW()-1),
         INDEX(AB:AB, ROW()-COUNTIF($F$6:INDEX($F:$F, ROW()-1), $F105)) : INDEX(AB:AB, ROW()-1)
         )
         /SUM(INDEX(AB:AB, ROW()-COUNTIF($F$6:INDEX($F:$F, ROW()-1), $F105)) : INDEX(AB:AB, ROW()-1)),
          AVERAGEIFS(unit_details[Effective Rent],
          unit_details[Active Listing?],TRUE,
          unit_details[Property Name], $F106,
          unit_details[Beds], $L106,
          unit_details[Baths], $M106,
          unit_details[Partial Baths], IF(ISNUMBER($N106),$N106,""),
          unit_details[Sqft],$P106
)),"")</f>
        <v/>
      </c>
      <c r="AI106" s="6" t="str">
        <f>IFERROR(IF($F106="Total",
         SUMPRODUCT(
         INDEX(AI:AI, ROW()-COUNTIF($F$6:INDEX($F:$F, ROW()-1), $F105)) : INDEX(AI:AI, ROW()-1),
         INDEX(AB:AB, ROW()-COUNTIF($F$6:INDEX($F:$F, ROW()-1), $F105)) : INDEX(AB:AB, ROW()-1)
         )
         /SUM(INDEX(AB:AB, ROW()-COUNTIF($F$6:INDEX($F:$F, ROW()-1), $F105)) : INDEX(AB:AB, ROW()-1)),
           AVERAGEIFS(unit_details[Effective PSF],
          unit_details[Active Listing?],TRUE,
          unit_details[Property Name], $F106,
          unit_details[Beds], $L106,
          unit_details[Baths], $M106,
          unit_details[Partial Baths], IF(ISNUMBER($N106),$N106,""),
          unit_details[Sqft],$P106
)),"")</f>
        <v/>
      </c>
      <c r="AJ106" s="824" t="str">
        <f t="shared" si="15"/>
        <v/>
      </c>
      <c r="AK106" s="531" t="str">
        <f t="shared" si="16"/>
        <v/>
      </c>
      <c r="AL106" s="714" t="str">
        <f t="shared" si="17"/>
        <v/>
      </c>
      <c r="AM106" s="531" t="str">
        <f t="shared" si="18"/>
        <v/>
      </c>
      <c r="AN106" s="716" t="str">
        <f t="shared" si="19"/>
        <v/>
      </c>
    </row>
    <row r="107" spans="6:40" x14ac:dyDescent="0.2">
      <c r="F107" s="1" t="str">
        <f t="shared" si="12"/>
        <v/>
      </c>
      <c r="G107" s="713" t="str">
        <f t="shared" si="20"/>
        <v/>
      </c>
      <c r="H107" s="17" t="str">
        <f>IFERROR(VLOOKUP($G107,Table1[[Property]:[Exposure %]],4,0),"")</f>
        <v/>
      </c>
      <c r="I107" s="3" t="str">
        <f>IFERROR(VLOOKUP($G107,Table1[[Property]:[Exposure %]],6,0),"")</f>
        <v/>
      </c>
      <c r="J107" s="3" t="str">
        <f>IFERROR(VLOOKUP($G107,Table1[[Property]:[Exposure %]],7,0),"")</f>
        <v/>
      </c>
      <c r="K107"/>
      <c r="L107"/>
      <c r="M107"/>
      <c r="N107"/>
      <c r="O107"/>
      <c r="P107"/>
      <c r="Q107"/>
      <c r="R107" s="4" t="str">
        <f>IFERROR(VLOOKUP(IF(F107="Total",F106,F107),Table1[[Property]:['# Units]],7,0)*S107,"")</f>
        <v/>
      </c>
      <c r="S107" s="27" t="str">
        <f t="shared" si="13"/>
        <v/>
      </c>
      <c r="T107" s="531" t="str">
        <f>IFERROR(
 IF($F107="Total",
   SUMPRODUCT(
   INDEX(T:T, ROW()-COUNTIF($F$6:INDEX($F:$F, ROW()-1), $F106)) : INDEX(T:T, ROW()-1),
   INDEX(W:W, ROW()-COUNTIF($F$6:INDEX($F:$F, ROW()-1), $F106)) : INDEX(W:W, ROW()-1)
   )
   /SUM(INDEX(W:W, ROW()-COUNTIF($F$6:INDEX($F:$F, ROW()-1), $F106)) : INDEX(W:W, ROW()-1)),
   AVERAGEIFS(
     INDEX((unit_details[Asking Rent],unit_details[Asking PSF]),0,1,IF($U$3="Chunk Rent",1,2)),
     unit_details[Leased Date],"&gt;="&amp;($AM$2-T$5),
     unit_details[Leased Date],"&lt;"&amp;$AM$2,
     unit_details[Beds],$L107,
     unit_details[Baths],$M107,
     unit_details[Partial Baths],IF(ISNUMBER($N107),$N107,""),
     unit_details[Sqft],$P107,
     unit_details[Property Name],$F107)
 ),"")</f>
        <v/>
      </c>
      <c r="U107" s="552" t="str">
        <f>IFERROR(
 IF($F107="Total",
   SUMPRODUCT(
   INDEX(U:U, ROW()-COUNTIF($F$6:INDEX($F:$F, ROW()-1), $F106)) : INDEX(U:U, ROW()-1),
   INDEX(W:W, ROW()-COUNTIF($F$6:INDEX($F:$F, ROW()-1), $F106)) : INDEX(W:W, ROW()-1)
   )
   /SUM(INDEX(W:W, ROW()-COUNTIF($F$6:INDEX($F:$F, ROW()-1), $F106)) : INDEX(W:W, ROW()-1)),
   AVERAGEIFS(
     INDEX((unit_details[Effective Rent],unit_details[Effective PSF]),0,1,IF($U$3="Chunk Rent",1,2)),
     unit_details[Leased Date],"&gt;="&amp;($AM$2-T$5),
     unit_details[Leased Date],"&lt;"&amp;$AM$2,
     unit_details[Beds],$L107,
     unit_details[Baths],$M107,
     unit_details[Partial Baths],IF(ISNUMBER($N107),$N107,""),
     unit_details[Sqft],$P107,
     unit_details[Property Name],$F107)
 ),"")</f>
        <v/>
      </c>
      <c r="V107" s="27" t="str">
        <f t="shared" si="21"/>
        <v/>
      </c>
      <c r="W107" s="526">
        <f>IFERROR(
  IF($F107="Total",
    SUM(INDEX(W:W, ROW()-COUNTIF($F$6:INDEX($F:$F, ROW()-1), $F106)) : INDEX(W:W, ROW()-1)),
    COUNTIFS(
      unit_details[Leased Date], "&gt;="&amp;($AM$2-T$5),
      unit_details[Leased Date], "&lt;"&amp;$AM$2,
      unit_details[Beds], $L107,
      unit_details[Baths], $M107,
      unit_details[Partial Baths], IF(ISNUMBER($N107), $N107, ""),
      unit_details[Sqft],$P107,
      unit_details[Property Name], $F107
    )
  ),
"")</f>
        <v>0</v>
      </c>
      <c r="X107" s="531" t="str">
        <f>IFERROR(
 IF($F107="Total",
   SUMPRODUCT(
   INDEX(X:X, ROW()-COUNTIF($F$6:INDEX($F:$F, ROW()-1), $F106)) : INDEX(X:X, ROW()-1),
   INDEX(AA:AA, ROW()-COUNTIF($F$6:INDEX($F:$F, ROW()-1), $F106)) : INDEX(AA:AA, ROW()-1)
   )
   /SUM(INDEX(AA:AA, ROW()-COUNTIF($F$6:INDEX($F:$F, ROW()-1), $F106)) : INDEX(AA:AA, ROW()-1)),
   AVERAGEIFS(
     INDEX((unit_details[Asking Rent],unit_details[Asking PSF]),0,1,IF($U$3="Chunk Rent",1,2)),
     unit_details[Leased Date],"&gt;="&amp;($AM$2-X$5),
     unit_details[Leased Date],"&lt;"&amp;$AM$2,
     unit_details[Beds],$L107,
     unit_details[Baths],$M107,
     unit_details[Partial Baths],IF(ISNUMBER($N107),$N107,""),
     unit_details[Sqft],$P107,
     unit_details[Property Name],$F107)
 ),"")</f>
        <v/>
      </c>
      <c r="Y107" s="552" t="str">
        <f>IFERROR(
 IF($F107="Total",
   SUMPRODUCT(
   INDEX(Y:Y, ROW()-COUNTIF($F$6:INDEX($F:$F, ROW()-1), $F106)) : INDEX(Y:Y, ROW()-1),
   INDEX(AA:AA, ROW()-COUNTIF($F$6:INDEX($F:$F, ROW()-1), $F106)) : INDEX(AA:AA, ROW()-1)
   )
   /SUM(INDEX(AA:AA, ROW()-COUNTIF($F$6:INDEX($F:$F, ROW()-1), $F106)) : INDEX(AA:AA, ROW()-1)),
   AVERAGEIFS(
     INDEX((unit_details[Effective Rent],unit_details[Effective PSF]),0,1,IF($U$3="Chunk Rent",1,2)),
     unit_details[Leased Date],"&gt;="&amp;($AM$2-X$5),
     unit_details[Leased Date],"&lt;"&amp;$AM$2,
     unit_details[Beds],$L107,
     unit_details[Baths],$M107,
     unit_details[Partial Baths],IF(ISNUMBER($N107),$N107,""),
     unit_details[Sqft],$P107,
     unit_details[Property Name],$F107)
 ),"")</f>
        <v/>
      </c>
      <c r="Z107" s="27" t="str">
        <f t="shared" si="22"/>
        <v/>
      </c>
      <c r="AA107" s="526">
        <f>IFERROR(
  IF($F107="Total",
    SUM(INDEX(AA:AA, ROW()-COUNTIF($F$6:INDEX($F:$F, ROW()-1), $F106)) : INDEX(AA:AA, ROW()-1)),
    COUNTIFS(
      unit_details[Leased Date], "&gt;="&amp;($AM$2-X$5),
      unit_details[Leased Date], "&lt;"&amp;$AM$2,
      unit_details[Beds], $L107,
      unit_details[Baths], $M107,
      unit_details[Partial Baths], IF(ISNUMBER($N107), $N107, ""),
      unit_details[Sqft],$P107,
      unit_details[Property Name], $F107
    )
  ),
"")</f>
        <v>0</v>
      </c>
      <c r="AB107" s="290">
        <f>IF($F107="Total",
SUM(INDEX(AB:AB, ROW()-COUNTIF($F$6:INDEX($F:$F, ROW()-1), $F106)) : INDEX(AB:AB, ROW()-1)),
COUNTIFS(unit_details[Active Listing?],TRUE,
          unit_details[Property Name], $F107,
          unit_details[Beds], $L107,
          unit_details[Baths], $M107,
          unit_details[Partial Baths],IF(ISNUMBER($N107),$N107,""),
          unit_details[Sqft],$P107))</f>
        <v>0</v>
      </c>
      <c r="AC107" s="27" t="str">
        <f t="shared" si="14"/>
        <v/>
      </c>
      <c r="AD107" s="293" t="str">
        <f>IFERROR(IF(AE107="","",IF($F107="Total",
SUMPRODUCT(
   INDEX(AD:AD, ROW()-COUNTIF($F$6:INDEX($F:$F, ROW()-1), $F106)) : INDEX(AD:AD, ROW()-1),
   INDEX(AB:AB, ROW()-COUNTIF($F$6:INDEX($F:$F, ROW()-1), $F106)) : INDEX(AB:AB, ROW()-1)
   )
   /SUM(INDEX(AB:AB, ROW()-COUNTIF($F$6:INDEX($F:$F, ROW()-1), $F106)) : INDEX(AB:AB, ROW()-1)),
          _xlfn.MINIFS(unit_details[Asking Rent],
          unit_details[Active Listing?],TRUE,
          unit_details[Property Name], $F107,
          unit_details[Beds], $L107,
          unit_details[Baths], $M107,
          unit_details[Partial Baths], IF(ISNUMBER($N107),$N107,""),
          unit_details[Sqft],$P107
))),"")</f>
        <v/>
      </c>
      <c r="AE107" s="5" t="str">
        <f>IFERROR(IF($F107="Total",
          SUMPRODUCT(
   INDEX(AE:AE, ROW()-COUNTIF($F$6:INDEX($F:$F, ROW()-1), $F106)) : INDEX(AE:AE, ROW()-1),
   INDEX(AB:AB, ROW()-COUNTIF($F$6:INDEX($F:$F, ROW()-1), $F106)) : INDEX(AB:AB, ROW()-1)
   )
   /SUM(INDEX(AB:AB, ROW()-COUNTIF($F$6:INDEX($F:$F, ROW()-1), $F106)) : INDEX(AB:AB, ROW()-1)),
          AVERAGEIFS(unit_details[Asking Rent],
          unit_details[Active Listing?],TRUE,
          unit_details[Property Name], $F107,
          unit_details[Beds], $L107,
          unit_details[Baths], $M107,
          unit_details[Partial Baths], IF(ISNUMBER($N107),$N107,""),
          unit_details[Sqft],$P107
)),"")</f>
        <v/>
      </c>
      <c r="AF107" s="5" t="str">
        <f>IFERROR(IF(AE107="","",IF($F107="Total",
SUMPRODUCT(
   INDEX(AF:AF, ROW()-COUNTIF($F$6:INDEX($F:$F, ROW()-1), $F106)) : INDEX(AF:AF, ROW()-1),
   INDEX(AB:AB, ROW()-COUNTIF($F$6:INDEX($F:$F, ROW()-1), $F106)) : INDEX(AB:AB, ROW()-1)
   )
   /SUM(INDEX(AB:AB, ROW()-COUNTIF($F$6:INDEX($F:$F, ROW()-1), $F106)) : INDEX(AB:AB, ROW()-1)),
           _xlfn.MAXIFS(unit_details[Asking Rent],
          unit_details[Active Listing?],TRUE,
          unit_details[Property Name], $F107,
          unit_details[Beds], $L107,
          unit_details[Baths], $M107,
          unit_details[Partial Baths], IF(ISNUMBER($N107),$N107,""),
          unit_details[Sqft],$P107
))),"")</f>
        <v/>
      </c>
      <c r="AG107" s="6" t="str">
        <f>IFERROR(IF($F107="Total",
         SUMPRODUCT(
         INDEX(AG:AG, ROW()-COUNTIF($F$6:INDEX($F:$F, ROW()-1), $F106)) : INDEX(AG:AG, ROW()-1),
         INDEX(AB:AB, ROW()-COUNTIF($F$6:INDEX($F:$F, ROW()-1), $F106)) : INDEX(AB:AB, ROW()-1)
         )
         /SUM(INDEX(AB:AB, ROW()-COUNTIF($F$6:INDEX($F:$F, ROW()-1), $F106)) : INDEX(AB:AB, ROW()-1)),
          AVERAGEIFS(unit_details[Asking PSF],
          unit_details[Active Listing?],TRUE,
          unit_details[Property Name], $F107,
          unit_details[Beds], $L107,
          unit_details[Baths], $M107,
          unit_details[Partial Baths], IF(ISNUMBER($N107),$N107,""),
          unit_details[Sqft],$P107
)),"")</f>
        <v/>
      </c>
      <c r="AH107" s="293" t="str">
        <f>IFERROR(IF($F107="Total",
         SUMPRODUCT(
         INDEX(AH:AH, ROW()-COUNTIF($F$6:INDEX($F:$F, ROW()-1), $F106)) : INDEX(AH:AH, ROW()-1),
         INDEX(AB:AB, ROW()-COUNTIF($F$6:INDEX($F:$F, ROW()-1), $F106)) : INDEX(AB:AB, ROW()-1)
         )
         /SUM(INDEX(AB:AB, ROW()-COUNTIF($F$6:INDEX($F:$F, ROW()-1), $F106)) : INDEX(AB:AB, ROW()-1)),
          AVERAGEIFS(unit_details[Effective Rent],
          unit_details[Active Listing?],TRUE,
          unit_details[Property Name], $F107,
          unit_details[Beds], $L107,
          unit_details[Baths], $M107,
          unit_details[Partial Baths], IF(ISNUMBER($N107),$N107,""),
          unit_details[Sqft],$P107
)),"")</f>
        <v/>
      </c>
      <c r="AI107" s="6" t="str">
        <f>IFERROR(IF($F107="Total",
         SUMPRODUCT(
         INDEX(AI:AI, ROW()-COUNTIF($F$6:INDEX($F:$F, ROW()-1), $F106)) : INDEX(AI:AI, ROW()-1),
         INDEX(AB:AB, ROW()-COUNTIF($F$6:INDEX($F:$F, ROW()-1), $F106)) : INDEX(AB:AB, ROW()-1)
         )
         /SUM(INDEX(AB:AB, ROW()-COUNTIF($F$6:INDEX($F:$F, ROW()-1), $F106)) : INDEX(AB:AB, ROW()-1)),
           AVERAGEIFS(unit_details[Effective PSF],
          unit_details[Active Listing?],TRUE,
          unit_details[Property Name], $F107,
          unit_details[Beds], $L107,
          unit_details[Baths], $M107,
          unit_details[Partial Baths], IF(ISNUMBER($N107),$N107,""),
          unit_details[Sqft],$P107
)),"")</f>
        <v/>
      </c>
      <c r="AJ107" s="824" t="str">
        <f t="shared" si="15"/>
        <v/>
      </c>
      <c r="AK107" s="531" t="str">
        <f t="shared" si="16"/>
        <v/>
      </c>
      <c r="AL107" s="714" t="str">
        <f t="shared" si="17"/>
        <v/>
      </c>
      <c r="AM107" s="531" t="str">
        <f t="shared" si="18"/>
        <v/>
      </c>
      <c r="AN107" s="716" t="str">
        <f t="shared" si="19"/>
        <v/>
      </c>
    </row>
    <row r="108" spans="6:40" x14ac:dyDescent="0.2">
      <c r="F108" s="1" t="str">
        <f t="shared" si="12"/>
        <v/>
      </c>
      <c r="G108" s="713" t="str">
        <f t="shared" si="20"/>
        <v/>
      </c>
      <c r="H108" s="17" t="str">
        <f>IFERROR(VLOOKUP($G108,Table1[[Property]:[Exposure %]],4,0),"")</f>
        <v/>
      </c>
      <c r="I108" s="3" t="str">
        <f>IFERROR(VLOOKUP($G108,Table1[[Property]:[Exposure %]],6,0),"")</f>
        <v/>
      </c>
      <c r="J108" s="3" t="str">
        <f>IFERROR(VLOOKUP($G108,Table1[[Property]:[Exposure %]],7,0),"")</f>
        <v/>
      </c>
      <c r="K108"/>
      <c r="L108"/>
      <c r="M108"/>
      <c r="N108"/>
      <c r="O108"/>
      <c r="P108"/>
      <c r="Q108"/>
      <c r="R108" s="4" t="str">
        <f>IFERROR(VLOOKUP(IF(F108="Total",F107,F108),Table1[[Property]:['# Units]],7,0)*S108,"")</f>
        <v/>
      </c>
      <c r="S108" s="27" t="str">
        <f t="shared" si="13"/>
        <v/>
      </c>
      <c r="T108" s="531" t="str">
        <f>IFERROR(
 IF($F108="Total",
   SUMPRODUCT(
   INDEX(T:T, ROW()-COUNTIF($F$6:INDEX($F:$F, ROW()-1), $F107)) : INDEX(T:T, ROW()-1),
   INDEX(W:W, ROW()-COUNTIF($F$6:INDEX($F:$F, ROW()-1), $F107)) : INDEX(W:W, ROW()-1)
   )
   /SUM(INDEX(W:W, ROW()-COUNTIF($F$6:INDEX($F:$F, ROW()-1), $F107)) : INDEX(W:W, ROW()-1)),
   AVERAGEIFS(
     INDEX((unit_details[Asking Rent],unit_details[Asking PSF]),0,1,IF($U$3="Chunk Rent",1,2)),
     unit_details[Leased Date],"&gt;="&amp;($AM$2-T$5),
     unit_details[Leased Date],"&lt;"&amp;$AM$2,
     unit_details[Beds],$L108,
     unit_details[Baths],$M108,
     unit_details[Partial Baths],IF(ISNUMBER($N108),$N108,""),
     unit_details[Sqft],$P108,
     unit_details[Property Name],$F108)
 ),"")</f>
        <v/>
      </c>
      <c r="U108" s="552" t="str">
        <f>IFERROR(
 IF($F108="Total",
   SUMPRODUCT(
   INDEX(U:U, ROW()-COUNTIF($F$6:INDEX($F:$F, ROW()-1), $F107)) : INDEX(U:U, ROW()-1),
   INDEX(W:W, ROW()-COUNTIF($F$6:INDEX($F:$F, ROW()-1), $F107)) : INDEX(W:W, ROW()-1)
   )
   /SUM(INDEX(W:W, ROW()-COUNTIF($F$6:INDEX($F:$F, ROW()-1), $F107)) : INDEX(W:W, ROW()-1)),
   AVERAGEIFS(
     INDEX((unit_details[Effective Rent],unit_details[Effective PSF]),0,1,IF($U$3="Chunk Rent",1,2)),
     unit_details[Leased Date],"&gt;="&amp;($AM$2-T$5),
     unit_details[Leased Date],"&lt;"&amp;$AM$2,
     unit_details[Beds],$L108,
     unit_details[Baths],$M108,
     unit_details[Partial Baths],IF(ISNUMBER($N108),$N108,""),
     unit_details[Sqft],$P108,
     unit_details[Property Name],$F108)
 ),"")</f>
        <v/>
      </c>
      <c r="V108" s="27" t="str">
        <f t="shared" si="21"/>
        <v/>
      </c>
      <c r="W108" s="526">
        <f>IFERROR(
  IF($F108="Total",
    SUM(INDEX(W:W, ROW()-COUNTIF($F$6:INDEX($F:$F, ROW()-1), $F107)) : INDEX(W:W, ROW()-1)),
    COUNTIFS(
      unit_details[Leased Date], "&gt;="&amp;($AM$2-T$5),
      unit_details[Leased Date], "&lt;"&amp;$AM$2,
      unit_details[Beds], $L108,
      unit_details[Baths], $M108,
      unit_details[Partial Baths], IF(ISNUMBER($N108), $N108, ""),
      unit_details[Sqft],$P108,
      unit_details[Property Name], $F108
    )
  ),
"")</f>
        <v>0</v>
      </c>
      <c r="X108" s="531" t="str">
        <f>IFERROR(
 IF($F108="Total",
   SUMPRODUCT(
   INDEX(X:X, ROW()-COUNTIF($F$6:INDEX($F:$F, ROW()-1), $F107)) : INDEX(X:X, ROW()-1),
   INDEX(AA:AA, ROW()-COUNTIF($F$6:INDEX($F:$F, ROW()-1), $F107)) : INDEX(AA:AA, ROW()-1)
   )
   /SUM(INDEX(AA:AA, ROW()-COUNTIF($F$6:INDEX($F:$F, ROW()-1), $F107)) : INDEX(AA:AA, ROW()-1)),
   AVERAGEIFS(
     INDEX((unit_details[Asking Rent],unit_details[Asking PSF]),0,1,IF($U$3="Chunk Rent",1,2)),
     unit_details[Leased Date],"&gt;="&amp;($AM$2-X$5),
     unit_details[Leased Date],"&lt;"&amp;$AM$2,
     unit_details[Beds],$L108,
     unit_details[Baths],$M108,
     unit_details[Partial Baths],IF(ISNUMBER($N108),$N108,""),
     unit_details[Sqft],$P108,
     unit_details[Property Name],$F108)
 ),"")</f>
        <v/>
      </c>
      <c r="Y108" s="552" t="str">
        <f>IFERROR(
 IF($F108="Total",
   SUMPRODUCT(
   INDEX(Y:Y, ROW()-COUNTIF($F$6:INDEX($F:$F, ROW()-1), $F107)) : INDEX(Y:Y, ROW()-1),
   INDEX(AA:AA, ROW()-COUNTIF($F$6:INDEX($F:$F, ROW()-1), $F107)) : INDEX(AA:AA, ROW()-1)
   )
   /SUM(INDEX(AA:AA, ROW()-COUNTIF($F$6:INDEX($F:$F, ROW()-1), $F107)) : INDEX(AA:AA, ROW()-1)),
   AVERAGEIFS(
     INDEX((unit_details[Effective Rent],unit_details[Effective PSF]),0,1,IF($U$3="Chunk Rent",1,2)),
     unit_details[Leased Date],"&gt;="&amp;($AM$2-X$5),
     unit_details[Leased Date],"&lt;"&amp;$AM$2,
     unit_details[Beds],$L108,
     unit_details[Baths],$M108,
     unit_details[Partial Baths],IF(ISNUMBER($N108),$N108,""),
     unit_details[Sqft],$P108,
     unit_details[Property Name],$F108)
 ),"")</f>
        <v/>
      </c>
      <c r="Z108" s="27" t="str">
        <f t="shared" si="22"/>
        <v/>
      </c>
      <c r="AA108" s="526">
        <f>IFERROR(
  IF($F108="Total",
    SUM(INDEX(AA:AA, ROW()-COUNTIF($F$6:INDEX($F:$F, ROW()-1), $F107)) : INDEX(AA:AA, ROW()-1)),
    COUNTIFS(
      unit_details[Leased Date], "&gt;="&amp;($AM$2-X$5),
      unit_details[Leased Date], "&lt;"&amp;$AM$2,
      unit_details[Beds], $L108,
      unit_details[Baths], $M108,
      unit_details[Partial Baths], IF(ISNUMBER($N108), $N108, ""),
      unit_details[Sqft],$P108,
      unit_details[Property Name], $F108
    )
  ),
"")</f>
        <v>0</v>
      </c>
      <c r="AB108" s="290">
        <f>IF($F108="Total",
SUM(INDEX(AB:AB, ROW()-COUNTIF($F$6:INDEX($F:$F, ROW()-1), $F107)) : INDEX(AB:AB, ROW()-1)),
COUNTIFS(unit_details[Active Listing?],TRUE,
          unit_details[Property Name], $F108,
          unit_details[Beds], $L108,
          unit_details[Baths], $M108,
          unit_details[Partial Baths],IF(ISNUMBER($N108),$N108,""),
          unit_details[Sqft],$P108))</f>
        <v>0</v>
      </c>
      <c r="AC108" s="27" t="str">
        <f t="shared" si="14"/>
        <v/>
      </c>
      <c r="AD108" s="293" t="str">
        <f>IFERROR(IF(AE108="","",IF($F108="Total",
SUMPRODUCT(
   INDEX(AD:AD, ROW()-COUNTIF($F$6:INDEX($F:$F, ROW()-1), $F107)) : INDEX(AD:AD, ROW()-1),
   INDEX(AB:AB, ROW()-COUNTIF($F$6:INDEX($F:$F, ROW()-1), $F107)) : INDEX(AB:AB, ROW()-1)
   )
   /SUM(INDEX(AB:AB, ROW()-COUNTIF($F$6:INDEX($F:$F, ROW()-1), $F107)) : INDEX(AB:AB, ROW()-1)),
          _xlfn.MINIFS(unit_details[Asking Rent],
          unit_details[Active Listing?],TRUE,
          unit_details[Property Name], $F108,
          unit_details[Beds], $L108,
          unit_details[Baths], $M108,
          unit_details[Partial Baths], IF(ISNUMBER($N108),$N108,""),
          unit_details[Sqft],$P108
))),"")</f>
        <v/>
      </c>
      <c r="AE108" s="5" t="str">
        <f>IFERROR(IF($F108="Total",
          SUMPRODUCT(
   INDEX(AE:AE, ROW()-COUNTIF($F$6:INDEX($F:$F, ROW()-1), $F107)) : INDEX(AE:AE, ROW()-1),
   INDEX(AB:AB, ROW()-COUNTIF($F$6:INDEX($F:$F, ROW()-1), $F107)) : INDEX(AB:AB, ROW()-1)
   )
   /SUM(INDEX(AB:AB, ROW()-COUNTIF($F$6:INDEX($F:$F, ROW()-1), $F107)) : INDEX(AB:AB, ROW()-1)),
          AVERAGEIFS(unit_details[Asking Rent],
          unit_details[Active Listing?],TRUE,
          unit_details[Property Name], $F108,
          unit_details[Beds], $L108,
          unit_details[Baths], $M108,
          unit_details[Partial Baths], IF(ISNUMBER($N108),$N108,""),
          unit_details[Sqft],$P108
)),"")</f>
        <v/>
      </c>
      <c r="AF108" s="5" t="str">
        <f>IFERROR(IF(AE108="","",IF($F108="Total",
SUMPRODUCT(
   INDEX(AF:AF, ROW()-COUNTIF($F$6:INDEX($F:$F, ROW()-1), $F107)) : INDEX(AF:AF, ROW()-1),
   INDEX(AB:AB, ROW()-COUNTIF($F$6:INDEX($F:$F, ROW()-1), $F107)) : INDEX(AB:AB, ROW()-1)
   )
   /SUM(INDEX(AB:AB, ROW()-COUNTIF($F$6:INDEX($F:$F, ROW()-1), $F107)) : INDEX(AB:AB, ROW()-1)),
           _xlfn.MAXIFS(unit_details[Asking Rent],
          unit_details[Active Listing?],TRUE,
          unit_details[Property Name], $F108,
          unit_details[Beds], $L108,
          unit_details[Baths], $M108,
          unit_details[Partial Baths], IF(ISNUMBER($N108),$N108,""),
          unit_details[Sqft],$P108
))),"")</f>
        <v/>
      </c>
      <c r="AG108" s="6" t="str">
        <f>IFERROR(IF($F108="Total",
         SUMPRODUCT(
         INDEX(AG:AG, ROW()-COUNTIF($F$6:INDEX($F:$F, ROW()-1), $F107)) : INDEX(AG:AG, ROW()-1),
         INDEX(AB:AB, ROW()-COUNTIF($F$6:INDEX($F:$F, ROW()-1), $F107)) : INDEX(AB:AB, ROW()-1)
         )
         /SUM(INDEX(AB:AB, ROW()-COUNTIF($F$6:INDEX($F:$F, ROW()-1), $F107)) : INDEX(AB:AB, ROW()-1)),
          AVERAGEIFS(unit_details[Asking PSF],
          unit_details[Active Listing?],TRUE,
          unit_details[Property Name], $F108,
          unit_details[Beds], $L108,
          unit_details[Baths], $M108,
          unit_details[Partial Baths], IF(ISNUMBER($N108),$N108,""),
          unit_details[Sqft],$P108
)),"")</f>
        <v/>
      </c>
      <c r="AH108" s="293" t="str">
        <f>IFERROR(IF($F108="Total",
         SUMPRODUCT(
         INDEX(AH:AH, ROW()-COUNTIF($F$6:INDEX($F:$F, ROW()-1), $F107)) : INDEX(AH:AH, ROW()-1),
         INDEX(AB:AB, ROW()-COUNTIF($F$6:INDEX($F:$F, ROW()-1), $F107)) : INDEX(AB:AB, ROW()-1)
         )
         /SUM(INDEX(AB:AB, ROW()-COUNTIF($F$6:INDEX($F:$F, ROW()-1), $F107)) : INDEX(AB:AB, ROW()-1)),
          AVERAGEIFS(unit_details[Effective Rent],
          unit_details[Active Listing?],TRUE,
          unit_details[Property Name], $F108,
          unit_details[Beds], $L108,
          unit_details[Baths], $M108,
          unit_details[Partial Baths], IF(ISNUMBER($N108),$N108,""),
          unit_details[Sqft],$P108
)),"")</f>
        <v/>
      </c>
      <c r="AI108" s="6" t="str">
        <f>IFERROR(IF($F108="Total",
         SUMPRODUCT(
         INDEX(AI:AI, ROW()-COUNTIF($F$6:INDEX($F:$F, ROW()-1), $F107)) : INDEX(AI:AI, ROW()-1),
         INDEX(AB:AB, ROW()-COUNTIF($F$6:INDEX($F:$F, ROW()-1), $F107)) : INDEX(AB:AB, ROW()-1)
         )
         /SUM(INDEX(AB:AB, ROW()-COUNTIF($F$6:INDEX($F:$F, ROW()-1), $F107)) : INDEX(AB:AB, ROW()-1)),
           AVERAGEIFS(unit_details[Effective PSF],
          unit_details[Active Listing?],TRUE,
          unit_details[Property Name], $F108,
          unit_details[Beds], $L108,
          unit_details[Baths], $M108,
          unit_details[Partial Baths], IF(ISNUMBER($N108),$N108,""),
          unit_details[Sqft],$P108
)),"")</f>
        <v/>
      </c>
      <c r="AJ108" s="824" t="str">
        <f t="shared" si="15"/>
        <v/>
      </c>
      <c r="AK108" s="531" t="str">
        <f t="shared" si="16"/>
        <v/>
      </c>
      <c r="AL108" s="714" t="str">
        <f t="shared" si="17"/>
        <v/>
      </c>
      <c r="AM108" s="531" t="str">
        <f t="shared" si="18"/>
        <v/>
      </c>
      <c r="AN108" s="716" t="str">
        <f t="shared" si="19"/>
        <v/>
      </c>
    </row>
    <row r="109" spans="6:40" x14ac:dyDescent="0.2">
      <c r="F109" s="1" t="str">
        <f t="shared" si="12"/>
        <v/>
      </c>
      <c r="G109" s="713" t="str">
        <f t="shared" si="20"/>
        <v/>
      </c>
      <c r="H109" s="17" t="str">
        <f>IFERROR(VLOOKUP($G109,Table1[[Property]:[Exposure %]],4,0),"")</f>
        <v/>
      </c>
      <c r="I109" s="3" t="str">
        <f>IFERROR(VLOOKUP($G109,Table1[[Property]:[Exposure %]],6,0),"")</f>
        <v/>
      </c>
      <c r="J109" s="3" t="str">
        <f>IFERROR(VLOOKUP($G109,Table1[[Property]:[Exposure %]],7,0),"")</f>
        <v/>
      </c>
      <c r="K109"/>
      <c r="L109"/>
      <c r="M109"/>
      <c r="N109"/>
      <c r="O109"/>
      <c r="P109"/>
      <c r="Q109"/>
      <c r="R109" s="4" t="str">
        <f>IFERROR(VLOOKUP(IF(F109="Total",F108,F109),Table1[[Property]:['# Units]],7,0)*S109,"")</f>
        <v/>
      </c>
      <c r="S109" s="27" t="str">
        <f t="shared" si="13"/>
        <v/>
      </c>
      <c r="T109" s="531" t="str">
        <f>IFERROR(
 IF($F109="Total",
   SUMPRODUCT(
   INDEX(T:T, ROW()-COUNTIF($F$6:INDEX($F:$F, ROW()-1), $F108)) : INDEX(T:T, ROW()-1),
   INDEX(W:W, ROW()-COUNTIF($F$6:INDEX($F:$F, ROW()-1), $F108)) : INDEX(W:W, ROW()-1)
   )
   /SUM(INDEX(W:W, ROW()-COUNTIF($F$6:INDEX($F:$F, ROW()-1), $F108)) : INDEX(W:W, ROW()-1)),
   AVERAGEIFS(
     INDEX((unit_details[Asking Rent],unit_details[Asking PSF]),0,1,IF($U$3="Chunk Rent",1,2)),
     unit_details[Leased Date],"&gt;="&amp;($AM$2-T$5),
     unit_details[Leased Date],"&lt;"&amp;$AM$2,
     unit_details[Beds],$L109,
     unit_details[Baths],$M109,
     unit_details[Partial Baths],IF(ISNUMBER($N109),$N109,""),
     unit_details[Sqft],$P109,
     unit_details[Property Name],$F109)
 ),"")</f>
        <v/>
      </c>
      <c r="U109" s="552" t="str">
        <f>IFERROR(
 IF($F109="Total",
   SUMPRODUCT(
   INDEX(U:U, ROW()-COUNTIF($F$6:INDEX($F:$F, ROW()-1), $F108)) : INDEX(U:U, ROW()-1),
   INDEX(W:W, ROW()-COUNTIF($F$6:INDEX($F:$F, ROW()-1), $F108)) : INDEX(W:W, ROW()-1)
   )
   /SUM(INDEX(W:W, ROW()-COUNTIF($F$6:INDEX($F:$F, ROW()-1), $F108)) : INDEX(W:W, ROW()-1)),
   AVERAGEIFS(
     INDEX((unit_details[Effective Rent],unit_details[Effective PSF]),0,1,IF($U$3="Chunk Rent",1,2)),
     unit_details[Leased Date],"&gt;="&amp;($AM$2-T$5),
     unit_details[Leased Date],"&lt;"&amp;$AM$2,
     unit_details[Beds],$L109,
     unit_details[Baths],$M109,
     unit_details[Partial Baths],IF(ISNUMBER($N109),$N109,""),
     unit_details[Sqft],$P109,
     unit_details[Property Name],$F109)
 ),"")</f>
        <v/>
      </c>
      <c r="V109" s="27" t="str">
        <f t="shared" si="21"/>
        <v/>
      </c>
      <c r="W109" s="526">
        <f>IFERROR(
  IF($F109="Total",
    SUM(INDEX(W:W, ROW()-COUNTIF($F$6:INDEX($F:$F, ROW()-1), $F108)) : INDEX(W:W, ROW()-1)),
    COUNTIFS(
      unit_details[Leased Date], "&gt;="&amp;($AM$2-T$5),
      unit_details[Leased Date], "&lt;"&amp;$AM$2,
      unit_details[Beds], $L109,
      unit_details[Baths], $M109,
      unit_details[Partial Baths], IF(ISNUMBER($N109), $N109, ""),
      unit_details[Sqft],$P109,
      unit_details[Property Name], $F109
    )
  ),
"")</f>
        <v>0</v>
      </c>
      <c r="X109" s="531" t="str">
        <f>IFERROR(
 IF($F109="Total",
   SUMPRODUCT(
   INDEX(X:X, ROW()-COUNTIF($F$6:INDEX($F:$F, ROW()-1), $F108)) : INDEX(X:X, ROW()-1),
   INDEX(AA:AA, ROW()-COUNTIF($F$6:INDEX($F:$F, ROW()-1), $F108)) : INDEX(AA:AA, ROW()-1)
   )
   /SUM(INDEX(AA:AA, ROW()-COUNTIF($F$6:INDEX($F:$F, ROW()-1), $F108)) : INDEX(AA:AA, ROW()-1)),
   AVERAGEIFS(
     INDEX((unit_details[Asking Rent],unit_details[Asking PSF]),0,1,IF($U$3="Chunk Rent",1,2)),
     unit_details[Leased Date],"&gt;="&amp;($AM$2-X$5),
     unit_details[Leased Date],"&lt;"&amp;$AM$2,
     unit_details[Beds],$L109,
     unit_details[Baths],$M109,
     unit_details[Partial Baths],IF(ISNUMBER($N109),$N109,""),
     unit_details[Sqft],$P109,
     unit_details[Property Name],$F109)
 ),"")</f>
        <v/>
      </c>
      <c r="Y109" s="552" t="str">
        <f>IFERROR(
 IF($F109="Total",
   SUMPRODUCT(
   INDEX(Y:Y, ROW()-COUNTIF($F$6:INDEX($F:$F, ROW()-1), $F108)) : INDEX(Y:Y, ROW()-1),
   INDEX(AA:AA, ROW()-COUNTIF($F$6:INDEX($F:$F, ROW()-1), $F108)) : INDEX(AA:AA, ROW()-1)
   )
   /SUM(INDEX(AA:AA, ROW()-COUNTIF($F$6:INDEX($F:$F, ROW()-1), $F108)) : INDEX(AA:AA, ROW()-1)),
   AVERAGEIFS(
     INDEX((unit_details[Effective Rent],unit_details[Effective PSF]),0,1,IF($U$3="Chunk Rent",1,2)),
     unit_details[Leased Date],"&gt;="&amp;($AM$2-X$5),
     unit_details[Leased Date],"&lt;"&amp;$AM$2,
     unit_details[Beds],$L109,
     unit_details[Baths],$M109,
     unit_details[Partial Baths],IF(ISNUMBER($N109),$N109,""),
     unit_details[Sqft],$P109,
     unit_details[Property Name],$F109)
 ),"")</f>
        <v/>
      </c>
      <c r="Z109" s="27" t="str">
        <f t="shared" si="22"/>
        <v/>
      </c>
      <c r="AA109" s="526">
        <f>IFERROR(
  IF($F109="Total",
    SUM(INDEX(AA:AA, ROW()-COUNTIF($F$6:INDEX($F:$F, ROW()-1), $F108)) : INDEX(AA:AA, ROW()-1)),
    COUNTIFS(
      unit_details[Leased Date], "&gt;="&amp;($AM$2-X$5),
      unit_details[Leased Date], "&lt;"&amp;$AM$2,
      unit_details[Beds], $L109,
      unit_details[Baths], $M109,
      unit_details[Partial Baths], IF(ISNUMBER($N109), $N109, ""),
      unit_details[Sqft],$P109,
      unit_details[Property Name], $F109
    )
  ),
"")</f>
        <v>0</v>
      </c>
      <c r="AB109" s="290">
        <f>IF($F109="Total",
SUM(INDEX(AB:AB, ROW()-COUNTIF($F$6:INDEX($F:$F, ROW()-1), $F108)) : INDEX(AB:AB, ROW()-1)),
COUNTIFS(unit_details[Active Listing?],TRUE,
          unit_details[Property Name], $F109,
          unit_details[Beds], $L109,
          unit_details[Baths], $M109,
          unit_details[Partial Baths],IF(ISNUMBER($N109),$N109,""),
          unit_details[Sqft],$P109))</f>
        <v>0</v>
      </c>
      <c r="AC109" s="27" t="str">
        <f t="shared" si="14"/>
        <v/>
      </c>
      <c r="AD109" s="293" t="str">
        <f>IFERROR(IF(AE109="","",IF($F109="Total",
SUMPRODUCT(
   INDEX(AD:AD, ROW()-COUNTIF($F$6:INDEX($F:$F, ROW()-1), $F108)) : INDEX(AD:AD, ROW()-1),
   INDEX(AB:AB, ROW()-COUNTIF($F$6:INDEX($F:$F, ROW()-1), $F108)) : INDEX(AB:AB, ROW()-1)
   )
   /SUM(INDEX(AB:AB, ROW()-COUNTIF($F$6:INDEX($F:$F, ROW()-1), $F108)) : INDEX(AB:AB, ROW()-1)),
          _xlfn.MINIFS(unit_details[Asking Rent],
          unit_details[Active Listing?],TRUE,
          unit_details[Property Name], $F109,
          unit_details[Beds], $L109,
          unit_details[Baths], $M109,
          unit_details[Partial Baths], IF(ISNUMBER($N109),$N109,""),
          unit_details[Sqft],$P109
))),"")</f>
        <v/>
      </c>
      <c r="AE109" s="5" t="str">
        <f>IFERROR(IF($F109="Total",
          SUMPRODUCT(
   INDEX(AE:AE, ROW()-COUNTIF($F$6:INDEX($F:$F, ROW()-1), $F108)) : INDEX(AE:AE, ROW()-1),
   INDEX(AB:AB, ROW()-COUNTIF($F$6:INDEX($F:$F, ROW()-1), $F108)) : INDEX(AB:AB, ROW()-1)
   )
   /SUM(INDEX(AB:AB, ROW()-COUNTIF($F$6:INDEX($F:$F, ROW()-1), $F108)) : INDEX(AB:AB, ROW()-1)),
          AVERAGEIFS(unit_details[Asking Rent],
          unit_details[Active Listing?],TRUE,
          unit_details[Property Name], $F109,
          unit_details[Beds], $L109,
          unit_details[Baths], $M109,
          unit_details[Partial Baths], IF(ISNUMBER($N109),$N109,""),
          unit_details[Sqft],$P109
)),"")</f>
        <v/>
      </c>
      <c r="AF109" s="5" t="str">
        <f>IFERROR(IF(AE109="","",IF($F109="Total",
SUMPRODUCT(
   INDEX(AF:AF, ROW()-COUNTIF($F$6:INDEX($F:$F, ROW()-1), $F108)) : INDEX(AF:AF, ROW()-1),
   INDEX(AB:AB, ROW()-COUNTIF($F$6:INDEX($F:$F, ROW()-1), $F108)) : INDEX(AB:AB, ROW()-1)
   )
   /SUM(INDEX(AB:AB, ROW()-COUNTIF($F$6:INDEX($F:$F, ROW()-1), $F108)) : INDEX(AB:AB, ROW()-1)),
           _xlfn.MAXIFS(unit_details[Asking Rent],
          unit_details[Active Listing?],TRUE,
          unit_details[Property Name], $F109,
          unit_details[Beds], $L109,
          unit_details[Baths], $M109,
          unit_details[Partial Baths], IF(ISNUMBER($N109),$N109,""),
          unit_details[Sqft],$P109
))),"")</f>
        <v/>
      </c>
      <c r="AG109" s="6" t="str">
        <f>IFERROR(IF($F109="Total",
         SUMPRODUCT(
         INDEX(AG:AG, ROW()-COUNTIF($F$6:INDEX($F:$F, ROW()-1), $F108)) : INDEX(AG:AG, ROW()-1),
         INDEX(AB:AB, ROW()-COUNTIF($F$6:INDEX($F:$F, ROW()-1), $F108)) : INDEX(AB:AB, ROW()-1)
         )
         /SUM(INDEX(AB:AB, ROW()-COUNTIF($F$6:INDEX($F:$F, ROW()-1), $F108)) : INDEX(AB:AB, ROW()-1)),
          AVERAGEIFS(unit_details[Asking PSF],
          unit_details[Active Listing?],TRUE,
          unit_details[Property Name], $F109,
          unit_details[Beds], $L109,
          unit_details[Baths], $M109,
          unit_details[Partial Baths], IF(ISNUMBER($N109),$N109,""),
          unit_details[Sqft],$P109
)),"")</f>
        <v/>
      </c>
      <c r="AH109" s="293" t="str">
        <f>IFERROR(IF($F109="Total",
         SUMPRODUCT(
         INDEX(AH:AH, ROW()-COUNTIF($F$6:INDEX($F:$F, ROW()-1), $F108)) : INDEX(AH:AH, ROW()-1),
         INDEX(AB:AB, ROW()-COUNTIF($F$6:INDEX($F:$F, ROW()-1), $F108)) : INDEX(AB:AB, ROW()-1)
         )
         /SUM(INDEX(AB:AB, ROW()-COUNTIF($F$6:INDEX($F:$F, ROW()-1), $F108)) : INDEX(AB:AB, ROW()-1)),
          AVERAGEIFS(unit_details[Effective Rent],
          unit_details[Active Listing?],TRUE,
          unit_details[Property Name], $F109,
          unit_details[Beds], $L109,
          unit_details[Baths], $M109,
          unit_details[Partial Baths], IF(ISNUMBER($N109),$N109,""),
          unit_details[Sqft],$P109
)),"")</f>
        <v/>
      </c>
      <c r="AI109" s="6" t="str">
        <f>IFERROR(IF($F109="Total",
         SUMPRODUCT(
         INDEX(AI:AI, ROW()-COUNTIF($F$6:INDEX($F:$F, ROW()-1), $F108)) : INDEX(AI:AI, ROW()-1),
         INDEX(AB:AB, ROW()-COUNTIF($F$6:INDEX($F:$F, ROW()-1), $F108)) : INDEX(AB:AB, ROW()-1)
         )
         /SUM(INDEX(AB:AB, ROW()-COUNTIF($F$6:INDEX($F:$F, ROW()-1), $F108)) : INDEX(AB:AB, ROW()-1)),
           AVERAGEIFS(unit_details[Effective PSF],
          unit_details[Active Listing?],TRUE,
          unit_details[Property Name], $F109,
          unit_details[Beds], $L109,
          unit_details[Baths], $M109,
          unit_details[Partial Baths], IF(ISNUMBER($N109),$N109,""),
          unit_details[Sqft],$P109
)),"")</f>
        <v/>
      </c>
      <c r="AJ109" s="824" t="str">
        <f t="shared" si="15"/>
        <v/>
      </c>
      <c r="AK109" s="531" t="str">
        <f t="shared" si="16"/>
        <v/>
      </c>
      <c r="AL109" s="714" t="str">
        <f t="shared" si="17"/>
        <v/>
      </c>
      <c r="AM109" s="531" t="str">
        <f t="shared" si="18"/>
        <v/>
      </c>
      <c r="AN109" s="716" t="str">
        <f t="shared" si="19"/>
        <v/>
      </c>
    </row>
    <row r="110" spans="6:40" x14ac:dyDescent="0.2">
      <c r="F110" s="1" t="str">
        <f t="shared" si="12"/>
        <v/>
      </c>
      <c r="G110" s="713" t="str">
        <f t="shared" si="20"/>
        <v/>
      </c>
      <c r="H110" s="17" t="str">
        <f>IFERROR(VLOOKUP($G110,Table1[[Property]:[Exposure %]],4,0),"")</f>
        <v/>
      </c>
      <c r="I110" s="3" t="str">
        <f>IFERROR(VLOOKUP($G110,Table1[[Property]:[Exposure %]],6,0),"")</f>
        <v/>
      </c>
      <c r="J110" s="3" t="str">
        <f>IFERROR(VLOOKUP($G110,Table1[[Property]:[Exposure %]],7,0),"")</f>
        <v/>
      </c>
      <c r="K110"/>
      <c r="L110"/>
      <c r="M110"/>
      <c r="N110"/>
      <c r="O110"/>
      <c r="P110"/>
      <c r="Q110"/>
      <c r="R110" s="4" t="str">
        <f>IFERROR(VLOOKUP(IF(F110="Total",F109,F110),Table1[[Property]:['# Units]],7,0)*S110,"")</f>
        <v/>
      </c>
      <c r="S110" s="27" t="str">
        <f t="shared" si="13"/>
        <v/>
      </c>
      <c r="T110" s="531" t="str">
        <f>IFERROR(
 IF($F110="Total",
   SUMPRODUCT(
   INDEX(T:T, ROW()-COUNTIF($F$6:INDEX($F:$F, ROW()-1), $F109)) : INDEX(T:T, ROW()-1),
   INDEX(W:W, ROW()-COUNTIF($F$6:INDEX($F:$F, ROW()-1), $F109)) : INDEX(W:W, ROW()-1)
   )
   /SUM(INDEX(W:W, ROW()-COUNTIF($F$6:INDEX($F:$F, ROW()-1), $F109)) : INDEX(W:W, ROW()-1)),
   AVERAGEIFS(
     INDEX((unit_details[Asking Rent],unit_details[Asking PSF]),0,1,IF($U$3="Chunk Rent",1,2)),
     unit_details[Leased Date],"&gt;="&amp;($AM$2-T$5),
     unit_details[Leased Date],"&lt;"&amp;$AM$2,
     unit_details[Beds],$L110,
     unit_details[Baths],$M110,
     unit_details[Partial Baths],IF(ISNUMBER($N110),$N110,""),
     unit_details[Sqft],$P110,
     unit_details[Property Name],$F110)
 ),"")</f>
        <v/>
      </c>
      <c r="U110" s="552" t="str">
        <f>IFERROR(
 IF($F110="Total",
   SUMPRODUCT(
   INDEX(U:U, ROW()-COUNTIF($F$6:INDEX($F:$F, ROW()-1), $F109)) : INDEX(U:U, ROW()-1),
   INDEX(W:W, ROW()-COUNTIF($F$6:INDEX($F:$F, ROW()-1), $F109)) : INDEX(W:W, ROW()-1)
   )
   /SUM(INDEX(W:W, ROW()-COUNTIF($F$6:INDEX($F:$F, ROW()-1), $F109)) : INDEX(W:W, ROW()-1)),
   AVERAGEIFS(
     INDEX((unit_details[Effective Rent],unit_details[Effective PSF]),0,1,IF($U$3="Chunk Rent",1,2)),
     unit_details[Leased Date],"&gt;="&amp;($AM$2-T$5),
     unit_details[Leased Date],"&lt;"&amp;$AM$2,
     unit_details[Beds],$L110,
     unit_details[Baths],$M110,
     unit_details[Partial Baths],IF(ISNUMBER($N110),$N110,""),
     unit_details[Sqft],$P110,
     unit_details[Property Name],$F110)
 ),"")</f>
        <v/>
      </c>
      <c r="V110" s="27" t="str">
        <f t="shared" si="21"/>
        <v/>
      </c>
      <c r="W110" s="526">
        <f>IFERROR(
  IF($F110="Total",
    SUM(INDEX(W:W, ROW()-COUNTIF($F$6:INDEX($F:$F, ROW()-1), $F109)) : INDEX(W:W, ROW()-1)),
    COUNTIFS(
      unit_details[Leased Date], "&gt;="&amp;($AM$2-T$5),
      unit_details[Leased Date], "&lt;"&amp;$AM$2,
      unit_details[Beds], $L110,
      unit_details[Baths], $M110,
      unit_details[Partial Baths], IF(ISNUMBER($N110), $N110, ""),
      unit_details[Sqft],$P110,
      unit_details[Property Name], $F110
    )
  ),
"")</f>
        <v>0</v>
      </c>
      <c r="X110" s="531" t="str">
        <f>IFERROR(
 IF($F110="Total",
   SUMPRODUCT(
   INDEX(X:X, ROW()-COUNTIF($F$6:INDEX($F:$F, ROW()-1), $F109)) : INDEX(X:X, ROW()-1),
   INDEX(AA:AA, ROW()-COUNTIF($F$6:INDEX($F:$F, ROW()-1), $F109)) : INDEX(AA:AA, ROW()-1)
   )
   /SUM(INDEX(AA:AA, ROW()-COUNTIF($F$6:INDEX($F:$F, ROW()-1), $F109)) : INDEX(AA:AA, ROW()-1)),
   AVERAGEIFS(
     INDEX((unit_details[Asking Rent],unit_details[Asking PSF]),0,1,IF($U$3="Chunk Rent",1,2)),
     unit_details[Leased Date],"&gt;="&amp;($AM$2-X$5),
     unit_details[Leased Date],"&lt;"&amp;$AM$2,
     unit_details[Beds],$L110,
     unit_details[Baths],$M110,
     unit_details[Partial Baths],IF(ISNUMBER($N110),$N110,""),
     unit_details[Sqft],$P110,
     unit_details[Property Name],$F110)
 ),"")</f>
        <v/>
      </c>
      <c r="Y110" s="552" t="str">
        <f>IFERROR(
 IF($F110="Total",
   SUMPRODUCT(
   INDEX(Y:Y, ROW()-COUNTIF($F$6:INDEX($F:$F, ROW()-1), $F109)) : INDEX(Y:Y, ROW()-1),
   INDEX(AA:AA, ROW()-COUNTIF($F$6:INDEX($F:$F, ROW()-1), $F109)) : INDEX(AA:AA, ROW()-1)
   )
   /SUM(INDEX(AA:AA, ROW()-COUNTIF($F$6:INDEX($F:$F, ROW()-1), $F109)) : INDEX(AA:AA, ROW()-1)),
   AVERAGEIFS(
     INDEX((unit_details[Effective Rent],unit_details[Effective PSF]),0,1,IF($U$3="Chunk Rent",1,2)),
     unit_details[Leased Date],"&gt;="&amp;($AM$2-X$5),
     unit_details[Leased Date],"&lt;"&amp;$AM$2,
     unit_details[Beds],$L110,
     unit_details[Baths],$M110,
     unit_details[Partial Baths],IF(ISNUMBER($N110),$N110,""),
     unit_details[Sqft],$P110,
     unit_details[Property Name],$F110)
 ),"")</f>
        <v/>
      </c>
      <c r="Z110" s="27" t="str">
        <f t="shared" si="22"/>
        <v/>
      </c>
      <c r="AA110" s="526">
        <f>IFERROR(
  IF($F110="Total",
    SUM(INDEX(AA:AA, ROW()-COUNTIF($F$6:INDEX($F:$F, ROW()-1), $F109)) : INDEX(AA:AA, ROW()-1)),
    COUNTIFS(
      unit_details[Leased Date], "&gt;="&amp;($AM$2-X$5),
      unit_details[Leased Date], "&lt;"&amp;$AM$2,
      unit_details[Beds], $L110,
      unit_details[Baths], $M110,
      unit_details[Partial Baths], IF(ISNUMBER($N110), $N110, ""),
      unit_details[Sqft],$P110,
      unit_details[Property Name], $F110
    )
  ),
"")</f>
        <v>0</v>
      </c>
      <c r="AB110" s="290">
        <f>IF($F110="Total",
SUM(INDEX(AB:AB, ROW()-COUNTIF($F$6:INDEX($F:$F, ROW()-1), $F109)) : INDEX(AB:AB, ROW()-1)),
COUNTIFS(unit_details[Active Listing?],TRUE,
          unit_details[Property Name], $F110,
          unit_details[Beds], $L110,
          unit_details[Baths], $M110,
          unit_details[Partial Baths],IF(ISNUMBER($N110),$N110,""),
          unit_details[Sqft],$P110))</f>
        <v>0</v>
      </c>
      <c r="AC110" s="27" t="str">
        <f t="shared" si="14"/>
        <v/>
      </c>
      <c r="AD110" s="293" t="str">
        <f>IFERROR(IF(AE110="","",IF($F110="Total",
SUMPRODUCT(
   INDEX(AD:AD, ROW()-COUNTIF($F$6:INDEX($F:$F, ROW()-1), $F109)) : INDEX(AD:AD, ROW()-1),
   INDEX(AB:AB, ROW()-COUNTIF($F$6:INDEX($F:$F, ROW()-1), $F109)) : INDEX(AB:AB, ROW()-1)
   )
   /SUM(INDEX(AB:AB, ROW()-COUNTIF($F$6:INDEX($F:$F, ROW()-1), $F109)) : INDEX(AB:AB, ROW()-1)),
          _xlfn.MINIFS(unit_details[Asking Rent],
          unit_details[Active Listing?],TRUE,
          unit_details[Property Name], $F110,
          unit_details[Beds], $L110,
          unit_details[Baths], $M110,
          unit_details[Partial Baths], IF(ISNUMBER($N110),$N110,""),
          unit_details[Sqft],$P110
))),"")</f>
        <v/>
      </c>
      <c r="AE110" s="5" t="str">
        <f>IFERROR(IF($F110="Total",
          SUMPRODUCT(
   INDEX(AE:AE, ROW()-COUNTIF($F$6:INDEX($F:$F, ROW()-1), $F109)) : INDEX(AE:AE, ROW()-1),
   INDEX(AB:AB, ROW()-COUNTIF($F$6:INDEX($F:$F, ROW()-1), $F109)) : INDEX(AB:AB, ROW()-1)
   )
   /SUM(INDEX(AB:AB, ROW()-COUNTIF($F$6:INDEX($F:$F, ROW()-1), $F109)) : INDEX(AB:AB, ROW()-1)),
          AVERAGEIFS(unit_details[Asking Rent],
          unit_details[Active Listing?],TRUE,
          unit_details[Property Name], $F110,
          unit_details[Beds], $L110,
          unit_details[Baths], $M110,
          unit_details[Partial Baths], IF(ISNUMBER($N110),$N110,""),
          unit_details[Sqft],$P110
)),"")</f>
        <v/>
      </c>
      <c r="AF110" s="5" t="str">
        <f>IFERROR(IF(AE110="","",IF($F110="Total",
SUMPRODUCT(
   INDEX(AF:AF, ROW()-COUNTIF($F$6:INDEX($F:$F, ROW()-1), $F109)) : INDEX(AF:AF, ROW()-1),
   INDEX(AB:AB, ROW()-COUNTIF($F$6:INDEX($F:$F, ROW()-1), $F109)) : INDEX(AB:AB, ROW()-1)
   )
   /SUM(INDEX(AB:AB, ROW()-COUNTIF($F$6:INDEX($F:$F, ROW()-1), $F109)) : INDEX(AB:AB, ROW()-1)),
           _xlfn.MAXIFS(unit_details[Asking Rent],
          unit_details[Active Listing?],TRUE,
          unit_details[Property Name], $F110,
          unit_details[Beds], $L110,
          unit_details[Baths], $M110,
          unit_details[Partial Baths], IF(ISNUMBER($N110),$N110,""),
          unit_details[Sqft],$P110
))),"")</f>
        <v/>
      </c>
      <c r="AG110" s="6" t="str">
        <f>IFERROR(IF($F110="Total",
         SUMPRODUCT(
         INDEX(AG:AG, ROW()-COUNTIF($F$6:INDEX($F:$F, ROW()-1), $F109)) : INDEX(AG:AG, ROW()-1),
         INDEX(AB:AB, ROW()-COUNTIF($F$6:INDEX($F:$F, ROW()-1), $F109)) : INDEX(AB:AB, ROW()-1)
         )
         /SUM(INDEX(AB:AB, ROW()-COUNTIF($F$6:INDEX($F:$F, ROW()-1), $F109)) : INDEX(AB:AB, ROW()-1)),
          AVERAGEIFS(unit_details[Asking PSF],
          unit_details[Active Listing?],TRUE,
          unit_details[Property Name], $F110,
          unit_details[Beds], $L110,
          unit_details[Baths], $M110,
          unit_details[Partial Baths], IF(ISNUMBER($N110),$N110,""),
          unit_details[Sqft],$P110
)),"")</f>
        <v/>
      </c>
      <c r="AH110" s="293" t="str">
        <f>IFERROR(IF($F110="Total",
         SUMPRODUCT(
         INDEX(AH:AH, ROW()-COUNTIF($F$6:INDEX($F:$F, ROW()-1), $F109)) : INDEX(AH:AH, ROW()-1),
         INDEX(AB:AB, ROW()-COUNTIF($F$6:INDEX($F:$F, ROW()-1), $F109)) : INDEX(AB:AB, ROW()-1)
         )
         /SUM(INDEX(AB:AB, ROW()-COUNTIF($F$6:INDEX($F:$F, ROW()-1), $F109)) : INDEX(AB:AB, ROW()-1)),
          AVERAGEIFS(unit_details[Effective Rent],
          unit_details[Active Listing?],TRUE,
          unit_details[Property Name], $F110,
          unit_details[Beds], $L110,
          unit_details[Baths], $M110,
          unit_details[Partial Baths], IF(ISNUMBER($N110),$N110,""),
          unit_details[Sqft],$P110
)),"")</f>
        <v/>
      </c>
      <c r="AI110" s="6" t="str">
        <f>IFERROR(IF($F110="Total",
         SUMPRODUCT(
         INDEX(AI:AI, ROW()-COUNTIF($F$6:INDEX($F:$F, ROW()-1), $F109)) : INDEX(AI:AI, ROW()-1),
         INDEX(AB:AB, ROW()-COUNTIF($F$6:INDEX($F:$F, ROW()-1), $F109)) : INDEX(AB:AB, ROW()-1)
         )
         /SUM(INDEX(AB:AB, ROW()-COUNTIF($F$6:INDEX($F:$F, ROW()-1), $F109)) : INDEX(AB:AB, ROW()-1)),
           AVERAGEIFS(unit_details[Effective PSF],
          unit_details[Active Listing?],TRUE,
          unit_details[Property Name], $F110,
          unit_details[Beds], $L110,
          unit_details[Baths], $M110,
          unit_details[Partial Baths], IF(ISNUMBER($N110),$N110,""),
          unit_details[Sqft],$P110
)),"")</f>
        <v/>
      </c>
      <c r="AJ110" s="824" t="str">
        <f t="shared" si="15"/>
        <v/>
      </c>
      <c r="AK110" s="531" t="str">
        <f t="shared" si="16"/>
        <v/>
      </c>
      <c r="AL110" s="714" t="str">
        <f t="shared" si="17"/>
        <v/>
      </c>
      <c r="AM110" s="531" t="str">
        <f t="shared" si="18"/>
        <v/>
      </c>
      <c r="AN110" s="716" t="str">
        <f t="shared" si="19"/>
        <v/>
      </c>
    </row>
    <row r="111" spans="6:40" x14ac:dyDescent="0.2">
      <c r="F111" s="1" t="str">
        <f t="shared" si="12"/>
        <v/>
      </c>
      <c r="G111" s="713" t="str">
        <f t="shared" si="20"/>
        <v/>
      </c>
      <c r="H111" s="17" t="str">
        <f>IFERROR(VLOOKUP($G111,Table1[[Property]:[Exposure %]],4,0),"")</f>
        <v/>
      </c>
      <c r="I111" s="3" t="str">
        <f>IFERROR(VLOOKUP($G111,Table1[[Property]:[Exposure %]],6,0),"")</f>
        <v/>
      </c>
      <c r="J111" s="3" t="str">
        <f>IFERROR(VLOOKUP($G111,Table1[[Property]:[Exposure %]],7,0),"")</f>
        <v/>
      </c>
      <c r="K111"/>
      <c r="L111"/>
      <c r="M111"/>
      <c r="N111"/>
      <c r="O111"/>
      <c r="P111"/>
      <c r="Q111"/>
      <c r="R111" s="4" t="str">
        <f>IFERROR(VLOOKUP(IF(F111="Total",F110,F111),Table1[[Property]:['# Units]],7,0)*S111,"")</f>
        <v/>
      </c>
      <c r="S111" s="27" t="str">
        <f t="shared" si="13"/>
        <v/>
      </c>
      <c r="T111" s="531" t="str">
        <f>IFERROR(
 IF($F111="Total",
   SUMPRODUCT(
   INDEX(T:T, ROW()-COUNTIF($F$6:INDEX($F:$F, ROW()-1), $F110)) : INDEX(T:T, ROW()-1),
   INDEX(W:W, ROW()-COUNTIF($F$6:INDEX($F:$F, ROW()-1), $F110)) : INDEX(W:W, ROW()-1)
   )
   /SUM(INDEX(W:W, ROW()-COUNTIF($F$6:INDEX($F:$F, ROW()-1), $F110)) : INDEX(W:W, ROW()-1)),
   AVERAGEIFS(
     INDEX((unit_details[Asking Rent],unit_details[Asking PSF]),0,1,IF($U$3="Chunk Rent",1,2)),
     unit_details[Leased Date],"&gt;="&amp;($AM$2-T$5),
     unit_details[Leased Date],"&lt;"&amp;$AM$2,
     unit_details[Beds],$L111,
     unit_details[Baths],$M111,
     unit_details[Partial Baths],IF(ISNUMBER($N111),$N111,""),
     unit_details[Sqft],$P111,
     unit_details[Property Name],$F111)
 ),"")</f>
        <v/>
      </c>
      <c r="U111" s="552" t="str">
        <f>IFERROR(
 IF($F111="Total",
   SUMPRODUCT(
   INDEX(U:U, ROW()-COUNTIF($F$6:INDEX($F:$F, ROW()-1), $F110)) : INDEX(U:U, ROW()-1),
   INDEX(W:W, ROW()-COUNTIF($F$6:INDEX($F:$F, ROW()-1), $F110)) : INDEX(W:W, ROW()-1)
   )
   /SUM(INDEX(W:W, ROW()-COUNTIF($F$6:INDEX($F:$F, ROW()-1), $F110)) : INDEX(W:W, ROW()-1)),
   AVERAGEIFS(
     INDEX((unit_details[Effective Rent],unit_details[Effective PSF]),0,1,IF($U$3="Chunk Rent",1,2)),
     unit_details[Leased Date],"&gt;="&amp;($AM$2-T$5),
     unit_details[Leased Date],"&lt;"&amp;$AM$2,
     unit_details[Beds],$L111,
     unit_details[Baths],$M111,
     unit_details[Partial Baths],IF(ISNUMBER($N111),$N111,""),
     unit_details[Sqft],$P111,
     unit_details[Property Name],$F111)
 ),"")</f>
        <v/>
      </c>
      <c r="V111" s="27" t="str">
        <f t="shared" si="21"/>
        <v/>
      </c>
      <c r="W111" s="526">
        <f>IFERROR(
  IF($F111="Total",
    SUM(INDEX(W:W, ROW()-COUNTIF($F$6:INDEX($F:$F, ROW()-1), $F110)) : INDEX(W:W, ROW()-1)),
    COUNTIFS(
      unit_details[Leased Date], "&gt;="&amp;($AM$2-T$5),
      unit_details[Leased Date], "&lt;"&amp;$AM$2,
      unit_details[Beds], $L111,
      unit_details[Baths], $M111,
      unit_details[Partial Baths], IF(ISNUMBER($N111), $N111, ""),
      unit_details[Sqft],$P111,
      unit_details[Property Name], $F111
    )
  ),
"")</f>
        <v>0</v>
      </c>
      <c r="X111" s="531" t="str">
        <f>IFERROR(
 IF($F111="Total",
   SUMPRODUCT(
   INDEX(X:X, ROW()-COUNTIF($F$6:INDEX($F:$F, ROW()-1), $F110)) : INDEX(X:X, ROW()-1),
   INDEX(AA:AA, ROW()-COUNTIF($F$6:INDEX($F:$F, ROW()-1), $F110)) : INDEX(AA:AA, ROW()-1)
   )
   /SUM(INDEX(AA:AA, ROW()-COUNTIF($F$6:INDEX($F:$F, ROW()-1), $F110)) : INDEX(AA:AA, ROW()-1)),
   AVERAGEIFS(
     INDEX((unit_details[Asking Rent],unit_details[Asking PSF]),0,1,IF($U$3="Chunk Rent",1,2)),
     unit_details[Leased Date],"&gt;="&amp;($AM$2-X$5),
     unit_details[Leased Date],"&lt;"&amp;$AM$2,
     unit_details[Beds],$L111,
     unit_details[Baths],$M111,
     unit_details[Partial Baths],IF(ISNUMBER($N111),$N111,""),
     unit_details[Sqft],$P111,
     unit_details[Property Name],$F111)
 ),"")</f>
        <v/>
      </c>
      <c r="Y111" s="552" t="str">
        <f>IFERROR(
 IF($F111="Total",
   SUMPRODUCT(
   INDEX(Y:Y, ROW()-COUNTIF($F$6:INDEX($F:$F, ROW()-1), $F110)) : INDEX(Y:Y, ROW()-1),
   INDEX(AA:AA, ROW()-COUNTIF($F$6:INDEX($F:$F, ROW()-1), $F110)) : INDEX(AA:AA, ROW()-1)
   )
   /SUM(INDEX(AA:AA, ROW()-COUNTIF($F$6:INDEX($F:$F, ROW()-1), $F110)) : INDEX(AA:AA, ROW()-1)),
   AVERAGEIFS(
     INDEX((unit_details[Effective Rent],unit_details[Effective PSF]),0,1,IF($U$3="Chunk Rent",1,2)),
     unit_details[Leased Date],"&gt;="&amp;($AM$2-X$5),
     unit_details[Leased Date],"&lt;"&amp;$AM$2,
     unit_details[Beds],$L111,
     unit_details[Baths],$M111,
     unit_details[Partial Baths],IF(ISNUMBER($N111),$N111,""),
     unit_details[Sqft],$P111,
     unit_details[Property Name],$F111)
 ),"")</f>
        <v/>
      </c>
      <c r="Z111" s="27" t="str">
        <f t="shared" si="22"/>
        <v/>
      </c>
      <c r="AA111" s="526">
        <f>IFERROR(
  IF($F111="Total",
    SUM(INDEX(AA:AA, ROW()-COUNTIF($F$6:INDEX($F:$F, ROW()-1), $F110)) : INDEX(AA:AA, ROW()-1)),
    COUNTIFS(
      unit_details[Leased Date], "&gt;="&amp;($AM$2-X$5),
      unit_details[Leased Date], "&lt;"&amp;$AM$2,
      unit_details[Beds], $L111,
      unit_details[Baths], $M111,
      unit_details[Partial Baths], IF(ISNUMBER($N111), $N111, ""),
      unit_details[Sqft],$P111,
      unit_details[Property Name], $F111
    )
  ),
"")</f>
        <v>0</v>
      </c>
      <c r="AB111" s="290">
        <f>IF($F111="Total",
SUM(INDEX(AB:AB, ROW()-COUNTIF($F$6:INDEX($F:$F, ROW()-1), $F110)) : INDEX(AB:AB, ROW()-1)),
COUNTIFS(unit_details[Active Listing?],TRUE,
          unit_details[Property Name], $F111,
          unit_details[Beds], $L111,
          unit_details[Baths], $M111,
          unit_details[Partial Baths],IF(ISNUMBER($N111),$N111,""),
          unit_details[Sqft],$P111))</f>
        <v>0</v>
      </c>
      <c r="AC111" s="27" t="str">
        <f t="shared" si="14"/>
        <v/>
      </c>
      <c r="AD111" s="293" t="str">
        <f>IFERROR(IF(AE111="","",IF($F111="Total",
SUMPRODUCT(
   INDEX(AD:AD, ROW()-COUNTIF($F$6:INDEX($F:$F, ROW()-1), $F110)) : INDEX(AD:AD, ROW()-1),
   INDEX(AB:AB, ROW()-COUNTIF($F$6:INDEX($F:$F, ROW()-1), $F110)) : INDEX(AB:AB, ROW()-1)
   )
   /SUM(INDEX(AB:AB, ROW()-COUNTIF($F$6:INDEX($F:$F, ROW()-1), $F110)) : INDEX(AB:AB, ROW()-1)),
          _xlfn.MINIFS(unit_details[Asking Rent],
          unit_details[Active Listing?],TRUE,
          unit_details[Property Name], $F111,
          unit_details[Beds], $L111,
          unit_details[Baths], $M111,
          unit_details[Partial Baths], IF(ISNUMBER($N111),$N111,""),
          unit_details[Sqft],$P111
))),"")</f>
        <v/>
      </c>
      <c r="AE111" s="5" t="str">
        <f>IFERROR(IF($F111="Total",
          SUMPRODUCT(
   INDEX(AE:AE, ROW()-COUNTIF($F$6:INDEX($F:$F, ROW()-1), $F110)) : INDEX(AE:AE, ROW()-1),
   INDEX(AB:AB, ROW()-COUNTIF($F$6:INDEX($F:$F, ROW()-1), $F110)) : INDEX(AB:AB, ROW()-1)
   )
   /SUM(INDEX(AB:AB, ROW()-COUNTIF($F$6:INDEX($F:$F, ROW()-1), $F110)) : INDEX(AB:AB, ROW()-1)),
          AVERAGEIFS(unit_details[Asking Rent],
          unit_details[Active Listing?],TRUE,
          unit_details[Property Name], $F111,
          unit_details[Beds], $L111,
          unit_details[Baths], $M111,
          unit_details[Partial Baths], IF(ISNUMBER($N111),$N111,""),
          unit_details[Sqft],$P111
)),"")</f>
        <v/>
      </c>
      <c r="AF111" s="5" t="str">
        <f>IFERROR(IF(AE111="","",IF($F111="Total",
SUMPRODUCT(
   INDEX(AF:AF, ROW()-COUNTIF($F$6:INDEX($F:$F, ROW()-1), $F110)) : INDEX(AF:AF, ROW()-1),
   INDEX(AB:AB, ROW()-COUNTIF($F$6:INDEX($F:$F, ROW()-1), $F110)) : INDEX(AB:AB, ROW()-1)
   )
   /SUM(INDEX(AB:AB, ROW()-COUNTIF($F$6:INDEX($F:$F, ROW()-1), $F110)) : INDEX(AB:AB, ROW()-1)),
           _xlfn.MAXIFS(unit_details[Asking Rent],
          unit_details[Active Listing?],TRUE,
          unit_details[Property Name], $F111,
          unit_details[Beds], $L111,
          unit_details[Baths], $M111,
          unit_details[Partial Baths], IF(ISNUMBER($N111),$N111,""),
          unit_details[Sqft],$P111
))),"")</f>
        <v/>
      </c>
      <c r="AG111" s="6" t="str">
        <f>IFERROR(IF($F111="Total",
         SUMPRODUCT(
         INDEX(AG:AG, ROW()-COUNTIF($F$6:INDEX($F:$F, ROW()-1), $F110)) : INDEX(AG:AG, ROW()-1),
         INDEX(AB:AB, ROW()-COUNTIF($F$6:INDEX($F:$F, ROW()-1), $F110)) : INDEX(AB:AB, ROW()-1)
         )
         /SUM(INDEX(AB:AB, ROW()-COUNTIF($F$6:INDEX($F:$F, ROW()-1), $F110)) : INDEX(AB:AB, ROW()-1)),
          AVERAGEIFS(unit_details[Asking PSF],
          unit_details[Active Listing?],TRUE,
          unit_details[Property Name], $F111,
          unit_details[Beds], $L111,
          unit_details[Baths], $M111,
          unit_details[Partial Baths], IF(ISNUMBER($N111),$N111,""),
          unit_details[Sqft],$P111
)),"")</f>
        <v/>
      </c>
      <c r="AH111" s="293" t="str">
        <f>IFERROR(IF($F111="Total",
         SUMPRODUCT(
         INDEX(AH:AH, ROW()-COUNTIF($F$6:INDEX($F:$F, ROW()-1), $F110)) : INDEX(AH:AH, ROW()-1),
         INDEX(AB:AB, ROW()-COUNTIF($F$6:INDEX($F:$F, ROW()-1), $F110)) : INDEX(AB:AB, ROW()-1)
         )
         /SUM(INDEX(AB:AB, ROW()-COUNTIF($F$6:INDEX($F:$F, ROW()-1), $F110)) : INDEX(AB:AB, ROW()-1)),
          AVERAGEIFS(unit_details[Effective Rent],
          unit_details[Active Listing?],TRUE,
          unit_details[Property Name], $F111,
          unit_details[Beds], $L111,
          unit_details[Baths], $M111,
          unit_details[Partial Baths], IF(ISNUMBER($N111),$N111,""),
          unit_details[Sqft],$P111
)),"")</f>
        <v/>
      </c>
      <c r="AI111" s="6" t="str">
        <f>IFERROR(IF($F111="Total",
         SUMPRODUCT(
         INDEX(AI:AI, ROW()-COUNTIF($F$6:INDEX($F:$F, ROW()-1), $F110)) : INDEX(AI:AI, ROW()-1),
         INDEX(AB:AB, ROW()-COUNTIF($F$6:INDEX($F:$F, ROW()-1), $F110)) : INDEX(AB:AB, ROW()-1)
         )
         /SUM(INDEX(AB:AB, ROW()-COUNTIF($F$6:INDEX($F:$F, ROW()-1), $F110)) : INDEX(AB:AB, ROW()-1)),
           AVERAGEIFS(unit_details[Effective PSF],
          unit_details[Active Listing?],TRUE,
          unit_details[Property Name], $F111,
          unit_details[Beds], $L111,
          unit_details[Baths], $M111,
          unit_details[Partial Baths], IF(ISNUMBER($N111),$N111,""),
          unit_details[Sqft],$P111
)),"")</f>
        <v/>
      </c>
      <c r="AJ111" s="824" t="str">
        <f t="shared" si="15"/>
        <v/>
      </c>
      <c r="AK111" s="531" t="str">
        <f t="shared" si="16"/>
        <v/>
      </c>
      <c r="AL111" s="714" t="str">
        <f t="shared" si="17"/>
        <v/>
      </c>
      <c r="AM111" s="531" t="str">
        <f t="shared" si="18"/>
        <v/>
      </c>
      <c r="AN111" s="716" t="str">
        <f t="shared" si="19"/>
        <v/>
      </c>
    </row>
    <row r="112" spans="6:40" x14ac:dyDescent="0.2">
      <c r="F112" s="1" t="str">
        <f t="shared" si="12"/>
        <v/>
      </c>
      <c r="G112" s="713" t="str">
        <f t="shared" si="20"/>
        <v/>
      </c>
      <c r="H112" s="17" t="str">
        <f>IFERROR(VLOOKUP($G112,Table1[[Property]:[Exposure %]],4,0),"")</f>
        <v/>
      </c>
      <c r="I112" s="3" t="str">
        <f>IFERROR(VLOOKUP($G112,Table1[[Property]:[Exposure %]],6,0),"")</f>
        <v/>
      </c>
      <c r="J112" s="3" t="str">
        <f>IFERROR(VLOOKUP($G112,Table1[[Property]:[Exposure %]],7,0),"")</f>
        <v/>
      </c>
      <c r="K112"/>
      <c r="L112"/>
      <c r="M112"/>
      <c r="N112"/>
      <c r="O112"/>
      <c r="P112"/>
      <c r="Q112"/>
      <c r="R112" s="4" t="str">
        <f>IFERROR(VLOOKUP(IF(F112="Total",F111,F112),Table1[[Property]:['# Units]],7,0)*S112,"")</f>
        <v/>
      </c>
      <c r="S112" s="27" t="str">
        <f t="shared" si="13"/>
        <v/>
      </c>
      <c r="T112" s="531" t="str">
        <f>IFERROR(
 IF($F112="Total",
   SUMPRODUCT(
   INDEX(T:T, ROW()-COUNTIF($F$6:INDEX($F:$F, ROW()-1), $F111)) : INDEX(T:T, ROW()-1),
   INDEX(W:W, ROW()-COUNTIF($F$6:INDEX($F:$F, ROW()-1), $F111)) : INDEX(W:W, ROW()-1)
   )
   /SUM(INDEX(W:W, ROW()-COUNTIF($F$6:INDEX($F:$F, ROW()-1), $F111)) : INDEX(W:W, ROW()-1)),
   AVERAGEIFS(
     INDEX((unit_details[Asking Rent],unit_details[Asking PSF]),0,1,IF($U$3="Chunk Rent",1,2)),
     unit_details[Leased Date],"&gt;="&amp;($AM$2-T$5),
     unit_details[Leased Date],"&lt;"&amp;$AM$2,
     unit_details[Beds],$L112,
     unit_details[Baths],$M112,
     unit_details[Partial Baths],IF(ISNUMBER($N112),$N112,""),
     unit_details[Sqft],$P112,
     unit_details[Property Name],$F112)
 ),"")</f>
        <v/>
      </c>
      <c r="U112" s="552" t="str">
        <f>IFERROR(
 IF($F112="Total",
   SUMPRODUCT(
   INDEX(U:U, ROW()-COUNTIF($F$6:INDEX($F:$F, ROW()-1), $F111)) : INDEX(U:U, ROW()-1),
   INDEX(W:W, ROW()-COUNTIF($F$6:INDEX($F:$F, ROW()-1), $F111)) : INDEX(W:W, ROW()-1)
   )
   /SUM(INDEX(W:W, ROW()-COUNTIF($F$6:INDEX($F:$F, ROW()-1), $F111)) : INDEX(W:W, ROW()-1)),
   AVERAGEIFS(
     INDEX((unit_details[Effective Rent],unit_details[Effective PSF]),0,1,IF($U$3="Chunk Rent",1,2)),
     unit_details[Leased Date],"&gt;="&amp;($AM$2-T$5),
     unit_details[Leased Date],"&lt;"&amp;$AM$2,
     unit_details[Beds],$L112,
     unit_details[Baths],$M112,
     unit_details[Partial Baths],IF(ISNUMBER($N112),$N112,""),
     unit_details[Sqft],$P112,
     unit_details[Property Name],$F112)
 ),"")</f>
        <v/>
      </c>
      <c r="V112" s="27" t="str">
        <f t="shared" si="21"/>
        <v/>
      </c>
      <c r="W112" s="526">
        <f>IFERROR(
  IF($F112="Total",
    SUM(INDEX(W:W, ROW()-COUNTIF($F$6:INDEX($F:$F, ROW()-1), $F111)) : INDEX(W:W, ROW()-1)),
    COUNTIFS(
      unit_details[Leased Date], "&gt;="&amp;($AM$2-T$5),
      unit_details[Leased Date], "&lt;"&amp;$AM$2,
      unit_details[Beds], $L112,
      unit_details[Baths], $M112,
      unit_details[Partial Baths], IF(ISNUMBER($N112), $N112, ""),
      unit_details[Sqft],$P112,
      unit_details[Property Name], $F112
    )
  ),
"")</f>
        <v>0</v>
      </c>
      <c r="X112" s="531" t="str">
        <f>IFERROR(
 IF($F112="Total",
   SUMPRODUCT(
   INDEX(X:X, ROW()-COUNTIF($F$6:INDEX($F:$F, ROW()-1), $F111)) : INDEX(X:X, ROW()-1),
   INDEX(AA:AA, ROW()-COUNTIF($F$6:INDEX($F:$F, ROW()-1), $F111)) : INDEX(AA:AA, ROW()-1)
   )
   /SUM(INDEX(AA:AA, ROW()-COUNTIF($F$6:INDEX($F:$F, ROW()-1), $F111)) : INDEX(AA:AA, ROW()-1)),
   AVERAGEIFS(
     INDEX((unit_details[Asking Rent],unit_details[Asking PSF]),0,1,IF($U$3="Chunk Rent",1,2)),
     unit_details[Leased Date],"&gt;="&amp;($AM$2-X$5),
     unit_details[Leased Date],"&lt;"&amp;$AM$2,
     unit_details[Beds],$L112,
     unit_details[Baths],$M112,
     unit_details[Partial Baths],IF(ISNUMBER($N112),$N112,""),
     unit_details[Sqft],$P112,
     unit_details[Property Name],$F112)
 ),"")</f>
        <v/>
      </c>
      <c r="Y112" s="552" t="str">
        <f>IFERROR(
 IF($F112="Total",
   SUMPRODUCT(
   INDEX(Y:Y, ROW()-COUNTIF($F$6:INDEX($F:$F, ROW()-1), $F111)) : INDEX(Y:Y, ROW()-1),
   INDEX(AA:AA, ROW()-COUNTIF($F$6:INDEX($F:$F, ROW()-1), $F111)) : INDEX(AA:AA, ROW()-1)
   )
   /SUM(INDEX(AA:AA, ROW()-COUNTIF($F$6:INDEX($F:$F, ROW()-1), $F111)) : INDEX(AA:AA, ROW()-1)),
   AVERAGEIFS(
     INDEX((unit_details[Effective Rent],unit_details[Effective PSF]),0,1,IF($U$3="Chunk Rent",1,2)),
     unit_details[Leased Date],"&gt;="&amp;($AM$2-X$5),
     unit_details[Leased Date],"&lt;"&amp;$AM$2,
     unit_details[Beds],$L112,
     unit_details[Baths],$M112,
     unit_details[Partial Baths],IF(ISNUMBER($N112),$N112,""),
     unit_details[Sqft],$P112,
     unit_details[Property Name],$F112)
 ),"")</f>
        <v/>
      </c>
      <c r="Z112" s="27" t="str">
        <f t="shared" si="22"/>
        <v/>
      </c>
      <c r="AA112" s="526">
        <f>IFERROR(
  IF($F112="Total",
    SUM(INDEX(AA:AA, ROW()-COUNTIF($F$6:INDEX($F:$F, ROW()-1), $F111)) : INDEX(AA:AA, ROW()-1)),
    COUNTIFS(
      unit_details[Leased Date], "&gt;="&amp;($AM$2-X$5),
      unit_details[Leased Date], "&lt;"&amp;$AM$2,
      unit_details[Beds], $L112,
      unit_details[Baths], $M112,
      unit_details[Partial Baths], IF(ISNUMBER($N112), $N112, ""),
      unit_details[Sqft],$P112,
      unit_details[Property Name], $F112
    )
  ),
"")</f>
        <v>0</v>
      </c>
      <c r="AB112" s="290">
        <f>IF($F112="Total",
SUM(INDEX(AB:AB, ROW()-COUNTIF($F$6:INDEX($F:$F, ROW()-1), $F111)) : INDEX(AB:AB, ROW()-1)),
COUNTIFS(unit_details[Active Listing?],TRUE,
          unit_details[Property Name], $F112,
          unit_details[Beds], $L112,
          unit_details[Baths], $M112,
          unit_details[Partial Baths],IF(ISNUMBER($N112),$N112,""),
          unit_details[Sqft],$P112))</f>
        <v>0</v>
      </c>
      <c r="AC112" s="27" t="str">
        <f t="shared" si="14"/>
        <v/>
      </c>
      <c r="AD112" s="293" t="str">
        <f>IFERROR(IF(AE112="","",IF($F112="Total",
SUMPRODUCT(
   INDEX(AD:AD, ROW()-COUNTIF($F$6:INDEX($F:$F, ROW()-1), $F111)) : INDEX(AD:AD, ROW()-1),
   INDEX(AB:AB, ROW()-COUNTIF($F$6:INDEX($F:$F, ROW()-1), $F111)) : INDEX(AB:AB, ROW()-1)
   )
   /SUM(INDEX(AB:AB, ROW()-COUNTIF($F$6:INDEX($F:$F, ROW()-1), $F111)) : INDEX(AB:AB, ROW()-1)),
          _xlfn.MINIFS(unit_details[Asking Rent],
          unit_details[Active Listing?],TRUE,
          unit_details[Property Name], $F112,
          unit_details[Beds], $L112,
          unit_details[Baths], $M112,
          unit_details[Partial Baths], IF(ISNUMBER($N112),$N112,""),
          unit_details[Sqft],$P112
))),"")</f>
        <v/>
      </c>
      <c r="AE112" s="5" t="str">
        <f>IFERROR(IF($F112="Total",
          SUMPRODUCT(
   INDEX(AE:AE, ROW()-COUNTIF($F$6:INDEX($F:$F, ROW()-1), $F111)) : INDEX(AE:AE, ROW()-1),
   INDEX(AB:AB, ROW()-COUNTIF($F$6:INDEX($F:$F, ROW()-1), $F111)) : INDEX(AB:AB, ROW()-1)
   )
   /SUM(INDEX(AB:AB, ROW()-COUNTIF($F$6:INDEX($F:$F, ROW()-1), $F111)) : INDEX(AB:AB, ROW()-1)),
          AVERAGEIFS(unit_details[Asking Rent],
          unit_details[Active Listing?],TRUE,
          unit_details[Property Name], $F112,
          unit_details[Beds], $L112,
          unit_details[Baths], $M112,
          unit_details[Partial Baths], IF(ISNUMBER($N112),$N112,""),
          unit_details[Sqft],$P112
)),"")</f>
        <v/>
      </c>
      <c r="AF112" s="5" t="str">
        <f>IFERROR(IF(AE112="","",IF($F112="Total",
SUMPRODUCT(
   INDEX(AF:AF, ROW()-COUNTIF($F$6:INDEX($F:$F, ROW()-1), $F111)) : INDEX(AF:AF, ROW()-1),
   INDEX(AB:AB, ROW()-COUNTIF($F$6:INDEX($F:$F, ROW()-1), $F111)) : INDEX(AB:AB, ROW()-1)
   )
   /SUM(INDEX(AB:AB, ROW()-COUNTIF($F$6:INDEX($F:$F, ROW()-1), $F111)) : INDEX(AB:AB, ROW()-1)),
           _xlfn.MAXIFS(unit_details[Asking Rent],
          unit_details[Active Listing?],TRUE,
          unit_details[Property Name], $F112,
          unit_details[Beds], $L112,
          unit_details[Baths], $M112,
          unit_details[Partial Baths], IF(ISNUMBER($N112),$N112,""),
          unit_details[Sqft],$P112
))),"")</f>
        <v/>
      </c>
      <c r="AG112" s="6" t="str">
        <f>IFERROR(IF($F112="Total",
         SUMPRODUCT(
         INDEX(AG:AG, ROW()-COUNTIF($F$6:INDEX($F:$F, ROW()-1), $F111)) : INDEX(AG:AG, ROW()-1),
         INDEX(AB:AB, ROW()-COUNTIF($F$6:INDEX($F:$F, ROW()-1), $F111)) : INDEX(AB:AB, ROW()-1)
         )
         /SUM(INDEX(AB:AB, ROW()-COUNTIF($F$6:INDEX($F:$F, ROW()-1), $F111)) : INDEX(AB:AB, ROW()-1)),
          AVERAGEIFS(unit_details[Asking PSF],
          unit_details[Active Listing?],TRUE,
          unit_details[Property Name], $F112,
          unit_details[Beds], $L112,
          unit_details[Baths], $M112,
          unit_details[Partial Baths], IF(ISNUMBER($N112),$N112,""),
          unit_details[Sqft],$P112
)),"")</f>
        <v/>
      </c>
      <c r="AH112" s="293" t="str">
        <f>IFERROR(IF($F112="Total",
         SUMPRODUCT(
         INDEX(AH:AH, ROW()-COUNTIF($F$6:INDEX($F:$F, ROW()-1), $F111)) : INDEX(AH:AH, ROW()-1),
         INDEX(AB:AB, ROW()-COUNTIF($F$6:INDEX($F:$F, ROW()-1), $F111)) : INDEX(AB:AB, ROW()-1)
         )
         /SUM(INDEX(AB:AB, ROW()-COUNTIF($F$6:INDEX($F:$F, ROW()-1), $F111)) : INDEX(AB:AB, ROW()-1)),
          AVERAGEIFS(unit_details[Effective Rent],
          unit_details[Active Listing?],TRUE,
          unit_details[Property Name], $F112,
          unit_details[Beds], $L112,
          unit_details[Baths], $M112,
          unit_details[Partial Baths], IF(ISNUMBER($N112),$N112,""),
          unit_details[Sqft],$P112
)),"")</f>
        <v/>
      </c>
      <c r="AI112" s="6" t="str">
        <f>IFERROR(IF($F112="Total",
         SUMPRODUCT(
         INDEX(AI:AI, ROW()-COUNTIF($F$6:INDEX($F:$F, ROW()-1), $F111)) : INDEX(AI:AI, ROW()-1),
         INDEX(AB:AB, ROW()-COUNTIF($F$6:INDEX($F:$F, ROW()-1), $F111)) : INDEX(AB:AB, ROW()-1)
         )
         /SUM(INDEX(AB:AB, ROW()-COUNTIF($F$6:INDEX($F:$F, ROW()-1), $F111)) : INDEX(AB:AB, ROW()-1)),
           AVERAGEIFS(unit_details[Effective PSF],
          unit_details[Active Listing?],TRUE,
          unit_details[Property Name], $F112,
          unit_details[Beds], $L112,
          unit_details[Baths], $M112,
          unit_details[Partial Baths], IF(ISNUMBER($N112),$N112,""),
          unit_details[Sqft],$P112
)),"")</f>
        <v/>
      </c>
      <c r="AJ112" s="824" t="str">
        <f t="shared" si="15"/>
        <v/>
      </c>
      <c r="AK112" s="531" t="str">
        <f t="shared" si="16"/>
        <v/>
      </c>
      <c r="AL112" s="714" t="str">
        <f t="shared" si="17"/>
        <v/>
      </c>
      <c r="AM112" s="531" t="str">
        <f t="shared" si="18"/>
        <v/>
      </c>
      <c r="AN112" s="716" t="str">
        <f t="shared" si="19"/>
        <v/>
      </c>
    </row>
    <row r="113" spans="6:40" x14ac:dyDescent="0.2">
      <c r="F113" s="1" t="str">
        <f t="shared" si="12"/>
        <v/>
      </c>
      <c r="G113" s="713" t="str">
        <f t="shared" si="20"/>
        <v/>
      </c>
      <c r="H113" s="17" t="str">
        <f>IFERROR(VLOOKUP($G113,Table1[[Property]:[Exposure %]],4,0),"")</f>
        <v/>
      </c>
      <c r="I113" s="3" t="str">
        <f>IFERROR(VLOOKUP($G113,Table1[[Property]:[Exposure %]],6,0),"")</f>
        <v/>
      </c>
      <c r="J113" s="3" t="str">
        <f>IFERROR(VLOOKUP($G113,Table1[[Property]:[Exposure %]],7,0),"")</f>
        <v/>
      </c>
      <c r="K113"/>
      <c r="L113"/>
      <c r="M113"/>
      <c r="N113"/>
      <c r="O113"/>
      <c r="P113"/>
      <c r="Q113"/>
      <c r="R113" s="4" t="str">
        <f>IFERROR(VLOOKUP(IF(F113="Total",F112,F113),Table1[[Property]:['# Units]],7,0)*S113,"")</f>
        <v/>
      </c>
      <c r="S113" s="27" t="str">
        <f t="shared" si="13"/>
        <v/>
      </c>
      <c r="T113" s="531" t="str">
        <f>IFERROR(
 IF($F113="Total",
   SUMPRODUCT(
   INDEX(T:T, ROW()-COUNTIF($F$6:INDEX($F:$F, ROW()-1), $F112)) : INDEX(T:T, ROW()-1),
   INDEX(W:W, ROW()-COUNTIF($F$6:INDEX($F:$F, ROW()-1), $F112)) : INDEX(W:W, ROW()-1)
   )
   /SUM(INDEX(W:W, ROW()-COUNTIF($F$6:INDEX($F:$F, ROW()-1), $F112)) : INDEX(W:W, ROW()-1)),
   AVERAGEIFS(
     INDEX((unit_details[Asking Rent],unit_details[Asking PSF]),0,1,IF($U$3="Chunk Rent",1,2)),
     unit_details[Leased Date],"&gt;="&amp;($AM$2-T$5),
     unit_details[Leased Date],"&lt;"&amp;$AM$2,
     unit_details[Beds],$L113,
     unit_details[Baths],$M113,
     unit_details[Partial Baths],IF(ISNUMBER($N113),$N113,""),
     unit_details[Sqft],$P113,
     unit_details[Property Name],$F113)
 ),"")</f>
        <v/>
      </c>
      <c r="U113" s="552" t="str">
        <f>IFERROR(
 IF($F113="Total",
   SUMPRODUCT(
   INDEX(U:U, ROW()-COUNTIF($F$6:INDEX($F:$F, ROW()-1), $F112)) : INDEX(U:U, ROW()-1),
   INDEX(W:W, ROW()-COUNTIF($F$6:INDEX($F:$F, ROW()-1), $F112)) : INDEX(W:W, ROW()-1)
   )
   /SUM(INDEX(W:W, ROW()-COUNTIF($F$6:INDEX($F:$F, ROW()-1), $F112)) : INDEX(W:W, ROW()-1)),
   AVERAGEIFS(
     INDEX((unit_details[Effective Rent],unit_details[Effective PSF]),0,1,IF($U$3="Chunk Rent",1,2)),
     unit_details[Leased Date],"&gt;="&amp;($AM$2-T$5),
     unit_details[Leased Date],"&lt;"&amp;$AM$2,
     unit_details[Beds],$L113,
     unit_details[Baths],$M113,
     unit_details[Partial Baths],IF(ISNUMBER($N113),$N113,""),
     unit_details[Sqft],$P113,
     unit_details[Property Name],$F113)
 ),"")</f>
        <v/>
      </c>
      <c r="V113" s="27" t="str">
        <f t="shared" si="21"/>
        <v/>
      </c>
      <c r="W113" s="526">
        <f>IFERROR(
  IF($F113="Total",
    SUM(INDEX(W:W, ROW()-COUNTIF($F$6:INDEX($F:$F, ROW()-1), $F112)) : INDEX(W:W, ROW()-1)),
    COUNTIFS(
      unit_details[Leased Date], "&gt;="&amp;($AM$2-T$5),
      unit_details[Leased Date], "&lt;"&amp;$AM$2,
      unit_details[Beds], $L113,
      unit_details[Baths], $M113,
      unit_details[Partial Baths], IF(ISNUMBER($N113), $N113, ""),
      unit_details[Sqft],$P113,
      unit_details[Property Name], $F113
    )
  ),
"")</f>
        <v>0</v>
      </c>
      <c r="X113" s="531" t="str">
        <f>IFERROR(
 IF($F113="Total",
   SUMPRODUCT(
   INDEX(X:X, ROW()-COUNTIF($F$6:INDEX($F:$F, ROW()-1), $F112)) : INDEX(X:X, ROW()-1),
   INDEX(AA:AA, ROW()-COUNTIF($F$6:INDEX($F:$F, ROW()-1), $F112)) : INDEX(AA:AA, ROW()-1)
   )
   /SUM(INDEX(AA:AA, ROW()-COUNTIF($F$6:INDEX($F:$F, ROW()-1), $F112)) : INDEX(AA:AA, ROW()-1)),
   AVERAGEIFS(
     INDEX((unit_details[Asking Rent],unit_details[Asking PSF]),0,1,IF($U$3="Chunk Rent",1,2)),
     unit_details[Leased Date],"&gt;="&amp;($AM$2-X$5),
     unit_details[Leased Date],"&lt;"&amp;$AM$2,
     unit_details[Beds],$L113,
     unit_details[Baths],$M113,
     unit_details[Partial Baths],IF(ISNUMBER($N113),$N113,""),
     unit_details[Sqft],$P113,
     unit_details[Property Name],$F113)
 ),"")</f>
        <v/>
      </c>
      <c r="Y113" s="552" t="str">
        <f>IFERROR(
 IF($F113="Total",
   SUMPRODUCT(
   INDEX(Y:Y, ROW()-COUNTIF($F$6:INDEX($F:$F, ROW()-1), $F112)) : INDEX(Y:Y, ROW()-1),
   INDEX(AA:AA, ROW()-COUNTIF($F$6:INDEX($F:$F, ROW()-1), $F112)) : INDEX(AA:AA, ROW()-1)
   )
   /SUM(INDEX(AA:AA, ROW()-COUNTIF($F$6:INDEX($F:$F, ROW()-1), $F112)) : INDEX(AA:AA, ROW()-1)),
   AVERAGEIFS(
     INDEX((unit_details[Effective Rent],unit_details[Effective PSF]),0,1,IF($U$3="Chunk Rent",1,2)),
     unit_details[Leased Date],"&gt;="&amp;($AM$2-X$5),
     unit_details[Leased Date],"&lt;"&amp;$AM$2,
     unit_details[Beds],$L113,
     unit_details[Baths],$M113,
     unit_details[Partial Baths],IF(ISNUMBER($N113),$N113,""),
     unit_details[Sqft],$P113,
     unit_details[Property Name],$F113)
 ),"")</f>
        <v/>
      </c>
      <c r="Z113" s="27" t="str">
        <f t="shared" si="22"/>
        <v/>
      </c>
      <c r="AA113" s="526">
        <f>IFERROR(
  IF($F113="Total",
    SUM(INDEX(AA:AA, ROW()-COUNTIF($F$6:INDEX($F:$F, ROW()-1), $F112)) : INDEX(AA:AA, ROW()-1)),
    COUNTIFS(
      unit_details[Leased Date], "&gt;="&amp;($AM$2-X$5),
      unit_details[Leased Date], "&lt;"&amp;$AM$2,
      unit_details[Beds], $L113,
      unit_details[Baths], $M113,
      unit_details[Partial Baths], IF(ISNUMBER($N113), $N113, ""),
      unit_details[Sqft],$P113,
      unit_details[Property Name], $F113
    )
  ),
"")</f>
        <v>0</v>
      </c>
      <c r="AB113" s="290">
        <f>IF($F113="Total",
SUM(INDEX(AB:AB, ROW()-COUNTIF($F$6:INDEX($F:$F, ROW()-1), $F112)) : INDEX(AB:AB, ROW()-1)),
COUNTIFS(unit_details[Active Listing?],TRUE,
          unit_details[Property Name], $F113,
          unit_details[Beds], $L113,
          unit_details[Baths], $M113,
          unit_details[Partial Baths],IF(ISNUMBER($N113),$N113,""),
          unit_details[Sqft],$P113))</f>
        <v>0</v>
      </c>
      <c r="AC113" s="27" t="str">
        <f t="shared" si="14"/>
        <v/>
      </c>
      <c r="AD113" s="293" t="str">
        <f>IFERROR(IF(AE113="","",IF($F113="Total",
SUMPRODUCT(
   INDEX(AD:AD, ROW()-COUNTIF($F$6:INDEX($F:$F, ROW()-1), $F112)) : INDEX(AD:AD, ROW()-1),
   INDEX(AB:AB, ROW()-COUNTIF($F$6:INDEX($F:$F, ROW()-1), $F112)) : INDEX(AB:AB, ROW()-1)
   )
   /SUM(INDEX(AB:AB, ROW()-COUNTIF($F$6:INDEX($F:$F, ROW()-1), $F112)) : INDEX(AB:AB, ROW()-1)),
          _xlfn.MINIFS(unit_details[Asking Rent],
          unit_details[Active Listing?],TRUE,
          unit_details[Property Name], $F113,
          unit_details[Beds], $L113,
          unit_details[Baths], $M113,
          unit_details[Partial Baths], IF(ISNUMBER($N113),$N113,""),
          unit_details[Sqft],$P113
))),"")</f>
        <v/>
      </c>
      <c r="AE113" s="5" t="str">
        <f>IFERROR(IF($F113="Total",
          SUMPRODUCT(
   INDEX(AE:AE, ROW()-COUNTIF($F$6:INDEX($F:$F, ROW()-1), $F112)) : INDEX(AE:AE, ROW()-1),
   INDEX(AB:AB, ROW()-COUNTIF($F$6:INDEX($F:$F, ROW()-1), $F112)) : INDEX(AB:AB, ROW()-1)
   )
   /SUM(INDEX(AB:AB, ROW()-COUNTIF($F$6:INDEX($F:$F, ROW()-1), $F112)) : INDEX(AB:AB, ROW()-1)),
          AVERAGEIFS(unit_details[Asking Rent],
          unit_details[Active Listing?],TRUE,
          unit_details[Property Name], $F113,
          unit_details[Beds], $L113,
          unit_details[Baths], $M113,
          unit_details[Partial Baths], IF(ISNUMBER($N113),$N113,""),
          unit_details[Sqft],$P113
)),"")</f>
        <v/>
      </c>
      <c r="AF113" s="5" t="str">
        <f>IFERROR(IF(AE113="","",IF($F113="Total",
SUMPRODUCT(
   INDEX(AF:AF, ROW()-COUNTIF($F$6:INDEX($F:$F, ROW()-1), $F112)) : INDEX(AF:AF, ROW()-1),
   INDEX(AB:AB, ROW()-COUNTIF($F$6:INDEX($F:$F, ROW()-1), $F112)) : INDEX(AB:AB, ROW()-1)
   )
   /SUM(INDEX(AB:AB, ROW()-COUNTIF($F$6:INDEX($F:$F, ROW()-1), $F112)) : INDEX(AB:AB, ROW()-1)),
           _xlfn.MAXIFS(unit_details[Asking Rent],
          unit_details[Active Listing?],TRUE,
          unit_details[Property Name], $F113,
          unit_details[Beds], $L113,
          unit_details[Baths], $M113,
          unit_details[Partial Baths], IF(ISNUMBER($N113),$N113,""),
          unit_details[Sqft],$P113
))),"")</f>
        <v/>
      </c>
      <c r="AG113" s="6" t="str">
        <f>IFERROR(IF($F113="Total",
         SUMPRODUCT(
         INDEX(AG:AG, ROW()-COUNTIF($F$6:INDEX($F:$F, ROW()-1), $F112)) : INDEX(AG:AG, ROW()-1),
         INDEX(AB:AB, ROW()-COUNTIF($F$6:INDEX($F:$F, ROW()-1), $F112)) : INDEX(AB:AB, ROW()-1)
         )
         /SUM(INDEX(AB:AB, ROW()-COUNTIF($F$6:INDEX($F:$F, ROW()-1), $F112)) : INDEX(AB:AB, ROW()-1)),
          AVERAGEIFS(unit_details[Asking PSF],
          unit_details[Active Listing?],TRUE,
          unit_details[Property Name], $F113,
          unit_details[Beds], $L113,
          unit_details[Baths], $M113,
          unit_details[Partial Baths], IF(ISNUMBER($N113),$N113,""),
          unit_details[Sqft],$P113
)),"")</f>
        <v/>
      </c>
      <c r="AH113" s="293" t="str">
        <f>IFERROR(IF($F113="Total",
         SUMPRODUCT(
         INDEX(AH:AH, ROW()-COUNTIF($F$6:INDEX($F:$F, ROW()-1), $F112)) : INDEX(AH:AH, ROW()-1),
         INDEX(AB:AB, ROW()-COUNTIF($F$6:INDEX($F:$F, ROW()-1), $F112)) : INDEX(AB:AB, ROW()-1)
         )
         /SUM(INDEX(AB:AB, ROW()-COUNTIF($F$6:INDEX($F:$F, ROW()-1), $F112)) : INDEX(AB:AB, ROW()-1)),
          AVERAGEIFS(unit_details[Effective Rent],
          unit_details[Active Listing?],TRUE,
          unit_details[Property Name], $F113,
          unit_details[Beds], $L113,
          unit_details[Baths], $M113,
          unit_details[Partial Baths], IF(ISNUMBER($N113),$N113,""),
          unit_details[Sqft],$P113
)),"")</f>
        <v/>
      </c>
      <c r="AI113" s="6" t="str">
        <f>IFERROR(IF($F113="Total",
         SUMPRODUCT(
         INDEX(AI:AI, ROW()-COUNTIF($F$6:INDEX($F:$F, ROW()-1), $F112)) : INDEX(AI:AI, ROW()-1),
         INDEX(AB:AB, ROW()-COUNTIF($F$6:INDEX($F:$F, ROW()-1), $F112)) : INDEX(AB:AB, ROW()-1)
         )
         /SUM(INDEX(AB:AB, ROW()-COUNTIF($F$6:INDEX($F:$F, ROW()-1), $F112)) : INDEX(AB:AB, ROW()-1)),
           AVERAGEIFS(unit_details[Effective PSF],
          unit_details[Active Listing?],TRUE,
          unit_details[Property Name], $F113,
          unit_details[Beds], $L113,
          unit_details[Baths], $M113,
          unit_details[Partial Baths], IF(ISNUMBER($N113),$N113,""),
          unit_details[Sqft],$P113
)),"")</f>
        <v/>
      </c>
      <c r="AJ113" s="824" t="str">
        <f t="shared" si="15"/>
        <v/>
      </c>
      <c r="AK113" s="531" t="str">
        <f t="shared" si="16"/>
        <v/>
      </c>
      <c r="AL113" s="714" t="str">
        <f t="shared" si="17"/>
        <v/>
      </c>
      <c r="AM113" s="531" t="str">
        <f t="shared" si="18"/>
        <v/>
      </c>
      <c r="AN113" s="716" t="str">
        <f t="shared" si="19"/>
        <v/>
      </c>
    </row>
    <row r="114" spans="6:40" x14ac:dyDescent="0.2">
      <c r="F114" s="1" t="str">
        <f t="shared" si="12"/>
        <v/>
      </c>
      <c r="G114" s="713" t="str">
        <f t="shared" si="20"/>
        <v/>
      </c>
      <c r="H114" s="17" t="str">
        <f>IFERROR(VLOOKUP($G114,Table1[[Property]:[Exposure %]],4,0),"")</f>
        <v/>
      </c>
      <c r="I114" s="3" t="str">
        <f>IFERROR(VLOOKUP($G114,Table1[[Property]:[Exposure %]],6,0),"")</f>
        <v/>
      </c>
      <c r="J114" s="3" t="str">
        <f>IFERROR(VLOOKUP($G114,Table1[[Property]:[Exposure %]],7,0),"")</f>
        <v/>
      </c>
      <c r="K114"/>
      <c r="L114"/>
      <c r="M114"/>
      <c r="N114"/>
      <c r="O114"/>
      <c r="P114"/>
      <c r="Q114"/>
      <c r="R114" s="4" t="str">
        <f>IFERROR(VLOOKUP(IF(F114="Total",F113,F114),Table1[[Property]:['# Units]],7,0)*S114,"")</f>
        <v/>
      </c>
      <c r="S114" s="27" t="str">
        <f t="shared" si="13"/>
        <v/>
      </c>
      <c r="T114" s="531" t="str">
        <f>IFERROR(
 IF($F114="Total",
   SUMPRODUCT(
   INDEX(T:T, ROW()-COUNTIF($F$6:INDEX($F:$F, ROW()-1), $F113)) : INDEX(T:T, ROW()-1),
   INDEX(W:W, ROW()-COUNTIF($F$6:INDEX($F:$F, ROW()-1), $F113)) : INDEX(W:W, ROW()-1)
   )
   /SUM(INDEX(W:W, ROW()-COUNTIF($F$6:INDEX($F:$F, ROW()-1), $F113)) : INDEX(W:W, ROW()-1)),
   AVERAGEIFS(
     INDEX((unit_details[Asking Rent],unit_details[Asking PSF]),0,1,IF($U$3="Chunk Rent",1,2)),
     unit_details[Leased Date],"&gt;="&amp;($AM$2-T$5),
     unit_details[Leased Date],"&lt;"&amp;$AM$2,
     unit_details[Beds],$L114,
     unit_details[Baths],$M114,
     unit_details[Partial Baths],IF(ISNUMBER($N114),$N114,""),
     unit_details[Sqft],$P114,
     unit_details[Property Name],$F114)
 ),"")</f>
        <v/>
      </c>
      <c r="U114" s="552" t="str">
        <f>IFERROR(
 IF($F114="Total",
   SUMPRODUCT(
   INDEX(U:U, ROW()-COUNTIF($F$6:INDEX($F:$F, ROW()-1), $F113)) : INDEX(U:U, ROW()-1),
   INDEX(W:W, ROW()-COUNTIF($F$6:INDEX($F:$F, ROW()-1), $F113)) : INDEX(W:W, ROW()-1)
   )
   /SUM(INDEX(W:W, ROW()-COUNTIF($F$6:INDEX($F:$F, ROW()-1), $F113)) : INDEX(W:W, ROW()-1)),
   AVERAGEIFS(
     INDEX((unit_details[Effective Rent],unit_details[Effective PSF]),0,1,IF($U$3="Chunk Rent",1,2)),
     unit_details[Leased Date],"&gt;="&amp;($AM$2-T$5),
     unit_details[Leased Date],"&lt;"&amp;$AM$2,
     unit_details[Beds],$L114,
     unit_details[Baths],$M114,
     unit_details[Partial Baths],IF(ISNUMBER($N114),$N114,""),
     unit_details[Sqft],$P114,
     unit_details[Property Name],$F114)
 ),"")</f>
        <v/>
      </c>
      <c r="V114" s="27" t="str">
        <f t="shared" si="21"/>
        <v/>
      </c>
      <c r="W114" s="526">
        <f>IFERROR(
  IF($F114="Total",
    SUM(INDEX(W:W, ROW()-COUNTIF($F$6:INDEX($F:$F, ROW()-1), $F113)) : INDEX(W:W, ROW()-1)),
    COUNTIFS(
      unit_details[Leased Date], "&gt;="&amp;($AM$2-T$5),
      unit_details[Leased Date], "&lt;"&amp;$AM$2,
      unit_details[Beds], $L114,
      unit_details[Baths], $M114,
      unit_details[Partial Baths], IF(ISNUMBER($N114), $N114, ""),
      unit_details[Sqft],$P114,
      unit_details[Property Name], $F114
    )
  ),
"")</f>
        <v>0</v>
      </c>
      <c r="X114" s="531" t="str">
        <f>IFERROR(
 IF($F114="Total",
   SUMPRODUCT(
   INDEX(X:X, ROW()-COUNTIF($F$6:INDEX($F:$F, ROW()-1), $F113)) : INDEX(X:X, ROW()-1),
   INDEX(AA:AA, ROW()-COUNTIF($F$6:INDEX($F:$F, ROW()-1), $F113)) : INDEX(AA:AA, ROW()-1)
   )
   /SUM(INDEX(AA:AA, ROW()-COUNTIF($F$6:INDEX($F:$F, ROW()-1), $F113)) : INDEX(AA:AA, ROW()-1)),
   AVERAGEIFS(
     INDEX((unit_details[Asking Rent],unit_details[Asking PSF]),0,1,IF($U$3="Chunk Rent",1,2)),
     unit_details[Leased Date],"&gt;="&amp;($AM$2-X$5),
     unit_details[Leased Date],"&lt;"&amp;$AM$2,
     unit_details[Beds],$L114,
     unit_details[Baths],$M114,
     unit_details[Partial Baths],IF(ISNUMBER($N114),$N114,""),
     unit_details[Sqft],$P114,
     unit_details[Property Name],$F114)
 ),"")</f>
        <v/>
      </c>
      <c r="Y114" s="552" t="str">
        <f>IFERROR(
 IF($F114="Total",
   SUMPRODUCT(
   INDEX(Y:Y, ROW()-COUNTIF($F$6:INDEX($F:$F, ROW()-1), $F113)) : INDEX(Y:Y, ROW()-1),
   INDEX(AA:AA, ROW()-COUNTIF($F$6:INDEX($F:$F, ROW()-1), $F113)) : INDEX(AA:AA, ROW()-1)
   )
   /SUM(INDEX(AA:AA, ROW()-COUNTIF($F$6:INDEX($F:$F, ROW()-1), $F113)) : INDEX(AA:AA, ROW()-1)),
   AVERAGEIFS(
     INDEX((unit_details[Effective Rent],unit_details[Effective PSF]),0,1,IF($U$3="Chunk Rent",1,2)),
     unit_details[Leased Date],"&gt;="&amp;($AM$2-X$5),
     unit_details[Leased Date],"&lt;"&amp;$AM$2,
     unit_details[Beds],$L114,
     unit_details[Baths],$M114,
     unit_details[Partial Baths],IF(ISNUMBER($N114),$N114,""),
     unit_details[Sqft],$P114,
     unit_details[Property Name],$F114)
 ),"")</f>
        <v/>
      </c>
      <c r="Z114" s="27" t="str">
        <f t="shared" si="22"/>
        <v/>
      </c>
      <c r="AA114" s="526">
        <f>IFERROR(
  IF($F114="Total",
    SUM(INDEX(AA:AA, ROW()-COUNTIF($F$6:INDEX($F:$F, ROW()-1), $F113)) : INDEX(AA:AA, ROW()-1)),
    COUNTIFS(
      unit_details[Leased Date], "&gt;="&amp;($AM$2-X$5),
      unit_details[Leased Date], "&lt;"&amp;$AM$2,
      unit_details[Beds], $L114,
      unit_details[Baths], $M114,
      unit_details[Partial Baths], IF(ISNUMBER($N114), $N114, ""),
      unit_details[Sqft],$P114,
      unit_details[Property Name], $F114
    )
  ),
"")</f>
        <v>0</v>
      </c>
      <c r="AB114" s="290">
        <f>IF($F114="Total",
SUM(INDEX(AB:AB, ROW()-COUNTIF($F$6:INDEX($F:$F, ROW()-1), $F113)) : INDEX(AB:AB, ROW()-1)),
COUNTIFS(unit_details[Active Listing?],TRUE,
          unit_details[Property Name], $F114,
          unit_details[Beds], $L114,
          unit_details[Baths], $M114,
          unit_details[Partial Baths],IF(ISNUMBER($N114),$N114,""),
          unit_details[Sqft],$P114))</f>
        <v>0</v>
      </c>
      <c r="AC114" s="27" t="str">
        <f t="shared" si="14"/>
        <v/>
      </c>
      <c r="AD114" s="293" t="str">
        <f>IFERROR(IF(AE114="","",IF($F114="Total",
SUMPRODUCT(
   INDEX(AD:AD, ROW()-COUNTIF($F$6:INDEX($F:$F, ROW()-1), $F113)) : INDEX(AD:AD, ROW()-1),
   INDEX(AB:AB, ROW()-COUNTIF($F$6:INDEX($F:$F, ROW()-1), $F113)) : INDEX(AB:AB, ROW()-1)
   )
   /SUM(INDEX(AB:AB, ROW()-COUNTIF($F$6:INDEX($F:$F, ROW()-1), $F113)) : INDEX(AB:AB, ROW()-1)),
          _xlfn.MINIFS(unit_details[Asking Rent],
          unit_details[Active Listing?],TRUE,
          unit_details[Property Name], $F114,
          unit_details[Beds], $L114,
          unit_details[Baths], $M114,
          unit_details[Partial Baths], IF(ISNUMBER($N114),$N114,""),
          unit_details[Sqft],$P114
))),"")</f>
        <v/>
      </c>
      <c r="AE114" s="5" t="str">
        <f>IFERROR(IF($F114="Total",
          SUMPRODUCT(
   INDEX(AE:AE, ROW()-COUNTIF($F$6:INDEX($F:$F, ROW()-1), $F113)) : INDEX(AE:AE, ROW()-1),
   INDEX(AB:AB, ROW()-COUNTIF($F$6:INDEX($F:$F, ROW()-1), $F113)) : INDEX(AB:AB, ROW()-1)
   )
   /SUM(INDEX(AB:AB, ROW()-COUNTIF($F$6:INDEX($F:$F, ROW()-1), $F113)) : INDEX(AB:AB, ROW()-1)),
          AVERAGEIFS(unit_details[Asking Rent],
          unit_details[Active Listing?],TRUE,
          unit_details[Property Name], $F114,
          unit_details[Beds], $L114,
          unit_details[Baths], $M114,
          unit_details[Partial Baths], IF(ISNUMBER($N114),$N114,""),
          unit_details[Sqft],$P114
)),"")</f>
        <v/>
      </c>
      <c r="AF114" s="5" t="str">
        <f>IFERROR(IF(AE114="","",IF($F114="Total",
SUMPRODUCT(
   INDEX(AF:AF, ROW()-COUNTIF($F$6:INDEX($F:$F, ROW()-1), $F113)) : INDEX(AF:AF, ROW()-1),
   INDEX(AB:AB, ROW()-COUNTIF($F$6:INDEX($F:$F, ROW()-1), $F113)) : INDEX(AB:AB, ROW()-1)
   )
   /SUM(INDEX(AB:AB, ROW()-COUNTIF($F$6:INDEX($F:$F, ROW()-1), $F113)) : INDEX(AB:AB, ROW()-1)),
           _xlfn.MAXIFS(unit_details[Asking Rent],
          unit_details[Active Listing?],TRUE,
          unit_details[Property Name], $F114,
          unit_details[Beds], $L114,
          unit_details[Baths], $M114,
          unit_details[Partial Baths], IF(ISNUMBER($N114),$N114,""),
          unit_details[Sqft],$P114
))),"")</f>
        <v/>
      </c>
      <c r="AG114" s="6" t="str">
        <f>IFERROR(IF($F114="Total",
         SUMPRODUCT(
         INDEX(AG:AG, ROW()-COUNTIF($F$6:INDEX($F:$F, ROW()-1), $F113)) : INDEX(AG:AG, ROW()-1),
         INDEX(AB:AB, ROW()-COUNTIF($F$6:INDEX($F:$F, ROW()-1), $F113)) : INDEX(AB:AB, ROW()-1)
         )
         /SUM(INDEX(AB:AB, ROW()-COUNTIF($F$6:INDEX($F:$F, ROW()-1), $F113)) : INDEX(AB:AB, ROW()-1)),
          AVERAGEIFS(unit_details[Asking PSF],
          unit_details[Active Listing?],TRUE,
          unit_details[Property Name], $F114,
          unit_details[Beds], $L114,
          unit_details[Baths], $M114,
          unit_details[Partial Baths], IF(ISNUMBER($N114),$N114,""),
          unit_details[Sqft],$P114
)),"")</f>
        <v/>
      </c>
      <c r="AH114" s="293" t="str">
        <f>IFERROR(IF($F114="Total",
         SUMPRODUCT(
         INDEX(AH:AH, ROW()-COUNTIF($F$6:INDEX($F:$F, ROW()-1), $F113)) : INDEX(AH:AH, ROW()-1),
         INDEX(AB:AB, ROW()-COUNTIF($F$6:INDEX($F:$F, ROW()-1), $F113)) : INDEX(AB:AB, ROW()-1)
         )
         /SUM(INDEX(AB:AB, ROW()-COUNTIF($F$6:INDEX($F:$F, ROW()-1), $F113)) : INDEX(AB:AB, ROW()-1)),
          AVERAGEIFS(unit_details[Effective Rent],
          unit_details[Active Listing?],TRUE,
          unit_details[Property Name], $F114,
          unit_details[Beds], $L114,
          unit_details[Baths], $M114,
          unit_details[Partial Baths], IF(ISNUMBER($N114),$N114,""),
          unit_details[Sqft],$P114
)),"")</f>
        <v/>
      </c>
      <c r="AI114" s="6" t="str">
        <f>IFERROR(IF($F114="Total",
         SUMPRODUCT(
         INDEX(AI:AI, ROW()-COUNTIF($F$6:INDEX($F:$F, ROW()-1), $F113)) : INDEX(AI:AI, ROW()-1),
         INDEX(AB:AB, ROW()-COUNTIF($F$6:INDEX($F:$F, ROW()-1), $F113)) : INDEX(AB:AB, ROW()-1)
         )
         /SUM(INDEX(AB:AB, ROW()-COUNTIF($F$6:INDEX($F:$F, ROW()-1), $F113)) : INDEX(AB:AB, ROW()-1)),
           AVERAGEIFS(unit_details[Effective PSF],
          unit_details[Active Listing?],TRUE,
          unit_details[Property Name], $F114,
          unit_details[Beds], $L114,
          unit_details[Baths], $M114,
          unit_details[Partial Baths], IF(ISNUMBER($N114),$N114,""),
          unit_details[Sqft],$P114
)),"")</f>
        <v/>
      </c>
      <c r="AJ114" s="824" t="str">
        <f t="shared" si="15"/>
        <v/>
      </c>
      <c r="AK114" s="531" t="str">
        <f t="shared" si="16"/>
        <v/>
      </c>
      <c r="AL114" s="714" t="str">
        <f t="shared" si="17"/>
        <v/>
      </c>
      <c r="AM114" s="531" t="str">
        <f t="shared" si="18"/>
        <v/>
      </c>
      <c r="AN114" s="716" t="str">
        <f t="shared" si="19"/>
        <v/>
      </c>
    </row>
    <row r="115" spans="6:40" x14ac:dyDescent="0.2">
      <c r="F115" s="1" t="str">
        <f t="shared" si="12"/>
        <v/>
      </c>
      <c r="G115" s="713" t="str">
        <f t="shared" si="20"/>
        <v/>
      </c>
      <c r="H115" s="17" t="str">
        <f>IFERROR(VLOOKUP($G115,Table1[[Property]:[Exposure %]],4,0),"")</f>
        <v/>
      </c>
      <c r="I115" s="3" t="str">
        <f>IFERROR(VLOOKUP($G115,Table1[[Property]:[Exposure %]],6,0),"")</f>
        <v/>
      </c>
      <c r="J115" s="3" t="str">
        <f>IFERROR(VLOOKUP($G115,Table1[[Property]:[Exposure %]],7,0),"")</f>
        <v/>
      </c>
      <c r="K115"/>
      <c r="L115"/>
      <c r="M115"/>
      <c r="N115"/>
      <c r="O115"/>
      <c r="P115"/>
      <c r="Q115"/>
      <c r="R115" s="4" t="str">
        <f>IFERROR(VLOOKUP(IF(F115="Total",F114,F115),Table1[[Property]:['# Units]],7,0)*S115,"")</f>
        <v/>
      </c>
      <c r="S115" s="27" t="str">
        <f t="shared" si="13"/>
        <v/>
      </c>
      <c r="T115" s="531" t="str">
        <f>IFERROR(
 IF($F115="Total",
   SUMPRODUCT(
   INDEX(T:T, ROW()-COUNTIF($F$6:INDEX($F:$F, ROW()-1), $F114)) : INDEX(T:T, ROW()-1),
   INDEX(W:W, ROW()-COUNTIF($F$6:INDEX($F:$F, ROW()-1), $F114)) : INDEX(W:W, ROW()-1)
   )
   /SUM(INDEX(W:W, ROW()-COUNTIF($F$6:INDEX($F:$F, ROW()-1), $F114)) : INDEX(W:W, ROW()-1)),
   AVERAGEIFS(
     INDEX((unit_details[Asking Rent],unit_details[Asking PSF]),0,1,IF($U$3="Chunk Rent",1,2)),
     unit_details[Leased Date],"&gt;="&amp;($AM$2-T$5),
     unit_details[Leased Date],"&lt;"&amp;$AM$2,
     unit_details[Beds],$L115,
     unit_details[Baths],$M115,
     unit_details[Partial Baths],IF(ISNUMBER($N115),$N115,""),
     unit_details[Sqft],$P115,
     unit_details[Property Name],$F115)
 ),"")</f>
        <v/>
      </c>
      <c r="U115" s="552" t="str">
        <f>IFERROR(
 IF($F115="Total",
   SUMPRODUCT(
   INDEX(U:U, ROW()-COUNTIF($F$6:INDEX($F:$F, ROW()-1), $F114)) : INDEX(U:U, ROW()-1),
   INDEX(W:W, ROW()-COUNTIF($F$6:INDEX($F:$F, ROW()-1), $F114)) : INDEX(W:W, ROW()-1)
   )
   /SUM(INDEX(W:W, ROW()-COUNTIF($F$6:INDEX($F:$F, ROW()-1), $F114)) : INDEX(W:W, ROW()-1)),
   AVERAGEIFS(
     INDEX((unit_details[Effective Rent],unit_details[Effective PSF]),0,1,IF($U$3="Chunk Rent",1,2)),
     unit_details[Leased Date],"&gt;="&amp;($AM$2-T$5),
     unit_details[Leased Date],"&lt;"&amp;$AM$2,
     unit_details[Beds],$L115,
     unit_details[Baths],$M115,
     unit_details[Partial Baths],IF(ISNUMBER($N115),$N115,""),
     unit_details[Sqft],$P115,
     unit_details[Property Name],$F115)
 ),"")</f>
        <v/>
      </c>
      <c r="V115" s="27" t="str">
        <f t="shared" si="21"/>
        <v/>
      </c>
      <c r="W115" s="526">
        <f>IFERROR(
  IF($F115="Total",
    SUM(INDEX(W:W, ROW()-COUNTIF($F$6:INDEX($F:$F, ROW()-1), $F114)) : INDEX(W:W, ROW()-1)),
    COUNTIFS(
      unit_details[Leased Date], "&gt;="&amp;($AM$2-T$5),
      unit_details[Leased Date], "&lt;"&amp;$AM$2,
      unit_details[Beds], $L115,
      unit_details[Baths], $M115,
      unit_details[Partial Baths], IF(ISNUMBER($N115), $N115, ""),
      unit_details[Sqft],$P115,
      unit_details[Property Name], $F115
    )
  ),
"")</f>
        <v>0</v>
      </c>
      <c r="X115" s="531" t="str">
        <f>IFERROR(
 IF($F115="Total",
   SUMPRODUCT(
   INDEX(X:X, ROW()-COUNTIF($F$6:INDEX($F:$F, ROW()-1), $F114)) : INDEX(X:X, ROW()-1),
   INDEX(AA:AA, ROW()-COUNTIF($F$6:INDEX($F:$F, ROW()-1), $F114)) : INDEX(AA:AA, ROW()-1)
   )
   /SUM(INDEX(AA:AA, ROW()-COUNTIF($F$6:INDEX($F:$F, ROW()-1), $F114)) : INDEX(AA:AA, ROW()-1)),
   AVERAGEIFS(
     INDEX((unit_details[Asking Rent],unit_details[Asking PSF]),0,1,IF($U$3="Chunk Rent",1,2)),
     unit_details[Leased Date],"&gt;="&amp;($AM$2-X$5),
     unit_details[Leased Date],"&lt;"&amp;$AM$2,
     unit_details[Beds],$L115,
     unit_details[Baths],$M115,
     unit_details[Partial Baths],IF(ISNUMBER($N115),$N115,""),
     unit_details[Sqft],$P115,
     unit_details[Property Name],$F115)
 ),"")</f>
        <v/>
      </c>
      <c r="Y115" s="552" t="str">
        <f>IFERROR(
 IF($F115="Total",
   SUMPRODUCT(
   INDEX(Y:Y, ROW()-COUNTIF($F$6:INDEX($F:$F, ROW()-1), $F114)) : INDEX(Y:Y, ROW()-1),
   INDEX(AA:AA, ROW()-COUNTIF($F$6:INDEX($F:$F, ROW()-1), $F114)) : INDEX(AA:AA, ROW()-1)
   )
   /SUM(INDEX(AA:AA, ROW()-COUNTIF($F$6:INDEX($F:$F, ROW()-1), $F114)) : INDEX(AA:AA, ROW()-1)),
   AVERAGEIFS(
     INDEX((unit_details[Effective Rent],unit_details[Effective PSF]),0,1,IF($U$3="Chunk Rent",1,2)),
     unit_details[Leased Date],"&gt;="&amp;($AM$2-X$5),
     unit_details[Leased Date],"&lt;"&amp;$AM$2,
     unit_details[Beds],$L115,
     unit_details[Baths],$M115,
     unit_details[Partial Baths],IF(ISNUMBER($N115),$N115,""),
     unit_details[Sqft],$P115,
     unit_details[Property Name],$F115)
 ),"")</f>
        <v/>
      </c>
      <c r="Z115" s="27" t="str">
        <f t="shared" si="22"/>
        <v/>
      </c>
      <c r="AA115" s="526">
        <f>IFERROR(
  IF($F115="Total",
    SUM(INDEX(AA:AA, ROW()-COUNTIF($F$6:INDEX($F:$F, ROW()-1), $F114)) : INDEX(AA:AA, ROW()-1)),
    COUNTIFS(
      unit_details[Leased Date], "&gt;="&amp;($AM$2-X$5),
      unit_details[Leased Date], "&lt;"&amp;$AM$2,
      unit_details[Beds], $L115,
      unit_details[Baths], $M115,
      unit_details[Partial Baths], IF(ISNUMBER($N115), $N115, ""),
      unit_details[Sqft],$P115,
      unit_details[Property Name], $F115
    )
  ),
"")</f>
        <v>0</v>
      </c>
      <c r="AB115" s="290">
        <f>IF($F115="Total",
SUM(INDEX(AB:AB, ROW()-COUNTIF($F$6:INDEX($F:$F, ROW()-1), $F114)) : INDEX(AB:AB, ROW()-1)),
COUNTIFS(unit_details[Active Listing?],TRUE,
          unit_details[Property Name], $F115,
          unit_details[Beds], $L115,
          unit_details[Baths], $M115,
          unit_details[Partial Baths],IF(ISNUMBER($N115),$N115,""),
          unit_details[Sqft],$P115))</f>
        <v>0</v>
      </c>
      <c r="AC115" s="27" t="str">
        <f t="shared" si="14"/>
        <v/>
      </c>
      <c r="AD115" s="293" t="str">
        <f>IFERROR(IF(AE115="","",IF($F115="Total",
SUMPRODUCT(
   INDEX(AD:AD, ROW()-COUNTIF($F$6:INDEX($F:$F, ROW()-1), $F114)) : INDEX(AD:AD, ROW()-1),
   INDEX(AB:AB, ROW()-COUNTIF($F$6:INDEX($F:$F, ROW()-1), $F114)) : INDEX(AB:AB, ROW()-1)
   )
   /SUM(INDEX(AB:AB, ROW()-COUNTIF($F$6:INDEX($F:$F, ROW()-1), $F114)) : INDEX(AB:AB, ROW()-1)),
          _xlfn.MINIFS(unit_details[Asking Rent],
          unit_details[Active Listing?],TRUE,
          unit_details[Property Name], $F115,
          unit_details[Beds], $L115,
          unit_details[Baths], $M115,
          unit_details[Partial Baths], IF(ISNUMBER($N115),$N115,""),
          unit_details[Sqft],$P115
))),"")</f>
        <v/>
      </c>
      <c r="AE115" s="5" t="str">
        <f>IFERROR(IF($F115="Total",
          SUMPRODUCT(
   INDEX(AE:AE, ROW()-COUNTIF($F$6:INDEX($F:$F, ROW()-1), $F114)) : INDEX(AE:AE, ROW()-1),
   INDEX(AB:AB, ROW()-COUNTIF($F$6:INDEX($F:$F, ROW()-1), $F114)) : INDEX(AB:AB, ROW()-1)
   )
   /SUM(INDEX(AB:AB, ROW()-COUNTIF($F$6:INDEX($F:$F, ROW()-1), $F114)) : INDEX(AB:AB, ROW()-1)),
          AVERAGEIFS(unit_details[Asking Rent],
          unit_details[Active Listing?],TRUE,
          unit_details[Property Name], $F115,
          unit_details[Beds], $L115,
          unit_details[Baths], $M115,
          unit_details[Partial Baths], IF(ISNUMBER($N115),$N115,""),
          unit_details[Sqft],$P115
)),"")</f>
        <v/>
      </c>
      <c r="AF115" s="5" t="str">
        <f>IFERROR(IF(AE115="","",IF($F115="Total",
SUMPRODUCT(
   INDEX(AF:AF, ROW()-COUNTIF($F$6:INDEX($F:$F, ROW()-1), $F114)) : INDEX(AF:AF, ROW()-1),
   INDEX(AB:AB, ROW()-COUNTIF($F$6:INDEX($F:$F, ROW()-1), $F114)) : INDEX(AB:AB, ROW()-1)
   )
   /SUM(INDEX(AB:AB, ROW()-COUNTIF($F$6:INDEX($F:$F, ROW()-1), $F114)) : INDEX(AB:AB, ROW()-1)),
           _xlfn.MAXIFS(unit_details[Asking Rent],
          unit_details[Active Listing?],TRUE,
          unit_details[Property Name], $F115,
          unit_details[Beds], $L115,
          unit_details[Baths], $M115,
          unit_details[Partial Baths], IF(ISNUMBER($N115),$N115,""),
          unit_details[Sqft],$P115
))),"")</f>
        <v/>
      </c>
      <c r="AG115" s="6" t="str">
        <f>IFERROR(IF($F115="Total",
         SUMPRODUCT(
         INDEX(AG:AG, ROW()-COUNTIF($F$6:INDEX($F:$F, ROW()-1), $F114)) : INDEX(AG:AG, ROW()-1),
         INDEX(AB:AB, ROW()-COUNTIF($F$6:INDEX($F:$F, ROW()-1), $F114)) : INDEX(AB:AB, ROW()-1)
         )
         /SUM(INDEX(AB:AB, ROW()-COUNTIF($F$6:INDEX($F:$F, ROW()-1), $F114)) : INDEX(AB:AB, ROW()-1)),
          AVERAGEIFS(unit_details[Asking PSF],
          unit_details[Active Listing?],TRUE,
          unit_details[Property Name], $F115,
          unit_details[Beds], $L115,
          unit_details[Baths], $M115,
          unit_details[Partial Baths], IF(ISNUMBER($N115),$N115,""),
          unit_details[Sqft],$P115
)),"")</f>
        <v/>
      </c>
      <c r="AH115" s="293" t="str">
        <f>IFERROR(IF($F115="Total",
         SUMPRODUCT(
         INDEX(AH:AH, ROW()-COUNTIF($F$6:INDEX($F:$F, ROW()-1), $F114)) : INDEX(AH:AH, ROW()-1),
         INDEX(AB:AB, ROW()-COUNTIF($F$6:INDEX($F:$F, ROW()-1), $F114)) : INDEX(AB:AB, ROW()-1)
         )
         /SUM(INDEX(AB:AB, ROW()-COUNTIF($F$6:INDEX($F:$F, ROW()-1), $F114)) : INDEX(AB:AB, ROW()-1)),
          AVERAGEIFS(unit_details[Effective Rent],
          unit_details[Active Listing?],TRUE,
          unit_details[Property Name], $F115,
          unit_details[Beds], $L115,
          unit_details[Baths], $M115,
          unit_details[Partial Baths], IF(ISNUMBER($N115),$N115,""),
          unit_details[Sqft],$P115
)),"")</f>
        <v/>
      </c>
      <c r="AI115" s="6" t="str">
        <f>IFERROR(IF($F115="Total",
         SUMPRODUCT(
         INDEX(AI:AI, ROW()-COUNTIF($F$6:INDEX($F:$F, ROW()-1), $F114)) : INDEX(AI:AI, ROW()-1),
         INDEX(AB:AB, ROW()-COUNTIF($F$6:INDEX($F:$F, ROW()-1), $F114)) : INDEX(AB:AB, ROW()-1)
         )
         /SUM(INDEX(AB:AB, ROW()-COUNTIF($F$6:INDEX($F:$F, ROW()-1), $F114)) : INDEX(AB:AB, ROW()-1)),
           AVERAGEIFS(unit_details[Effective PSF],
          unit_details[Active Listing?],TRUE,
          unit_details[Property Name], $F115,
          unit_details[Beds], $L115,
          unit_details[Baths], $M115,
          unit_details[Partial Baths], IF(ISNUMBER($N115),$N115,""),
          unit_details[Sqft],$P115
)),"")</f>
        <v/>
      </c>
      <c r="AJ115" s="824" t="str">
        <f t="shared" si="15"/>
        <v/>
      </c>
      <c r="AK115" s="531" t="str">
        <f t="shared" si="16"/>
        <v/>
      </c>
      <c r="AL115" s="714" t="str">
        <f t="shared" si="17"/>
        <v/>
      </c>
      <c r="AM115" s="531" t="str">
        <f t="shared" si="18"/>
        <v/>
      </c>
      <c r="AN115" s="716" t="str">
        <f t="shared" si="19"/>
        <v/>
      </c>
    </row>
    <row r="116" spans="6:40" x14ac:dyDescent="0.2">
      <c r="F116" s="1" t="str">
        <f t="shared" si="12"/>
        <v/>
      </c>
      <c r="G116" s="713" t="str">
        <f t="shared" si="20"/>
        <v/>
      </c>
      <c r="H116" s="17" t="str">
        <f>IFERROR(VLOOKUP($G116,Table1[[Property]:[Exposure %]],4,0),"")</f>
        <v/>
      </c>
      <c r="I116" s="3" t="str">
        <f>IFERROR(VLOOKUP($G116,Table1[[Property]:[Exposure %]],6,0),"")</f>
        <v/>
      </c>
      <c r="J116" s="3" t="str">
        <f>IFERROR(VLOOKUP($G116,Table1[[Property]:[Exposure %]],7,0),"")</f>
        <v/>
      </c>
      <c r="K116"/>
      <c r="L116"/>
      <c r="M116"/>
      <c r="N116"/>
      <c r="O116"/>
      <c r="P116"/>
      <c r="Q116"/>
      <c r="R116" s="4" t="str">
        <f>IFERROR(VLOOKUP(IF(F116="Total",F115,F116),Table1[[Property]:['# Units]],7,0)*S116,"")</f>
        <v/>
      </c>
      <c r="S116" s="27" t="str">
        <f t="shared" si="13"/>
        <v/>
      </c>
      <c r="T116" s="531" t="str">
        <f>IFERROR(
 IF($F116="Total",
   SUMPRODUCT(
   INDEX(T:T, ROW()-COUNTIF($F$6:INDEX($F:$F, ROW()-1), $F115)) : INDEX(T:T, ROW()-1),
   INDEX(W:W, ROW()-COUNTIF($F$6:INDEX($F:$F, ROW()-1), $F115)) : INDEX(W:W, ROW()-1)
   )
   /SUM(INDEX(W:W, ROW()-COUNTIF($F$6:INDEX($F:$F, ROW()-1), $F115)) : INDEX(W:W, ROW()-1)),
   AVERAGEIFS(
     INDEX((unit_details[Asking Rent],unit_details[Asking PSF]),0,1,IF($U$3="Chunk Rent",1,2)),
     unit_details[Leased Date],"&gt;="&amp;($AM$2-T$5),
     unit_details[Leased Date],"&lt;"&amp;$AM$2,
     unit_details[Beds],$L116,
     unit_details[Baths],$M116,
     unit_details[Partial Baths],IF(ISNUMBER($N116),$N116,""),
     unit_details[Sqft],$P116,
     unit_details[Property Name],$F116)
 ),"")</f>
        <v/>
      </c>
      <c r="U116" s="552" t="str">
        <f>IFERROR(
 IF($F116="Total",
   SUMPRODUCT(
   INDEX(U:U, ROW()-COUNTIF($F$6:INDEX($F:$F, ROW()-1), $F115)) : INDEX(U:U, ROW()-1),
   INDEX(W:W, ROW()-COUNTIF($F$6:INDEX($F:$F, ROW()-1), $F115)) : INDEX(W:W, ROW()-1)
   )
   /SUM(INDEX(W:W, ROW()-COUNTIF($F$6:INDEX($F:$F, ROW()-1), $F115)) : INDEX(W:W, ROW()-1)),
   AVERAGEIFS(
     INDEX((unit_details[Effective Rent],unit_details[Effective PSF]),0,1,IF($U$3="Chunk Rent",1,2)),
     unit_details[Leased Date],"&gt;="&amp;($AM$2-T$5),
     unit_details[Leased Date],"&lt;"&amp;$AM$2,
     unit_details[Beds],$L116,
     unit_details[Baths],$M116,
     unit_details[Partial Baths],IF(ISNUMBER($N116),$N116,""),
     unit_details[Sqft],$P116,
     unit_details[Property Name],$F116)
 ),"")</f>
        <v/>
      </c>
      <c r="V116" s="27" t="str">
        <f t="shared" si="21"/>
        <v/>
      </c>
      <c r="W116" s="526">
        <f>IFERROR(
  IF($F116="Total",
    SUM(INDEX(W:W, ROW()-COUNTIF($F$6:INDEX($F:$F, ROW()-1), $F115)) : INDEX(W:W, ROW()-1)),
    COUNTIFS(
      unit_details[Leased Date], "&gt;="&amp;($AM$2-T$5),
      unit_details[Leased Date], "&lt;"&amp;$AM$2,
      unit_details[Beds], $L116,
      unit_details[Baths], $M116,
      unit_details[Partial Baths], IF(ISNUMBER($N116), $N116, ""),
      unit_details[Sqft],$P116,
      unit_details[Property Name], $F116
    )
  ),
"")</f>
        <v>0</v>
      </c>
      <c r="X116" s="531" t="str">
        <f>IFERROR(
 IF($F116="Total",
   SUMPRODUCT(
   INDEX(X:X, ROW()-COUNTIF($F$6:INDEX($F:$F, ROW()-1), $F115)) : INDEX(X:X, ROW()-1),
   INDEX(AA:AA, ROW()-COUNTIF($F$6:INDEX($F:$F, ROW()-1), $F115)) : INDEX(AA:AA, ROW()-1)
   )
   /SUM(INDEX(AA:AA, ROW()-COUNTIF($F$6:INDEX($F:$F, ROW()-1), $F115)) : INDEX(AA:AA, ROW()-1)),
   AVERAGEIFS(
     INDEX((unit_details[Asking Rent],unit_details[Asking PSF]),0,1,IF($U$3="Chunk Rent",1,2)),
     unit_details[Leased Date],"&gt;="&amp;($AM$2-X$5),
     unit_details[Leased Date],"&lt;"&amp;$AM$2,
     unit_details[Beds],$L116,
     unit_details[Baths],$M116,
     unit_details[Partial Baths],IF(ISNUMBER($N116),$N116,""),
     unit_details[Sqft],$P116,
     unit_details[Property Name],$F116)
 ),"")</f>
        <v/>
      </c>
      <c r="Y116" s="552" t="str">
        <f>IFERROR(
 IF($F116="Total",
   SUMPRODUCT(
   INDEX(Y:Y, ROW()-COUNTIF($F$6:INDEX($F:$F, ROW()-1), $F115)) : INDEX(Y:Y, ROW()-1),
   INDEX(AA:AA, ROW()-COUNTIF($F$6:INDEX($F:$F, ROW()-1), $F115)) : INDEX(AA:AA, ROW()-1)
   )
   /SUM(INDEX(AA:AA, ROW()-COUNTIF($F$6:INDEX($F:$F, ROW()-1), $F115)) : INDEX(AA:AA, ROW()-1)),
   AVERAGEIFS(
     INDEX((unit_details[Effective Rent],unit_details[Effective PSF]),0,1,IF($U$3="Chunk Rent",1,2)),
     unit_details[Leased Date],"&gt;="&amp;($AM$2-X$5),
     unit_details[Leased Date],"&lt;"&amp;$AM$2,
     unit_details[Beds],$L116,
     unit_details[Baths],$M116,
     unit_details[Partial Baths],IF(ISNUMBER($N116),$N116,""),
     unit_details[Sqft],$P116,
     unit_details[Property Name],$F116)
 ),"")</f>
        <v/>
      </c>
      <c r="Z116" s="27" t="str">
        <f t="shared" si="22"/>
        <v/>
      </c>
      <c r="AA116" s="526">
        <f>IFERROR(
  IF($F116="Total",
    SUM(INDEX(AA:AA, ROW()-COUNTIF($F$6:INDEX($F:$F, ROW()-1), $F115)) : INDEX(AA:AA, ROW()-1)),
    COUNTIFS(
      unit_details[Leased Date], "&gt;="&amp;($AM$2-X$5),
      unit_details[Leased Date], "&lt;"&amp;$AM$2,
      unit_details[Beds], $L116,
      unit_details[Baths], $M116,
      unit_details[Partial Baths], IF(ISNUMBER($N116), $N116, ""),
      unit_details[Sqft],$P116,
      unit_details[Property Name], $F116
    )
  ),
"")</f>
        <v>0</v>
      </c>
      <c r="AB116" s="290">
        <f>IF($F116="Total",
SUM(INDEX(AB:AB, ROW()-COUNTIF($F$6:INDEX($F:$F, ROW()-1), $F115)) : INDEX(AB:AB, ROW()-1)),
COUNTIFS(unit_details[Active Listing?],TRUE,
          unit_details[Property Name], $F116,
          unit_details[Beds], $L116,
          unit_details[Baths], $M116,
          unit_details[Partial Baths],IF(ISNUMBER($N116),$N116,""),
          unit_details[Sqft],$P116))</f>
        <v>0</v>
      </c>
      <c r="AC116" s="27" t="str">
        <f t="shared" si="14"/>
        <v/>
      </c>
      <c r="AD116" s="293" t="str">
        <f>IFERROR(IF(AE116="","",IF($F116="Total",
SUMPRODUCT(
   INDEX(AD:AD, ROW()-COUNTIF($F$6:INDEX($F:$F, ROW()-1), $F115)) : INDEX(AD:AD, ROW()-1),
   INDEX(AB:AB, ROW()-COUNTIF($F$6:INDEX($F:$F, ROW()-1), $F115)) : INDEX(AB:AB, ROW()-1)
   )
   /SUM(INDEX(AB:AB, ROW()-COUNTIF($F$6:INDEX($F:$F, ROW()-1), $F115)) : INDEX(AB:AB, ROW()-1)),
          _xlfn.MINIFS(unit_details[Asking Rent],
          unit_details[Active Listing?],TRUE,
          unit_details[Property Name], $F116,
          unit_details[Beds], $L116,
          unit_details[Baths], $M116,
          unit_details[Partial Baths], IF(ISNUMBER($N116),$N116,""),
          unit_details[Sqft],$P116
))),"")</f>
        <v/>
      </c>
      <c r="AE116" s="5" t="str">
        <f>IFERROR(IF($F116="Total",
          SUMPRODUCT(
   INDEX(AE:AE, ROW()-COUNTIF($F$6:INDEX($F:$F, ROW()-1), $F115)) : INDEX(AE:AE, ROW()-1),
   INDEX(AB:AB, ROW()-COUNTIF($F$6:INDEX($F:$F, ROW()-1), $F115)) : INDEX(AB:AB, ROW()-1)
   )
   /SUM(INDEX(AB:AB, ROW()-COUNTIF($F$6:INDEX($F:$F, ROW()-1), $F115)) : INDEX(AB:AB, ROW()-1)),
          AVERAGEIFS(unit_details[Asking Rent],
          unit_details[Active Listing?],TRUE,
          unit_details[Property Name], $F116,
          unit_details[Beds], $L116,
          unit_details[Baths], $M116,
          unit_details[Partial Baths], IF(ISNUMBER($N116),$N116,""),
          unit_details[Sqft],$P116
)),"")</f>
        <v/>
      </c>
      <c r="AF116" s="5" t="str">
        <f>IFERROR(IF(AE116="","",IF($F116="Total",
SUMPRODUCT(
   INDEX(AF:AF, ROW()-COUNTIF($F$6:INDEX($F:$F, ROW()-1), $F115)) : INDEX(AF:AF, ROW()-1),
   INDEX(AB:AB, ROW()-COUNTIF($F$6:INDEX($F:$F, ROW()-1), $F115)) : INDEX(AB:AB, ROW()-1)
   )
   /SUM(INDEX(AB:AB, ROW()-COUNTIF($F$6:INDEX($F:$F, ROW()-1), $F115)) : INDEX(AB:AB, ROW()-1)),
           _xlfn.MAXIFS(unit_details[Asking Rent],
          unit_details[Active Listing?],TRUE,
          unit_details[Property Name], $F116,
          unit_details[Beds], $L116,
          unit_details[Baths], $M116,
          unit_details[Partial Baths], IF(ISNUMBER($N116),$N116,""),
          unit_details[Sqft],$P116
))),"")</f>
        <v/>
      </c>
      <c r="AG116" s="6" t="str">
        <f>IFERROR(IF($F116="Total",
         SUMPRODUCT(
         INDEX(AG:AG, ROW()-COUNTIF($F$6:INDEX($F:$F, ROW()-1), $F115)) : INDEX(AG:AG, ROW()-1),
         INDEX(AB:AB, ROW()-COUNTIF($F$6:INDEX($F:$F, ROW()-1), $F115)) : INDEX(AB:AB, ROW()-1)
         )
         /SUM(INDEX(AB:AB, ROW()-COUNTIF($F$6:INDEX($F:$F, ROW()-1), $F115)) : INDEX(AB:AB, ROW()-1)),
          AVERAGEIFS(unit_details[Asking PSF],
          unit_details[Active Listing?],TRUE,
          unit_details[Property Name], $F116,
          unit_details[Beds], $L116,
          unit_details[Baths], $M116,
          unit_details[Partial Baths], IF(ISNUMBER($N116),$N116,""),
          unit_details[Sqft],$P116
)),"")</f>
        <v/>
      </c>
      <c r="AH116" s="293" t="str">
        <f>IFERROR(IF($F116="Total",
         SUMPRODUCT(
         INDEX(AH:AH, ROW()-COUNTIF($F$6:INDEX($F:$F, ROW()-1), $F115)) : INDEX(AH:AH, ROW()-1),
         INDEX(AB:AB, ROW()-COUNTIF($F$6:INDEX($F:$F, ROW()-1), $F115)) : INDEX(AB:AB, ROW()-1)
         )
         /SUM(INDEX(AB:AB, ROW()-COUNTIF($F$6:INDEX($F:$F, ROW()-1), $F115)) : INDEX(AB:AB, ROW()-1)),
          AVERAGEIFS(unit_details[Effective Rent],
          unit_details[Active Listing?],TRUE,
          unit_details[Property Name], $F116,
          unit_details[Beds], $L116,
          unit_details[Baths], $M116,
          unit_details[Partial Baths], IF(ISNUMBER($N116),$N116,""),
          unit_details[Sqft],$P116
)),"")</f>
        <v/>
      </c>
      <c r="AI116" s="6" t="str">
        <f>IFERROR(IF($F116="Total",
         SUMPRODUCT(
         INDEX(AI:AI, ROW()-COUNTIF($F$6:INDEX($F:$F, ROW()-1), $F115)) : INDEX(AI:AI, ROW()-1),
         INDEX(AB:AB, ROW()-COUNTIF($F$6:INDEX($F:$F, ROW()-1), $F115)) : INDEX(AB:AB, ROW()-1)
         )
         /SUM(INDEX(AB:AB, ROW()-COUNTIF($F$6:INDEX($F:$F, ROW()-1), $F115)) : INDEX(AB:AB, ROW()-1)),
           AVERAGEIFS(unit_details[Effective PSF],
          unit_details[Active Listing?],TRUE,
          unit_details[Property Name], $F116,
          unit_details[Beds], $L116,
          unit_details[Baths], $M116,
          unit_details[Partial Baths], IF(ISNUMBER($N116),$N116,""),
          unit_details[Sqft],$P116
)),"")</f>
        <v/>
      </c>
      <c r="AJ116" s="824" t="str">
        <f t="shared" si="15"/>
        <v/>
      </c>
      <c r="AK116" s="531" t="str">
        <f t="shared" si="16"/>
        <v/>
      </c>
      <c r="AL116" s="714" t="str">
        <f t="shared" si="17"/>
        <v/>
      </c>
      <c r="AM116" s="531" t="str">
        <f t="shared" si="18"/>
        <v/>
      </c>
      <c r="AN116" s="716" t="str">
        <f t="shared" si="19"/>
        <v/>
      </c>
    </row>
    <row r="117" spans="6:40" x14ac:dyDescent="0.2">
      <c r="F117" s="1" t="str">
        <f t="shared" si="12"/>
        <v/>
      </c>
      <c r="G117" s="713" t="str">
        <f t="shared" si="20"/>
        <v/>
      </c>
      <c r="H117" s="17" t="str">
        <f>IFERROR(VLOOKUP($G117,Table1[[Property]:[Exposure %]],4,0),"")</f>
        <v/>
      </c>
      <c r="I117" s="3" t="str">
        <f>IFERROR(VLOOKUP($G117,Table1[[Property]:[Exposure %]],6,0),"")</f>
        <v/>
      </c>
      <c r="J117" s="3" t="str">
        <f>IFERROR(VLOOKUP($G117,Table1[[Property]:[Exposure %]],7,0),"")</f>
        <v/>
      </c>
      <c r="K117"/>
      <c r="L117"/>
      <c r="M117"/>
      <c r="N117"/>
      <c r="O117"/>
      <c r="P117"/>
      <c r="Q117"/>
      <c r="R117" s="4" t="str">
        <f>IFERROR(VLOOKUP(IF(F117="Total",F116,F117),Table1[[Property]:['# Units]],7,0)*S117,"")</f>
        <v/>
      </c>
      <c r="S117" s="27" t="str">
        <f t="shared" si="13"/>
        <v/>
      </c>
      <c r="T117" s="531" t="str">
        <f>IFERROR(
 IF($F117="Total",
   SUMPRODUCT(
   INDEX(T:T, ROW()-COUNTIF($F$6:INDEX($F:$F, ROW()-1), $F116)) : INDEX(T:T, ROW()-1),
   INDEX(W:W, ROW()-COUNTIF($F$6:INDEX($F:$F, ROW()-1), $F116)) : INDEX(W:W, ROW()-1)
   )
   /SUM(INDEX(W:W, ROW()-COUNTIF($F$6:INDEX($F:$F, ROW()-1), $F116)) : INDEX(W:W, ROW()-1)),
   AVERAGEIFS(
     INDEX((unit_details[Asking Rent],unit_details[Asking PSF]),0,1,IF($U$3="Chunk Rent",1,2)),
     unit_details[Leased Date],"&gt;="&amp;($AM$2-T$5),
     unit_details[Leased Date],"&lt;"&amp;$AM$2,
     unit_details[Beds],$L117,
     unit_details[Baths],$M117,
     unit_details[Partial Baths],IF(ISNUMBER($N117),$N117,""),
     unit_details[Sqft],$P117,
     unit_details[Property Name],$F117)
 ),"")</f>
        <v/>
      </c>
      <c r="U117" s="552" t="str">
        <f>IFERROR(
 IF($F117="Total",
   SUMPRODUCT(
   INDEX(U:U, ROW()-COUNTIF($F$6:INDEX($F:$F, ROW()-1), $F116)) : INDEX(U:U, ROW()-1),
   INDEX(W:W, ROW()-COUNTIF($F$6:INDEX($F:$F, ROW()-1), $F116)) : INDEX(W:W, ROW()-1)
   )
   /SUM(INDEX(W:W, ROW()-COUNTIF($F$6:INDEX($F:$F, ROW()-1), $F116)) : INDEX(W:W, ROW()-1)),
   AVERAGEIFS(
     INDEX((unit_details[Effective Rent],unit_details[Effective PSF]),0,1,IF($U$3="Chunk Rent",1,2)),
     unit_details[Leased Date],"&gt;="&amp;($AM$2-T$5),
     unit_details[Leased Date],"&lt;"&amp;$AM$2,
     unit_details[Beds],$L117,
     unit_details[Baths],$M117,
     unit_details[Partial Baths],IF(ISNUMBER($N117),$N117,""),
     unit_details[Sqft],$P117,
     unit_details[Property Name],$F117)
 ),"")</f>
        <v/>
      </c>
      <c r="V117" s="27" t="str">
        <f t="shared" si="21"/>
        <v/>
      </c>
      <c r="W117" s="526">
        <f>IFERROR(
  IF($F117="Total",
    SUM(INDEX(W:W, ROW()-COUNTIF($F$6:INDEX($F:$F, ROW()-1), $F116)) : INDEX(W:W, ROW()-1)),
    COUNTIFS(
      unit_details[Leased Date], "&gt;="&amp;($AM$2-T$5),
      unit_details[Leased Date], "&lt;"&amp;$AM$2,
      unit_details[Beds], $L117,
      unit_details[Baths], $M117,
      unit_details[Partial Baths], IF(ISNUMBER($N117), $N117, ""),
      unit_details[Sqft],$P117,
      unit_details[Property Name], $F117
    )
  ),
"")</f>
        <v>0</v>
      </c>
      <c r="X117" s="531" t="str">
        <f>IFERROR(
 IF($F117="Total",
   SUMPRODUCT(
   INDEX(X:X, ROW()-COUNTIF($F$6:INDEX($F:$F, ROW()-1), $F116)) : INDEX(X:X, ROW()-1),
   INDEX(AA:AA, ROW()-COUNTIF($F$6:INDEX($F:$F, ROW()-1), $F116)) : INDEX(AA:AA, ROW()-1)
   )
   /SUM(INDEX(AA:AA, ROW()-COUNTIF($F$6:INDEX($F:$F, ROW()-1), $F116)) : INDEX(AA:AA, ROW()-1)),
   AVERAGEIFS(
     INDEX((unit_details[Asking Rent],unit_details[Asking PSF]),0,1,IF($U$3="Chunk Rent",1,2)),
     unit_details[Leased Date],"&gt;="&amp;($AM$2-X$5),
     unit_details[Leased Date],"&lt;"&amp;$AM$2,
     unit_details[Beds],$L117,
     unit_details[Baths],$M117,
     unit_details[Partial Baths],IF(ISNUMBER($N117),$N117,""),
     unit_details[Sqft],$P117,
     unit_details[Property Name],$F117)
 ),"")</f>
        <v/>
      </c>
      <c r="Y117" s="552" t="str">
        <f>IFERROR(
 IF($F117="Total",
   SUMPRODUCT(
   INDEX(Y:Y, ROW()-COUNTIF($F$6:INDEX($F:$F, ROW()-1), $F116)) : INDEX(Y:Y, ROW()-1),
   INDEX(AA:AA, ROW()-COUNTIF($F$6:INDEX($F:$F, ROW()-1), $F116)) : INDEX(AA:AA, ROW()-1)
   )
   /SUM(INDEX(AA:AA, ROW()-COUNTIF($F$6:INDEX($F:$F, ROW()-1), $F116)) : INDEX(AA:AA, ROW()-1)),
   AVERAGEIFS(
     INDEX((unit_details[Effective Rent],unit_details[Effective PSF]),0,1,IF($U$3="Chunk Rent",1,2)),
     unit_details[Leased Date],"&gt;="&amp;($AM$2-X$5),
     unit_details[Leased Date],"&lt;"&amp;$AM$2,
     unit_details[Beds],$L117,
     unit_details[Baths],$M117,
     unit_details[Partial Baths],IF(ISNUMBER($N117),$N117,""),
     unit_details[Sqft],$P117,
     unit_details[Property Name],$F117)
 ),"")</f>
        <v/>
      </c>
      <c r="Z117" s="27" t="str">
        <f t="shared" si="22"/>
        <v/>
      </c>
      <c r="AA117" s="526">
        <f>IFERROR(
  IF($F117="Total",
    SUM(INDEX(AA:AA, ROW()-COUNTIF($F$6:INDEX($F:$F, ROW()-1), $F116)) : INDEX(AA:AA, ROW()-1)),
    COUNTIFS(
      unit_details[Leased Date], "&gt;="&amp;($AM$2-X$5),
      unit_details[Leased Date], "&lt;"&amp;$AM$2,
      unit_details[Beds], $L117,
      unit_details[Baths], $M117,
      unit_details[Partial Baths], IF(ISNUMBER($N117), $N117, ""),
      unit_details[Sqft],$P117,
      unit_details[Property Name], $F117
    )
  ),
"")</f>
        <v>0</v>
      </c>
      <c r="AB117" s="290">
        <f>IF($F117="Total",
SUM(INDEX(AB:AB, ROW()-COUNTIF($F$6:INDEX($F:$F, ROW()-1), $F116)) : INDEX(AB:AB, ROW()-1)),
COUNTIFS(unit_details[Active Listing?],TRUE,
          unit_details[Property Name], $F117,
          unit_details[Beds], $L117,
          unit_details[Baths], $M117,
          unit_details[Partial Baths],IF(ISNUMBER($N117),$N117,""),
          unit_details[Sqft],$P117))</f>
        <v>0</v>
      </c>
      <c r="AC117" s="27" t="str">
        <f t="shared" si="14"/>
        <v/>
      </c>
      <c r="AD117" s="293" t="str">
        <f>IFERROR(IF(AE117="","",IF($F117="Total",
SUMPRODUCT(
   INDEX(AD:AD, ROW()-COUNTIF($F$6:INDEX($F:$F, ROW()-1), $F116)) : INDEX(AD:AD, ROW()-1),
   INDEX(AB:AB, ROW()-COUNTIF($F$6:INDEX($F:$F, ROW()-1), $F116)) : INDEX(AB:AB, ROW()-1)
   )
   /SUM(INDEX(AB:AB, ROW()-COUNTIF($F$6:INDEX($F:$F, ROW()-1), $F116)) : INDEX(AB:AB, ROW()-1)),
          _xlfn.MINIFS(unit_details[Asking Rent],
          unit_details[Active Listing?],TRUE,
          unit_details[Property Name], $F117,
          unit_details[Beds], $L117,
          unit_details[Baths], $M117,
          unit_details[Partial Baths], IF(ISNUMBER($N117),$N117,""),
          unit_details[Sqft],$P117
))),"")</f>
        <v/>
      </c>
      <c r="AE117" s="5" t="str">
        <f>IFERROR(IF($F117="Total",
          SUMPRODUCT(
   INDEX(AE:AE, ROW()-COUNTIF($F$6:INDEX($F:$F, ROW()-1), $F116)) : INDEX(AE:AE, ROW()-1),
   INDEX(AB:AB, ROW()-COUNTIF($F$6:INDEX($F:$F, ROW()-1), $F116)) : INDEX(AB:AB, ROW()-1)
   )
   /SUM(INDEX(AB:AB, ROW()-COUNTIF($F$6:INDEX($F:$F, ROW()-1), $F116)) : INDEX(AB:AB, ROW()-1)),
          AVERAGEIFS(unit_details[Asking Rent],
          unit_details[Active Listing?],TRUE,
          unit_details[Property Name], $F117,
          unit_details[Beds], $L117,
          unit_details[Baths], $M117,
          unit_details[Partial Baths], IF(ISNUMBER($N117),$N117,""),
          unit_details[Sqft],$P117
)),"")</f>
        <v/>
      </c>
      <c r="AF117" s="5" t="str">
        <f>IFERROR(IF(AE117="","",IF($F117="Total",
SUMPRODUCT(
   INDEX(AF:AF, ROW()-COUNTIF($F$6:INDEX($F:$F, ROW()-1), $F116)) : INDEX(AF:AF, ROW()-1),
   INDEX(AB:AB, ROW()-COUNTIF($F$6:INDEX($F:$F, ROW()-1), $F116)) : INDEX(AB:AB, ROW()-1)
   )
   /SUM(INDEX(AB:AB, ROW()-COUNTIF($F$6:INDEX($F:$F, ROW()-1), $F116)) : INDEX(AB:AB, ROW()-1)),
           _xlfn.MAXIFS(unit_details[Asking Rent],
          unit_details[Active Listing?],TRUE,
          unit_details[Property Name], $F117,
          unit_details[Beds], $L117,
          unit_details[Baths], $M117,
          unit_details[Partial Baths], IF(ISNUMBER($N117),$N117,""),
          unit_details[Sqft],$P117
))),"")</f>
        <v/>
      </c>
      <c r="AG117" s="6" t="str">
        <f>IFERROR(IF($F117="Total",
         SUMPRODUCT(
         INDEX(AG:AG, ROW()-COUNTIF($F$6:INDEX($F:$F, ROW()-1), $F116)) : INDEX(AG:AG, ROW()-1),
         INDEX(AB:AB, ROW()-COUNTIF($F$6:INDEX($F:$F, ROW()-1), $F116)) : INDEX(AB:AB, ROW()-1)
         )
         /SUM(INDEX(AB:AB, ROW()-COUNTIF($F$6:INDEX($F:$F, ROW()-1), $F116)) : INDEX(AB:AB, ROW()-1)),
          AVERAGEIFS(unit_details[Asking PSF],
          unit_details[Active Listing?],TRUE,
          unit_details[Property Name], $F117,
          unit_details[Beds], $L117,
          unit_details[Baths], $M117,
          unit_details[Partial Baths], IF(ISNUMBER($N117),$N117,""),
          unit_details[Sqft],$P117
)),"")</f>
        <v/>
      </c>
      <c r="AH117" s="293" t="str">
        <f>IFERROR(IF($F117="Total",
         SUMPRODUCT(
         INDEX(AH:AH, ROW()-COUNTIF($F$6:INDEX($F:$F, ROW()-1), $F116)) : INDEX(AH:AH, ROW()-1),
         INDEX(AB:AB, ROW()-COUNTIF($F$6:INDEX($F:$F, ROW()-1), $F116)) : INDEX(AB:AB, ROW()-1)
         )
         /SUM(INDEX(AB:AB, ROW()-COUNTIF($F$6:INDEX($F:$F, ROW()-1), $F116)) : INDEX(AB:AB, ROW()-1)),
          AVERAGEIFS(unit_details[Effective Rent],
          unit_details[Active Listing?],TRUE,
          unit_details[Property Name], $F117,
          unit_details[Beds], $L117,
          unit_details[Baths], $M117,
          unit_details[Partial Baths], IF(ISNUMBER($N117),$N117,""),
          unit_details[Sqft],$P117
)),"")</f>
        <v/>
      </c>
      <c r="AI117" s="6" t="str">
        <f>IFERROR(IF($F117="Total",
         SUMPRODUCT(
         INDEX(AI:AI, ROW()-COUNTIF($F$6:INDEX($F:$F, ROW()-1), $F116)) : INDEX(AI:AI, ROW()-1),
         INDEX(AB:AB, ROW()-COUNTIF($F$6:INDEX($F:$F, ROW()-1), $F116)) : INDEX(AB:AB, ROW()-1)
         )
         /SUM(INDEX(AB:AB, ROW()-COUNTIF($F$6:INDEX($F:$F, ROW()-1), $F116)) : INDEX(AB:AB, ROW()-1)),
           AVERAGEIFS(unit_details[Effective PSF],
          unit_details[Active Listing?],TRUE,
          unit_details[Property Name], $F117,
          unit_details[Beds], $L117,
          unit_details[Baths], $M117,
          unit_details[Partial Baths], IF(ISNUMBER($N117),$N117,""),
          unit_details[Sqft],$P117
)),"")</f>
        <v/>
      </c>
      <c r="AJ117" s="824" t="str">
        <f t="shared" si="15"/>
        <v/>
      </c>
      <c r="AK117" s="531" t="str">
        <f t="shared" si="16"/>
        <v/>
      </c>
      <c r="AL117" s="714" t="str">
        <f t="shared" si="17"/>
        <v/>
      </c>
      <c r="AM117" s="531" t="str">
        <f t="shared" si="18"/>
        <v/>
      </c>
      <c r="AN117" s="716" t="str">
        <f t="shared" si="19"/>
        <v/>
      </c>
    </row>
    <row r="118" spans="6:40" x14ac:dyDescent="0.2">
      <c r="F118" s="1" t="str">
        <f t="shared" si="12"/>
        <v/>
      </c>
      <c r="G118" s="713" t="str">
        <f t="shared" si="20"/>
        <v/>
      </c>
      <c r="H118" s="17" t="str">
        <f>IFERROR(VLOOKUP($G118,Table1[[Property]:[Exposure %]],4,0),"")</f>
        <v/>
      </c>
      <c r="I118" s="3" t="str">
        <f>IFERROR(VLOOKUP($G118,Table1[[Property]:[Exposure %]],6,0),"")</f>
        <v/>
      </c>
      <c r="J118" s="3" t="str">
        <f>IFERROR(VLOOKUP($G118,Table1[[Property]:[Exposure %]],7,0),"")</f>
        <v/>
      </c>
      <c r="K118"/>
      <c r="L118"/>
      <c r="M118"/>
      <c r="N118"/>
      <c r="O118"/>
      <c r="P118"/>
      <c r="Q118"/>
      <c r="R118" s="4" t="str">
        <f>IFERROR(VLOOKUP(IF(F118="Total",F117,F118),Table1[[Property]:['# Units]],7,0)*S118,"")</f>
        <v/>
      </c>
      <c r="S118" s="27" t="str">
        <f t="shared" si="13"/>
        <v/>
      </c>
      <c r="T118" s="531" t="str">
        <f>IFERROR(
 IF($F118="Total",
   SUMPRODUCT(
   INDEX(T:T, ROW()-COUNTIF($F$6:INDEX($F:$F, ROW()-1), $F117)) : INDEX(T:T, ROW()-1),
   INDEX(W:W, ROW()-COUNTIF($F$6:INDEX($F:$F, ROW()-1), $F117)) : INDEX(W:W, ROW()-1)
   )
   /SUM(INDEX(W:W, ROW()-COUNTIF($F$6:INDEX($F:$F, ROW()-1), $F117)) : INDEX(W:W, ROW()-1)),
   AVERAGEIFS(
     INDEX((unit_details[Asking Rent],unit_details[Asking PSF]),0,1,IF($U$3="Chunk Rent",1,2)),
     unit_details[Leased Date],"&gt;="&amp;($AM$2-T$5),
     unit_details[Leased Date],"&lt;"&amp;$AM$2,
     unit_details[Beds],$L118,
     unit_details[Baths],$M118,
     unit_details[Partial Baths],IF(ISNUMBER($N118),$N118,""),
     unit_details[Sqft],$P118,
     unit_details[Property Name],$F118)
 ),"")</f>
        <v/>
      </c>
      <c r="U118" s="552" t="str">
        <f>IFERROR(
 IF($F118="Total",
   SUMPRODUCT(
   INDEX(U:U, ROW()-COUNTIF($F$6:INDEX($F:$F, ROW()-1), $F117)) : INDEX(U:U, ROW()-1),
   INDEX(W:W, ROW()-COUNTIF($F$6:INDEX($F:$F, ROW()-1), $F117)) : INDEX(W:W, ROW()-1)
   )
   /SUM(INDEX(W:W, ROW()-COUNTIF($F$6:INDEX($F:$F, ROW()-1), $F117)) : INDEX(W:W, ROW()-1)),
   AVERAGEIFS(
     INDEX((unit_details[Effective Rent],unit_details[Effective PSF]),0,1,IF($U$3="Chunk Rent",1,2)),
     unit_details[Leased Date],"&gt;="&amp;($AM$2-T$5),
     unit_details[Leased Date],"&lt;"&amp;$AM$2,
     unit_details[Beds],$L118,
     unit_details[Baths],$M118,
     unit_details[Partial Baths],IF(ISNUMBER($N118),$N118,""),
     unit_details[Sqft],$P118,
     unit_details[Property Name],$F118)
 ),"")</f>
        <v/>
      </c>
      <c r="V118" s="27" t="str">
        <f t="shared" si="21"/>
        <v/>
      </c>
      <c r="W118" s="526">
        <f>IFERROR(
  IF($F118="Total",
    SUM(INDEX(W:W, ROW()-COUNTIF($F$6:INDEX($F:$F, ROW()-1), $F117)) : INDEX(W:W, ROW()-1)),
    COUNTIFS(
      unit_details[Leased Date], "&gt;="&amp;($AM$2-T$5),
      unit_details[Leased Date], "&lt;"&amp;$AM$2,
      unit_details[Beds], $L118,
      unit_details[Baths], $M118,
      unit_details[Partial Baths], IF(ISNUMBER($N118), $N118, ""),
      unit_details[Sqft],$P118,
      unit_details[Property Name], $F118
    )
  ),
"")</f>
        <v>0</v>
      </c>
      <c r="X118" s="531" t="str">
        <f>IFERROR(
 IF($F118="Total",
   SUMPRODUCT(
   INDEX(X:X, ROW()-COUNTIF($F$6:INDEX($F:$F, ROW()-1), $F117)) : INDEX(X:X, ROW()-1),
   INDEX(AA:AA, ROW()-COUNTIF($F$6:INDEX($F:$F, ROW()-1), $F117)) : INDEX(AA:AA, ROW()-1)
   )
   /SUM(INDEX(AA:AA, ROW()-COUNTIF($F$6:INDEX($F:$F, ROW()-1), $F117)) : INDEX(AA:AA, ROW()-1)),
   AVERAGEIFS(
     INDEX((unit_details[Asking Rent],unit_details[Asking PSF]),0,1,IF($U$3="Chunk Rent",1,2)),
     unit_details[Leased Date],"&gt;="&amp;($AM$2-X$5),
     unit_details[Leased Date],"&lt;"&amp;$AM$2,
     unit_details[Beds],$L118,
     unit_details[Baths],$M118,
     unit_details[Partial Baths],IF(ISNUMBER($N118),$N118,""),
     unit_details[Sqft],$P118,
     unit_details[Property Name],$F118)
 ),"")</f>
        <v/>
      </c>
      <c r="Y118" s="552" t="str">
        <f>IFERROR(
 IF($F118="Total",
   SUMPRODUCT(
   INDEX(Y:Y, ROW()-COUNTIF($F$6:INDEX($F:$F, ROW()-1), $F117)) : INDEX(Y:Y, ROW()-1),
   INDEX(AA:AA, ROW()-COUNTIF($F$6:INDEX($F:$F, ROW()-1), $F117)) : INDEX(AA:AA, ROW()-1)
   )
   /SUM(INDEX(AA:AA, ROW()-COUNTIF($F$6:INDEX($F:$F, ROW()-1), $F117)) : INDEX(AA:AA, ROW()-1)),
   AVERAGEIFS(
     INDEX((unit_details[Effective Rent],unit_details[Effective PSF]),0,1,IF($U$3="Chunk Rent",1,2)),
     unit_details[Leased Date],"&gt;="&amp;($AM$2-X$5),
     unit_details[Leased Date],"&lt;"&amp;$AM$2,
     unit_details[Beds],$L118,
     unit_details[Baths],$M118,
     unit_details[Partial Baths],IF(ISNUMBER($N118),$N118,""),
     unit_details[Sqft],$P118,
     unit_details[Property Name],$F118)
 ),"")</f>
        <v/>
      </c>
      <c r="Z118" s="27" t="str">
        <f t="shared" si="22"/>
        <v/>
      </c>
      <c r="AA118" s="526">
        <f>IFERROR(
  IF($F118="Total",
    SUM(INDEX(AA:AA, ROW()-COUNTIF($F$6:INDEX($F:$F, ROW()-1), $F117)) : INDEX(AA:AA, ROW()-1)),
    COUNTIFS(
      unit_details[Leased Date], "&gt;="&amp;($AM$2-X$5),
      unit_details[Leased Date], "&lt;"&amp;$AM$2,
      unit_details[Beds], $L118,
      unit_details[Baths], $M118,
      unit_details[Partial Baths], IF(ISNUMBER($N118), $N118, ""),
      unit_details[Sqft],$P118,
      unit_details[Property Name], $F118
    )
  ),
"")</f>
        <v>0</v>
      </c>
      <c r="AB118" s="290">
        <f>IF($F118="Total",
SUM(INDEX(AB:AB, ROW()-COUNTIF($F$6:INDEX($F:$F, ROW()-1), $F117)) : INDEX(AB:AB, ROW()-1)),
COUNTIFS(unit_details[Active Listing?],TRUE,
          unit_details[Property Name], $F118,
          unit_details[Beds], $L118,
          unit_details[Baths], $M118,
          unit_details[Partial Baths],IF(ISNUMBER($N118),$N118,""),
          unit_details[Sqft],$P118))</f>
        <v>0</v>
      </c>
      <c r="AC118" s="27" t="str">
        <f t="shared" si="14"/>
        <v/>
      </c>
      <c r="AD118" s="293" t="str">
        <f>IFERROR(IF(AE118="","",IF($F118="Total",
SUMPRODUCT(
   INDEX(AD:AD, ROW()-COUNTIF($F$6:INDEX($F:$F, ROW()-1), $F117)) : INDEX(AD:AD, ROW()-1),
   INDEX(AB:AB, ROW()-COUNTIF($F$6:INDEX($F:$F, ROW()-1), $F117)) : INDEX(AB:AB, ROW()-1)
   )
   /SUM(INDEX(AB:AB, ROW()-COUNTIF($F$6:INDEX($F:$F, ROW()-1), $F117)) : INDEX(AB:AB, ROW()-1)),
          _xlfn.MINIFS(unit_details[Asking Rent],
          unit_details[Active Listing?],TRUE,
          unit_details[Property Name], $F118,
          unit_details[Beds], $L118,
          unit_details[Baths], $M118,
          unit_details[Partial Baths], IF(ISNUMBER($N118),$N118,""),
          unit_details[Sqft],$P118
))),"")</f>
        <v/>
      </c>
      <c r="AE118" s="5" t="str">
        <f>IFERROR(IF($F118="Total",
          SUMPRODUCT(
   INDEX(AE:AE, ROW()-COUNTIF($F$6:INDEX($F:$F, ROW()-1), $F117)) : INDEX(AE:AE, ROW()-1),
   INDEX(AB:AB, ROW()-COUNTIF($F$6:INDEX($F:$F, ROW()-1), $F117)) : INDEX(AB:AB, ROW()-1)
   )
   /SUM(INDEX(AB:AB, ROW()-COUNTIF($F$6:INDEX($F:$F, ROW()-1), $F117)) : INDEX(AB:AB, ROW()-1)),
          AVERAGEIFS(unit_details[Asking Rent],
          unit_details[Active Listing?],TRUE,
          unit_details[Property Name], $F118,
          unit_details[Beds], $L118,
          unit_details[Baths], $M118,
          unit_details[Partial Baths], IF(ISNUMBER($N118),$N118,""),
          unit_details[Sqft],$P118
)),"")</f>
        <v/>
      </c>
      <c r="AF118" s="5" t="str">
        <f>IFERROR(IF(AE118="","",IF($F118="Total",
SUMPRODUCT(
   INDEX(AF:AF, ROW()-COUNTIF($F$6:INDEX($F:$F, ROW()-1), $F117)) : INDEX(AF:AF, ROW()-1),
   INDEX(AB:AB, ROW()-COUNTIF($F$6:INDEX($F:$F, ROW()-1), $F117)) : INDEX(AB:AB, ROW()-1)
   )
   /SUM(INDEX(AB:AB, ROW()-COUNTIF($F$6:INDEX($F:$F, ROW()-1), $F117)) : INDEX(AB:AB, ROW()-1)),
           _xlfn.MAXIFS(unit_details[Asking Rent],
          unit_details[Active Listing?],TRUE,
          unit_details[Property Name], $F118,
          unit_details[Beds], $L118,
          unit_details[Baths], $M118,
          unit_details[Partial Baths], IF(ISNUMBER($N118),$N118,""),
          unit_details[Sqft],$P118
))),"")</f>
        <v/>
      </c>
      <c r="AG118" s="6" t="str">
        <f>IFERROR(IF($F118="Total",
         SUMPRODUCT(
         INDEX(AG:AG, ROW()-COUNTIF($F$6:INDEX($F:$F, ROW()-1), $F117)) : INDEX(AG:AG, ROW()-1),
         INDEX(AB:AB, ROW()-COUNTIF($F$6:INDEX($F:$F, ROW()-1), $F117)) : INDEX(AB:AB, ROW()-1)
         )
         /SUM(INDEX(AB:AB, ROW()-COUNTIF($F$6:INDEX($F:$F, ROW()-1), $F117)) : INDEX(AB:AB, ROW()-1)),
          AVERAGEIFS(unit_details[Asking PSF],
          unit_details[Active Listing?],TRUE,
          unit_details[Property Name], $F118,
          unit_details[Beds], $L118,
          unit_details[Baths], $M118,
          unit_details[Partial Baths], IF(ISNUMBER($N118),$N118,""),
          unit_details[Sqft],$P118
)),"")</f>
        <v/>
      </c>
      <c r="AH118" s="293" t="str">
        <f>IFERROR(IF($F118="Total",
         SUMPRODUCT(
         INDEX(AH:AH, ROW()-COUNTIF($F$6:INDEX($F:$F, ROW()-1), $F117)) : INDEX(AH:AH, ROW()-1),
         INDEX(AB:AB, ROW()-COUNTIF($F$6:INDEX($F:$F, ROW()-1), $F117)) : INDEX(AB:AB, ROW()-1)
         )
         /SUM(INDEX(AB:AB, ROW()-COUNTIF($F$6:INDEX($F:$F, ROW()-1), $F117)) : INDEX(AB:AB, ROW()-1)),
          AVERAGEIFS(unit_details[Effective Rent],
          unit_details[Active Listing?],TRUE,
          unit_details[Property Name], $F118,
          unit_details[Beds], $L118,
          unit_details[Baths], $M118,
          unit_details[Partial Baths], IF(ISNUMBER($N118),$N118,""),
          unit_details[Sqft],$P118
)),"")</f>
        <v/>
      </c>
      <c r="AI118" s="6" t="str">
        <f>IFERROR(IF($F118="Total",
         SUMPRODUCT(
         INDEX(AI:AI, ROW()-COUNTIF($F$6:INDEX($F:$F, ROW()-1), $F117)) : INDEX(AI:AI, ROW()-1),
         INDEX(AB:AB, ROW()-COUNTIF($F$6:INDEX($F:$F, ROW()-1), $F117)) : INDEX(AB:AB, ROW()-1)
         )
         /SUM(INDEX(AB:AB, ROW()-COUNTIF($F$6:INDEX($F:$F, ROW()-1), $F117)) : INDEX(AB:AB, ROW()-1)),
           AVERAGEIFS(unit_details[Effective PSF],
          unit_details[Active Listing?],TRUE,
          unit_details[Property Name], $F118,
          unit_details[Beds], $L118,
          unit_details[Baths], $M118,
          unit_details[Partial Baths], IF(ISNUMBER($N118),$N118,""),
          unit_details[Sqft],$P118
)),"")</f>
        <v/>
      </c>
      <c r="AJ118" s="824" t="str">
        <f t="shared" si="15"/>
        <v/>
      </c>
      <c r="AK118" s="531" t="str">
        <f t="shared" si="16"/>
        <v/>
      </c>
      <c r="AL118" s="714" t="str">
        <f t="shared" si="17"/>
        <v/>
      </c>
      <c r="AM118" s="531" t="str">
        <f t="shared" si="18"/>
        <v/>
      </c>
      <c r="AN118" s="716" t="str">
        <f t="shared" si="19"/>
        <v/>
      </c>
    </row>
    <row r="119" spans="6:40" x14ac:dyDescent="0.2">
      <c r="F119" s="1" t="str">
        <f t="shared" si="12"/>
        <v/>
      </c>
      <c r="G119" s="713" t="str">
        <f t="shared" si="20"/>
        <v/>
      </c>
      <c r="H119" s="17" t="str">
        <f>IFERROR(VLOOKUP($G119,Table1[[Property]:[Exposure %]],4,0),"")</f>
        <v/>
      </c>
      <c r="I119" s="3" t="str">
        <f>IFERROR(VLOOKUP($G119,Table1[[Property]:[Exposure %]],6,0),"")</f>
        <v/>
      </c>
      <c r="J119" s="3" t="str">
        <f>IFERROR(VLOOKUP($G119,Table1[[Property]:[Exposure %]],7,0),"")</f>
        <v/>
      </c>
      <c r="K119"/>
      <c r="L119"/>
      <c r="M119"/>
      <c r="N119"/>
      <c r="O119"/>
      <c r="P119"/>
      <c r="Q119"/>
      <c r="R119" s="4" t="str">
        <f>IFERROR(VLOOKUP(IF(F119="Total",F118,F119),Table1[[Property]:['# Units]],7,0)*S119,"")</f>
        <v/>
      </c>
      <c r="S119" s="27" t="str">
        <f t="shared" si="13"/>
        <v/>
      </c>
      <c r="T119" s="531" t="str">
        <f>IFERROR(
 IF($F119="Total",
   SUMPRODUCT(
   INDEX(T:T, ROW()-COUNTIF($F$6:INDEX($F:$F, ROW()-1), $F118)) : INDEX(T:T, ROW()-1),
   INDEX(W:W, ROW()-COUNTIF($F$6:INDEX($F:$F, ROW()-1), $F118)) : INDEX(W:W, ROW()-1)
   )
   /SUM(INDEX(W:W, ROW()-COUNTIF($F$6:INDEX($F:$F, ROW()-1), $F118)) : INDEX(W:W, ROW()-1)),
   AVERAGEIFS(
     INDEX((unit_details[Asking Rent],unit_details[Asking PSF]),0,1,IF($U$3="Chunk Rent",1,2)),
     unit_details[Leased Date],"&gt;="&amp;($AM$2-T$5),
     unit_details[Leased Date],"&lt;"&amp;$AM$2,
     unit_details[Beds],$L119,
     unit_details[Baths],$M119,
     unit_details[Partial Baths],IF(ISNUMBER($N119),$N119,""),
     unit_details[Sqft],$P119,
     unit_details[Property Name],$F119)
 ),"")</f>
        <v/>
      </c>
      <c r="U119" s="552" t="str">
        <f>IFERROR(
 IF($F119="Total",
   SUMPRODUCT(
   INDEX(U:U, ROW()-COUNTIF($F$6:INDEX($F:$F, ROW()-1), $F118)) : INDEX(U:U, ROW()-1),
   INDEX(W:W, ROW()-COUNTIF($F$6:INDEX($F:$F, ROW()-1), $F118)) : INDEX(W:W, ROW()-1)
   )
   /SUM(INDEX(W:W, ROW()-COUNTIF($F$6:INDEX($F:$F, ROW()-1), $F118)) : INDEX(W:W, ROW()-1)),
   AVERAGEIFS(
     INDEX((unit_details[Effective Rent],unit_details[Effective PSF]),0,1,IF($U$3="Chunk Rent",1,2)),
     unit_details[Leased Date],"&gt;="&amp;($AM$2-T$5),
     unit_details[Leased Date],"&lt;"&amp;$AM$2,
     unit_details[Beds],$L119,
     unit_details[Baths],$M119,
     unit_details[Partial Baths],IF(ISNUMBER($N119),$N119,""),
     unit_details[Sqft],$P119,
     unit_details[Property Name],$F119)
 ),"")</f>
        <v/>
      </c>
      <c r="V119" s="27" t="str">
        <f t="shared" si="21"/>
        <v/>
      </c>
      <c r="W119" s="526">
        <f>IFERROR(
  IF($F119="Total",
    SUM(INDEX(W:W, ROW()-COUNTIF($F$6:INDEX($F:$F, ROW()-1), $F118)) : INDEX(W:W, ROW()-1)),
    COUNTIFS(
      unit_details[Leased Date], "&gt;="&amp;($AM$2-T$5),
      unit_details[Leased Date], "&lt;"&amp;$AM$2,
      unit_details[Beds], $L119,
      unit_details[Baths], $M119,
      unit_details[Partial Baths], IF(ISNUMBER($N119), $N119, ""),
      unit_details[Sqft],$P119,
      unit_details[Property Name], $F119
    )
  ),
"")</f>
        <v>0</v>
      </c>
      <c r="X119" s="531" t="str">
        <f>IFERROR(
 IF($F119="Total",
   SUMPRODUCT(
   INDEX(X:X, ROW()-COUNTIF($F$6:INDEX($F:$F, ROW()-1), $F118)) : INDEX(X:X, ROW()-1),
   INDEX(AA:AA, ROW()-COUNTIF($F$6:INDEX($F:$F, ROW()-1), $F118)) : INDEX(AA:AA, ROW()-1)
   )
   /SUM(INDEX(AA:AA, ROW()-COUNTIF($F$6:INDEX($F:$F, ROW()-1), $F118)) : INDEX(AA:AA, ROW()-1)),
   AVERAGEIFS(
     INDEX((unit_details[Asking Rent],unit_details[Asking PSF]),0,1,IF($U$3="Chunk Rent",1,2)),
     unit_details[Leased Date],"&gt;="&amp;($AM$2-X$5),
     unit_details[Leased Date],"&lt;"&amp;$AM$2,
     unit_details[Beds],$L119,
     unit_details[Baths],$M119,
     unit_details[Partial Baths],IF(ISNUMBER($N119),$N119,""),
     unit_details[Sqft],$P119,
     unit_details[Property Name],$F119)
 ),"")</f>
        <v/>
      </c>
      <c r="Y119" s="552" t="str">
        <f>IFERROR(
 IF($F119="Total",
   SUMPRODUCT(
   INDEX(Y:Y, ROW()-COUNTIF($F$6:INDEX($F:$F, ROW()-1), $F118)) : INDEX(Y:Y, ROW()-1),
   INDEX(AA:AA, ROW()-COUNTIF($F$6:INDEX($F:$F, ROW()-1), $F118)) : INDEX(AA:AA, ROW()-1)
   )
   /SUM(INDEX(AA:AA, ROW()-COUNTIF($F$6:INDEX($F:$F, ROW()-1), $F118)) : INDEX(AA:AA, ROW()-1)),
   AVERAGEIFS(
     INDEX((unit_details[Effective Rent],unit_details[Effective PSF]),0,1,IF($U$3="Chunk Rent",1,2)),
     unit_details[Leased Date],"&gt;="&amp;($AM$2-X$5),
     unit_details[Leased Date],"&lt;"&amp;$AM$2,
     unit_details[Beds],$L119,
     unit_details[Baths],$M119,
     unit_details[Partial Baths],IF(ISNUMBER($N119),$N119,""),
     unit_details[Sqft],$P119,
     unit_details[Property Name],$F119)
 ),"")</f>
        <v/>
      </c>
      <c r="Z119" s="27" t="str">
        <f t="shared" si="22"/>
        <v/>
      </c>
      <c r="AA119" s="526">
        <f>IFERROR(
  IF($F119="Total",
    SUM(INDEX(AA:AA, ROW()-COUNTIF($F$6:INDEX($F:$F, ROW()-1), $F118)) : INDEX(AA:AA, ROW()-1)),
    COUNTIFS(
      unit_details[Leased Date], "&gt;="&amp;($AM$2-X$5),
      unit_details[Leased Date], "&lt;"&amp;$AM$2,
      unit_details[Beds], $L119,
      unit_details[Baths], $M119,
      unit_details[Partial Baths], IF(ISNUMBER($N119), $N119, ""),
      unit_details[Sqft],$P119,
      unit_details[Property Name], $F119
    )
  ),
"")</f>
        <v>0</v>
      </c>
      <c r="AB119" s="290">
        <f>IF($F119="Total",
SUM(INDEX(AB:AB, ROW()-COUNTIF($F$6:INDEX($F:$F, ROW()-1), $F118)) : INDEX(AB:AB, ROW()-1)),
COUNTIFS(unit_details[Active Listing?],TRUE,
          unit_details[Property Name], $F119,
          unit_details[Beds], $L119,
          unit_details[Baths], $M119,
          unit_details[Partial Baths],IF(ISNUMBER($N119),$N119,""),
          unit_details[Sqft],$P119))</f>
        <v>0</v>
      </c>
      <c r="AC119" s="27" t="str">
        <f t="shared" si="14"/>
        <v/>
      </c>
      <c r="AD119" s="293" t="str">
        <f>IFERROR(IF(AE119="","",IF($F119="Total",
SUMPRODUCT(
   INDEX(AD:AD, ROW()-COUNTIF($F$6:INDEX($F:$F, ROW()-1), $F118)) : INDEX(AD:AD, ROW()-1),
   INDEX(AB:AB, ROW()-COUNTIF($F$6:INDEX($F:$F, ROW()-1), $F118)) : INDEX(AB:AB, ROW()-1)
   )
   /SUM(INDEX(AB:AB, ROW()-COUNTIF($F$6:INDEX($F:$F, ROW()-1), $F118)) : INDEX(AB:AB, ROW()-1)),
          _xlfn.MINIFS(unit_details[Asking Rent],
          unit_details[Active Listing?],TRUE,
          unit_details[Property Name], $F119,
          unit_details[Beds], $L119,
          unit_details[Baths], $M119,
          unit_details[Partial Baths], IF(ISNUMBER($N119),$N119,""),
          unit_details[Sqft],$P119
))),"")</f>
        <v/>
      </c>
      <c r="AE119" s="5" t="str">
        <f>IFERROR(IF($F119="Total",
          SUMPRODUCT(
   INDEX(AE:AE, ROW()-COUNTIF($F$6:INDEX($F:$F, ROW()-1), $F118)) : INDEX(AE:AE, ROW()-1),
   INDEX(AB:AB, ROW()-COUNTIF($F$6:INDEX($F:$F, ROW()-1), $F118)) : INDEX(AB:AB, ROW()-1)
   )
   /SUM(INDEX(AB:AB, ROW()-COUNTIF($F$6:INDEX($F:$F, ROW()-1), $F118)) : INDEX(AB:AB, ROW()-1)),
          AVERAGEIFS(unit_details[Asking Rent],
          unit_details[Active Listing?],TRUE,
          unit_details[Property Name], $F119,
          unit_details[Beds], $L119,
          unit_details[Baths], $M119,
          unit_details[Partial Baths], IF(ISNUMBER($N119),$N119,""),
          unit_details[Sqft],$P119
)),"")</f>
        <v/>
      </c>
      <c r="AF119" s="5" t="str">
        <f>IFERROR(IF(AE119="","",IF($F119="Total",
SUMPRODUCT(
   INDEX(AF:AF, ROW()-COUNTIF($F$6:INDEX($F:$F, ROW()-1), $F118)) : INDEX(AF:AF, ROW()-1),
   INDEX(AB:AB, ROW()-COUNTIF($F$6:INDEX($F:$F, ROW()-1), $F118)) : INDEX(AB:AB, ROW()-1)
   )
   /SUM(INDEX(AB:AB, ROW()-COUNTIF($F$6:INDEX($F:$F, ROW()-1), $F118)) : INDEX(AB:AB, ROW()-1)),
           _xlfn.MAXIFS(unit_details[Asking Rent],
          unit_details[Active Listing?],TRUE,
          unit_details[Property Name], $F119,
          unit_details[Beds], $L119,
          unit_details[Baths], $M119,
          unit_details[Partial Baths], IF(ISNUMBER($N119),$N119,""),
          unit_details[Sqft],$P119
))),"")</f>
        <v/>
      </c>
      <c r="AG119" s="6" t="str">
        <f>IFERROR(IF($F119="Total",
         SUMPRODUCT(
         INDEX(AG:AG, ROW()-COUNTIF($F$6:INDEX($F:$F, ROW()-1), $F118)) : INDEX(AG:AG, ROW()-1),
         INDEX(AB:AB, ROW()-COUNTIF($F$6:INDEX($F:$F, ROW()-1), $F118)) : INDEX(AB:AB, ROW()-1)
         )
         /SUM(INDEX(AB:AB, ROW()-COUNTIF($F$6:INDEX($F:$F, ROW()-1), $F118)) : INDEX(AB:AB, ROW()-1)),
          AVERAGEIFS(unit_details[Asking PSF],
          unit_details[Active Listing?],TRUE,
          unit_details[Property Name], $F119,
          unit_details[Beds], $L119,
          unit_details[Baths], $M119,
          unit_details[Partial Baths], IF(ISNUMBER($N119),$N119,""),
          unit_details[Sqft],$P119
)),"")</f>
        <v/>
      </c>
      <c r="AH119" s="293" t="str">
        <f>IFERROR(IF($F119="Total",
         SUMPRODUCT(
         INDEX(AH:AH, ROW()-COUNTIF($F$6:INDEX($F:$F, ROW()-1), $F118)) : INDEX(AH:AH, ROW()-1),
         INDEX(AB:AB, ROW()-COUNTIF($F$6:INDEX($F:$F, ROW()-1), $F118)) : INDEX(AB:AB, ROW()-1)
         )
         /SUM(INDEX(AB:AB, ROW()-COUNTIF($F$6:INDEX($F:$F, ROW()-1), $F118)) : INDEX(AB:AB, ROW()-1)),
          AVERAGEIFS(unit_details[Effective Rent],
          unit_details[Active Listing?],TRUE,
          unit_details[Property Name], $F119,
          unit_details[Beds], $L119,
          unit_details[Baths], $M119,
          unit_details[Partial Baths], IF(ISNUMBER($N119),$N119,""),
          unit_details[Sqft],$P119
)),"")</f>
        <v/>
      </c>
      <c r="AI119" s="6" t="str">
        <f>IFERROR(IF($F119="Total",
         SUMPRODUCT(
         INDEX(AI:AI, ROW()-COUNTIF($F$6:INDEX($F:$F, ROW()-1), $F118)) : INDEX(AI:AI, ROW()-1),
         INDEX(AB:AB, ROW()-COUNTIF($F$6:INDEX($F:$F, ROW()-1), $F118)) : INDEX(AB:AB, ROW()-1)
         )
         /SUM(INDEX(AB:AB, ROW()-COUNTIF($F$6:INDEX($F:$F, ROW()-1), $F118)) : INDEX(AB:AB, ROW()-1)),
           AVERAGEIFS(unit_details[Effective PSF],
          unit_details[Active Listing?],TRUE,
          unit_details[Property Name], $F119,
          unit_details[Beds], $L119,
          unit_details[Baths], $M119,
          unit_details[Partial Baths], IF(ISNUMBER($N119),$N119,""),
          unit_details[Sqft],$P119
)),"")</f>
        <v/>
      </c>
      <c r="AJ119" s="824" t="str">
        <f t="shared" si="15"/>
        <v/>
      </c>
      <c r="AK119" s="531" t="str">
        <f t="shared" si="16"/>
        <v/>
      </c>
      <c r="AL119" s="714" t="str">
        <f t="shared" si="17"/>
        <v/>
      </c>
      <c r="AM119" s="531" t="str">
        <f t="shared" si="18"/>
        <v/>
      </c>
      <c r="AN119" s="716" t="str">
        <f t="shared" si="19"/>
        <v/>
      </c>
    </row>
    <row r="120" spans="6:40" x14ac:dyDescent="0.2">
      <c r="F120" s="1" t="str">
        <f t="shared" si="12"/>
        <v/>
      </c>
      <c r="G120" s="713" t="str">
        <f t="shared" si="20"/>
        <v/>
      </c>
      <c r="H120" s="17" t="str">
        <f>IFERROR(VLOOKUP($G120,Table1[[Property]:[Exposure %]],4,0),"")</f>
        <v/>
      </c>
      <c r="I120" s="3" t="str">
        <f>IFERROR(VLOOKUP($G120,Table1[[Property]:[Exposure %]],6,0),"")</f>
        <v/>
      </c>
      <c r="J120" s="3" t="str">
        <f>IFERROR(VLOOKUP($G120,Table1[[Property]:[Exposure %]],7,0),"")</f>
        <v/>
      </c>
      <c r="K120"/>
      <c r="L120"/>
      <c r="M120"/>
      <c r="N120"/>
      <c r="O120"/>
      <c r="P120"/>
      <c r="Q120"/>
      <c r="R120" s="4" t="str">
        <f>IFERROR(VLOOKUP(IF(F120="Total",F119,F120),Table1[[Property]:['# Units]],7,0)*S120,"")</f>
        <v/>
      </c>
      <c r="S120" s="27" t="str">
        <f t="shared" si="13"/>
        <v/>
      </c>
      <c r="T120" s="531" t="str">
        <f>IFERROR(
 IF($F120="Total",
   SUMPRODUCT(
   INDEX(T:T, ROW()-COUNTIF($F$6:INDEX($F:$F, ROW()-1), $F119)) : INDEX(T:T, ROW()-1),
   INDEX(W:W, ROW()-COUNTIF($F$6:INDEX($F:$F, ROW()-1), $F119)) : INDEX(W:W, ROW()-1)
   )
   /SUM(INDEX(W:W, ROW()-COUNTIF($F$6:INDEX($F:$F, ROW()-1), $F119)) : INDEX(W:W, ROW()-1)),
   AVERAGEIFS(
     INDEX((unit_details[Asking Rent],unit_details[Asking PSF]),0,1,IF($U$3="Chunk Rent",1,2)),
     unit_details[Leased Date],"&gt;="&amp;($AM$2-T$5),
     unit_details[Leased Date],"&lt;"&amp;$AM$2,
     unit_details[Beds],$L120,
     unit_details[Baths],$M120,
     unit_details[Partial Baths],IF(ISNUMBER($N120),$N120,""),
     unit_details[Sqft],$P120,
     unit_details[Property Name],$F120)
 ),"")</f>
        <v/>
      </c>
      <c r="U120" s="552" t="str">
        <f>IFERROR(
 IF($F120="Total",
   SUMPRODUCT(
   INDEX(U:U, ROW()-COUNTIF($F$6:INDEX($F:$F, ROW()-1), $F119)) : INDEX(U:U, ROW()-1),
   INDEX(W:W, ROW()-COUNTIF($F$6:INDEX($F:$F, ROW()-1), $F119)) : INDEX(W:W, ROW()-1)
   )
   /SUM(INDEX(W:W, ROW()-COUNTIF($F$6:INDEX($F:$F, ROW()-1), $F119)) : INDEX(W:W, ROW()-1)),
   AVERAGEIFS(
     INDEX((unit_details[Effective Rent],unit_details[Effective PSF]),0,1,IF($U$3="Chunk Rent",1,2)),
     unit_details[Leased Date],"&gt;="&amp;($AM$2-T$5),
     unit_details[Leased Date],"&lt;"&amp;$AM$2,
     unit_details[Beds],$L120,
     unit_details[Baths],$M120,
     unit_details[Partial Baths],IF(ISNUMBER($N120),$N120,""),
     unit_details[Sqft],$P120,
     unit_details[Property Name],$F120)
 ),"")</f>
        <v/>
      </c>
      <c r="V120" s="27" t="str">
        <f t="shared" si="21"/>
        <v/>
      </c>
      <c r="W120" s="526">
        <f>IFERROR(
  IF($F120="Total",
    SUM(INDEX(W:W, ROW()-COUNTIF($F$6:INDEX($F:$F, ROW()-1), $F119)) : INDEX(W:W, ROW()-1)),
    COUNTIFS(
      unit_details[Leased Date], "&gt;="&amp;($AM$2-T$5),
      unit_details[Leased Date], "&lt;"&amp;$AM$2,
      unit_details[Beds], $L120,
      unit_details[Baths], $M120,
      unit_details[Partial Baths], IF(ISNUMBER($N120), $N120, ""),
      unit_details[Sqft],$P120,
      unit_details[Property Name], $F120
    )
  ),
"")</f>
        <v>0</v>
      </c>
      <c r="X120" s="531" t="str">
        <f>IFERROR(
 IF($F120="Total",
   SUMPRODUCT(
   INDEX(X:X, ROW()-COUNTIF($F$6:INDEX($F:$F, ROW()-1), $F119)) : INDEX(X:X, ROW()-1),
   INDEX(AA:AA, ROW()-COUNTIF($F$6:INDEX($F:$F, ROW()-1), $F119)) : INDEX(AA:AA, ROW()-1)
   )
   /SUM(INDEX(AA:AA, ROW()-COUNTIF($F$6:INDEX($F:$F, ROW()-1), $F119)) : INDEX(AA:AA, ROW()-1)),
   AVERAGEIFS(
     INDEX((unit_details[Asking Rent],unit_details[Asking PSF]),0,1,IF($U$3="Chunk Rent",1,2)),
     unit_details[Leased Date],"&gt;="&amp;($AM$2-X$5),
     unit_details[Leased Date],"&lt;"&amp;$AM$2,
     unit_details[Beds],$L120,
     unit_details[Baths],$M120,
     unit_details[Partial Baths],IF(ISNUMBER($N120),$N120,""),
     unit_details[Sqft],$P120,
     unit_details[Property Name],$F120)
 ),"")</f>
        <v/>
      </c>
      <c r="Y120" s="552" t="str">
        <f>IFERROR(
 IF($F120="Total",
   SUMPRODUCT(
   INDEX(Y:Y, ROW()-COUNTIF($F$6:INDEX($F:$F, ROW()-1), $F119)) : INDEX(Y:Y, ROW()-1),
   INDEX(AA:AA, ROW()-COUNTIF($F$6:INDEX($F:$F, ROW()-1), $F119)) : INDEX(AA:AA, ROW()-1)
   )
   /SUM(INDEX(AA:AA, ROW()-COUNTIF($F$6:INDEX($F:$F, ROW()-1), $F119)) : INDEX(AA:AA, ROW()-1)),
   AVERAGEIFS(
     INDEX((unit_details[Effective Rent],unit_details[Effective PSF]),0,1,IF($U$3="Chunk Rent",1,2)),
     unit_details[Leased Date],"&gt;="&amp;($AM$2-X$5),
     unit_details[Leased Date],"&lt;"&amp;$AM$2,
     unit_details[Beds],$L120,
     unit_details[Baths],$M120,
     unit_details[Partial Baths],IF(ISNUMBER($N120),$N120,""),
     unit_details[Sqft],$P120,
     unit_details[Property Name],$F120)
 ),"")</f>
        <v/>
      </c>
      <c r="Z120" s="27" t="str">
        <f t="shared" si="22"/>
        <v/>
      </c>
      <c r="AA120" s="526">
        <f>IFERROR(
  IF($F120="Total",
    SUM(INDEX(AA:AA, ROW()-COUNTIF($F$6:INDEX($F:$F, ROW()-1), $F119)) : INDEX(AA:AA, ROW()-1)),
    COUNTIFS(
      unit_details[Leased Date], "&gt;="&amp;($AM$2-X$5),
      unit_details[Leased Date], "&lt;"&amp;$AM$2,
      unit_details[Beds], $L120,
      unit_details[Baths], $M120,
      unit_details[Partial Baths], IF(ISNUMBER($N120), $N120, ""),
      unit_details[Sqft],$P120,
      unit_details[Property Name], $F120
    )
  ),
"")</f>
        <v>0</v>
      </c>
      <c r="AB120" s="290">
        <f>IF($F120="Total",
SUM(INDEX(AB:AB, ROW()-COUNTIF($F$6:INDEX($F:$F, ROW()-1), $F119)) : INDEX(AB:AB, ROW()-1)),
COUNTIFS(unit_details[Active Listing?],TRUE,
          unit_details[Property Name], $F120,
          unit_details[Beds], $L120,
          unit_details[Baths], $M120,
          unit_details[Partial Baths],IF(ISNUMBER($N120),$N120,""),
          unit_details[Sqft],$P120))</f>
        <v>0</v>
      </c>
      <c r="AC120" s="27" t="str">
        <f t="shared" si="14"/>
        <v/>
      </c>
      <c r="AD120" s="293" t="str">
        <f>IFERROR(IF(AE120="","",IF($F120="Total",
SUMPRODUCT(
   INDEX(AD:AD, ROW()-COUNTIF($F$6:INDEX($F:$F, ROW()-1), $F119)) : INDEX(AD:AD, ROW()-1),
   INDEX(AB:AB, ROW()-COUNTIF($F$6:INDEX($F:$F, ROW()-1), $F119)) : INDEX(AB:AB, ROW()-1)
   )
   /SUM(INDEX(AB:AB, ROW()-COUNTIF($F$6:INDEX($F:$F, ROW()-1), $F119)) : INDEX(AB:AB, ROW()-1)),
          _xlfn.MINIFS(unit_details[Asking Rent],
          unit_details[Active Listing?],TRUE,
          unit_details[Property Name], $F120,
          unit_details[Beds], $L120,
          unit_details[Baths], $M120,
          unit_details[Partial Baths], IF(ISNUMBER($N120),$N120,""),
          unit_details[Sqft],$P120
))),"")</f>
        <v/>
      </c>
      <c r="AE120" s="5" t="str">
        <f>IFERROR(IF($F120="Total",
          SUMPRODUCT(
   INDEX(AE:AE, ROW()-COUNTIF($F$6:INDEX($F:$F, ROW()-1), $F119)) : INDEX(AE:AE, ROW()-1),
   INDEX(AB:AB, ROW()-COUNTIF($F$6:INDEX($F:$F, ROW()-1), $F119)) : INDEX(AB:AB, ROW()-1)
   )
   /SUM(INDEX(AB:AB, ROW()-COUNTIF($F$6:INDEX($F:$F, ROW()-1), $F119)) : INDEX(AB:AB, ROW()-1)),
          AVERAGEIFS(unit_details[Asking Rent],
          unit_details[Active Listing?],TRUE,
          unit_details[Property Name], $F120,
          unit_details[Beds], $L120,
          unit_details[Baths], $M120,
          unit_details[Partial Baths], IF(ISNUMBER($N120),$N120,""),
          unit_details[Sqft],$P120
)),"")</f>
        <v/>
      </c>
      <c r="AF120" s="5" t="str">
        <f>IFERROR(IF(AE120="","",IF($F120="Total",
SUMPRODUCT(
   INDEX(AF:AF, ROW()-COUNTIF($F$6:INDEX($F:$F, ROW()-1), $F119)) : INDEX(AF:AF, ROW()-1),
   INDEX(AB:AB, ROW()-COUNTIF($F$6:INDEX($F:$F, ROW()-1), $F119)) : INDEX(AB:AB, ROW()-1)
   )
   /SUM(INDEX(AB:AB, ROW()-COUNTIF($F$6:INDEX($F:$F, ROW()-1), $F119)) : INDEX(AB:AB, ROW()-1)),
           _xlfn.MAXIFS(unit_details[Asking Rent],
          unit_details[Active Listing?],TRUE,
          unit_details[Property Name], $F120,
          unit_details[Beds], $L120,
          unit_details[Baths], $M120,
          unit_details[Partial Baths], IF(ISNUMBER($N120),$N120,""),
          unit_details[Sqft],$P120
))),"")</f>
        <v/>
      </c>
      <c r="AG120" s="6" t="str">
        <f>IFERROR(IF($F120="Total",
         SUMPRODUCT(
         INDEX(AG:AG, ROW()-COUNTIF($F$6:INDEX($F:$F, ROW()-1), $F119)) : INDEX(AG:AG, ROW()-1),
         INDEX(AB:AB, ROW()-COUNTIF($F$6:INDEX($F:$F, ROW()-1), $F119)) : INDEX(AB:AB, ROW()-1)
         )
         /SUM(INDEX(AB:AB, ROW()-COUNTIF($F$6:INDEX($F:$F, ROW()-1), $F119)) : INDEX(AB:AB, ROW()-1)),
          AVERAGEIFS(unit_details[Asking PSF],
          unit_details[Active Listing?],TRUE,
          unit_details[Property Name], $F120,
          unit_details[Beds], $L120,
          unit_details[Baths], $M120,
          unit_details[Partial Baths], IF(ISNUMBER($N120),$N120,""),
          unit_details[Sqft],$P120
)),"")</f>
        <v/>
      </c>
      <c r="AH120" s="293" t="str">
        <f>IFERROR(IF($F120="Total",
         SUMPRODUCT(
         INDEX(AH:AH, ROW()-COUNTIF($F$6:INDEX($F:$F, ROW()-1), $F119)) : INDEX(AH:AH, ROW()-1),
         INDEX(AB:AB, ROW()-COUNTIF($F$6:INDEX($F:$F, ROW()-1), $F119)) : INDEX(AB:AB, ROW()-1)
         )
         /SUM(INDEX(AB:AB, ROW()-COUNTIF($F$6:INDEX($F:$F, ROW()-1), $F119)) : INDEX(AB:AB, ROW()-1)),
          AVERAGEIFS(unit_details[Effective Rent],
          unit_details[Active Listing?],TRUE,
          unit_details[Property Name], $F120,
          unit_details[Beds], $L120,
          unit_details[Baths], $M120,
          unit_details[Partial Baths], IF(ISNUMBER($N120),$N120,""),
          unit_details[Sqft],$P120
)),"")</f>
        <v/>
      </c>
      <c r="AI120" s="6" t="str">
        <f>IFERROR(IF($F120="Total",
         SUMPRODUCT(
         INDEX(AI:AI, ROW()-COUNTIF($F$6:INDEX($F:$F, ROW()-1), $F119)) : INDEX(AI:AI, ROW()-1),
         INDEX(AB:AB, ROW()-COUNTIF($F$6:INDEX($F:$F, ROW()-1), $F119)) : INDEX(AB:AB, ROW()-1)
         )
         /SUM(INDEX(AB:AB, ROW()-COUNTIF($F$6:INDEX($F:$F, ROW()-1), $F119)) : INDEX(AB:AB, ROW()-1)),
           AVERAGEIFS(unit_details[Effective PSF],
          unit_details[Active Listing?],TRUE,
          unit_details[Property Name], $F120,
          unit_details[Beds], $L120,
          unit_details[Baths], $M120,
          unit_details[Partial Baths], IF(ISNUMBER($N120),$N120,""),
          unit_details[Sqft],$P120
)),"")</f>
        <v/>
      </c>
      <c r="AJ120" s="824" t="str">
        <f t="shared" si="15"/>
        <v/>
      </c>
      <c r="AK120" s="531" t="str">
        <f t="shared" si="16"/>
        <v/>
      </c>
      <c r="AL120" s="714" t="str">
        <f t="shared" si="17"/>
        <v/>
      </c>
      <c r="AM120" s="531" t="str">
        <f t="shared" si="18"/>
        <v/>
      </c>
      <c r="AN120" s="716" t="str">
        <f t="shared" si="19"/>
        <v/>
      </c>
    </row>
    <row r="121" spans="6:40" x14ac:dyDescent="0.2">
      <c r="F121" s="1" t="str">
        <f t="shared" si="12"/>
        <v/>
      </c>
      <c r="G121" s="713" t="str">
        <f t="shared" si="20"/>
        <v/>
      </c>
      <c r="H121" s="17" t="str">
        <f>IFERROR(VLOOKUP($G121,Table1[[Property]:[Exposure %]],4,0),"")</f>
        <v/>
      </c>
      <c r="I121" s="3" t="str">
        <f>IFERROR(VLOOKUP($G121,Table1[[Property]:[Exposure %]],6,0),"")</f>
        <v/>
      </c>
      <c r="J121" s="3" t="str">
        <f>IFERROR(VLOOKUP($G121,Table1[[Property]:[Exposure %]],7,0),"")</f>
        <v/>
      </c>
      <c r="K121"/>
      <c r="L121"/>
      <c r="M121"/>
      <c r="N121"/>
      <c r="O121"/>
      <c r="P121"/>
      <c r="Q121"/>
      <c r="R121" s="4" t="str">
        <f>IFERROR(VLOOKUP(IF(F121="Total",F120,F121),Table1[[Property]:['# Units]],7,0)*S121,"")</f>
        <v/>
      </c>
      <c r="S121" s="27" t="str">
        <f t="shared" si="13"/>
        <v/>
      </c>
      <c r="T121" s="531" t="str">
        <f>IFERROR(
 IF($F121="Total",
   SUMPRODUCT(
   INDEX(T:T, ROW()-COUNTIF($F$6:INDEX($F:$F, ROW()-1), $F120)) : INDEX(T:T, ROW()-1),
   INDEX(W:W, ROW()-COUNTIF($F$6:INDEX($F:$F, ROW()-1), $F120)) : INDEX(W:W, ROW()-1)
   )
   /SUM(INDEX(W:W, ROW()-COUNTIF($F$6:INDEX($F:$F, ROW()-1), $F120)) : INDEX(W:W, ROW()-1)),
   AVERAGEIFS(
     INDEX((unit_details[Asking Rent],unit_details[Asking PSF]),0,1,IF($U$3="Chunk Rent",1,2)),
     unit_details[Leased Date],"&gt;="&amp;($AM$2-T$5),
     unit_details[Leased Date],"&lt;"&amp;$AM$2,
     unit_details[Beds],$L121,
     unit_details[Baths],$M121,
     unit_details[Partial Baths],IF(ISNUMBER($N121),$N121,""),
     unit_details[Sqft],$P121,
     unit_details[Property Name],$F121)
 ),"")</f>
        <v/>
      </c>
      <c r="U121" s="552" t="str">
        <f>IFERROR(
 IF($F121="Total",
   SUMPRODUCT(
   INDEX(U:U, ROW()-COUNTIF($F$6:INDEX($F:$F, ROW()-1), $F120)) : INDEX(U:U, ROW()-1),
   INDEX(W:W, ROW()-COUNTIF($F$6:INDEX($F:$F, ROW()-1), $F120)) : INDEX(W:W, ROW()-1)
   )
   /SUM(INDEX(W:W, ROW()-COUNTIF($F$6:INDEX($F:$F, ROW()-1), $F120)) : INDEX(W:W, ROW()-1)),
   AVERAGEIFS(
     INDEX((unit_details[Effective Rent],unit_details[Effective PSF]),0,1,IF($U$3="Chunk Rent",1,2)),
     unit_details[Leased Date],"&gt;="&amp;($AM$2-T$5),
     unit_details[Leased Date],"&lt;"&amp;$AM$2,
     unit_details[Beds],$L121,
     unit_details[Baths],$M121,
     unit_details[Partial Baths],IF(ISNUMBER($N121),$N121,""),
     unit_details[Sqft],$P121,
     unit_details[Property Name],$F121)
 ),"")</f>
        <v/>
      </c>
      <c r="V121" s="27" t="str">
        <f t="shared" si="21"/>
        <v/>
      </c>
      <c r="W121" s="526">
        <f>IFERROR(
  IF($F121="Total",
    SUM(INDEX(W:W, ROW()-COUNTIF($F$6:INDEX($F:$F, ROW()-1), $F120)) : INDEX(W:W, ROW()-1)),
    COUNTIFS(
      unit_details[Leased Date], "&gt;="&amp;($AM$2-T$5),
      unit_details[Leased Date], "&lt;"&amp;$AM$2,
      unit_details[Beds], $L121,
      unit_details[Baths], $M121,
      unit_details[Partial Baths], IF(ISNUMBER($N121), $N121, ""),
      unit_details[Sqft],$P121,
      unit_details[Property Name], $F121
    )
  ),
"")</f>
        <v>0</v>
      </c>
      <c r="X121" s="531" t="str">
        <f>IFERROR(
 IF($F121="Total",
   SUMPRODUCT(
   INDEX(X:X, ROW()-COUNTIF($F$6:INDEX($F:$F, ROW()-1), $F120)) : INDEX(X:X, ROW()-1),
   INDEX(AA:AA, ROW()-COUNTIF($F$6:INDEX($F:$F, ROW()-1), $F120)) : INDEX(AA:AA, ROW()-1)
   )
   /SUM(INDEX(AA:AA, ROW()-COUNTIF($F$6:INDEX($F:$F, ROW()-1), $F120)) : INDEX(AA:AA, ROW()-1)),
   AVERAGEIFS(
     INDEX((unit_details[Asking Rent],unit_details[Asking PSF]),0,1,IF($U$3="Chunk Rent",1,2)),
     unit_details[Leased Date],"&gt;="&amp;($AM$2-X$5),
     unit_details[Leased Date],"&lt;"&amp;$AM$2,
     unit_details[Beds],$L121,
     unit_details[Baths],$M121,
     unit_details[Partial Baths],IF(ISNUMBER($N121),$N121,""),
     unit_details[Sqft],$P121,
     unit_details[Property Name],$F121)
 ),"")</f>
        <v/>
      </c>
      <c r="Y121" s="552" t="str">
        <f>IFERROR(
 IF($F121="Total",
   SUMPRODUCT(
   INDEX(Y:Y, ROW()-COUNTIF($F$6:INDEX($F:$F, ROW()-1), $F120)) : INDEX(Y:Y, ROW()-1),
   INDEX(AA:AA, ROW()-COUNTIF($F$6:INDEX($F:$F, ROW()-1), $F120)) : INDEX(AA:AA, ROW()-1)
   )
   /SUM(INDEX(AA:AA, ROW()-COUNTIF($F$6:INDEX($F:$F, ROW()-1), $F120)) : INDEX(AA:AA, ROW()-1)),
   AVERAGEIFS(
     INDEX((unit_details[Effective Rent],unit_details[Effective PSF]),0,1,IF($U$3="Chunk Rent",1,2)),
     unit_details[Leased Date],"&gt;="&amp;($AM$2-X$5),
     unit_details[Leased Date],"&lt;"&amp;$AM$2,
     unit_details[Beds],$L121,
     unit_details[Baths],$M121,
     unit_details[Partial Baths],IF(ISNUMBER($N121),$N121,""),
     unit_details[Sqft],$P121,
     unit_details[Property Name],$F121)
 ),"")</f>
        <v/>
      </c>
      <c r="Z121" s="27" t="str">
        <f t="shared" si="22"/>
        <v/>
      </c>
      <c r="AA121" s="526">
        <f>IFERROR(
  IF($F121="Total",
    SUM(INDEX(AA:AA, ROW()-COUNTIF($F$6:INDEX($F:$F, ROW()-1), $F120)) : INDEX(AA:AA, ROW()-1)),
    COUNTIFS(
      unit_details[Leased Date], "&gt;="&amp;($AM$2-X$5),
      unit_details[Leased Date], "&lt;"&amp;$AM$2,
      unit_details[Beds], $L121,
      unit_details[Baths], $M121,
      unit_details[Partial Baths], IF(ISNUMBER($N121), $N121, ""),
      unit_details[Sqft],$P121,
      unit_details[Property Name], $F121
    )
  ),
"")</f>
        <v>0</v>
      </c>
      <c r="AB121" s="290">
        <f>IF($F121="Total",
SUM(INDEX(AB:AB, ROW()-COUNTIF($F$6:INDEX($F:$F, ROW()-1), $F120)) : INDEX(AB:AB, ROW()-1)),
COUNTIFS(unit_details[Active Listing?],TRUE,
          unit_details[Property Name], $F121,
          unit_details[Beds], $L121,
          unit_details[Baths], $M121,
          unit_details[Partial Baths],IF(ISNUMBER($N121),$N121,""),
          unit_details[Sqft],$P121))</f>
        <v>0</v>
      </c>
      <c r="AC121" s="27" t="str">
        <f t="shared" si="14"/>
        <v/>
      </c>
      <c r="AD121" s="293" t="str">
        <f>IFERROR(IF(AE121="","",IF($F121="Total",
SUMPRODUCT(
   INDEX(AD:AD, ROW()-COUNTIF($F$6:INDEX($F:$F, ROW()-1), $F120)) : INDEX(AD:AD, ROW()-1),
   INDEX(AB:AB, ROW()-COUNTIF($F$6:INDEX($F:$F, ROW()-1), $F120)) : INDEX(AB:AB, ROW()-1)
   )
   /SUM(INDEX(AB:AB, ROW()-COUNTIF($F$6:INDEX($F:$F, ROW()-1), $F120)) : INDEX(AB:AB, ROW()-1)),
          _xlfn.MINIFS(unit_details[Asking Rent],
          unit_details[Active Listing?],TRUE,
          unit_details[Property Name], $F121,
          unit_details[Beds], $L121,
          unit_details[Baths], $M121,
          unit_details[Partial Baths], IF(ISNUMBER($N121),$N121,""),
          unit_details[Sqft],$P121
))),"")</f>
        <v/>
      </c>
      <c r="AE121" s="5" t="str">
        <f>IFERROR(IF($F121="Total",
          SUMPRODUCT(
   INDEX(AE:AE, ROW()-COUNTIF($F$6:INDEX($F:$F, ROW()-1), $F120)) : INDEX(AE:AE, ROW()-1),
   INDEX(AB:AB, ROW()-COUNTIF($F$6:INDEX($F:$F, ROW()-1), $F120)) : INDEX(AB:AB, ROW()-1)
   )
   /SUM(INDEX(AB:AB, ROW()-COUNTIF($F$6:INDEX($F:$F, ROW()-1), $F120)) : INDEX(AB:AB, ROW()-1)),
          AVERAGEIFS(unit_details[Asking Rent],
          unit_details[Active Listing?],TRUE,
          unit_details[Property Name], $F121,
          unit_details[Beds], $L121,
          unit_details[Baths], $M121,
          unit_details[Partial Baths], IF(ISNUMBER($N121),$N121,""),
          unit_details[Sqft],$P121
)),"")</f>
        <v/>
      </c>
      <c r="AF121" s="5" t="str">
        <f>IFERROR(IF(AE121="","",IF($F121="Total",
SUMPRODUCT(
   INDEX(AF:AF, ROW()-COUNTIF($F$6:INDEX($F:$F, ROW()-1), $F120)) : INDEX(AF:AF, ROW()-1),
   INDEX(AB:AB, ROW()-COUNTIF($F$6:INDEX($F:$F, ROW()-1), $F120)) : INDEX(AB:AB, ROW()-1)
   )
   /SUM(INDEX(AB:AB, ROW()-COUNTIF($F$6:INDEX($F:$F, ROW()-1), $F120)) : INDEX(AB:AB, ROW()-1)),
           _xlfn.MAXIFS(unit_details[Asking Rent],
          unit_details[Active Listing?],TRUE,
          unit_details[Property Name], $F121,
          unit_details[Beds], $L121,
          unit_details[Baths], $M121,
          unit_details[Partial Baths], IF(ISNUMBER($N121),$N121,""),
          unit_details[Sqft],$P121
))),"")</f>
        <v/>
      </c>
      <c r="AG121" s="6" t="str">
        <f>IFERROR(IF($F121="Total",
         SUMPRODUCT(
         INDEX(AG:AG, ROW()-COUNTIF($F$6:INDEX($F:$F, ROW()-1), $F120)) : INDEX(AG:AG, ROW()-1),
         INDEX(AB:AB, ROW()-COUNTIF($F$6:INDEX($F:$F, ROW()-1), $F120)) : INDEX(AB:AB, ROW()-1)
         )
         /SUM(INDEX(AB:AB, ROW()-COUNTIF($F$6:INDEX($F:$F, ROW()-1), $F120)) : INDEX(AB:AB, ROW()-1)),
          AVERAGEIFS(unit_details[Asking PSF],
          unit_details[Active Listing?],TRUE,
          unit_details[Property Name], $F121,
          unit_details[Beds], $L121,
          unit_details[Baths], $M121,
          unit_details[Partial Baths], IF(ISNUMBER($N121),$N121,""),
          unit_details[Sqft],$P121
)),"")</f>
        <v/>
      </c>
      <c r="AH121" s="293" t="str">
        <f>IFERROR(IF($F121="Total",
         SUMPRODUCT(
         INDEX(AH:AH, ROW()-COUNTIF($F$6:INDEX($F:$F, ROW()-1), $F120)) : INDEX(AH:AH, ROW()-1),
         INDEX(AB:AB, ROW()-COUNTIF($F$6:INDEX($F:$F, ROW()-1), $F120)) : INDEX(AB:AB, ROW()-1)
         )
         /SUM(INDEX(AB:AB, ROW()-COUNTIF($F$6:INDEX($F:$F, ROW()-1), $F120)) : INDEX(AB:AB, ROW()-1)),
          AVERAGEIFS(unit_details[Effective Rent],
          unit_details[Active Listing?],TRUE,
          unit_details[Property Name], $F121,
          unit_details[Beds], $L121,
          unit_details[Baths], $M121,
          unit_details[Partial Baths], IF(ISNUMBER($N121),$N121,""),
          unit_details[Sqft],$P121
)),"")</f>
        <v/>
      </c>
      <c r="AI121" s="6" t="str">
        <f>IFERROR(IF($F121="Total",
         SUMPRODUCT(
         INDEX(AI:AI, ROW()-COUNTIF($F$6:INDEX($F:$F, ROW()-1), $F120)) : INDEX(AI:AI, ROW()-1),
         INDEX(AB:AB, ROW()-COUNTIF($F$6:INDEX($F:$F, ROW()-1), $F120)) : INDEX(AB:AB, ROW()-1)
         )
         /SUM(INDEX(AB:AB, ROW()-COUNTIF($F$6:INDEX($F:$F, ROW()-1), $F120)) : INDEX(AB:AB, ROW()-1)),
           AVERAGEIFS(unit_details[Effective PSF],
          unit_details[Active Listing?],TRUE,
          unit_details[Property Name], $F121,
          unit_details[Beds], $L121,
          unit_details[Baths], $M121,
          unit_details[Partial Baths], IF(ISNUMBER($N121),$N121,""),
          unit_details[Sqft],$P121
)),"")</f>
        <v/>
      </c>
      <c r="AJ121" s="824" t="str">
        <f t="shared" si="15"/>
        <v/>
      </c>
      <c r="AK121" s="531" t="str">
        <f t="shared" si="16"/>
        <v/>
      </c>
      <c r="AL121" s="714" t="str">
        <f t="shared" si="17"/>
        <v/>
      </c>
      <c r="AM121" s="531" t="str">
        <f t="shared" si="18"/>
        <v/>
      </c>
      <c r="AN121" s="716" t="str">
        <f t="shared" si="19"/>
        <v/>
      </c>
    </row>
    <row r="122" spans="6:40" x14ac:dyDescent="0.2">
      <c r="F122" s="1" t="str">
        <f t="shared" si="12"/>
        <v/>
      </c>
      <c r="G122" s="713" t="str">
        <f t="shared" si="20"/>
        <v/>
      </c>
      <c r="H122" s="17" t="str">
        <f>IFERROR(VLOOKUP($G122,Table1[[Property]:[Exposure %]],4,0),"")</f>
        <v/>
      </c>
      <c r="I122" s="3" t="str">
        <f>IFERROR(VLOOKUP($G122,Table1[[Property]:[Exposure %]],6,0),"")</f>
        <v/>
      </c>
      <c r="J122" s="3" t="str">
        <f>IFERROR(VLOOKUP($G122,Table1[[Property]:[Exposure %]],7,0),"")</f>
        <v/>
      </c>
      <c r="K122"/>
      <c r="L122"/>
      <c r="M122"/>
      <c r="N122"/>
      <c r="O122"/>
      <c r="P122"/>
      <c r="Q122"/>
      <c r="R122" s="4" t="str">
        <f>IFERROR(VLOOKUP(IF(F122="Total",F121,F122),Table1[[Property]:['# Units]],7,0)*S122,"")</f>
        <v/>
      </c>
      <c r="S122" s="27" t="str">
        <f t="shared" si="13"/>
        <v/>
      </c>
      <c r="T122" s="531" t="str">
        <f>IFERROR(
 IF($F122="Total",
   SUMPRODUCT(
   INDEX(T:T, ROW()-COUNTIF($F$6:INDEX($F:$F, ROW()-1), $F121)) : INDEX(T:T, ROW()-1),
   INDEX(W:W, ROW()-COUNTIF($F$6:INDEX($F:$F, ROW()-1), $F121)) : INDEX(W:W, ROW()-1)
   )
   /SUM(INDEX(W:W, ROW()-COUNTIF($F$6:INDEX($F:$F, ROW()-1), $F121)) : INDEX(W:W, ROW()-1)),
   AVERAGEIFS(
     INDEX((unit_details[Asking Rent],unit_details[Asking PSF]),0,1,IF($U$3="Chunk Rent",1,2)),
     unit_details[Leased Date],"&gt;="&amp;($AM$2-T$5),
     unit_details[Leased Date],"&lt;"&amp;$AM$2,
     unit_details[Beds],$L122,
     unit_details[Baths],$M122,
     unit_details[Partial Baths],IF(ISNUMBER($N122),$N122,""),
     unit_details[Sqft],$P122,
     unit_details[Property Name],$F122)
 ),"")</f>
        <v/>
      </c>
      <c r="U122" s="552" t="str">
        <f>IFERROR(
 IF($F122="Total",
   SUMPRODUCT(
   INDEX(U:U, ROW()-COUNTIF($F$6:INDEX($F:$F, ROW()-1), $F121)) : INDEX(U:U, ROW()-1),
   INDEX(W:W, ROW()-COUNTIF($F$6:INDEX($F:$F, ROW()-1), $F121)) : INDEX(W:W, ROW()-1)
   )
   /SUM(INDEX(W:W, ROW()-COUNTIF($F$6:INDEX($F:$F, ROW()-1), $F121)) : INDEX(W:W, ROW()-1)),
   AVERAGEIFS(
     INDEX((unit_details[Effective Rent],unit_details[Effective PSF]),0,1,IF($U$3="Chunk Rent",1,2)),
     unit_details[Leased Date],"&gt;="&amp;($AM$2-T$5),
     unit_details[Leased Date],"&lt;"&amp;$AM$2,
     unit_details[Beds],$L122,
     unit_details[Baths],$M122,
     unit_details[Partial Baths],IF(ISNUMBER($N122),$N122,""),
     unit_details[Sqft],$P122,
     unit_details[Property Name],$F122)
 ),"")</f>
        <v/>
      </c>
      <c r="V122" s="27" t="str">
        <f t="shared" si="21"/>
        <v/>
      </c>
      <c r="W122" s="526">
        <f>IFERROR(
  IF($F122="Total",
    SUM(INDEX(W:W, ROW()-COUNTIF($F$6:INDEX($F:$F, ROW()-1), $F121)) : INDEX(W:W, ROW()-1)),
    COUNTIFS(
      unit_details[Leased Date], "&gt;="&amp;($AM$2-T$5),
      unit_details[Leased Date], "&lt;"&amp;$AM$2,
      unit_details[Beds], $L122,
      unit_details[Baths], $M122,
      unit_details[Partial Baths], IF(ISNUMBER($N122), $N122, ""),
      unit_details[Sqft],$P122,
      unit_details[Property Name], $F122
    )
  ),
"")</f>
        <v>0</v>
      </c>
      <c r="X122" s="531" t="str">
        <f>IFERROR(
 IF($F122="Total",
   SUMPRODUCT(
   INDEX(X:X, ROW()-COUNTIF($F$6:INDEX($F:$F, ROW()-1), $F121)) : INDEX(X:X, ROW()-1),
   INDEX(AA:AA, ROW()-COUNTIF($F$6:INDEX($F:$F, ROW()-1), $F121)) : INDEX(AA:AA, ROW()-1)
   )
   /SUM(INDEX(AA:AA, ROW()-COUNTIF($F$6:INDEX($F:$F, ROW()-1), $F121)) : INDEX(AA:AA, ROW()-1)),
   AVERAGEIFS(
     INDEX((unit_details[Asking Rent],unit_details[Asking PSF]),0,1,IF($U$3="Chunk Rent",1,2)),
     unit_details[Leased Date],"&gt;="&amp;($AM$2-X$5),
     unit_details[Leased Date],"&lt;"&amp;$AM$2,
     unit_details[Beds],$L122,
     unit_details[Baths],$M122,
     unit_details[Partial Baths],IF(ISNUMBER($N122),$N122,""),
     unit_details[Sqft],$P122,
     unit_details[Property Name],$F122)
 ),"")</f>
        <v/>
      </c>
      <c r="Y122" s="552" t="str">
        <f>IFERROR(
 IF($F122="Total",
   SUMPRODUCT(
   INDEX(Y:Y, ROW()-COUNTIF($F$6:INDEX($F:$F, ROW()-1), $F121)) : INDEX(Y:Y, ROW()-1),
   INDEX(AA:AA, ROW()-COUNTIF($F$6:INDEX($F:$F, ROW()-1), $F121)) : INDEX(AA:AA, ROW()-1)
   )
   /SUM(INDEX(AA:AA, ROW()-COUNTIF($F$6:INDEX($F:$F, ROW()-1), $F121)) : INDEX(AA:AA, ROW()-1)),
   AVERAGEIFS(
     INDEX((unit_details[Effective Rent],unit_details[Effective PSF]),0,1,IF($U$3="Chunk Rent",1,2)),
     unit_details[Leased Date],"&gt;="&amp;($AM$2-X$5),
     unit_details[Leased Date],"&lt;"&amp;$AM$2,
     unit_details[Beds],$L122,
     unit_details[Baths],$M122,
     unit_details[Partial Baths],IF(ISNUMBER($N122),$N122,""),
     unit_details[Sqft],$P122,
     unit_details[Property Name],$F122)
 ),"")</f>
        <v/>
      </c>
      <c r="Z122" s="27" t="str">
        <f t="shared" si="22"/>
        <v/>
      </c>
      <c r="AA122" s="526">
        <f>IFERROR(
  IF($F122="Total",
    SUM(INDEX(AA:AA, ROW()-COUNTIF($F$6:INDEX($F:$F, ROW()-1), $F121)) : INDEX(AA:AA, ROW()-1)),
    COUNTIFS(
      unit_details[Leased Date], "&gt;="&amp;($AM$2-X$5),
      unit_details[Leased Date], "&lt;"&amp;$AM$2,
      unit_details[Beds], $L122,
      unit_details[Baths], $M122,
      unit_details[Partial Baths], IF(ISNUMBER($N122), $N122, ""),
      unit_details[Sqft],$P122,
      unit_details[Property Name], $F122
    )
  ),
"")</f>
        <v>0</v>
      </c>
      <c r="AB122" s="290">
        <f>IF($F122="Total",
SUM(INDEX(AB:AB, ROW()-COUNTIF($F$6:INDEX($F:$F, ROW()-1), $F121)) : INDEX(AB:AB, ROW()-1)),
COUNTIFS(unit_details[Active Listing?],TRUE,
          unit_details[Property Name], $F122,
          unit_details[Beds], $L122,
          unit_details[Baths], $M122,
          unit_details[Partial Baths],IF(ISNUMBER($N122),$N122,""),
          unit_details[Sqft],$P122))</f>
        <v>0</v>
      </c>
      <c r="AC122" s="27" t="str">
        <f t="shared" si="14"/>
        <v/>
      </c>
      <c r="AD122" s="293" t="str">
        <f>IFERROR(IF(AE122="","",IF($F122="Total",
SUMPRODUCT(
   INDEX(AD:AD, ROW()-COUNTIF($F$6:INDEX($F:$F, ROW()-1), $F121)) : INDEX(AD:AD, ROW()-1),
   INDEX(AB:AB, ROW()-COUNTIF($F$6:INDEX($F:$F, ROW()-1), $F121)) : INDEX(AB:AB, ROW()-1)
   )
   /SUM(INDEX(AB:AB, ROW()-COUNTIF($F$6:INDEX($F:$F, ROW()-1), $F121)) : INDEX(AB:AB, ROW()-1)),
          _xlfn.MINIFS(unit_details[Asking Rent],
          unit_details[Active Listing?],TRUE,
          unit_details[Property Name], $F122,
          unit_details[Beds], $L122,
          unit_details[Baths], $M122,
          unit_details[Partial Baths], IF(ISNUMBER($N122),$N122,""),
          unit_details[Sqft],$P122
))),"")</f>
        <v/>
      </c>
      <c r="AE122" s="5" t="str">
        <f>IFERROR(IF($F122="Total",
          SUMPRODUCT(
   INDEX(AE:AE, ROW()-COUNTIF($F$6:INDEX($F:$F, ROW()-1), $F121)) : INDEX(AE:AE, ROW()-1),
   INDEX(AB:AB, ROW()-COUNTIF($F$6:INDEX($F:$F, ROW()-1), $F121)) : INDEX(AB:AB, ROW()-1)
   )
   /SUM(INDEX(AB:AB, ROW()-COUNTIF($F$6:INDEX($F:$F, ROW()-1), $F121)) : INDEX(AB:AB, ROW()-1)),
          AVERAGEIFS(unit_details[Asking Rent],
          unit_details[Active Listing?],TRUE,
          unit_details[Property Name], $F122,
          unit_details[Beds], $L122,
          unit_details[Baths], $M122,
          unit_details[Partial Baths], IF(ISNUMBER($N122),$N122,""),
          unit_details[Sqft],$P122
)),"")</f>
        <v/>
      </c>
      <c r="AF122" s="5" t="str">
        <f>IFERROR(IF(AE122="","",IF($F122="Total",
SUMPRODUCT(
   INDEX(AF:AF, ROW()-COUNTIF($F$6:INDEX($F:$F, ROW()-1), $F121)) : INDEX(AF:AF, ROW()-1),
   INDEX(AB:AB, ROW()-COUNTIF($F$6:INDEX($F:$F, ROW()-1), $F121)) : INDEX(AB:AB, ROW()-1)
   )
   /SUM(INDEX(AB:AB, ROW()-COUNTIF($F$6:INDEX($F:$F, ROW()-1), $F121)) : INDEX(AB:AB, ROW()-1)),
           _xlfn.MAXIFS(unit_details[Asking Rent],
          unit_details[Active Listing?],TRUE,
          unit_details[Property Name], $F122,
          unit_details[Beds], $L122,
          unit_details[Baths], $M122,
          unit_details[Partial Baths], IF(ISNUMBER($N122),$N122,""),
          unit_details[Sqft],$P122
))),"")</f>
        <v/>
      </c>
      <c r="AG122" s="6" t="str">
        <f>IFERROR(IF($F122="Total",
         SUMPRODUCT(
         INDEX(AG:AG, ROW()-COUNTIF($F$6:INDEX($F:$F, ROW()-1), $F121)) : INDEX(AG:AG, ROW()-1),
         INDEX(AB:AB, ROW()-COUNTIF($F$6:INDEX($F:$F, ROW()-1), $F121)) : INDEX(AB:AB, ROW()-1)
         )
         /SUM(INDEX(AB:AB, ROW()-COUNTIF($F$6:INDEX($F:$F, ROW()-1), $F121)) : INDEX(AB:AB, ROW()-1)),
          AVERAGEIFS(unit_details[Asking PSF],
          unit_details[Active Listing?],TRUE,
          unit_details[Property Name], $F122,
          unit_details[Beds], $L122,
          unit_details[Baths], $M122,
          unit_details[Partial Baths], IF(ISNUMBER($N122),$N122,""),
          unit_details[Sqft],$P122
)),"")</f>
        <v/>
      </c>
      <c r="AH122" s="293" t="str">
        <f>IFERROR(IF($F122="Total",
         SUMPRODUCT(
         INDEX(AH:AH, ROW()-COUNTIF($F$6:INDEX($F:$F, ROW()-1), $F121)) : INDEX(AH:AH, ROW()-1),
         INDEX(AB:AB, ROW()-COUNTIF($F$6:INDEX($F:$F, ROW()-1), $F121)) : INDEX(AB:AB, ROW()-1)
         )
         /SUM(INDEX(AB:AB, ROW()-COUNTIF($F$6:INDEX($F:$F, ROW()-1), $F121)) : INDEX(AB:AB, ROW()-1)),
          AVERAGEIFS(unit_details[Effective Rent],
          unit_details[Active Listing?],TRUE,
          unit_details[Property Name], $F122,
          unit_details[Beds], $L122,
          unit_details[Baths], $M122,
          unit_details[Partial Baths], IF(ISNUMBER($N122),$N122,""),
          unit_details[Sqft],$P122
)),"")</f>
        <v/>
      </c>
      <c r="AI122" s="6" t="str">
        <f>IFERROR(IF($F122="Total",
         SUMPRODUCT(
         INDEX(AI:AI, ROW()-COUNTIF($F$6:INDEX($F:$F, ROW()-1), $F121)) : INDEX(AI:AI, ROW()-1),
         INDEX(AB:AB, ROW()-COUNTIF($F$6:INDEX($F:$F, ROW()-1), $F121)) : INDEX(AB:AB, ROW()-1)
         )
         /SUM(INDEX(AB:AB, ROW()-COUNTIF($F$6:INDEX($F:$F, ROW()-1), $F121)) : INDEX(AB:AB, ROW()-1)),
           AVERAGEIFS(unit_details[Effective PSF],
          unit_details[Active Listing?],TRUE,
          unit_details[Property Name], $F122,
          unit_details[Beds], $L122,
          unit_details[Baths], $M122,
          unit_details[Partial Baths], IF(ISNUMBER($N122),$N122,""),
          unit_details[Sqft],$P122
)),"")</f>
        <v/>
      </c>
      <c r="AJ122" s="824" t="str">
        <f t="shared" si="15"/>
        <v/>
      </c>
      <c r="AK122" s="531" t="str">
        <f t="shared" si="16"/>
        <v/>
      </c>
      <c r="AL122" s="714" t="str">
        <f t="shared" si="17"/>
        <v/>
      </c>
      <c r="AM122" s="531" t="str">
        <f t="shared" si="18"/>
        <v/>
      </c>
      <c r="AN122" s="716" t="str">
        <f t="shared" si="19"/>
        <v/>
      </c>
    </row>
    <row r="123" spans="6:40" x14ac:dyDescent="0.2">
      <c r="F123" s="1" t="str">
        <f t="shared" si="12"/>
        <v/>
      </c>
      <c r="G123" s="713" t="str">
        <f t="shared" si="20"/>
        <v/>
      </c>
      <c r="H123" s="17" t="str">
        <f>IFERROR(VLOOKUP($G123,Table1[[Property]:[Exposure %]],4,0),"")</f>
        <v/>
      </c>
      <c r="I123" s="3" t="str">
        <f>IFERROR(VLOOKUP($G123,Table1[[Property]:[Exposure %]],6,0),"")</f>
        <v/>
      </c>
      <c r="J123" s="3" t="str">
        <f>IFERROR(VLOOKUP($G123,Table1[[Property]:[Exposure %]],7,0),"")</f>
        <v/>
      </c>
      <c r="K123"/>
      <c r="L123"/>
      <c r="M123"/>
      <c r="N123"/>
      <c r="O123"/>
      <c r="P123"/>
      <c r="Q123"/>
      <c r="R123" s="4" t="str">
        <f>IFERROR(VLOOKUP(IF(F123="Total",F122,F123),Table1[[Property]:['# Units]],7,0)*S123,"")</f>
        <v/>
      </c>
      <c r="S123" s="27" t="str">
        <f t="shared" si="13"/>
        <v/>
      </c>
      <c r="T123" s="531" t="str">
        <f>IFERROR(
 IF($F123="Total",
   SUMPRODUCT(
   INDEX(T:T, ROW()-COUNTIF($F$6:INDEX($F:$F, ROW()-1), $F122)) : INDEX(T:T, ROW()-1),
   INDEX(W:W, ROW()-COUNTIF($F$6:INDEX($F:$F, ROW()-1), $F122)) : INDEX(W:W, ROW()-1)
   )
   /SUM(INDEX(W:W, ROW()-COUNTIF($F$6:INDEX($F:$F, ROW()-1), $F122)) : INDEX(W:W, ROW()-1)),
   AVERAGEIFS(
     INDEX((unit_details[Asking Rent],unit_details[Asking PSF]),0,1,IF($U$3="Chunk Rent",1,2)),
     unit_details[Leased Date],"&gt;="&amp;($AM$2-T$5),
     unit_details[Leased Date],"&lt;"&amp;$AM$2,
     unit_details[Beds],$L123,
     unit_details[Baths],$M123,
     unit_details[Partial Baths],IF(ISNUMBER($N123),$N123,""),
     unit_details[Sqft],$P123,
     unit_details[Property Name],$F123)
 ),"")</f>
        <v/>
      </c>
      <c r="U123" s="552" t="str">
        <f>IFERROR(
 IF($F123="Total",
   SUMPRODUCT(
   INDEX(U:U, ROW()-COUNTIF($F$6:INDEX($F:$F, ROW()-1), $F122)) : INDEX(U:U, ROW()-1),
   INDEX(W:W, ROW()-COUNTIF($F$6:INDEX($F:$F, ROW()-1), $F122)) : INDEX(W:W, ROW()-1)
   )
   /SUM(INDEX(W:W, ROW()-COUNTIF($F$6:INDEX($F:$F, ROW()-1), $F122)) : INDEX(W:W, ROW()-1)),
   AVERAGEIFS(
     INDEX((unit_details[Effective Rent],unit_details[Effective PSF]),0,1,IF($U$3="Chunk Rent",1,2)),
     unit_details[Leased Date],"&gt;="&amp;($AM$2-T$5),
     unit_details[Leased Date],"&lt;"&amp;$AM$2,
     unit_details[Beds],$L123,
     unit_details[Baths],$M123,
     unit_details[Partial Baths],IF(ISNUMBER($N123),$N123,""),
     unit_details[Sqft],$P123,
     unit_details[Property Name],$F123)
 ),"")</f>
        <v/>
      </c>
      <c r="V123" s="27" t="str">
        <f t="shared" si="21"/>
        <v/>
      </c>
      <c r="W123" s="526">
        <f>IFERROR(
  IF($F123="Total",
    SUM(INDEX(W:W, ROW()-COUNTIF($F$6:INDEX($F:$F, ROW()-1), $F122)) : INDEX(W:W, ROW()-1)),
    COUNTIFS(
      unit_details[Leased Date], "&gt;="&amp;($AM$2-T$5),
      unit_details[Leased Date], "&lt;"&amp;$AM$2,
      unit_details[Beds], $L123,
      unit_details[Baths], $M123,
      unit_details[Partial Baths], IF(ISNUMBER($N123), $N123, ""),
      unit_details[Sqft],$P123,
      unit_details[Property Name], $F123
    )
  ),
"")</f>
        <v>0</v>
      </c>
      <c r="X123" s="531" t="str">
        <f>IFERROR(
 IF($F123="Total",
   SUMPRODUCT(
   INDEX(X:X, ROW()-COUNTIF($F$6:INDEX($F:$F, ROW()-1), $F122)) : INDEX(X:X, ROW()-1),
   INDEX(AA:AA, ROW()-COUNTIF($F$6:INDEX($F:$F, ROW()-1), $F122)) : INDEX(AA:AA, ROW()-1)
   )
   /SUM(INDEX(AA:AA, ROW()-COUNTIF($F$6:INDEX($F:$F, ROW()-1), $F122)) : INDEX(AA:AA, ROW()-1)),
   AVERAGEIFS(
     INDEX((unit_details[Asking Rent],unit_details[Asking PSF]),0,1,IF($U$3="Chunk Rent",1,2)),
     unit_details[Leased Date],"&gt;="&amp;($AM$2-X$5),
     unit_details[Leased Date],"&lt;"&amp;$AM$2,
     unit_details[Beds],$L123,
     unit_details[Baths],$M123,
     unit_details[Partial Baths],IF(ISNUMBER($N123),$N123,""),
     unit_details[Sqft],$P123,
     unit_details[Property Name],$F123)
 ),"")</f>
        <v/>
      </c>
      <c r="Y123" s="552" t="str">
        <f>IFERROR(
 IF($F123="Total",
   SUMPRODUCT(
   INDEX(Y:Y, ROW()-COUNTIF($F$6:INDEX($F:$F, ROW()-1), $F122)) : INDEX(Y:Y, ROW()-1),
   INDEX(AA:AA, ROW()-COUNTIF($F$6:INDEX($F:$F, ROW()-1), $F122)) : INDEX(AA:AA, ROW()-1)
   )
   /SUM(INDEX(AA:AA, ROW()-COUNTIF($F$6:INDEX($F:$F, ROW()-1), $F122)) : INDEX(AA:AA, ROW()-1)),
   AVERAGEIFS(
     INDEX((unit_details[Effective Rent],unit_details[Effective PSF]),0,1,IF($U$3="Chunk Rent",1,2)),
     unit_details[Leased Date],"&gt;="&amp;($AM$2-X$5),
     unit_details[Leased Date],"&lt;"&amp;$AM$2,
     unit_details[Beds],$L123,
     unit_details[Baths],$M123,
     unit_details[Partial Baths],IF(ISNUMBER($N123),$N123,""),
     unit_details[Sqft],$P123,
     unit_details[Property Name],$F123)
 ),"")</f>
        <v/>
      </c>
      <c r="Z123" s="27" t="str">
        <f t="shared" si="22"/>
        <v/>
      </c>
      <c r="AA123" s="526">
        <f>IFERROR(
  IF($F123="Total",
    SUM(INDEX(AA:AA, ROW()-COUNTIF($F$6:INDEX($F:$F, ROW()-1), $F122)) : INDEX(AA:AA, ROW()-1)),
    COUNTIFS(
      unit_details[Leased Date], "&gt;="&amp;($AM$2-X$5),
      unit_details[Leased Date], "&lt;"&amp;$AM$2,
      unit_details[Beds], $L123,
      unit_details[Baths], $M123,
      unit_details[Partial Baths], IF(ISNUMBER($N123), $N123, ""),
      unit_details[Sqft],$P123,
      unit_details[Property Name], $F123
    )
  ),
"")</f>
        <v>0</v>
      </c>
      <c r="AB123" s="290">
        <f>IF($F123="Total",
SUM(INDEX(AB:AB, ROW()-COUNTIF($F$6:INDEX($F:$F, ROW()-1), $F122)) : INDEX(AB:AB, ROW()-1)),
COUNTIFS(unit_details[Active Listing?],TRUE,
          unit_details[Property Name], $F123,
          unit_details[Beds], $L123,
          unit_details[Baths], $M123,
          unit_details[Partial Baths],IF(ISNUMBER($N123),$N123,""),
          unit_details[Sqft],$P123))</f>
        <v>0</v>
      </c>
      <c r="AC123" s="27" t="str">
        <f t="shared" si="14"/>
        <v/>
      </c>
      <c r="AD123" s="293" t="str">
        <f>IFERROR(IF(AE123="","",IF($F123="Total",
SUMPRODUCT(
   INDEX(AD:AD, ROW()-COUNTIF($F$6:INDEX($F:$F, ROW()-1), $F122)) : INDEX(AD:AD, ROW()-1),
   INDEX(AB:AB, ROW()-COUNTIF($F$6:INDEX($F:$F, ROW()-1), $F122)) : INDEX(AB:AB, ROW()-1)
   )
   /SUM(INDEX(AB:AB, ROW()-COUNTIF($F$6:INDEX($F:$F, ROW()-1), $F122)) : INDEX(AB:AB, ROW()-1)),
          _xlfn.MINIFS(unit_details[Asking Rent],
          unit_details[Active Listing?],TRUE,
          unit_details[Property Name], $F123,
          unit_details[Beds], $L123,
          unit_details[Baths], $M123,
          unit_details[Partial Baths], IF(ISNUMBER($N123),$N123,""),
          unit_details[Sqft],$P123
))),"")</f>
        <v/>
      </c>
      <c r="AE123" s="5" t="str">
        <f>IFERROR(IF($F123="Total",
          SUMPRODUCT(
   INDEX(AE:AE, ROW()-COUNTIF($F$6:INDEX($F:$F, ROW()-1), $F122)) : INDEX(AE:AE, ROW()-1),
   INDEX(AB:AB, ROW()-COUNTIF($F$6:INDEX($F:$F, ROW()-1), $F122)) : INDEX(AB:AB, ROW()-1)
   )
   /SUM(INDEX(AB:AB, ROW()-COUNTIF($F$6:INDEX($F:$F, ROW()-1), $F122)) : INDEX(AB:AB, ROW()-1)),
          AVERAGEIFS(unit_details[Asking Rent],
          unit_details[Active Listing?],TRUE,
          unit_details[Property Name], $F123,
          unit_details[Beds], $L123,
          unit_details[Baths], $M123,
          unit_details[Partial Baths], IF(ISNUMBER($N123),$N123,""),
          unit_details[Sqft],$P123
)),"")</f>
        <v/>
      </c>
      <c r="AF123" s="5" t="str">
        <f>IFERROR(IF(AE123="","",IF($F123="Total",
SUMPRODUCT(
   INDEX(AF:AF, ROW()-COUNTIF($F$6:INDEX($F:$F, ROW()-1), $F122)) : INDEX(AF:AF, ROW()-1),
   INDEX(AB:AB, ROW()-COUNTIF($F$6:INDEX($F:$F, ROW()-1), $F122)) : INDEX(AB:AB, ROW()-1)
   )
   /SUM(INDEX(AB:AB, ROW()-COUNTIF($F$6:INDEX($F:$F, ROW()-1), $F122)) : INDEX(AB:AB, ROW()-1)),
           _xlfn.MAXIFS(unit_details[Asking Rent],
          unit_details[Active Listing?],TRUE,
          unit_details[Property Name], $F123,
          unit_details[Beds], $L123,
          unit_details[Baths], $M123,
          unit_details[Partial Baths], IF(ISNUMBER($N123),$N123,""),
          unit_details[Sqft],$P123
))),"")</f>
        <v/>
      </c>
      <c r="AG123" s="6" t="str">
        <f>IFERROR(IF($F123="Total",
         SUMPRODUCT(
         INDEX(AG:AG, ROW()-COUNTIF($F$6:INDEX($F:$F, ROW()-1), $F122)) : INDEX(AG:AG, ROW()-1),
         INDEX(AB:AB, ROW()-COUNTIF($F$6:INDEX($F:$F, ROW()-1), $F122)) : INDEX(AB:AB, ROW()-1)
         )
         /SUM(INDEX(AB:AB, ROW()-COUNTIF($F$6:INDEX($F:$F, ROW()-1), $F122)) : INDEX(AB:AB, ROW()-1)),
          AVERAGEIFS(unit_details[Asking PSF],
          unit_details[Active Listing?],TRUE,
          unit_details[Property Name], $F123,
          unit_details[Beds], $L123,
          unit_details[Baths], $M123,
          unit_details[Partial Baths], IF(ISNUMBER($N123),$N123,""),
          unit_details[Sqft],$P123
)),"")</f>
        <v/>
      </c>
      <c r="AH123" s="293" t="str">
        <f>IFERROR(IF($F123="Total",
         SUMPRODUCT(
         INDEX(AH:AH, ROW()-COUNTIF($F$6:INDEX($F:$F, ROW()-1), $F122)) : INDEX(AH:AH, ROW()-1),
         INDEX(AB:AB, ROW()-COUNTIF($F$6:INDEX($F:$F, ROW()-1), $F122)) : INDEX(AB:AB, ROW()-1)
         )
         /SUM(INDEX(AB:AB, ROW()-COUNTIF($F$6:INDEX($F:$F, ROW()-1), $F122)) : INDEX(AB:AB, ROW()-1)),
          AVERAGEIFS(unit_details[Effective Rent],
          unit_details[Active Listing?],TRUE,
          unit_details[Property Name], $F123,
          unit_details[Beds], $L123,
          unit_details[Baths], $M123,
          unit_details[Partial Baths], IF(ISNUMBER($N123),$N123,""),
          unit_details[Sqft],$P123
)),"")</f>
        <v/>
      </c>
      <c r="AI123" s="6" t="str">
        <f>IFERROR(IF($F123="Total",
         SUMPRODUCT(
         INDEX(AI:AI, ROW()-COUNTIF($F$6:INDEX($F:$F, ROW()-1), $F122)) : INDEX(AI:AI, ROW()-1),
         INDEX(AB:AB, ROW()-COUNTIF($F$6:INDEX($F:$F, ROW()-1), $F122)) : INDEX(AB:AB, ROW()-1)
         )
         /SUM(INDEX(AB:AB, ROW()-COUNTIF($F$6:INDEX($F:$F, ROW()-1), $F122)) : INDEX(AB:AB, ROW()-1)),
           AVERAGEIFS(unit_details[Effective PSF],
          unit_details[Active Listing?],TRUE,
          unit_details[Property Name], $F123,
          unit_details[Beds], $L123,
          unit_details[Baths], $M123,
          unit_details[Partial Baths], IF(ISNUMBER($N123),$N123,""),
          unit_details[Sqft],$P123
)),"")</f>
        <v/>
      </c>
      <c r="AJ123" s="824" t="str">
        <f t="shared" si="15"/>
        <v/>
      </c>
      <c r="AK123" s="531" t="str">
        <f t="shared" si="16"/>
        <v/>
      </c>
      <c r="AL123" s="714" t="str">
        <f t="shared" si="17"/>
        <v/>
      </c>
      <c r="AM123" s="531" t="str">
        <f t="shared" si="18"/>
        <v/>
      </c>
      <c r="AN123" s="716" t="str">
        <f t="shared" si="19"/>
        <v/>
      </c>
    </row>
    <row r="124" spans="6:40" x14ac:dyDescent="0.2">
      <c r="F124" s="1" t="str">
        <f t="shared" si="12"/>
        <v/>
      </c>
      <c r="G124" s="713" t="str">
        <f t="shared" si="20"/>
        <v/>
      </c>
      <c r="H124" s="17" t="str">
        <f>IFERROR(VLOOKUP($G124,Table1[[Property]:[Exposure %]],4,0),"")</f>
        <v/>
      </c>
      <c r="I124" s="3" t="str">
        <f>IFERROR(VLOOKUP($G124,Table1[[Property]:[Exposure %]],6,0),"")</f>
        <v/>
      </c>
      <c r="J124" s="3" t="str">
        <f>IFERROR(VLOOKUP($G124,Table1[[Property]:[Exposure %]],7,0),"")</f>
        <v/>
      </c>
      <c r="K124"/>
      <c r="L124"/>
      <c r="M124"/>
      <c r="N124"/>
      <c r="O124"/>
      <c r="P124"/>
      <c r="Q124"/>
      <c r="R124" s="4" t="str">
        <f>IFERROR(VLOOKUP(IF(F124="Total",F123,F124),Table1[[Property]:['# Units]],7,0)*S124,"")</f>
        <v/>
      </c>
      <c r="S124" s="27" t="str">
        <f t="shared" si="13"/>
        <v/>
      </c>
      <c r="T124" s="531" t="str">
        <f>IFERROR(
 IF($F124="Total",
   SUMPRODUCT(
   INDEX(T:T, ROW()-COUNTIF($F$6:INDEX($F:$F, ROW()-1), $F123)) : INDEX(T:T, ROW()-1),
   INDEX(W:W, ROW()-COUNTIF($F$6:INDEX($F:$F, ROW()-1), $F123)) : INDEX(W:W, ROW()-1)
   )
   /SUM(INDEX(W:W, ROW()-COUNTIF($F$6:INDEX($F:$F, ROW()-1), $F123)) : INDEX(W:W, ROW()-1)),
   AVERAGEIFS(
     INDEX((unit_details[Asking Rent],unit_details[Asking PSF]),0,1,IF($U$3="Chunk Rent",1,2)),
     unit_details[Leased Date],"&gt;="&amp;($AM$2-T$5),
     unit_details[Leased Date],"&lt;"&amp;$AM$2,
     unit_details[Beds],$L124,
     unit_details[Baths],$M124,
     unit_details[Partial Baths],IF(ISNUMBER($N124),$N124,""),
     unit_details[Sqft],$P124,
     unit_details[Property Name],$F124)
 ),"")</f>
        <v/>
      </c>
      <c r="U124" s="552" t="str">
        <f>IFERROR(
 IF($F124="Total",
   SUMPRODUCT(
   INDEX(U:U, ROW()-COUNTIF($F$6:INDEX($F:$F, ROW()-1), $F123)) : INDEX(U:U, ROW()-1),
   INDEX(W:W, ROW()-COUNTIF($F$6:INDEX($F:$F, ROW()-1), $F123)) : INDEX(W:W, ROW()-1)
   )
   /SUM(INDEX(W:W, ROW()-COUNTIF($F$6:INDEX($F:$F, ROW()-1), $F123)) : INDEX(W:W, ROW()-1)),
   AVERAGEIFS(
     INDEX((unit_details[Effective Rent],unit_details[Effective PSF]),0,1,IF($U$3="Chunk Rent",1,2)),
     unit_details[Leased Date],"&gt;="&amp;($AM$2-T$5),
     unit_details[Leased Date],"&lt;"&amp;$AM$2,
     unit_details[Beds],$L124,
     unit_details[Baths],$M124,
     unit_details[Partial Baths],IF(ISNUMBER($N124),$N124,""),
     unit_details[Sqft],$P124,
     unit_details[Property Name],$F124)
 ),"")</f>
        <v/>
      </c>
      <c r="V124" s="27" t="str">
        <f t="shared" si="21"/>
        <v/>
      </c>
      <c r="W124" s="526">
        <f>IFERROR(
  IF($F124="Total",
    SUM(INDEX(W:W, ROW()-COUNTIF($F$6:INDEX($F:$F, ROW()-1), $F123)) : INDEX(W:W, ROW()-1)),
    COUNTIFS(
      unit_details[Leased Date], "&gt;="&amp;($AM$2-T$5),
      unit_details[Leased Date], "&lt;"&amp;$AM$2,
      unit_details[Beds], $L124,
      unit_details[Baths], $M124,
      unit_details[Partial Baths], IF(ISNUMBER($N124), $N124, ""),
      unit_details[Sqft],$P124,
      unit_details[Property Name], $F124
    )
  ),
"")</f>
        <v>0</v>
      </c>
      <c r="X124" s="531" t="str">
        <f>IFERROR(
 IF($F124="Total",
   SUMPRODUCT(
   INDEX(X:X, ROW()-COUNTIF($F$6:INDEX($F:$F, ROW()-1), $F123)) : INDEX(X:X, ROW()-1),
   INDEX(AA:AA, ROW()-COUNTIF($F$6:INDEX($F:$F, ROW()-1), $F123)) : INDEX(AA:AA, ROW()-1)
   )
   /SUM(INDEX(AA:AA, ROW()-COUNTIF($F$6:INDEX($F:$F, ROW()-1), $F123)) : INDEX(AA:AA, ROW()-1)),
   AVERAGEIFS(
     INDEX((unit_details[Asking Rent],unit_details[Asking PSF]),0,1,IF($U$3="Chunk Rent",1,2)),
     unit_details[Leased Date],"&gt;="&amp;($AM$2-X$5),
     unit_details[Leased Date],"&lt;"&amp;$AM$2,
     unit_details[Beds],$L124,
     unit_details[Baths],$M124,
     unit_details[Partial Baths],IF(ISNUMBER($N124),$N124,""),
     unit_details[Sqft],$P124,
     unit_details[Property Name],$F124)
 ),"")</f>
        <v/>
      </c>
      <c r="Y124" s="552" t="str">
        <f>IFERROR(
 IF($F124="Total",
   SUMPRODUCT(
   INDEX(Y:Y, ROW()-COUNTIF($F$6:INDEX($F:$F, ROW()-1), $F123)) : INDEX(Y:Y, ROW()-1),
   INDEX(AA:AA, ROW()-COUNTIF($F$6:INDEX($F:$F, ROW()-1), $F123)) : INDEX(AA:AA, ROW()-1)
   )
   /SUM(INDEX(AA:AA, ROW()-COUNTIF($F$6:INDEX($F:$F, ROW()-1), $F123)) : INDEX(AA:AA, ROW()-1)),
   AVERAGEIFS(
     INDEX((unit_details[Effective Rent],unit_details[Effective PSF]),0,1,IF($U$3="Chunk Rent",1,2)),
     unit_details[Leased Date],"&gt;="&amp;($AM$2-X$5),
     unit_details[Leased Date],"&lt;"&amp;$AM$2,
     unit_details[Beds],$L124,
     unit_details[Baths],$M124,
     unit_details[Partial Baths],IF(ISNUMBER($N124),$N124,""),
     unit_details[Sqft],$P124,
     unit_details[Property Name],$F124)
 ),"")</f>
        <v/>
      </c>
      <c r="Z124" s="27" t="str">
        <f t="shared" si="22"/>
        <v/>
      </c>
      <c r="AA124" s="526">
        <f>IFERROR(
  IF($F124="Total",
    SUM(INDEX(AA:AA, ROW()-COUNTIF($F$6:INDEX($F:$F, ROW()-1), $F123)) : INDEX(AA:AA, ROW()-1)),
    COUNTIFS(
      unit_details[Leased Date], "&gt;="&amp;($AM$2-X$5),
      unit_details[Leased Date], "&lt;"&amp;$AM$2,
      unit_details[Beds], $L124,
      unit_details[Baths], $M124,
      unit_details[Partial Baths], IF(ISNUMBER($N124), $N124, ""),
      unit_details[Sqft],$P124,
      unit_details[Property Name], $F124
    )
  ),
"")</f>
        <v>0</v>
      </c>
      <c r="AB124" s="290">
        <f>IF($F124="Total",
SUM(INDEX(AB:AB, ROW()-COUNTIF($F$6:INDEX($F:$F, ROW()-1), $F123)) : INDEX(AB:AB, ROW()-1)),
COUNTIFS(unit_details[Active Listing?],TRUE,
          unit_details[Property Name], $F124,
          unit_details[Beds], $L124,
          unit_details[Baths], $M124,
          unit_details[Partial Baths],IF(ISNUMBER($N124),$N124,""),
          unit_details[Sqft],$P124))</f>
        <v>0</v>
      </c>
      <c r="AC124" s="27" t="str">
        <f t="shared" si="14"/>
        <v/>
      </c>
      <c r="AD124" s="293" t="str">
        <f>IFERROR(IF(AE124="","",IF($F124="Total",
SUMPRODUCT(
   INDEX(AD:AD, ROW()-COUNTIF($F$6:INDEX($F:$F, ROW()-1), $F123)) : INDEX(AD:AD, ROW()-1),
   INDEX(AB:AB, ROW()-COUNTIF($F$6:INDEX($F:$F, ROW()-1), $F123)) : INDEX(AB:AB, ROW()-1)
   )
   /SUM(INDEX(AB:AB, ROW()-COUNTIF($F$6:INDEX($F:$F, ROW()-1), $F123)) : INDEX(AB:AB, ROW()-1)),
          _xlfn.MINIFS(unit_details[Asking Rent],
          unit_details[Active Listing?],TRUE,
          unit_details[Property Name], $F124,
          unit_details[Beds], $L124,
          unit_details[Baths], $M124,
          unit_details[Partial Baths], IF(ISNUMBER($N124),$N124,""),
          unit_details[Sqft],$P124
))),"")</f>
        <v/>
      </c>
      <c r="AE124" s="5" t="str">
        <f>IFERROR(IF($F124="Total",
          SUMPRODUCT(
   INDEX(AE:AE, ROW()-COUNTIF($F$6:INDEX($F:$F, ROW()-1), $F123)) : INDEX(AE:AE, ROW()-1),
   INDEX(AB:AB, ROW()-COUNTIF($F$6:INDEX($F:$F, ROW()-1), $F123)) : INDEX(AB:AB, ROW()-1)
   )
   /SUM(INDEX(AB:AB, ROW()-COUNTIF($F$6:INDEX($F:$F, ROW()-1), $F123)) : INDEX(AB:AB, ROW()-1)),
          AVERAGEIFS(unit_details[Asking Rent],
          unit_details[Active Listing?],TRUE,
          unit_details[Property Name], $F124,
          unit_details[Beds], $L124,
          unit_details[Baths], $M124,
          unit_details[Partial Baths], IF(ISNUMBER($N124),$N124,""),
          unit_details[Sqft],$P124
)),"")</f>
        <v/>
      </c>
      <c r="AF124" s="5" t="str">
        <f>IFERROR(IF(AE124="","",IF($F124="Total",
SUMPRODUCT(
   INDEX(AF:AF, ROW()-COUNTIF($F$6:INDEX($F:$F, ROW()-1), $F123)) : INDEX(AF:AF, ROW()-1),
   INDEX(AB:AB, ROW()-COUNTIF($F$6:INDEX($F:$F, ROW()-1), $F123)) : INDEX(AB:AB, ROW()-1)
   )
   /SUM(INDEX(AB:AB, ROW()-COUNTIF($F$6:INDEX($F:$F, ROW()-1), $F123)) : INDEX(AB:AB, ROW()-1)),
           _xlfn.MAXIFS(unit_details[Asking Rent],
          unit_details[Active Listing?],TRUE,
          unit_details[Property Name], $F124,
          unit_details[Beds], $L124,
          unit_details[Baths], $M124,
          unit_details[Partial Baths], IF(ISNUMBER($N124),$N124,""),
          unit_details[Sqft],$P124
))),"")</f>
        <v/>
      </c>
      <c r="AG124" s="6" t="str">
        <f>IFERROR(IF($F124="Total",
         SUMPRODUCT(
         INDEX(AG:AG, ROW()-COUNTIF($F$6:INDEX($F:$F, ROW()-1), $F123)) : INDEX(AG:AG, ROW()-1),
         INDEX(AB:AB, ROW()-COUNTIF($F$6:INDEX($F:$F, ROW()-1), $F123)) : INDEX(AB:AB, ROW()-1)
         )
         /SUM(INDEX(AB:AB, ROW()-COUNTIF($F$6:INDEX($F:$F, ROW()-1), $F123)) : INDEX(AB:AB, ROW()-1)),
          AVERAGEIFS(unit_details[Asking PSF],
          unit_details[Active Listing?],TRUE,
          unit_details[Property Name], $F124,
          unit_details[Beds], $L124,
          unit_details[Baths], $M124,
          unit_details[Partial Baths], IF(ISNUMBER($N124),$N124,""),
          unit_details[Sqft],$P124
)),"")</f>
        <v/>
      </c>
      <c r="AH124" s="293" t="str">
        <f>IFERROR(IF($F124="Total",
         SUMPRODUCT(
         INDEX(AH:AH, ROW()-COUNTIF($F$6:INDEX($F:$F, ROW()-1), $F123)) : INDEX(AH:AH, ROW()-1),
         INDEX(AB:AB, ROW()-COUNTIF($F$6:INDEX($F:$F, ROW()-1), $F123)) : INDEX(AB:AB, ROW()-1)
         )
         /SUM(INDEX(AB:AB, ROW()-COUNTIF($F$6:INDEX($F:$F, ROW()-1), $F123)) : INDEX(AB:AB, ROW()-1)),
          AVERAGEIFS(unit_details[Effective Rent],
          unit_details[Active Listing?],TRUE,
          unit_details[Property Name], $F124,
          unit_details[Beds], $L124,
          unit_details[Baths], $M124,
          unit_details[Partial Baths], IF(ISNUMBER($N124),$N124,""),
          unit_details[Sqft],$P124
)),"")</f>
        <v/>
      </c>
      <c r="AI124" s="6" t="str">
        <f>IFERROR(IF($F124="Total",
         SUMPRODUCT(
         INDEX(AI:AI, ROW()-COUNTIF($F$6:INDEX($F:$F, ROW()-1), $F123)) : INDEX(AI:AI, ROW()-1),
         INDEX(AB:AB, ROW()-COUNTIF($F$6:INDEX($F:$F, ROW()-1), $F123)) : INDEX(AB:AB, ROW()-1)
         )
         /SUM(INDEX(AB:AB, ROW()-COUNTIF($F$6:INDEX($F:$F, ROW()-1), $F123)) : INDEX(AB:AB, ROW()-1)),
           AVERAGEIFS(unit_details[Effective PSF],
          unit_details[Active Listing?],TRUE,
          unit_details[Property Name], $F124,
          unit_details[Beds], $L124,
          unit_details[Baths], $M124,
          unit_details[Partial Baths], IF(ISNUMBER($N124),$N124,""),
          unit_details[Sqft],$P124
)),"")</f>
        <v/>
      </c>
      <c r="AJ124" s="824" t="str">
        <f t="shared" si="15"/>
        <v/>
      </c>
      <c r="AK124" s="531" t="str">
        <f t="shared" si="16"/>
        <v/>
      </c>
      <c r="AL124" s="714" t="str">
        <f t="shared" si="17"/>
        <v/>
      </c>
      <c r="AM124" s="531" t="str">
        <f t="shared" si="18"/>
        <v/>
      </c>
      <c r="AN124" s="716" t="str">
        <f t="shared" si="19"/>
        <v/>
      </c>
    </row>
    <row r="125" spans="6:40" x14ac:dyDescent="0.2">
      <c r="F125" s="1" t="str">
        <f t="shared" si="12"/>
        <v/>
      </c>
      <c r="G125" s="713" t="str">
        <f t="shared" si="20"/>
        <v/>
      </c>
      <c r="H125" s="17" t="str">
        <f>IFERROR(VLOOKUP($G125,Table1[[Property]:[Exposure %]],4,0),"")</f>
        <v/>
      </c>
      <c r="I125" s="3" t="str">
        <f>IFERROR(VLOOKUP($G125,Table1[[Property]:[Exposure %]],6,0),"")</f>
        <v/>
      </c>
      <c r="J125" s="3" t="str">
        <f>IFERROR(VLOOKUP($G125,Table1[[Property]:[Exposure %]],7,0),"")</f>
        <v/>
      </c>
      <c r="K125"/>
      <c r="L125"/>
      <c r="M125"/>
      <c r="N125"/>
      <c r="O125"/>
      <c r="P125"/>
      <c r="Q125"/>
      <c r="R125" s="4" t="str">
        <f>IFERROR(VLOOKUP(IF(F125="Total",F124,F125),Table1[[Property]:['# Units]],7,0)*S125,"")</f>
        <v/>
      </c>
      <c r="S125" s="27" t="str">
        <f t="shared" si="13"/>
        <v/>
      </c>
      <c r="T125" s="531" t="str">
        <f>IFERROR(
 IF($F125="Total",
   SUMPRODUCT(
   INDEX(T:T, ROW()-COUNTIF($F$6:INDEX($F:$F, ROW()-1), $F124)) : INDEX(T:T, ROW()-1),
   INDEX(W:W, ROW()-COUNTIF($F$6:INDEX($F:$F, ROW()-1), $F124)) : INDEX(W:W, ROW()-1)
   )
   /SUM(INDEX(W:W, ROW()-COUNTIF($F$6:INDEX($F:$F, ROW()-1), $F124)) : INDEX(W:W, ROW()-1)),
   AVERAGEIFS(
     INDEX((unit_details[Asking Rent],unit_details[Asking PSF]),0,1,IF($U$3="Chunk Rent",1,2)),
     unit_details[Leased Date],"&gt;="&amp;($AM$2-T$5),
     unit_details[Leased Date],"&lt;"&amp;$AM$2,
     unit_details[Beds],$L125,
     unit_details[Baths],$M125,
     unit_details[Partial Baths],IF(ISNUMBER($N125),$N125,""),
     unit_details[Sqft],$P125,
     unit_details[Property Name],$F125)
 ),"")</f>
        <v/>
      </c>
      <c r="U125" s="552" t="str">
        <f>IFERROR(
 IF($F125="Total",
   SUMPRODUCT(
   INDEX(U:U, ROW()-COUNTIF($F$6:INDEX($F:$F, ROW()-1), $F124)) : INDEX(U:U, ROW()-1),
   INDEX(W:W, ROW()-COUNTIF($F$6:INDEX($F:$F, ROW()-1), $F124)) : INDEX(W:W, ROW()-1)
   )
   /SUM(INDEX(W:W, ROW()-COUNTIF($F$6:INDEX($F:$F, ROW()-1), $F124)) : INDEX(W:W, ROW()-1)),
   AVERAGEIFS(
     INDEX((unit_details[Effective Rent],unit_details[Effective PSF]),0,1,IF($U$3="Chunk Rent",1,2)),
     unit_details[Leased Date],"&gt;="&amp;($AM$2-T$5),
     unit_details[Leased Date],"&lt;"&amp;$AM$2,
     unit_details[Beds],$L125,
     unit_details[Baths],$M125,
     unit_details[Partial Baths],IF(ISNUMBER($N125),$N125,""),
     unit_details[Sqft],$P125,
     unit_details[Property Name],$F125)
 ),"")</f>
        <v/>
      </c>
      <c r="V125" s="27" t="str">
        <f t="shared" si="21"/>
        <v/>
      </c>
      <c r="W125" s="526">
        <f>IFERROR(
  IF($F125="Total",
    SUM(INDEX(W:W, ROW()-COUNTIF($F$6:INDEX($F:$F, ROW()-1), $F124)) : INDEX(W:W, ROW()-1)),
    COUNTIFS(
      unit_details[Leased Date], "&gt;="&amp;($AM$2-T$5),
      unit_details[Leased Date], "&lt;"&amp;$AM$2,
      unit_details[Beds], $L125,
      unit_details[Baths], $M125,
      unit_details[Partial Baths], IF(ISNUMBER($N125), $N125, ""),
      unit_details[Sqft],$P125,
      unit_details[Property Name], $F125
    )
  ),
"")</f>
        <v>0</v>
      </c>
      <c r="X125" s="531" t="str">
        <f>IFERROR(
 IF($F125="Total",
   SUMPRODUCT(
   INDEX(X:X, ROW()-COUNTIF($F$6:INDEX($F:$F, ROW()-1), $F124)) : INDEX(X:X, ROW()-1),
   INDEX(AA:AA, ROW()-COUNTIF($F$6:INDEX($F:$F, ROW()-1), $F124)) : INDEX(AA:AA, ROW()-1)
   )
   /SUM(INDEX(AA:AA, ROW()-COUNTIF($F$6:INDEX($F:$F, ROW()-1), $F124)) : INDEX(AA:AA, ROW()-1)),
   AVERAGEIFS(
     INDEX((unit_details[Asking Rent],unit_details[Asking PSF]),0,1,IF($U$3="Chunk Rent",1,2)),
     unit_details[Leased Date],"&gt;="&amp;($AM$2-X$5),
     unit_details[Leased Date],"&lt;"&amp;$AM$2,
     unit_details[Beds],$L125,
     unit_details[Baths],$M125,
     unit_details[Partial Baths],IF(ISNUMBER($N125),$N125,""),
     unit_details[Sqft],$P125,
     unit_details[Property Name],$F125)
 ),"")</f>
        <v/>
      </c>
      <c r="Y125" s="552" t="str">
        <f>IFERROR(
 IF($F125="Total",
   SUMPRODUCT(
   INDEX(Y:Y, ROW()-COUNTIF($F$6:INDEX($F:$F, ROW()-1), $F124)) : INDEX(Y:Y, ROW()-1),
   INDEX(AA:AA, ROW()-COUNTIF($F$6:INDEX($F:$F, ROW()-1), $F124)) : INDEX(AA:AA, ROW()-1)
   )
   /SUM(INDEX(AA:AA, ROW()-COUNTIF($F$6:INDEX($F:$F, ROW()-1), $F124)) : INDEX(AA:AA, ROW()-1)),
   AVERAGEIFS(
     INDEX((unit_details[Effective Rent],unit_details[Effective PSF]),0,1,IF($U$3="Chunk Rent",1,2)),
     unit_details[Leased Date],"&gt;="&amp;($AM$2-X$5),
     unit_details[Leased Date],"&lt;"&amp;$AM$2,
     unit_details[Beds],$L125,
     unit_details[Baths],$M125,
     unit_details[Partial Baths],IF(ISNUMBER($N125),$N125,""),
     unit_details[Sqft],$P125,
     unit_details[Property Name],$F125)
 ),"")</f>
        <v/>
      </c>
      <c r="Z125" s="27" t="str">
        <f t="shared" si="22"/>
        <v/>
      </c>
      <c r="AA125" s="526">
        <f>IFERROR(
  IF($F125="Total",
    SUM(INDEX(AA:AA, ROW()-COUNTIF($F$6:INDEX($F:$F, ROW()-1), $F124)) : INDEX(AA:AA, ROW()-1)),
    COUNTIFS(
      unit_details[Leased Date], "&gt;="&amp;($AM$2-X$5),
      unit_details[Leased Date], "&lt;"&amp;$AM$2,
      unit_details[Beds], $L125,
      unit_details[Baths], $M125,
      unit_details[Partial Baths], IF(ISNUMBER($N125), $N125, ""),
      unit_details[Sqft],$P125,
      unit_details[Property Name], $F125
    )
  ),
"")</f>
        <v>0</v>
      </c>
      <c r="AB125" s="290">
        <f>IF($F125="Total",
SUM(INDEX(AB:AB, ROW()-COUNTIF($F$6:INDEX($F:$F, ROW()-1), $F124)) : INDEX(AB:AB, ROW()-1)),
COUNTIFS(unit_details[Active Listing?],TRUE,
          unit_details[Property Name], $F125,
          unit_details[Beds], $L125,
          unit_details[Baths], $M125,
          unit_details[Partial Baths],IF(ISNUMBER($N125),$N125,""),
          unit_details[Sqft],$P125))</f>
        <v>0</v>
      </c>
      <c r="AC125" s="27" t="str">
        <f t="shared" si="14"/>
        <v/>
      </c>
      <c r="AD125" s="293" t="str">
        <f>IFERROR(IF(AE125="","",IF($F125="Total",
SUMPRODUCT(
   INDEX(AD:AD, ROW()-COUNTIF($F$6:INDEX($F:$F, ROW()-1), $F124)) : INDEX(AD:AD, ROW()-1),
   INDEX(AB:AB, ROW()-COUNTIF($F$6:INDEX($F:$F, ROW()-1), $F124)) : INDEX(AB:AB, ROW()-1)
   )
   /SUM(INDEX(AB:AB, ROW()-COUNTIF($F$6:INDEX($F:$F, ROW()-1), $F124)) : INDEX(AB:AB, ROW()-1)),
          _xlfn.MINIFS(unit_details[Asking Rent],
          unit_details[Active Listing?],TRUE,
          unit_details[Property Name], $F125,
          unit_details[Beds], $L125,
          unit_details[Baths], $M125,
          unit_details[Partial Baths], IF(ISNUMBER($N125),$N125,""),
          unit_details[Sqft],$P125
))),"")</f>
        <v/>
      </c>
      <c r="AE125" s="5" t="str">
        <f>IFERROR(IF($F125="Total",
          SUMPRODUCT(
   INDEX(AE:AE, ROW()-COUNTIF($F$6:INDEX($F:$F, ROW()-1), $F124)) : INDEX(AE:AE, ROW()-1),
   INDEX(AB:AB, ROW()-COUNTIF($F$6:INDEX($F:$F, ROW()-1), $F124)) : INDEX(AB:AB, ROW()-1)
   )
   /SUM(INDEX(AB:AB, ROW()-COUNTIF($F$6:INDEX($F:$F, ROW()-1), $F124)) : INDEX(AB:AB, ROW()-1)),
          AVERAGEIFS(unit_details[Asking Rent],
          unit_details[Active Listing?],TRUE,
          unit_details[Property Name], $F125,
          unit_details[Beds], $L125,
          unit_details[Baths], $M125,
          unit_details[Partial Baths], IF(ISNUMBER($N125),$N125,""),
          unit_details[Sqft],$P125
)),"")</f>
        <v/>
      </c>
      <c r="AF125" s="5" t="str">
        <f>IFERROR(IF(AE125="","",IF($F125="Total",
SUMPRODUCT(
   INDEX(AF:AF, ROW()-COUNTIF($F$6:INDEX($F:$F, ROW()-1), $F124)) : INDEX(AF:AF, ROW()-1),
   INDEX(AB:AB, ROW()-COUNTIF($F$6:INDEX($F:$F, ROW()-1), $F124)) : INDEX(AB:AB, ROW()-1)
   )
   /SUM(INDEX(AB:AB, ROW()-COUNTIF($F$6:INDEX($F:$F, ROW()-1), $F124)) : INDEX(AB:AB, ROW()-1)),
           _xlfn.MAXIFS(unit_details[Asking Rent],
          unit_details[Active Listing?],TRUE,
          unit_details[Property Name], $F125,
          unit_details[Beds], $L125,
          unit_details[Baths], $M125,
          unit_details[Partial Baths], IF(ISNUMBER($N125),$N125,""),
          unit_details[Sqft],$P125
))),"")</f>
        <v/>
      </c>
      <c r="AG125" s="6" t="str">
        <f>IFERROR(IF($F125="Total",
         SUMPRODUCT(
         INDEX(AG:AG, ROW()-COUNTIF($F$6:INDEX($F:$F, ROW()-1), $F124)) : INDEX(AG:AG, ROW()-1),
         INDEX(AB:AB, ROW()-COUNTIF($F$6:INDEX($F:$F, ROW()-1), $F124)) : INDEX(AB:AB, ROW()-1)
         )
         /SUM(INDEX(AB:AB, ROW()-COUNTIF($F$6:INDEX($F:$F, ROW()-1), $F124)) : INDEX(AB:AB, ROW()-1)),
          AVERAGEIFS(unit_details[Asking PSF],
          unit_details[Active Listing?],TRUE,
          unit_details[Property Name], $F125,
          unit_details[Beds], $L125,
          unit_details[Baths], $M125,
          unit_details[Partial Baths], IF(ISNUMBER($N125),$N125,""),
          unit_details[Sqft],$P125
)),"")</f>
        <v/>
      </c>
      <c r="AH125" s="293" t="str">
        <f>IFERROR(IF($F125="Total",
         SUMPRODUCT(
         INDEX(AH:AH, ROW()-COUNTIF($F$6:INDEX($F:$F, ROW()-1), $F124)) : INDEX(AH:AH, ROW()-1),
         INDEX(AB:AB, ROW()-COUNTIF($F$6:INDEX($F:$F, ROW()-1), $F124)) : INDEX(AB:AB, ROW()-1)
         )
         /SUM(INDEX(AB:AB, ROW()-COUNTIF($F$6:INDEX($F:$F, ROW()-1), $F124)) : INDEX(AB:AB, ROW()-1)),
          AVERAGEIFS(unit_details[Effective Rent],
          unit_details[Active Listing?],TRUE,
          unit_details[Property Name], $F125,
          unit_details[Beds], $L125,
          unit_details[Baths], $M125,
          unit_details[Partial Baths], IF(ISNUMBER($N125),$N125,""),
          unit_details[Sqft],$P125
)),"")</f>
        <v/>
      </c>
      <c r="AI125" s="6" t="str">
        <f>IFERROR(IF($F125="Total",
         SUMPRODUCT(
         INDEX(AI:AI, ROW()-COUNTIF($F$6:INDEX($F:$F, ROW()-1), $F124)) : INDEX(AI:AI, ROW()-1),
         INDEX(AB:AB, ROW()-COUNTIF($F$6:INDEX($F:$F, ROW()-1), $F124)) : INDEX(AB:AB, ROW()-1)
         )
         /SUM(INDEX(AB:AB, ROW()-COUNTIF($F$6:INDEX($F:$F, ROW()-1), $F124)) : INDEX(AB:AB, ROW()-1)),
           AVERAGEIFS(unit_details[Effective PSF],
          unit_details[Active Listing?],TRUE,
          unit_details[Property Name], $F125,
          unit_details[Beds], $L125,
          unit_details[Baths], $M125,
          unit_details[Partial Baths], IF(ISNUMBER($N125),$N125,""),
          unit_details[Sqft],$P125
)),"")</f>
        <v/>
      </c>
      <c r="AJ125" s="824" t="str">
        <f t="shared" si="15"/>
        <v/>
      </c>
      <c r="AK125" s="531" t="str">
        <f t="shared" si="16"/>
        <v/>
      </c>
      <c r="AL125" s="714" t="str">
        <f t="shared" si="17"/>
        <v/>
      </c>
      <c r="AM125" s="531" t="str">
        <f t="shared" si="18"/>
        <v/>
      </c>
      <c r="AN125" s="716" t="str">
        <f t="shared" si="19"/>
        <v/>
      </c>
    </row>
    <row r="126" spans="6:40" x14ac:dyDescent="0.2">
      <c r="F126" s="1" t="str">
        <f t="shared" si="12"/>
        <v/>
      </c>
      <c r="G126" s="713" t="str">
        <f t="shared" si="20"/>
        <v/>
      </c>
      <c r="H126" s="17" t="str">
        <f>IFERROR(VLOOKUP($G126,Table1[[Property]:[Exposure %]],4,0),"")</f>
        <v/>
      </c>
      <c r="I126" s="3" t="str">
        <f>IFERROR(VLOOKUP($G126,Table1[[Property]:[Exposure %]],6,0),"")</f>
        <v/>
      </c>
      <c r="J126" s="3" t="str">
        <f>IFERROR(VLOOKUP($G126,Table1[[Property]:[Exposure %]],7,0),"")</f>
        <v/>
      </c>
      <c r="K126"/>
      <c r="L126"/>
      <c r="M126"/>
      <c r="N126"/>
      <c r="O126"/>
      <c r="P126"/>
      <c r="Q126"/>
      <c r="R126" s="4" t="str">
        <f>IFERROR(VLOOKUP(IF(F126="Total",F125,F126),Table1[[Property]:['# Units]],7,0)*S126,"")</f>
        <v/>
      </c>
      <c r="S126" s="27" t="str">
        <f t="shared" si="13"/>
        <v/>
      </c>
      <c r="T126" s="531" t="str">
        <f>IFERROR(
 IF($F126="Total",
   SUMPRODUCT(
   INDEX(T:T, ROW()-COUNTIF($F$6:INDEX($F:$F, ROW()-1), $F125)) : INDEX(T:T, ROW()-1),
   INDEX(W:W, ROW()-COUNTIF($F$6:INDEX($F:$F, ROW()-1), $F125)) : INDEX(W:W, ROW()-1)
   )
   /SUM(INDEX(W:W, ROW()-COUNTIF($F$6:INDEX($F:$F, ROW()-1), $F125)) : INDEX(W:W, ROW()-1)),
   AVERAGEIFS(
     INDEX((unit_details[Asking Rent],unit_details[Asking PSF]),0,1,IF($U$3="Chunk Rent",1,2)),
     unit_details[Leased Date],"&gt;="&amp;($AM$2-T$5),
     unit_details[Leased Date],"&lt;"&amp;$AM$2,
     unit_details[Beds],$L126,
     unit_details[Baths],$M126,
     unit_details[Partial Baths],IF(ISNUMBER($N126),$N126,""),
     unit_details[Sqft],$P126,
     unit_details[Property Name],$F126)
 ),"")</f>
        <v/>
      </c>
      <c r="U126" s="552" t="str">
        <f>IFERROR(
 IF($F126="Total",
   SUMPRODUCT(
   INDEX(U:U, ROW()-COUNTIF($F$6:INDEX($F:$F, ROW()-1), $F125)) : INDEX(U:U, ROW()-1),
   INDEX(W:W, ROW()-COUNTIF($F$6:INDEX($F:$F, ROW()-1), $F125)) : INDEX(W:W, ROW()-1)
   )
   /SUM(INDEX(W:W, ROW()-COUNTIF($F$6:INDEX($F:$F, ROW()-1), $F125)) : INDEX(W:W, ROW()-1)),
   AVERAGEIFS(
     INDEX((unit_details[Effective Rent],unit_details[Effective PSF]),0,1,IF($U$3="Chunk Rent",1,2)),
     unit_details[Leased Date],"&gt;="&amp;($AM$2-T$5),
     unit_details[Leased Date],"&lt;"&amp;$AM$2,
     unit_details[Beds],$L126,
     unit_details[Baths],$M126,
     unit_details[Partial Baths],IF(ISNUMBER($N126),$N126,""),
     unit_details[Sqft],$P126,
     unit_details[Property Name],$F126)
 ),"")</f>
        <v/>
      </c>
      <c r="V126" s="27" t="str">
        <f t="shared" si="21"/>
        <v/>
      </c>
      <c r="W126" s="526">
        <f>IFERROR(
  IF($F126="Total",
    SUM(INDEX(W:W, ROW()-COUNTIF($F$6:INDEX($F:$F, ROW()-1), $F125)) : INDEX(W:W, ROW()-1)),
    COUNTIFS(
      unit_details[Leased Date], "&gt;="&amp;($AM$2-T$5),
      unit_details[Leased Date], "&lt;"&amp;$AM$2,
      unit_details[Beds], $L126,
      unit_details[Baths], $M126,
      unit_details[Partial Baths], IF(ISNUMBER($N126), $N126, ""),
      unit_details[Sqft],$P126,
      unit_details[Property Name], $F126
    )
  ),
"")</f>
        <v>0</v>
      </c>
      <c r="X126" s="531" t="str">
        <f>IFERROR(
 IF($F126="Total",
   SUMPRODUCT(
   INDEX(X:X, ROW()-COUNTIF($F$6:INDEX($F:$F, ROW()-1), $F125)) : INDEX(X:X, ROW()-1),
   INDEX(AA:AA, ROW()-COUNTIF($F$6:INDEX($F:$F, ROW()-1), $F125)) : INDEX(AA:AA, ROW()-1)
   )
   /SUM(INDEX(AA:AA, ROW()-COUNTIF($F$6:INDEX($F:$F, ROW()-1), $F125)) : INDEX(AA:AA, ROW()-1)),
   AVERAGEIFS(
     INDEX((unit_details[Asking Rent],unit_details[Asking PSF]),0,1,IF($U$3="Chunk Rent",1,2)),
     unit_details[Leased Date],"&gt;="&amp;($AM$2-X$5),
     unit_details[Leased Date],"&lt;"&amp;$AM$2,
     unit_details[Beds],$L126,
     unit_details[Baths],$M126,
     unit_details[Partial Baths],IF(ISNUMBER($N126),$N126,""),
     unit_details[Sqft],$P126,
     unit_details[Property Name],$F126)
 ),"")</f>
        <v/>
      </c>
      <c r="Y126" s="552" t="str">
        <f>IFERROR(
 IF($F126="Total",
   SUMPRODUCT(
   INDEX(Y:Y, ROW()-COUNTIF($F$6:INDEX($F:$F, ROW()-1), $F125)) : INDEX(Y:Y, ROW()-1),
   INDEX(AA:AA, ROW()-COUNTIF($F$6:INDEX($F:$F, ROW()-1), $F125)) : INDEX(AA:AA, ROW()-1)
   )
   /SUM(INDEX(AA:AA, ROW()-COUNTIF($F$6:INDEX($F:$F, ROW()-1), $F125)) : INDEX(AA:AA, ROW()-1)),
   AVERAGEIFS(
     INDEX((unit_details[Effective Rent],unit_details[Effective PSF]),0,1,IF($U$3="Chunk Rent",1,2)),
     unit_details[Leased Date],"&gt;="&amp;($AM$2-X$5),
     unit_details[Leased Date],"&lt;"&amp;$AM$2,
     unit_details[Beds],$L126,
     unit_details[Baths],$M126,
     unit_details[Partial Baths],IF(ISNUMBER($N126),$N126,""),
     unit_details[Sqft],$P126,
     unit_details[Property Name],$F126)
 ),"")</f>
        <v/>
      </c>
      <c r="Z126" s="27" t="str">
        <f t="shared" si="22"/>
        <v/>
      </c>
      <c r="AA126" s="526">
        <f>IFERROR(
  IF($F126="Total",
    SUM(INDEX(AA:AA, ROW()-COUNTIF($F$6:INDEX($F:$F, ROW()-1), $F125)) : INDEX(AA:AA, ROW()-1)),
    COUNTIFS(
      unit_details[Leased Date], "&gt;="&amp;($AM$2-X$5),
      unit_details[Leased Date], "&lt;"&amp;$AM$2,
      unit_details[Beds], $L126,
      unit_details[Baths], $M126,
      unit_details[Partial Baths], IF(ISNUMBER($N126), $N126, ""),
      unit_details[Sqft],$P126,
      unit_details[Property Name], $F126
    )
  ),
"")</f>
        <v>0</v>
      </c>
      <c r="AB126" s="290">
        <f>IF($F126="Total",
SUM(INDEX(AB:AB, ROW()-COUNTIF($F$6:INDEX($F:$F, ROW()-1), $F125)) : INDEX(AB:AB, ROW()-1)),
COUNTIFS(unit_details[Active Listing?],TRUE,
          unit_details[Property Name], $F126,
          unit_details[Beds], $L126,
          unit_details[Baths], $M126,
          unit_details[Partial Baths],IF(ISNUMBER($N126),$N126,""),
          unit_details[Sqft],$P126))</f>
        <v>0</v>
      </c>
      <c r="AC126" s="27" t="str">
        <f t="shared" si="14"/>
        <v/>
      </c>
      <c r="AD126" s="293" t="str">
        <f>IFERROR(IF(AE126="","",IF($F126="Total",
SUMPRODUCT(
   INDEX(AD:AD, ROW()-COUNTIF($F$6:INDEX($F:$F, ROW()-1), $F125)) : INDEX(AD:AD, ROW()-1),
   INDEX(AB:AB, ROW()-COUNTIF($F$6:INDEX($F:$F, ROW()-1), $F125)) : INDEX(AB:AB, ROW()-1)
   )
   /SUM(INDEX(AB:AB, ROW()-COUNTIF($F$6:INDEX($F:$F, ROW()-1), $F125)) : INDEX(AB:AB, ROW()-1)),
          _xlfn.MINIFS(unit_details[Asking Rent],
          unit_details[Active Listing?],TRUE,
          unit_details[Property Name], $F126,
          unit_details[Beds], $L126,
          unit_details[Baths], $M126,
          unit_details[Partial Baths], IF(ISNUMBER($N126),$N126,""),
          unit_details[Sqft],$P126
))),"")</f>
        <v/>
      </c>
      <c r="AE126" s="5" t="str">
        <f>IFERROR(IF($F126="Total",
          SUMPRODUCT(
   INDEX(AE:AE, ROW()-COUNTIF($F$6:INDEX($F:$F, ROW()-1), $F125)) : INDEX(AE:AE, ROW()-1),
   INDEX(AB:AB, ROW()-COUNTIF($F$6:INDEX($F:$F, ROW()-1), $F125)) : INDEX(AB:AB, ROW()-1)
   )
   /SUM(INDEX(AB:AB, ROW()-COUNTIF($F$6:INDEX($F:$F, ROW()-1), $F125)) : INDEX(AB:AB, ROW()-1)),
          AVERAGEIFS(unit_details[Asking Rent],
          unit_details[Active Listing?],TRUE,
          unit_details[Property Name], $F126,
          unit_details[Beds], $L126,
          unit_details[Baths], $M126,
          unit_details[Partial Baths], IF(ISNUMBER($N126),$N126,""),
          unit_details[Sqft],$P126
)),"")</f>
        <v/>
      </c>
      <c r="AF126" s="5" t="str">
        <f>IFERROR(IF(AE126="","",IF($F126="Total",
SUMPRODUCT(
   INDEX(AF:AF, ROW()-COUNTIF($F$6:INDEX($F:$F, ROW()-1), $F125)) : INDEX(AF:AF, ROW()-1),
   INDEX(AB:AB, ROW()-COUNTIF($F$6:INDEX($F:$F, ROW()-1), $F125)) : INDEX(AB:AB, ROW()-1)
   )
   /SUM(INDEX(AB:AB, ROW()-COUNTIF($F$6:INDEX($F:$F, ROW()-1), $F125)) : INDEX(AB:AB, ROW()-1)),
           _xlfn.MAXIFS(unit_details[Asking Rent],
          unit_details[Active Listing?],TRUE,
          unit_details[Property Name], $F126,
          unit_details[Beds], $L126,
          unit_details[Baths], $M126,
          unit_details[Partial Baths], IF(ISNUMBER($N126),$N126,""),
          unit_details[Sqft],$P126
))),"")</f>
        <v/>
      </c>
      <c r="AG126" s="6" t="str">
        <f>IFERROR(IF($F126="Total",
         SUMPRODUCT(
         INDEX(AG:AG, ROW()-COUNTIF($F$6:INDEX($F:$F, ROW()-1), $F125)) : INDEX(AG:AG, ROW()-1),
         INDEX(AB:AB, ROW()-COUNTIF($F$6:INDEX($F:$F, ROW()-1), $F125)) : INDEX(AB:AB, ROW()-1)
         )
         /SUM(INDEX(AB:AB, ROW()-COUNTIF($F$6:INDEX($F:$F, ROW()-1), $F125)) : INDEX(AB:AB, ROW()-1)),
          AVERAGEIFS(unit_details[Asking PSF],
          unit_details[Active Listing?],TRUE,
          unit_details[Property Name], $F126,
          unit_details[Beds], $L126,
          unit_details[Baths], $M126,
          unit_details[Partial Baths], IF(ISNUMBER($N126),$N126,""),
          unit_details[Sqft],$P126
)),"")</f>
        <v/>
      </c>
      <c r="AH126" s="293" t="str">
        <f>IFERROR(IF($F126="Total",
         SUMPRODUCT(
         INDEX(AH:AH, ROW()-COUNTIF($F$6:INDEX($F:$F, ROW()-1), $F125)) : INDEX(AH:AH, ROW()-1),
         INDEX(AB:AB, ROW()-COUNTIF($F$6:INDEX($F:$F, ROW()-1), $F125)) : INDEX(AB:AB, ROW()-1)
         )
         /SUM(INDEX(AB:AB, ROW()-COUNTIF($F$6:INDEX($F:$F, ROW()-1), $F125)) : INDEX(AB:AB, ROW()-1)),
          AVERAGEIFS(unit_details[Effective Rent],
          unit_details[Active Listing?],TRUE,
          unit_details[Property Name], $F126,
          unit_details[Beds], $L126,
          unit_details[Baths], $M126,
          unit_details[Partial Baths], IF(ISNUMBER($N126),$N126,""),
          unit_details[Sqft],$P126
)),"")</f>
        <v/>
      </c>
      <c r="AI126" s="6" t="str">
        <f>IFERROR(IF($F126="Total",
         SUMPRODUCT(
         INDEX(AI:AI, ROW()-COUNTIF($F$6:INDEX($F:$F, ROW()-1), $F125)) : INDEX(AI:AI, ROW()-1),
         INDEX(AB:AB, ROW()-COUNTIF($F$6:INDEX($F:$F, ROW()-1), $F125)) : INDEX(AB:AB, ROW()-1)
         )
         /SUM(INDEX(AB:AB, ROW()-COUNTIF($F$6:INDEX($F:$F, ROW()-1), $F125)) : INDEX(AB:AB, ROW()-1)),
           AVERAGEIFS(unit_details[Effective PSF],
          unit_details[Active Listing?],TRUE,
          unit_details[Property Name], $F126,
          unit_details[Beds], $L126,
          unit_details[Baths], $M126,
          unit_details[Partial Baths], IF(ISNUMBER($N126),$N126,""),
          unit_details[Sqft],$P126
)),"")</f>
        <v/>
      </c>
      <c r="AJ126" s="824" t="str">
        <f t="shared" si="15"/>
        <v/>
      </c>
      <c r="AK126" s="531" t="str">
        <f t="shared" si="16"/>
        <v/>
      </c>
      <c r="AL126" s="714" t="str">
        <f t="shared" si="17"/>
        <v/>
      </c>
      <c r="AM126" s="531" t="str">
        <f t="shared" si="18"/>
        <v/>
      </c>
      <c r="AN126" s="716" t="str">
        <f t="shared" si="19"/>
        <v/>
      </c>
    </row>
    <row r="127" spans="6:40" x14ac:dyDescent="0.2">
      <c r="F127" s="1" t="str">
        <f t="shared" si="12"/>
        <v/>
      </c>
      <c r="G127" s="713" t="str">
        <f t="shared" si="20"/>
        <v/>
      </c>
      <c r="H127" s="17" t="str">
        <f>IFERROR(VLOOKUP($G127,Table1[[Property]:[Exposure %]],4,0),"")</f>
        <v/>
      </c>
      <c r="I127" s="3" t="str">
        <f>IFERROR(VLOOKUP($G127,Table1[[Property]:[Exposure %]],6,0),"")</f>
        <v/>
      </c>
      <c r="J127" s="3" t="str">
        <f>IFERROR(VLOOKUP($G127,Table1[[Property]:[Exposure %]],7,0),"")</f>
        <v/>
      </c>
      <c r="K127"/>
      <c r="L127"/>
      <c r="M127"/>
      <c r="N127"/>
      <c r="O127"/>
      <c r="P127"/>
      <c r="Q127"/>
      <c r="R127" s="4" t="str">
        <f>IFERROR(VLOOKUP(IF(F127="Total",F126,F127),Table1[[Property]:['# Units]],7,0)*S127,"")</f>
        <v/>
      </c>
      <c r="S127" s="27" t="str">
        <f t="shared" si="13"/>
        <v/>
      </c>
      <c r="T127" s="531" t="str">
        <f>IFERROR(
 IF($F127="Total",
   SUMPRODUCT(
   INDEX(T:T, ROW()-COUNTIF($F$6:INDEX($F:$F, ROW()-1), $F126)) : INDEX(T:T, ROW()-1),
   INDEX(W:W, ROW()-COUNTIF($F$6:INDEX($F:$F, ROW()-1), $F126)) : INDEX(W:W, ROW()-1)
   )
   /SUM(INDEX(W:W, ROW()-COUNTIF($F$6:INDEX($F:$F, ROW()-1), $F126)) : INDEX(W:W, ROW()-1)),
   AVERAGEIFS(
     INDEX((unit_details[Asking Rent],unit_details[Asking PSF]),0,1,IF($U$3="Chunk Rent",1,2)),
     unit_details[Leased Date],"&gt;="&amp;($AM$2-T$5),
     unit_details[Leased Date],"&lt;"&amp;$AM$2,
     unit_details[Beds],$L127,
     unit_details[Baths],$M127,
     unit_details[Partial Baths],IF(ISNUMBER($N127),$N127,""),
     unit_details[Sqft],$P127,
     unit_details[Property Name],$F127)
 ),"")</f>
        <v/>
      </c>
      <c r="U127" s="552" t="str">
        <f>IFERROR(
 IF($F127="Total",
   SUMPRODUCT(
   INDEX(U:U, ROW()-COUNTIF($F$6:INDEX($F:$F, ROW()-1), $F126)) : INDEX(U:U, ROW()-1),
   INDEX(W:W, ROW()-COUNTIF($F$6:INDEX($F:$F, ROW()-1), $F126)) : INDEX(W:W, ROW()-1)
   )
   /SUM(INDEX(W:W, ROW()-COUNTIF($F$6:INDEX($F:$F, ROW()-1), $F126)) : INDEX(W:W, ROW()-1)),
   AVERAGEIFS(
     INDEX((unit_details[Effective Rent],unit_details[Effective PSF]),0,1,IF($U$3="Chunk Rent",1,2)),
     unit_details[Leased Date],"&gt;="&amp;($AM$2-T$5),
     unit_details[Leased Date],"&lt;"&amp;$AM$2,
     unit_details[Beds],$L127,
     unit_details[Baths],$M127,
     unit_details[Partial Baths],IF(ISNUMBER($N127),$N127,""),
     unit_details[Sqft],$P127,
     unit_details[Property Name],$F127)
 ),"")</f>
        <v/>
      </c>
      <c r="V127" s="27" t="str">
        <f t="shared" si="21"/>
        <v/>
      </c>
      <c r="W127" s="526">
        <f>IFERROR(
  IF($F127="Total",
    SUM(INDEX(W:W, ROW()-COUNTIF($F$6:INDEX($F:$F, ROW()-1), $F126)) : INDEX(W:W, ROW()-1)),
    COUNTIFS(
      unit_details[Leased Date], "&gt;="&amp;($AM$2-T$5),
      unit_details[Leased Date], "&lt;"&amp;$AM$2,
      unit_details[Beds], $L127,
      unit_details[Baths], $M127,
      unit_details[Partial Baths], IF(ISNUMBER($N127), $N127, ""),
      unit_details[Sqft],$P127,
      unit_details[Property Name], $F127
    )
  ),
"")</f>
        <v>0</v>
      </c>
      <c r="X127" s="531" t="str">
        <f>IFERROR(
 IF($F127="Total",
   SUMPRODUCT(
   INDEX(X:X, ROW()-COUNTIF($F$6:INDEX($F:$F, ROW()-1), $F126)) : INDEX(X:X, ROW()-1),
   INDEX(AA:AA, ROW()-COUNTIF($F$6:INDEX($F:$F, ROW()-1), $F126)) : INDEX(AA:AA, ROW()-1)
   )
   /SUM(INDEX(AA:AA, ROW()-COUNTIF($F$6:INDEX($F:$F, ROW()-1), $F126)) : INDEX(AA:AA, ROW()-1)),
   AVERAGEIFS(
     INDEX((unit_details[Asking Rent],unit_details[Asking PSF]),0,1,IF($U$3="Chunk Rent",1,2)),
     unit_details[Leased Date],"&gt;="&amp;($AM$2-X$5),
     unit_details[Leased Date],"&lt;"&amp;$AM$2,
     unit_details[Beds],$L127,
     unit_details[Baths],$M127,
     unit_details[Partial Baths],IF(ISNUMBER($N127),$N127,""),
     unit_details[Sqft],$P127,
     unit_details[Property Name],$F127)
 ),"")</f>
        <v/>
      </c>
      <c r="Y127" s="552" t="str">
        <f>IFERROR(
 IF($F127="Total",
   SUMPRODUCT(
   INDEX(Y:Y, ROW()-COUNTIF($F$6:INDEX($F:$F, ROW()-1), $F126)) : INDEX(Y:Y, ROW()-1),
   INDEX(AA:AA, ROW()-COUNTIF($F$6:INDEX($F:$F, ROW()-1), $F126)) : INDEX(AA:AA, ROW()-1)
   )
   /SUM(INDEX(AA:AA, ROW()-COUNTIF($F$6:INDEX($F:$F, ROW()-1), $F126)) : INDEX(AA:AA, ROW()-1)),
   AVERAGEIFS(
     INDEX((unit_details[Effective Rent],unit_details[Effective PSF]),0,1,IF($U$3="Chunk Rent",1,2)),
     unit_details[Leased Date],"&gt;="&amp;($AM$2-X$5),
     unit_details[Leased Date],"&lt;"&amp;$AM$2,
     unit_details[Beds],$L127,
     unit_details[Baths],$M127,
     unit_details[Partial Baths],IF(ISNUMBER($N127),$N127,""),
     unit_details[Sqft],$P127,
     unit_details[Property Name],$F127)
 ),"")</f>
        <v/>
      </c>
      <c r="Z127" s="27" t="str">
        <f t="shared" si="22"/>
        <v/>
      </c>
      <c r="AA127" s="526">
        <f>IFERROR(
  IF($F127="Total",
    SUM(INDEX(AA:AA, ROW()-COUNTIF($F$6:INDEX($F:$F, ROW()-1), $F126)) : INDEX(AA:AA, ROW()-1)),
    COUNTIFS(
      unit_details[Leased Date], "&gt;="&amp;($AM$2-X$5),
      unit_details[Leased Date], "&lt;"&amp;$AM$2,
      unit_details[Beds], $L127,
      unit_details[Baths], $M127,
      unit_details[Partial Baths], IF(ISNUMBER($N127), $N127, ""),
      unit_details[Sqft],$P127,
      unit_details[Property Name], $F127
    )
  ),
"")</f>
        <v>0</v>
      </c>
      <c r="AB127" s="290">
        <f>IF($F127="Total",
SUM(INDEX(AB:AB, ROW()-COUNTIF($F$6:INDEX($F:$F, ROW()-1), $F126)) : INDEX(AB:AB, ROW()-1)),
COUNTIFS(unit_details[Active Listing?],TRUE,
          unit_details[Property Name], $F127,
          unit_details[Beds], $L127,
          unit_details[Baths], $M127,
          unit_details[Partial Baths],IF(ISNUMBER($N127),$N127,""),
          unit_details[Sqft],$P127))</f>
        <v>0</v>
      </c>
      <c r="AC127" s="27" t="str">
        <f t="shared" si="14"/>
        <v/>
      </c>
      <c r="AD127" s="293" t="str">
        <f>IFERROR(IF(AE127="","",IF($F127="Total",
SUMPRODUCT(
   INDEX(AD:AD, ROW()-COUNTIF($F$6:INDEX($F:$F, ROW()-1), $F126)) : INDEX(AD:AD, ROW()-1),
   INDEX(AB:AB, ROW()-COUNTIF($F$6:INDEX($F:$F, ROW()-1), $F126)) : INDEX(AB:AB, ROW()-1)
   )
   /SUM(INDEX(AB:AB, ROW()-COUNTIF($F$6:INDEX($F:$F, ROW()-1), $F126)) : INDEX(AB:AB, ROW()-1)),
          _xlfn.MINIFS(unit_details[Asking Rent],
          unit_details[Active Listing?],TRUE,
          unit_details[Property Name], $F127,
          unit_details[Beds], $L127,
          unit_details[Baths], $M127,
          unit_details[Partial Baths], IF(ISNUMBER($N127),$N127,""),
          unit_details[Sqft],$P127
))),"")</f>
        <v/>
      </c>
      <c r="AE127" s="5" t="str">
        <f>IFERROR(IF($F127="Total",
          SUMPRODUCT(
   INDEX(AE:AE, ROW()-COUNTIF($F$6:INDEX($F:$F, ROW()-1), $F126)) : INDEX(AE:AE, ROW()-1),
   INDEX(AB:AB, ROW()-COUNTIF($F$6:INDEX($F:$F, ROW()-1), $F126)) : INDEX(AB:AB, ROW()-1)
   )
   /SUM(INDEX(AB:AB, ROW()-COUNTIF($F$6:INDEX($F:$F, ROW()-1), $F126)) : INDEX(AB:AB, ROW()-1)),
          AVERAGEIFS(unit_details[Asking Rent],
          unit_details[Active Listing?],TRUE,
          unit_details[Property Name], $F127,
          unit_details[Beds], $L127,
          unit_details[Baths], $M127,
          unit_details[Partial Baths], IF(ISNUMBER($N127),$N127,""),
          unit_details[Sqft],$P127
)),"")</f>
        <v/>
      </c>
      <c r="AF127" s="5" t="str">
        <f>IFERROR(IF(AE127="","",IF($F127="Total",
SUMPRODUCT(
   INDEX(AF:AF, ROW()-COUNTIF($F$6:INDEX($F:$F, ROW()-1), $F126)) : INDEX(AF:AF, ROW()-1),
   INDEX(AB:AB, ROW()-COUNTIF($F$6:INDEX($F:$F, ROW()-1), $F126)) : INDEX(AB:AB, ROW()-1)
   )
   /SUM(INDEX(AB:AB, ROW()-COUNTIF($F$6:INDEX($F:$F, ROW()-1), $F126)) : INDEX(AB:AB, ROW()-1)),
           _xlfn.MAXIFS(unit_details[Asking Rent],
          unit_details[Active Listing?],TRUE,
          unit_details[Property Name], $F127,
          unit_details[Beds], $L127,
          unit_details[Baths], $M127,
          unit_details[Partial Baths], IF(ISNUMBER($N127),$N127,""),
          unit_details[Sqft],$P127
))),"")</f>
        <v/>
      </c>
      <c r="AG127" s="6" t="str">
        <f>IFERROR(IF($F127="Total",
         SUMPRODUCT(
         INDEX(AG:AG, ROW()-COUNTIF($F$6:INDEX($F:$F, ROW()-1), $F126)) : INDEX(AG:AG, ROW()-1),
         INDEX(AB:AB, ROW()-COUNTIF($F$6:INDEX($F:$F, ROW()-1), $F126)) : INDEX(AB:AB, ROW()-1)
         )
         /SUM(INDEX(AB:AB, ROW()-COUNTIF($F$6:INDEX($F:$F, ROW()-1), $F126)) : INDEX(AB:AB, ROW()-1)),
          AVERAGEIFS(unit_details[Asking PSF],
          unit_details[Active Listing?],TRUE,
          unit_details[Property Name], $F127,
          unit_details[Beds], $L127,
          unit_details[Baths], $M127,
          unit_details[Partial Baths], IF(ISNUMBER($N127),$N127,""),
          unit_details[Sqft],$P127
)),"")</f>
        <v/>
      </c>
      <c r="AH127" s="293" t="str">
        <f>IFERROR(IF($F127="Total",
         SUMPRODUCT(
         INDEX(AH:AH, ROW()-COUNTIF($F$6:INDEX($F:$F, ROW()-1), $F126)) : INDEX(AH:AH, ROW()-1),
         INDEX(AB:AB, ROW()-COUNTIF($F$6:INDEX($F:$F, ROW()-1), $F126)) : INDEX(AB:AB, ROW()-1)
         )
         /SUM(INDEX(AB:AB, ROW()-COUNTIF($F$6:INDEX($F:$F, ROW()-1), $F126)) : INDEX(AB:AB, ROW()-1)),
          AVERAGEIFS(unit_details[Effective Rent],
          unit_details[Active Listing?],TRUE,
          unit_details[Property Name], $F127,
          unit_details[Beds], $L127,
          unit_details[Baths], $M127,
          unit_details[Partial Baths], IF(ISNUMBER($N127),$N127,""),
          unit_details[Sqft],$P127
)),"")</f>
        <v/>
      </c>
      <c r="AI127" s="6" t="str">
        <f>IFERROR(IF($F127="Total",
         SUMPRODUCT(
         INDEX(AI:AI, ROW()-COUNTIF($F$6:INDEX($F:$F, ROW()-1), $F126)) : INDEX(AI:AI, ROW()-1),
         INDEX(AB:AB, ROW()-COUNTIF($F$6:INDEX($F:$F, ROW()-1), $F126)) : INDEX(AB:AB, ROW()-1)
         )
         /SUM(INDEX(AB:AB, ROW()-COUNTIF($F$6:INDEX($F:$F, ROW()-1), $F126)) : INDEX(AB:AB, ROW()-1)),
           AVERAGEIFS(unit_details[Effective PSF],
          unit_details[Active Listing?],TRUE,
          unit_details[Property Name], $F127,
          unit_details[Beds], $L127,
          unit_details[Baths], $M127,
          unit_details[Partial Baths], IF(ISNUMBER($N127),$N127,""),
          unit_details[Sqft],$P127
)),"")</f>
        <v/>
      </c>
      <c r="AJ127" s="824" t="str">
        <f t="shared" si="15"/>
        <v/>
      </c>
      <c r="AK127" s="531" t="str">
        <f t="shared" si="16"/>
        <v/>
      </c>
      <c r="AL127" s="714" t="str">
        <f t="shared" si="17"/>
        <v/>
      </c>
      <c r="AM127" s="531" t="str">
        <f t="shared" si="18"/>
        <v/>
      </c>
      <c r="AN127" s="716" t="str">
        <f t="shared" si="19"/>
        <v/>
      </c>
    </row>
    <row r="128" spans="6:40" x14ac:dyDescent="0.2">
      <c r="F128" s="1" t="str">
        <f t="shared" si="12"/>
        <v/>
      </c>
      <c r="G128" s="713" t="str">
        <f t="shared" si="20"/>
        <v/>
      </c>
      <c r="H128" s="17" t="str">
        <f>IFERROR(VLOOKUP($G128,Table1[[Property]:[Exposure %]],4,0),"")</f>
        <v/>
      </c>
      <c r="I128" s="3" t="str">
        <f>IFERROR(VLOOKUP($G128,Table1[[Property]:[Exposure %]],6,0),"")</f>
        <v/>
      </c>
      <c r="J128" s="3" t="str">
        <f>IFERROR(VLOOKUP($G128,Table1[[Property]:[Exposure %]],7,0),"")</f>
        <v/>
      </c>
      <c r="K128"/>
      <c r="L128"/>
      <c r="M128"/>
      <c r="N128"/>
      <c r="O128"/>
      <c r="P128"/>
      <c r="Q128"/>
      <c r="R128" s="4" t="str">
        <f>IFERROR(VLOOKUP(IF(F128="Total",F127,F128),Table1[[Property]:['# Units]],7,0)*S128,"")</f>
        <v/>
      </c>
      <c r="S128" s="27" t="str">
        <f t="shared" si="13"/>
        <v/>
      </c>
      <c r="T128" s="531" t="str">
        <f>IFERROR(
 IF($F128="Total",
   SUMPRODUCT(
   INDEX(T:T, ROW()-COUNTIF($F$6:INDEX($F:$F, ROW()-1), $F127)) : INDEX(T:T, ROW()-1),
   INDEX(W:W, ROW()-COUNTIF($F$6:INDEX($F:$F, ROW()-1), $F127)) : INDEX(W:W, ROW()-1)
   )
   /SUM(INDEX(W:W, ROW()-COUNTIF($F$6:INDEX($F:$F, ROW()-1), $F127)) : INDEX(W:W, ROW()-1)),
   AVERAGEIFS(
     INDEX((unit_details[Asking Rent],unit_details[Asking PSF]),0,1,IF($U$3="Chunk Rent",1,2)),
     unit_details[Leased Date],"&gt;="&amp;($AM$2-T$5),
     unit_details[Leased Date],"&lt;"&amp;$AM$2,
     unit_details[Beds],$L128,
     unit_details[Baths],$M128,
     unit_details[Partial Baths],IF(ISNUMBER($N128),$N128,""),
     unit_details[Sqft],$P128,
     unit_details[Property Name],$F128)
 ),"")</f>
        <v/>
      </c>
      <c r="U128" s="552" t="str">
        <f>IFERROR(
 IF($F128="Total",
   SUMPRODUCT(
   INDEX(U:U, ROW()-COUNTIF($F$6:INDEX($F:$F, ROW()-1), $F127)) : INDEX(U:U, ROW()-1),
   INDEX(W:W, ROW()-COUNTIF($F$6:INDEX($F:$F, ROW()-1), $F127)) : INDEX(W:W, ROW()-1)
   )
   /SUM(INDEX(W:W, ROW()-COUNTIF($F$6:INDEX($F:$F, ROW()-1), $F127)) : INDEX(W:W, ROW()-1)),
   AVERAGEIFS(
     INDEX((unit_details[Effective Rent],unit_details[Effective PSF]),0,1,IF($U$3="Chunk Rent",1,2)),
     unit_details[Leased Date],"&gt;="&amp;($AM$2-T$5),
     unit_details[Leased Date],"&lt;"&amp;$AM$2,
     unit_details[Beds],$L128,
     unit_details[Baths],$M128,
     unit_details[Partial Baths],IF(ISNUMBER($N128),$N128,""),
     unit_details[Sqft],$P128,
     unit_details[Property Name],$F128)
 ),"")</f>
        <v/>
      </c>
      <c r="V128" s="27" t="str">
        <f t="shared" si="21"/>
        <v/>
      </c>
      <c r="W128" s="526">
        <f>IFERROR(
  IF($F128="Total",
    SUM(INDEX(W:W, ROW()-COUNTIF($F$6:INDEX($F:$F, ROW()-1), $F127)) : INDEX(W:W, ROW()-1)),
    COUNTIFS(
      unit_details[Leased Date], "&gt;="&amp;($AM$2-T$5),
      unit_details[Leased Date], "&lt;"&amp;$AM$2,
      unit_details[Beds], $L128,
      unit_details[Baths], $M128,
      unit_details[Partial Baths], IF(ISNUMBER($N128), $N128, ""),
      unit_details[Sqft],$P128,
      unit_details[Property Name], $F128
    )
  ),
"")</f>
        <v>0</v>
      </c>
      <c r="X128" s="531" t="str">
        <f>IFERROR(
 IF($F128="Total",
   SUMPRODUCT(
   INDEX(X:X, ROW()-COUNTIF($F$6:INDEX($F:$F, ROW()-1), $F127)) : INDEX(X:X, ROW()-1),
   INDEX(AA:AA, ROW()-COUNTIF($F$6:INDEX($F:$F, ROW()-1), $F127)) : INDEX(AA:AA, ROW()-1)
   )
   /SUM(INDEX(AA:AA, ROW()-COUNTIF($F$6:INDEX($F:$F, ROW()-1), $F127)) : INDEX(AA:AA, ROW()-1)),
   AVERAGEIFS(
     INDEX((unit_details[Asking Rent],unit_details[Asking PSF]),0,1,IF($U$3="Chunk Rent",1,2)),
     unit_details[Leased Date],"&gt;="&amp;($AM$2-X$5),
     unit_details[Leased Date],"&lt;"&amp;$AM$2,
     unit_details[Beds],$L128,
     unit_details[Baths],$M128,
     unit_details[Partial Baths],IF(ISNUMBER($N128),$N128,""),
     unit_details[Sqft],$P128,
     unit_details[Property Name],$F128)
 ),"")</f>
        <v/>
      </c>
      <c r="Y128" s="552" t="str">
        <f>IFERROR(
 IF($F128="Total",
   SUMPRODUCT(
   INDEX(Y:Y, ROW()-COUNTIF($F$6:INDEX($F:$F, ROW()-1), $F127)) : INDEX(Y:Y, ROW()-1),
   INDEX(AA:AA, ROW()-COUNTIF($F$6:INDEX($F:$F, ROW()-1), $F127)) : INDEX(AA:AA, ROW()-1)
   )
   /SUM(INDEX(AA:AA, ROW()-COUNTIF($F$6:INDEX($F:$F, ROW()-1), $F127)) : INDEX(AA:AA, ROW()-1)),
   AVERAGEIFS(
     INDEX((unit_details[Effective Rent],unit_details[Effective PSF]),0,1,IF($U$3="Chunk Rent",1,2)),
     unit_details[Leased Date],"&gt;="&amp;($AM$2-X$5),
     unit_details[Leased Date],"&lt;"&amp;$AM$2,
     unit_details[Beds],$L128,
     unit_details[Baths],$M128,
     unit_details[Partial Baths],IF(ISNUMBER($N128),$N128,""),
     unit_details[Sqft],$P128,
     unit_details[Property Name],$F128)
 ),"")</f>
        <v/>
      </c>
      <c r="Z128" s="27" t="str">
        <f t="shared" si="22"/>
        <v/>
      </c>
      <c r="AA128" s="526">
        <f>IFERROR(
  IF($F128="Total",
    SUM(INDEX(AA:AA, ROW()-COUNTIF($F$6:INDEX($F:$F, ROW()-1), $F127)) : INDEX(AA:AA, ROW()-1)),
    COUNTIFS(
      unit_details[Leased Date], "&gt;="&amp;($AM$2-X$5),
      unit_details[Leased Date], "&lt;"&amp;$AM$2,
      unit_details[Beds], $L128,
      unit_details[Baths], $M128,
      unit_details[Partial Baths], IF(ISNUMBER($N128), $N128, ""),
      unit_details[Sqft],$P128,
      unit_details[Property Name], $F128
    )
  ),
"")</f>
        <v>0</v>
      </c>
      <c r="AB128" s="290">
        <f>IF($F128="Total",
SUM(INDEX(AB:AB, ROW()-COUNTIF($F$6:INDEX($F:$F, ROW()-1), $F127)) : INDEX(AB:AB, ROW()-1)),
COUNTIFS(unit_details[Active Listing?],TRUE,
          unit_details[Property Name], $F128,
          unit_details[Beds], $L128,
          unit_details[Baths], $M128,
          unit_details[Partial Baths],IF(ISNUMBER($N128),$N128,""),
          unit_details[Sqft],$P128))</f>
        <v>0</v>
      </c>
      <c r="AC128" s="27" t="str">
        <f t="shared" si="14"/>
        <v/>
      </c>
      <c r="AD128" s="293" t="str">
        <f>IFERROR(IF(AE128="","",IF($F128="Total",
SUMPRODUCT(
   INDEX(AD:AD, ROW()-COUNTIF($F$6:INDEX($F:$F, ROW()-1), $F127)) : INDEX(AD:AD, ROW()-1),
   INDEX(AB:AB, ROW()-COUNTIF($F$6:INDEX($F:$F, ROW()-1), $F127)) : INDEX(AB:AB, ROW()-1)
   )
   /SUM(INDEX(AB:AB, ROW()-COUNTIF($F$6:INDEX($F:$F, ROW()-1), $F127)) : INDEX(AB:AB, ROW()-1)),
          _xlfn.MINIFS(unit_details[Asking Rent],
          unit_details[Active Listing?],TRUE,
          unit_details[Property Name], $F128,
          unit_details[Beds], $L128,
          unit_details[Baths], $M128,
          unit_details[Partial Baths], IF(ISNUMBER($N128),$N128,""),
          unit_details[Sqft],$P128
))),"")</f>
        <v/>
      </c>
      <c r="AE128" s="5" t="str">
        <f>IFERROR(IF($F128="Total",
          SUMPRODUCT(
   INDEX(AE:AE, ROW()-COUNTIF($F$6:INDEX($F:$F, ROW()-1), $F127)) : INDEX(AE:AE, ROW()-1),
   INDEX(AB:AB, ROW()-COUNTIF($F$6:INDEX($F:$F, ROW()-1), $F127)) : INDEX(AB:AB, ROW()-1)
   )
   /SUM(INDEX(AB:AB, ROW()-COUNTIF($F$6:INDEX($F:$F, ROW()-1), $F127)) : INDEX(AB:AB, ROW()-1)),
          AVERAGEIFS(unit_details[Asking Rent],
          unit_details[Active Listing?],TRUE,
          unit_details[Property Name], $F128,
          unit_details[Beds], $L128,
          unit_details[Baths], $M128,
          unit_details[Partial Baths], IF(ISNUMBER($N128),$N128,""),
          unit_details[Sqft],$P128
)),"")</f>
        <v/>
      </c>
      <c r="AF128" s="5" t="str">
        <f>IFERROR(IF(AE128="","",IF($F128="Total",
SUMPRODUCT(
   INDEX(AF:AF, ROW()-COUNTIF($F$6:INDEX($F:$F, ROW()-1), $F127)) : INDEX(AF:AF, ROW()-1),
   INDEX(AB:AB, ROW()-COUNTIF($F$6:INDEX($F:$F, ROW()-1), $F127)) : INDEX(AB:AB, ROW()-1)
   )
   /SUM(INDEX(AB:AB, ROW()-COUNTIF($F$6:INDEX($F:$F, ROW()-1), $F127)) : INDEX(AB:AB, ROW()-1)),
           _xlfn.MAXIFS(unit_details[Asking Rent],
          unit_details[Active Listing?],TRUE,
          unit_details[Property Name], $F128,
          unit_details[Beds], $L128,
          unit_details[Baths], $M128,
          unit_details[Partial Baths], IF(ISNUMBER($N128),$N128,""),
          unit_details[Sqft],$P128
))),"")</f>
        <v/>
      </c>
      <c r="AG128" s="6" t="str">
        <f>IFERROR(IF($F128="Total",
         SUMPRODUCT(
         INDEX(AG:AG, ROW()-COUNTIF($F$6:INDEX($F:$F, ROW()-1), $F127)) : INDEX(AG:AG, ROW()-1),
         INDEX(AB:AB, ROW()-COUNTIF($F$6:INDEX($F:$F, ROW()-1), $F127)) : INDEX(AB:AB, ROW()-1)
         )
         /SUM(INDEX(AB:AB, ROW()-COUNTIF($F$6:INDEX($F:$F, ROW()-1), $F127)) : INDEX(AB:AB, ROW()-1)),
          AVERAGEIFS(unit_details[Asking PSF],
          unit_details[Active Listing?],TRUE,
          unit_details[Property Name], $F128,
          unit_details[Beds], $L128,
          unit_details[Baths], $M128,
          unit_details[Partial Baths], IF(ISNUMBER($N128),$N128,""),
          unit_details[Sqft],$P128
)),"")</f>
        <v/>
      </c>
      <c r="AH128" s="293" t="str">
        <f>IFERROR(IF($F128="Total",
         SUMPRODUCT(
         INDEX(AH:AH, ROW()-COUNTIF($F$6:INDEX($F:$F, ROW()-1), $F127)) : INDEX(AH:AH, ROW()-1),
         INDEX(AB:AB, ROW()-COUNTIF($F$6:INDEX($F:$F, ROW()-1), $F127)) : INDEX(AB:AB, ROW()-1)
         )
         /SUM(INDEX(AB:AB, ROW()-COUNTIF($F$6:INDEX($F:$F, ROW()-1), $F127)) : INDEX(AB:AB, ROW()-1)),
          AVERAGEIFS(unit_details[Effective Rent],
          unit_details[Active Listing?],TRUE,
          unit_details[Property Name], $F128,
          unit_details[Beds], $L128,
          unit_details[Baths], $M128,
          unit_details[Partial Baths], IF(ISNUMBER($N128),$N128,""),
          unit_details[Sqft],$P128
)),"")</f>
        <v/>
      </c>
      <c r="AI128" s="6" t="str">
        <f>IFERROR(IF($F128="Total",
         SUMPRODUCT(
         INDEX(AI:AI, ROW()-COUNTIF($F$6:INDEX($F:$F, ROW()-1), $F127)) : INDEX(AI:AI, ROW()-1),
         INDEX(AB:AB, ROW()-COUNTIF($F$6:INDEX($F:$F, ROW()-1), $F127)) : INDEX(AB:AB, ROW()-1)
         )
         /SUM(INDEX(AB:AB, ROW()-COUNTIF($F$6:INDEX($F:$F, ROW()-1), $F127)) : INDEX(AB:AB, ROW()-1)),
           AVERAGEIFS(unit_details[Effective PSF],
          unit_details[Active Listing?],TRUE,
          unit_details[Property Name], $F128,
          unit_details[Beds], $L128,
          unit_details[Baths], $M128,
          unit_details[Partial Baths], IF(ISNUMBER($N128),$N128,""),
          unit_details[Sqft],$P128
)),"")</f>
        <v/>
      </c>
      <c r="AJ128" s="824" t="str">
        <f t="shared" si="15"/>
        <v/>
      </c>
      <c r="AK128" s="531" t="str">
        <f t="shared" si="16"/>
        <v/>
      </c>
      <c r="AL128" s="714" t="str">
        <f t="shared" si="17"/>
        <v/>
      </c>
      <c r="AM128" s="531" t="str">
        <f t="shared" si="18"/>
        <v/>
      </c>
      <c r="AN128" s="716" t="str">
        <f t="shared" si="19"/>
        <v/>
      </c>
    </row>
    <row r="129" spans="6:40" x14ac:dyDescent="0.2">
      <c r="F129" s="1" t="str">
        <f t="shared" si="12"/>
        <v/>
      </c>
      <c r="G129" s="713" t="str">
        <f t="shared" si="20"/>
        <v/>
      </c>
      <c r="H129" s="17" t="str">
        <f>IFERROR(VLOOKUP($G129,Table1[[Property]:[Exposure %]],4,0),"")</f>
        <v/>
      </c>
      <c r="I129" s="3" t="str">
        <f>IFERROR(VLOOKUP($G129,Table1[[Property]:[Exposure %]],6,0),"")</f>
        <v/>
      </c>
      <c r="J129" s="3" t="str">
        <f>IFERROR(VLOOKUP($G129,Table1[[Property]:[Exposure %]],7,0),"")</f>
        <v/>
      </c>
      <c r="K129"/>
      <c r="L129"/>
      <c r="M129"/>
      <c r="N129"/>
      <c r="O129"/>
      <c r="P129"/>
      <c r="Q129"/>
      <c r="R129" s="4" t="str">
        <f>IFERROR(VLOOKUP(IF(F129="Total",F128,F129),Table1[[Property]:['# Units]],7,0)*S129,"")</f>
        <v/>
      </c>
      <c r="S129" s="27" t="str">
        <f t="shared" si="13"/>
        <v/>
      </c>
      <c r="T129" s="531" t="str">
        <f>IFERROR(
 IF($F129="Total",
   SUMPRODUCT(
   INDEX(T:T, ROW()-COUNTIF($F$6:INDEX($F:$F, ROW()-1), $F128)) : INDEX(T:T, ROW()-1),
   INDEX(W:W, ROW()-COUNTIF($F$6:INDEX($F:$F, ROW()-1), $F128)) : INDEX(W:W, ROW()-1)
   )
   /SUM(INDEX(W:W, ROW()-COUNTIF($F$6:INDEX($F:$F, ROW()-1), $F128)) : INDEX(W:W, ROW()-1)),
   AVERAGEIFS(
     INDEX((unit_details[Asking Rent],unit_details[Asking PSF]),0,1,IF($U$3="Chunk Rent",1,2)),
     unit_details[Leased Date],"&gt;="&amp;($AM$2-T$5),
     unit_details[Leased Date],"&lt;"&amp;$AM$2,
     unit_details[Beds],$L129,
     unit_details[Baths],$M129,
     unit_details[Partial Baths],IF(ISNUMBER($N129),$N129,""),
     unit_details[Sqft],$P129,
     unit_details[Property Name],$F129)
 ),"")</f>
        <v/>
      </c>
      <c r="U129" s="552" t="str">
        <f>IFERROR(
 IF($F129="Total",
   SUMPRODUCT(
   INDEX(U:U, ROW()-COUNTIF($F$6:INDEX($F:$F, ROW()-1), $F128)) : INDEX(U:U, ROW()-1),
   INDEX(W:W, ROW()-COUNTIF($F$6:INDEX($F:$F, ROW()-1), $F128)) : INDEX(W:W, ROW()-1)
   )
   /SUM(INDEX(W:W, ROW()-COUNTIF($F$6:INDEX($F:$F, ROW()-1), $F128)) : INDEX(W:W, ROW()-1)),
   AVERAGEIFS(
     INDEX((unit_details[Effective Rent],unit_details[Effective PSF]),0,1,IF($U$3="Chunk Rent",1,2)),
     unit_details[Leased Date],"&gt;="&amp;($AM$2-T$5),
     unit_details[Leased Date],"&lt;"&amp;$AM$2,
     unit_details[Beds],$L129,
     unit_details[Baths],$M129,
     unit_details[Partial Baths],IF(ISNUMBER($N129),$N129,""),
     unit_details[Sqft],$P129,
     unit_details[Property Name],$F129)
 ),"")</f>
        <v/>
      </c>
      <c r="V129" s="27" t="str">
        <f t="shared" si="21"/>
        <v/>
      </c>
      <c r="W129" s="526">
        <f>IFERROR(
  IF($F129="Total",
    SUM(INDEX(W:W, ROW()-COUNTIF($F$6:INDEX($F:$F, ROW()-1), $F128)) : INDEX(W:W, ROW()-1)),
    COUNTIFS(
      unit_details[Leased Date], "&gt;="&amp;($AM$2-T$5),
      unit_details[Leased Date], "&lt;"&amp;$AM$2,
      unit_details[Beds], $L129,
      unit_details[Baths], $M129,
      unit_details[Partial Baths], IF(ISNUMBER($N129), $N129, ""),
      unit_details[Sqft],$P129,
      unit_details[Property Name], $F129
    )
  ),
"")</f>
        <v>0</v>
      </c>
      <c r="X129" s="531" t="str">
        <f>IFERROR(
 IF($F129="Total",
   SUMPRODUCT(
   INDEX(X:X, ROW()-COUNTIF($F$6:INDEX($F:$F, ROW()-1), $F128)) : INDEX(X:X, ROW()-1),
   INDEX(AA:AA, ROW()-COUNTIF($F$6:INDEX($F:$F, ROW()-1), $F128)) : INDEX(AA:AA, ROW()-1)
   )
   /SUM(INDEX(AA:AA, ROW()-COUNTIF($F$6:INDEX($F:$F, ROW()-1), $F128)) : INDEX(AA:AA, ROW()-1)),
   AVERAGEIFS(
     INDEX((unit_details[Asking Rent],unit_details[Asking PSF]),0,1,IF($U$3="Chunk Rent",1,2)),
     unit_details[Leased Date],"&gt;="&amp;($AM$2-X$5),
     unit_details[Leased Date],"&lt;"&amp;$AM$2,
     unit_details[Beds],$L129,
     unit_details[Baths],$M129,
     unit_details[Partial Baths],IF(ISNUMBER($N129),$N129,""),
     unit_details[Sqft],$P129,
     unit_details[Property Name],$F129)
 ),"")</f>
        <v/>
      </c>
      <c r="Y129" s="552" t="str">
        <f>IFERROR(
 IF($F129="Total",
   SUMPRODUCT(
   INDEX(Y:Y, ROW()-COUNTIF($F$6:INDEX($F:$F, ROW()-1), $F128)) : INDEX(Y:Y, ROW()-1),
   INDEX(AA:AA, ROW()-COUNTIF($F$6:INDEX($F:$F, ROW()-1), $F128)) : INDEX(AA:AA, ROW()-1)
   )
   /SUM(INDEX(AA:AA, ROW()-COUNTIF($F$6:INDEX($F:$F, ROW()-1), $F128)) : INDEX(AA:AA, ROW()-1)),
   AVERAGEIFS(
     INDEX((unit_details[Effective Rent],unit_details[Effective PSF]),0,1,IF($U$3="Chunk Rent",1,2)),
     unit_details[Leased Date],"&gt;="&amp;($AM$2-X$5),
     unit_details[Leased Date],"&lt;"&amp;$AM$2,
     unit_details[Beds],$L129,
     unit_details[Baths],$M129,
     unit_details[Partial Baths],IF(ISNUMBER($N129),$N129,""),
     unit_details[Sqft],$P129,
     unit_details[Property Name],$F129)
 ),"")</f>
        <v/>
      </c>
      <c r="Z129" s="27" t="str">
        <f t="shared" si="22"/>
        <v/>
      </c>
      <c r="AA129" s="526">
        <f>IFERROR(
  IF($F129="Total",
    SUM(INDEX(AA:AA, ROW()-COUNTIF($F$6:INDEX($F:$F, ROW()-1), $F128)) : INDEX(AA:AA, ROW()-1)),
    COUNTIFS(
      unit_details[Leased Date], "&gt;="&amp;($AM$2-X$5),
      unit_details[Leased Date], "&lt;"&amp;$AM$2,
      unit_details[Beds], $L129,
      unit_details[Baths], $M129,
      unit_details[Partial Baths], IF(ISNUMBER($N129), $N129, ""),
      unit_details[Sqft],$P129,
      unit_details[Property Name], $F129
    )
  ),
"")</f>
        <v>0</v>
      </c>
      <c r="AB129" s="290">
        <f>IF($F129="Total",
SUM(INDEX(AB:AB, ROW()-COUNTIF($F$6:INDEX($F:$F, ROW()-1), $F128)) : INDEX(AB:AB, ROW()-1)),
COUNTIFS(unit_details[Active Listing?],TRUE,
          unit_details[Property Name], $F129,
          unit_details[Beds], $L129,
          unit_details[Baths], $M129,
          unit_details[Partial Baths],IF(ISNUMBER($N129),$N129,""),
          unit_details[Sqft],$P129))</f>
        <v>0</v>
      </c>
      <c r="AC129" s="27" t="str">
        <f t="shared" si="14"/>
        <v/>
      </c>
      <c r="AD129" s="293" t="str">
        <f>IFERROR(IF(AE129="","",IF($F129="Total",
SUMPRODUCT(
   INDEX(AD:AD, ROW()-COUNTIF($F$6:INDEX($F:$F, ROW()-1), $F128)) : INDEX(AD:AD, ROW()-1),
   INDEX(AB:AB, ROW()-COUNTIF($F$6:INDEX($F:$F, ROW()-1), $F128)) : INDEX(AB:AB, ROW()-1)
   )
   /SUM(INDEX(AB:AB, ROW()-COUNTIF($F$6:INDEX($F:$F, ROW()-1), $F128)) : INDEX(AB:AB, ROW()-1)),
          _xlfn.MINIFS(unit_details[Asking Rent],
          unit_details[Active Listing?],TRUE,
          unit_details[Property Name], $F129,
          unit_details[Beds], $L129,
          unit_details[Baths], $M129,
          unit_details[Partial Baths], IF(ISNUMBER($N129),$N129,""),
          unit_details[Sqft],$P129
))),"")</f>
        <v/>
      </c>
      <c r="AE129" s="5" t="str">
        <f>IFERROR(IF($F129="Total",
          SUMPRODUCT(
   INDEX(AE:AE, ROW()-COUNTIF($F$6:INDEX($F:$F, ROW()-1), $F128)) : INDEX(AE:AE, ROW()-1),
   INDEX(AB:AB, ROW()-COUNTIF($F$6:INDEX($F:$F, ROW()-1), $F128)) : INDEX(AB:AB, ROW()-1)
   )
   /SUM(INDEX(AB:AB, ROW()-COUNTIF($F$6:INDEX($F:$F, ROW()-1), $F128)) : INDEX(AB:AB, ROW()-1)),
          AVERAGEIFS(unit_details[Asking Rent],
          unit_details[Active Listing?],TRUE,
          unit_details[Property Name], $F129,
          unit_details[Beds], $L129,
          unit_details[Baths], $M129,
          unit_details[Partial Baths], IF(ISNUMBER($N129),$N129,""),
          unit_details[Sqft],$P129
)),"")</f>
        <v/>
      </c>
      <c r="AF129" s="5" t="str">
        <f>IFERROR(IF(AE129="","",IF($F129="Total",
SUMPRODUCT(
   INDEX(AF:AF, ROW()-COUNTIF($F$6:INDEX($F:$F, ROW()-1), $F128)) : INDEX(AF:AF, ROW()-1),
   INDEX(AB:AB, ROW()-COUNTIF($F$6:INDEX($F:$F, ROW()-1), $F128)) : INDEX(AB:AB, ROW()-1)
   )
   /SUM(INDEX(AB:AB, ROW()-COUNTIF($F$6:INDEX($F:$F, ROW()-1), $F128)) : INDEX(AB:AB, ROW()-1)),
           _xlfn.MAXIFS(unit_details[Asking Rent],
          unit_details[Active Listing?],TRUE,
          unit_details[Property Name], $F129,
          unit_details[Beds], $L129,
          unit_details[Baths], $M129,
          unit_details[Partial Baths], IF(ISNUMBER($N129),$N129,""),
          unit_details[Sqft],$P129
))),"")</f>
        <v/>
      </c>
      <c r="AG129" s="6" t="str">
        <f>IFERROR(IF($F129="Total",
         SUMPRODUCT(
         INDEX(AG:AG, ROW()-COUNTIF($F$6:INDEX($F:$F, ROW()-1), $F128)) : INDEX(AG:AG, ROW()-1),
         INDEX(AB:AB, ROW()-COUNTIF($F$6:INDEX($F:$F, ROW()-1), $F128)) : INDEX(AB:AB, ROW()-1)
         )
         /SUM(INDEX(AB:AB, ROW()-COUNTIF($F$6:INDEX($F:$F, ROW()-1), $F128)) : INDEX(AB:AB, ROW()-1)),
          AVERAGEIFS(unit_details[Asking PSF],
          unit_details[Active Listing?],TRUE,
          unit_details[Property Name], $F129,
          unit_details[Beds], $L129,
          unit_details[Baths], $M129,
          unit_details[Partial Baths], IF(ISNUMBER($N129),$N129,""),
          unit_details[Sqft],$P129
)),"")</f>
        <v/>
      </c>
      <c r="AH129" s="293" t="str">
        <f>IFERROR(IF($F129="Total",
         SUMPRODUCT(
         INDEX(AH:AH, ROW()-COUNTIF($F$6:INDEX($F:$F, ROW()-1), $F128)) : INDEX(AH:AH, ROW()-1),
         INDEX(AB:AB, ROW()-COUNTIF($F$6:INDEX($F:$F, ROW()-1), $F128)) : INDEX(AB:AB, ROW()-1)
         )
         /SUM(INDEX(AB:AB, ROW()-COUNTIF($F$6:INDEX($F:$F, ROW()-1), $F128)) : INDEX(AB:AB, ROW()-1)),
          AVERAGEIFS(unit_details[Effective Rent],
          unit_details[Active Listing?],TRUE,
          unit_details[Property Name], $F129,
          unit_details[Beds], $L129,
          unit_details[Baths], $M129,
          unit_details[Partial Baths], IF(ISNUMBER($N129),$N129,""),
          unit_details[Sqft],$P129
)),"")</f>
        <v/>
      </c>
      <c r="AI129" s="6" t="str">
        <f>IFERROR(IF($F129="Total",
         SUMPRODUCT(
         INDEX(AI:AI, ROW()-COUNTIF($F$6:INDEX($F:$F, ROW()-1), $F128)) : INDEX(AI:AI, ROW()-1),
         INDEX(AB:AB, ROW()-COUNTIF($F$6:INDEX($F:$F, ROW()-1), $F128)) : INDEX(AB:AB, ROW()-1)
         )
         /SUM(INDEX(AB:AB, ROW()-COUNTIF($F$6:INDEX($F:$F, ROW()-1), $F128)) : INDEX(AB:AB, ROW()-1)),
           AVERAGEIFS(unit_details[Effective PSF],
          unit_details[Active Listing?],TRUE,
          unit_details[Property Name], $F129,
          unit_details[Beds], $L129,
          unit_details[Baths], $M129,
          unit_details[Partial Baths], IF(ISNUMBER($N129),$N129,""),
          unit_details[Sqft],$P129
)),"")</f>
        <v/>
      </c>
      <c r="AJ129" s="824" t="str">
        <f t="shared" si="15"/>
        <v/>
      </c>
      <c r="AK129" s="531" t="str">
        <f t="shared" si="16"/>
        <v/>
      </c>
      <c r="AL129" s="714" t="str">
        <f t="shared" si="17"/>
        <v/>
      </c>
      <c r="AM129" s="531" t="str">
        <f t="shared" si="18"/>
        <v/>
      </c>
      <c r="AN129" s="716" t="str">
        <f t="shared" si="19"/>
        <v/>
      </c>
    </row>
    <row r="130" spans="6:40" x14ac:dyDescent="0.2">
      <c r="F130" s="1" t="str">
        <f t="shared" si="12"/>
        <v/>
      </c>
      <c r="G130" s="713" t="str">
        <f t="shared" si="20"/>
        <v/>
      </c>
      <c r="H130" s="17" t="str">
        <f>IFERROR(VLOOKUP($G130,Table1[[Property]:[Exposure %]],4,0),"")</f>
        <v/>
      </c>
      <c r="I130" s="3" t="str">
        <f>IFERROR(VLOOKUP($G130,Table1[[Property]:[Exposure %]],6,0),"")</f>
        <v/>
      </c>
      <c r="J130" s="3" t="str">
        <f>IFERROR(VLOOKUP($G130,Table1[[Property]:[Exposure %]],7,0),"")</f>
        <v/>
      </c>
      <c r="K130"/>
      <c r="L130"/>
      <c r="M130"/>
      <c r="N130"/>
      <c r="O130"/>
      <c r="P130"/>
      <c r="Q130"/>
      <c r="R130" s="4" t="str">
        <f>IFERROR(VLOOKUP(IF(F130="Total",F129,F130),Table1[[Property]:['# Units]],7,0)*S130,"")</f>
        <v/>
      </c>
      <c r="S130" s="27" t="str">
        <f t="shared" si="13"/>
        <v/>
      </c>
      <c r="T130" s="531" t="str">
        <f>IFERROR(
 IF($F130="Total",
   SUMPRODUCT(
   INDEX(T:T, ROW()-COUNTIF($F$6:INDEX($F:$F, ROW()-1), $F129)) : INDEX(T:T, ROW()-1),
   INDEX(W:W, ROW()-COUNTIF($F$6:INDEX($F:$F, ROW()-1), $F129)) : INDEX(W:W, ROW()-1)
   )
   /SUM(INDEX(W:W, ROW()-COUNTIF($F$6:INDEX($F:$F, ROW()-1), $F129)) : INDEX(W:W, ROW()-1)),
   AVERAGEIFS(
     INDEX((unit_details[Asking Rent],unit_details[Asking PSF]),0,1,IF($U$3="Chunk Rent",1,2)),
     unit_details[Leased Date],"&gt;="&amp;($AM$2-T$5),
     unit_details[Leased Date],"&lt;"&amp;$AM$2,
     unit_details[Beds],$L130,
     unit_details[Baths],$M130,
     unit_details[Partial Baths],IF(ISNUMBER($N130),$N130,""),
     unit_details[Sqft],$P130,
     unit_details[Property Name],$F130)
 ),"")</f>
        <v/>
      </c>
      <c r="U130" s="552" t="str">
        <f>IFERROR(
 IF($F130="Total",
   SUMPRODUCT(
   INDEX(U:U, ROW()-COUNTIF($F$6:INDEX($F:$F, ROW()-1), $F129)) : INDEX(U:U, ROW()-1),
   INDEX(W:W, ROW()-COUNTIF($F$6:INDEX($F:$F, ROW()-1), $F129)) : INDEX(W:W, ROW()-1)
   )
   /SUM(INDEX(W:W, ROW()-COUNTIF($F$6:INDEX($F:$F, ROW()-1), $F129)) : INDEX(W:W, ROW()-1)),
   AVERAGEIFS(
     INDEX((unit_details[Effective Rent],unit_details[Effective PSF]),0,1,IF($U$3="Chunk Rent",1,2)),
     unit_details[Leased Date],"&gt;="&amp;($AM$2-T$5),
     unit_details[Leased Date],"&lt;"&amp;$AM$2,
     unit_details[Beds],$L130,
     unit_details[Baths],$M130,
     unit_details[Partial Baths],IF(ISNUMBER($N130),$N130,""),
     unit_details[Sqft],$P130,
     unit_details[Property Name],$F130)
 ),"")</f>
        <v/>
      </c>
      <c r="V130" s="27" t="str">
        <f t="shared" si="21"/>
        <v/>
      </c>
      <c r="W130" s="526">
        <f>IFERROR(
  IF($F130="Total",
    SUM(INDEX(W:W, ROW()-COUNTIF($F$6:INDEX($F:$F, ROW()-1), $F129)) : INDEX(W:W, ROW()-1)),
    COUNTIFS(
      unit_details[Leased Date], "&gt;="&amp;($AM$2-T$5),
      unit_details[Leased Date], "&lt;"&amp;$AM$2,
      unit_details[Beds], $L130,
      unit_details[Baths], $M130,
      unit_details[Partial Baths], IF(ISNUMBER($N130), $N130, ""),
      unit_details[Sqft],$P130,
      unit_details[Property Name], $F130
    )
  ),
"")</f>
        <v>0</v>
      </c>
      <c r="X130" s="531" t="str">
        <f>IFERROR(
 IF($F130="Total",
   SUMPRODUCT(
   INDEX(X:X, ROW()-COUNTIF($F$6:INDEX($F:$F, ROW()-1), $F129)) : INDEX(X:X, ROW()-1),
   INDEX(AA:AA, ROW()-COUNTIF($F$6:INDEX($F:$F, ROW()-1), $F129)) : INDEX(AA:AA, ROW()-1)
   )
   /SUM(INDEX(AA:AA, ROW()-COUNTIF($F$6:INDEX($F:$F, ROW()-1), $F129)) : INDEX(AA:AA, ROW()-1)),
   AVERAGEIFS(
     INDEX((unit_details[Asking Rent],unit_details[Asking PSF]),0,1,IF($U$3="Chunk Rent",1,2)),
     unit_details[Leased Date],"&gt;="&amp;($AM$2-X$5),
     unit_details[Leased Date],"&lt;"&amp;$AM$2,
     unit_details[Beds],$L130,
     unit_details[Baths],$M130,
     unit_details[Partial Baths],IF(ISNUMBER($N130),$N130,""),
     unit_details[Sqft],$P130,
     unit_details[Property Name],$F130)
 ),"")</f>
        <v/>
      </c>
      <c r="Y130" s="552" t="str">
        <f>IFERROR(
 IF($F130="Total",
   SUMPRODUCT(
   INDEX(Y:Y, ROW()-COUNTIF($F$6:INDEX($F:$F, ROW()-1), $F129)) : INDEX(Y:Y, ROW()-1),
   INDEX(AA:AA, ROW()-COUNTIF($F$6:INDEX($F:$F, ROW()-1), $F129)) : INDEX(AA:AA, ROW()-1)
   )
   /SUM(INDEX(AA:AA, ROW()-COUNTIF($F$6:INDEX($F:$F, ROW()-1), $F129)) : INDEX(AA:AA, ROW()-1)),
   AVERAGEIFS(
     INDEX((unit_details[Effective Rent],unit_details[Effective PSF]),0,1,IF($U$3="Chunk Rent",1,2)),
     unit_details[Leased Date],"&gt;="&amp;($AM$2-X$5),
     unit_details[Leased Date],"&lt;"&amp;$AM$2,
     unit_details[Beds],$L130,
     unit_details[Baths],$M130,
     unit_details[Partial Baths],IF(ISNUMBER($N130),$N130,""),
     unit_details[Sqft],$P130,
     unit_details[Property Name],$F130)
 ),"")</f>
        <v/>
      </c>
      <c r="Z130" s="27" t="str">
        <f t="shared" si="22"/>
        <v/>
      </c>
      <c r="AA130" s="526">
        <f>IFERROR(
  IF($F130="Total",
    SUM(INDEX(AA:AA, ROW()-COUNTIF($F$6:INDEX($F:$F, ROW()-1), $F129)) : INDEX(AA:AA, ROW()-1)),
    COUNTIFS(
      unit_details[Leased Date], "&gt;="&amp;($AM$2-X$5),
      unit_details[Leased Date], "&lt;"&amp;$AM$2,
      unit_details[Beds], $L130,
      unit_details[Baths], $M130,
      unit_details[Partial Baths], IF(ISNUMBER($N130), $N130, ""),
      unit_details[Sqft],$P130,
      unit_details[Property Name], $F130
    )
  ),
"")</f>
        <v>0</v>
      </c>
      <c r="AB130" s="290">
        <f>IF($F130="Total",
SUM(INDEX(AB:AB, ROW()-COUNTIF($F$6:INDEX($F:$F, ROW()-1), $F129)) : INDEX(AB:AB, ROW()-1)),
COUNTIFS(unit_details[Active Listing?],TRUE,
          unit_details[Property Name], $F130,
          unit_details[Beds], $L130,
          unit_details[Baths], $M130,
          unit_details[Partial Baths],IF(ISNUMBER($N130),$N130,""),
          unit_details[Sqft],$P130))</f>
        <v>0</v>
      </c>
      <c r="AC130" s="27" t="str">
        <f t="shared" si="14"/>
        <v/>
      </c>
      <c r="AD130" s="293" t="str">
        <f>IFERROR(IF(AE130="","",IF($F130="Total",
SUMPRODUCT(
   INDEX(AD:AD, ROW()-COUNTIF($F$6:INDEX($F:$F, ROW()-1), $F129)) : INDEX(AD:AD, ROW()-1),
   INDEX(AB:AB, ROW()-COUNTIF($F$6:INDEX($F:$F, ROW()-1), $F129)) : INDEX(AB:AB, ROW()-1)
   )
   /SUM(INDEX(AB:AB, ROW()-COUNTIF($F$6:INDEX($F:$F, ROW()-1), $F129)) : INDEX(AB:AB, ROW()-1)),
          _xlfn.MINIFS(unit_details[Asking Rent],
          unit_details[Active Listing?],TRUE,
          unit_details[Property Name], $F130,
          unit_details[Beds], $L130,
          unit_details[Baths], $M130,
          unit_details[Partial Baths], IF(ISNUMBER($N130),$N130,""),
          unit_details[Sqft],$P130
))),"")</f>
        <v/>
      </c>
      <c r="AE130" s="5" t="str">
        <f>IFERROR(IF($F130="Total",
          SUMPRODUCT(
   INDEX(AE:AE, ROW()-COUNTIF($F$6:INDEX($F:$F, ROW()-1), $F129)) : INDEX(AE:AE, ROW()-1),
   INDEX(AB:AB, ROW()-COUNTIF($F$6:INDEX($F:$F, ROW()-1), $F129)) : INDEX(AB:AB, ROW()-1)
   )
   /SUM(INDEX(AB:AB, ROW()-COUNTIF($F$6:INDEX($F:$F, ROW()-1), $F129)) : INDEX(AB:AB, ROW()-1)),
          AVERAGEIFS(unit_details[Asking Rent],
          unit_details[Active Listing?],TRUE,
          unit_details[Property Name], $F130,
          unit_details[Beds], $L130,
          unit_details[Baths], $M130,
          unit_details[Partial Baths], IF(ISNUMBER($N130),$N130,""),
          unit_details[Sqft],$P130
)),"")</f>
        <v/>
      </c>
      <c r="AF130" s="5" t="str">
        <f>IFERROR(IF(AE130="","",IF($F130="Total",
SUMPRODUCT(
   INDEX(AF:AF, ROW()-COUNTIF($F$6:INDEX($F:$F, ROW()-1), $F129)) : INDEX(AF:AF, ROW()-1),
   INDEX(AB:AB, ROW()-COUNTIF($F$6:INDEX($F:$F, ROW()-1), $F129)) : INDEX(AB:AB, ROW()-1)
   )
   /SUM(INDEX(AB:AB, ROW()-COUNTIF($F$6:INDEX($F:$F, ROW()-1), $F129)) : INDEX(AB:AB, ROW()-1)),
           _xlfn.MAXIFS(unit_details[Asking Rent],
          unit_details[Active Listing?],TRUE,
          unit_details[Property Name], $F130,
          unit_details[Beds], $L130,
          unit_details[Baths], $M130,
          unit_details[Partial Baths], IF(ISNUMBER($N130),$N130,""),
          unit_details[Sqft],$P130
))),"")</f>
        <v/>
      </c>
      <c r="AG130" s="6" t="str">
        <f>IFERROR(IF($F130="Total",
         SUMPRODUCT(
         INDEX(AG:AG, ROW()-COUNTIF($F$6:INDEX($F:$F, ROW()-1), $F129)) : INDEX(AG:AG, ROW()-1),
         INDEX(AB:AB, ROW()-COUNTIF($F$6:INDEX($F:$F, ROW()-1), $F129)) : INDEX(AB:AB, ROW()-1)
         )
         /SUM(INDEX(AB:AB, ROW()-COUNTIF($F$6:INDEX($F:$F, ROW()-1), $F129)) : INDEX(AB:AB, ROW()-1)),
          AVERAGEIFS(unit_details[Asking PSF],
          unit_details[Active Listing?],TRUE,
          unit_details[Property Name], $F130,
          unit_details[Beds], $L130,
          unit_details[Baths], $M130,
          unit_details[Partial Baths], IF(ISNUMBER($N130),$N130,""),
          unit_details[Sqft],$P130
)),"")</f>
        <v/>
      </c>
      <c r="AH130" s="293" t="str">
        <f>IFERROR(IF($F130="Total",
         SUMPRODUCT(
         INDEX(AH:AH, ROW()-COUNTIF($F$6:INDEX($F:$F, ROW()-1), $F129)) : INDEX(AH:AH, ROW()-1),
         INDEX(AB:AB, ROW()-COUNTIF($F$6:INDEX($F:$F, ROW()-1), $F129)) : INDEX(AB:AB, ROW()-1)
         )
         /SUM(INDEX(AB:AB, ROW()-COUNTIF($F$6:INDEX($F:$F, ROW()-1), $F129)) : INDEX(AB:AB, ROW()-1)),
          AVERAGEIFS(unit_details[Effective Rent],
          unit_details[Active Listing?],TRUE,
          unit_details[Property Name], $F130,
          unit_details[Beds], $L130,
          unit_details[Baths], $M130,
          unit_details[Partial Baths], IF(ISNUMBER($N130),$N130,""),
          unit_details[Sqft],$P130
)),"")</f>
        <v/>
      </c>
      <c r="AI130" s="6" t="str">
        <f>IFERROR(IF($F130="Total",
         SUMPRODUCT(
         INDEX(AI:AI, ROW()-COUNTIF($F$6:INDEX($F:$F, ROW()-1), $F129)) : INDEX(AI:AI, ROW()-1),
         INDEX(AB:AB, ROW()-COUNTIF($F$6:INDEX($F:$F, ROW()-1), $F129)) : INDEX(AB:AB, ROW()-1)
         )
         /SUM(INDEX(AB:AB, ROW()-COUNTIF($F$6:INDEX($F:$F, ROW()-1), $F129)) : INDEX(AB:AB, ROW()-1)),
           AVERAGEIFS(unit_details[Effective PSF],
          unit_details[Active Listing?],TRUE,
          unit_details[Property Name], $F130,
          unit_details[Beds], $L130,
          unit_details[Baths], $M130,
          unit_details[Partial Baths], IF(ISNUMBER($N130),$N130,""),
          unit_details[Sqft],$P130
)),"")</f>
        <v/>
      </c>
      <c r="AJ130" s="824" t="str">
        <f t="shared" si="15"/>
        <v/>
      </c>
      <c r="AK130" s="531" t="str">
        <f t="shared" si="16"/>
        <v/>
      </c>
      <c r="AL130" s="714" t="str">
        <f t="shared" si="17"/>
        <v/>
      </c>
      <c r="AM130" s="531" t="str">
        <f t="shared" si="18"/>
        <v/>
      </c>
      <c r="AN130" s="716" t="str">
        <f t="shared" si="19"/>
        <v/>
      </c>
    </row>
    <row r="131" spans="6:40" x14ac:dyDescent="0.2">
      <c r="F131" s="1" t="str">
        <f t="shared" si="12"/>
        <v/>
      </c>
      <c r="G131" s="713" t="str">
        <f t="shared" si="20"/>
        <v/>
      </c>
      <c r="H131" s="17" t="str">
        <f>IFERROR(VLOOKUP($G131,Table1[[Property]:[Exposure %]],4,0),"")</f>
        <v/>
      </c>
      <c r="I131" s="3" t="str">
        <f>IFERROR(VLOOKUP($G131,Table1[[Property]:[Exposure %]],6,0),"")</f>
        <v/>
      </c>
      <c r="J131" s="3" t="str">
        <f>IFERROR(VLOOKUP($G131,Table1[[Property]:[Exposure %]],7,0),"")</f>
        <v/>
      </c>
      <c r="K131"/>
      <c r="L131"/>
      <c r="M131"/>
      <c r="N131"/>
      <c r="O131"/>
      <c r="P131"/>
      <c r="Q131"/>
      <c r="R131" s="4" t="str">
        <f>IFERROR(VLOOKUP(IF(F131="Total",F130,F131),Table1[[Property]:['# Units]],7,0)*S131,"")</f>
        <v/>
      </c>
      <c r="S131" s="27" t="str">
        <f t="shared" si="13"/>
        <v/>
      </c>
      <c r="T131" s="531" t="str">
        <f>IFERROR(
 IF($F131="Total",
   SUMPRODUCT(
   INDEX(T:T, ROW()-COUNTIF($F$6:INDEX($F:$F, ROW()-1), $F130)) : INDEX(T:T, ROW()-1),
   INDEX(W:W, ROW()-COUNTIF($F$6:INDEX($F:$F, ROW()-1), $F130)) : INDEX(W:W, ROW()-1)
   )
   /SUM(INDEX(W:W, ROW()-COUNTIF($F$6:INDEX($F:$F, ROW()-1), $F130)) : INDEX(W:W, ROW()-1)),
   AVERAGEIFS(
     INDEX((unit_details[Asking Rent],unit_details[Asking PSF]),0,1,IF($U$3="Chunk Rent",1,2)),
     unit_details[Leased Date],"&gt;="&amp;($AM$2-T$5),
     unit_details[Leased Date],"&lt;"&amp;$AM$2,
     unit_details[Beds],$L131,
     unit_details[Baths],$M131,
     unit_details[Partial Baths],IF(ISNUMBER($N131),$N131,""),
     unit_details[Sqft],$P131,
     unit_details[Property Name],$F131)
 ),"")</f>
        <v/>
      </c>
      <c r="U131" s="552" t="str">
        <f>IFERROR(
 IF($F131="Total",
   SUMPRODUCT(
   INDEX(U:U, ROW()-COUNTIF($F$6:INDEX($F:$F, ROW()-1), $F130)) : INDEX(U:U, ROW()-1),
   INDEX(W:W, ROW()-COUNTIF($F$6:INDEX($F:$F, ROW()-1), $F130)) : INDEX(W:W, ROW()-1)
   )
   /SUM(INDEX(W:W, ROW()-COUNTIF($F$6:INDEX($F:$F, ROW()-1), $F130)) : INDEX(W:W, ROW()-1)),
   AVERAGEIFS(
     INDEX((unit_details[Effective Rent],unit_details[Effective PSF]),0,1,IF($U$3="Chunk Rent",1,2)),
     unit_details[Leased Date],"&gt;="&amp;($AM$2-T$5),
     unit_details[Leased Date],"&lt;"&amp;$AM$2,
     unit_details[Beds],$L131,
     unit_details[Baths],$M131,
     unit_details[Partial Baths],IF(ISNUMBER($N131),$N131,""),
     unit_details[Sqft],$P131,
     unit_details[Property Name],$F131)
 ),"")</f>
        <v/>
      </c>
      <c r="V131" s="27" t="str">
        <f t="shared" si="21"/>
        <v/>
      </c>
      <c r="W131" s="526">
        <f>IFERROR(
  IF($F131="Total",
    SUM(INDEX(W:W, ROW()-COUNTIF($F$6:INDEX($F:$F, ROW()-1), $F130)) : INDEX(W:W, ROW()-1)),
    COUNTIFS(
      unit_details[Leased Date], "&gt;="&amp;($AM$2-T$5),
      unit_details[Leased Date], "&lt;"&amp;$AM$2,
      unit_details[Beds], $L131,
      unit_details[Baths], $M131,
      unit_details[Partial Baths], IF(ISNUMBER($N131), $N131, ""),
      unit_details[Sqft],$P131,
      unit_details[Property Name], $F131
    )
  ),
"")</f>
        <v>0</v>
      </c>
      <c r="X131" s="531" t="str">
        <f>IFERROR(
 IF($F131="Total",
   SUMPRODUCT(
   INDEX(X:X, ROW()-COUNTIF($F$6:INDEX($F:$F, ROW()-1), $F130)) : INDEX(X:X, ROW()-1),
   INDEX(AA:AA, ROW()-COUNTIF($F$6:INDEX($F:$F, ROW()-1), $F130)) : INDEX(AA:AA, ROW()-1)
   )
   /SUM(INDEX(AA:AA, ROW()-COUNTIF($F$6:INDEX($F:$F, ROW()-1), $F130)) : INDEX(AA:AA, ROW()-1)),
   AVERAGEIFS(
     INDEX((unit_details[Asking Rent],unit_details[Asking PSF]),0,1,IF($U$3="Chunk Rent",1,2)),
     unit_details[Leased Date],"&gt;="&amp;($AM$2-X$5),
     unit_details[Leased Date],"&lt;"&amp;$AM$2,
     unit_details[Beds],$L131,
     unit_details[Baths],$M131,
     unit_details[Partial Baths],IF(ISNUMBER($N131),$N131,""),
     unit_details[Sqft],$P131,
     unit_details[Property Name],$F131)
 ),"")</f>
        <v/>
      </c>
      <c r="Y131" s="552" t="str">
        <f>IFERROR(
 IF($F131="Total",
   SUMPRODUCT(
   INDEX(Y:Y, ROW()-COUNTIF($F$6:INDEX($F:$F, ROW()-1), $F130)) : INDEX(Y:Y, ROW()-1),
   INDEX(AA:AA, ROW()-COUNTIF($F$6:INDEX($F:$F, ROW()-1), $F130)) : INDEX(AA:AA, ROW()-1)
   )
   /SUM(INDEX(AA:AA, ROW()-COUNTIF($F$6:INDEX($F:$F, ROW()-1), $F130)) : INDEX(AA:AA, ROW()-1)),
   AVERAGEIFS(
     INDEX((unit_details[Effective Rent],unit_details[Effective PSF]),0,1,IF($U$3="Chunk Rent",1,2)),
     unit_details[Leased Date],"&gt;="&amp;($AM$2-X$5),
     unit_details[Leased Date],"&lt;"&amp;$AM$2,
     unit_details[Beds],$L131,
     unit_details[Baths],$M131,
     unit_details[Partial Baths],IF(ISNUMBER($N131),$N131,""),
     unit_details[Sqft],$P131,
     unit_details[Property Name],$F131)
 ),"")</f>
        <v/>
      </c>
      <c r="Z131" s="27" t="str">
        <f t="shared" si="22"/>
        <v/>
      </c>
      <c r="AA131" s="526">
        <f>IFERROR(
  IF($F131="Total",
    SUM(INDEX(AA:AA, ROW()-COUNTIF($F$6:INDEX($F:$F, ROW()-1), $F130)) : INDEX(AA:AA, ROW()-1)),
    COUNTIFS(
      unit_details[Leased Date], "&gt;="&amp;($AM$2-X$5),
      unit_details[Leased Date], "&lt;"&amp;$AM$2,
      unit_details[Beds], $L131,
      unit_details[Baths], $M131,
      unit_details[Partial Baths], IF(ISNUMBER($N131), $N131, ""),
      unit_details[Sqft],$P131,
      unit_details[Property Name], $F131
    )
  ),
"")</f>
        <v>0</v>
      </c>
      <c r="AB131" s="290">
        <f>IF($F131="Total",
SUM(INDEX(AB:AB, ROW()-COUNTIF($F$6:INDEX($F:$F, ROW()-1), $F130)) : INDEX(AB:AB, ROW()-1)),
COUNTIFS(unit_details[Active Listing?],TRUE,
          unit_details[Property Name], $F131,
          unit_details[Beds], $L131,
          unit_details[Baths], $M131,
          unit_details[Partial Baths],IF(ISNUMBER($N131),$N131,""),
          unit_details[Sqft],$P131))</f>
        <v>0</v>
      </c>
      <c r="AC131" s="27" t="str">
        <f t="shared" si="14"/>
        <v/>
      </c>
      <c r="AD131" s="293" t="str">
        <f>IFERROR(IF(AE131="","",IF($F131="Total",
SUMPRODUCT(
   INDEX(AD:AD, ROW()-COUNTIF($F$6:INDEX($F:$F, ROW()-1), $F130)) : INDEX(AD:AD, ROW()-1),
   INDEX(AB:AB, ROW()-COUNTIF($F$6:INDEX($F:$F, ROW()-1), $F130)) : INDEX(AB:AB, ROW()-1)
   )
   /SUM(INDEX(AB:AB, ROW()-COUNTIF($F$6:INDEX($F:$F, ROW()-1), $F130)) : INDEX(AB:AB, ROW()-1)),
          _xlfn.MINIFS(unit_details[Asking Rent],
          unit_details[Active Listing?],TRUE,
          unit_details[Property Name], $F131,
          unit_details[Beds], $L131,
          unit_details[Baths], $M131,
          unit_details[Partial Baths], IF(ISNUMBER($N131),$N131,""),
          unit_details[Sqft],$P131
))),"")</f>
        <v/>
      </c>
      <c r="AE131" s="5" t="str">
        <f>IFERROR(IF($F131="Total",
          SUMPRODUCT(
   INDEX(AE:AE, ROW()-COUNTIF($F$6:INDEX($F:$F, ROW()-1), $F130)) : INDEX(AE:AE, ROW()-1),
   INDEX(AB:AB, ROW()-COUNTIF($F$6:INDEX($F:$F, ROW()-1), $F130)) : INDEX(AB:AB, ROW()-1)
   )
   /SUM(INDEX(AB:AB, ROW()-COUNTIF($F$6:INDEX($F:$F, ROW()-1), $F130)) : INDEX(AB:AB, ROW()-1)),
          AVERAGEIFS(unit_details[Asking Rent],
          unit_details[Active Listing?],TRUE,
          unit_details[Property Name], $F131,
          unit_details[Beds], $L131,
          unit_details[Baths], $M131,
          unit_details[Partial Baths], IF(ISNUMBER($N131),$N131,""),
          unit_details[Sqft],$P131
)),"")</f>
        <v/>
      </c>
      <c r="AF131" s="5" t="str">
        <f>IFERROR(IF(AE131="","",IF($F131="Total",
SUMPRODUCT(
   INDEX(AF:AF, ROW()-COUNTIF($F$6:INDEX($F:$F, ROW()-1), $F130)) : INDEX(AF:AF, ROW()-1),
   INDEX(AB:AB, ROW()-COUNTIF($F$6:INDEX($F:$F, ROW()-1), $F130)) : INDEX(AB:AB, ROW()-1)
   )
   /SUM(INDEX(AB:AB, ROW()-COUNTIF($F$6:INDEX($F:$F, ROW()-1), $F130)) : INDEX(AB:AB, ROW()-1)),
           _xlfn.MAXIFS(unit_details[Asking Rent],
          unit_details[Active Listing?],TRUE,
          unit_details[Property Name], $F131,
          unit_details[Beds], $L131,
          unit_details[Baths], $M131,
          unit_details[Partial Baths], IF(ISNUMBER($N131),$N131,""),
          unit_details[Sqft],$P131
))),"")</f>
        <v/>
      </c>
      <c r="AG131" s="6" t="str">
        <f>IFERROR(IF($F131="Total",
         SUMPRODUCT(
         INDEX(AG:AG, ROW()-COUNTIF($F$6:INDEX($F:$F, ROW()-1), $F130)) : INDEX(AG:AG, ROW()-1),
         INDEX(AB:AB, ROW()-COUNTIF($F$6:INDEX($F:$F, ROW()-1), $F130)) : INDEX(AB:AB, ROW()-1)
         )
         /SUM(INDEX(AB:AB, ROW()-COUNTIF($F$6:INDEX($F:$F, ROW()-1), $F130)) : INDEX(AB:AB, ROW()-1)),
          AVERAGEIFS(unit_details[Asking PSF],
          unit_details[Active Listing?],TRUE,
          unit_details[Property Name], $F131,
          unit_details[Beds], $L131,
          unit_details[Baths], $M131,
          unit_details[Partial Baths], IF(ISNUMBER($N131),$N131,""),
          unit_details[Sqft],$P131
)),"")</f>
        <v/>
      </c>
      <c r="AH131" s="293" t="str">
        <f>IFERROR(IF($F131="Total",
         SUMPRODUCT(
         INDEX(AH:AH, ROW()-COUNTIF($F$6:INDEX($F:$F, ROW()-1), $F130)) : INDEX(AH:AH, ROW()-1),
         INDEX(AB:AB, ROW()-COUNTIF($F$6:INDEX($F:$F, ROW()-1), $F130)) : INDEX(AB:AB, ROW()-1)
         )
         /SUM(INDEX(AB:AB, ROW()-COUNTIF($F$6:INDEX($F:$F, ROW()-1), $F130)) : INDEX(AB:AB, ROW()-1)),
          AVERAGEIFS(unit_details[Effective Rent],
          unit_details[Active Listing?],TRUE,
          unit_details[Property Name], $F131,
          unit_details[Beds], $L131,
          unit_details[Baths], $M131,
          unit_details[Partial Baths], IF(ISNUMBER($N131),$N131,""),
          unit_details[Sqft],$P131
)),"")</f>
        <v/>
      </c>
      <c r="AI131" s="6" t="str">
        <f>IFERROR(IF($F131="Total",
         SUMPRODUCT(
         INDEX(AI:AI, ROW()-COUNTIF($F$6:INDEX($F:$F, ROW()-1), $F130)) : INDEX(AI:AI, ROW()-1),
         INDEX(AB:AB, ROW()-COUNTIF($F$6:INDEX($F:$F, ROW()-1), $F130)) : INDEX(AB:AB, ROW()-1)
         )
         /SUM(INDEX(AB:AB, ROW()-COUNTIF($F$6:INDEX($F:$F, ROW()-1), $F130)) : INDEX(AB:AB, ROW()-1)),
           AVERAGEIFS(unit_details[Effective PSF],
          unit_details[Active Listing?],TRUE,
          unit_details[Property Name], $F131,
          unit_details[Beds], $L131,
          unit_details[Baths], $M131,
          unit_details[Partial Baths], IF(ISNUMBER($N131),$N131,""),
          unit_details[Sqft],$P131
)),"")</f>
        <v/>
      </c>
      <c r="AJ131" s="824" t="str">
        <f t="shared" si="15"/>
        <v/>
      </c>
      <c r="AK131" s="531" t="str">
        <f t="shared" si="16"/>
        <v/>
      </c>
      <c r="AL131" s="714" t="str">
        <f t="shared" si="17"/>
        <v/>
      </c>
      <c r="AM131" s="531" t="str">
        <f t="shared" si="18"/>
        <v/>
      </c>
      <c r="AN131" s="716" t="str">
        <f t="shared" si="19"/>
        <v/>
      </c>
    </row>
    <row r="132" spans="6:40" x14ac:dyDescent="0.2">
      <c r="F132" s="1" t="str">
        <f t="shared" si="12"/>
        <v/>
      </c>
      <c r="G132" s="713" t="str">
        <f t="shared" si="20"/>
        <v/>
      </c>
      <c r="H132" s="17" t="str">
        <f>IFERROR(VLOOKUP($G132,Table1[[Property]:[Exposure %]],4,0),"")</f>
        <v/>
      </c>
      <c r="I132" s="3" t="str">
        <f>IFERROR(VLOOKUP($G132,Table1[[Property]:[Exposure %]],6,0),"")</f>
        <v/>
      </c>
      <c r="J132" s="3" t="str">
        <f>IFERROR(VLOOKUP($G132,Table1[[Property]:[Exposure %]],7,0),"")</f>
        <v/>
      </c>
      <c r="K132"/>
      <c r="L132"/>
      <c r="M132"/>
      <c r="N132"/>
      <c r="O132"/>
      <c r="P132"/>
      <c r="Q132"/>
      <c r="R132" s="4" t="str">
        <f>IFERROR(VLOOKUP(IF(F132="Total",F131,F132),Table1[[Property]:['# Units]],7,0)*S132,"")</f>
        <v/>
      </c>
      <c r="S132" s="27" t="str">
        <f t="shared" si="13"/>
        <v/>
      </c>
      <c r="T132" s="531" t="str">
        <f>IFERROR(
 IF($F132="Total",
   SUMPRODUCT(
   INDEX(T:T, ROW()-COUNTIF($F$6:INDEX($F:$F, ROW()-1), $F131)) : INDEX(T:T, ROW()-1),
   INDEX(W:W, ROW()-COUNTIF($F$6:INDEX($F:$F, ROW()-1), $F131)) : INDEX(W:W, ROW()-1)
   )
   /SUM(INDEX(W:W, ROW()-COUNTIF($F$6:INDEX($F:$F, ROW()-1), $F131)) : INDEX(W:W, ROW()-1)),
   AVERAGEIFS(
     INDEX((unit_details[Asking Rent],unit_details[Asking PSF]),0,1,IF($U$3="Chunk Rent",1,2)),
     unit_details[Leased Date],"&gt;="&amp;($AM$2-T$5),
     unit_details[Leased Date],"&lt;"&amp;$AM$2,
     unit_details[Beds],$L132,
     unit_details[Baths],$M132,
     unit_details[Partial Baths],IF(ISNUMBER($N132),$N132,""),
     unit_details[Sqft],$P132,
     unit_details[Property Name],$F132)
 ),"")</f>
        <v/>
      </c>
      <c r="U132" s="552" t="str">
        <f>IFERROR(
 IF($F132="Total",
   SUMPRODUCT(
   INDEX(U:U, ROW()-COUNTIF($F$6:INDEX($F:$F, ROW()-1), $F131)) : INDEX(U:U, ROW()-1),
   INDEX(W:W, ROW()-COUNTIF($F$6:INDEX($F:$F, ROW()-1), $F131)) : INDEX(W:W, ROW()-1)
   )
   /SUM(INDEX(W:W, ROW()-COUNTIF($F$6:INDEX($F:$F, ROW()-1), $F131)) : INDEX(W:W, ROW()-1)),
   AVERAGEIFS(
     INDEX((unit_details[Effective Rent],unit_details[Effective PSF]),0,1,IF($U$3="Chunk Rent",1,2)),
     unit_details[Leased Date],"&gt;="&amp;($AM$2-T$5),
     unit_details[Leased Date],"&lt;"&amp;$AM$2,
     unit_details[Beds],$L132,
     unit_details[Baths],$M132,
     unit_details[Partial Baths],IF(ISNUMBER($N132),$N132,""),
     unit_details[Sqft],$P132,
     unit_details[Property Name],$F132)
 ),"")</f>
        <v/>
      </c>
      <c r="V132" s="27" t="str">
        <f t="shared" si="21"/>
        <v/>
      </c>
      <c r="W132" s="526">
        <f>IFERROR(
  IF($F132="Total",
    SUM(INDEX(W:W, ROW()-COUNTIF($F$6:INDEX($F:$F, ROW()-1), $F131)) : INDEX(W:W, ROW()-1)),
    COUNTIFS(
      unit_details[Leased Date], "&gt;="&amp;($AM$2-T$5),
      unit_details[Leased Date], "&lt;"&amp;$AM$2,
      unit_details[Beds], $L132,
      unit_details[Baths], $M132,
      unit_details[Partial Baths], IF(ISNUMBER($N132), $N132, ""),
      unit_details[Sqft],$P132,
      unit_details[Property Name], $F132
    )
  ),
"")</f>
        <v>0</v>
      </c>
      <c r="X132" s="531" t="str">
        <f>IFERROR(
 IF($F132="Total",
   SUMPRODUCT(
   INDEX(X:X, ROW()-COUNTIF($F$6:INDEX($F:$F, ROW()-1), $F131)) : INDEX(X:X, ROW()-1),
   INDEX(AA:AA, ROW()-COUNTIF($F$6:INDEX($F:$F, ROW()-1), $F131)) : INDEX(AA:AA, ROW()-1)
   )
   /SUM(INDEX(AA:AA, ROW()-COUNTIF($F$6:INDEX($F:$F, ROW()-1), $F131)) : INDEX(AA:AA, ROW()-1)),
   AVERAGEIFS(
     INDEX((unit_details[Asking Rent],unit_details[Asking PSF]),0,1,IF($U$3="Chunk Rent",1,2)),
     unit_details[Leased Date],"&gt;="&amp;($AM$2-X$5),
     unit_details[Leased Date],"&lt;"&amp;$AM$2,
     unit_details[Beds],$L132,
     unit_details[Baths],$M132,
     unit_details[Partial Baths],IF(ISNUMBER($N132),$N132,""),
     unit_details[Sqft],$P132,
     unit_details[Property Name],$F132)
 ),"")</f>
        <v/>
      </c>
      <c r="Y132" s="552" t="str">
        <f>IFERROR(
 IF($F132="Total",
   SUMPRODUCT(
   INDEX(Y:Y, ROW()-COUNTIF($F$6:INDEX($F:$F, ROW()-1), $F131)) : INDEX(Y:Y, ROW()-1),
   INDEX(AA:AA, ROW()-COUNTIF($F$6:INDEX($F:$F, ROW()-1), $F131)) : INDEX(AA:AA, ROW()-1)
   )
   /SUM(INDEX(AA:AA, ROW()-COUNTIF($F$6:INDEX($F:$F, ROW()-1), $F131)) : INDEX(AA:AA, ROW()-1)),
   AVERAGEIFS(
     INDEX((unit_details[Effective Rent],unit_details[Effective PSF]),0,1,IF($U$3="Chunk Rent",1,2)),
     unit_details[Leased Date],"&gt;="&amp;($AM$2-X$5),
     unit_details[Leased Date],"&lt;"&amp;$AM$2,
     unit_details[Beds],$L132,
     unit_details[Baths],$M132,
     unit_details[Partial Baths],IF(ISNUMBER($N132),$N132,""),
     unit_details[Sqft],$P132,
     unit_details[Property Name],$F132)
 ),"")</f>
        <v/>
      </c>
      <c r="Z132" s="27" t="str">
        <f t="shared" si="22"/>
        <v/>
      </c>
      <c r="AA132" s="526">
        <f>IFERROR(
  IF($F132="Total",
    SUM(INDEX(AA:AA, ROW()-COUNTIF($F$6:INDEX($F:$F, ROW()-1), $F131)) : INDEX(AA:AA, ROW()-1)),
    COUNTIFS(
      unit_details[Leased Date], "&gt;="&amp;($AM$2-X$5),
      unit_details[Leased Date], "&lt;"&amp;$AM$2,
      unit_details[Beds], $L132,
      unit_details[Baths], $M132,
      unit_details[Partial Baths], IF(ISNUMBER($N132), $N132, ""),
      unit_details[Sqft],$P132,
      unit_details[Property Name], $F132
    )
  ),
"")</f>
        <v>0</v>
      </c>
      <c r="AB132" s="290">
        <f>IF($F132="Total",
SUM(INDEX(AB:AB, ROW()-COUNTIF($F$6:INDEX($F:$F, ROW()-1), $F131)) : INDEX(AB:AB, ROW()-1)),
COUNTIFS(unit_details[Active Listing?],TRUE,
          unit_details[Property Name], $F132,
          unit_details[Beds], $L132,
          unit_details[Baths], $M132,
          unit_details[Partial Baths],IF(ISNUMBER($N132),$N132,""),
          unit_details[Sqft],$P132))</f>
        <v>0</v>
      </c>
      <c r="AC132" s="27" t="str">
        <f t="shared" si="14"/>
        <v/>
      </c>
      <c r="AD132" s="293" t="str">
        <f>IFERROR(IF(AE132="","",IF($F132="Total",
SUMPRODUCT(
   INDEX(AD:AD, ROW()-COUNTIF($F$6:INDEX($F:$F, ROW()-1), $F131)) : INDEX(AD:AD, ROW()-1),
   INDEX(AB:AB, ROW()-COUNTIF($F$6:INDEX($F:$F, ROW()-1), $F131)) : INDEX(AB:AB, ROW()-1)
   )
   /SUM(INDEX(AB:AB, ROW()-COUNTIF($F$6:INDEX($F:$F, ROW()-1), $F131)) : INDEX(AB:AB, ROW()-1)),
          _xlfn.MINIFS(unit_details[Asking Rent],
          unit_details[Active Listing?],TRUE,
          unit_details[Property Name], $F132,
          unit_details[Beds], $L132,
          unit_details[Baths], $M132,
          unit_details[Partial Baths], IF(ISNUMBER($N132),$N132,""),
          unit_details[Sqft],$P132
))),"")</f>
        <v/>
      </c>
      <c r="AE132" s="5" t="str">
        <f>IFERROR(IF($F132="Total",
          SUMPRODUCT(
   INDEX(AE:AE, ROW()-COUNTIF($F$6:INDEX($F:$F, ROW()-1), $F131)) : INDEX(AE:AE, ROW()-1),
   INDEX(AB:AB, ROW()-COUNTIF($F$6:INDEX($F:$F, ROW()-1), $F131)) : INDEX(AB:AB, ROW()-1)
   )
   /SUM(INDEX(AB:AB, ROW()-COUNTIF($F$6:INDEX($F:$F, ROW()-1), $F131)) : INDEX(AB:AB, ROW()-1)),
          AVERAGEIFS(unit_details[Asking Rent],
          unit_details[Active Listing?],TRUE,
          unit_details[Property Name], $F132,
          unit_details[Beds], $L132,
          unit_details[Baths], $M132,
          unit_details[Partial Baths], IF(ISNUMBER($N132),$N132,""),
          unit_details[Sqft],$P132
)),"")</f>
        <v/>
      </c>
      <c r="AF132" s="5" t="str">
        <f>IFERROR(IF(AE132="","",IF($F132="Total",
SUMPRODUCT(
   INDEX(AF:AF, ROW()-COUNTIF($F$6:INDEX($F:$F, ROW()-1), $F131)) : INDEX(AF:AF, ROW()-1),
   INDEX(AB:AB, ROW()-COUNTIF($F$6:INDEX($F:$F, ROW()-1), $F131)) : INDEX(AB:AB, ROW()-1)
   )
   /SUM(INDEX(AB:AB, ROW()-COUNTIF($F$6:INDEX($F:$F, ROW()-1), $F131)) : INDEX(AB:AB, ROW()-1)),
           _xlfn.MAXIFS(unit_details[Asking Rent],
          unit_details[Active Listing?],TRUE,
          unit_details[Property Name], $F132,
          unit_details[Beds], $L132,
          unit_details[Baths], $M132,
          unit_details[Partial Baths], IF(ISNUMBER($N132),$N132,""),
          unit_details[Sqft],$P132
))),"")</f>
        <v/>
      </c>
      <c r="AG132" s="6" t="str">
        <f>IFERROR(IF($F132="Total",
         SUMPRODUCT(
         INDEX(AG:AG, ROW()-COUNTIF($F$6:INDEX($F:$F, ROW()-1), $F131)) : INDEX(AG:AG, ROW()-1),
         INDEX(AB:AB, ROW()-COUNTIF($F$6:INDEX($F:$F, ROW()-1), $F131)) : INDEX(AB:AB, ROW()-1)
         )
         /SUM(INDEX(AB:AB, ROW()-COUNTIF($F$6:INDEX($F:$F, ROW()-1), $F131)) : INDEX(AB:AB, ROW()-1)),
          AVERAGEIFS(unit_details[Asking PSF],
          unit_details[Active Listing?],TRUE,
          unit_details[Property Name], $F132,
          unit_details[Beds], $L132,
          unit_details[Baths], $M132,
          unit_details[Partial Baths], IF(ISNUMBER($N132),$N132,""),
          unit_details[Sqft],$P132
)),"")</f>
        <v/>
      </c>
      <c r="AH132" s="293" t="str">
        <f>IFERROR(IF($F132="Total",
         SUMPRODUCT(
         INDEX(AH:AH, ROW()-COUNTIF($F$6:INDEX($F:$F, ROW()-1), $F131)) : INDEX(AH:AH, ROW()-1),
         INDEX(AB:AB, ROW()-COUNTIF($F$6:INDEX($F:$F, ROW()-1), $F131)) : INDEX(AB:AB, ROW()-1)
         )
         /SUM(INDEX(AB:AB, ROW()-COUNTIF($F$6:INDEX($F:$F, ROW()-1), $F131)) : INDEX(AB:AB, ROW()-1)),
          AVERAGEIFS(unit_details[Effective Rent],
          unit_details[Active Listing?],TRUE,
          unit_details[Property Name], $F132,
          unit_details[Beds], $L132,
          unit_details[Baths], $M132,
          unit_details[Partial Baths], IF(ISNUMBER($N132),$N132,""),
          unit_details[Sqft],$P132
)),"")</f>
        <v/>
      </c>
      <c r="AI132" s="6" t="str">
        <f>IFERROR(IF($F132="Total",
         SUMPRODUCT(
         INDEX(AI:AI, ROW()-COUNTIF($F$6:INDEX($F:$F, ROW()-1), $F131)) : INDEX(AI:AI, ROW()-1),
         INDEX(AB:AB, ROW()-COUNTIF($F$6:INDEX($F:$F, ROW()-1), $F131)) : INDEX(AB:AB, ROW()-1)
         )
         /SUM(INDEX(AB:AB, ROW()-COUNTIF($F$6:INDEX($F:$F, ROW()-1), $F131)) : INDEX(AB:AB, ROW()-1)),
           AVERAGEIFS(unit_details[Effective PSF],
          unit_details[Active Listing?],TRUE,
          unit_details[Property Name], $F132,
          unit_details[Beds], $L132,
          unit_details[Baths], $M132,
          unit_details[Partial Baths], IF(ISNUMBER($N132),$N132,""),
          unit_details[Sqft],$P132
)),"")</f>
        <v/>
      </c>
      <c r="AJ132" s="824" t="str">
        <f t="shared" si="15"/>
        <v/>
      </c>
      <c r="AK132" s="531" t="str">
        <f t="shared" si="16"/>
        <v/>
      </c>
      <c r="AL132" s="714" t="str">
        <f t="shared" si="17"/>
        <v/>
      </c>
      <c r="AM132" s="531" t="str">
        <f t="shared" si="18"/>
        <v/>
      </c>
      <c r="AN132" s="716" t="str">
        <f t="shared" si="19"/>
        <v/>
      </c>
    </row>
    <row r="133" spans="6:40" x14ac:dyDescent="0.2">
      <c r="F133" s="1" t="str">
        <f t="shared" si="12"/>
        <v/>
      </c>
      <c r="G133" s="713" t="str">
        <f t="shared" si="20"/>
        <v/>
      </c>
      <c r="H133" s="17" t="str">
        <f>IFERROR(VLOOKUP($G133,Table1[[Property]:[Exposure %]],4,0),"")</f>
        <v/>
      </c>
      <c r="I133" s="3" t="str">
        <f>IFERROR(VLOOKUP($G133,Table1[[Property]:[Exposure %]],6,0),"")</f>
        <v/>
      </c>
      <c r="J133" s="3" t="str">
        <f>IFERROR(VLOOKUP($G133,Table1[[Property]:[Exposure %]],7,0),"")</f>
        <v/>
      </c>
      <c r="K133"/>
      <c r="L133"/>
      <c r="M133"/>
      <c r="N133"/>
      <c r="O133"/>
      <c r="P133"/>
      <c r="Q133"/>
      <c r="R133" s="4" t="str">
        <f>IFERROR(VLOOKUP(IF(F133="Total",F132,F133),Table1[[Property]:['# Units]],7,0)*S133,"")</f>
        <v/>
      </c>
      <c r="S133" s="27" t="str">
        <f t="shared" si="13"/>
        <v/>
      </c>
      <c r="T133" s="531" t="str">
        <f>IFERROR(
 IF($F133="Total",
   SUMPRODUCT(
   INDEX(T:T, ROW()-COUNTIF($F$6:INDEX($F:$F, ROW()-1), $F132)) : INDEX(T:T, ROW()-1),
   INDEX(W:W, ROW()-COUNTIF($F$6:INDEX($F:$F, ROW()-1), $F132)) : INDEX(W:W, ROW()-1)
   )
   /SUM(INDEX(W:W, ROW()-COUNTIF($F$6:INDEX($F:$F, ROW()-1), $F132)) : INDEX(W:W, ROW()-1)),
   AVERAGEIFS(
     INDEX((unit_details[Asking Rent],unit_details[Asking PSF]),0,1,IF($U$3="Chunk Rent",1,2)),
     unit_details[Leased Date],"&gt;="&amp;($AM$2-T$5),
     unit_details[Leased Date],"&lt;"&amp;$AM$2,
     unit_details[Beds],$L133,
     unit_details[Baths],$M133,
     unit_details[Partial Baths],IF(ISNUMBER($N133),$N133,""),
     unit_details[Sqft],$P133,
     unit_details[Property Name],$F133)
 ),"")</f>
        <v/>
      </c>
      <c r="U133" s="552" t="str">
        <f>IFERROR(
 IF($F133="Total",
   SUMPRODUCT(
   INDEX(U:U, ROW()-COUNTIF($F$6:INDEX($F:$F, ROW()-1), $F132)) : INDEX(U:U, ROW()-1),
   INDEX(W:W, ROW()-COUNTIF($F$6:INDEX($F:$F, ROW()-1), $F132)) : INDEX(W:W, ROW()-1)
   )
   /SUM(INDEX(W:W, ROW()-COUNTIF($F$6:INDEX($F:$F, ROW()-1), $F132)) : INDEX(W:W, ROW()-1)),
   AVERAGEIFS(
     INDEX((unit_details[Effective Rent],unit_details[Effective PSF]),0,1,IF($U$3="Chunk Rent",1,2)),
     unit_details[Leased Date],"&gt;="&amp;($AM$2-T$5),
     unit_details[Leased Date],"&lt;"&amp;$AM$2,
     unit_details[Beds],$L133,
     unit_details[Baths],$M133,
     unit_details[Partial Baths],IF(ISNUMBER($N133),$N133,""),
     unit_details[Sqft],$P133,
     unit_details[Property Name],$F133)
 ),"")</f>
        <v/>
      </c>
      <c r="V133" s="27" t="str">
        <f t="shared" si="21"/>
        <v/>
      </c>
      <c r="W133" s="526">
        <f>IFERROR(
  IF($F133="Total",
    SUM(INDEX(W:W, ROW()-COUNTIF($F$6:INDEX($F:$F, ROW()-1), $F132)) : INDEX(W:W, ROW()-1)),
    COUNTIFS(
      unit_details[Leased Date], "&gt;="&amp;($AM$2-T$5),
      unit_details[Leased Date], "&lt;"&amp;$AM$2,
      unit_details[Beds], $L133,
      unit_details[Baths], $M133,
      unit_details[Partial Baths], IF(ISNUMBER($N133), $N133, ""),
      unit_details[Sqft],$P133,
      unit_details[Property Name], $F133
    )
  ),
"")</f>
        <v>0</v>
      </c>
      <c r="X133" s="531" t="str">
        <f>IFERROR(
 IF($F133="Total",
   SUMPRODUCT(
   INDEX(X:X, ROW()-COUNTIF($F$6:INDEX($F:$F, ROW()-1), $F132)) : INDEX(X:X, ROW()-1),
   INDEX(AA:AA, ROW()-COUNTIF($F$6:INDEX($F:$F, ROW()-1), $F132)) : INDEX(AA:AA, ROW()-1)
   )
   /SUM(INDEX(AA:AA, ROW()-COUNTIF($F$6:INDEX($F:$F, ROW()-1), $F132)) : INDEX(AA:AA, ROW()-1)),
   AVERAGEIFS(
     INDEX((unit_details[Asking Rent],unit_details[Asking PSF]),0,1,IF($U$3="Chunk Rent",1,2)),
     unit_details[Leased Date],"&gt;="&amp;($AM$2-X$5),
     unit_details[Leased Date],"&lt;"&amp;$AM$2,
     unit_details[Beds],$L133,
     unit_details[Baths],$M133,
     unit_details[Partial Baths],IF(ISNUMBER($N133),$N133,""),
     unit_details[Sqft],$P133,
     unit_details[Property Name],$F133)
 ),"")</f>
        <v/>
      </c>
      <c r="Y133" s="552" t="str">
        <f>IFERROR(
 IF($F133="Total",
   SUMPRODUCT(
   INDEX(Y:Y, ROW()-COUNTIF($F$6:INDEX($F:$F, ROW()-1), $F132)) : INDEX(Y:Y, ROW()-1),
   INDEX(AA:AA, ROW()-COUNTIF($F$6:INDEX($F:$F, ROW()-1), $F132)) : INDEX(AA:AA, ROW()-1)
   )
   /SUM(INDEX(AA:AA, ROW()-COUNTIF($F$6:INDEX($F:$F, ROW()-1), $F132)) : INDEX(AA:AA, ROW()-1)),
   AVERAGEIFS(
     INDEX((unit_details[Effective Rent],unit_details[Effective PSF]),0,1,IF($U$3="Chunk Rent",1,2)),
     unit_details[Leased Date],"&gt;="&amp;($AM$2-X$5),
     unit_details[Leased Date],"&lt;"&amp;$AM$2,
     unit_details[Beds],$L133,
     unit_details[Baths],$M133,
     unit_details[Partial Baths],IF(ISNUMBER($N133),$N133,""),
     unit_details[Sqft],$P133,
     unit_details[Property Name],$F133)
 ),"")</f>
        <v/>
      </c>
      <c r="Z133" s="27" t="str">
        <f t="shared" si="22"/>
        <v/>
      </c>
      <c r="AA133" s="526">
        <f>IFERROR(
  IF($F133="Total",
    SUM(INDEX(AA:AA, ROW()-COUNTIF($F$6:INDEX($F:$F, ROW()-1), $F132)) : INDEX(AA:AA, ROW()-1)),
    COUNTIFS(
      unit_details[Leased Date], "&gt;="&amp;($AM$2-X$5),
      unit_details[Leased Date], "&lt;"&amp;$AM$2,
      unit_details[Beds], $L133,
      unit_details[Baths], $M133,
      unit_details[Partial Baths], IF(ISNUMBER($N133), $N133, ""),
      unit_details[Sqft],$P133,
      unit_details[Property Name], $F133
    )
  ),
"")</f>
        <v>0</v>
      </c>
      <c r="AB133" s="290">
        <f>IF($F133="Total",
SUM(INDEX(AB:AB, ROW()-COUNTIF($F$6:INDEX($F:$F, ROW()-1), $F132)) : INDEX(AB:AB, ROW()-1)),
COUNTIFS(unit_details[Active Listing?],TRUE,
          unit_details[Property Name], $F133,
          unit_details[Beds], $L133,
          unit_details[Baths], $M133,
          unit_details[Partial Baths],IF(ISNUMBER($N133),$N133,""),
          unit_details[Sqft],$P133))</f>
        <v>0</v>
      </c>
      <c r="AC133" s="27" t="str">
        <f t="shared" si="14"/>
        <v/>
      </c>
      <c r="AD133" s="293" t="str">
        <f>IFERROR(IF(AE133="","",IF($F133="Total",
SUMPRODUCT(
   INDEX(AD:AD, ROW()-COUNTIF($F$6:INDEX($F:$F, ROW()-1), $F132)) : INDEX(AD:AD, ROW()-1),
   INDEX(AB:AB, ROW()-COUNTIF($F$6:INDEX($F:$F, ROW()-1), $F132)) : INDEX(AB:AB, ROW()-1)
   )
   /SUM(INDEX(AB:AB, ROW()-COUNTIF($F$6:INDEX($F:$F, ROW()-1), $F132)) : INDEX(AB:AB, ROW()-1)),
          _xlfn.MINIFS(unit_details[Asking Rent],
          unit_details[Active Listing?],TRUE,
          unit_details[Property Name], $F133,
          unit_details[Beds], $L133,
          unit_details[Baths], $M133,
          unit_details[Partial Baths], IF(ISNUMBER($N133),$N133,""),
          unit_details[Sqft],$P133
))),"")</f>
        <v/>
      </c>
      <c r="AE133" s="5" t="str">
        <f>IFERROR(IF($F133="Total",
          SUMPRODUCT(
   INDEX(AE:AE, ROW()-COUNTIF($F$6:INDEX($F:$F, ROW()-1), $F132)) : INDEX(AE:AE, ROW()-1),
   INDEX(AB:AB, ROW()-COUNTIF($F$6:INDEX($F:$F, ROW()-1), $F132)) : INDEX(AB:AB, ROW()-1)
   )
   /SUM(INDEX(AB:AB, ROW()-COUNTIF($F$6:INDEX($F:$F, ROW()-1), $F132)) : INDEX(AB:AB, ROW()-1)),
          AVERAGEIFS(unit_details[Asking Rent],
          unit_details[Active Listing?],TRUE,
          unit_details[Property Name], $F133,
          unit_details[Beds], $L133,
          unit_details[Baths], $M133,
          unit_details[Partial Baths], IF(ISNUMBER($N133),$N133,""),
          unit_details[Sqft],$P133
)),"")</f>
        <v/>
      </c>
      <c r="AF133" s="5" t="str">
        <f>IFERROR(IF(AE133="","",IF($F133="Total",
SUMPRODUCT(
   INDEX(AF:AF, ROW()-COUNTIF($F$6:INDEX($F:$F, ROW()-1), $F132)) : INDEX(AF:AF, ROW()-1),
   INDEX(AB:AB, ROW()-COUNTIF($F$6:INDEX($F:$F, ROW()-1), $F132)) : INDEX(AB:AB, ROW()-1)
   )
   /SUM(INDEX(AB:AB, ROW()-COUNTIF($F$6:INDEX($F:$F, ROW()-1), $F132)) : INDEX(AB:AB, ROW()-1)),
           _xlfn.MAXIFS(unit_details[Asking Rent],
          unit_details[Active Listing?],TRUE,
          unit_details[Property Name], $F133,
          unit_details[Beds], $L133,
          unit_details[Baths], $M133,
          unit_details[Partial Baths], IF(ISNUMBER($N133),$N133,""),
          unit_details[Sqft],$P133
))),"")</f>
        <v/>
      </c>
      <c r="AG133" s="6" t="str">
        <f>IFERROR(IF($F133="Total",
         SUMPRODUCT(
         INDEX(AG:AG, ROW()-COUNTIF($F$6:INDEX($F:$F, ROW()-1), $F132)) : INDEX(AG:AG, ROW()-1),
         INDEX(AB:AB, ROW()-COUNTIF($F$6:INDEX($F:$F, ROW()-1), $F132)) : INDEX(AB:AB, ROW()-1)
         )
         /SUM(INDEX(AB:AB, ROW()-COUNTIF($F$6:INDEX($F:$F, ROW()-1), $F132)) : INDEX(AB:AB, ROW()-1)),
          AVERAGEIFS(unit_details[Asking PSF],
          unit_details[Active Listing?],TRUE,
          unit_details[Property Name], $F133,
          unit_details[Beds], $L133,
          unit_details[Baths], $M133,
          unit_details[Partial Baths], IF(ISNUMBER($N133),$N133,""),
          unit_details[Sqft],$P133
)),"")</f>
        <v/>
      </c>
      <c r="AH133" s="293" t="str">
        <f>IFERROR(IF($F133="Total",
         SUMPRODUCT(
         INDEX(AH:AH, ROW()-COUNTIF($F$6:INDEX($F:$F, ROW()-1), $F132)) : INDEX(AH:AH, ROW()-1),
         INDEX(AB:AB, ROW()-COUNTIF($F$6:INDEX($F:$F, ROW()-1), $F132)) : INDEX(AB:AB, ROW()-1)
         )
         /SUM(INDEX(AB:AB, ROW()-COUNTIF($F$6:INDEX($F:$F, ROW()-1), $F132)) : INDEX(AB:AB, ROW()-1)),
          AVERAGEIFS(unit_details[Effective Rent],
          unit_details[Active Listing?],TRUE,
          unit_details[Property Name], $F133,
          unit_details[Beds], $L133,
          unit_details[Baths], $M133,
          unit_details[Partial Baths], IF(ISNUMBER($N133),$N133,""),
          unit_details[Sqft],$P133
)),"")</f>
        <v/>
      </c>
      <c r="AI133" s="6" t="str">
        <f>IFERROR(IF($F133="Total",
         SUMPRODUCT(
         INDEX(AI:AI, ROW()-COUNTIF($F$6:INDEX($F:$F, ROW()-1), $F132)) : INDEX(AI:AI, ROW()-1),
         INDEX(AB:AB, ROW()-COUNTIF($F$6:INDEX($F:$F, ROW()-1), $F132)) : INDEX(AB:AB, ROW()-1)
         )
         /SUM(INDEX(AB:AB, ROW()-COUNTIF($F$6:INDEX($F:$F, ROW()-1), $F132)) : INDEX(AB:AB, ROW()-1)),
           AVERAGEIFS(unit_details[Effective PSF],
          unit_details[Active Listing?],TRUE,
          unit_details[Property Name], $F133,
          unit_details[Beds], $L133,
          unit_details[Baths], $M133,
          unit_details[Partial Baths], IF(ISNUMBER($N133),$N133,""),
          unit_details[Sqft],$P133
)),"")</f>
        <v/>
      </c>
      <c r="AJ133" s="824" t="str">
        <f t="shared" si="15"/>
        <v/>
      </c>
      <c r="AK133" s="531" t="str">
        <f t="shared" si="16"/>
        <v/>
      </c>
      <c r="AL133" s="714" t="str">
        <f t="shared" si="17"/>
        <v/>
      </c>
      <c r="AM133" s="531" t="str">
        <f t="shared" si="18"/>
        <v/>
      </c>
      <c r="AN133" s="716" t="str">
        <f t="shared" si="19"/>
        <v/>
      </c>
    </row>
    <row r="134" spans="6:40" x14ac:dyDescent="0.2">
      <c r="F134" s="1" t="str">
        <f t="shared" si="12"/>
        <v/>
      </c>
      <c r="G134" s="713" t="str">
        <f t="shared" si="20"/>
        <v/>
      </c>
      <c r="H134" s="17" t="str">
        <f>IFERROR(VLOOKUP($G134,Table1[[Property]:[Exposure %]],4,0),"")</f>
        <v/>
      </c>
      <c r="I134" s="3" t="str">
        <f>IFERROR(VLOOKUP($G134,Table1[[Property]:[Exposure %]],6,0),"")</f>
        <v/>
      </c>
      <c r="J134" s="3" t="str">
        <f>IFERROR(VLOOKUP($G134,Table1[[Property]:[Exposure %]],7,0),"")</f>
        <v/>
      </c>
      <c r="K134"/>
      <c r="L134"/>
      <c r="M134"/>
      <c r="N134"/>
      <c r="O134"/>
      <c r="P134"/>
      <c r="Q134"/>
      <c r="R134" s="4" t="str">
        <f>IFERROR(VLOOKUP(IF(F134="Total",F133,F134),Table1[[Property]:['# Units]],7,0)*S134,"")</f>
        <v/>
      </c>
      <c r="S134" s="27" t="str">
        <f t="shared" si="13"/>
        <v/>
      </c>
      <c r="T134" s="531" t="str">
        <f>IFERROR(
 IF($F134="Total",
   SUMPRODUCT(
   INDEX(T:T, ROW()-COUNTIF($F$6:INDEX($F:$F, ROW()-1), $F133)) : INDEX(T:T, ROW()-1),
   INDEX(W:W, ROW()-COUNTIF($F$6:INDEX($F:$F, ROW()-1), $F133)) : INDEX(W:W, ROW()-1)
   )
   /SUM(INDEX(W:W, ROW()-COUNTIF($F$6:INDEX($F:$F, ROW()-1), $F133)) : INDEX(W:W, ROW()-1)),
   AVERAGEIFS(
     INDEX((unit_details[Asking Rent],unit_details[Asking PSF]),0,1,IF($U$3="Chunk Rent",1,2)),
     unit_details[Leased Date],"&gt;="&amp;($AM$2-T$5),
     unit_details[Leased Date],"&lt;"&amp;$AM$2,
     unit_details[Beds],$L134,
     unit_details[Baths],$M134,
     unit_details[Partial Baths],IF(ISNUMBER($N134),$N134,""),
     unit_details[Sqft],$P134,
     unit_details[Property Name],$F134)
 ),"")</f>
        <v/>
      </c>
      <c r="U134" s="552" t="str">
        <f>IFERROR(
 IF($F134="Total",
   SUMPRODUCT(
   INDEX(U:U, ROW()-COUNTIF($F$6:INDEX($F:$F, ROW()-1), $F133)) : INDEX(U:U, ROW()-1),
   INDEX(W:W, ROW()-COUNTIF($F$6:INDEX($F:$F, ROW()-1), $F133)) : INDEX(W:W, ROW()-1)
   )
   /SUM(INDEX(W:W, ROW()-COUNTIF($F$6:INDEX($F:$F, ROW()-1), $F133)) : INDEX(W:W, ROW()-1)),
   AVERAGEIFS(
     INDEX((unit_details[Effective Rent],unit_details[Effective PSF]),0,1,IF($U$3="Chunk Rent",1,2)),
     unit_details[Leased Date],"&gt;="&amp;($AM$2-T$5),
     unit_details[Leased Date],"&lt;"&amp;$AM$2,
     unit_details[Beds],$L134,
     unit_details[Baths],$M134,
     unit_details[Partial Baths],IF(ISNUMBER($N134),$N134,""),
     unit_details[Sqft],$P134,
     unit_details[Property Name],$F134)
 ),"")</f>
        <v/>
      </c>
      <c r="V134" s="27" t="str">
        <f t="shared" si="21"/>
        <v/>
      </c>
      <c r="W134" s="526">
        <f>IFERROR(
  IF($F134="Total",
    SUM(INDEX(W:W, ROW()-COUNTIF($F$6:INDEX($F:$F, ROW()-1), $F133)) : INDEX(W:W, ROW()-1)),
    COUNTIFS(
      unit_details[Leased Date], "&gt;="&amp;($AM$2-T$5),
      unit_details[Leased Date], "&lt;"&amp;$AM$2,
      unit_details[Beds], $L134,
      unit_details[Baths], $M134,
      unit_details[Partial Baths], IF(ISNUMBER($N134), $N134, ""),
      unit_details[Sqft],$P134,
      unit_details[Property Name], $F134
    )
  ),
"")</f>
        <v>0</v>
      </c>
      <c r="X134" s="531" t="str">
        <f>IFERROR(
 IF($F134="Total",
   SUMPRODUCT(
   INDEX(X:X, ROW()-COUNTIF($F$6:INDEX($F:$F, ROW()-1), $F133)) : INDEX(X:X, ROW()-1),
   INDEX(AA:AA, ROW()-COUNTIF($F$6:INDEX($F:$F, ROW()-1), $F133)) : INDEX(AA:AA, ROW()-1)
   )
   /SUM(INDEX(AA:AA, ROW()-COUNTIF($F$6:INDEX($F:$F, ROW()-1), $F133)) : INDEX(AA:AA, ROW()-1)),
   AVERAGEIFS(
     INDEX((unit_details[Asking Rent],unit_details[Asking PSF]),0,1,IF($U$3="Chunk Rent",1,2)),
     unit_details[Leased Date],"&gt;="&amp;($AM$2-X$5),
     unit_details[Leased Date],"&lt;"&amp;$AM$2,
     unit_details[Beds],$L134,
     unit_details[Baths],$M134,
     unit_details[Partial Baths],IF(ISNUMBER($N134),$N134,""),
     unit_details[Sqft],$P134,
     unit_details[Property Name],$F134)
 ),"")</f>
        <v/>
      </c>
      <c r="Y134" s="552" t="str">
        <f>IFERROR(
 IF($F134="Total",
   SUMPRODUCT(
   INDEX(Y:Y, ROW()-COUNTIF($F$6:INDEX($F:$F, ROW()-1), $F133)) : INDEX(Y:Y, ROW()-1),
   INDEX(AA:AA, ROW()-COUNTIF($F$6:INDEX($F:$F, ROW()-1), $F133)) : INDEX(AA:AA, ROW()-1)
   )
   /SUM(INDEX(AA:AA, ROW()-COUNTIF($F$6:INDEX($F:$F, ROW()-1), $F133)) : INDEX(AA:AA, ROW()-1)),
   AVERAGEIFS(
     INDEX((unit_details[Effective Rent],unit_details[Effective PSF]),0,1,IF($U$3="Chunk Rent",1,2)),
     unit_details[Leased Date],"&gt;="&amp;($AM$2-X$5),
     unit_details[Leased Date],"&lt;"&amp;$AM$2,
     unit_details[Beds],$L134,
     unit_details[Baths],$M134,
     unit_details[Partial Baths],IF(ISNUMBER($N134),$N134,""),
     unit_details[Sqft],$P134,
     unit_details[Property Name],$F134)
 ),"")</f>
        <v/>
      </c>
      <c r="Z134" s="27" t="str">
        <f t="shared" si="22"/>
        <v/>
      </c>
      <c r="AA134" s="526">
        <f>IFERROR(
  IF($F134="Total",
    SUM(INDEX(AA:AA, ROW()-COUNTIF($F$6:INDEX($F:$F, ROW()-1), $F133)) : INDEX(AA:AA, ROW()-1)),
    COUNTIFS(
      unit_details[Leased Date], "&gt;="&amp;($AM$2-X$5),
      unit_details[Leased Date], "&lt;"&amp;$AM$2,
      unit_details[Beds], $L134,
      unit_details[Baths], $M134,
      unit_details[Partial Baths], IF(ISNUMBER($N134), $N134, ""),
      unit_details[Sqft],$P134,
      unit_details[Property Name], $F134
    )
  ),
"")</f>
        <v>0</v>
      </c>
      <c r="AB134" s="290">
        <f>IF($F134="Total",
SUM(INDEX(AB:AB, ROW()-COUNTIF($F$6:INDEX($F:$F, ROW()-1), $F133)) : INDEX(AB:AB, ROW()-1)),
COUNTIFS(unit_details[Active Listing?],TRUE,
          unit_details[Property Name], $F134,
          unit_details[Beds], $L134,
          unit_details[Baths], $M134,
          unit_details[Partial Baths],IF(ISNUMBER($N134),$N134,""),
          unit_details[Sqft],$P134))</f>
        <v>0</v>
      </c>
      <c r="AC134" s="27" t="str">
        <f t="shared" si="14"/>
        <v/>
      </c>
      <c r="AD134" s="293" t="str">
        <f>IFERROR(IF(AE134="","",IF($F134="Total",
SUMPRODUCT(
   INDEX(AD:AD, ROW()-COUNTIF($F$6:INDEX($F:$F, ROW()-1), $F133)) : INDEX(AD:AD, ROW()-1),
   INDEX(AB:AB, ROW()-COUNTIF($F$6:INDEX($F:$F, ROW()-1), $F133)) : INDEX(AB:AB, ROW()-1)
   )
   /SUM(INDEX(AB:AB, ROW()-COUNTIF($F$6:INDEX($F:$F, ROW()-1), $F133)) : INDEX(AB:AB, ROW()-1)),
          _xlfn.MINIFS(unit_details[Asking Rent],
          unit_details[Active Listing?],TRUE,
          unit_details[Property Name], $F134,
          unit_details[Beds], $L134,
          unit_details[Baths], $M134,
          unit_details[Partial Baths], IF(ISNUMBER($N134),$N134,""),
          unit_details[Sqft],$P134
))),"")</f>
        <v/>
      </c>
      <c r="AE134" s="5" t="str">
        <f>IFERROR(IF($F134="Total",
          SUMPRODUCT(
   INDEX(AE:AE, ROW()-COUNTIF($F$6:INDEX($F:$F, ROW()-1), $F133)) : INDEX(AE:AE, ROW()-1),
   INDEX(AB:AB, ROW()-COUNTIF($F$6:INDEX($F:$F, ROW()-1), $F133)) : INDEX(AB:AB, ROW()-1)
   )
   /SUM(INDEX(AB:AB, ROW()-COUNTIF($F$6:INDEX($F:$F, ROW()-1), $F133)) : INDEX(AB:AB, ROW()-1)),
          AVERAGEIFS(unit_details[Asking Rent],
          unit_details[Active Listing?],TRUE,
          unit_details[Property Name], $F134,
          unit_details[Beds], $L134,
          unit_details[Baths], $M134,
          unit_details[Partial Baths], IF(ISNUMBER($N134),$N134,""),
          unit_details[Sqft],$P134
)),"")</f>
        <v/>
      </c>
      <c r="AF134" s="5" t="str">
        <f>IFERROR(IF(AE134="","",IF($F134="Total",
SUMPRODUCT(
   INDEX(AF:AF, ROW()-COUNTIF($F$6:INDEX($F:$F, ROW()-1), $F133)) : INDEX(AF:AF, ROW()-1),
   INDEX(AB:AB, ROW()-COUNTIF($F$6:INDEX($F:$F, ROW()-1), $F133)) : INDEX(AB:AB, ROW()-1)
   )
   /SUM(INDEX(AB:AB, ROW()-COUNTIF($F$6:INDEX($F:$F, ROW()-1), $F133)) : INDEX(AB:AB, ROW()-1)),
           _xlfn.MAXIFS(unit_details[Asking Rent],
          unit_details[Active Listing?],TRUE,
          unit_details[Property Name], $F134,
          unit_details[Beds], $L134,
          unit_details[Baths], $M134,
          unit_details[Partial Baths], IF(ISNUMBER($N134),$N134,""),
          unit_details[Sqft],$P134
))),"")</f>
        <v/>
      </c>
      <c r="AG134" s="6" t="str">
        <f>IFERROR(IF($F134="Total",
         SUMPRODUCT(
         INDEX(AG:AG, ROW()-COUNTIF($F$6:INDEX($F:$F, ROW()-1), $F133)) : INDEX(AG:AG, ROW()-1),
         INDEX(AB:AB, ROW()-COUNTIF($F$6:INDEX($F:$F, ROW()-1), $F133)) : INDEX(AB:AB, ROW()-1)
         )
         /SUM(INDEX(AB:AB, ROW()-COUNTIF($F$6:INDEX($F:$F, ROW()-1), $F133)) : INDEX(AB:AB, ROW()-1)),
          AVERAGEIFS(unit_details[Asking PSF],
          unit_details[Active Listing?],TRUE,
          unit_details[Property Name], $F134,
          unit_details[Beds], $L134,
          unit_details[Baths], $M134,
          unit_details[Partial Baths], IF(ISNUMBER($N134),$N134,""),
          unit_details[Sqft],$P134
)),"")</f>
        <v/>
      </c>
      <c r="AH134" s="293" t="str">
        <f>IFERROR(IF($F134="Total",
         SUMPRODUCT(
         INDEX(AH:AH, ROW()-COUNTIF($F$6:INDEX($F:$F, ROW()-1), $F133)) : INDEX(AH:AH, ROW()-1),
         INDEX(AB:AB, ROW()-COUNTIF($F$6:INDEX($F:$F, ROW()-1), $F133)) : INDEX(AB:AB, ROW()-1)
         )
         /SUM(INDEX(AB:AB, ROW()-COUNTIF($F$6:INDEX($F:$F, ROW()-1), $F133)) : INDEX(AB:AB, ROW()-1)),
          AVERAGEIFS(unit_details[Effective Rent],
          unit_details[Active Listing?],TRUE,
          unit_details[Property Name], $F134,
          unit_details[Beds], $L134,
          unit_details[Baths], $M134,
          unit_details[Partial Baths], IF(ISNUMBER($N134),$N134,""),
          unit_details[Sqft],$P134
)),"")</f>
        <v/>
      </c>
      <c r="AI134" s="6" t="str">
        <f>IFERROR(IF($F134="Total",
         SUMPRODUCT(
         INDEX(AI:AI, ROW()-COUNTIF($F$6:INDEX($F:$F, ROW()-1), $F133)) : INDEX(AI:AI, ROW()-1),
         INDEX(AB:AB, ROW()-COUNTIF($F$6:INDEX($F:$F, ROW()-1), $F133)) : INDEX(AB:AB, ROW()-1)
         )
         /SUM(INDEX(AB:AB, ROW()-COUNTIF($F$6:INDEX($F:$F, ROW()-1), $F133)) : INDEX(AB:AB, ROW()-1)),
           AVERAGEIFS(unit_details[Effective PSF],
          unit_details[Active Listing?],TRUE,
          unit_details[Property Name], $F134,
          unit_details[Beds], $L134,
          unit_details[Baths], $M134,
          unit_details[Partial Baths], IF(ISNUMBER($N134),$N134,""),
          unit_details[Sqft],$P134
)),"")</f>
        <v/>
      </c>
      <c r="AJ134" s="824" t="str">
        <f t="shared" si="15"/>
        <v/>
      </c>
      <c r="AK134" s="531" t="str">
        <f t="shared" si="16"/>
        <v/>
      </c>
      <c r="AL134" s="714" t="str">
        <f t="shared" si="17"/>
        <v/>
      </c>
      <c r="AM134" s="531" t="str">
        <f t="shared" si="18"/>
        <v/>
      </c>
      <c r="AN134" s="716" t="str">
        <f t="shared" si="19"/>
        <v/>
      </c>
    </row>
    <row r="135" spans="6:40" x14ac:dyDescent="0.2">
      <c r="F135" s="1" t="str">
        <f t="shared" ref="F135:F198" si="23">IF(RIGHT(K135,5)="Total","Total",IF(ISTEXT(K135),K135,IF(F134="Total","",F134)))</f>
        <v/>
      </c>
      <c r="G135" s="713" t="str">
        <f t="shared" si="20"/>
        <v/>
      </c>
      <c r="H135" s="17" t="str">
        <f>IFERROR(VLOOKUP($G135,Table1[[Property]:[Exposure %]],4,0),"")</f>
        <v/>
      </c>
      <c r="I135" s="3" t="str">
        <f>IFERROR(VLOOKUP($G135,Table1[[Property]:[Exposure %]],6,0),"")</f>
        <v/>
      </c>
      <c r="J135" s="3" t="str">
        <f>IFERROR(VLOOKUP($G135,Table1[[Property]:[Exposure %]],7,0),"")</f>
        <v/>
      </c>
      <c r="K135"/>
      <c r="L135"/>
      <c r="M135"/>
      <c r="N135"/>
      <c r="O135"/>
      <c r="P135"/>
      <c r="Q135"/>
      <c r="R135" s="4" t="str">
        <f>IFERROR(VLOOKUP(IF(F135="Total",F134,F135),Table1[[Property]:['# Units]],7,0)*S135,"")</f>
        <v/>
      </c>
      <c r="S135" s="27" t="str">
        <f t="shared" ref="S135:S198" si="24">IF(Q135=0,"",Q135)</f>
        <v/>
      </c>
      <c r="T135" s="531" t="str">
        <f>IFERROR(
 IF($F135="Total",
   SUMPRODUCT(
   INDEX(T:T, ROW()-COUNTIF($F$6:INDEX($F:$F, ROW()-1), $F134)) : INDEX(T:T, ROW()-1),
   INDEX(W:W, ROW()-COUNTIF($F$6:INDEX($F:$F, ROW()-1), $F134)) : INDEX(W:W, ROW()-1)
   )
   /SUM(INDEX(W:W, ROW()-COUNTIF($F$6:INDEX($F:$F, ROW()-1), $F134)) : INDEX(W:W, ROW()-1)),
   AVERAGEIFS(
     INDEX((unit_details[Asking Rent],unit_details[Asking PSF]),0,1,IF($U$3="Chunk Rent",1,2)),
     unit_details[Leased Date],"&gt;="&amp;($AM$2-T$5),
     unit_details[Leased Date],"&lt;"&amp;$AM$2,
     unit_details[Beds],$L135,
     unit_details[Baths],$M135,
     unit_details[Partial Baths],IF(ISNUMBER($N135),$N135,""),
     unit_details[Sqft],$P135,
     unit_details[Property Name],$F135)
 ),"")</f>
        <v/>
      </c>
      <c r="U135" s="552" t="str">
        <f>IFERROR(
 IF($F135="Total",
   SUMPRODUCT(
   INDEX(U:U, ROW()-COUNTIF($F$6:INDEX($F:$F, ROW()-1), $F134)) : INDEX(U:U, ROW()-1),
   INDEX(W:W, ROW()-COUNTIF($F$6:INDEX($F:$F, ROW()-1), $F134)) : INDEX(W:W, ROW()-1)
   )
   /SUM(INDEX(W:W, ROW()-COUNTIF($F$6:INDEX($F:$F, ROW()-1), $F134)) : INDEX(W:W, ROW()-1)),
   AVERAGEIFS(
     INDEX((unit_details[Effective Rent],unit_details[Effective PSF]),0,1,IF($U$3="Chunk Rent",1,2)),
     unit_details[Leased Date],"&gt;="&amp;($AM$2-T$5),
     unit_details[Leased Date],"&lt;"&amp;$AM$2,
     unit_details[Beds],$L135,
     unit_details[Baths],$M135,
     unit_details[Partial Baths],IF(ISNUMBER($N135),$N135,""),
     unit_details[Sqft],$P135,
     unit_details[Property Name],$F135)
 ),"")</f>
        <v/>
      </c>
      <c r="V135" s="27" t="str">
        <f t="shared" si="21"/>
        <v/>
      </c>
      <c r="W135" s="526">
        <f>IFERROR(
  IF($F135="Total",
    SUM(INDEX(W:W, ROW()-COUNTIF($F$6:INDEX($F:$F, ROW()-1), $F134)) : INDEX(W:W, ROW()-1)),
    COUNTIFS(
      unit_details[Leased Date], "&gt;="&amp;($AM$2-T$5),
      unit_details[Leased Date], "&lt;"&amp;$AM$2,
      unit_details[Beds], $L135,
      unit_details[Baths], $M135,
      unit_details[Partial Baths], IF(ISNUMBER($N135), $N135, ""),
      unit_details[Sqft],$P135,
      unit_details[Property Name], $F135
    )
  ),
"")</f>
        <v>0</v>
      </c>
      <c r="X135" s="531" t="str">
        <f>IFERROR(
 IF($F135="Total",
   SUMPRODUCT(
   INDEX(X:X, ROW()-COUNTIF($F$6:INDEX($F:$F, ROW()-1), $F134)) : INDEX(X:X, ROW()-1),
   INDEX(AA:AA, ROW()-COUNTIF($F$6:INDEX($F:$F, ROW()-1), $F134)) : INDEX(AA:AA, ROW()-1)
   )
   /SUM(INDEX(AA:AA, ROW()-COUNTIF($F$6:INDEX($F:$F, ROW()-1), $F134)) : INDEX(AA:AA, ROW()-1)),
   AVERAGEIFS(
     INDEX((unit_details[Asking Rent],unit_details[Asking PSF]),0,1,IF($U$3="Chunk Rent",1,2)),
     unit_details[Leased Date],"&gt;="&amp;($AM$2-X$5),
     unit_details[Leased Date],"&lt;"&amp;$AM$2,
     unit_details[Beds],$L135,
     unit_details[Baths],$M135,
     unit_details[Partial Baths],IF(ISNUMBER($N135),$N135,""),
     unit_details[Sqft],$P135,
     unit_details[Property Name],$F135)
 ),"")</f>
        <v/>
      </c>
      <c r="Y135" s="552" t="str">
        <f>IFERROR(
 IF($F135="Total",
   SUMPRODUCT(
   INDEX(Y:Y, ROW()-COUNTIF($F$6:INDEX($F:$F, ROW()-1), $F134)) : INDEX(Y:Y, ROW()-1),
   INDEX(AA:AA, ROW()-COUNTIF($F$6:INDEX($F:$F, ROW()-1), $F134)) : INDEX(AA:AA, ROW()-1)
   )
   /SUM(INDEX(AA:AA, ROW()-COUNTIF($F$6:INDEX($F:$F, ROW()-1), $F134)) : INDEX(AA:AA, ROW()-1)),
   AVERAGEIFS(
     INDEX((unit_details[Effective Rent],unit_details[Effective PSF]),0,1,IF($U$3="Chunk Rent",1,2)),
     unit_details[Leased Date],"&gt;="&amp;($AM$2-X$5),
     unit_details[Leased Date],"&lt;"&amp;$AM$2,
     unit_details[Beds],$L135,
     unit_details[Baths],$M135,
     unit_details[Partial Baths],IF(ISNUMBER($N135),$N135,""),
     unit_details[Sqft],$P135,
     unit_details[Property Name],$F135)
 ),"")</f>
        <v/>
      </c>
      <c r="Z135" s="27" t="str">
        <f t="shared" si="22"/>
        <v/>
      </c>
      <c r="AA135" s="526">
        <f>IFERROR(
  IF($F135="Total",
    SUM(INDEX(AA:AA, ROW()-COUNTIF($F$6:INDEX($F:$F, ROW()-1), $F134)) : INDEX(AA:AA, ROW()-1)),
    COUNTIFS(
      unit_details[Leased Date], "&gt;="&amp;($AM$2-X$5),
      unit_details[Leased Date], "&lt;"&amp;$AM$2,
      unit_details[Beds], $L135,
      unit_details[Baths], $M135,
      unit_details[Partial Baths], IF(ISNUMBER($N135), $N135, ""),
      unit_details[Sqft],$P135,
      unit_details[Property Name], $F135
    )
  ),
"")</f>
        <v>0</v>
      </c>
      <c r="AB135" s="290">
        <f>IF($F135="Total",
SUM(INDEX(AB:AB, ROW()-COUNTIF($F$6:INDEX($F:$F, ROW()-1), $F134)) : INDEX(AB:AB, ROW()-1)),
COUNTIFS(unit_details[Active Listing?],TRUE,
          unit_details[Property Name], $F135,
          unit_details[Beds], $L135,
          unit_details[Baths], $M135,
          unit_details[Partial Baths],IF(ISNUMBER($N135),$N135,""),
          unit_details[Sqft],$P135))</f>
        <v>0</v>
      </c>
      <c r="AC135" s="27" t="str">
        <f t="shared" ref="AC135:AC198" si="25">IFERROR(AB135/R135,"")</f>
        <v/>
      </c>
      <c r="AD135" s="293" t="str">
        <f>IFERROR(IF(AE135="","",IF($F135="Total",
SUMPRODUCT(
   INDEX(AD:AD, ROW()-COUNTIF($F$6:INDEX($F:$F, ROW()-1), $F134)) : INDEX(AD:AD, ROW()-1),
   INDEX(AB:AB, ROW()-COUNTIF($F$6:INDEX($F:$F, ROW()-1), $F134)) : INDEX(AB:AB, ROW()-1)
   )
   /SUM(INDEX(AB:AB, ROW()-COUNTIF($F$6:INDEX($F:$F, ROW()-1), $F134)) : INDEX(AB:AB, ROW()-1)),
          _xlfn.MINIFS(unit_details[Asking Rent],
          unit_details[Active Listing?],TRUE,
          unit_details[Property Name], $F135,
          unit_details[Beds], $L135,
          unit_details[Baths], $M135,
          unit_details[Partial Baths], IF(ISNUMBER($N135),$N135,""),
          unit_details[Sqft],$P135
))),"")</f>
        <v/>
      </c>
      <c r="AE135" s="5" t="str">
        <f>IFERROR(IF($F135="Total",
          SUMPRODUCT(
   INDEX(AE:AE, ROW()-COUNTIF($F$6:INDEX($F:$F, ROW()-1), $F134)) : INDEX(AE:AE, ROW()-1),
   INDEX(AB:AB, ROW()-COUNTIF($F$6:INDEX($F:$F, ROW()-1), $F134)) : INDEX(AB:AB, ROW()-1)
   )
   /SUM(INDEX(AB:AB, ROW()-COUNTIF($F$6:INDEX($F:$F, ROW()-1), $F134)) : INDEX(AB:AB, ROW()-1)),
          AVERAGEIFS(unit_details[Asking Rent],
          unit_details[Active Listing?],TRUE,
          unit_details[Property Name], $F135,
          unit_details[Beds], $L135,
          unit_details[Baths], $M135,
          unit_details[Partial Baths], IF(ISNUMBER($N135),$N135,""),
          unit_details[Sqft],$P135
)),"")</f>
        <v/>
      </c>
      <c r="AF135" s="5" t="str">
        <f>IFERROR(IF(AE135="","",IF($F135="Total",
SUMPRODUCT(
   INDEX(AF:AF, ROW()-COUNTIF($F$6:INDEX($F:$F, ROW()-1), $F134)) : INDEX(AF:AF, ROW()-1),
   INDEX(AB:AB, ROW()-COUNTIF($F$6:INDEX($F:$F, ROW()-1), $F134)) : INDEX(AB:AB, ROW()-1)
   )
   /SUM(INDEX(AB:AB, ROW()-COUNTIF($F$6:INDEX($F:$F, ROW()-1), $F134)) : INDEX(AB:AB, ROW()-1)),
           _xlfn.MAXIFS(unit_details[Asking Rent],
          unit_details[Active Listing?],TRUE,
          unit_details[Property Name], $F135,
          unit_details[Beds], $L135,
          unit_details[Baths], $M135,
          unit_details[Partial Baths], IF(ISNUMBER($N135),$N135,""),
          unit_details[Sqft],$P135
))),"")</f>
        <v/>
      </c>
      <c r="AG135" s="6" t="str">
        <f>IFERROR(IF($F135="Total",
         SUMPRODUCT(
         INDEX(AG:AG, ROW()-COUNTIF($F$6:INDEX($F:$F, ROW()-1), $F134)) : INDEX(AG:AG, ROW()-1),
         INDEX(AB:AB, ROW()-COUNTIF($F$6:INDEX($F:$F, ROW()-1), $F134)) : INDEX(AB:AB, ROW()-1)
         )
         /SUM(INDEX(AB:AB, ROW()-COUNTIF($F$6:INDEX($F:$F, ROW()-1), $F134)) : INDEX(AB:AB, ROW()-1)),
          AVERAGEIFS(unit_details[Asking PSF],
          unit_details[Active Listing?],TRUE,
          unit_details[Property Name], $F135,
          unit_details[Beds], $L135,
          unit_details[Baths], $M135,
          unit_details[Partial Baths], IF(ISNUMBER($N135),$N135,""),
          unit_details[Sqft],$P135
)),"")</f>
        <v/>
      </c>
      <c r="AH135" s="293" t="str">
        <f>IFERROR(IF($F135="Total",
         SUMPRODUCT(
         INDEX(AH:AH, ROW()-COUNTIF($F$6:INDEX($F:$F, ROW()-1), $F134)) : INDEX(AH:AH, ROW()-1),
         INDEX(AB:AB, ROW()-COUNTIF($F$6:INDEX($F:$F, ROW()-1), $F134)) : INDEX(AB:AB, ROW()-1)
         )
         /SUM(INDEX(AB:AB, ROW()-COUNTIF($F$6:INDEX($F:$F, ROW()-1), $F134)) : INDEX(AB:AB, ROW()-1)),
          AVERAGEIFS(unit_details[Effective Rent],
          unit_details[Active Listing?],TRUE,
          unit_details[Property Name], $F135,
          unit_details[Beds], $L135,
          unit_details[Baths], $M135,
          unit_details[Partial Baths], IF(ISNUMBER($N135),$N135,""),
          unit_details[Sqft],$P135
)),"")</f>
        <v/>
      </c>
      <c r="AI135" s="6" t="str">
        <f>IFERROR(IF($F135="Total",
         SUMPRODUCT(
         INDEX(AI:AI, ROW()-COUNTIF($F$6:INDEX($F:$F, ROW()-1), $F134)) : INDEX(AI:AI, ROW()-1),
         INDEX(AB:AB, ROW()-COUNTIF($F$6:INDEX($F:$F, ROW()-1), $F134)) : INDEX(AB:AB, ROW()-1)
         )
         /SUM(INDEX(AB:AB, ROW()-COUNTIF($F$6:INDEX($F:$F, ROW()-1), $F134)) : INDEX(AB:AB, ROW()-1)),
           AVERAGEIFS(unit_details[Effective PSF],
          unit_details[Active Listing?],TRUE,
          unit_details[Property Name], $F135,
          unit_details[Beds], $L135,
          unit_details[Baths], $M135,
          unit_details[Partial Baths], IF(ISNUMBER($N135),$N135,""),
          unit_details[Sqft],$P135
)),"")</f>
        <v/>
      </c>
      <c r="AJ135" s="824" t="str">
        <f t="shared" ref="AJ135:AJ198" si="26">IFERROR((AE135-AH135)/AE135,"")</f>
        <v/>
      </c>
      <c r="AK135" s="531" t="str">
        <f t="shared" ref="AK135:AK198" si="27">IFERROR(
IF(AND($AM$3="Asking Rent",$U$3="Chunk Rent"),$AE135-$T135,
IF(AND($AM$3="Effective Rent",$U$3="Chunk Rent"),$AH135-$U135,
IF(AND($AM$3="Asking Rent",$U$3="Rent PSF"),$AG135-$T135,$AI135-$U135))),"")</f>
        <v/>
      </c>
      <c r="AL135" s="714" t="str">
        <f t="shared" ref="AL135:AL198" si="28">IFERROR(AK135/(IF($AM$3="Asking Rent",T135,U135)),"")</f>
        <v/>
      </c>
      <c r="AM135" s="531" t="str">
        <f t="shared" ref="AM135:AM198" si="29">IFERROR(
IF(AND($AM$3="Asking Rent",$U$3="Chunk Rent"),$AE135-$X135,
IF(AND($AM$3="Effective Rent",$U$3="Chunk Rent"),$AH135-$Y135,
IF(AND($AM$3="Asking Rent",$U$3="Rent PSF"),$AG135-$X135,$AI135-$Y135))),"")</f>
        <v/>
      </c>
      <c r="AN135" s="716" t="str">
        <f t="shared" ref="AN135:AN198" si="30">IFERROR(AM135/(IF($AM$3="Asking Rent",X135,Y135)),"")</f>
        <v/>
      </c>
    </row>
    <row r="136" spans="6:40" x14ac:dyDescent="0.2">
      <c r="F136" s="1" t="str">
        <f t="shared" si="23"/>
        <v/>
      </c>
      <c r="G136" s="713" t="str">
        <f t="shared" ref="G136:G199" si="31">IF(F136=F135,"",F136)</f>
        <v/>
      </c>
      <c r="H136" s="17" t="str">
        <f>IFERROR(VLOOKUP($G136,Table1[[Property]:[Exposure %]],4,0),"")</f>
        <v/>
      </c>
      <c r="I136" s="3" t="str">
        <f>IFERROR(VLOOKUP($G136,Table1[[Property]:[Exposure %]],6,0),"")</f>
        <v/>
      </c>
      <c r="J136" s="3" t="str">
        <f>IFERROR(VLOOKUP($G136,Table1[[Property]:[Exposure %]],7,0),"")</f>
        <v/>
      </c>
      <c r="K136"/>
      <c r="L136"/>
      <c r="M136"/>
      <c r="N136"/>
      <c r="O136"/>
      <c r="P136"/>
      <c r="Q136"/>
      <c r="R136" s="4" t="str">
        <f>IFERROR(VLOOKUP(IF(F136="Total",F135,F136),Table1[[Property]:['# Units]],7,0)*S136,"")</f>
        <v/>
      </c>
      <c r="S136" s="27" t="str">
        <f t="shared" si="24"/>
        <v/>
      </c>
      <c r="T136" s="531" t="str">
        <f>IFERROR(
 IF($F136="Total",
   SUMPRODUCT(
   INDEX(T:T, ROW()-COUNTIF($F$6:INDEX($F:$F, ROW()-1), $F135)) : INDEX(T:T, ROW()-1),
   INDEX(W:W, ROW()-COUNTIF($F$6:INDEX($F:$F, ROW()-1), $F135)) : INDEX(W:W, ROW()-1)
   )
   /SUM(INDEX(W:W, ROW()-COUNTIF($F$6:INDEX($F:$F, ROW()-1), $F135)) : INDEX(W:W, ROW()-1)),
   AVERAGEIFS(
     INDEX((unit_details[Asking Rent],unit_details[Asking PSF]),0,1,IF($U$3="Chunk Rent",1,2)),
     unit_details[Leased Date],"&gt;="&amp;($AM$2-T$5),
     unit_details[Leased Date],"&lt;"&amp;$AM$2,
     unit_details[Beds],$L136,
     unit_details[Baths],$M136,
     unit_details[Partial Baths],IF(ISNUMBER($N136),$N136,""),
     unit_details[Sqft],$P136,
     unit_details[Property Name],$F136)
 ),"")</f>
        <v/>
      </c>
      <c r="U136" s="552" t="str">
        <f>IFERROR(
 IF($F136="Total",
   SUMPRODUCT(
   INDEX(U:U, ROW()-COUNTIF($F$6:INDEX($F:$F, ROW()-1), $F135)) : INDEX(U:U, ROW()-1),
   INDEX(W:W, ROW()-COUNTIF($F$6:INDEX($F:$F, ROW()-1), $F135)) : INDEX(W:W, ROW()-1)
   )
   /SUM(INDEX(W:W, ROW()-COUNTIF($F$6:INDEX($F:$F, ROW()-1), $F135)) : INDEX(W:W, ROW()-1)),
   AVERAGEIFS(
     INDEX((unit_details[Effective Rent],unit_details[Effective PSF]),0,1,IF($U$3="Chunk Rent",1,2)),
     unit_details[Leased Date],"&gt;="&amp;($AM$2-T$5),
     unit_details[Leased Date],"&lt;"&amp;$AM$2,
     unit_details[Beds],$L136,
     unit_details[Baths],$M136,
     unit_details[Partial Baths],IF(ISNUMBER($N136),$N136,""),
     unit_details[Sqft],$P136,
     unit_details[Property Name],$F136)
 ),"")</f>
        <v/>
      </c>
      <c r="V136" s="27" t="str">
        <f t="shared" ref="V136:V199" si="32">IFERROR(IF((T136-U136)/T136=0,"",(T136-U136)/T136),"")</f>
        <v/>
      </c>
      <c r="W136" s="526">
        <f>IFERROR(
  IF($F136="Total",
    SUM(INDEX(W:W, ROW()-COUNTIF($F$6:INDEX($F:$F, ROW()-1), $F135)) : INDEX(W:W, ROW()-1)),
    COUNTIFS(
      unit_details[Leased Date], "&gt;="&amp;($AM$2-T$5),
      unit_details[Leased Date], "&lt;"&amp;$AM$2,
      unit_details[Beds], $L136,
      unit_details[Baths], $M136,
      unit_details[Partial Baths], IF(ISNUMBER($N136), $N136, ""),
      unit_details[Sqft],$P136,
      unit_details[Property Name], $F136
    )
  ),
"")</f>
        <v>0</v>
      </c>
      <c r="X136" s="531" t="str">
        <f>IFERROR(
 IF($F136="Total",
   SUMPRODUCT(
   INDEX(X:X, ROW()-COUNTIF($F$6:INDEX($F:$F, ROW()-1), $F135)) : INDEX(X:X, ROW()-1),
   INDEX(AA:AA, ROW()-COUNTIF($F$6:INDEX($F:$F, ROW()-1), $F135)) : INDEX(AA:AA, ROW()-1)
   )
   /SUM(INDEX(AA:AA, ROW()-COUNTIF($F$6:INDEX($F:$F, ROW()-1), $F135)) : INDEX(AA:AA, ROW()-1)),
   AVERAGEIFS(
     INDEX((unit_details[Asking Rent],unit_details[Asking PSF]),0,1,IF($U$3="Chunk Rent",1,2)),
     unit_details[Leased Date],"&gt;="&amp;($AM$2-X$5),
     unit_details[Leased Date],"&lt;"&amp;$AM$2,
     unit_details[Beds],$L136,
     unit_details[Baths],$M136,
     unit_details[Partial Baths],IF(ISNUMBER($N136),$N136,""),
     unit_details[Sqft],$P136,
     unit_details[Property Name],$F136)
 ),"")</f>
        <v/>
      </c>
      <c r="Y136" s="552" t="str">
        <f>IFERROR(
 IF($F136="Total",
   SUMPRODUCT(
   INDEX(Y:Y, ROW()-COUNTIF($F$6:INDEX($F:$F, ROW()-1), $F135)) : INDEX(Y:Y, ROW()-1),
   INDEX(AA:AA, ROW()-COUNTIF($F$6:INDEX($F:$F, ROW()-1), $F135)) : INDEX(AA:AA, ROW()-1)
   )
   /SUM(INDEX(AA:AA, ROW()-COUNTIF($F$6:INDEX($F:$F, ROW()-1), $F135)) : INDEX(AA:AA, ROW()-1)),
   AVERAGEIFS(
     INDEX((unit_details[Effective Rent],unit_details[Effective PSF]),0,1,IF($U$3="Chunk Rent",1,2)),
     unit_details[Leased Date],"&gt;="&amp;($AM$2-X$5),
     unit_details[Leased Date],"&lt;"&amp;$AM$2,
     unit_details[Beds],$L136,
     unit_details[Baths],$M136,
     unit_details[Partial Baths],IF(ISNUMBER($N136),$N136,""),
     unit_details[Sqft],$P136,
     unit_details[Property Name],$F136)
 ),"")</f>
        <v/>
      </c>
      <c r="Z136" s="27" t="str">
        <f t="shared" ref="Z136:Z199" si="33">IFERROR(IF((X136-Y136)/X136=0,"",(X136-Y136)/X136),"")</f>
        <v/>
      </c>
      <c r="AA136" s="526">
        <f>IFERROR(
  IF($F136="Total",
    SUM(INDEX(AA:AA, ROW()-COUNTIF($F$6:INDEX($F:$F, ROW()-1), $F135)) : INDEX(AA:AA, ROW()-1)),
    COUNTIFS(
      unit_details[Leased Date], "&gt;="&amp;($AM$2-X$5),
      unit_details[Leased Date], "&lt;"&amp;$AM$2,
      unit_details[Beds], $L136,
      unit_details[Baths], $M136,
      unit_details[Partial Baths], IF(ISNUMBER($N136), $N136, ""),
      unit_details[Sqft],$P136,
      unit_details[Property Name], $F136
    )
  ),
"")</f>
        <v>0</v>
      </c>
      <c r="AB136" s="290">
        <f>IF($F136="Total",
SUM(INDEX(AB:AB, ROW()-COUNTIF($F$6:INDEX($F:$F, ROW()-1), $F135)) : INDEX(AB:AB, ROW()-1)),
COUNTIFS(unit_details[Active Listing?],TRUE,
          unit_details[Property Name], $F136,
          unit_details[Beds], $L136,
          unit_details[Baths], $M136,
          unit_details[Partial Baths],IF(ISNUMBER($N136),$N136,""),
          unit_details[Sqft],$P136))</f>
        <v>0</v>
      </c>
      <c r="AC136" s="27" t="str">
        <f t="shared" si="25"/>
        <v/>
      </c>
      <c r="AD136" s="293" t="str">
        <f>IFERROR(IF(AE136="","",IF($F136="Total",
SUMPRODUCT(
   INDEX(AD:AD, ROW()-COUNTIF($F$6:INDEX($F:$F, ROW()-1), $F135)) : INDEX(AD:AD, ROW()-1),
   INDEX(AB:AB, ROW()-COUNTIF($F$6:INDEX($F:$F, ROW()-1), $F135)) : INDEX(AB:AB, ROW()-1)
   )
   /SUM(INDEX(AB:AB, ROW()-COUNTIF($F$6:INDEX($F:$F, ROW()-1), $F135)) : INDEX(AB:AB, ROW()-1)),
          _xlfn.MINIFS(unit_details[Asking Rent],
          unit_details[Active Listing?],TRUE,
          unit_details[Property Name], $F136,
          unit_details[Beds], $L136,
          unit_details[Baths], $M136,
          unit_details[Partial Baths], IF(ISNUMBER($N136),$N136,""),
          unit_details[Sqft],$P136
))),"")</f>
        <v/>
      </c>
      <c r="AE136" s="5" t="str">
        <f>IFERROR(IF($F136="Total",
          SUMPRODUCT(
   INDEX(AE:AE, ROW()-COUNTIF($F$6:INDEX($F:$F, ROW()-1), $F135)) : INDEX(AE:AE, ROW()-1),
   INDEX(AB:AB, ROW()-COUNTIF($F$6:INDEX($F:$F, ROW()-1), $F135)) : INDEX(AB:AB, ROW()-1)
   )
   /SUM(INDEX(AB:AB, ROW()-COUNTIF($F$6:INDEX($F:$F, ROW()-1), $F135)) : INDEX(AB:AB, ROW()-1)),
          AVERAGEIFS(unit_details[Asking Rent],
          unit_details[Active Listing?],TRUE,
          unit_details[Property Name], $F136,
          unit_details[Beds], $L136,
          unit_details[Baths], $M136,
          unit_details[Partial Baths], IF(ISNUMBER($N136),$N136,""),
          unit_details[Sqft],$P136
)),"")</f>
        <v/>
      </c>
      <c r="AF136" s="5" t="str">
        <f>IFERROR(IF(AE136="","",IF($F136="Total",
SUMPRODUCT(
   INDEX(AF:AF, ROW()-COUNTIF($F$6:INDEX($F:$F, ROW()-1), $F135)) : INDEX(AF:AF, ROW()-1),
   INDEX(AB:AB, ROW()-COUNTIF($F$6:INDEX($F:$F, ROW()-1), $F135)) : INDEX(AB:AB, ROW()-1)
   )
   /SUM(INDEX(AB:AB, ROW()-COUNTIF($F$6:INDEX($F:$F, ROW()-1), $F135)) : INDEX(AB:AB, ROW()-1)),
           _xlfn.MAXIFS(unit_details[Asking Rent],
          unit_details[Active Listing?],TRUE,
          unit_details[Property Name], $F136,
          unit_details[Beds], $L136,
          unit_details[Baths], $M136,
          unit_details[Partial Baths], IF(ISNUMBER($N136),$N136,""),
          unit_details[Sqft],$P136
))),"")</f>
        <v/>
      </c>
      <c r="AG136" s="6" t="str">
        <f>IFERROR(IF($F136="Total",
         SUMPRODUCT(
         INDEX(AG:AG, ROW()-COUNTIF($F$6:INDEX($F:$F, ROW()-1), $F135)) : INDEX(AG:AG, ROW()-1),
         INDEX(AB:AB, ROW()-COUNTIF($F$6:INDEX($F:$F, ROW()-1), $F135)) : INDEX(AB:AB, ROW()-1)
         )
         /SUM(INDEX(AB:AB, ROW()-COUNTIF($F$6:INDEX($F:$F, ROW()-1), $F135)) : INDEX(AB:AB, ROW()-1)),
          AVERAGEIFS(unit_details[Asking PSF],
          unit_details[Active Listing?],TRUE,
          unit_details[Property Name], $F136,
          unit_details[Beds], $L136,
          unit_details[Baths], $M136,
          unit_details[Partial Baths], IF(ISNUMBER($N136),$N136,""),
          unit_details[Sqft],$P136
)),"")</f>
        <v/>
      </c>
      <c r="AH136" s="293" t="str">
        <f>IFERROR(IF($F136="Total",
         SUMPRODUCT(
         INDEX(AH:AH, ROW()-COUNTIF($F$6:INDEX($F:$F, ROW()-1), $F135)) : INDEX(AH:AH, ROW()-1),
         INDEX(AB:AB, ROW()-COUNTIF($F$6:INDEX($F:$F, ROW()-1), $F135)) : INDEX(AB:AB, ROW()-1)
         )
         /SUM(INDEX(AB:AB, ROW()-COUNTIF($F$6:INDEX($F:$F, ROW()-1), $F135)) : INDEX(AB:AB, ROW()-1)),
          AVERAGEIFS(unit_details[Effective Rent],
          unit_details[Active Listing?],TRUE,
          unit_details[Property Name], $F136,
          unit_details[Beds], $L136,
          unit_details[Baths], $M136,
          unit_details[Partial Baths], IF(ISNUMBER($N136),$N136,""),
          unit_details[Sqft],$P136
)),"")</f>
        <v/>
      </c>
      <c r="AI136" s="6" t="str">
        <f>IFERROR(IF($F136="Total",
         SUMPRODUCT(
         INDEX(AI:AI, ROW()-COUNTIF($F$6:INDEX($F:$F, ROW()-1), $F135)) : INDEX(AI:AI, ROW()-1),
         INDEX(AB:AB, ROW()-COUNTIF($F$6:INDEX($F:$F, ROW()-1), $F135)) : INDEX(AB:AB, ROW()-1)
         )
         /SUM(INDEX(AB:AB, ROW()-COUNTIF($F$6:INDEX($F:$F, ROW()-1), $F135)) : INDEX(AB:AB, ROW()-1)),
           AVERAGEIFS(unit_details[Effective PSF],
          unit_details[Active Listing?],TRUE,
          unit_details[Property Name], $F136,
          unit_details[Beds], $L136,
          unit_details[Baths], $M136,
          unit_details[Partial Baths], IF(ISNUMBER($N136),$N136,""),
          unit_details[Sqft],$P136
)),"")</f>
        <v/>
      </c>
      <c r="AJ136" s="824" t="str">
        <f t="shared" si="26"/>
        <v/>
      </c>
      <c r="AK136" s="531" t="str">
        <f t="shared" si="27"/>
        <v/>
      </c>
      <c r="AL136" s="714" t="str">
        <f t="shared" si="28"/>
        <v/>
      </c>
      <c r="AM136" s="531" t="str">
        <f t="shared" si="29"/>
        <v/>
      </c>
      <c r="AN136" s="716" t="str">
        <f t="shared" si="30"/>
        <v/>
      </c>
    </row>
    <row r="137" spans="6:40" x14ac:dyDescent="0.2">
      <c r="F137" s="1" t="str">
        <f t="shared" si="23"/>
        <v/>
      </c>
      <c r="G137" s="713" t="str">
        <f t="shared" si="31"/>
        <v/>
      </c>
      <c r="H137" s="17" t="str">
        <f>IFERROR(VLOOKUP($G137,Table1[[Property]:[Exposure %]],4,0),"")</f>
        <v/>
      </c>
      <c r="I137" s="3" t="str">
        <f>IFERROR(VLOOKUP($G137,Table1[[Property]:[Exposure %]],6,0),"")</f>
        <v/>
      </c>
      <c r="J137" s="3" t="str">
        <f>IFERROR(VLOOKUP($G137,Table1[[Property]:[Exposure %]],7,0),"")</f>
        <v/>
      </c>
      <c r="K137"/>
      <c r="L137"/>
      <c r="M137"/>
      <c r="N137"/>
      <c r="O137"/>
      <c r="P137"/>
      <c r="Q137"/>
      <c r="R137" s="4" t="str">
        <f>IFERROR(VLOOKUP(IF(F137="Total",F136,F137),Table1[[Property]:['# Units]],7,0)*S137,"")</f>
        <v/>
      </c>
      <c r="S137" s="27" t="str">
        <f t="shared" si="24"/>
        <v/>
      </c>
      <c r="T137" s="531" t="str">
        <f>IFERROR(
 IF($F137="Total",
   SUMPRODUCT(
   INDEX(T:T, ROW()-COUNTIF($F$6:INDEX($F:$F, ROW()-1), $F136)) : INDEX(T:T, ROW()-1),
   INDEX(W:W, ROW()-COUNTIF($F$6:INDEX($F:$F, ROW()-1), $F136)) : INDEX(W:W, ROW()-1)
   )
   /SUM(INDEX(W:W, ROW()-COUNTIF($F$6:INDEX($F:$F, ROW()-1), $F136)) : INDEX(W:W, ROW()-1)),
   AVERAGEIFS(
     INDEX((unit_details[Asking Rent],unit_details[Asking PSF]),0,1,IF($U$3="Chunk Rent",1,2)),
     unit_details[Leased Date],"&gt;="&amp;($AM$2-T$5),
     unit_details[Leased Date],"&lt;"&amp;$AM$2,
     unit_details[Beds],$L137,
     unit_details[Baths],$M137,
     unit_details[Partial Baths],IF(ISNUMBER($N137),$N137,""),
     unit_details[Sqft],$P137,
     unit_details[Property Name],$F137)
 ),"")</f>
        <v/>
      </c>
      <c r="U137" s="552" t="str">
        <f>IFERROR(
 IF($F137="Total",
   SUMPRODUCT(
   INDEX(U:U, ROW()-COUNTIF($F$6:INDEX($F:$F, ROW()-1), $F136)) : INDEX(U:U, ROW()-1),
   INDEX(W:W, ROW()-COUNTIF($F$6:INDEX($F:$F, ROW()-1), $F136)) : INDEX(W:W, ROW()-1)
   )
   /SUM(INDEX(W:W, ROW()-COUNTIF($F$6:INDEX($F:$F, ROW()-1), $F136)) : INDEX(W:W, ROW()-1)),
   AVERAGEIFS(
     INDEX((unit_details[Effective Rent],unit_details[Effective PSF]),0,1,IF($U$3="Chunk Rent",1,2)),
     unit_details[Leased Date],"&gt;="&amp;($AM$2-T$5),
     unit_details[Leased Date],"&lt;"&amp;$AM$2,
     unit_details[Beds],$L137,
     unit_details[Baths],$M137,
     unit_details[Partial Baths],IF(ISNUMBER($N137),$N137,""),
     unit_details[Sqft],$P137,
     unit_details[Property Name],$F137)
 ),"")</f>
        <v/>
      </c>
      <c r="V137" s="27" t="str">
        <f t="shared" si="32"/>
        <v/>
      </c>
      <c r="W137" s="526">
        <f>IFERROR(
  IF($F137="Total",
    SUM(INDEX(W:W, ROW()-COUNTIF($F$6:INDEX($F:$F, ROW()-1), $F136)) : INDEX(W:W, ROW()-1)),
    COUNTIFS(
      unit_details[Leased Date], "&gt;="&amp;($AM$2-T$5),
      unit_details[Leased Date], "&lt;"&amp;$AM$2,
      unit_details[Beds], $L137,
      unit_details[Baths], $M137,
      unit_details[Partial Baths], IF(ISNUMBER($N137), $N137, ""),
      unit_details[Sqft],$P137,
      unit_details[Property Name], $F137
    )
  ),
"")</f>
        <v>0</v>
      </c>
      <c r="X137" s="531" t="str">
        <f>IFERROR(
 IF($F137="Total",
   SUMPRODUCT(
   INDEX(X:X, ROW()-COUNTIF($F$6:INDEX($F:$F, ROW()-1), $F136)) : INDEX(X:X, ROW()-1),
   INDEX(AA:AA, ROW()-COUNTIF($F$6:INDEX($F:$F, ROW()-1), $F136)) : INDEX(AA:AA, ROW()-1)
   )
   /SUM(INDEX(AA:AA, ROW()-COUNTIF($F$6:INDEX($F:$F, ROW()-1), $F136)) : INDEX(AA:AA, ROW()-1)),
   AVERAGEIFS(
     INDEX((unit_details[Asking Rent],unit_details[Asking PSF]),0,1,IF($U$3="Chunk Rent",1,2)),
     unit_details[Leased Date],"&gt;="&amp;($AM$2-X$5),
     unit_details[Leased Date],"&lt;"&amp;$AM$2,
     unit_details[Beds],$L137,
     unit_details[Baths],$M137,
     unit_details[Partial Baths],IF(ISNUMBER($N137),$N137,""),
     unit_details[Sqft],$P137,
     unit_details[Property Name],$F137)
 ),"")</f>
        <v/>
      </c>
      <c r="Y137" s="552" t="str">
        <f>IFERROR(
 IF($F137="Total",
   SUMPRODUCT(
   INDEX(Y:Y, ROW()-COUNTIF($F$6:INDEX($F:$F, ROW()-1), $F136)) : INDEX(Y:Y, ROW()-1),
   INDEX(AA:AA, ROW()-COUNTIF($F$6:INDEX($F:$F, ROW()-1), $F136)) : INDEX(AA:AA, ROW()-1)
   )
   /SUM(INDEX(AA:AA, ROW()-COUNTIF($F$6:INDEX($F:$F, ROW()-1), $F136)) : INDEX(AA:AA, ROW()-1)),
   AVERAGEIFS(
     INDEX((unit_details[Effective Rent],unit_details[Effective PSF]),0,1,IF($U$3="Chunk Rent",1,2)),
     unit_details[Leased Date],"&gt;="&amp;($AM$2-X$5),
     unit_details[Leased Date],"&lt;"&amp;$AM$2,
     unit_details[Beds],$L137,
     unit_details[Baths],$M137,
     unit_details[Partial Baths],IF(ISNUMBER($N137),$N137,""),
     unit_details[Sqft],$P137,
     unit_details[Property Name],$F137)
 ),"")</f>
        <v/>
      </c>
      <c r="Z137" s="27" t="str">
        <f t="shared" si="33"/>
        <v/>
      </c>
      <c r="AA137" s="526">
        <f>IFERROR(
  IF($F137="Total",
    SUM(INDEX(AA:AA, ROW()-COUNTIF($F$6:INDEX($F:$F, ROW()-1), $F136)) : INDEX(AA:AA, ROW()-1)),
    COUNTIFS(
      unit_details[Leased Date], "&gt;="&amp;($AM$2-X$5),
      unit_details[Leased Date], "&lt;"&amp;$AM$2,
      unit_details[Beds], $L137,
      unit_details[Baths], $M137,
      unit_details[Partial Baths], IF(ISNUMBER($N137), $N137, ""),
      unit_details[Sqft],$P137,
      unit_details[Property Name], $F137
    )
  ),
"")</f>
        <v>0</v>
      </c>
      <c r="AB137" s="290">
        <f>IF($F137="Total",
SUM(INDEX(AB:AB, ROW()-COUNTIF($F$6:INDEX($F:$F, ROW()-1), $F136)) : INDEX(AB:AB, ROW()-1)),
COUNTIFS(unit_details[Active Listing?],TRUE,
          unit_details[Property Name], $F137,
          unit_details[Beds], $L137,
          unit_details[Baths], $M137,
          unit_details[Partial Baths],IF(ISNUMBER($N137),$N137,""),
          unit_details[Sqft],$P137))</f>
        <v>0</v>
      </c>
      <c r="AC137" s="27" t="str">
        <f t="shared" si="25"/>
        <v/>
      </c>
      <c r="AD137" s="293" t="str">
        <f>IFERROR(IF(AE137="","",IF($F137="Total",
SUMPRODUCT(
   INDEX(AD:AD, ROW()-COUNTIF($F$6:INDEX($F:$F, ROW()-1), $F136)) : INDEX(AD:AD, ROW()-1),
   INDEX(AB:AB, ROW()-COUNTIF($F$6:INDEX($F:$F, ROW()-1), $F136)) : INDEX(AB:AB, ROW()-1)
   )
   /SUM(INDEX(AB:AB, ROW()-COUNTIF($F$6:INDEX($F:$F, ROW()-1), $F136)) : INDEX(AB:AB, ROW()-1)),
          _xlfn.MINIFS(unit_details[Asking Rent],
          unit_details[Active Listing?],TRUE,
          unit_details[Property Name], $F137,
          unit_details[Beds], $L137,
          unit_details[Baths], $M137,
          unit_details[Partial Baths], IF(ISNUMBER($N137),$N137,""),
          unit_details[Sqft],$P137
))),"")</f>
        <v/>
      </c>
      <c r="AE137" s="5" t="str">
        <f>IFERROR(IF($F137="Total",
          SUMPRODUCT(
   INDEX(AE:AE, ROW()-COUNTIF($F$6:INDEX($F:$F, ROW()-1), $F136)) : INDEX(AE:AE, ROW()-1),
   INDEX(AB:AB, ROW()-COUNTIF($F$6:INDEX($F:$F, ROW()-1), $F136)) : INDEX(AB:AB, ROW()-1)
   )
   /SUM(INDEX(AB:AB, ROW()-COUNTIF($F$6:INDEX($F:$F, ROW()-1), $F136)) : INDEX(AB:AB, ROW()-1)),
          AVERAGEIFS(unit_details[Asking Rent],
          unit_details[Active Listing?],TRUE,
          unit_details[Property Name], $F137,
          unit_details[Beds], $L137,
          unit_details[Baths], $M137,
          unit_details[Partial Baths], IF(ISNUMBER($N137),$N137,""),
          unit_details[Sqft],$P137
)),"")</f>
        <v/>
      </c>
      <c r="AF137" s="5" t="str">
        <f>IFERROR(IF(AE137="","",IF($F137="Total",
SUMPRODUCT(
   INDEX(AF:AF, ROW()-COUNTIF($F$6:INDEX($F:$F, ROW()-1), $F136)) : INDEX(AF:AF, ROW()-1),
   INDEX(AB:AB, ROW()-COUNTIF($F$6:INDEX($F:$F, ROW()-1), $F136)) : INDEX(AB:AB, ROW()-1)
   )
   /SUM(INDEX(AB:AB, ROW()-COUNTIF($F$6:INDEX($F:$F, ROW()-1), $F136)) : INDEX(AB:AB, ROW()-1)),
           _xlfn.MAXIFS(unit_details[Asking Rent],
          unit_details[Active Listing?],TRUE,
          unit_details[Property Name], $F137,
          unit_details[Beds], $L137,
          unit_details[Baths], $M137,
          unit_details[Partial Baths], IF(ISNUMBER($N137),$N137,""),
          unit_details[Sqft],$P137
))),"")</f>
        <v/>
      </c>
      <c r="AG137" s="6" t="str">
        <f>IFERROR(IF($F137="Total",
         SUMPRODUCT(
         INDEX(AG:AG, ROW()-COUNTIF($F$6:INDEX($F:$F, ROW()-1), $F136)) : INDEX(AG:AG, ROW()-1),
         INDEX(AB:AB, ROW()-COUNTIF($F$6:INDEX($F:$F, ROW()-1), $F136)) : INDEX(AB:AB, ROW()-1)
         )
         /SUM(INDEX(AB:AB, ROW()-COUNTIF($F$6:INDEX($F:$F, ROW()-1), $F136)) : INDEX(AB:AB, ROW()-1)),
          AVERAGEIFS(unit_details[Asking PSF],
          unit_details[Active Listing?],TRUE,
          unit_details[Property Name], $F137,
          unit_details[Beds], $L137,
          unit_details[Baths], $M137,
          unit_details[Partial Baths], IF(ISNUMBER($N137),$N137,""),
          unit_details[Sqft],$P137
)),"")</f>
        <v/>
      </c>
      <c r="AH137" s="293" t="str">
        <f>IFERROR(IF($F137="Total",
         SUMPRODUCT(
         INDEX(AH:AH, ROW()-COUNTIF($F$6:INDEX($F:$F, ROW()-1), $F136)) : INDEX(AH:AH, ROW()-1),
         INDEX(AB:AB, ROW()-COUNTIF($F$6:INDEX($F:$F, ROW()-1), $F136)) : INDEX(AB:AB, ROW()-1)
         )
         /SUM(INDEX(AB:AB, ROW()-COUNTIF($F$6:INDEX($F:$F, ROW()-1), $F136)) : INDEX(AB:AB, ROW()-1)),
          AVERAGEIFS(unit_details[Effective Rent],
          unit_details[Active Listing?],TRUE,
          unit_details[Property Name], $F137,
          unit_details[Beds], $L137,
          unit_details[Baths], $M137,
          unit_details[Partial Baths], IF(ISNUMBER($N137),$N137,""),
          unit_details[Sqft],$P137
)),"")</f>
        <v/>
      </c>
      <c r="AI137" s="6" t="str">
        <f>IFERROR(IF($F137="Total",
         SUMPRODUCT(
         INDEX(AI:AI, ROW()-COUNTIF($F$6:INDEX($F:$F, ROW()-1), $F136)) : INDEX(AI:AI, ROW()-1),
         INDEX(AB:AB, ROW()-COUNTIF($F$6:INDEX($F:$F, ROW()-1), $F136)) : INDEX(AB:AB, ROW()-1)
         )
         /SUM(INDEX(AB:AB, ROW()-COUNTIF($F$6:INDEX($F:$F, ROW()-1), $F136)) : INDEX(AB:AB, ROW()-1)),
           AVERAGEIFS(unit_details[Effective PSF],
          unit_details[Active Listing?],TRUE,
          unit_details[Property Name], $F137,
          unit_details[Beds], $L137,
          unit_details[Baths], $M137,
          unit_details[Partial Baths], IF(ISNUMBER($N137),$N137,""),
          unit_details[Sqft],$P137
)),"")</f>
        <v/>
      </c>
      <c r="AJ137" s="824" t="str">
        <f t="shared" si="26"/>
        <v/>
      </c>
      <c r="AK137" s="531" t="str">
        <f t="shared" si="27"/>
        <v/>
      </c>
      <c r="AL137" s="714" t="str">
        <f t="shared" si="28"/>
        <v/>
      </c>
      <c r="AM137" s="531" t="str">
        <f t="shared" si="29"/>
        <v/>
      </c>
      <c r="AN137" s="716" t="str">
        <f t="shared" si="30"/>
        <v/>
      </c>
    </row>
    <row r="138" spans="6:40" x14ac:dyDescent="0.2">
      <c r="F138" s="1" t="str">
        <f t="shared" si="23"/>
        <v/>
      </c>
      <c r="G138" s="713" t="str">
        <f t="shared" si="31"/>
        <v/>
      </c>
      <c r="H138" s="17" t="str">
        <f>IFERROR(VLOOKUP($G138,Table1[[Property]:[Exposure %]],4,0),"")</f>
        <v/>
      </c>
      <c r="I138" s="3" t="str">
        <f>IFERROR(VLOOKUP($G138,Table1[[Property]:[Exposure %]],6,0),"")</f>
        <v/>
      </c>
      <c r="J138" s="3" t="str">
        <f>IFERROR(VLOOKUP($G138,Table1[[Property]:[Exposure %]],7,0),"")</f>
        <v/>
      </c>
      <c r="K138"/>
      <c r="L138"/>
      <c r="M138"/>
      <c r="N138"/>
      <c r="O138"/>
      <c r="P138"/>
      <c r="Q138"/>
      <c r="R138" s="4" t="str">
        <f>IFERROR(VLOOKUP(IF(F138="Total",F137,F138),Table1[[Property]:['# Units]],7,0)*S138,"")</f>
        <v/>
      </c>
      <c r="S138" s="27" t="str">
        <f t="shared" si="24"/>
        <v/>
      </c>
      <c r="T138" s="531" t="str">
        <f>IFERROR(
 IF($F138="Total",
   SUMPRODUCT(
   INDEX(T:T, ROW()-COUNTIF($F$6:INDEX($F:$F, ROW()-1), $F137)) : INDEX(T:T, ROW()-1),
   INDEX(W:W, ROW()-COUNTIF($F$6:INDEX($F:$F, ROW()-1), $F137)) : INDEX(W:W, ROW()-1)
   )
   /SUM(INDEX(W:W, ROW()-COUNTIF($F$6:INDEX($F:$F, ROW()-1), $F137)) : INDEX(W:W, ROW()-1)),
   AVERAGEIFS(
     INDEX((unit_details[Asking Rent],unit_details[Asking PSF]),0,1,IF($U$3="Chunk Rent",1,2)),
     unit_details[Leased Date],"&gt;="&amp;($AM$2-T$5),
     unit_details[Leased Date],"&lt;"&amp;$AM$2,
     unit_details[Beds],$L138,
     unit_details[Baths],$M138,
     unit_details[Partial Baths],IF(ISNUMBER($N138),$N138,""),
     unit_details[Sqft],$P138,
     unit_details[Property Name],$F138)
 ),"")</f>
        <v/>
      </c>
      <c r="U138" s="552" t="str">
        <f>IFERROR(
 IF($F138="Total",
   SUMPRODUCT(
   INDEX(U:U, ROW()-COUNTIF($F$6:INDEX($F:$F, ROW()-1), $F137)) : INDEX(U:U, ROW()-1),
   INDEX(W:W, ROW()-COUNTIF($F$6:INDEX($F:$F, ROW()-1), $F137)) : INDEX(W:W, ROW()-1)
   )
   /SUM(INDEX(W:W, ROW()-COUNTIF($F$6:INDEX($F:$F, ROW()-1), $F137)) : INDEX(W:W, ROW()-1)),
   AVERAGEIFS(
     INDEX((unit_details[Effective Rent],unit_details[Effective PSF]),0,1,IF($U$3="Chunk Rent",1,2)),
     unit_details[Leased Date],"&gt;="&amp;($AM$2-T$5),
     unit_details[Leased Date],"&lt;"&amp;$AM$2,
     unit_details[Beds],$L138,
     unit_details[Baths],$M138,
     unit_details[Partial Baths],IF(ISNUMBER($N138),$N138,""),
     unit_details[Sqft],$P138,
     unit_details[Property Name],$F138)
 ),"")</f>
        <v/>
      </c>
      <c r="V138" s="27" t="str">
        <f t="shared" si="32"/>
        <v/>
      </c>
      <c r="W138" s="526">
        <f>IFERROR(
  IF($F138="Total",
    SUM(INDEX(W:W, ROW()-COUNTIF($F$6:INDEX($F:$F, ROW()-1), $F137)) : INDEX(W:W, ROW()-1)),
    COUNTIFS(
      unit_details[Leased Date], "&gt;="&amp;($AM$2-T$5),
      unit_details[Leased Date], "&lt;"&amp;$AM$2,
      unit_details[Beds], $L138,
      unit_details[Baths], $M138,
      unit_details[Partial Baths], IF(ISNUMBER($N138), $N138, ""),
      unit_details[Sqft],$P138,
      unit_details[Property Name], $F138
    )
  ),
"")</f>
        <v>0</v>
      </c>
      <c r="X138" s="531" t="str">
        <f>IFERROR(
 IF($F138="Total",
   SUMPRODUCT(
   INDEX(X:X, ROW()-COUNTIF($F$6:INDEX($F:$F, ROW()-1), $F137)) : INDEX(X:X, ROW()-1),
   INDEX(AA:AA, ROW()-COUNTIF($F$6:INDEX($F:$F, ROW()-1), $F137)) : INDEX(AA:AA, ROW()-1)
   )
   /SUM(INDEX(AA:AA, ROW()-COUNTIF($F$6:INDEX($F:$F, ROW()-1), $F137)) : INDEX(AA:AA, ROW()-1)),
   AVERAGEIFS(
     INDEX((unit_details[Asking Rent],unit_details[Asking PSF]),0,1,IF($U$3="Chunk Rent",1,2)),
     unit_details[Leased Date],"&gt;="&amp;($AM$2-X$5),
     unit_details[Leased Date],"&lt;"&amp;$AM$2,
     unit_details[Beds],$L138,
     unit_details[Baths],$M138,
     unit_details[Partial Baths],IF(ISNUMBER($N138),$N138,""),
     unit_details[Sqft],$P138,
     unit_details[Property Name],$F138)
 ),"")</f>
        <v/>
      </c>
      <c r="Y138" s="552" t="str">
        <f>IFERROR(
 IF($F138="Total",
   SUMPRODUCT(
   INDEX(Y:Y, ROW()-COUNTIF($F$6:INDEX($F:$F, ROW()-1), $F137)) : INDEX(Y:Y, ROW()-1),
   INDEX(AA:AA, ROW()-COUNTIF($F$6:INDEX($F:$F, ROW()-1), $F137)) : INDEX(AA:AA, ROW()-1)
   )
   /SUM(INDEX(AA:AA, ROW()-COUNTIF($F$6:INDEX($F:$F, ROW()-1), $F137)) : INDEX(AA:AA, ROW()-1)),
   AVERAGEIFS(
     INDEX((unit_details[Effective Rent],unit_details[Effective PSF]),0,1,IF($U$3="Chunk Rent",1,2)),
     unit_details[Leased Date],"&gt;="&amp;($AM$2-X$5),
     unit_details[Leased Date],"&lt;"&amp;$AM$2,
     unit_details[Beds],$L138,
     unit_details[Baths],$M138,
     unit_details[Partial Baths],IF(ISNUMBER($N138),$N138,""),
     unit_details[Sqft],$P138,
     unit_details[Property Name],$F138)
 ),"")</f>
        <v/>
      </c>
      <c r="Z138" s="27" t="str">
        <f t="shared" si="33"/>
        <v/>
      </c>
      <c r="AA138" s="526">
        <f>IFERROR(
  IF($F138="Total",
    SUM(INDEX(AA:AA, ROW()-COUNTIF($F$6:INDEX($F:$F, ROW()-1), $F137)) : INDEX(AA:AA, ROW()-1)),
    COUNTIFS(
      unit_details[Leased Date], "&gt;="&amp;($AM$2-X$5),
      unit_details[Leased Date], "&lt;"&amp;$AM$2,
      unit_details[Beds], $L138,
      unit_details[Baths], $M138,
      unit_details[Partial Baths], IF(ISNUMBER($N138), $N138, ""),
      unit_details[Sqft],$P138,
      unit_details[Property Name], $F138
    )
  ),
"")</f>
        <v>0</v>
      </c>
      <c r="AB138" s="290">
        <f>IF($F138="Total",
SUM(INDEX(AB:AB, ROW()-COUNTIF($F$6:INDEX($F:$F, ROW()-1), $F137)) : INDEX(AB:AB, ROW()-1)),
COUNTIFS(unit_details[Active Listing?],TRUE,
          unit_details[Property Name], $F138,
          unit_details[Beds], $L138,
          unit_details[Baths], $M138,
          unit_details[Partial Baths],IF(ISNUMBER($N138),$N138,""),
          unit_details[Sqft],$P138))</f>
        <v>0</v>
      </c>
      <c r="AC138" s="27" t="str">
        <f t="shared" si="25"/>
        <v/>
      </c>
      <c r="AD138" s="293" t="str">
        <f>IFERROR(IF(AE138="","",IF($F138="Total",
SUMPRODUCT(
   INDEX(AD:AD, ROW()-COUNTIF($F$6:INDEX($F:$F, ROW()-1), $F137)) : INDEX(AD:AD, ROW()-1),
   INDEX(AB:AB, ROW()-COUNTIF($F$6:INDEX($F:$F, ROW()-1), $F137)) : INDEX(AB:AB, ROW()-1)
   )
   /SUM(INDEX(AB:AB, ROW()-COUNTIF($F$6:INDEX($F:$F, ROW()-1), $F137)) : INDEX(AB:AB, ROW()-1)),
          _xlfn.MINIFS(unit_details[Asking Rent],
          unit_details[Active Listing?],TRUE,
          unit_details[Property Name], $F138,
          unit_details[Beds], $L138,
          unit_details[Baths], $M138,
          unit_details[Partial Baths], IF(ISNUMBER($N138),$N138,""),
          unit_details[Sqft],$P138
))),"")</f>
        <v/>
      </c>
      <c r="AE138" s="5" t="str">
        <f>IFERROR(IF($F138="Total",
          SUMPRODUCT(
   INDEX(AE:AE, ROW()-COUNTIF($F$6:INDEX($F:$F, ROW()-1), $F137)) : INDEX(AE:AE, ROW()-1),
   INDEX(AB:AB, ROW()-COUNTIF($F$6:INDEX($F:$F, ROW()-1), $F137)) : INDEX(AB:AB, ROW()-1)
   )
   /SUM(INDEX(AB:AB, ROW()-COUNTIF($F$6:INDEX($F:$F, ROW()-1), $F137)) : INDEX(AB:AB, ROW()-1)),
          AVERAGEIFS(unit_details[Asking Rent],
          unit_details[Active Listing?],TRUE,
          unit_details[Property Name], $F138,
          unit_details[Beds], $L138,
          unit_details[Baths], $M138,
          unit_details[Partial Baths], IF(ISNUMBER($N138),$N138,""),
          unit_details[Sqft],$P138
)),"")</f>
        <v/>
      </c>
      <c r="AF138" s="5" t="str">
        <f>IFERROR(IF(AE138="","",IF($F138="Total",
SUMPRODUCT(
   INDEX(AF:AF, ROW()-COUNTIF($F$6:INDEX($F:$F, ROW()-1), $F137)) : INDEX(AF:AF, ROW()-1),
   INDEX(AB:AB, ROW()-COUNTIF($F$6:INDEX($F:$F, ROW()-1), $F137)) : INDEX(AB:AB, ROW()-1)
   )
   /SUM(INDEX(AB:AB, ROW()-COUNTIF($F$6:INDEX($F:$F, ROW()-1), $F137)) : INDEX(AB:AB, ROW()-1)),
           _xlfn.MAXIFS(unit_details[Asking Rent],
          unit_details[Active Listing?],TRUE,
          unit_details[Property Name], $F138,
          unit_details[Beds], $L138,
          unit_details[Baths], $M138,
          unit_details[Partial Baths], IF(ISNUMBER($N138),$N138,""),
          unit_details[Sqft],$P138
))),"")</f>
        <v/>
      </c>
      <c r="AG138" s="6" t="str">
        <f>IFERROR(IF($F138="Total",
         SUMPRODUCT(
         INDEX(AG:AG, ROW()-COUNTIF($F$6:INDEX($F:$F, ROW()-1), $F137)) : INDEX(AG:AG, ROW()-1),
         INDEX(AB:AB, ROW()-COUNTIF($F$6:INDEX($F:$F, ROW()-1), $F137)) : INDEX(AB:AB, ROW()-1)
         )
         /SUM(INDEX(AB:AB, ROW()-COUNTIF($F$6:INDEX($F:$F, ROW()-1), $F137)) : INDEX(AB:AB, ROW()-1)),
          AVERAGEIFS(unit_details[Asking PSF],
          unit_details[Active Listing?],TRUE,
          unit_details[Property Name], $F138,
          unit_details[Beds], $L138,
          unit_details[Baths], $M138,
          unit_details[Partial Baths], IF(ISNUMBER($N138),$N138,""),
          unit_details[Sqft],$P138
)),"")</f>
        <v/>
      </c>
      <c r="AH138" s="293" t="str">
        <f>IFERROR(IF($F138="Total",
         SUMPRODUCT(
         INDEX(AH:AH, ROW()-COUNTIF($F$6:INDEX($F:$F, ROW()-1), $F137)) : INDEX(AH:AH, ROW()-1),
         INDEX(AB:AB, ROW()-COUNTIF($F$6:INDEX($F:$F, ROW()-1), $F137)) : INDEX(AB:AB, ROW()-1)
         )
         /SUM(INDEX(AB:AB, ROW()-COUNTIF($F$6:INDEX($F:$F, ROW()-1), $F137)) : INDEX(AB:AB, ROW()-1)),
          AVERAGEIFS(unit_details[Effective Rent],
          unit_details[Active Listing?],TRUE,
          unit_details[Property Name], $F138,
          unit_details[Beds], $L138,
          unit_details[Baths], $M138,
          unit_details[Partial Baths], IF(ISNUMBER($N138),$N138,""),
          unit_details[Sqft],$P138
)),"")</f>
        <v/>
      </c>
      <c r="AI138" s="6" t="str">
        <f>IFERROR(IF($F138="Total",
         SUMPRODUCT(
         INDEX(AI:AI, ROW()-COUNTIF($F$6:INDEX($F:$F, ROW()-1), $F137)) : INDEX(AI:AI, ROW()-1),
         INDEX(AB:AB, ROW()-COUNTIF($F$6:INDEX($F:$F, ROW()-1), $F137)) : INDEX(AB:AB, ROW()-1)
         )
         /SUM(INDEX(AB:AB, ROW()-COUNTIF($F$6:INDEX($F:$F, ROW()-1), $F137)) : INDEX(AB:AB, ROW()-1)),
           AVERAGEIFS(unit_details[Effective PSF],
          unit_details[Active Listing?],TRUE,
          unit_details[Property Name], $F138,
          unit_details[Beds], $L138,
          unit_details[Baths], $M138,
          unit_details[Partial Baths], IF(ISNUMBER($N138),$N138,""),
          unit_details[Sqft],$P138
)),"")</f>
        <v/>
      </c>
      <c r="AJ138" s="824" t="str">
        <f t="shared" si="26"/>
        <v/>
      </c>
      <c r="AK138" s="531" t="str">
        <f t="shared" si="27"/>
        <v/>
      </c>
      <c r="AL138" s="714" t="str">
        <f t="shared" si="28"/>
        <v/>
      </c>
      <c r="AM138" s="531" t="str">
        <f t="shared" si="29"/>
        <v/>
      </c>
      <c r="AN138" s="716" t="str">
        <f t="shared" si="30"/>
        <v/>
      </c>
    </row>
    <row r="139" spans="6:40" x14ac:dyDescent="0.2">
      <c r="F139" s="1" t="str">
        <f t="shared" si="23"/>
        <v/>
      </c>
      <c r="G139" s="713" t="str">
        <f t="shared" si="31"/>
        <v/>
      </c>
      <c r="H139" s="17" t="str">
        <f>IFERROR(VLOOKUP($G139,Table1[[Property]:[Exposure %]],4,0),"")</f>
        <v/>
      </c>
      <c r="I139" s="3" t="str">
        <f>IFERROR(VLOOKUP($G139,Table1[[Property]:[Exposure %]],6,0),"")</f>
        <v/>
      </c>
      <c r="J139" s="3" t="str">
        <f>IFERROR(VLOOKUP($G139,Table1[[Property]:[Exposure %]],7,0),"")</f>
        <v/>
      </c>
      <c r="K139"/>
      <c r="L139"/>
      <c r="M139"/>
      <c r="N139"/>
      <c r="O139"/>
      <c r="P139"/>
      <c r="Q139"/>
      <c r="R139" s="4" t="str">
        <f>IFERROR(VLOOKUP(IF(F139="Total",F138,F139),Table1[[Property]:['# Units]],7,0)*S139,"")</f>
        <v/>
      </c>
      <c r="S139" s="27" t="str">
        <f t="shared" si="24"/>
        <v/>
      </c>
      <c r="T139" s="531" t="str">
        <f>IFERROR(
 IF($F139="Total",
   SUMPRODUCT(
   INDEX(T:T, ROW()-COUNTIF($F$6:INDEX($F:$F, ROW()-1), $F138)) : INDEX(T:T, ROW()-1),
   INDEX(W:W, ROW()-COUNTIF($F$6:INDEX($F:$F, ROW()-1), $F138)) : INDEX(W:W, ROW()-1)
   )
   /SUM(INDEX(W:W, ROW()-COUNTIF($F$6:INDEX($F:$F, ROW()-1), $F138)) : INDEX(W:W, ROW()-1)),
   AVERAGEIFS(
     INDEX((unit_details[Asking Rent],unit_details[Asking PSF]),0,1,IF($U$3="Chunk Rent",1,2)),
     unit_details[Leased Date],"&gt;="&amp;($AM$2-T$5),
     unit_details[Leased Date],"&lt;"&amp;$AM$2,
     unit_details[Beds],$L139,
     unit_details[Baths],$M139,
     unit_details[Partial Baths],IF(ISNUMBER($N139),$N139,""),
     unit_details[Sqft],$P139,
     unit_details[Property Name],$F139)
 ),"")</f>
        <v/>
      </c>
      <c r="U139" s="552" t="str">
        <f>IFERROR(
 IF($F139="Total",
   SUMPRODUCT(
   INDEX(U:U, ROW()-COUNTIF($F$6:INDEX($F:$F, ROW()-1), $F138)) : INDEX(U:U, ROW()-1),
   INDEX(W:W, ROW()-COUNTIF($F$6:INDEX($F:$F, ROW()-1), $F138)) : INDEX(W:W, ROW()-1)
   )
   /SUM(INDEX(W:W, ROW()-COUNTIF($F$6:INDEX($F:$F, ROW()-1), $F138)) : INDEX(W:W, ROW()-1)),
   AVERAGEIFS(
     INDEX((unit_details[Effective Rent],unit_details[Effective PSF]),0,1,IF($U$3="Chunk Rent",1,2)),
     unit_details[Leased Date],"&gt;="&amp;($AM$2-T$5),
     unit_details[Leased Date],"&lt;"&amp;$AM$2,
     unit_details[Beds],$L139,
     unit_details[Baths],$M139,
     unit_details[Partial Baths],IF(ISNUMBER($N139),$N139,""),
     unit_details[Sqft],$P139,
     unit_details[Property Name],$F139)
 ),"")</f>
        <v/>
      </c>
      <c r="V139" s="27" t="str">
        <f t="shared" si="32"/>
        <v/>
      </c>
      <c r="W139" s="526">
        <f>IFERROR(
  IF($F139="Total",
    SUM(INDEX(W:W, ROW()-COUNTIF($F$6:INDEX($F:$F, ROW()-1), $F138)) : INDEX(W:W, ROW()-1)),
    COUNTIFS(
      unit_details[Leased Date], "&gt;="&amp;($AM$2-T$5),
      unit_details[Leased Date], "&lt;"&amp;$AM$2,
      unit_details[Beds], $L139,
      unit_details[Baths], $M139,
      unit_details[Partial Baths], IF(ISNUMBER($N139), $N139, ""),
      unit_details[Sqft],$P139,
      unit_details[Property Name], $F139
    )
  ),
"")</f>
        <v>0</v>
      </c>
      <c r="X139" s="531" t="str">
        <f>IFERROR(
 IF($F139="Total",
   SUMPRODUCT(
   INDEX(X:X, ROW()-COUNTIF($F$6:INDEX($F:$F, ROW()-1), $F138)) : INDEX(X:X, ROW()-1),
   INDEX(AA:AA, ROW()-COUNTIF($F$6:INDEX($F:$F, ROW()-1), $F138)) : INDEX(AA:AA, ROW()-1)
   )
   /SUM(INDEX(AA:AA, ROW()-COUNTIF($F$6:INDEX($F:$F, ROW()-1), $F138)) : INDEX(AA:AA, ROW()-1)),
   AVERAGEIFS(
     INDEX((unit_details[Asking Rent],unit_details[Asking PSF]),0,1,IF($U$3="Chunk Rent",1,2)),
     unit_details[Leased Date],"&gt;="&amp;($AM$2-X$5),
     unit_details[Leased Date],"&lt;"&amp;$AM$2,
     unit_details[Beds],$L139,
     unit_details[Baths],$M139,
     unit_details[Partial Baths],IF(ISNUMBER($N139),$N139,""),
     unit_details[Sqft],$P139,
     unit_details[Property Name],$F139)
 ),"")</f>
        <v/>
      </c>
      <c r="Y139" s="552" t="str">
        <f>IFERROR(
 IF($F139="Total",
   SUMPRODUCT(
   INDEX(Y:Y, ROW()-COUNTIF($F$6:INDEX($F:$F, ROW()-1), $F138)) : INDEX(Y:Y, ROW()-1),
   INDEX(AA:AA, ROW()-COUNTIF($F$6:INDEX($F:$F, ROW()-1), $F138)) : INDEX(AA:AA, ROW()-1)
   )
   /SUM(INDEX(AA:AA, ROW()-COUNTIF($F$6:INDEX($F:$F, ROW()-1), $F138)) : INDEX(AA:AA, ROW()-1)),
   AVERAGEIFS(
     INDEX((unit_details[Effective Rent],unit_details[Effective PSF]),0,1,IF($U$3="Chunk Rent",1,2)),
     unit_details[Leased Date],"&gt;="&amp;($AM$2-X$5),
     unit_details[Leased Date],"&lt;"&amp;$AM$2,
     unit_details[Beds],$L139,
     unit_details[Baths],$M139,
     unit_details[Partial Baths],IF(ISNUMBER($N139),$N139,""),
     unit_details[Sqft],$P139,
     unit_details[Property Name],$F139)
 ),"")</f>
        <v/>
      </c>
      <c r="Z139" s="27" t="str">
        <f t="shared" si="33"/>
        <v/>
      </c>
      <c r="AA139" s="526">
        <f>IFERROR(
  IF($F139="Total",
    SUM(INDEX(AA:AA, ROW()-COUNTIF($F$6:INDEX($F:$F, ROW()-1), $F138)) : INDEX(AA:AA, ROW()-1)),
    COUNTIFS(
      unit_details[Leased Date], "&gt;="&amp;($AM$2-X$5),
      unit_details[Leased Date], "&lt;"&amp;$AM$2,
      unit_details[Beds], $L139,
      unit_details[Baths], $M139,
      unit_details[Partial Baths], IF(ISNUMBER($N139), $N139, ""),
      unit_details[Sqft],$P139,
      unit_details[Property Name], $F139
    )
  ),
"")</f>
        <v>0</v>
      </c>
      <c r="AB139" s="290">
        <f>IF($F139="Total",
SUM(INDEX(AB:AB, ROW()-COUNTIF($F$6:INDEX($F:$F, ROW()-1), $F138)) : INDEX(AB:AB, ROW()-1)),
COUNTIFS(unit_details[Active Listing?],TRUE,
          unit_details[Property Name], $F139,
          unit_details[Beds], $L139,
          unit_details[Baths], $M139,
          unit_details[Partial Baths],IF(ISNUMBER($N139),$N139,""),
          unit_details[Sqft],$P139))</f>
        <v>0</v>
      </c>
      <c r="AC139" s="27" t="str">
        <f t="shared" si="25"/>
        <v/>
      </c>
      <c r="AD139" s="293" t="str">
        <f>IFERROR(IF(AE139="","",IF($F139="Total",
SUMPRODUCT(
   INDEX(AD:AD, ROW()-COUNTIF($F$6:INDEX($F:$F, ROW()-1), $F138)) : INDEX(AD:AD, ROW()-1),
   INDEX(AB:AB, ROW()-COUNTIF($F$6:INDEX($F:$F, ROW()-1), $F138)) : INDEX(AB:AB, ROW()-1)
   )
   /SUM(INDEX(AB:AB, ROW()-COUNTIF($F$6:INDEX($F:$F, ROW()-1), $F138)) : INDEX(AB:AB, ROW()-1)),
          _xlfn.MINIFS(unit_details[Asking Rent],
          unit_details[Active Listing?],TRUE,
          unit_details[Property Name], $F139,
          unit_details[Beds], $L139,
          unit_details[Baths], $M139,
          unit_details[Partial Baths], IF(ISNUMBER($N139),$N139,""),
          unit_details[Sqft],$P139
))),"")</f>
        <v/>
      </c>
      <c r="AE139" s="5" t="str">
        <f>IFERROR(IF($F139="Total",
          SUMPRODUCT(
   INDEX(AE:AE, ROW()-COUNTIF($F$6:INDEX($F:$F, ROW()-1), $F138)) : INDEX(AE:AE, ROW()-1),
   INDEX(AB:AB, ROW()-COUNTIF($F$6:INDEX($F:$F, ROW()-1), $F138)) : INDEX(AB:AB, ROW()-1)
   )
   /SUM(INDEX(AB:AB, ROW()-COUNTIF($F$6:INDEX($F:$F, ROW()-1), $F138)) : INDEX(AB:AB, ROW()-1)),
          AVERAGEIFS(unit_details[Asking Rent],
          unit_details[Active Listing?],TRUE,
          unit_details[Property Name], $F139,
          unit_details[Beds], $L139,
          unit_details[Baths], $M139,
          unit_details[Partial Baths], IF(ISNUMBER($N139),$N139,""),
          unit_details[Sqft],$P139
)),"")</f>
        <v/>
      </c>
      <c r="AF139" s="5" t="str">
        <f>IFERROR(IF(AE139="","",IF($F139="Total",
SUMPRODUCT(
   INDEX(AF:AF, ROW()-COUNTIF($F$6:INDEX($F:$F, ROW()-1), $F138)) : INDEX(AF:AF, ROW()-1),
   INDEX(AB:AB, ROW()-COUNTIF($F$6:INDEX($F:$F, ROW()-1), $F138)) : INDEX(AB:AB, ROW()-1)
   )
   /SUM(INDEX(AB:AB, ROW()-COUNTIF($F$6:INDEX($F:$F, ROW()-1), $F138)) : INDEX(AB:AB, ROW()-1)),
           _xlfn.MAXIFS(unit_details[Asking Rent],
          unit_details[Active Listing?],TRUE,
          unit_details[Property Name], $F139,
          unit_details[Beds], $L139,
          unit_details[Baths], $M139,
          unit_details[Partial Baths], IF(ISNUMBER($N139),$N139,""),
          unit_details[Sqft],$P139
))),"")</f>
        <v/>
      </c>
      <c r="AG139" s="6" t="str">
        <f>IFERROR(IF($F139="Total",
         SUMPRODUCT(
         INDEX(AG:AG, ROW()-COUNTIF($F$6:INDEX($F:$F, ROW()-1), $F138)) : INDEX(AG:AG, ROW()-1),
         INDEX(AB:AB, ROW()-COUNTIF($F$6:INDEX($F:$F, ROW()-1), $F138)) : INDEX(AB:AB, ROW()-1)
         )
         /SUM(INDEX(AB:AB, ROW()-COUNTIF($F$6:INDEX($F:$F, ROW()-1), $F138)) : INDEX(AB:AB, ROW()-1)),
          AVERAGEIFS(unit_details[Asking PSF],
          unit_details[Active Listing?],TRUE,
          unit_details[Property Name], $F139,
          unit_details[Beds], $L139,
          unit_details[Baths], $M139,
          unit_details[Partial Baths], IF(ISNUMBER($N139),$N139,""),
          unit_details[Sqft],$P139
)),"")</f>
        <v/>
      </c>
      <c r="AH139" s="293" t="str">
        <f>IFERROR(IF($F139="Total",
         SUMPRODUCT(
         INDEX(AH:AH, ROW()-COUNTIF($F$6:INDEX($F:$F, ROW()-1), $F138)) : INDEX(AH:AH, ROW()-1),
         INDEX(AB:AB, ROW()-COUNTIF($F$6:INDEX($F:$F, ROW()-1), $F138)) : INDEX(AB:AB, ROW()-1)
         )
         /SUM(INDEX(AB:AB, ROW()-COUNTIF($F$6:INDEX($F:$F, ROW()-1), $F138)) : INDEX(AB:AB, ROW()-1)),
          AVERAGEIFS(unit_details[Effective Rent],
          unit_details[Active Listing?],TRUE,
          unit_details[Property Name], $F139,
          unit_details[Beds], $L139,
          unit_details[Baths], $M139,
          unit_details[Partial Baths], IF(ISNUMBER($N139),$N139,""),
          unit_details[Sqft],$P139
)),"")</f>
        <v/>
      </c>
      <c r="AI139" s="6" t="str">
        <f>IFERROR(IF($F139="Total",
         SUMPRODUCT(
         INDEX(AI:AI, ROW()-COUNTIF($F$6:INDEX($F:$F, ROW()-1), $F138)) : INDEX(AI:AI, ROW()-1),
         INDEX(AB:AB, ROW()-COUNTIF($F$6:INDEX($F:$F, ROW()-1), $F138)) : INDEX(AB:AB, ROW()-1)
         )
         /SUM(INDEX(AB:AB, ROW()-COUNTIF($F$6:INDEX($F:$F, ROW()-1), $F138)) : INDEX(AB:AB, ROW()-1)),
           AVERAGEIFS(unit_details[Effective PSF],
          unit_details[Active Listing?],TRUE,
          unit_details[Property Name], $F139,
          unit_details[Beds], $L139,
          unit_details[Baths], $M139,
          unit_details[Partial Baths], IF(ISNUMBER($N139),$N139,""),
          unit_details[Sqft],$P139
)),"")</f>
        <v/>
      </c>
      <c r="AJ139" s="824" t="str">
        <f t="shared" si="26"/>
        <v/>
      </c>
      <c r="AK139" s="531" t="str">
        <f t="shared" si="27"/>
        <v/>
      </c>
      <c r="AL139" s="714" t="str">
        <f t="shared" si="28"/>
        <v/>
      </c>
      <c r="AM139" s="531" t="str">
        <f t="shared" si="29"/>
        <v/>
      </c>
      <c r="AN139" s="716" t="str">
        <f t="shared" si="30"/>
        <v/>
      </c>
    </row>
    <row r="140" spans="6:40" x14ac:dyDescent="0.2">
      <c r="F140" s="1" t="str">
        <f t="shared" si="23"/>
        <v/>
      </c>
      <c r="G140" s="713" t="str">
        <f t="shared" si="31"/>
        <v/>
      </c>
      <c r="H140" s="17" t="str">
        <f>IFERROR(VLOOKUP($G140,Table1[[Property]:[Exposure %]],4,0),"")</f>
        <v/>
      </c>
      <c r="I140" s="3" t="str">
        <f>IFERROR(VLOOKUP($G140,Table1[[Property]:[Exposure %]],6,0),"")</f>
        <v/>
      </c>
      <c r="J140" s="3" t="str">
        <f>IFERROR(VLOOKUP($G140,Table1[[Property]:[Exposure %]],7,0),"")</f>
        <v/>
      </c>
      <c r="K140"/>
      <c r="L140"/>
      <c r="M140"/>
      <c r="N140"/>
      <c r="O140"/>
      <c r="P140"/>
      <c r="Q140"/>
      <c r="R140" s="4" t="str">
        <f>IFERROR(VLOOKUP(IF(F140="Total",F139,F140),Table1[[Property]:['# Units]],7,0)*S140,"")</f>
        <v/>
      </c>
      <c r="S140" s="27" t="str">
        <f t="shared" si="24"/>
        <v/>
      </c>
      <c r="T140" s="531" t="str">
        <f>IFERROR(
 IF($F140="Total",
   SUMPRODUCT(
   INDEX(T:T, ROW()-COUNTIF($F$6:INDEX($F:$F, ROW()-1), $F139)) : INDEX(T:T, ROW()-1),
   INDEX(W:W, ROW()-COUNTIF($F$6:INDEX($F:$F, ROW()-1), $F139)) : INDEX(W:W, ROW()-1)
   )
   /SUM(INDEX(W:W, ROW()-COUNTIF($F$6:INDEX($F:$F, ROW()-1), $F139)) : INDEX(W:W, ROW()-1)),
   AVERAGEIFS(
     INDEX((unit_details[Asking Rent],unit_details[Asking PSF]),0,1,IF($U$3="Chunk Rent",1,2)),
     unit_details[Leased Date],"&gt;="&amp;($AM$2-T$5),
     unit_details[Leased Date],"&lt;"&amp;$AM$2,
     unit_details[Beds],$L140,
     unit_details[Baths],$M140,
     unit_details[Partial Baths],IF(ISNUMBER($N140),$N140,""),
     unit_details[Sqft],$P140,
     unit_details[Property Name],$F140)
 ),"")</f>
        <v/>
      </c>
      <c r="U140" s="552" t="str">
        <f>IFERROR(
 IF($F140="Total",
   SUMPRODUCT(
   INDEX(U:U, ROW()-COUNTIF($F$6:INDEX($F:$F, ROW()-1), $F139)) : INDEX(U:U, ROW()-1),
   INDEX(W:W, ROW()-COUNTIF($F$6:INDEX($F:$F, ROW()-1), $F139)) : INDEX(W:W, ROW()-1)
   )
   /SUM(INDEX(W:W, ROW()-COUNTIF($F$6:INDEX($F:$F, ROW()-1), $F139)) : INDEX(W:W, ROW()-1)),
   AVERAGEIFS(
     INDEX((unit_details[Effective Rent],unit_details[Effective PSF]),0,1,IF($U$3="Chunk Rent",1,2)),
     unit_details[Leased Date],"&gt;="&amp;($AM$2-T$5),
     unit_details[Leased Date],"&lt;"&amp;$AM$2,
     unit_details[Beds],$L140,
     unit_details[Baths],$M140,
     unit_details[Partial Baths],IF(ISNUMBER($N140),$N140,""),
     unit_details[Sqft],$P140,
     unit_details[Property Name],$F140)
 ),"")</f>
        <v/>
      </c>
      <c r="V140" s="27" t="str">
        <f t="shared" si="32"/>
        <v/>
      </c>
      <c r="W140" s="526">
        <f>IFERROR(
  IF($F140="Total",
    SUM(INDEX(W:W, ROW()-COUNTIF($F$6:INDEX($F:$F, ROW()-1), $F139)) : INDEX(W:W, ROW()-1)),
    COUNTIFS(
      unit_details[Leased Date], "&gt;="&amp;($AM$2-T$5),
      unit_details[Leased Date], "&lt;"&amp;$AM$2,
      unit_details[Beds], $L140,
      unit_details[Baths], $M140,
      unit_details[Partial Baths], IF(ISNUMBER($N140), $N140, ""),
      unit_details[Sqft],$P140,
      unit_details[Property Name], $F140
    )
  ),
"")</f>
        <v>0</v>
      </c>
      <c r="X140" s="531" t="str">
        <f>IFERROR(
 IF($F140="Total",
   SUMPRODUCT(
   INDEX(X:X, ROW()-COUNTIF($F$6:INDEX($F:$F, ROW()-1), $F139)) : INDEX(X:X, ROW()-1),
   INDEX(AA:AA, ROW()-COUNTIF($F$6:INDEX($F:$F, ROW()-1), $F139)) : INDEX(AA:AA, ROW()-1)
   )
   /SUM(INDEX(AA:AA, ROW()-COUNTIF($F$6:INDEX($F:$F, ROW()-1), $F139)) : INDEX(AA:AA, ROW()-1)),
   AVERAGEIFS(
     INDEX((unit_details[Asking Rent],unit_details[Asking PSF]),0,1,IF($U$3="Chunk Rent",1,2)),
     unit_details[Leased Date],"&gt;="&amp;($AM$2-X$5),
     unit_details[Leased Date],"&lt;"&amp;$AM$2,
     unit_details[Beds],$L140,
     unit_details[Baths],$M140,
     unit_details[Partial Baths],IF(ISNUMBER($N140),$N140,""),
     unit_details[Sqft],$P140,
     unit_details[Property Name],$F140)
 ),"")</f>
        <v/>
      </c>
      <c r="Y140" s="552" t="str">
        <f>IFERROR(
 IF($F140="Total",
   SUMPRODUCT(
   INDEX(Y:Y, ROW()-COUNTIF($F$6:INDEX($F:$F, ROW()-1), $F139)) : INDEX(Y:Y, ROW()-1),
   INDEX(AA:AA, ROW()-COUNTIF($F$6:INDEX($F:$F, ROW()-1), $F139)) : INDEX(AA:AA, ROW()-1)
   )
   /SUM(INDEX(AA:AA, ROW()-COUNTIF($F$6:INDEX($F:$F, ROW()-1), $F139)) : INDEX(AA:AA, ROW()-1)),
   AVERAGEIFS(
     INDEX((unit_details[Effective Rent],unit_details[Effective PSF]),0,1,IF($U$3="Chunk Rent",1,2)),
     unit_details[Leased Date],"&gt;="&amp;($AM$2-X$5),
     unit_details[Leased Date],"&lt;"&amp;$AM$2,
     unit_details[Beds],$L140,
     unit_details[Baths],$M140,
     unit_details[Partial Baths],IF(ISNUMBER($N140),$N140,""),
     unit_details[Sqft],$P140,
     unit_details[Property Name],$F140)
 ),"")</f>
        <v/>
      </c>
      <c r="Z140" s="27" t="str">
        <f t="shared" si="33"/>
        <v/>
      </c>
      <c r="AA140" s="526">
        <f>IFERROR(
  IF($F140="Total",
    SUM(INDEX(AA:AA, ROW()-COUNTIF($F$6:INDEX($F:$F, ROW()-1), $F139)) : INDEX(AA:AA, ROW()-1)),
    COUNTIFS(
      unit_details[Leased Date], "&gt;="&amp;($AM$2-X$5),
      unit_details[Leased Date], "&lt;"&amp;$AM$2,
      unit_details[Beds], $L140,
      unit_details[Baths], $M140,
      unit_details[Partial Baths], IF(ISNUMBER($N140), $N140, ""),
      unit_details[Sqft],$P140,
      unit_details[Property Name], $F140
    )
  ),
"")</f>
        <v>0</v>
      </c>
      <c r="AB140" s="290">
        <f>IF($F140="Total",
SUM(INDEX(AB:AB, ROW()-COUNTIF($F$6:INDEX($F:$F, ROW()-1), $F139)) : INDEX(AB:AB, ROW()-1)),
COUNTIFS(unit_details[Active Listing?],TRUE,
          unit_details[Property Name], $F140,
          unit_details[Beds], $L140,
          unit_details[Baths], $M140,
          unit_details[Partial Baths],IF(ISNUMBER($N140),$N140,""),
          unit_details[Sqft],$P140))</f>
        <v>0</v>
      </c>
      <c r="AC140" s="27" t="str">
        <f t="shared" si="25"/>
        <v/>
      </c>
      <c r="AD140" s="293" t="str">
        <f>IFERROR(IF(AE140="","",IF($F140="Total",
SUMPRODUCT(
   INDEX(AD:AD, ROW()-COUNTIF($F$6:INDEX($F:$F, ROW()-1), $F139)) : INDEX(AD:AD, ROW()-1),
   INDEX(AB:AB, ROW()-COUNTIF($F$6:INDEX($F:$F, ROW()-1), $F139)) : INDEX(AB:AB, ROW()-1)
   )
   /SUM(INDEX(AB:AB, ROW()-COUNTIF($F$6:INDEX($F:$F, ROW()-1), $F139)) : INDEX(AB:AB, ROW()-1)),
          _xlfn.MINIFS(unit_details[Asking Rent],
          unit_details[Active Listing?],TRUE,
          unit_details[Property Name], $F140,
          unit_details[Beds], $L140,
          unit_details[Baths], $M140,
          unit_details[Partial Baths], IF(ISNUMBER($N140),$N140,""),
          unit_details[Sqft],$P140
))),"")</f>
        <v/>
      </c>
      <c r="AE140" s="5" t="str">
        <f>IFERROR(IF($F140="Total",
          SUMPRODUCT(
   INDEX(AE:AE, ROW()-COUNTIF($F$6:INDEX($F:$F, ROW()-1), $F139)) : INDEX(AE:AE, ROW()-1),
   INDEX(AB:AB, ROW()-COUNTIF($F$6:INDEX($F:$F, ROW()-1), $F139)) : INDEX(AB:AB, ROW()-1)
   )
   /SUM(INDEX(AB:AB, ROW()-COUNTIF($F$6:INDEX($F:$F, ROW()-1), $F139)) : INDEX(AB:AB, ROW()-1)),
          AVERAGEIFS(unit_details[Asking Rent],
          unit_details[Active Listing?],TRUE,
          unit_details[Property Name], $F140,
          unit_details[Beds], $L140,
          unit_details[Baths], $M140,
          unit_details[Partial Baths], IF(ISNUMBER($N140),$N140,""),
          unit_details[Sqft],$P140
)),"")</f>
        <v/>
      </c>
      <c r="AF140" s="5" t="str">
        <f>IFERROR(IF(AE140="","",IF($F140="Total",
SUMPRODUCT(
   INDEX(AF:AF, ROW()-COUNTIF($F$6:INDEX($F:$F, ROW()-1), $F139)) : INDEX(AF:AF, ROW()-1),
   INDEX(AB:AB, ROW()-COUNTIF($F$6:INDEX($F:$F, ROW()-1), $F139)) : INDEX(AB:AB, ROW()-1)
   )
   /SUM(INDEX(AB:AB, ROW()-COUNTIF($F$6:INDEX($F:$F, ROW()-1), $F139)) : INDEX(AB:AB, ROW()-1)),
           _xlfn.MAXIFS(unit_details[Asking Rent],
          unit_details[Active Listing?],TRUE,
          unit_details[Property Name], $F140,
          unit_details[Beds], $L140,
          unit_details[Baths], $M140,
          unit_details[Partial Baths], IF(ISNUMBER($N140),$N140,""),
          unit_details[Sqft],$P140
))),"")</f>
        <v/>
      </c>
      <c r="AG140" s="6" t="str">
        <f>IFERROR(IF($F140="Total",
         SUMPRODUCT(
         INDEX(AG:AG, ROW()-COUNTIF($F$6:INDEX($F:$F, ROW()-1), $F139)) : INDEX(AG:AG, ROW()-1),
         INDEX(AB:AB, ROW()-COUNTIF($F$6:INDEX($F:$F, ROW()-1), $F139)) : INDEX(AB:AB, ROW()-1)
         )
         /SUM(INDEX(AB:AB, ROW()-COUNTIF($F$6:INDEX($F:$F, ROW()-1), $F139)) : INDEX(AB:AB, ROW()-1)),
          AVERAGEIFS(unit_details[Asking PSF],
          unit_details[Active Listing?],TRUE,
          unit_details[Property Name], $F140,
          unit_details[Beds], $L140,
          unit_details[Baths], $M140,
          unit_details[Partial Baths], IF(ISNUMBER($N140),$N140,""),
          unit_details[Sqft],$P140
)),"")</f>
        <v/>
      </c>
      <c r="AH140" s="293" t="str">
        <f>IFERROR(IF($F140="Total",
         SUMPRODUCT(
         INDEX(AH:AH, ROW()-COUNTIF($F$6:INDEX($F:$F, ROW()-1), $F139)) : INDEX(AH:AH, ROW()-1),
         INDEX(AB:AB, ROW()-COUNTIF($F$6:INDEX($F:$F, ROW()-1), $F139)) : INDEX(AB:AB, ROW()-1)
         )
         /SUM(INDEX(AB:AB, ROW()-COUNTIF($F$6:INDEX($F:$F, ROW()-1), $F139)) : INDEX(AB:AB, ROW()-1)),
          AVERAGEIFS(unit_details[Effective Rent],
          unit_details[Active Listing?],TRUE,
          unit_details[Property Name], $F140,
          unit_details[Beds], $L140,
          unit_details[Baths], $M140,
          unit_details[Partial Baths], IF(ISNUMBER($N140),$N140,""),
          unit_details[Sqft],$P140
)),"")</f>
        <v/>
      </c>
      <c r="AI140" s="6" t="str">
        <f>IFERROR(IF($F140="Total",
         SUMPRODUCT(
         INDEX(AI:AI, ROW()-COUNTIF($F$6:INDEX($F:$F, ROW()-1), $F139)) : INDEX(AI:AI, ROW()-1),
         INDEX(AB:AB, ROW()-COUNTIF($F$6:INDEX($F:$F, ROW()-1), $F139)) : INDEX(AB:AB, ROW()-1)
         )
         /SUM(INDEX(AB:AB, ROW()-COUNTIF($F$6:INDEX($F:$F, ROW()-1), $F139)) : INDEX(AB:AB, ROW()-1)),
           AVERAGEIFS(unit_details[Effective PSF],
          unit_details[Active Listing?],TRUE,
          unit_details[Property Name], $F140,
          unit_details[Beds], $L140,
          unit_details[Baths], $M140,
          unit_details[Partial Baths], IF(ISNUMBER($N140),$N140,""),
          unit_details[Sqft],$P140
)),"")</f>
        <v/>
      </c>
      <c r="AJ140" s="824" t="str">
        <f t="shared" si="26"/>
        <v/>
      </c>
      <c r="AK140" s="531" t="str">
        <f t="shared" si="27"/>
        <v/>
      </c>
      <c r="AL140" s="714" t="str">
        <f t="shared" si="28"/>
        <v/>
      </c>
      <c r="AM140" s="531" t="str">
        <f t="shared" si="29"/>
        <v/>
      </c>
      <c r="AN140" s="716" t="str">
        <f t="shared" si="30"/>
        <v/>
      </c>
    </row>
    <row r="141" spans="6:40" x14ac:dyDescent="0.2">
      <c r="F141" s="1" t="str">
        <f t="shared" si="23"/>
        <v/>
      </c>
      <c r="G141" s="713" t="str">
        <f t="shared" si="31"/>
        <v/>
      </c>
      <c r="H141" s="17" t="str">
        <f>IFERROR(VLOOKUP($G141,Table1[[Property]:[Exposure %]],4,0),"")</f>
        <v/>
      </c>
      <c r="I141" s="3" t="str">
        <f>IFERROR(VLOOKUP($G141,Table1[[Property]:[Exposure %]],6,0),"")</f>
        <v/>
      </c>
      <c r="J141" s="3" t="str">
        <f>IFERROR(VLOOKUP($G141,Table1[[Property]:[Exposure %]],7,0),"")</f>
        <v/>
      </c>
      <c r="K141"/>
      <c r="L141"/>
      <c r="M141"/>
      <c r="N141"/>
      <c r="O141"/>
      <c r="P141"/>
      <c r="Q141"/>
      <c r="R141" s="4" t="str">
        <f>IFERROR(VLOOKUP(IF(F141="Total",F140,F141),Table1[[Property]:['# Units]],7,0)*S141,"")</f>
        <v/>
      </c>
      <c r="S141" s="27" t="str">
        <f t="shared" si="24"/>
        <v/>
      </c>
      <c r="T141" s="531" t="str">
        <f>IFERROR(
 IF($F141="Total",
   SUMPRODUCT(
   INDEX(T:T, ROW()-COUNTIF($F$6:INDEX($F:$F, ROW()-1), $F140)) : INDEX(T:T, ROW()-1),
   INDEX(W:W, ROW()-COUNTIF($F$6:INDEX($F:$F, ROW()-1), $F140)) : INDEX(W:W, ROW()-1)
   )
   /SUM(INDEX(W:W, ROW()-COUNTIF($F$6:INDEX($F:$F, ROW()-1), $F140)) : INDEX(W:W, ROW()-1)),
   AVERAGEIFS(
     INDEX((unit_details[Asking Rent],unit_details[Asking PSF]),0,1,IF($U$3="Chunk Rent",1,2)),
     unit_details[Leased Date],"&gt;="&amp;($AM$2-T$5),
     unit_details[Leased Date],"&lt;"&amp;$AM$2,
     unit_details[Beds],$L141,
     unit_details[Baths],$M141,
     unit_details[Partial Baths],IF(ISNUMBER($N141),$N141,""),
     unit_details[Sqft],$P141,
     unit_details[Property Name],$F141)
 ),"")</f>
        <v/>
      </c>
      <c r="U141" s="552" t="str">
        <f>IFERROR(
 IF($F141="Total",
   SUMPRODUCT(
   INDEX(U:U, ROW()-COUNTIF($F$6:INDEX($F:$F, ROW()-1), $F140)) : INDEX(U:U, ROW()-1),
   INDEX(W:W, ROW()-COUNTIF($F$6:INDEX($F:$F, ROW()-1), $F140)) : INDEX(W:W, ROW()-1)
   )
   /SUM(INDEX(W:W, ROW()-COUNTIF($F$6:INDEX($F:$F, ROW()-1), $F140)) : INDEX(W:W, ROW()-1)),
   AVERAGEIFS(
     INDEX((unit_details[Effective Rent],unit_details[Effective PSF]),0,1,IF($U$3="Chunk Rent",1,2)),
     unit_details[Leased Date],"&gt;="&amp;($AM$2-T$5),
     unit_details[Leased Date],"&lt;"&amp;$AM$2,
     unit_details[Beds],$L141,
     unit_details[Baths],$M141,
     unit_details[Partial Baths],IF(ISNUMBER($N141),$N141,""),
     unit_details[Sqft],$P141,
     unit_details[Property Name],$F141)
 ),"")</f>
        <v/>
      </c>
      <c r="V141" s="27" t="str">
        <f t="shared" si="32"/>
        <v/>
      </c>
      <c r="W141" s="526">
        <f>IFERROR(
  IF($F141="Total",
    SUM(INDEX(W:W, ROW()-COUNTIF($F$6:INDEX($F:$F, ROW()-1), $F140)) : INDEX(W:W, ROW()-1)),
    COUNTIFS(
      unit_details[Leased Date], "&gt;="&amp;($AM$2-T$5),
      unit_details[Leased Date], "&lt;"&amp;$AM$2,
      unit_details[Beds], $L141,
      unit_details[Baths], $M141,
      unit_details[Partial Baths], IF(ISNUMBER($N141), $N141, ""),
      unit_details[Sqft],$P141,
      unit_details[Property Name], $F141
    )
  ),
"")</f>
        <v>0</v>
      </c>
      <c r="X141" s="531" t="str">
        <f>IFERROR(
 IF($F141="Total",
   SUMPRODUCT(
   INDEX(X:X, ROW()-COUNTIF($F$6:INDEX($F:$F, ROW()-1), $F140)) : INDEX(X:X, ROW()-1),
   INDEX(AA:AA, ROW()-COUNTIF($F$6:INDEX($F:$F, ROW()-1), $F140)) : INDEX(AA:AA, ROW()-1)
   )
   /SUM(INDEX(AA:AA, ROW()-COUNTIF($F$6:INDEX($F:$F, ROW()-1), $F140)) : INDEX(AA:AA, ROW()-1)),
   AVERAGEIFS(
     INDEX((unit_details[Asking Rent],unit_details[Asking PSF]),0,1,IF($U$3="Chunk Rent",1,2)),
     unit_details[Leased Date],"&gt;="&amp;($AM$2-X$5),
     unit_details[Leased Date],"&lt;"&amp;$AM$2,
     unit_details[Beds],$L141,
     unit_details[Baths],$M141,
     unit_details[Partial Baths],IF(ISNUMBER($N141),$N141,""),
     unit_details[Sqft],$P141,
     unit_details[Property Name],$F141)
 ),"")</f>
        <v/>
      </c>
      <c r="Y141" s="552" t="str">
        <f>IFERROR(
 IF($F141="Total",
   SUMPRODUCT(
   INDEX(Y:Y, ROW()-COUNTIF($F$6:INDEX($F:$F, ROW()-1), $F140)) : INDEX(Y:Y, ROW()-1),
   INDEX(AA:AA, ROW()-COUNTIF($F$6:INDEX($F:$F, ROW()-1), $F140)) : INDEX(AA:AA, ROW()-1)
   )
   /SUM(INDEX(AA:AA, ROW()-COUNTIF($F$6:INDEX($F:$F, ROW()-1), $F140)) : INDEX(AA:AA, ROW()-1)),
   AVERAGEIFS(
     INDEX((unit_details[Effective Rent],unit_details[Effective PSF]),0,1,IF($U$3="Chunk Rent",1,2)),
     unit_details[Leased Date],"&gt;="&amp;($AM$2-X$5),
     unit_details[Leased Date],"&lt;"&amp;$AM$2,
     unit_details[Beds],$L141,
     unit_details[Baths],$M141,
     unit_details[Partial Baths],IF(ISNUMBER($N141),$N141,""),
     unit_details[Sqft],$P141,
     unit_details[Property Name],$F141)
 ),"")</f>
        <v/>
      </c>
      <c r="Z141" s="27" t="str">
        <f t="shared" si="33"/>
        <v/>
      </c>
      <c r="AA141" s="526">
        <f>IFERROR(
  IF($F141="Total",
    SUM(INDEX(AA:AA, ROW()-COUNTIF($F$6:INDEX($F:$F, ROW()-1), $F140)) : INDEX(AA:AA, ROW()-1)),
    COUNTIFS(
      unit_details[Leased Date], "&gt;="&amp;($AM$2-X$5),
      unit_details[Leased Date], "&lt;"&amp;$AM$2,
      unit_details[Beds], $L141,
      unit_details[Baths], $M141,
      unit_details[Partial Baths], IF(ISNUMBER($N141), $N141, ""),
      unit_details[Sqft],$P141,
      unit_details[Property Name], $F141
    )
  ),
"")</f>
        <v>0</v>
      </c>
      <c r="AB141" s="290">
        <f>IF($F141="Total",
SUM(INDEX(AB:AB, ROW()-COUNTIF($F$6:INDEX($F:$F, ROW()-1), $F140)) : INDEX(AB:AB, ROW()-1)),
COUNTIFS(unit_details[Active Listing?],TRUE,
          unit_details[Property Name], $F141,
          unit_details[Beds], $L141,
          unit_details[Baths], $M141,
          unit_details[Partial Baths],IF(ISNUMBER($N141),$N141,""),
          unit_details[Sqft],$P141))</f>
        <v>0</v>
      </c>
      <c r="AC141" s="27" t="str">
        <f t="shared" si="25"/>
        <v/>
      </c>
      <c r="AD141" s="293" t="str">
        <f>IFERROR(IF(AE141="","",IF($F141="Total",
SUMPRODUCT(
   INDEX(AD:AD, ROW()-COUNTIF($F$6:INDEX($F:$F, ROW()-1), $F140)) : INDEX(AD:AD, ROW()-1),
   INDEX(AB:AB, ROW()-COUNTIF($F$6:INDEX($F:$F, ROW()-1), $F140)) : INDEX(AB:AB, ROW()-1)
   )
   /SUM(INDEX(AB:AB, ROW()-COUNTIF($F$6:INDEX($F:$F, ROW()-1), $F140)) : INDEX(AB:AB, ROW()-1)),
          _xlfn.MINIFS(unit_details[Asking Rent],
          unit_details[Active Listing?],TRUE,
          unit_details[Property Name], $F141,
          unit_details[Beds], $L141,
          unit_details[Baths], $M141,
          unit_details[Partial Baths], IF(ISNUMBER($N141),$N141,""),
          unit_details[Sqft],$P141
))),"")</f>
        <v/>
      </c>
      <c r="AE141" s="5" t="str">
        <f>IFERROR(IF($F141="Total",
          SUMPRODUCT(
   INDEX(AE:AE, ROW()-COUNTIF($F$6:INDEX($F:$F, ROW()-1), $F140)) : INDEX(AE:AE, ROW()-1),
   INDEX(AB:AB, ROW()-COUNTIF($F$6:INDEX($F:$F, ROW()-1), $F140)) : INDEX(AB:AB, ROW()-1)
   )
   /SUM(INDEX(AB:AB, ROW()-COUNTIF($F$6:INDEX($F:$F, ROW()-1), $F140)) : INDEX(AB:AB, ROW()-1)),
          AVERAGEIFS(unit_details[Asking Rent],
          unit_details[Active Listing?],TRUE,
          unit_details[Property Name], $F141,
          unit_details[Beds], $L141,
          unit_details[Baths], $M141,
          unit_details[Partial Baths], IF(ISNUMBER($N141),$N141,""),
          unit_details[Sqft],$P141
)),"")</f>
        <v/>
      </c>
      <c r="AF141" s="5" t="str">
        <f>IFERROR(IF(AE141="","",IF($F141="Total",
SUMPRODUCT(
   INDEX(AF:AF, ROW()-COUNTIF($F$6:INDEX($F:$F, ROW()-1), $F140)) : INDEX(AF:AF, ROW()-1),
   INDEX(AB:AB, ROW()-COUNTIF($F$6:INDEX($F:$F, ROW()-1), $F140)) : INDEX(AB:AB, ROW()-1)
   )
   /SUM(INDEX(AB:AB, ROW()-COUNTIF($F$6:INDEX($F:$F, ROW()-1), $F140)) : INDEX(AB:AB, ROW()-1)),
           _xlfn.MAXIFS(unit_details[Asking Rent],
          unit_details[Active Listing?],TRUE,
          unit_details[Property Name], $F141,
          unit_details[Beds], $L141,
          unit_details[Baths], $M141,
          unit_details[Partial Baths], IF(ISNUMBER($N141),$N141,""),
          unit_details[Sqft],$P141
))),"")</f>
        <v/>
      </c>
      <c r="AG141" s="6" t="str">
        <f>IFERROR(IF($F141="Total",
         SUMPRODUCT(
         INDEX(AG:AG, ROW()-COUNTIF($F$6:INDEX($F:$F, ROW()-1), $F140)) : INDEX(AG:AG, ROW()-1),
         INDEX(AB:AB, ROW()-COUNTIF($F$6:INDEX($F:$F, ROW()-1), $F140)) : INDEX(AB:AB, ROW()-1)
         )
         /SUM(INDEX(AB:AB, ROW()-COUNTIF($F$6:INDEX($F:$F, ROW()-1), $F140)) : INDEX(AB:AB, ROW()-1)),
          AVERAGEIFS(unit_details[Asking PSF],
          unit_details[Active Listing?],TRUE,
          unit_details[Property Name], $F141,
          unit_details[Beds], $L141,
          unit_details[Baths], $M141,
          unit_details[Partial Baths], IF(ISNUMBER($N141),$N141,""),
          unit_details[Sqft],$P141
)),"")</f>
        <v/>
      </c>
      <c r="AH141" s="293" t="str">
        <f>IFERROR(IF($F141="Total",
         SUMPRODUCT(
         INDEX(AH:AH, ROW()-COUNTIF($F$6:INDEX($F:$F, ROW()-1), $F140)) : INDEX(AH:AH, ROW()-1),
         INDEX(AB:AB, ROW()-COUNTIF($F$6:INDEX($F:$F, ROW()-1), $F140)) : INDEX(AB:AB, ROW()-1)
         )
         /SUM(INDEX(AB:AB, ROW()-COUNTIF($F$6:INDEX($F:$F, ROW()-1), $F140)) : INDEX(AB:AB, ROW()-1)),
          AVERAGEIFS(unit_details[Effective Rent],
          unit_details[Active Listing?],TRUE,
          unit_details[Property Name], $F141,
          unit_details[Beds], $L141,
          unit_details[Baths], $M141,
          unit_details[Partial Baths], IF(ISNUMBER($N141),$N141,""),
          unit_details[Sqft],$P141
)),"")</f>
        <v/>
      </c>
      <c r="AI141" s="6" t="str">
        <f>IFERROR(IF($F141="Total",
         SUMPRODUCT(
         INDEX(AI:AI, ROW()-COUNTIF($F$6:INDEX($F:$F, ROW()-1), $F140)) : INDEX(AI:AI, ROW()-1),
         INDEX(AB:AB, ROW()-COUNTIF($F$6:INDEX($F:$F, ROW()-1), $F140)) : INDEX(AB:AB, ROW()-1)
         )
         /SUM(INDEX(AB:AB, ROW()-COUNTIF($F$6:INDEX($F:$F, ROW()-1), $F140)) : INDEX(AB:AB, ROW()-1)),
           AVERAGEIFS(unit_details[Effective PSF],
          unit_details[Active Listing?],TRUE,
          unit_details[Property Name], $F141,
          unit_details[Beds], $L141,
          unit_details[Baths], $M141,
          unit_details[Partial Baths], IF(ISNUMBER($N141),$N141,""),
          unit_details[Sqft],$P141
)),"")</f>
        <v/>
      </c>
      <c r="AJ141" s="824" t="str">
        <f t="shared" si="26"/>
        <v/>
      </c>
      <c r="AK141" s="531" t="str">
        <f t="shared" si="27"/>
        <v/>
      </c>
      <c r="AL141" s="714" t="str">
        <f t="shared" si="28"/>
        <v/>
      </c>
      <c r="AM141" s="531" t="str">
        <f t="shared" si="29"/>
        <v/>
      </c>
      <c r="AN141" s="716" t="str">
        <f t="shared" si="30"/>
        <v/>
      </c>
    </row>
    <row r="142" spans="6:40" x14ac:dyDescent="0.2">
      <c r="F142" s="1" t="str">
        <f t="shared" si="23"/>
        <v/>
      </c>
      <c r="G142" s="713" t="str">
        <f t="shared" si="31"/>
        <v/>
      </c>
      <c r="H142" s="17" t="str">
        <f>IFERROR(VLOOKUP($G142,Table1[[Property]:[Exposure %]],4,0),"")</f>
        <v/>
      </c>
      <c r="I142" s="3" t="str">
        <f>IFERROR(VLOOKUP($G142,Table1[[Property]:[Exposure %]],6,0),"")</f>
        <v/>
      </c>
      <c r="J142" s="3" t="str">
        <f>IFERROR(VLOOKUP($G142,Table1[[Property]:[Exposure %]],7,0),"")</f>
        <v/>
      </c>
      <c r="K142"/>
      <c r="L142"/>
      <c r="M142"/>
      <c r="N142"/>
      <c r="O142"/>
      <c r="P142"/>
      <c r="Q142"/>
      <c r="R142" s="4" t="str">
        <f>IFERROR(VLOOKUP(IF(F142="Total",F141,F142),Table1[[Property]:['# Units]],7,0)*S142,"")</f>
        <v/>
      </c>
      <c r="S142" s="27" t="str">
        <f t="shared" si="24"/>
        <v/>
      </c>
      <c r="T142" s="531" t="str">
        <f>IFERROR(
 IF($F142="Total",
   SUMPRODUCT(
   INDEX(T:T, ROW()-COUNTIF($F$6:INDEX($F:$F, ROW()-1), $F141)) : INDEX(T:T, ROW()-1),
   INDEX(W:W, ROW()-COUNTIF($F$6:INDEX($F:$F, ROW()-1), $F141)) : INDEX(W:W, ROW()-1)
   )
   /SUM(INDEX(W:W, ROW()-COUNTIF($F$6:INDEX($F:$F, ROW()-1), $F141)) : INDEX(W:W, ROW()-1)),
   AVERAGEIFS(
     INDEX((unit_details[Asking Rent],unit_details[Asking PSF]),0,1,IF($U$3="Chunk Rent",1,2)),
     unit_details[Leased Date],"&gt;="&amp;($AM$2-T$5),
     unit_details[Leased Date],"&lt;"&amp;$AM$2,
     unit_details[Beds],$L142,
     unit_details[Baths],$M142,
     unit_details[Partial Baths],IF(ISNUMBER($N142),$N142,""),
     unit_details[Sqft],$P142,
     unit_details[Property Name],$F142)
 ),"")</f>
        <v/>
      </c>
      <c r="U142" s="552" t="str">
        <f>IFERROR(
 IF($F142="Total",
   SUMPRODUCT(
   INDEX(U:U, ROW()-COUNTIF($F$6:INDEX($F:$F, ROW()-1), $F141)) : INDEX(U:U, ROW()-1),
   INDEX(W:W, ROW()-COUNTIF($F$6:INDEX($F:$F, ROW()-1), $F141)) : INDEX(W:W, ROW()-1)
   )
   /SUM(INDEX(W:W, ROW()-COUNTIF($F$6:INDEX($F:$F, ROW()-1), $F141)) : INDEX(W:W, ROW()-1)),
   AVERAGEIFS(
     INDEX((unit_details[Effective Rent],unit_details[Effective PSF]),0,1,IF($U$3="Chunk Rent",1,2)),
     unit_details[Leased Date],"&gt;="&amp;($AM$2-T$5),
     unit_details[Leased Date],"&lt;"&amp;$AM$2,
     unit_details[Beds],$L142,
     unit_details[Baths],$M142,
     unit_details[Partial Baths],IF(ISNUMBER($N142),$N142,""),
     unit_details[Sqft],$P142,
     unit_details[Property Name],$F142)
 ),"")</f>
        <v/>
      </c>
      <c r="V142" s="27" t="str">
        <f t="shared" si="32"/>
        <v/>
      </c>
      <c r="W142" s="526">
        <f>IFERROR(
  IF($F142="Total",
    SUM(INDEX(W:W, ROW()-COUNTIF($F$6:INDEX($F:$F, ROW()-1), $F141)) : INDEX(W:W, ROW()-1)),
    COUNTIFS(
      unit_details[Leased Date], "&gt;="&amp;($AM$2-T$5),
      unit_details[Leased Date], "&lt;"&amp;$AM$2,
      unit_details[Beds], $L142,
      unit_details[Baths], $M142,
      unit_details[Partial Baths], IF(ISNUMBER($N142), $N142, ""),
      unit_details[Sqft],$P142,
      unit_details[Property Name], $F142
    )
  ),
"")</f>
        <v>0</v>
      </c>
      <c r="X142" s="531" t="str">
        <f>IFERROR(
 IF($F142="Total",
   SUMPRODUCT(
   INDEX(X:X, ROW()-COUNTIF($F$6:INDEX($F:$F, ROW()-1), $F141)) : INDEX(X:X, ROW()-1),
   INDEX(AA:AA, ROW()-COUNTIF($F$6:INDEX($F:$F, ROW()-1), $F141)) : INDEX(AA:AA, ROW()-1)
   )
   /SUM(INDEX(AA:AA, ROW()-COUNTIF($F$6:INDEX($F:$F, ROW()-1), $F141)) : INDEX(AA:AA, ROW()-1)),
   AVERAGEIFS(
     INDEX((unit_details[Asking Rent],unit_details[Asking PSF]),0,1,IF($U$3="Chunk Rent",1,2)),
     unit_details[Leased Date],"&gt;="&amp;($AM$2-X$5),
     unit_details[Leased Date],"&lt;"&amp;$AM$2,
     unit_details[Beds],$L142,
     unit_details[Baths],$M142,
     unit_details[Partial Baths],IF(ISNUMBER($N142),$N142,""),
     unit_details[Sqft],$P142,
     unit_details[Property Name],$F142)
 ),"")</f>
        <v/>
      </c>
      <c r="Y142" s="552" t="str">
        <f>IFERROR(
 IF($F142="Total",
   SUMPRODUCT(
   INDEX(Y:Y, ROW()-COUNTIF($F$6:INDEX($F:$F, ROW()-1), $F141)) : INDEX(Y:Y, ROW()-1),
   INDEX(AA:AA, ROW()-COUNTIF($F$6:INDEX($F:$F, ROW()-1), $F141)) : INDEX(AA:AA, ROW()-1)
   )
   /SUM(INDEX(AA:AA, ROW()-COUNTIF($F$6:INDEX($F:$F, ROW()-1), $F141)) : INDEX(AA:AA, ROW()-1)),
   AVERAGEIFS(
     INDEX((unit_details[Effective Rent],unit_details[Effective PSF]),0,1,IF($U$3="Chunk Rent",1,2)),
     unit_details[Leased Date],"&gt;="&amp;($AM$2-X$5),
     unit_details[Leased Date],"&lt;"&amp;$AM$2,
     unit_details[Beds],$L142,
     unit_details[Baths],$M142,
     unit_details[Partial Baths],IF(ISNUMBER($N142),$N142,""),
     unit_details[Sqft],$P142,
     unit_details[Property Name],$F142)
 ),"")</f>
        <v/>
      </c>
      <c r="Z142" s="27" t="str">
        <f t="shared" si="33"/>
        <v/>
      </c>
      <c r="AA142" s="526">
        <f>IFERROR(
  IF($F142="Total",
    SUM(INDEX(AA:AA, ROW()-COUNTIF($F$6:INDEX($F:$F, ROW()-1), $F141)) : INDEX(AA:AA, ROW()-1)),
    COUNTIFS(
      unit_details[Leased Date], "&gt;="&amp;($AM$2-X$5),
      unit_details[Leased Date], "&lt;"&amp;$AM$2,
      unit_details[Beds], $L142,
      unit_details[Baths], $M142,
      unit_details[Partial Baths], IF(ISNUMBER($N142), $N142, ""),
      unit_details[Sqft],$P142,
      unit_details[Property Name], $F142
    )
  ),
"")</f>
        <v>0</v>
      </c>
      <c r="AB142" s="290">
        <f>IF($F142="Total",
SUM(INDEX(AB:AB, ROW()-COUNTIF($F$6:INDEX($F:$F, ROW()-1), $F141)) : INDEX(AB:AB, ROW()-1)),
COUNTIFS(unit_details[Active Listing?],TRUE,
          unit_details[Property Name], $F142,
          unit_details[Beds], $L142,
          unit_details[Baths], $M142,
          unit_details[Partial Baths],IF(ISNUMBER($N142),$N142,""),
          unit_details[Sqft],$P142))</f>
        <v>0</v>
      </c>
      <c r="AC142" s="27" t="str">
        <f t="shared" si="25"/>
        <v/>
      </c>
      <c r="AD142" s="293" t="str">
        <f>IFERROR(IF(AE142="","",IF($F142="Total",
SUMPRODUCT(
   INDEX(AD:AD, ROW()-COUNTIF($F$6:INDEX($F:$F, ROW()-1), $F141)) : INDEX(AD:AD, ROW()-1),
   INDEX(AB:AB, ROW()-COUNTIF($F$6:INDEX($F:$F, ROW()-1), $F141)) : INDEX(AB:AB, ROW()-1)
   )
   /SUM(INDEX(AB:AB, ROW()-COUNTIF($F$6:INDEX($F:$F, ROW()-1), $F141)) : INDEX(AB:AB, ROW()-1)),
          _xlfn.MINIFS(unit_details[Asking Rent],
          unit_details[Active Listing?],TRUE,
          unit_details[Property Name], $F142,
          unit_details[Beds], $L142,
          unit_details[Baths], $M142,
          unit_details[Partial Baths], IF(ISNUMBER($N142),$N142,""),
          unit_details[Sqft],$P142
))),"")</f>
        <v/>
      </c>
      <c r="AE142" s="5" t="str">
        <f>IFERROR(IF($F142="Total",
          SUMPRODUCT(
   INDEX(AE:AE, ROW()-COUNTIF($F$6:INDEX($F:$F, ROW()-1), $F141)) : INDEX(AE:AE, ROW()-1),
   INDEX(AB:AB, ROW()-COUNTIF($F$6:INDEX($F:$F, ROW()-1), $F141)) : INDEX(AB:AB, ROW()-1)
   )
   /SUM(INDEX(AB:AB, ROW()-COUNTIF($F$6:INDEX($F:$F, ROW()-1), $F141)) : INDEX(AB:AB, ROW()-1)),
          AVERAGEIFS(unit_details[Asking Rent],
          unit_details[Active Listing?],TRUE,
          unit_details[Property Name], $F142,
          unit_details[Beds], $L142,
          unit_details[Baths], $M142,
          unit_details[Partial Baths], IF(ISNUMBER($N142),$N142,""),
          unit_details[Sqft],$P142
)),"")</f>
        <v/>
      </c>
      <c r="AF142" s="5" t="str">
        <f>IFERROR(IF(AE142="","",IF($F142="Total",
SUMPRODUCT(
   INDEX(AF:AF, ROW()-COUNTIF($F$6:INDEX($F:$F, ROW()-1), $F141)) : INDEX(AF:AF, ROW()-1),
   INDEX(AB:AB, ROW()-COUNTIF($F$6:INDEX($F:$F, ROW()-1), $F141)) : INDEX(AB:AB, ROW()-1)
   )
   /SUM(INDEX(AB:AB, ROW()-COUNTIF($F$6:INDEX($F:$F, ROW()-1), $F141)) : INDEX(AB:AB, ROW()-1)),
           _xlfn.MAXIFS(unit_details[Asking Rent],
          unit_details[Active Listing?],TRUE,
          unit_details[Property Name], $F142,
          unit_details[Beds], $L142,
          unit_details[Baths], $M142,
          unit_details[Partial Baths], IF(ISNUMBER($N142),$N142,""),
          unit_details[Sqft],$P142
))),"")</f>
        <v/>
      </c>
      <c r="AG142" s="6" t="str">
        <f>IFERROR(IF($F142="Total",
         SUMPRODUCT(
         INDEX(AG:AG, ROW()-COUNTIF($F$6:INDEX($F:$F, ROW()-1), $F141)) : INDEX(AG:AG, ROW()-1),
         INDEX(AB:AB, ROW()-COUNTIF($F$6:INDEX($F:$F, ROW()-1), $F141)) : INDEX(AB:AB, ROW()-1)
         )
         /SUM(INDEX(AB:AB, ROW()-COUNTIF($F$6:INDEX($F:$F, ROW()-1), $F141)) : INDEX(AB:AB, ROW()-1)),
          AVERAGEIFS(unit_details[Asking PSF],
          unit_details[Active Listing?],TRUE,
          unit_details[Property Name], $F142,
          unit_details[Beds], $L142,
          unit_details[Baths], $M142,
          unit_details[Partial Baths], IF(ISNUMBER($N142),$N142,""),
          unit_details[Sqft],$P142
)),"")</f>
        <v/>
      </c>
      <c r="AH142" s="293" t="str">
        <f>IFERROR(IF($F142="Total",
         SUMPRODUCT(
         INDEX(AH:AH, ROW()-COUNTIF($F$6:INDEX($F:$F, ROW()-1), $F141)) : INDEX(AH:AH, ROW()-1),
         INDEX(AB:AB, ROW()-COUNTIF($F$6:INDEX($F:$F, ROW()-1), $F141)) : INDEX(AB:AB, ROW()-1)
         )
         /SUM(INDEX(AB:AB, ROW()-COUNTIF($F$6:INDEX($F:$F, ROW()-1), $F141)) : INDEX(AB:AB, ROW()-1)),
          AVERAGEIFS(unit_details[Effective Rent],
          unit_details[Active Listing?],TRUE,
          unit_details[Property Name], $F142,
          unit_details[Beds], $L142,
          unit_details[Baths], $M142,
          unit_details[Partial Baths], IF(ISNUMBER($N142),$N142,""),
          unit_details[Sqft],$P142
)),"")</f>
        <v/>
      </c>
      <c r="AI142" s="6" t="str">
        <f>IFERROR(IF($F142="Total",
         SUMPRODUCT(
         INDEX(AI:AI, ROW()-COUNTIF($F$6:INDEX($F:$F, ROW()-1), $F141)) : INDEX(AI:AI, ROW()-1),
         INDEX(AB:AB, ROW()-COUNTIF($F$6:INDEX($F:$F, ROW()-1), $F141)) : INDEX(AB:AB, ROW()-1)
         )
         /SUM(INDEX(AB:AB, ROW()-COUNTIF($F$6:INDEX($F:$F, ROW()-1), $F141)) : INDEX(AB:AB, ROW()-1)),
           AVERAGEIFS(unit_details[Effective PSF],
          unit_details[Active Listing?],TRUE,
          unit_details[Property Name], $F142,
          unit_details[Beds], $L142,
          unit_details[Baths], $M142,
          unit_details[Partial Baths], IF(ISNUMBER($N142),$N142,""),
          unit_details[Sqft],$P142
)),"")</f>
        <v/>
      </c>
      <c r="AJ142" s="824" t="str">
        <f t="shared" si="26"/>
        <v/>
      </c>
      <c r="AK142" s="531" t="str">
        <f t="shared" si="27"/>
        <v/>
      </c>
      <c r="AL142" s="714" t="str">
        <f t="shared" si="28"/>
        <v/>
      </c>
      <c r="AM142" s="531" t="str">
        <f t="shared" si="29"/>
        <v/>
      </c>
      <c r="AN142" s="716" t="str">
        <f t="shared" si="30"/>
        <v/>
      </c>
    </row>
    <row r="143" spans="6:40" x14ac:dyDescent="0.2">
      <c r="F143" s="1" t="str">
        <f t="shared" si="23"/>
        <v/>
      </c>
      <c r="G143" s="713" t="str">
        <f t="shared" si="31"/>
        <v/>
      </c>
      <c r="H143" s="17" t="str">
        <f>IFERROR(VLOOKUP($G143,Table1[[Property]:[Exposure %]],4,0),"")</f>
        <v/>
      </c>
      <c r="I143" s="3" t="str">
        <f>IFERROR(VLOOKUP($G143,Table1[[Property]:[Exposure %]],6,0),"")</f>
        <v/>
      </c>
      <c r="J143" s="3" t="str">
        <f>IFERROR(VLOOKUP($G143,Table1[[Property]:[Exposure %]],7,0),"")</f>
        <v/>
      </c>
      <c r="K143"/>
      <c r="L143"/>
      <c r="M143"/>
      <c r="N143"/>
      <c r="O143"/>
      <c r="P143"/>
      <c r="Q143"/>
      <c r="R143" s="4" t="str">
        <f>IFERROR(VLOOKUP(IF(F143="Total",F142,F143),Table1[[Property]:['# Units]],7,0)*S143,"")</f>
        <v/>
      </c>
      <c r="S143" s="27" t="str">
        <f t="shared" si="24"/>
        <v/>
      </c>
      <c r="T143" s="531" t="str">
        <f>IFERROR(
 IF($F143="Total",
   SUMPRODUCT(
   INDEX(T:T, ROW()-COUNTIF($F$6:INDEX($F:$F, ROW()-1), $F142)) : INDEX(T:T, ROW()-1),
   INDEX(W:W, ROW()-COUNTIF($F$6:INDEX($F:$F, ROW()-1), $F142)) : INDEX(W:W, ROW()-1)
   )
   /SUM(INDEX(W:W, ROW()-COUNTIF($F$6:INDEX($F:$F, ROW()-1), $F142)) : INDEX(W:W, ROW()-1)),
   AVERAGEIFS(
     INDEX((unit_details[Asking Rent],unit_details[Asking PSF]),0,1,IF($U$3="Chunk Rent",1,2)),
     unit_details[Leased Date],"&gt;="&amp;($AM$2-T$5),
     unit_details[Leased Date],"&lt;"&amp;$AM$2,
     unit_details[Beds],$L143,
     unit_details[Baths],$M143,
     unit_details[Partial Baths],IF(ISNUMBER($N143),$N143,""),
     unit_details[Sqft],$P143,
     unit_details[Property Name],$F143)
 ),"")</f>
        <v/>
      </c>
      <c r="U143" s="552" t="str">
        <f>IFERROR(
 IF($F143="Total",
   SUMPRODUCT(
   INDEX(U:U, ROW()-COUNTIF($F$6:INDEX($F:$F, ROW()-1), $F142)) : INDEX(U:U, ROW()-1),
   INDEX(W:W, ROW()-COUNTIF($F$6:INDEX($F:$F, ROW()-1), $F142)) : INDEX(W:W, ROW()-1)
   )
   /SUM(INDEX(W:W, ROW()-COUNTIF($F$6:INDEX($F:$F, ROW()-1), $F142)) : INDEX(W:W, ROW()-1)),
   AVERAGEIFS(
     INDEX((unit_details[Effective Rent],unit_details[Effective PSF]),0,1,IF($U$3="Chunk Rent",1,2)),
     unit_details[Leased Date],"&gt;="&amp;($AM$2-T$5),
     unit_details[Leased Date],"&lt;"&amp;$AM$2,
     unit_details[Beds],$L143,
     unit_details[Baths],$M143,
     unit_details[Partial Baths],IF(ISNUMBER($N143),$N143,""),
     unit_details[Sqft],$P143,
     unit_details[Property Name],$F143)
 ),"")</f>
        <v/>
      </c>
      <c r="V143" s="27" t="str">
        <f t="shared" si="32"/>
        <v/>
      </c>
      <c r="W143" s="526">
        <f>IFERROR(
  IF($F143="Total",
    SUM(INDEX(W:W, ROW()-COUNTIF($F$6:INDEX($F:$F, ROW()-1), $F142)) : INDEX(W:W, ROW()-1)),
    COUNTIFS(
      unit_details[Leased Date], "&gt;="&amp;($AM$2-T$5),
      unit_details[Leased Date], "&lt;"&amp;$AM$2,
      unit_details[Beds], $L143,
      unit_details[Baths], $M143,
      unit_details[Partial Baths], IF(ISNUMBER($N143), $N143, ""),
      unit_details[Sqft],$P143,
      unit_details[Property Name], $F143
    )
  ),
"")</f>
        <v>0</v>
      </c>
      <c r="X143" s="531" t="str">
        <f>IFERROR(
 IF($F143="Total",
   SUMPRODUCT(
   INDEX(X:X, ROW()-COUNTIF($F$6:INDEX($F:$F, ROW()-1), $F142)) : INDEX(X:X, ROW()-1),
   INDEX(AA:AA, ROW()-COUNTIF($F$6:INDEX($F:$F, ROW()-1), $F142)) : INDEX(AA:AA, ROW()-1)
   )
   /SUM(INDEX(AA:AA, ROW()-COUNTIF($F$6:INDEX($F:$F, ROW()-1), $F142)) : INDEX(AA:AA, ROW()-1)),
   AVERAGEIFS(
     INDEX((unit_details[Asking Rent],unit_details[Asking PSF]),0,1,IF($U$3="Chunk Rent",1,2)),
     unit_details[Leased Date],"&gt;="&amp;($AM$2-X$5),
     unit_details[Leased Date],"&lt;"&amp;$AM$2,
     unit_details[Beds],$L143,
     unit_details[Baths],$M143,
     unit_details[Partial Baths],IF(ISNUMBER($N143),$N143,""),
     unit_details[Sqft],$P143,
     unit_details[Property Name],$F143)
 ),"")</f>
        <v/>
      </c>
      <c r="Y143" s="552" t="str">
        <f>IFERROR(
 IF($F143="Total",
   SUMPRODUCT(
   INDEX(Y:Y, ROW()-COUNTIF($F$6:INDEX($F:$F, ROW()-1), $F142)) : INDEX(Y:Y, ROW()-1),
   INDEX(AA:AA, ROW()-COUNTIF($F$6:INDEX($F:$F, ROW()-1), $F142)) : INDEX(AA:AA, ROW()-1)
   )
   /SUM(INDEX(AA:AA, ROW()-COUNTIF($F$6:INDEX($F:$F, ROW()-1), $F142)) : INDEX(AA:AA, ROW()-1)),
   AVERAGEIFS(
     INDEX((unit_details[Effective Rent],unit_details[Effective PSF]),0,1,IF($U$3="Chunk Rent",1,2)),
     unit_details[Leased Date],"&gt;="&amp;($AM$2-X$5),
     unit_details[Leased Date],"&lt;"&amp;$AM$2,
     unit_details[Beds],$L143,
     unit_details[Baths],$M143,
     unit_details[Partial Baths],IF(ISNUMBER($N143),$N143,""),
     unit_details[Sqft],$P143,
     unit_details[Property Name],$F143)
 ),"")</f>
        <v/>
      </c>
      <c r="Z143" s="27" t="str">
        <f t="shared" si="33"/>
        <v/>
      </c>
      <c r="AA143" s="526">
        <f>IFERROR(
  IF($F143="Total",
    SUM(INDEX(AA:AA, ROW()-COUNTIF($F$6:INDEX($F:$F, ROW()-1), $F142)) : INDEX(AA:AA, ROW()-1)),
    COUNTIFS(
      unit_details[Leased Date], "&gt;="&amp;($AM$2-X$5),
      unit_details[Leased Date], "&lt;"&amp;$AM$2,
      unit_details[Beds], $L143,
      unit_details[Baths], $M143,
      unit_details[Partial Baths], IF(ISNUMBER($N143), $N143, ""),
      unit_details[Sqft],$P143,
      unit_details[Property Name], $F143
    )
  ),
"")</f>
        <v>0</v>
      </c>
      <c r="AB143" s="290">
        <f>IF($F143="Total",
SUM(INDEX(AB:AB, ROW()-COUNTIF($F$6:INDEX($F:$F, ROW()-1), $F142)) : INDEX(AB:AB, ROW()-1)),
COUNTIFS(unit_details[Active Listing?],TRUE,
          unit_details[Property Name], $F143,
          unit_details[Beds], $L143,
          unit_details[Baths], $M143,
          unit_details[Partial Baths],IF(ISNUMBER($N143),$N143,""),
          unit_details[Sqft],$P143))</f>
        <v>0</v>
      </c>
      <c r="AC143" s="27" t="str">
        <f t="shared" si="25"/>
        <v/>
      </c>
      <c r="AD143" s="293" t="str">
        <f>IFERROR(IF(AE143="","",IF($F143="Total",
SUMPRODUCT(
   INDEX(AD:AD, ROW()-COUNTIF($F$6:INDEX($F:$F, ROW()-1), $F142)) : INDEX(AD:AD, ROW()-1),
   INDEX(AB:AB, ROW()-COUNTIF($F$6:INDEX($F:$F, ROW()-1), $F142)) : INDEX(AB:AB, ROW()-1)
   )
   /SUM(INDEX(AB:AB, ROW()-COUNTIF($F$6:INDEX($F:$F, ROW()-1), $F142)) : INDEX(AB:AB, ROW()-1)),
          _xlfn.MINIFS(unit_details[Asking Rent],
          unit_details[Active Listing?],TRUE,
          unit_details[Property Name], $F143,
          unit_details[Beds], $L143,
          unit_details[Baths], $M143,
          unit_details[Partial Baths], IF(ISNUMBER($N143),$N143,""),
          unit_details[Sqft],$P143
))),"")</f>
        <v/>
      </c>
      <c r="AE143" s="5" t="str">
        <f>IFERROR(IF($F143="Total",
          SUMPRODUCT(
   INDEX(AE:AE, ROW()-COUNTIF($F$6:INDEX($F:$F, ROW()-1), $F142)) : INDEX(AE:AE, ROW()-1),
   INDEX(AB:AB, ROW()-COUNTIF($F$6:INDEX($F:$F, ROW()-1), $F142)) : INDEX(AB:AB, ROW()-1)
   )
   /SUM(INDEX(AB:AB, ROW()-COUNTIF($F$6:INDEX($F:$F, ROW()-1), $F142)) : INDEX(AB:AB, ROW()-1)),
          AVERAGEIFS(unit_details[Asking Rent],
          unit_details[Active Listing?],TRUE,
          unit_details[Property Name], $F143,
          unit_details[Beds], $L143,
          unit_details[Baths], $M143,
          unit_details[Partial Baths], IF(ISNUMBER($N143),$N143,""),
          unit_details[Sqft],$P143
)),"")</f>
        <v/>
      </c>
      <c r="AF143" s="5" t="str">
        <f>IFERROR(IF(AE143="","",IF($F143="Total",
SUMPRODUCT(
   INDEX(AF:AF, ROW()-COUNTIF($F$6:INDEX($F:$F, ROW()-1), $F142)) : INDEX(AF:AF, ROW()-1),
   INDEX(AB:AB, ROW()-COUNTIF($F$6:INDEX($F:$F, ROW()-1), $F142)) : INDEX(AB:AB, ROW()-1)
   )
   /SUM(INDEX(AB:AB, ROW()-COUNTIF($F$6:INDEX($F:$F, ROW()-1), $F142)) : INDEX(AB:AB, ROW()-1)),
           _xlfn.MAXIFS(unit_details[Asking Rent],
          unit_details[Active Listing?],TRUE,
          unit_details[Property Name], $F143,
          unit_details[Beds], $L143,
          unit_details[Baths], $M143,
          unit_details[Partial Baths], IF(ISNUMBER($N143),$N143,""),
          unit_details[Sqft],$P143
))),"")</f>
        <v/>
      </c>
      <c r="AG143" s="6" t="str">
        <f>IFERROR(IF($F143="Total",
         SUMPRODUCT(
         INDEX(AG:AG, ROW()-COUNTIF($F$6:INDEX($F:$F, ROW()-1), $F142)) : INDEX(AG:AG, ROW()-1),
         INDEX(AB:AB, ROW()-COUNTIF($F$6:INDEX($F:$F, ROW()-1), $F142)) : INDEX(AB:AB, ROW()-1)
         )
         /SUM(INDEX(AB:AB, ROW()-COUNTIF($F$6:INDEX($F:$F, ROW()-1), $F142)) : INDEX(AB:AB, ROW()-1)),
          AVERAGEIFS(unit_details[Asking PSF],
          unit_details[Active Listing?],TRUE,
          unit_details[Property Name], $F143,
          unit_details[Beds], $L143,
          unit_details[Baths], $M143,
          unit_details[Partial Baths], IF(ISNUMBER($N143),$N143,""),
          unit_details[Sqft],$P143
)),"")</f>
        <v/>
      </c>
      <c r="AH143" s="293" t="str">
        <f>IFERROR(IF($F143="Total",
         SUMPRODUCT(
         INDEX(AH:AH, ROW()-COUNTIF($F$6:INDEX($F:$F, ROW()-1), $F142)) : INDEX(AH:AH, ROW()-1),
         INDEX(AB:AB, ROW()-COUNTIF($F$6:INDEX($F:$F, ROW()-1), $F142)) : INDEX(AB:AB, ROW()-1)
         )
         /SUM(INDEX(AB:AB, ROW()-COUNTIF($F$6:INDEX($F:$F, ROW()-1), $F142)) : INDEX(AB:AB, ROW()-1)),
          AVERAGEIFS(unit_details[Effective Rent],
          unit_details[Active Listing?],TRUE,
          unit_details[Property Name], $F143,
          unit_details[Beds], $L143,
          unit_details[Baths], $M143,
          unit_details[Partial Baths], IF(ISNUMBER($N143),$N143,""),
          unit_details[Sqft],$P143
)),"")</f>
        <v/>
      </c>
      <c r="AI143" s="6" t="str">
        <f>IFERROR(IF($F143="Total",
         SUMPRODUCT(
         INDEX(AI:AI, ROW()-COUNTIF($F$6:INDEX($F:$F, ROW()-1), $F142)) : INDEX(AI:AI, ROW()-1),
         INDEX(AB:AB, ROW()-COUNTIF($F$6:INDEX($F:$F, ROW()-1), $F142)) : INDEX(AB:AB, ROW()-1)
         )
         /SUM(INDEX(AB:AB, ROW()-COUNTIF($F$6:INDEX($F:$F, ROW()-1), $F142)) : INDEX(AB:AB, ROW()-1)),
           AVERAGEIFS(unit_details[Effective PSF],
          unit_details[Active Listing?],TRUE,
          unit_details[Property Name], $F143,
          unit_details[Beds], $L143,
          unit_details[Baths], $M143,
          unit_details[Partial Baths], IF(ISNUMBER($N143),$N143,""),
          unit_details[Sqft],$P143
)),"")</f>
        <v/>
      </c>
      <c r="AJ143" s="824" t="str">
        <f t="shared" si="26"/>
        <v/>
      </c>
      <c r="AK143" s="531" t="str">
        <f t="shared" si="27"/>
        <v/>
      </c>
      <c r="AL143" s="714" t="str">
        <f t="shared" si="28"/>
        <v/>
      </c>
      <c r="AM143" s="531" t="str">
        <f t="shared" si="29"/>
        <v/>
      </c>
      <c r="AN143" s="716" t="str">
        <f t="shared" si="30"/>
        <v/>
      </c>
    </row>
    <row r="144" spans="6:40" x14ac:dyDescent="0.2">
      <c r="F144" s="1" t="str">
        <f t="shared" si="23"/>
        <v/>
      </c>
      <c r="G144" s="713" t="str">
        <f t="shared" si="31"/>
        <v/>
      </c>
      <c r="H144" s="17" t="str">
        <f>IFERROR(VLOOKUP($G144,Table1[[Property]:[Exposure %]],4,0),"")</f>
        <v/>
      </c>
      <c r="I144" s="3" t="str">
        <f>IFERROR(VLOOKUP($G144,Table1[[Property]:[Exposure %]],6,0),"")</f>
        <v/>
      </c>
      <c r="J144" s="3" t="str">
        <f>IFERROR(VLOOKUP($G144,Table1[[Property]:[Exposure %]],7,0),"")</f>
        <v/>
      </c>
      <c r="K144"/>
      <c r="L144"/>
      <c r="M144"/>
      <c r="N144"/>
      <c r="O144"/>
      <c r="P144"/>
      <c r="Q144"/>
      <c r="R144" s="4" t="str">
        <f>IFERROR(VLOOKUP(IF(F144="Total",F143,F144),Table1[[Property]:['# Units]],7,0)*S144,"")</f>
        <v/>
      </c>
      <c r="S144" s="27" t="str">
        <f t="shared" si="24"/>
        <v/>
      </c>
      <c r="T144" s="531" t="str">
        <f>IFERROR(
 IF($F144="Total",
   SUMPRODUCT(
   INDEX(T:T, ROW()-COUNTIF($F$6:INDEX($F:$F, ROW()-1), $F143)) : INDEX(T:T, ROW()-1),
   INDEX(W:W, ROW()-COUNTIF($F$6:INDEX($F:$F, ROW()-1), $F143)) : INDEX(W:W, ROW()-1)
   )
   /SUM(INDEX(W:W, ROW()-COUNTIF($F$6:INDEX($F:$F, ROW()-1), $F143)) : INDEX(W:W, ROW()-1)),
   AVERAGEIFS(
     INDEX((unit_details[Asking Rent],unit_details[Asking PSF]),0,1,IF($U$3="Chunk Rent",1,2)),
     unit_details[Leased Date],"&gt;="&amp;($AM$2-T$5),
     unit_details[Leased Date],"&lt;"&amp;$AM$2,
     unit_details[Beds],$L144,
     unit_details[Baths],$M144,
     unit_details[Partial Baths],IF(ISNUMBER($N144),$N144,""),
     unit_details[Sqft],$P144,
     unit_details[Property Name],$F144)
 ),"")</f>
        <v/>
      </c>
      <c r="U144" s="552" t="str">
        <f>IFERROR(
 IF($F144="Total",
   SUMPRODUCT(
   INDEX(U:U, ROW()-COUNTIF($F$6:INDEX($F:$F, ROW()-1), $F143)) : INDEX(U:U, ROW()-1),
   INDEX(W:W, ROW()-COUNTIF($F$6:INDEX($F:$F, ROW()-1), $F143)) : INDEX(W:W, ROW()-1)
   )
   /SUM(INDEX(W:W, ROW()-COUNTIF($F$6:INDEX($F:$F, ROW()-1), $F143)) : INDEX(W:W, ROW()-1)),
   AVERAGEIFS(
     INDEX((unit_details[Effective Rent],unit_details[Effective PSF]),0,1,IF($U$3="Chunk Rent",1,2)),
     unit_details[Leased Date],"&gt;="&amp;($AM$2-T$5),
     unit_details[Leased Date],"&lt;"&amp;$AM$2,
     unit_details[Beds],$L144,
     unit_details[Baths],$M144,
     unit_details[Partial Baths],IF(ISNUMBER($N144),$N144,""),
     unit_details[Sqft],$P144,
     unit_details[Property Name],$F144)
 ),"")</f>
        <v/>
      </c>
      <c r="V144" s="27" t="str">
        <f t="shared" si="32"/>
        <v/>
      </c>
      <c r="W144" s="526">
        <f>IFERROR(
  IF($F144="Total",
    SUM(INDEX(W:W, ROW()-COUNTIF($F$6:INDEX($F:$F, ROW()-1), $F143)) : INDEX(W:W, ROW()-1)),
    COUNTIFS(
      unit_details[Leased Date], "&gt;="&amp;($AM$2-T$5),
      unit_details[Leased Date], "&lt;"&amp;$AM$2,
      unit_details[Beds], $L144,
      unit_details[Baths], $M144,
      unit_details[Partial Baths], IF(ISNUMBER($N144), $N144, ""),
      unit_details[Sqft],$P144,
      unit_details[Property Name], $F144
    )
  ),
"")</f>
        <v>0</v>
      </c>
      <c r="X144" s="531" t="str">
        <f>IFERROR(
 IF($F144="Total",
   SUMPRODUCT(
   INDEX(X:X, ROW()-COUNTIF($F$6:INDEX($F:$F, ROW()-1), $F143)) : INDEX(X:X, ROW()-1),
   INDEX(AA:AA, ROW()-COUNTIF($F$6:INDEX($F:$F, ROW()-1), $F143)) : INDEX(AA:AA, ROW()-1)
   )
   /SUM(INDEX(AA:AA, ROW()-COUNTIF($F$6:INDEX($F:$F, ROW()-1), $F143)) : INDEX(AA:AA, ROW()-1)),
   AVERAGEIFS(
     INDEX((unit_details[Asking Rent],unit_details[Asking PSF]),0,1,IF($U$3="Chunk Rent",1,2)),
     unit_details[Leased Date],"&gt;="&amp;($AM$2-X$5),
     unit_details[Leased Date],"&lt;"&amp;$AM$2,
     unit_details[Beds],$L144,
     unit_details[Baths],$M144,
     unit_details[Partial Baths],IF(ISNUMBER($N144),$N144,""),
     unit_details[Sqft],$P144,
     unit_details[Property Name],$F144)
 ),"")</f>
        <v/>
      </c>
      <c r="Y144" s="552" t="str">
        <f>IFERROR(
 IF($F144="Total",
   SUMPRODUCT(
   INDEX(Y:Y, ROW()-COUNTIF($F$6:INDEX($F:$F, ROW()-1), $F143)) : INDEX(Y:Y, ROW()-1),
   INDEX(AA:AA, ROW()-COUNTIF($F$6:INDEX($F:$F, ROW()-1), $F143)) : INDEX(AA:AA, ROW()-1)
   )
   /SUM(INDEX(AA:AA, ROW()-COUNTIF($F$6:INDEX($F:$F, ROW()-1), $F143)) : INDEX(AA:AA, ROW()-1)),
   AVERAGEIFS(
     INDEX((unit_details[Effective Rent],unit_details[Effective PSF]),0,1,IF($U$3="Chunk Rent",1,2)),
     unit_details[Leased Date],"&gt;="&amp;($AM$2-X$5),
     unit_details[Leased Date],"&lt;"&amp;$AM$2,
     unit_details[Beds],$L144,
     unit_details[Baths],$M144,
     unit_details[Partial Baths],IF(ISNUMBER($N144),$N144,""),
     unit_details[Sqft],$P144,
     unit_details[Property Name],$F144)
 ),"")</f>
        <v/>
      </c>
      <c r="Z144" s="27" t="str">
        <f t="shared" si="33"/>
        <v/>
      </c>
      <c r="AA144" s="526">
        <f>IFERROR(
  IF($F144="Total",
    SUM(INDEX(AA:AA, ROW()-COUNTIF($F$6:INDEX($F:$F, ROW()-1), $F143)) : INDEX(AA:AA, ROW()-1)),
    COUNTIFS(
      unit_details[Leased Date], "&gt;="&amp;($AM$2-X$5),
      unit_details[Leased Date], "&lt;"&amp;$AM$2,
      unit_details[Beds], $L144,
      unit_details[Baths], $M144,
      unit_details[Partial Baths], IF(ISNUMBER($N144), $N144, ""),
      unit_details[Sqft],$P144,
      unit_details[Property Name], $F144
    )
  ),
"")</f>
        <v>0</v>
      </c>
      <c r="AB144" s="290">
        <f>IF($F144="Total",
SUM(INDEX(AB:AB, ROW()-COUNTIF($F$6:INDEX($F:$F, ROW()-1), $F143)) : INDEX(AB:AB, ROW()-1)),
COUNTIFS(unit_details[Active Listing?],TRUE,
          unit_details[Property Name], $F144,
          unit_details[Beds], $L144,
          unit_details[Baths], $M144,
          unit_details[Partial Baths],IF(ISNUMBER($N144),$N144,""),
          unit_details[Sqft],$P144))</f>
        <v>0</v>
      </c>
      <c r="AC144" s="27" t="str">
        <f t="shared" si="25"/>
        <v/>
      </c>
      <c r="AD144" s="293" t="str">
        <f>IFERROR(IF(AE144="","",IF($F144="Total",
SUMPRODUCT(
   INDEX(AD:AD, ROW()-COUNTIF($F$6:INDEX($F:$F, ROW()-1), $F143)) : INDEX(AD:AD, ROW()-1),
   INDEX(AB:AB, ROW()-COUNTIF($F$6:INDEX($F:$F, ROW()-1), $F143)) : INDEX(AB:AB, ROW()-1)
   )
   /SUM(INDEX(AB:AB, ROW()-COUNTIF($F$6:INDEX($F:$F, ROW()-1), $F143)) : INDEX(AB:AB, ROW()-1)),
          _xlfn.MINIFS(unit_details[Asking Rent],
          unit_details[Active Listing?],TRUE,
          unit_details[Property Name], $F144,
          unit_details[Beds], $L144,
          unit_details[Baths], $M144,
          unit_details[Partial Baths], IF(ISNUMBER($N144),$N144,""),
          unit_details[Sqft],$P144
))),"")</f>
        <v/>
      </c>
      <c r="AE144" s="5" t="str">
        <f>IFERROR(IF($F144="Total",
          SUMPRODUCT(
   INDEX(AE:AE, ROW()-COUNTIF($F$6:INDEX($F:$F, ROW()-1), $F143)) : INDEX(AE:AE, ROW()-1),
   INDEX(AB:AB, ROW()-COUNTIF($F$6:INDEX($F:$F, ROW()-1), $F143)) : INDEX(AB:AB, ROW()-1)
   )
   /SUM(INDEX(AB:AB, ROW()-COUNTIF($F$6:INDEX($F:$F, ROW()-1), $F143)) : INDEX(AB:AB, ROW()-1)),
          AVERAGEIFS(unit_details[Asking Rent],
          unit_details[Active Listing?],TRUE,
          unit_details[Property Name], $F144,
          unit_details[Beds], $L144,
          unit_details[Baths], $M144,
          unit_details[Partial Baths], IF(ISNUMBER($N144),$N144,""),
          unit_details[Sqft],$P144
)),"")</f>
        <v/>
      </c>
      <c r="AF144" s="5" t="str">
        <f>IFERROR(IF(AE144="","",IF($F144="Total",
SUMPRODUCT(
   INDEX(AF:AF, ROW()-COUNTIF($F$6:INDEX($F:$F, ROW()-1), $F143)) : INDEX(AF:AF, ROW()-1),
   INDEX(AB:AB, ROW()-COUNTIF($F$6:INDEX($F:$F, ROW()-1), $F143)) : INDEX(AB:AB, ROW()-1)
   )
   /SUM(INDEX(AB:AB, ROW()-COUNTIF($F$6:INDEX($F:$F, ROW()-1), $F143)) : INDEX(AB:AB, ROW()-1)),
           _xlfn.MAXIFS(unit_details[Asking Rent],
          unit_details[Active Listing?],TRUE,
          unit_details[Property Name], $F144,
          unit_details[Beds], $L144,
          unit_details[Baths], $M144,
          unit_details[Partial Baths], IF(ISNUMBER($N144),$N144,""),
          unit_details[Sqft],$P144
))),"")</f>
        <v/>
      </c>
      <c r="AG144" s="6" t="str">
        <f>IFERROR(IF($F144="Total",
         SUMPRODUCT(
         INDEX(AG:AG, ROW()-COUNTIF($F$6:INDEX($F:$F, ROW()-1), $F143)) : INDEX(AG:AG, ROW()-1),
         INDEX(AB:AB, ROW()-COUNTIF($F$6:INDEX($F:$F, ROW()-1), $F143)) : INDEX(AB:AB, ROW()-1)
         )
         /SUM(INDEX(AB:AB, ROW()-COUNTIF($F$6:INDEX($F:$F, ROW()-1), $F143)) : INDEX(AB:AB, ROW()-1)),
          AVERAGEIFS(unit_details[Asking PSF],
          unit_details[Active Listing?],TRUE,
          unit_details[Property Name], $F144,
          unit_details[Beds], $L144,
          unit_details[Baths], $M144,
          unit_details[Partial Baths], IF(ISNUMBER($N144),$N144,""),
          unit_details[Sqft],$P144
)),"")</f>
        <v/>
      </c>
      <c r="AH144" s="293" t="str">
        <f>IFERROR(IF($F144="Total",
         SUMPRODUCT(
         INDEX(AH:AH, ROW()-COUNTIF($F$6:INDEX($F:$F, ROW()-1), $F143)) : INDEX(AH:AH, ROW()-1),
         INDEX(AB:AB, ROW()-COUNTIF($F$6:INDEX($F:$F, ROW()-1), $F143)) : INDEX(AB:AB, ROW()-1)
         )
         /SUM(INDEX(AB:AB, ROW()-COUNTIF($F$6:INDEX($F:$F, ROW()-1), $F143)) : INDEX(AB:AB, ROW()-1)),
          AVERAGEIFS(unit_details[Effective Rent],
          unit_details[Active Listing?],TRUE,
          unit_details[Property Name], $F144,
          unit_details[Beds], $L144,
          unit_details[Baths], $M144,
          unit_details[Partial Baths], IF(ISNUMBER($N144),$N144,""),
          unit_details[Sqft],$P144
)),"")</f>
        <v/>
      </c>
      <c r="AI144" s="6" t="str">
        <f>IFERROR(IF($F144="Total",
         SUMPRODUCT(
         INDEX(AI:AI, ROW()-COUNTIF($F$6:INDEX($F:$F, ROW()-1), $F143)) : INDEX(AI:AI, ROW()-1),
         INDEX(AB:AB, ROW()-COUNTIF($F$6:INDEX($F:$F, ROW()-1), $F143)) : INDEX(AB:AB, ROW()-1)
         )
         /SUM(INDEX(AB:AB, ROW()-COUNTIF($F$6:INDEX($F:$F, ROW()-1), $F143)) : INDEX(AB:AB, ROW()-1)),
           AVERAGEIFS(unit_details[Effective PSF],
          unit_details[Active Listing?],TRUE,
          unit_details[Property Name], $F144,
          unit_details[Beds], $L144,
          unit_details[Baths], $M144,
          unit_details[Partial Baths], IF(ISNUMBER($N144),$N144,""),
          unit_details[Sqft],$P144
)),"")</f>
        <v/>
      </c>
      <c r="AJ144" s="824" t="str">
        <f t="shared" si="26"/>
        <v/>
      </c>
      <c r="AK144" s="531" t="str">
        <f t="shared" si="27"/>
        <v/>
      </c>
      <c r="AL144" s="714" t="str">
        <f t="shared" si="28"/>
        <v/>
      </c>
      <c r="AM144" s="531" t="str">
        <f t="shared" si="29"/>
        <v/>
      </c>
      <c r="AN144" s="716" t="str">
        <f t="shared" si="30"/>
        <v/>
      </c>
    </row>
    <row r="145" spans="6:40" x14ac:dyDescent="0.2">
      <c r="F145" s="1" t="str">
        <f t="shared" si="23"/>
        <v/>
      </c>
      <c r="G145" s="713" t="str">
        <f t="shared" si="31"/>
        <v/>
      </c>
      <c r="H145" s="17" t="str">
        <f>IFERROR(VLOOKUP($G145,Table1[[Property]:[Exposure %]],4,0),"")</f>
        <v/>
      </c>
      <c r="I145" s="3" t="str">
        <f>IFERROR(VLOOKUP($G145,Table1[[Property]:[Exposure %]],6,0),"")</f>
        <v/>
      </c>
      <c r="J145" s="3" t="str">
        <f>IFERROR(VLOOKUP($G145,Table1[[Property]:[Exposure %]],7,0),"")</f>
        <v/>
      </c>
      <c r="K145"/>
      <c r="L145"/>
      <c r="M145"/>
      <c r="N145"/>
      <c r="O145"/>
      <c r="P145"/>
      <c r="Q145"/>
      <c r="R145" s="4" t="str">
        <f>IFERROR(VLOOKUP(IF(F145="Total",F144,F145),Table1[[Property]:['# Units]],7,0)*S145,"")</f>
        <v/>
      </c>
      <c r="S145" s="27" t="str">
        <f t="shared" si="24"/>
        <v/>
      </c>
      <c r="T145" s="531" t="str">
        <f>IFERROR(
 IF($F145="Total",
   SUMPRODUCT(
   INDEX(T:T, ROW()-COUNTIF($F$6:INDEX($F:$F, ROW()-1), $F144)) : INDEX(T:T, ROW()-1),
   INDEX(W:W, ROW()-COUNTIF($F$6:INDEX($F:$F, ROW()-1), $F144)) : INDEX(W:W, ROW()-1)
   )
   /SUM(INDEX(W:W, ROW()-COUNTIF($F$6:INDEX($F:$F, ROW()-1), $F144)) : INDEX(W:W, ROW()-1)),
   AVERAGEIFS(
     INDEX((unit_details[Asking Rent],unit_details[Asking PSF]),0,1,IF($U$3="Chunk Rent",1,2)),
     unit_details[Leased Date],"&gt;="&amp;($AM$2-T$5),
     unit_details[Leased Date],"&lt;"&amp;$AM$2,
     unit_details[Beds],$L145,
     unit_details[Baths],$M145,
     unit_details[Partial Baths],IF(ISNUMBER($N145),$N145,""),
     unit_details[Sqft],$P145,
     unit_details[Property Name],$F145)
 ),"")</f>
        <v/>
      </c>
      <c r="U145" s="552" t="str">
        <f>IFERROR(
 IF($F145="Total",
   SUMPRODUCT(
   INDEX(U:U, ROW()-COUNTIF($F$6:INDEX($F:$F, ROW()-1), $F144)) : INDEX(U:U, ROW()-1),
   INDEX(W:W, ROW()-COUNTIF($F$6:INDEX($F:$F, ROW()-1), $F144)) : INDEX(W:W, ROW()-1)
   )
   /SUM(INDEX(W:W, ROW()-COUNTIF($F$6:INDEX($F:$F, ROW()-1), $F144)) : INDEX(W:W, ROW()-1)),
   AVERAGEIFS(
     INDEX((unit_details[Effective Rent],unit_details[Effective PSF]),0,1,IF($U$3="Chunk Rent",1,2)),
     unit_details[Leased Date],"&gt;="&amp;($AM$2-T$5),
     unit_details[Leased Date],"&lt;"&amp;$AM$2,
     unit_details[Beds],$L145,
     unit_details[Baths],$M145,
     unit_details[Partial Baths],IF(ISNUMBER($N145),$N145,""),
     unit_details[Sqft],$P145,
     unit_details[Property Name],$F145)
 ),"")</f>
        <v/>
      </c>
      <c r="V145" s="27" t="str">
        <f t="shared" si="32"/>
        <v/>
      </c>
      <c r="W145" s="526">
        <f>IFERROR(
  IF($F145="Total",
    SUM(INDEX(W:W, ROW()-COUNTIF($F$6:INDEX($F:$F, ROW()-1), $F144)) : INDEX(W:W, ROW()-1)),
    COUNTIFS(
      unit_details[Leased Date], "&gt;="&amp;($AM$2-T$5),
      unit_details[Leased Date], "&lt;"&amp;$AM$2,
      unit_details[Beds], $L145,
      unit_details[Baths], $M145,
      unit_details[Partial Baths], IF(ISNUMBER($N145), $N145, ""),
      unit_details[Sqft],$P145,
      unit_details[Property Name], $F145
    )
  ),
"")</f>
        <v>0</v>
      </c>
      <c r="X145" s="531" t="str">
        <f>IFERROR(
 IF($F145="Total",
   SUMPRODUCT(
   INDEX(X:X, ROW()-COUNTIF($F$6:INDEX($F:$F, ROW()-1), $F144)) : INDEX(X:X, ROW()-1),
   INDEX(AA:AA, ROW()-COUNTIF($F$6:INDEX($F:$F, ROW()-1), $F144)) : INDEX(AA:AA, ROW()-1)
   )
   /SUM(INDEX(AA:AA, ROW()-COUNTIF($F$6:INDEX($F:$F, ROW()-1), $F144)) : INDEX(AA:AA, ROW()-1)),
   AVERAGEIFS(
     INDEX((unit_details[Asking Rent],unit_details[Asking PSF]),0,1,IF($U$3="Chunk Rent",1,2)),
     unit_details[Leased Date],"&gt;="&amp;($AM$2-X$5),
     unit_details[Leased Date],"&lt;"&amp;$AM$2,
     unit_details[Beds],$L145,
     unit_details[Baths],$M145,
     unit_details[Partial Baths],IF(ISNUMBER($N145),$N145,""),
     unit_details[Sqft],$P145,
     unit_details[Property Name],$F145)
 ),"")</f>
        <v/>
      </c>
      <c r="Y145" s="552" t="str">
        <f>IFERROR(
 IF($F145="Total",
   SUMPRODUCT(
   INDEX(Y:Y, ROW()-COUNTIF($F$6:INDEX($F:$F, ROW()-1), $F144)) : INDEX(Y:Y, ROW()-1),
   INDEX(AA:AA, ROW()-COUNTIF($F$6:INDEX($F:$F, ROW()-1), $F144)) : INDEX(AA:AA, ROW()-1)
   )
   /SUM(INDEX(AA:AA, ROW()-COUNTIF($F$6:INDEX($F:$F, ROW()-1), $F144)) : INDEX(AA:AA, ROW()-1)),
   AVERAGEIFS(
     INDEX((unit_details[Effective Rent],unit_details[Effective PSF]),0,1,IF($U$3="Chunk Rent",1,2)),
     unit_details[Leased Date],"&gt;="&amp;($AM$2-X$5),
     unit_details[Leased Date],"&lt;"&amp;$AM$2,
     unit_details[Beds],$L145,
     unit_details[Baths],$M145,
     unit_details[Partial Baths],IF(ISNUMBER($N145),$N145,""),
     unit_details[Sqft],$P145,
     unit_details[Property Name],$F145)
 ),"")</f>
        <v/>
      </c>
      <c r="Z145" s="27" t="str">
        <f t="shared" si="33"/>
        <v/>
      </c>
      <c r="AA145" s="526">
        <f>IFERROR(
  IF($F145="Total",
    SUM(INDEX(AA:AA, ROW()-COUNTIF($F$6:INDEX($F:$F, ROW()-1), $F144)) : INDEX(AA:AA, ROW()-1)),
    COUNTIFS(
      unit_details[Leased Date], "&gt;="&amp;($AM$2-X$5),
      unit_details[Leased Date], "&lt;"&amp;$AM$2,
      unit_details[Beds], $L145,
      unit_details[Baths], $M145,
      unit_details[Partial Baths], IF(ISNUMBER($N145), $N145, ""),
      unit_details[Sqft],$P145,
      unit_details[Property Name], $F145
    )
  ),
"")</f>
        <v>0</v>
      </c>
      <c r="AB145" s="290">
        <f>IF($F145="Total",
SUM(INDEX(AB:AB, ROW()-COUNTIF($F$6:INDEX($F:$F, ROW()-1), $F144)) : INDEX(AB:AB, ROW()-1)),
COUNTIFS(unit_details[Active Listing?],TRUE,
          unit_details[Property Name], $F145,
          unit_details[Beds], $L145,
          unit_details[Baths], $M145,
          unit_details[Partial Baths],IF(ISNUMBER($N145),$N145,""),
          unit_details[Sqft],$P145))</f>
        <v>0</v>
      </c>
      <c r="AC145" s="27" t="str">
        <f t="shared" si="25"/>
        <v/>
      </c>
      <c r="AD145" s="293" t="str">
        <f>IFERROR(IF(AE145="","",IF($F145="Total",
SUMPRODUCT(
   INDEX(AD:AD, ROW()-COUNTIF($F$6:INDEX($F:$F, ROW()-1), $F144)) : INDEX(AD:AD, ROW()-1),
   INDEX(AB:AB, ROW()-COUNTIF($F$6:INDEX($F:$F, ROW()-1), $F144)) : INDEX(AB:AB, ROW()-1)
   )
   /SUM(INDEX(AB:AB, ROW()-COUNTIF($F$6:INDEX($F:$F, ROW()-1), $F144)) : INDEX(AB:AB, ROW()-1)),
          _xlfn.MINIFS(unit_details[Asking Rent],
          unit_details[Active Listing?],TRUE,
          unit_details[Property Name], $F145,
          unit_details[Beds], $L145,
          unit_details[Baths], $M145,
          unit_details[Partial Baths], IF(ISNUMBER($N145),$N145,""),
          unit_details[Sqft],$P145
))),"")</f>
        <v/>
      </c>
      <c r="AE145" s="5" t="str">
        <f>IFERROR(IF($F145="Total",
          SUMPRODUCT(
   INDEX(AE:AE, ROW()-COUNTIF($F$6:INDEX($F:$F, ROW()-1), $F144)) : INDEX(AE:AE, ROW()-1),
   INDEX(AB:AB, ROW()-COUNTIF($F$6:INDEX($F:$F, ROW()-1), $F144)) : INDEX(AB:AB, ROW()-1)
   )
   /SUM(INDEX(AB:AB, ROW()-COUNTIF($F$6:INDEX($F:$F, ROW()-1), $F144)) : INDEX(AB:AB, ROW()-1)),
          AVERAGEIFS(unit_details[Asking Rent],
          unit_details[Active Listing?],TRUE,
          unit_details[Property Name], $F145,
          unit_details[Beds], $L145,
          unit_details[Baths], $M145,
          unit_details[Partial Baths], IF(ISNUMBER($N145),$N145,""),
          unit_details[Sqft],$P145
)),"")</f>
        <v/>
      </c>
      <c r="AF145" s="5" t="str">
        <f>IFERROR(IF(AE145="","",IF($F145="Total",
SUMPRODUCT(
   INDEX(AF:AF, ROW()-COUNTIF($F$6:INDEX($F:$F, ROW()-1), $F144)) : INDEX(AF:AF, ROW()-1),
   INDEX(AB:AB, ROW()-COUNTIF($F$6:INDEX($F:$F, ROW()-1), $F144)) : INDEX(AB:AB, ROW()-1)
   )
   /SUM(INDEX(AB:AB, ROW()-COUNTIF($F$6:INDEX($F:$F, ROW()-1), $F144)) : INDEX(AB:AB, ROW()-1)),
           _xlfn.MAXIFS(unit_details[Asking Rent],
          unit_details[Active Listing?],TRUE,
          unit_details[Property Name], $F145,
          unit_details[Beds], $L145,
          unit_details[Baths], $M145,
          unit_details[Partial Baths], IF(ISNUMBER($N145),$N145,""),
          unit_details[Sqft],$P145
))),"")</f>
        <v/>
      </c>
      <c r="AG145" s="6" t="str">
        <f>IFERROR(IF($F145="Total",
         SUMPRODUCT(
         INDEX(AG:AG, ROW()-COUNTIF($F$6:INDEX($F:$F, ROW()-1), $F144)) : INDEX(AG:AG, ROW()-1),
         INDEX(AB:AB, ROW()-COUNTIF($F$6:INDEX($F:$F, ROW()-1), $F144)) : INDEX(AB:AB, ROW()-1)
         )
         /SUM(INDEX(AB:AB, ROW()-COUNTIF($F$6:INDEX($F:$F, ROW()-1), $F144)) : INDEX(AB:AB, ROW()-1)),
          AVERAGEIFS(unit_details[Asking PSF],
          unit_details[Active Listing?],TRUE,
          unit_details[Property Name], $F145,
          unit_details[Beds], $L145,
          unit_details[Baths], $M145,
          unit_details[Partial Baths], IF(ISNUMBER($N145),$N145,""),
          unit_details[Sqft],$P145
)),"")</f>
        <v/>
      </c>
      <c r="AH145" s="293" t="str">
        <f>IFERROR(IF($F145="Total",
         SUMPRODUCT(
         INDEX(AH:AH, ROW()-COUNTIF($F$6:INDEX($F:$F, ROW()-1), $F144)) : INDEX(AH:AH, ROW()-1),
         INDEX(AB:AB, ROW()-COUNTIF($F$6:INDEX($F:$F, ROW()-1), $F144)) : INDEX(AB:AB, ROW()-1)
         )
         /SUM(INDEX(AB:AB, ROW()-COUNTIF($F$6:INDEX($F:$F, ROW()-1), $F144)) : INDEX(AB:AB, ROW()-1)),
          AVERAGEIFS(unit_details[Effective Rent],
          unit_details[Active Listing?],TRUE,
          unit_details[Property Name], $F145,
          unit_details[Beds], $L145,
          unit_details[Baths], $M145,
          unit_details[Partial Baths], IF(ISNUMBER($N145),$N145,""),
          unit_details[Sqft],$P145
)),"")</f>
        <v/>
      </c>
      <c r="AI145" s="6" t="str">
        <f>IFERROR(IF($F145="Total",
         SUMPRODUCT(
         INDEX(AI:AI, ROW()-COUNTIF($F$6:INDEX($F:$F, ROW()-1), $F144)) : INDEX(AI:AI, ROW()-1),
         INDEX(AB:AB, ROW()-COUNTIF($F$6:INDEX($F:$F, ROW()-1), $F144)) : INDEX(AB:AB, ROW()-1)
         )
         /SUM(INDEX(AB:AB, ROW()-COUNTIF($F$6:INDEX($F:$F, ROW()-1), $F144)) : INDEX(AB:AB, ROW()-1)),
           AVERAGEIFS(unit_details[Effective PSF],
          unit_details[Active Listing?],TRUE,
          unit_details[Property Name], $F145,
          unit_details[Beds], $L145,
          unit_details[Baths], $M145,
          unit_details[Partial Baths], IF(ISNUMBER($N145),$N145,""),
          unit_details[Sqft],$P145
)),"")</f>
        <v/>
      </c>
      <c r="AJ145" s="824" t="str">
        <f t="shared" si="26"/>
        <v/>
      </c>
      <c r="AK145" s="531" t="str">
        <f t="shared" si="27"/>
        <v/>
      </c>
      <c r="AL145" s="714" t="str">
        <f t="shared" si="28"/>
        <v/>
      </c>
      <c r="AM145" s="531" t="str">
        <f t="shared" si="29"/>
        <v/>
      </c>
      <c r="AN145" s="716" t="str">
        <f t="shared" si="30"/>
        <v/>
      </c>
    </row>
    <row r="146" spans="6:40" x14ac:dyDescent="0.2">
      <c r="F146" s="1" t="str">
        <f t="shared" si="23"/>
        <v/>
      </c>
      <c r="G146" s="713" t="str">
        <f t="shared" si="31"/>
        <v/>
      </c>
      <c r="H146" s="17" t="str">
        <f>IFERROR(VLOOKUP($G146,Table1[[Property]:[Exposure %]],4,0),"")</f>
        <v/>
      </c>
      <c r="I146" s="3" t="str">
        <f>IFERROR(VLOOKUP($G146,Table1[[Property]:[Exposure %]],6,0),"")</f>
        <v/>
      </c>
      <c r="J146" s="3" t="str">
        <f>IFERROR(VLOOKUP($G146,Table1[[Property]:[Exposure %]],7,0),"")</f>
        <v/>
      </c>
      <c r="K146"/>
      <c r="L146"/>
      <c r="M146"/>
      <c r="N146"/>
      <c r="O146"/>
      <c r="P146"/>
      <c r="Q146"/>
      <c r="R146" s="4" t="str">
        <f>IFERROR(VLOOKUP(IF(F146="Total",F145,F146),Table1[[Property]:['# Units]],7,0)*S146,"")</f>
        <v/>
      </c>
      <c r="S146" s="27" t="str">
        <f t="shared" si="24"/>
        <v/>
      </c>
      <c r="T146" s="531" t="str">
        <f>IFERROR(
 IF($F146="Total",
   SUMPRODUCT(
   INDEX(T:T, ROW()-COUNTIF($F$6:INDEX($F:$F, ROW()-1), $F145)) : INDEX(T:T, ROW()-1),
   INDEX(W:W, ROW()-COUNTIF($F$6:INDEX($F:$F, ROW()-1), $F145)) : INDEX(W:W, ROW()-1)
   )
   /SUM(INDEX(W:W, ROW()-COUNTIF($F$6:INDEX($F:$F, ROW()-1), $F145)) : INDEX(W:W, ROW()-1)),
   AVERAGEIFS(
     INDEX((unit_details[Asking Rent],unit_details[Asking PSF]),0,1,IF($U$3="Chunk Rent",1,2)),
     unit_details[Leased Date],"&gt;="&amp;($AM$2-T$5),
     unit_details[Leased Date],"&lt;"&amp;$AM$2,
     unit_details[Beds],$L146,
     unit_details[Baths],$M146,
     unit_details[Partial Baths],IF(ISNUMBER($N146),$N146,""),
     unit_details[Sqft],$P146,
     unit_details[Property Name],$F146)
 ),"")</f>
        <v/>
      </c>
      <c r="U146" s="552" t="str">
        <f>IFERROR(
 IF($F146="Total",
   SUMPRODUCT(
   INDEX(U:U, ROW()-COUNTIF($F$6:INDEX($F:$F, ROW()-1), $F145)) : INDEX(U:U, ROW()-1),
   INDEX(W:W, ROW()-COUNTIF($F$6:INDEX($F:$F, ROW()-1), $F145)) : INDEX(W:W, ROW()-1)
   )
   /SUM(INDEX(W:W, ROW()-COUNTIF($F$6:INDEX($F:$F, ROW()-1), $F145)) : INDEX(W:W, ROW()-1)),
   AVERAGEIFS(
     INDEX((unit_details[Effective Rent],unit_details[Effective PSF]),0,1,IF($U$3="Chunk Rent",1,2)),
     unit_details[Leased Date],"&gt;="&amp;($AM$2-T$5),
     unit_details[Leased Date],"&lt;"&amp;$AM$2,
     unit_details[Beds],$L146,
     unit_details[Baths],$M146,
     unit_details[Partial Baths],IF(ISNUMBER($N146),$N146,""),
     unit_details[Sqft],$P146,
     unit_details[Property Name],$F146)
 ),"")</f>
        <v/>
      </c>
      <c r="V146" s="27" t="str">
        <f t="shared" si="32"/>
        <v/>
      </c>
      <c r="W146" s="526">
        <f>IFERROR(
  IF($F146="Total",
    SUM(INDEX(W:W, ROW()-COUNTIF($F$6:INDEX($F:$F, ROW()-1), $F145)) : INDEX(W:W, ROW()-1)),
    COUNTIFS(
      unit_details[Leased Date], "&gt;="&amp;($AM$2-T$5),
      unit_details[Leased Date], "&lt;"&amp;$AM$2,
      unit_details[Beds], $L146,
      unit_details[Baths], $M146,
      unit_details[Partial Baths], IF(ISNUMBER($N146), $N146, ""),
      unit_details[Sqft],$P146,
      unit_details[Property Name], $F146
    )
  ),
"")</f>
        <v>0</v>
      </c>
      <c r="X146" s="531" t="str">
        <f>IFERROR(
 IF($F146="Total",
   SUMPRODUCT(
   INDEX(X:X, ROW()-COUNTIF($F$6:INDEX($F:$F, ROW()-1), $F145)) : INDEX(X:X, ROW()-1),
   INDEX(AA:AA, ROW()-COUNTIF($F$6:INDEX($F:$F, ROW()-1), $F145)) : INDEX(AA:AA, ROW()-1)
   )
   /SUM(INDEX(AA:AA, ROW()-COUNTIF($F$6:INDEX($F:$F, ROW()-1), $F145)) : INDEX(AA:AA, ROW()-1)),
   AVERAGEIFS(
     INDEX((unit_details[Asking Rent],unit_details[Asking PSF]),0,1,IF($U$3="Chunk Rent",1,2)),
     unit_details[Leased Date],"&gt;="&amp;($AM$2-X$5),
     unit_details[Leased Date],"&lt;"&amp;$AM$2,
     unit_details[Beds],$L146,
     unit_details[Baths],$M146,
     unit_details[Partial Baths],IF(ISNUMBER($N146),$N146,""),
     unit_details[Sqft],$P146,
     unit_details[Property Name],$F146)
 ),"")</f>
        <v/>
      </c>
      <c r="Y146" s="552" t="str">
        <f>IFERROR(
 IF($F146="Total",
   SUMPRODUCT(
   INDEX(Y:Y, ROW()-COUNTIF($F$6:INDEX($F:$F, ROW()-1), $F145)) : INDEX(Y:Y, ROW()-1),
   INDEX(AA:AA, ROW()-COUNTIF($F$6:INDEX($F:$F, ROW()-1), $F145)) : INDEX(AA:AA, ROW()-1)
   )
   /SUM(INDEX(AA:AA, ROW()-COUNTIF($F$6:INDEX($F:$F, ROW()-1), $F145)) : INDEX(AA:AA, ROW()-1)),
   AVERAGEIFS(
     INDEX((unit_details[Effective Rent],unit_details[Effective PSF]),0,1,IF($U$3="Chunk Rent",1,2)),
     unit_details[Leased Date],"&gt;="&amp;($AM$2-X$5),
     unit_details[Leased Date],"&lt;"&amp;$AM$2,
     unit_details[Beds],$L146,
     unit_details[Baths],$M146,
     unit_details[Partial Baths],IF(ISNUMBER($N146),$N146,""),
     unit_details[Sqft],$P146,
     unit_details[Property Name],$F146)
 ),"")</f>
        <v/>
      </c>
      <c r="Z146" s="27" t="str">
        <f t="shared" si="33"/>
        <v/>
      </c>
      <c r="AA146" s="526">
        <f>IFERROR(
  IF($F146="Total",
    SUM(INDEX(AA:AA, ROW()-COUNTIF($F$6:INDEX($F:$F, ROW()-1), $F145)) : INDEX(AA:AA, ROW()-1)),
    COUNTIFS(
      unit_details[Leased Date], "&gt;="&amp;($AM$2-X$5),
      unit_details[Leased Date], "&lt;"&amp;$AM$2,
      unit_details[Beds], $L146,
      unit_details[Baths], $M146,
      unit_details[Partial Baths], IF(ISNUMBER($N146), $N146, ""),
      unit_details[Sqft],$P146,
      unit_details[Property Name], $F146
    )
  ),
"")</f>
        <v>0</v>
      </c>
      <c r="AB146" s="290">
        <f>IF($F146="Total",
SUM(INDEX(AB:AB, ROW()-COUNTIF($F$6:INDEX($F:$F, ROW()-1), $F145)) : INDEX(AB:AB, ROW()-1)),
COUNTIFS(unit_details[Active Listing?],TRUE,
          unit_details[Property Name], $F146,
          unit_details[Beds], $L146,
          unit_details[Baths], $M146,
          unit_details[Partial Baths],IF(ISNUMBER($N146),$N146,""),
          unit_details[Sqft],$P146))</f>
        <v>0</v>
      </c>
      <c r="AC146" s="27" t="str">
        <f t="shared" si="25"/>
        <v/>
      </c>
      <c r="AD146" s="293" t="str">
        <f>IFERROR(IF(AE146="","",IF($F146="Total",
SUMPRODUCT(
   INDEX(AD:AD, ROW()-COUNTIF($F$6:INDEX($F:$F, ROW()-1), $F145)) : INDEX(AD:AD, ROW()-1),
   INDEX(AB:AB, ROW()-COUNTIF($F$6:INDEX($F:$F, ROW()-1), $F145)) : INDEX(AB:AB, ROW()-1)
   )
   /SUM(INDEX(AB:AB, ROW()-COUNTIF($F$6:INDEX($F:$F, ROW()-1), $F145)) : INDEX(AB:AB, ROW()-1)),
          _xlfn.MINIFS(unit_details[Asking Rent],
          unit_details[Active Listing?],TRUE,
          unit_details[Property Name], $F146,
          unit_details[Beds], $L146,
          unit_details[Baths], $M146,
          unit_details[Partial Baths], IF(ISNUMBER($N146),$N146,""),
          unit_details[Sqft],$P146
))),"")</f>
        <v/>
      </c>
      <c r="AE146" s="5" t="str">
        <f>IFERROR(IF($F146="Total",
          SUMPRODUCT(
   INDEX(AE:AE, ROW()-COUNTIF($F$6:INDEX($F:$F, ROW()-1), $F145)) : INDEX(AE:AE, ROW()-1),
   INDEX(AB:AB, ROW()-COUNTIF($F$6:INDEX($F:$F, ROW()-1), $F145)) : INDEX(AB:AB, ROW()-1)
   )
   /SUM(INDEX(AB:AB, ROW()-COUNTIF($F$6:INDEX($F:$F, ROW()-1), $F145)) : INDEX(AB:AB, ROW()-1)),
          AVERAGEIFS(unit_details[Asking Rent],
          unit_details[Active Listing?],TRUE,
          unit_details[Property Name], $F146,
          unit_details[Beds], $L146,
          unit_details[Baths], $M146,
          unit_details[Partial Baths], IF(ISNUMBER($N146),$N146,""),
          unit_details[Sqft],$P146
)),"")</f>
        <v/>
      </c>
      <c r="AF146" s="5" t="str">
        <f>IFERROR(IF(AE146="","",IF($F146="Total",
SUMPRODUCT(
   INDEX(AF:AF, ROW()-COUNTIF($F$6:INDEX($F:$F, ROW()-1), $F145)) : INDEX(AF:AF, ROW()-1),
   INDEX(AB:AB, ROW()-COUNTIF($F$6:INDEX($F:$F, ROW()-1), $F145)) : INDEX(AB:AB, ROW()-1)
   )
   /SUM(INDEX(AB:AB, ROW()-COUNTIF($F$6:INDEX($F:$F, ROW()-1), $F145)) : INDEX(AB:AB, ROW()-1)),
           _xlfn.MAXIFS(unit_details[Asking Rent],
          unit_details[Active Listing?],TRUE,
          unit_details[Property Name], $F146,
          unit_details[Beds], $L146,
          unit_details[Baths], $M146,
          unit_details[Partial Baths], IF(ISNUMBER($N146),$N146,""),
          unit_details[Sqft],$P146
))),"")</f>
        <v/>
      </c>
      <c r="AG146" s="6" t="str">
        <f>IFERROR(IF($F146="Total",
         SUMPRODUCT(
         INDEX(AG:AG, ROW()-COUNTIF($F$6:INDEX($F:$F, ROW()-1), $F145)) : INDEX(AG:AG, ROW()-1),
         INDEX(AB:AB, ROW()-COUNTIF($F$6:INDEX($F:$F, ROW()-1), $F145)) : INDEX(AB:AB, ROW()-1)
         )
         /SUM(INDEX(AB:AB, ROW()-COUNTIF($F$6:INDEX($F:$F, ROW()-1), $F145)) : INDEX(AB:AB, ROW()-1)),
          AVERAGEIFS(unit_details[Asking PSF],
          unit_details[Active Listing?],TRUE,
          unit_details[Property Name], $F146,
          unit_details[Beds], $L146,
          unit_details[Baths], $M146,
          unit_details[Partial Baths], IF(ISNUMBER($N146),$N146,""),
          unit_details[Sqft],$P146
)),"")</f>
        <v/>
      </c>
      <c r="AH146" s="293" t="str">
        <f>IFERROR(IF($F146="Total",
         SUMPRODUCT(
         INDEX(AH:AH, ROW()-COUNTIF($F$6:INDEX($F:$F, ROW()-1), $F145)) : INDEX(AH:AH, ROW()-1),
         INDEX(AB:AB, ROW()-COUNTIF($F$6:INDEX($F:$F, ROW()-1), $F145)) : INDEX(AB:AB, ROW()-1)
         )
         /SUM(INDEX(AB:AB, ROW()-COUNTIF($F$6:INDEX($F:$F, ROW()-1), $F145)) : INDEX(AB:AB, ROW()-1)),
          AVERAGEIFS(unit_details[Effective Rent],
          unit_details[Active Listing?],TRUE,
          unit_details[Property Name], $F146,
          unit_details[Beds], $L146,
          unit_details[Baths], $M146,
          unit_details[Partial Baths], IF(ISNUMBER($N146),$N146,""),
          unit_details[Sqft],$P146
)),"")</f>
        <v/>
      </c>
      <c r="AI146" s="6" t="str">
        <f>IFERROR(IF($F146="Total",
         SUMPRODUCT(
         INDEX(AI:AI, ROW()-COUNTIF($F$6:INDEX($F:$F, ROW()-1), $F145)) : INDEX(AI:AI, ROW()-1),
         INDEX(AB:AB, ROW()-COUNTIF($F$6:INDEX($F:$F, ROW()-1), $F145)) : INDEX(AB:AB, ROW()-1)
         )
         /SUM(INDEX(AB:AB, ROW()-COUNTIF($F$6:INDEX($F:$F, ROW()-1), $F145)) : INDEX(AB:AB, ROW()-1)),
           AVERAGEIFS(unit_details[Effective PSF],
          unit_details[Active Listing?],TRUE,
          unit_details[Property Name], $F146,
          unit_details[Beds], $L146,
          unit_details[Baths], $M146,
          unit_details[Partial Baths], IF(ISNUMBER($N146),$N146,""),
          unit_details[Sqft],$P146
)),"")</f>
        <v/>
      </c>
      <c r="AJ146" s="824" t="str">
        <f t="shared" si="26"/>
        <v/>
      </c>
      <c r="AK146" s="531" t="str">
        <f t="shared" si="27"/>
        <v/>
      </c>
      <c r="AL146" s="714" t="str">
        <f t="shared" si="28"/>
        <v/>
      </c>
      <c r="AM146" s="531" t="str">
        <f t="shared" si="29"/>
        <v/>
      </c>
      <c r="AN146" s="716" t="str">
        <f t="shared" si="30"/>
        <v/>
      </c>
    </row>
    <row r="147" spans="6:40" x14ac:dyDescent="0.2">
      <c r="F147" s="1" t="str">
        <f t="shared" si="23"/>
        <v/>
      </c>
      <c r="G147" s="713" t="str">
        <f t="shared" si="31"/>
        <v/>
      </c>
      <c r="H147" s="17" t="str">
        <f>IFERROR(VLOOKUP($G147,Table1[[Property]:[Exposure %]],4,0),"")</f>
        <v/>
      </c>
      <c r="I147" s="3" t="str">
        <f>IFERROR(VLOOKUP($G147,Table1[[Property]:[Exposure %]],6,0),"")</f>
        <v/>
      </c>
      <c r="J147" s="3" t="str">
        <f>IFERROR(VLOOKUP($G147,Table1[[Property]:[Exposure %]],7,0),"")</f>
        <v/>
      </c>
      <c r="K147"/>
      <c r="L147"/>
      <c r="M147"/>
      <c r="N147"/>
      <c r="O147"/>
      <c r="P147"/>
      <c r="Q147"/>
      <c r="R147" s="4" t="str">
        <f>IFERROR(VLOOKUP(IF(F147="Total",F146,F147),Table1[[Property]:['# Units]],7,0)*S147,"")</f>
        <v/>
      </c>
      <c r="S147" s="27" t="str">
        <f t="shared" si="24"/>
        <v/>
      </c>
      <c r="T147" s="531" t="str">
        <f>IFERROR(
 IF($F147="Total",
   SUMPRODUCT(
   INDEX(T:T, ROW()-COUNTIF($F$6:INDEX($F:$F, ROW()-1), $F146)) : INDEX(T:T, ROW()-1),
   INDEX(W:W, ROW()-COUNTIF($F$6:INDEX($F:$F, ROW()-1), $F146)) : INDEX(W:W, ROW()-1)
   )
   /SUM(INDEX(W:W, ROW()-COUNTIF($F$6:INDEX($F:$F, ROW()-1), $F146)) : INDEX(W:W, ROW()-1)),
   AVERAGEIFS(
     INDEX((unit_details[Asking Rent],unit_details[Asking PSF]),0,1,IF($U$3="Chunk Rent",1,2)),
     unit_details[Leased Date],"&gt;="&amp;($AM$2-T$5),
     unit_details[Leased Date],"&lt;"&amp;$AM$2,
     unit_details[Beds],$L147,
     unit_details[Baths],$M147,
     unit_details[Partial Baths],IF(ISNUMBER($N147),$N147,""),
     unit_details[Sqft],$P147,
     unit_details[Property Name],$F147)
 ),"")</f>
        <v/>
      </c>
      <c r="U147" s="552" t="str">
        <f>IFERROR(
 IF($F147="Total",
   SUMPRODUCT(
   INDEX(U:U, ROW()-COUNTIF($F$6:INDEX($F:$F, ROW()-1), $F146)) : INDEX(U:U, ROW()-1),
   INDEX(W:W, ROW()-COUNTIF($F$6:INDEX($F:$F, ROW()-1), $F146)) : INDEX(W:W, ROW()-1)
   )
   /SUM(INDEX(W:W, ROW()-COUNTIF($F$6:INDEX($F:$F, ROW()-1), $F146)) : INDEX(W:W, ROW()-1)),
   AVERAGEIFS(
     INDEX((unit_details[Effective Rent],unit_details[Effective PSF]),0,1,IF($U$3="Chunk Rent",1,2)),
     unit_details[Leased Date],"&gt;="&amp;($AM$2-T$5),
     unit_details[Leased Date],"&lt;"&amp;$AM$2,
     unit_details[Beds],$L147,
     unit_details[Baths],$M147,
     unit_details[Partial Baths],IF(ISNUMBER($N147),$N147,""),
     unit_details[Sqft],$P147,
     unit_details[Property Name],$F147)
 ),"")</f>
        <v/>
      </c>
      <c r="V147" s="27" t="str">
        <f t="shared" si="32"/>
        <v/>
      </c>
      <c r="W147" s="526">
        <f>IFERROR(
  IF($F147="Total",
    SUM(INDEX(W:W, ROW()-COUNTIF($F$6:INDEX($F:$F, ROW()-1), $F146)) : INDEX(W:W, ROW()-1)),
    COUNTIFS(
      unit_details[Leased Date], "&gt;="&amp;($AM$2-T$5),
      unit_details[Leased Date], "&lt;"&amp;$AM$2,
      unit_details[Beds], $L147,
      unit_details[Baths], $M147,
      unit_details[Partial Baths], IF(ISNUMBER($N147), $N147, ""),
      unit_details[Sqft],$P147,
      unit_details[Property Name], $F147
    )
  ),
"")</f>
        <v>0</v>
      </c>
      <c r="X147" s="531" t="str">
        <f>IFERROR(
 IF($F147="Total",
   SUMPRODUCT(
   INDEX(X:X, ROW()-COUNTIF($F$6:INDEX($F:$F, ROW()-1), $F146)) : INDEX(X:X, ROW()-1),
   INDEX(AA:AA, ROW()-COUNTIF($F$6:INDEX($F:$F, ROW()-1), $F146)) : INDEX(AA:AA, ROW()-1)
   )
   /SUM(INDEX(AA:AA, ROW()-COUNTIF($F$6:INDEX($F:$F, ROW()-1), $F146)) : INDEX(AA:AA, ROW()-1)),
   AVERAGEIFS(
     INDEX((unit_details[Asking Rent],unit_details[Asking PSF]),0,1,IF($U$3="Chunk Rent",1,2)),
     unit_details[Leased Date],"&gt;="&amp;($AM$2-X$5),
     unit_details[Leased Date],"&lt;"&amp;$AM$2,
     unit_details[Beds],$L147,
     unit_details[Baths],$M147,
     unit_details[Partial Baths],IF(ISNUMBER($N147),$N147,""),
     unit_details[Sqft],$P147,
     unit_details[Property Name],$F147)
 ),"")</f>
        <v/>
      </c>
      <c r="Y147" s="552" t="str">
        <f>IFERROR(
 IF($F147="Total",
   SUMPRODUCT(
   INDEX(Y:Y, ROW()-COUNTIF($F$6:INDEX($F:$F, ROW()-1), $F146)) : INDEX(Y:Y, ROW()-1),
   INDEX(AA:AA, ROW()-COUNTIF($F$6:INDEX($F:$F, ROW()-1), $F146)) : INDEX(AA:AA, ROW()-1)
   )
   /SUM(INDEX(AA:AA, ROW()-COUNTIF($F$6:INDEX($F:$F, ROW()-1), $F146)) : INDEX(AA:AA, ROW()-1)),
   AVERAGEIFS(
     INDEX((unit_details[Effective Rent],unit_details[Effective PSF]),0,1,IF($U$3="Chunk Rent",1,2)),
     unit_details[Leased Date],"&gt;="&amp;($AM$2-X$5),
     unit_details[Leased Date],"&lt;"&amp;$AM$2,
     unit_details[Beds],$L147,
     unit_details[Baths],$M147,
     unit_details[Partial Baths],IF(ISNUMBER($N147),$N147,""),
     unit_details[Sqft],$P147,
     unit_details[Property Name],$F147)
 ),"")</f>
        <v/>
      </c>
      <c r="Z147" s="27" t="str">
        <f t="shared" si="33"/>
        <v/>
      </c>
      <c r="AA147" s="526">
        <f>IFERROR(
  IF($F147="Total",
    SUM(INDEX(AA:AA, ROW()-COUNTIF($F$6:INDEX($F:$F, ROW()-1), $F146)) : INDEX(AA:AA, ROW()-1)),
    COUNTIFS(
      unit_details[Leased Date], "&gt;="&amp;($AM$2-X$5),
      unit_details[Leased Date], "&lt;"&amp;$AM$2,
      unit_details[Beds], $L147,
      unit_details[Baths], $M147,
      unit_details[Partial Baths], IF(ISNUMBER($N147), $N147, ""),
      unit_details[Sqft],$P147,
      unit_details[Property Name], $F147
    )
  ),
"")</f>
        <v>0</v>
      </c>
      <c r="AB147" s="290">
        <f>IF($F147="Total",
SUM(INDEX(AB:AB, ROW()-COUNTIF($F$6:INDEX($F:$F, ROW()-1), $F146)) : INDEX(AB:AB, ROW()-1)),
COUNTIFS(unit_details[Active Listing?],TRUE,
          unit_details[Property Name], $F147,
          unit_details[Beds], $L147,
          unit_details[Baths], $M147,
          unit_details[Partial Baths],IF(ISNUMBER($N147),$N147,""),
          unit_details[Sqft],$P147))</f>
        <v>0</v>
      </c>
      <c r="AC147" s="27" t="str">
        <f t="shared" si="25"/>
        <v/>
      </c>
      <c r="AD147" s="293" t="str">
        <f>IFERROR(IF(AE147="","",IF($F147="Total",
SUMPRODUCT(
   INDEX(AD:AD, ROW()-COUNTIF($F$6:INDEX($F:$F, ROW()-1), $F146)) : INDEX(AD:AD, ROW()-1),
   INDEX(AB:AB, ROW()-COUNTIF($F$6:INDEX($F:$F, ROW()-1), $F146)) : INDEX(AB:AB, ROW()-1)
   )
   /SUM(INDEX(AB:AB, ROW()-COUNTIF($F$6:INDEX($F:$F, ROW()-1), $F146)) : INDEX(AB:AB, ROW()-1)),
          _xlfn.MINIFS(unit_details[Asking Rent],
          unit_details[Active Listing?],TRUE,
          unit_details[Property Name], $F147,
          unit_details[Beds], $L147,
          unit_details[Baths], $M147,
          unit_details[Partial Baths], IF(ISNUMBER($N147),$N147,""),
          unit_details[Sqft],$P147
))),"")</f>
        <v/>
      </c>
      <c r="AE147" s="5" t="str">
        <f>IFERROR(IF($F147="Total",
          SUMPRODUCT(
   INDEX(AE:AE, ROW()-COUNTIF($F$6:INDEX($F:$F, ROW()-1), $F146)) : INDEX(AE:AE, ROW()-1),
   INDEX(AB:AB, ROW()-COUNTIF($F$6:INDEX($F:$F, ROW()-1), $F146)) : INDEX(AB:AB, ROW()-1)
   )
   /SUM(INDEX(AB:AB, ROW()-COUNTIF($F$6:INDEX($F:$F, ROW()-1), $F146)) : INDEX(AB:AB, ROW()-1)),
          AVERAGEIFS(unit_details[Asking Rent],
          unit_details[Active Listing?],TRUE,
          unit_details[Property Name], $F147,
          unit_details[Beds], $L147,
          unit_details[Baths], $M147,
          unit_details[Partial Baths], IF(ISNUMBER($N147),$N147,""),
          unit_details[Sqft],$P147
)),"")</f>
        <v/>
      </c>
      <c r="AF147" s="5" t="str">
        <f>IFERROR(IF(AE147="","",IF($F147="Total",
SUMPRODUCT(
   INDEX(AF:AF, ROW()-COUNTIF($F$6:INDEX($F:$F, ROW()-1), $F146)) : INDEX(AF:AF, ROW()-1),
   INDEX(AB:AB, ROW()-COUNTIF($F$6:INDEX($F:$F, ROW()-1), $F146)) : INDEX(AB:AB, ROW()-1)
   )
   /SUM(INDEX(AB:AB, ROW()-COUNTIF($F$6:INDEX($F:$F, ROW()-1), $F146)) : INDEX(AB:AB, ROW()-1)),
           _xlfn.MAXIFS(unit_details[Asking Rent],
          unit_details[Active Listing?],TRUE,
          unit_details[Property Name], $F147,
          unit_details[Beds], $L147,
          unit_details[Baths], $M147,
          unit_details[Partial Baths], IF(ISNUMBER($N147),$N147,""),
          unit_details[Sqft],$P147
))),"")</f>
        <v/>
      </c>
      <c r="AG147" s="6" t="str">
        <f>IFERROR(IF($F147="Total",
         SUMPRODUCT(
         INDEX(AG:AG, ROW()-COUNTIF($F$6:INDEX($F:$F, ROW()-1), $F146)) : INDEX(AG:AG, ROW()-1),
         INDEX(AB:AB, ROW()-COUNTIF($F$6:INDEX($F:$F, ROW()-1), $F146)) : INDEX(AB:AB, ROW()-1)
         )
         /SUM(INDEX(AB:AB, ROW()-COUNTIF($F$6:INDEX($F:$F, ROW()-1), $F146)) : INDEX(AB:AB, ROW()-1)),
          AVERAGEIFS(unit_details[Asking PSF],
          unit_details[Active Listing?],TRUE,
          unit_details[Property Name], $F147,
          unit_details[Beds], $L147,
          unit_details[Baths], $M147,
          unit_details[Partial Baths], IF(ISNUMBER($N147),$N147,""),
          unit_details[Sqft],$P147
)),"")</f>
        <v/>
      </c>
      <c r="AH147" s="293" t="str">
        <f>IFERROR(IF($F147="Total",
         SUMPRODUCT(
         INDEX(AH:AH, ROW()-COUNTIF($F$6:INDEX($F:$F, ROW()-1), $F146)) : INDEX(AH:AH, ROW()-1),
         INDEX(AB:AB, ROW()-COUNTIF($F$6:INDEX($F:$F, ROW()-1), $F146)) : INDEX(AB:AB, ROW()-1)
         )
         /SUM(INDEX(AB:AB, ROW()-COUNTIF($F$6:INDEX($F:$F, ROW()-1), $F146)) : INDEX(AB:AB, ROW()-1)),
          AVERAGEIFS(unit_details[Effective Rent],
          unit_details[Active Listing?],TRUE,
          unit_details[Property Name], $F147,
          unit_details[Beds], $L147,
          unit_details[Baths], $M147,
          unit_details[Partial Baths], IF(ISNUMBER($N147),$N147,""),
          unit_details[Sqft],$P147
)),"")</f>
        <v/>
      </c>
      <c r="AI147" s="6" t="str">
        <f>IFERROR(IF($F147="Total",
         SUMPRODUCT(
         INDEX(AI:AI, ROW()-COUNTIF($F$6:INDEX($F:$F, ROW()-1), $F146)) : INDEX(AI:AI, ROW()-1),
         INDEX(AB:AB, ROW()-COUNTIF($F$6:INDEX($F:$F, ROW()-1), $F146)) : INDEX(AB:AB, ROW()-1)
         )
         /SUM(INDEX(AB:AB, ROW()-COUNTIF($F$6:INDEX($F:$F, ROW()-1), $F146)) : INDEX(AB:AB, ROW()-1)),
           AVERAGEIFS(unit_details[Effective PSF],
          unit_details[Active Listing?],TRUE,
          unit_details[Property Name], $F147,
          unit_details[Beds], $L147,
          unit_details[Baths], $M147,
          unit_details[Partial Baths], IF(ISNUMBER($N147),$N147,""),
          unit_details[Sqft],$P147
)),"")</f>
        <v/>
      </c>
      <c r="AJ147" s="824" t="str">
        <f t="shared" si="26"/>
        <v/>
      </c>
      <c r="AK147" s="531" t="str">
        <f t="shared" si="27"/>
        <v/>
      </c>
      <c r="AL147" s="714" t="str">
        <f t="shared" si="28"/>
        <v/>
      </c>
      <c r="AM147" s="531" t="str">
        <f t="shared" si="29"/>
        <v/>
      </c>
      <c r="AN147" s="716" t="str">
        <f t="shared" si="30"/>
        <v/>
      </c>
    </row>
    <row r="148" spans="6:40" x14ac:dyDescent="0.2">
      <c r="F148" s="1" t="str">
        <f t="shared" si="23"/>
        <v/>
      </c>
      <c r="G148" s="713" t="str">
        <f t="shared" si="31"/>
        <v/>
      </c>
      <c r="H148" s="17" t="str">
        <f>IFERROR(VLOOKUP($G148,Table1[[Property]:[Exposure %]],4,0),"")</f>
        <v/>
      </c>
      <c r="I148" s="3" t="str">
        <f>IFERROR(VLOOKUP($G148,Table1[[Property]:[Exposure %]],6,0),"")</f>
        <v/>
      </c>
      <c r="J148" s="3" t="str">
        <f>IFERROR(VLOOKUP($G148,Table1[[Property]:[Exposure %]],7,0),"")</f>
        <v/>
      </c>
      <c r="K148"/>
      <c r="L148"/>
      <c r="M148"/>
      <c r="N148"/>
      <c r="O148"/>
      <c r="P148"/>
      <c r="Q148"/>
      <c r="R148" s="4" t="str">
        <f>IFERROR(VLOOKUP(IF(F148="Total",F147,F148),Table1[[Property]:['# Units]],7,0)*S148,"")</f>
        <v/>
      </c>
      <c r="S148" s="27" t="str">
        <f t="shared" si="24"/>
        <v/>
      </c>
      <c r="T148" s="531" t="str">
        <f>IFERROR(
 IF($F148="Total",
   SUMPRODUCT(
   INDEX(T:T, ROW()-COUNTIF($F$6:INDEX($F:$F, ROW()-1), $F147)) : INDEX(T:T, ROW()-1),
   INDEX(W:W, ROW()-COUNTIF($F$6:INDEX($F:$F, ROW()-1), $F147)) : INDEX(W:W, ROW()-1)
   )
   /SUM(INDEX(W:W, ROW()-COUNTIF($F$6:INDEX($F:$F, ROW()-1), $F147)) : INDEX(W:W, ROW()-1)),
   AVERAGEIFS(
     INDEX((unit_details[Asking Rent],unit_details[Asking PSF]),0,1,IF($U$3="Chunk Rent",1,2)),
     unit_details[Leased Date],"&gt;="&amp;($AM$2-T$5),
     unit_details[Leased Date],"&lt;"&amp;$AM$2,
     unit_details[Beds],$L148,
     unit_details[Baths],$M148,
     unit_details[Partial Baths],IF(ISNUMBER($N148),$N148,""),
     unit_details[Sqft],$P148,
     unit_details[Property Name],$F148)
 ),"")</f>
        <v/>
      </c>
      <c r="U148" s="552" t="str">
        <f>IFERROR(
 IF($F148="Total",
   SUMPRODUCT(
   INDEX(U:U, ROW()-COUNTIF($F$6:INDEX($F:$F, ROW()-1), $F147)) : INDEX(U:U, ROW()-1),
   INDEX(W:W, ROW()-COUNTIF($F$6:INDEX($F:$F, ROW()-1), $F147)) : INDEX(W:W, ROW()-1)
   )
   /SUM(INDEX(W:W, ROW()-COUNTIF($F$6:INDEX($F:$F, ROW()-1), $F147)) : INDEX(W:W, ROW()-1)),
   AVERAGEIFS(
     INDEX((unit_details[Effective Rent],unit_details[Effective PSF]),0,1,IF($U$3="Chunk Rent",1,2)),
     unit_details[Leased Date],"&gt;="&amp;($AM$2-T$5),
     unit_details[Leased Date],"&lt;"&amp;$AM$2,
     unit_details[Beds],$L148,
     unit_details[Baths],$M148,
     unit_details[Partial Baths],IF(ISNUMBER($N148),$N148,""),
     unit_details[Sqft],$P148,
     unit_details[Property Name],$F148)
 ),"")</f>
        <v/>
      </c>
      <c r="V148" s="27" t="str">
        <f t="shared" si="32"/>
        <v/>
      </c>
      <c r="W148" s="526">
        <f>IFERROR(
  IF($F148="Total",
    SUM(INDEX(W:W, ROW()-COUNTIF($F$6:INDEX($F:$F, ROW()-1), $F147)) : INDEX(W:W, ROW()-1)),
    COUNTIFS(
      unit_details[Leased Date], "&gt;="&amp;($AM$2-T$5),
      unit_details[Leased Date], "&lt;"&amp;$AM$2,
      unit_details[Beds], $L148,
      unit_details[Baths], $M148,
      unit_details[Partial Baths], IF(ISNUMBER($N148), $N148, ""),
      unit_details[Sqft],$P148,
      unit_details[Property Name], $F148
    )
  ),
"")</f>
        <v>0</v>
      </c>
      <c r="X148" s="531" t="str">
        <f>IFERROR(
 IF($F148="Total",
   SUMPRODUCT(
   INDEX(X:X, ROW()-COUNTIF($F$6:INDEX($F:$F, ROW()-1), $F147)) : INDEX(X:X, ROW()-1),
   INDEX(AA:AA, ROW()-COUNTIF($F$6:INDEX($F:$F, ROW()-1), $F147)) : INDEX(AA:AA, ROW()-1)
   )
   /SUM(INDEX(AA:AA, ROW()-COUNTIF($F$6:INDEX($F:$F, ROW()-1), $F147)) : INDEX(AA:AA, ROW()-1)),
   AVERAGEIFS(
     INDEX((unit_details[Asking Rent],unit_details[Asking PSF]),0,1,IF($U$3="Chunk Rent",1,2)),
     unit_details[Leased Date],"&gt;="&amp;($AM$2-X$5),
     unit_details[Leased Date],"&lt;"&amp;$AM$2,
     unit_details[Beds],$L148,
     unit_details[Baths],$M148,
     unit_details[Partial Baths],IF(ISNUMBER($N148),$N148,""),
     unit_details[Sqft],$P148,
     unit_details[Property Name],$F148)
 ),"")</f>
        <v/>
      </c>
      <c r="Y148" s="552" t="str">
        <f>IFERROR(
 IF($F148="Total",
   SUMPRODUCT(
   INDEX(Y:Y, ROW()-COUNTIF($F$6:INDEX($F:$F, ROW()-1), $F147)) : INDEX(Y:Y, ROW()-1),
   INDEX(AA:AA, ROW()-COUNTIF($F$6:INDEX($F:$F, ROW()-1), $F147)) : INDEX(AA:AA, ROW()-1)
   )
   /SUM(INDEX(AA:AA, ROW()-COUNTIF($F$6:INDEX($F:$F, ROW()-1), $F147)) : INDEX(AA:AA, ROW()-1)),
   AVERAGEIFS(
     INDEX((unit_details[Effective Rent],unit_details[Effective PSF]),0,1,IF($U$3="Chunk Rent",1,2)),
     unit_details[Leased Date],"&gt;="&amp;($AM$2-X$5),
     unit_details[Leased Date],"&lt;"&amp;$AM$2,
     unit_details[Beds],$L148,
     unit_details[Baths],$M148,
     unit_details[Partial Baths],IF(ISNUMBER($N148),$N148,""),
     unit_details[Sqft],$P148,
     unit_details[Property Name],$F148)
 ),"")</f>
        <v/>
      </c>
      <c r="Z148" s="27" t="str">
        <f t="shared" si="33"/>
        <v/>
      </c>
      <c r="AA148" s="526">
        <f>IFERROR(
  IF($F148="Total",
    SUM(INDEX(AA:AA, ROW()-COUNTIF($F$6:INDEX($F:$F, ROW()-1), $F147)) : INDEX(AA:AA, ROW()-1)),
    COUNTIFS(
      unit_details[Leased Date], "&gt;="&amp;($AM$2-X$5),
      unit_details[Leased Date], "&lt;"&amp;$AM$2,
      unit_details[Beds], $L148,
      unit_details[Baths], $M148,
      unit_details[Partial Baths], IF(ISNUMBER($N148), $N148, ""),
      unit_details[Sqft],$P148,
      unit_details[Property Name], $F148
    )
  ),
"")</f>
        <v>0</v>
      </c>
      <c r="AB148" s="290">
        <f>IF($F148="Total",
SUM(INDEX(AB:AB, ROW()-COUNTIF($F$6:INDEX($F:$F, ROW()-1), $F147)) : INDEX(AB:AB, ROW()-1)),
COUNTIFS(unit_details[Active Listing?],TRUE,
          unit_details[Property Name], $F148,
          unit_details[Beds], $L148,
          unit_details[Baths], $M148,
          unit_details[Partial Baths],IF(ISNUMBER($N148),$N148,""),
          unit_details[Sqft],$P148))</f>
        <v>0</v>
      </c>
      <c r="AC148" s="27" t="str">
        <f t="shared" si="25"/>
        <v/>
      </c>
      <c r="AD148" s="293" t="str">
        <f>IFERROR(IF(AE148="","",IF($F148="Total",
SUMPRODUCT(
   INDEX(AD:AD, ROW()-COUNTIF($F$6:INDEX($F:$F, ROW()-1), $F147)) : INDEX(AD:AD, ROW()-1),
   INDEX(AB:AB, ROW()-COUNTIF($F$6:INDEX($F:$F, ROW()-1), $F147)) : INDEX(AB:AB, ROW()-1)
   )
   /SUM(INDEX(AB:AB, ROW()-COUNTIF($F$6:INDEX($F:$F, ROW()-1), $F147)) : INDEX(AB:AB, ROW()-1)),
          _xlfn.MINIFS(unit_details[Asking Rent],
          unit_details[Active Listing?],TRUE,
          unit_details[Property Name], $F148,
          unit_details[Beds], $L148,
          unit_details[Baths], $M148,
          unit_details[Partial Baths], IF(ISNUMBER($N148),$N148,""),
          unit_details[Sqft],$P148
))),"")</f>
        <v/>
      </c>
      <c r="AE148" s="5" t="str">
        <f>IFERROR(IF($F148="Total",
          SUMPRODUCT(
   INDEX(AE:AE, ROW()-COUNTIF($F$6:INDEX($F:$F, ROW()-1), $F147)) : INDEX(AE:AE, ROW()-1),
   INDEX(AB:AB, ROW()-COUNTIF($F$6:INDEX($F:$F, ROW()-1), $F147)) : INDEX(AB:AB, ROW()-1)
   )
   /SUM(INDEX(AB:AB, ROW()-COUNTIF($F$6:INDEX($F:$F, ROW()-1), $F147)) : INDEX(AB:AB, ROW()-1)),
          AVERAGEIFS(unit_details[Asking Rent],
          unit_details[Active Listing?],TRUE,
          unit_details[Property Name], $F148,
          unit_details[Beds], $L148,
          unit_details[Baths], $M148,
          unit_details[Partial Baths], IF(ISNUMBER($N148),$N148,""),
          unit_details[Sqft],$P148
)),"")</f>
        <v/>
      </c>
      <c r="AF148" s="5" t="str">
        <f>IFERROR(IF(AE148="","",IF($F148="Total",
SUMPRODUCT(
   INDEX(AF:AF, ROW()-COUNTIF($F$6:INDEX($F:$F, ROW()-1), $F147)) : INDEX(AF:AF, ROW()-1),
   INDEX(AB:AB, ROW()-COUNTIF($F$6:INDEX($F:$F, ROW()-1), $F147)) : INDEX(AB:AB, ROW()-1)
   )
   /SUM(INDEX(AB:AB, ROW()-COUNTIF($F$6:INDEX($F:$F, ROW()-1), $F147)) : INDEX(AB:AB, ROW()-1)),
           _xlfn.MAXIFS(unit_details[Asking Rent],
          unit_details[Active Listing?],TRUE,
          unit_details[Property Name], $F148,
          unit_details[Beds], $L148,
          unit_details[Baths], $M148,
          unit_details[Partial Baths], IF(ISNUMBER($N148),$N148,""),
          unit_details[Sqft],$P148
))),"")</f>
        <v/>
      </c>
      <c r="AG148" s="6" t="str">
        <f>IFERROR(IF($F148="Total",
         SUMPRODUCT(
         INDEX(AG:AG, ROW()-COUNTIF($F$6:INDEX($F:$F, ROW()-1), $F147)) : INDEX(AG:AG, ROW()-1),
         INDEX(AB:AB, ROW()-COUNTIF($F$6:INDEX($F:$F, ROW()-1), $F147)) : INDEX(AB:AB, ROW()-1)
         )
         /SUM(INDEX(AB:AB, ROW()-COUNTIF($F$6:INDEX($F:$F, ROW()-1), $F147)) : INDEX(AB:AB, ROW()-1)),
          AVERAGEIFS(unit_details[Asking PSF],
          unit_details[Active Listing?],TRUE,
          unit_details[Property Name], $F148,
          unit_details[Beds], $L148,
          unit_details[Baths], $M148,
          unit_details[Partial Baths], IF(ISNUMBER($N148),$N148,""),
          unit_details[Sqft],$P148
)),"")</f>
        <v/>
      </c>
      <c r="AH148" s="293" t="str">
        <f>IFERROR(IF($F148="Total",
         SUMPRODUCT(
         INDEX(AH:AH, ROW()-COUNTIF($F$6:INDEX($F:$F, ROW()-1), $F147)) : INDEX(AH:AH, ROW()-1),
         INDEX(AB:AB, ROW()-COUNTIF($F$6:INDEX($F:$F, ROW()-1), $F147)) : INDEX(AB:AB, ROW()-1)
         )
         /SUM(INDEX(AB:AB, ROW()-COUNTIF($F$6:INDEX($F:$F, ROW()-1), $F147)) : INDEX(AB:AB, ROW()-1)),
          AVERAGEIFS(unit_details[Effective Rent],
          unit_details[Active Listing?],TRUE,
          unit_details[Property Name], $F148,
          unit_details[Beds], $L148,
          unit_details[Baths], $M148,
          unit_details[Partial Baths], IF(ISNUMBER($N148),$N148,""),
          unit_details[Sqft],$P148
)),"")</f>
        <v/>
      </c>
      <c r="AI148" s="6" t="str">
        <f>IFERROR(IF($F148="Total",
         SUMPRODUCT(
         INDEX(AI:AI, ROW()-COUNTIF($F$6:INDEX($F:$F, ROW()-1), $F147)) : INDEX(AI:AI, ROW()-1),
         INDEX(AB:AB, ROW()-COUNTIF($F$6:INDEX($F:$F, ROW()-1), $F147)) : INDEX(AB:AB, ROW()-1)
         )
         /SUM(INDEX(AB:AB, ROW()-COUNTIF($F$6:INDEX($F:$F, ROW()-1), $F147)) : INDEX(AB:AB, ROW()-1)),
           AVERAGEIFS(unit_details[Effective PSF],
          unit_details[Active Listing?],TRUE,
          unit_details[Property Name], $F148,
          unit_details[Beds], $L148,
          unit_details[Baths], $M148,
          unit_details[Partial Baths], IF(ISNUMBER($N148),$N148,""),
          unit_details[Sqft],$P148
)),"")</f>
        <v/>
      </c>
      <c r="AJ148" s="824" t="str">
        <f t="shared" si="26"/>
        <v/>
      </c>
      <c r="AK148" s="531" t="str">
        <f t="shared" si="27"/>
        <v/>
      </c>
      <c r="AL148" s="714" t="str">
        <f t="shared" si="28"/>
        <v/>
      </c>
      <c r="AM148" s="531" t="str">
        <f t="shared" si="29"/>
        <v/>
      </c>
      <c r="AN148" s="716" t="str">
        <f t="shared" si="30"/>
        <v/>
      </c>
    </row>
    <row r="149" spans="6:40" x14ac:dyDescent="0.2">
      <c r="F149" s="1" t="str">
        <f t="shared" si="23"/>
        <v/>
      </c>
      <c r="G149" s="713" t="str">
        <f t="shared" si="31"/>
        <v/>
      </c>
      <c r="H149" s="17" t="str">
        <f>IFERROR(VLOOKUP($G149,Table1[[Property]:[Exposure %]],4,0),"")</f>
        <v/>
      </c>
      <c r="I149" s="3" t="str">
        <f>IFERROR(VLOOKUP($G149,Table1[[Property]:[Exposure %]],6,0),"")</f>
        <v/>
      </c>
      <c r="J149" s="3" t="str">
        <f>IFERROR(VLOOKUP($G149,Table1[[Property]:[Exposure %]],7,0),"")</f>
        <v/>
      </c>
      <c r="K149"/>
      <c r="L149"/>
      <c r="M149"/>
      <c r="N149"/>
      <c r="O149"/>
      <c r="P149"/>
      <c r="Q149"/>
      <c r="R149" s="4" t="str">
        <f>IFERROR(VLOOKUP(IF(F149="Total",F148,F149),Table1[[Property]:['# Units]],7,0)*S149,"")</f>
        <v/>
      </c>
      <c r="S149" s="27" t="str">
        <f t="shared" si="24"/>
        <v/>
      </c>
      <c r="T149" s="531" t="str">
        <f>IFERROR(
 IF($F149="Total",
   SUMPRODUCT(
   INDEX(T:T, ROW()-COUNTIF($F$6:INDEX($F:$F, ROW()-1), $F148)) : INDEX(T:T, ROW()-1),
   INDEX(W:W, ROW()-COUNTIF($F$6:INDEX($F:$F, ROW()-1), $F148)) : INDEX(W:W, ROW()-1)
   )
   /SUM(INDEX(W:W, ROW()-COUNTIF($F$6:INDEX($F:$F, ROW()-1), $F148)) : INDEX(W:W, ROW()-1)),
   AVERAGEIFS(
     INDEX((unit_details[Asking Rent],unit_details[Asking PSF]),0,1,IF($U$3="Chunk Rent",1,2)),
     unit_details[Leased Date],"&gt;="&amp;($AM$2-T$5),
     unit_details[Leased Date],"&lt;"&amp;$AM$2,
     unit_details[Beds],$L149,
     unit_details[Baths],$M149,
     unit_details[Partial Baths],IF(ISNUMBER($N149),$N149,""),
     unit_details[Sqft],$P149,
     unit_details[Property Name],$F149)
 ),"")</f>
        <v/>
      </c>
      <c r="U149" s="552" t="str">
        <f>IFERROR(
 IF($F149="Total",
   SUMPRODUCT(
   INDEX(U:U, ROW()-COUNTIF($F$6:INDEX($F:$F, ROW()-1), $F148)) : INDEX(U:U, ROW()-1),
   INDEX(W:W, ROW()-COUNTIF($F$6:INDEX($F:$F, ROW()-1), $F148)) : INDEX(W:W, ROW()-1)
   )
   /SUM(INDEX(W:W, ROW()-COUNTIF($F$6:INDEX($F:$F, ROW()-1), $F148)) : INDEX(W:W, ROW()-1)),
   AVERAGEIFS(
     INDEX((unit_details[Effective Rent],unit_details[Effective PSF]),0,1,IF($U$3="Chunk Rent",1,2)),
     unit_details[Leased Date],"&gt;="&amp;($AM$2-T$5),
     unit_details[Leased Date],"&lt;"&amp;$AM$2,
     unit_details[Beds],$L149,
     unit_details[Baths],$M149,
     unit_details[Partial Baths],IF(ISNUMBER($N149),$N149,""),
     unit_details[Sqft],$P149,
     unit_details[Property Name],$F149)
 ),"")</f>
        <v/>
      </c>
      <c r="V149" s="27" t="str">
        <f t="shared" si="32"/>
        <v/>
      </c>
      <c r="W149" s="526">
        <f>IFERROR(
  IF($F149="Total",
    SUM(INDEX(W:W, ROW()-COUNTIF($F$6:INDEX($F:$F, ROW()-1), $F148)) : INDEX(W:W, ROW()-1)),
    COUNTIFS(
      unit_details[Leased Date], "&gt;="&amp;($AM$2-T$5),
      unit_details[Leased Date], "&lt;"&amp;$AM$2,
      unit_details[Beds], $L149,
      unit_details[Baths], $M149,
      unit_details[Partial Baths], IF(ISNUMBER($N149), $N149, ""),
      unit_details[Sqft],$P149,
      unit_details[Property Name], $F149
    )
  ),
"")</f>
        <v>0</v>
      </c>
      <c r="X149" s="531" t="str">
        <f>IFERROR(
 IF($F149="Total",
   SUMPRODUCT(
   INDEX(X:X, ROW()-COUNTIF($F$6:INDEX($F:$F, ROW()-1), $F148)) : INDEX(X:X, ROW()-1),
   INDEX(AA:AA, ROW()-COUNTIF($F$6:INDEX($F:$F, ROW()-1), $F148)) : INDEX(AA:AA, ROW()-1)
   )
   /SUM(INDEX(AA:AA, ROW()-COUNTIF($F$6:INDEX($F:$F, ROW()-1), $F148)) : INDEX(AA:AA, ROW()-1)),
   AVERAGEIFS(
     INDEX((unit_details[Asking Rent],unit_details[Asking PSF]),0,1,IF($U$3="Chunk Rent",1,2)),
     unit_details[Leased Date],"&gt;="&amp;($AM$2-X$5),
     unit_details[Leased Date],"&lt;"&amp;$AM$2,
     unit_details[Beds],$L149,
     unit_details[Baths],$M149,
     unit_details[Partial Baths],IF(ISNUMBER($N149),$N149,""),
     unit_details[Sqft],$P149,
     unit_details[Property Name],$F149)
 ),"")</f>
        <v/>
      </c>
      <c r="Y149" s="552" t="str">
        <f>IFERROR(
 IF($F149="Total",
   SUMPRODUCT(
   INDEX(Y:Y, ROW()-COUNTIF($F$6:INDEX($F:$F, ROW()-1), $F148)) : INDEX(Y:Y, ROW()-1),
   INDEX(AA:AA, ROW()-COUNTIF($F$6:INDEX($F:$F, ROW()-1), $F148)) : INDEX(AA:AA, ROW()-1)
   )
   /SUM(INDEX(AA:AA, ROW()-COUNTIF($F$6:INDEX($F:$F, ROW()-1), $F148)) : INDEX(AA:AA, ROW()-1)),
   AVERAGEIFS(
     INDEX((unit_details[Effective Rent],unit_details[Effective PSF]),0,1,IF($U$3="Chunk Rent",1,2)),
     unit_details[Leased Date],"&gt;="&amp;($AM$2-X$5),
     unit_details[Leased Date],"&lt;"&amp;$AM$2,
     unit_details[Beds],$L149,
     unit_details[Baths],$M149,
     unit_details[Partial Baths],IF(ISNUMBER($N149),$N149,""),
     unit_details[Sqft],$P149,
     unit_details[Property Name],$F149)
 ),"")</f>
        <v/>
      </c>
      <c r="Z149" s="27" t="str">
        <f t="shared" si="33"/>
        <v/>
      </c>
      <c r="AA149" s="526">
        <f>IFERROR(
  IF($F149="Total",
    SUM(INDEX(AA:AA, ROW()-COUNTIF($F$6:INDEX($F:$F, ROW()-1), $F148)) : INDEX(AA:AA, ROW()-1)),
    COUNTIFS(
      unit_details[Leased Date], "&gt;="&amp;($AM$2-X$5),
      unit_details[Leased Date], "&lt;"&amp;$AM$2,
      unit_details[Beds], $L149,
      unit_details[Baths], $M149,
      unit_details[Partial Baths], IF(ISNUMBER($N149), $N149, ""),
      unit_details[Sqft],$P149,
      unit_details[Property Name], $F149
    )
  ),
"")</f>
        <v>0</v>
      </c>
      <c r="AB149" s="290">
        <f>IF($F149="Total",
SUM(INDEX(AB:AB, ROW()-COUNTIF($F$6:INDEX($F:$F, ROW()-1), $F148)) : INDEX(AB:AB, ROW()-1)),
COUNTIFS(unit_details[Active Listing?],TRUE,
          unit_details[Property Name], $F149,
          unit_details[Beds], $L149,
          unit_details[Baths], $M149,
          unit_details[Partial Baths],IF(ISNUMBER($N149),$N149,""),
          unit_details[Sqft],$P149))</f>
        <v>0</v>
      </c>
      <c r="AC149" s="27" t="str">
        <f t="shared" si="25"/>
        <v/>
      </c>
      <c r="AD149" s="293" t="str">
        <f>IFERROR(IF(AE149="","",IF($F149="Total",
SUMPRODUCT(
   INDEX(AD:AD, ROW()-COUNTIF($F$6:INDEX($F:$F, ROW()-1), $F148)) : INDEX(AD:AD, ROW()-1),
   INDEX(AB:AB, ROW()-COUNTIF($F$6:INDEX($F:$F, ROW()-1), $F148)) : INDEX(AB:AB, ROW()-1)
   )
   /SUM(INDEX(AB:AB, ROW()-COUNTIF($F$6:INDEX($F:$F, ROW()-1), $F148)) : INDEX(AB:AB, ROW()-1)),
          _xlfn.MINIFS(unit_details[Asking Rent],
          unit_details[Active Listing?],TRUE,
          unit_details[Property Name], $F149,
          unit_details[Beds], $L149,
          unit_details[Baths], $M149,
          unit_details[Partial Baths], IF(ISNUMBER($N149),$N149,""),
          unit_details[Sqft],$P149
))),"")</f>
        <v/>
      </c>
      <c r="AE149" s="5" t="str">
        <f>IFERROR(IF($F149="Total",
          SUMPRODUCT(
   INDEX(AE:AE, ROW()-COUNTIF($F$6:INDEX($F:$F, ROW()-1), $F148)) : INDEX(AE:AE, ROW()-1),
   INDEX(AB:AB, ROW()-COUNTIF($F$6:INDEX($F:$F, ROW()-1), $F148)) : INDEX(AB:AB, ROW()-1)
   )
   /SUM(INDEX(AB:AB, ROW()-COUNTIF($F$6:INDEX($F:$F, ROW()-1), $F148)) : INDEX(AB:AB, ROW()-1)),
          AVERAGEIFS(unit_details[Asking Rent],
          unit_details[Active Listing?],TRUE,
          unit_details[Property Name], $F149,
          unit_details[Beds], $L149,
          unit_details[Baths], $M149,
          unit_details[Partial Baths], IF(ISNUMBER($N149),$N149,""),
          unit_details[Sqft],$P149
)),"")</f>
        <v/>
      </c>
      <c r="AF149" s="5" t="str">
        <f>IFERROR(IF(AE149="","",IF($F149="Total",
SUMPRODUCT(
   INDEX(AF:AF, ROW()-COUNTIF($F$6:INDEX($F:$F, ROW()-1), $F148)) : INDEX(AF:AF, ROW()-1),
   INDEX(AB:AB, ROW()-COUNTIF($F$6:INDEX($F:$F, ROW()-1), $F148)) : INDEX(AB:AB, ROW()-1)
   )
   /SUM(INDEX(AB:AB, ROW()-COUNTIF($F$6:INDEX($F:$F, ROW()-1), $F148)) : INDEX(AB:AB, ROW()-1)),
           _xlfn.MAXIFS(unit_details[Asking Rent],
          unit_details[Active Listing?],TRUE,
          unit_details[Property Name], $F149,
          unit_details[Beds], $L149,
          unit_details[Baths], $M149,
          unit_details[Partial Baths], IF(ISNUMBER($N149),$N149,""),
          unit_details[Sqft],$P149
))),"")</f>
        <v/>
      </c>
      <c r="AG149" s="6" t="str">
        <f>IFERROR(IF($F149="Total",
         SUMPRODUCT(
         INDEX(AG:AG, ROW()-COUNTIF($F$6:INDEX($F:$F, ROW()-1), $F148)) : INDEX(AG:AG, ROW()-1),
         INDEX(AB:AB, ROW()-COUNTIF($F$6:INDEX($F:$F, ROW()-1), $F148)) : INDEX(AB:AB, ROW()-1)
         )
         /SUM(INDEX(AB:AB, ROW()-COUNTIF($F$6:INDEX($F:$F, ROW()-1), $F148)) : INDEX(AB:AB, ROW()-1)),
          AVERAGEIFS(unit_details[Asking PSF],
          unit_details[Active Listing?],TRUE,
          unit_details[Property Name], $F149,
          unit_details[Beds], $L149,
          unit_details[Baths], $M149,
          unit_details[Partial Baths], IF(ISNUMBER($N149),$N149,""),
          unit_details[Sqft],$P149
)),"")</f>
        <v/>
      </c>
      <c r="AH149" s="293" t="str">
        <f>IFERROR(IF($F149="Total",
         SUMPRODUCT(
         INDEX(AH:AH, ROW()-COUNTIF($F$6:INDEX($F:$F, ROW()-1), $F148)) : INDEX(AH:AH, ROW()-1),
         INDEX(AB:AB, ROW()-COUNTIF($F$6:INDEX($F:$F, ROW()-1), $F148)) : INDEX(AB:AB, ROW()-1)
         )
         /SUM(INDEX(AB:AB, ROW()-COUNTIF($F$6:INDEX($F:$F, ROW()-1), $F148)) : INDEX(AB:AB, ROW()-1)),
          AVERAGEIFS(unit_details[Effective Rent],
          unit_details[Active Listing?],TRUE,
          unit_details[Property Name], $F149,
          unit_details[Beds], $L149,
          unit_details[Baths], $M149,
          unit_details[Partial Baths], IF(ISNUMBER($N149),$N149,""),
          unit_details[Sqft],$P149
)),"")</f>
        <v/>
      </c>
      <c r="AI149" s="6" t="str">
        <f>IFERROR(IF($F149="Total",
         SUMPRODUCT(
         INDEX(AI:AI, ROW()-COUNTIF($F$6:INDEX($F:$F, ROW()-1), $F148)) : INDEX(AI:AI, ROW()-1),
         INDEX(AB:AB, ROW()-COUNTIF($F$6:INDEX($F:$F, ROW()-1), $F148)) : INDEX(AB:AB, ROW()-1)
         )
         /SUM(INDEX(AB:AB, ROW()-COUNTIF($F$6:INDEX($F:$F, ROW()-1), $F148)) : INDEX(AB:AB, ROW()-1)),
           AVERAGEIFS(unit_details[Effective PSF],
          unit_details[Active Listing?],TRUE,
          unit_details[Property Name], $F149,
          unit_details[Beds], $L149,
          unit_details[Baths], $M149,
          unit_details[Partial Baths], IF(ISNUMBER($N149),$N149,""),
          unit_details[Sqft],$P149
)),"")</f>
        <v/>
      </c>
      <c r="AJ149" s="824" t="str">
        <f t="shared" si="26"/>
        <v/>
      </c>
      <c r="AK149" s="531" t="str">
        <f t="shared" si="27"/>
        <v/>
      </c>
      <c r="AL149" s="714" t="str">
        <f t="shared" si="28"/>
        <v/>
      </c>
      <c r="AM149" s="531" t="str">
        <f t="shared" si="29"/>
        <v/>
      </c>
      <c r="AN149" s="716" t="str">
        <f t="shared" si="30"/>
        <v/>
      </c>
    </row>
    <row r="150" spans="6:40" x14ac:dyDescent="0.2">
      <c r="F150" s="1" t="str">
        <f t="shared" si="23"/>
        <v/>
      </c>
      <c r="G150" s="713" t="str">
        <f t="shared" si="31"/>
        <v/>
      </c>
      <c r="H150" s="17" t="str">
        <f>IFERROR(VLOOKUP($G150,Table1[[Property]:[Exposure %]],4,0),"")</f>
        <v/>
      </c>
      <c r="I150" s="3" t="str">
        <f>IFERROR(VLOOKUP($G150,Table1[[Property]:[Exposure %]],6,0),"")</f>
        <v/>
      </c>
      <c r="J150" s="3" t="str">
        <f>IFERROR(VLOOKUP($G150,Table1[[Property]:[Exposure %]],7,0),"")</f>
        <v/>
      </c>
      <c r="K150"/>
      <c r="L150"/>
      <c r="M150"/>
      <c r="N150"/>
      <c r="O150"/>
      <c r="P150"/>
      <c r="Q150"/>
      <c r="R150" s="4" t="str">
        <f>IFERROR(VLOOKUP(IF(F150="Total",F149,F150),Table1[[Property]:['# Units]],7,0)*S150,"")</f>
        <v/>
      </c>
      <c r="S150" s="27" t="str">
        <f t="shared" si="24"/>
        <v/>
      </c>
      <c r="T150" s="531" t="str">
        <f>IFERROR(
 IF($F150="Total",
   SUMPRODUCT(
   INDEX(T:T, ROW()-COUNTIF($F$6:INDEX($F:$F, ROW()-1), $F149)) : INDEX(T:T, ROW()-1),
   INDEX(W:W, ROW()-COUNTIF($F$6:INDEX($F:$F, ROW()-1), $F149)) : INDEX(W:W, ROW()-1)
   )
   /SUM(INDEX(W:W, ROW()-COUNTIF($F$6:INDEX($F:$F, ROW()-1), $F149)) : INDEX(W:W, ROW()-1)),
   AVERAGEIFS(
     INDEX((unit_details[Asking Rent],unit_details[Asking PSF]),0,1,IF($U$3="Chunk Rent",1,2)),
     unit_details[Leased Date],"&gt;="&amp;($AM$2-T$5),
     unit_details[Leased Date],"&lt;"&amp;$AM$2,
     unit_details[Beds],$L150,
     unit_details[Baths],$M150,
     unit_details[Partial Baths],IF(ISNUMBER($N150),$N150,""),
     unit_details[Sqft],$P150,
     unit_details[Property Name],$F150)
 ),"")</f>
        <v/>
      </c>
      <c r="U150" s="552" t="str">
        <f>IFERROR(
 IF($F150="Total",
   SUMPRODUCT(
   INDEX(U:U, ROW()-COUNTIF($F$6:INDEX($F:$F, ROW()-1), $F149)) : INDEX(U:U, ROW()-1),
   INDEX(W:W, ROW()-COUNTIF($F$6:INDEX($F:$F, ROW()-1), $F149)) : INDEX(W:W, ROW()-1)
   )
   /SUM(INDEX(W:W, ROW()-COUNTIF($F$6:INDEX($F:$F, ROW()-1), $F149)) : INDEX(W:W, ROW()-1)),
   AVERAGEIFS(
     INDEX((unit_details[Effective Rent],unit_details[Effective PSF]),0,1,IF($U$3="Chunk Rent",1,2)),
     unit_details[Leased Date],"&gt;="&amp;($AM$2-T$5),
     unit_details[Leased Date],"&lt;"&amp;$AM$2,
     unit_details[Beds],$L150,
     unit_details[Baths],$M150,
     unit_details[Partial Baths],IF(ISNUMBER($N150),$N150,""),
     unit_details[Sqft],$P150,
     unit_details[Property Name],$F150)
 ),"")</f>
        <v/>
      </c>
      <c r="V150" s="27" t="str">
        <f t="shared" si="32"/>
        <v/>
      </c>
      <c r="W150" s="526">
        <f>IFERROR(
  IF($F150="Total",
    SUM(INDEX(W:W, ROW()-COUNTIF($F$6:INDEX($F:$F, ROW()-1), $F149)) : INDEX(W:W, ROW()-1)),
    COUNTIFS(
      unit_details[Leased Date], "&gt;="&amp;($AM$2-T$5),
      unit_details[Leased Date], "&lt;"&amp;$AM$2,
      unit_details[Beds], $L150,
      unit_details[Baths], $M150,
      unit_details[Partial Baths], IF(ISNUMBER($N150), $N150, ""),
      unit_details[Sqft],$P150,
      unit_details[Property Name], $F150
    )
  ),
"")</f>
        <v>0</v>
      </c>
      <c r="X150" s="531" t="str">
        <f>IFERROR(
 IF($F150="Total",
   SUMPRODUCT(
   INDEX(X:X, ROW()-COUNTIF($F$6:INDEX($F:$F, ROW()-1), $F149)) : INDEX(X:X, ROW()-1),
   INDEX(AA:AA, ROW()-COUNTIF($F$6:INDEX($F:$F, ROW()-1), $F149)) : INDEX(AA:AA, ROW()-1)
   )
   /SUM(INDEX(AA:AA, ROW()-COUNTIF($F$6:INDEX($F:$F, ROW()-1), $F149)) : INDEX(AA:AA, ROW()-1)),
   AVERAGEIFS(
     INDEX((unit_details[Asking Rent],unit_details[Asking PSF]),0,1,IF($U$3="Chunk Rent",1,2)),
     unit_details[Leased Date],"&gt;="&amp;($AM$2-X$5),
     unit_details[Leased Date],"&lt;"&amp;$AM$2,
     unit_details[Beds],$L150,
     unit_details[Baths],$M150,
     unit_details[Partial Baths],IF(ISNUMBER($N150),$N150,""),
     unit_details[Sqft],$P150,
     unit_details[Property Name],$F150)
 ),"")</f>
        <v/>
      </c>
      <c r="Y150" s="552" t="str">
        <f>IFERROR(
 IF($F150="Total",
   SUMPRODUCT(
   INDEX(Y:Y, ROW()-COUNTIF($F$6:INDEX($F:$F, ROW()-1), $F149)) : INDEX(Y:Y, ROW()-1),
   INDEX(AA:AA, ROW()-COUNTIF($F$6:INDEX($F:$F, ROW()-1), $F149)) : INDEX(AA:AA, ROW()-1)
   )
   /SUM(INDEX(AA:AA, ROW()-COUNTIF($F$6:INDEX($F:$F, ROW()-1), $F149)) : INDEX(AA:AA, ROW()-1)),
   AVERAGEIFS(
     INDEX((unit_details[Effective Rent],unit_details[Effective PSF]),0,1,IF($U$3="Chunk Rent",1,2)),
     unit_details[Leased Date],"&gt;="&amp;($AM$2-X$5),
     unit_details[Leased Date],"&lt;"&amp;$AM$2,
     unit_details[Beds],$L150,
     unit_details[Baths],$M150,
     unit_details[Partial Baths],IF(ISNUMBER($N150),$N150,""),
     unit_details[Sqft],$P150,
     unit_details[Property Name],$F150)
 ),"")</f>
        <v/>
      </c>
      <c r="Z150" s="27" t="str">
        <f t="shared" si="33"/>
        <v/>
      </c>
      <c r="AA150" s="526">
        <f>IFERROR(
  IF($F150="Total",
    SUM(INDEX(AA:AA, ROW()-COUNTIF($F$6:INDEX($F:$F, ROW()-1), $F149)) : INDEX(AA:AA, ROW()-1)),
    COUNTIFS(
      unit_details[Leased Date], "&gt;="&amp;($AM$2-X$5),
      unit_details[Leased Date], "&lt;"&amp;$AM$2,
      unit_details[Beds], $L150,
      unit_details[Baths], $M150,
      unit_details[Partial Baths], IF(ISNUMBER($N150), $N150, ""),
      unit_details[Sqft],$P150,
      unit_details[Property Name], $F150
    )
  ),
"")</f>
        <v>0</v>
      </c>
      <c r="AB150" s="290">
        <f>IF($F150="Total",
SUM(INDEX(AB:AB, ROW()-COUNTIF($F$6:INDEX($F:$F, ROW()-1), $F149)) : INDEX(AB:AB, ROW()-1)),
COUNTIFS(unit_details[Active Listing?],TRUE,
          unit_details[Property Name], $F150,
          unit_details[Beds], $L150,
          unit_details[Baths], $M150,
          unit_details[Partial Baths],IF(ISNUMBER($N150),$N150,""),
          unit_details[Sqft],$P150))</f>
        <v>0</v>
      </c>
      <c r="AC150" s="27" t="str">
        <f t="shared" si="25"/>
        <v/>
      </c>
      <c r="AD150" s="293" t="str">
        <f>IFERROR(IF(AE150="","",IF($F150="Total",
SUMPRODUCT(
   INDEX(AD:AD, ROW()-COUNTIF($F$6:INDEX($F:$F, ROW()-1), $F149)) : INDEX(AD:AD, ROW()-1),
   INDEX(AB:AB, ROW()-COUNTIF($F$6:INDEX($F:$F, ROW()-1), $F149)) : INDEX(AB:AB, ROW()-1)
   )
   /SUM(INDEX(AB:AB, ROW()-COUNTIF($F$6:INDEX($F:$F, ROW()-1), $F149)) : INDEX(AB:AB, ROW()-1)),
          _xlfn.MINIFS(unit_details[Asking Rent],
          unit_details[Active Listing?],TRUE,
          unit_details[Property Name], $F150,
          unit_details[Beds], $L150,
          unit_details[Baths], $M150,
          unit_details[Partial Baths], IF(ISNUMBER($N150),$N150,""),
          unit_details[Sqft],$P150
))),"")</f>
        <v/>
      </c>
      <c r="AE150" s="5" t="str">
        <f>IFERROR(IF($F150="Total",
          SUMPRODUCT(
   INDEX(AE:AE, ROW()-COUNTIF($F$6:INDEX($F:$F, ROW()-1), $F149)) : INDEX(AE:AE, ROW()-1),
   INDEX(AB:AB, ROW()-COUNTIF($F$6:INDEX($F:$F, ROW()-1), $F149)) : INDEX(AB:AB, ROW()-1)
   )
   /SUM(INDEX(AB:AB, ROW()-COUNTIF($F$6:INDEX($F:$F, ROW()-1), $F149)) : INDEX(AB:AB, ROW()-1)),
          AVERAGEIFS(unit_details[Asking Rent],
          unit_details[Active Listing?],TRUE,
          unit_details[Property Name], $F150,
          unit_details[Beds], $L150,
          unit_details[Baths], $M150,
          unit_details[Partial Baths], IF(ISNUMBER($N150),$N150,""),
          unit_details[Sqft],$P150
)),"")</f>
        <v/>
      </c>
      <c r="AF150" s="5" t="str">
        <f>IFERROR(IF(AE150="","",IF($F150="Total",
SUMPRODUCT(
   INDEX(AF:AF, ROW()-COUNTIF($F$6:INDEX($F:$F, ROW()-1), $F149)) : INDEX(AF:AF, ROW()-1),
   INDEX(AB:AB, ROW()-COUNTIF($F$6:INDEX($F:$F, ROW()-1), $F149)) : INDEX(AB:AB, ROW()-1)
   )
   /SUM(INDEX(AB:AB, ROW()-COUNTIF($F$6:INDEX($F:$F, ROW()-1), $F149)) : INDEX(AB:AB, ROW()-1)),
           _xlfn.MAXIFS(unit_details[Asking Rent],
          unit_details[Active Listing?],TRUE,
          unit_details[Property Name], $F150,
          unit_details[Beds], $L150,
          unit_details[Baths], $M150,
          unit_details[Partial Baths], IF(ISNUMBER($N150),$N150,""),
          unit_details[Sqft],$P150
))),"")</f>
        <v/>
      </c>
      <c r="AG150" s="6" t="str">
        <f>IFERROR(IF($F150="Total",
         SUMPRODUCT(
         INDEX(AG:AG, ROW()-COUNTIF($F$6:INDEX($F:$F, ROW()-1), $F149)) : INDEX(AG:AG, ROW()-1),
         INDEX(AB:AB, ROW()-COUNTIF($F$6:INDEX($F:$F, ROW()-1), $F149)) : INDEX(AB:AB, ROW()-1)
         )
         /SUM(INDEX(AB:AB, ROW()-COUNTIF($F$6:INDEX($F:$F, ROW()-1), $F149)) : INDEX(AB:AB, ROW()-1)),
          AVERAGEIFS(unit_details[Asking PSF],
          unit_details[Active Listing?],TRUE,
          unit_details[Property Name], $F150,
          unit_details[Beds], $L150,
          unit_details[Baths], $M150,
          unit_details[Partial Baths], IF(ISNUMBER($N150),$N150,""),
          unit_details[Sqft],$P150
)),"")</f>
        <v/>
      </c>
      <c r="AH150" s="293" t="str">
        <f>IFERROR(IF($F150="Total",
         SUMPRODUCT(
         INDEX(AH:AH, ROW()-COUNTIF($F$6:INDEX($F:$F, ROW()-1), $F149)) : INDEX(AH:AH, ROW()-1),
         INDEX(AB:AB, ROW()-COUNTIF($F$6:INDEX($F:$F, ROW()-1), $F149)) : INDEX(AB:AB, ROW()-1)
         )
         /SUM(INDEX(AB:AB, ROW()-COUNTIF($F$6:INDEX($F:$F, ROW()-1), $F149)) : INDEX(AB:AB, ROW()-1)),
          AVERAGEIFS(unit_details[Effective Rent],
          unit_details[Active Listing?],TRUE,
          unit_details[Property Name], $F150,
          unit_details[Beds], $L150,
          unit_details[Baths], $M150,
          unit_details[Partial Baths], IF(ISNUMBER($N150),$N150,""),
          unit_details[Sqft],$P150
)),"")</f>
        <v/>
      </c>
      <c r="AI150" s="6" t="str">
        <f>IFERROR(IF($F150="Total",
         SUMPRODUCT(
         INDEX(AI:AI, ROW()-COUNTIF($F$6:INDEX($F:$F, ROW()-1), $F149)) : INDEX(AI:AI, ROW()-1),
         INDEX(AB:AB, ROW()-COUNTIF($F$6:INDEX($F:$F, ROW()-1), $F149)) : INDEX(AB:AB, ROW()-1)
         )
         /SUM(INDEX(AB:AB, ROW()-COUNTIF($F$6:INDEX($F:$F, ROW()-1), $F149)) : INDEX(AB:AB, ROW()-1)),
           AVERAGEIFS(unit_details[Effective PSF],
          unit_details[Active Listing?],TRUE,
          unit_details[Property Name], $F150,
          unit_details[Beds], $L150,
          unit_details[Baths], $M150,
          unit_details[Partial Baths], IF(ISNUMBER($N150),$N150,""),
          unit_details[Sqft],$P150
)),"")</f>
        <v/>
      </c>
      <c r="AJ150" s="824" t="str">
        <f t="shared" si="26"/>
        <v/>
      </c>
      <c r="AK150" s="531" t="str">
        <f t="shared" si="27"/>
        <v/>
      </c>
      <c r="AL150" s="714" t="str">
        <f t="shared" si="28"/>
        <v/>
      </c>
      <c r="AM150" s="531" t="str">
        <f t="shared" si="29"/>
        <v/>
      </c>
      <c r="AN150" s="716" t="str">
        <f t="shared" si="30"/>
        <v/>
      </c>
    </row>
    <row r="151" spans="6:40" x14ac:dyDescent="0.2">
      <c r="F151" s="1" t="str">
        <f t="shared" si="23"/>
        <v/>
      </c>
      <c r="G151" s="713" t="str">
        <f t="shared" si="31"/>
        <v/>
      </c>
      <c r="H151" s="17" t="str">
        <f>IFERROR(VLOOKUP($G151,Table1[[Property]:[Exposure %]],4,0),"")</f>
        <v/>
      </c>
      <c r="I151" s="3" t="str">
        <f>IFERROR(VLOOKUP($G151,Table1[[Property]:[Exposure %]],6,0),"")</f>
        <v/>
      </c>
      <c r="J151" s="3" t="str">
        <f>IFERROR(VLOOKUP($G151,Table1[[Property]:[Exposure %]],7,0),"")</f>
        <v/>
      </c>
      <c r="K151"/>
      <c r="L151"/>
      <c r="M151"/>
      <c r="N151"/>
      <c r="O151"/>
      <c r="P151"/>
      <c r="Q151"/>
      <c r="R151" s="4" t="str">
        <f>IFERROR(VLOOKUP(IF(F151="Total",F150,F151),Table1[[Property]:['# Units]],7,0)*S151,"")</f>
        <v/>
      </c>
      <c r="S151" s="27" t="str">
        <f t="shared" si="24"/>
        <v/>
      </c>
      <c r="T151" s="531" t="str">
        <f>IFERROR(
 IF($F151="Total",
   SUMPRODUCT(
   INDEX(T:T, ROW()-COUNTIF($F$6:INDEX($F:$F, ROW()-1), $F150)) : INDEX(T:T, ROW()-1),
   INDEX(W:W, ROW()-COUNTIF($F$6:INDEX($F:$F, ROW()-1), $F150)) : INDEX(W:W, ROW()-1)
   )
   /SUM(INDEX(W:W, ROW()-COUNTIF($F$6:INDEX($F:$F, ROW()-1), $F150)) : INDEX(W:W, ROW()-1)),
   AVERAGEIFS(
     INDEX((unit_details[Asking Rent],unit_details[Asking PSF]),0,1,IF($U$3="Chunk Rent",1,2)),
     unit_details[Leased Date],"&gt;="&amp;($AM$2-T$5),
     unit_details[Leased Date],"&lt;"&amp;$AM$2,
     unit_details[Beds],$L151,
     unit_details[Baths],$M151,
     unit_details[Partial Baths],IF(ISNUMBER($N151),$N151,""),
     unit_details[Sqft],$P151,
     unit_details[Property Name],$F151)
 ),"")</f>
        <v/>
      </c>
      <c r="U151" s="552" t="str">
        <f>IFERROR(
 IF($F151="Total",
   SUMPRODUCT(
   INDEX(U:U, ROW()-COUNTIF($F$6:INDEX($F:$F, ROW()-1), $F150)) : INDEX(U:U, ROW()-1),
   INDEX(W:W, ROW()-COUNTIF($F$6:INDEX($F:$F, ROW()-1), $F150)) : INDEX(W:W, ROW()-1)
   )
   /SUM(INDEX(W:W, ROW()-COUNTIF($F$6:INDEX($F:$F, ROW()-1), $F150)) : INDEX(W:W, ROW()-1)),
   AVERAGEIFS(
     INDEX((unit_details[Effective Rent],unit_details[Effective PSF]),0,1,IF($U$3="Chunk Rent",1,2)),
     unit_details[Leased Date],"&gt;="&amp;($AM$2-T$5),
     unit_details[Leased Date],"&lt;"&amp;$AM$2,
     unit_details[Beds],$L151,
     unit_details[Baths],$M151,
     unit_details[Partial Baths],IF(ISNUMBER($N151),$N151,""),
     unit_details[Sqft],$P151,
     unit_details[Property Name],$F151)
 ),"")</f>
        <v/>
      </c>
      <c r="V151" s="27" t="str">
        <f t="shared" si="32"/>
        <v/>
      </c>
      <c r="W151" s="526">
        <f>IFERROR(
  IF($F151="Total",
    SUM(INDEX(W:W, ROW()-COUNTIF($F$6:INDEX($F:$F, ROW()-1), $F150)) : INDEX(W:W, ROW()-1)),
    COUNTIFS(
      unit_details[Leased Date], "&gt;="&amp;($AM$2-T$5),
      unit_details[Leased Date], "&lt;"&amp;$AM$2,
      unit_details[Beds], $L151,
      unit_details[Baths], $M151,
      unit_details[Partial Baths], IF(ISNUMBER($N151), $N151, ""),
      unit_details[Sqft],$P151,
      unit_details[Property Name], $F151
    )
  ),
"")</f>
        <v>0</v>
      </c>
      <c r="X151" s="531" t="str">
        <f>IFERROR(
 IF($F151="Total",
   SUMPRODUCT(
   INDEX(X:X, ROW()-COUNTIF($F$6:INDEX($F:$F, ROW()-1), $F150)) : INDEX(X:X, ROW()-1),
   INDEX(AA:AA, ROW()-COUNTIF($F$6:INDEX($F:$F, ROW()-1), $F150)) : INDEX(AA:AA, ROW()-1)
   )
   /SUM(INDEX(AA:AA, ROW()-COUNTIF($F$6:INDEX($F:$F, ROW()-1), $F150)) : INDEX(AA:AA, ROW()-1)),
   AVERAGEIFS(
     INDEX((unit_details[Asking Rent],unit_details[Asking PSF]),0,1,IF($U$3="Chunk Rent",1,2)),
     unit_details[Leased Date],"&gt;="&amp;($AM$2-X$5),
     unit_details[Leased Date],"&lt;"&amp;$AM$2,
     unit_details[Beds],$L151,
     unit_details[Baths],$M151,
     unit_details[Partial Baths],IF(ISNUMBER($N151),$N151,""),
     unit_details[Sqft],$P151,
     unit_details[Property Name],$F151)
 ),"")</f>
        <v/>
      </c>
      <c r="Y151" s="552" t="str">
        <f>IFERROR(
 IF($F151="Total",
   SUMPRODUCT(
   INDEX(Y:Y, ROW()-COUNTIF($F$6:INDEX($F:$F, ROW()-1), $F150)) : INDEX(Y:Y, ROW()-1),
   INDEX(AA:AA, ROW()-COUNTIF($F$6:INDEX($F:$F, ROW()-1), $F150)) : INDEX(AA:AA, ROW()-1)
   )
   /SUM(INDEX(AA:AA, ROW()-COUNTIF($F$6:INDEX($F:$F, ROW()-1), $F150)) : INDEX(AA:AA, ROW()-1)),
   AVERAGEIFS(
     INDEX((unit_details[Effective Rent],unit_details[Effective PSF]),0,1,IF($U$3="Chunk Rent",1,2)),
     unit_details[Leased Date],"&gt;="&amp;($AM$2-X$5),
     unit_details[Leased Date],"&lt;"&amp;$AM$2,
     unit_details[Beds],$L151,
     unit_details[Baths],$M151,
     unit_details[Partial Baths],IF(ISNUMBER($N151),$N151,""),
     unit_details[Sqft],$P151,
     unit_details[Property Name],$F151)
 ),"")</f>
        <v/>
      </c>
      <c r="Z151" s="27" t="str">
        <f t="shared" si="33"/>
        <v/>
      </c>
      <c r="AA151" s="526">
        <f>IFERROR(
  IF($F151="Total",
    SUM(INDEX(AA:AA, ROW()-COUNTIF($F$6:INDEX($F:$F, ROW()-1), $F150)) : INDEX(AA:AA, ROW()-1)),
    COUNTIFS(
      unit_details[Leased Date], "&gt;="&amp;($AM$2-X$5),
      unit_details[Leased Date], "&lt;"&amp;$AM$2,
      unit_details[Beds], $L151,
      unit_details[Baths], $M151,
      unit_details[Partial Baths], IF(ISNUMBER($N151), $N151, ""),
      unit_details[Sqft],$P151,
      unit_details[Property Name], $F151
    )
  ),
"")</f>
        <v>0</v>
      </c>
      <c r="AB151" s="290">
        <f>IF($F151="Total",
SUM(INDEX(AB:AB, ROW()-COUNTIF($F$6:INDEX($F:$F, ROW()-1), $F150)) : INDEX(AB:AB, ROW()-1)),
COUNTIFS(unit_details[Active Listing?],TRUE,
          unit_details[Property Name], $F151,
          unit_details[Beds], $L151,
          unit_details[Baths], $M151,
          unit_details[Partial Baths],IF(ISNUMBER($N151),$N151,""),
          unit_details[Sqft],$P151))</f>
        <v>0</v>
      </c>
      <c r="AC151" s="27" t="str">
        <f t="shared" si="25"/>
        <v/>
      </c>
      <c r="AD151" s="293" t="str">
        <f>IFERROR(IF(AE151="","",IF($F151="Total",
SUMPRODUCT(
   INDEX(AD:AD, ROW()-COUNTIF($F$6:INDEX($F:$F, ROW()-1), $F150)) : INDEX(AD:AD, ROW()-1),
   INDEX(AB:AB, ROW()-COUNTIF($F$6:INDEX($F:$F, ROW()-1), $F150)) : INDEX(AB:AB, ROW()-1)
   )
   /SUM(INDEX(AB:AB, ROW()-COUNTIF($F$6:INDEX($F:$F, ROW()-1), $F150)) : INDEX(AB:AB, ROW()-1)),
          _xlfn.MINIFS(unit_details[Asking Rent],
          unit_details[Active Listing?],TRUE,
          unit_details[Property Name], $F151,
          unit_details[Beds], $L151,
          unit_details[Baths], $M151,
          unit_details[Partial Baths], IF(ISNUMBER($N151),$N151,""),
          unit_details[Sqft],$P151
))),"")</f>
        <v/>
      </c>
      <c r="AE151" s="5" t="str">
        <f>IFERROR(IF($F151="Total",
          SUMPRODUCT(
   INDEX(AE:AE, ROW()-COUNTIF($F$6:INDEX($F:$F, ROW()-1), $F150)) : INDEX(AE:AE, ROW()-1),
   INDEX(AB:AB, ROW()-COUNTIF($F$6:INDEX($F:$F, ROW()-1), $F150)) : INDEX(AB:AB, ROW()-1)
   )
   /SUM(INDEX(AB:AB, ROW()-COUNTIF($F$6:INDEX($F:$F, ROW()-1), $F150)) : INDEX(AB:AB, ROW()-1)),
          AVERAGEIFS(unit_details[Asking Rent],
          unit_details[Active Listing?],TRUE,
          unit_details[Property Name], $F151,
          unit_details[Beds], $L151,
          unit_details[Baths], $M151,
          unit_details[Partial Baths], IF(ISNUMBER($N151),$N151,""),
          unit_details[Sqft],$P151
)),"")</f>
        <v/>
      </c>
      <c r="AF151" s="5" t="str">
        <f>IFERROR(IF(AE151="","",IF($F151="Total",
SUMPRODUCT(
   INDEX(AF:AF, ROW()-COUNTIF($F$6:INDEX($F:$F, ROW()-1), $F150)) : INDEX(AF:AF, ROW()-1),
   INDEX(AB:AB, ROW()-COUNTIF($F$6:INDEX($F:$F, ROW()-1), $F150)) : INDEX(AB:AB, ROW()-1)
   )
   /SUM(INDEX(AB:AB, ROW()-COUNTIF($F$6:INDEX($F:$F, ROW()-1), $F150)) : INDEX(AB:AB, ROW()-1)),
           _xlfn.MAXIFS(unit_details[Asking Rent],
          unit_details[Active Listing?],TRUE,
          unit_details[Property Name], $F151,
          unit_details[Beds], $L151,
          unit_details[Baths], $M151,
          unit_details[Partial Baths], IF(ISNUMBER($N151),$N151,""),
          unit_details[Sqft],$P151
))),"")</f>
        <v/>
      </c>
      <c r="AG151" s="6" t="str">
        <f>IFERROR(IF($F151="Total",
         SUMPRODUCT(
         INDEX(AG:AG, ROW()-COUNTIF($F$6:INDEX($F:$F, ROW()-1), $F150)) : INDEX(AG:AG, ROW()-1),
         INDEX(AB:AB, ROW()-COUNTIF($F$6:INDEX($F:$F, ROW()-1), $F150)) : INDEX(AB:AB, ROW()-1)
         )
         /SUM(INDEX(AB:AB, ROW()-COUNTIF($F$6:INDEX($F:$F, ROW()-1), $F150)) : INDEX(AB:AB, ROW()-1)),
          AVERAGEIFS(unit_details[Asking PSF],
          unit_details[Active Listing?],TRUE,
          unit_details[Property Name], $F151,
          unit_details[Beds], $L151,
          unit_details[Baths], $M151,
          unit_details[Partial Baths], IF(ISNUMBER($N151),$N151,""),
          unit_details[Sqft],$P151
)),"")</f>
        <v/>
      </c>
      <c r="AH151" s="293" t="str">
        <f>IFERROR(IF($F151="Total",
         SUMPRODUCT(
         INDEX(AH:AH, ROW()-COUNTIF($F$6:INDEX($F:$F, ROW()-1), $F150)) : INDEX(AH:AH, ROW()-1),
         INDEX(AB:AB, ROW()-COUNTIF($F$6:INDEX($F:$F, ROW()-1), $F150)) : INDEX(AB:AB, ROW()-1)
         )
         /SUM(INDEX(AB:AB, ROW()-COUNTIF($F$6:INDEX($F:$F, ROW()-1), $F150)) : INDEX(AB:AB, ROW()-1)),
          AVERAGEIFS(unit_details[Effective Rent],
          unit_details[Active Listing?],TRUE,
          unit_details[Property Name], $F151,
          unit_details[Beds], $L151,
          unit_details[Baths], $M151,
          unit_details[Partial Baths], IF(ISNUMBER($N151),$N151,""),
          unit_details[Sqft],$P151
)),"")</f>
        <v/>
      </c>
      <c r="AI151" s="6" t="str">
        <f>IFERROR(IF($F151="Total",
         SUMPRODUCT(
         INDEX(AI:AI, ROW()-COUNTIF($F$6:INDEX($F:$F, ROW()-1), $F150)) : INDEX(AI:AI, ROW()-1),
         INDEX(AB:AB, ROW()-COUNTIF($F$6:INDEX($F:$F, ROW()-1), $F150)) : INDEX(AB:AB, ROW()-1)
         )
         /SUM(INDEX(AB:AB, ROW()-COUNTIF($F$6:INDEX($F:$F, ROW()-1), $F150)) : INDEX(AB:AB, ROW()-1)),
           AVERAGEIFS(unit_details[Effective PSF],
          unit_details[Active Listing?],TRUE,
          unit_details[Property Name], $F151,
          unit_details[Beds], $L151,
          unit_details[Baths], $M151,
          unit_details[Partial Baths], IF(ISNUMBER($N151),$N151,""),
          unit_details[Sqft],$P151
)),"")</f>
        <v/>
      </c>
      <c r="AJ151" s="824" t="str">
        <f t="shared" si="26"/>
        <v/>
      </c>
      <c r="AK151" s="531" t="str">
        <f t="shared" si="27"/>
        <v/>
      </c>
      <c r="AL151" s="714" t="str">
        <f t="shared" si="28"/>
        <v/>
      </c>
      <c r="AM151" s="531" t="str">
        <f t="shared" si="29"/>
        <v/>
      </c>
      <c r="AN151" s="716" t="str">
        <f t="shared" si="30"/>
        <v/>
      </c>
    </row>
    <row r="152" spans="6:40" x14ac:dyDescent="0.2">
      <c r="F152" s="1" t="str">
        <f t="shared" si="23"/>
        <v/>
      </c>
      <c r="G152" s="713" t="str">
        <f t="shared" si="31"/>
        <v/>
      </c>
      <c r="H152" s="17" t="str">
        <f>IFERROR(VLOOKUP($G152,Table1[[Property]:[Exposure %]],4,0),"")</f>
        <v/>
      </c>
      <c r="I152" s="3" t="str">
        <f>IFERROR(VLOOKUP($G152,Table1[[Property]:[Exposure %]],6,0),"")</f>
        <v/>
      </c>
      <c r="J152" s="3" t="str">
        <f>IFERROR(VLOOKUP($G152,Table1[[Property]:[Exposure %]],7,0),"")</f>
        <v/>
      </c>
      <c r="K152"/>
      <c r="L152"/>
      <c r="M152"/>
      <c r="N152"/>
      <c r="O152"/>
      <c r="P152"/>
      <c r="Q152"/>
      <c r="R152" s="4" t="str">
        <f>IFERROR(VLOOKUP(IF(F152="Total",F151,F152),Table1[[Property]:['# Units]],7,0)*S152,"")</f>
        <v/>
      </c>
      <c r="S152" s="27" t="str">
        <f t="shared" si="24"/>
        <v/>
      </c>
      <c r="T152" s="531" t="str">
        <f>IFERROR(
 IF($F152="Total",
   SUMPRODUCT(
   INDEX(T:T, ROW()-COUNTIF($F$6:INDEX($F:$F, ROW()-1), $F151)) : INDEX(T:T, ROW()-1),
   INDEX(W:W, ROW()-COUNTIF($F$6:INDEX($F:$F, ROW()-1), $F151)) : INDEX(W:W, ROW()-1)
   )
   /SUM(INDEX(W:W, ROW()-COUNTIF($F$6:INDEX($F:$F, ROW()-1), $F151)) : INDEX(W:W, ROW()-1)),
   AVERAGEIFS(
     INDEX((unit_details[Asking Rent],unit_details[Asking PSF]),0,1,IF($U$3="Chunk Rent",1,2)),
     unit_details[Leased Date],"&gt;="&amp;($AM$2-T$5),
     unit_details[Leased Date],"&lt;"&amp;$AM$2,
     unit_details[Beds],$L152,
     unit_details[Baths],$M152,
     unit_details[Partial Baths],IF(ISNUMBER($N152),$N152,""),
     unit_details[Sqft],$P152,
     unit_details[Property Name],$F152)
 ),"")</f>
        <v/>
      </c>
      <c r="U152" s="552" t="str">
        <f>IFERROR(
 IF($F152="Total",
   SUMPRODUCT(
   INDEX(U:U, ROW()-COUNTIF($F$6:INDEX($F:$F, ROW()-1), $F151)) : INDEX(U:U, ROW()-1),
   INDEX(W:W, ROW()-COUNTIF($F$6:INDEX($F:$F, ROW()-1), $F151)) : INDEX(W:W, ROW()-1)
   )
   /SUM(INDEX(W:W, ROW()-COUNTIF($F$6:INDEX($F:$F, ROW()-1), $F151)) : INDEX(W:W, ROW()-1)),
   AVERAGEIFS(
     INDEX((unit_details[Effective Rent],unit_details[Effective PSF]),0,1,IF($U$3="Chunk Rent",1,2)),
     unit_details[Leased Date],"&gt;="&amp;($AM$2-T$5),
     unit_details[Leased Date],"&lt;"&amp;$AM$2,
     unit_details[Beds],$L152,
     unit_details[Baths],$M152,
     unit_details[Partial Baths],IF(ISNUMBER($N152),$N152,""),
     unit_details[Sqft],$P152,
     unit_details[Property Name],$F152)
 ),"")</f>
        <v/>
      </c>
      <c r="V152" s="27" t="str">
        <f t="shared" si="32"/>
        <v/>
      </c>
      <c r="W152" s="526">
        <f>IFERROR(
  IF($F152="Total",
    SUM(INDEX(W:W, ROW()-COUNTIF($F$6:INDEX($F:$F, ROW()-1), $F151)) : INDEX(W:W, ROW()-1)),
    COUNTIFS(
      unit_details[Leased Date], "&gt;="&amp;($AM$2-T$5),
      unit_details[Leased Date], "&lt;"&amp;$AM$2,
      unit_details[Beds], $L152,
      unit_details[Baths], $M152,
      unit_details[Partial Baths], IF(ISNUMBER($N152), $N152, ""),
      unit_details[Sqft],$P152,
      unit_details[Property Name], $F152
    )
  ),
"")</f>
        <v>0</v>
      </c>
      <c r="X152" s="531" t="str">
        <f>IFERROR(
 IF($F152="Total",
   SUMPRODUCT(
   INDEX(X:X, ROW()-COUNTIF($F$6:INDEX($F:$F, ROW()-1), $F151)) : INDEX(X:X, ROW()-1),
   INDEX(AA:AA, ROW()-COUNTIF($F$6:INDEX($F:$F, ROW()-1), $F151)) : INDEX(AA:AA, ROW()-1)
   )
   /SUM(INDEX(AA:AA, ROW()-COUNTIF($F$6:INDEX($F:$F, ROW()-1), $F151)) : INDEX(AA:AA, ROW()-1)),
   AVERAGEIFS(
     INDEX((unit_details[Asking Rent],unit_details[Asking PSF]),0,1,IF($U$3="Chunk Rent",1,2)),
     unit_details[Leased Date],"&gt;="&amp;($AM$2-X$5),
     unit_details[Leased Date],"&lt;"&amp;$AM$2,
     unit_details[Beds],$L152,
     unit_details[Baths],$M152,
     unit_details[Partial Baths],IF(ISNUMBER($N152),$N152,""),
     unit_details[Sqft],$P152,
     unit_details[Property Name],$F152)
 ),"")</f>
        <v/>
      </c>
      <c r="Y152" s="552" t="str">
        <f>IFERROR(
 IF($F152="Total",
   SUMPRODUCT(
   INDEX(Y:Y, ROW()-COUNTIF($F$6:INDEX($F:$F, ROW()-1), $F151)) : INDEX(Y:Y, ROW()-1),
   INDEX(AA:AA, ROW()-COUNTIF($F$6:INDEX($F:$F, ROW()-1), $F151)) : INDEX(AA:AA, ROW()-1)
   )
   /SUM(INDEX(AA:AA, ROW()-COUNTIF($F$6:INDEX($F:$F, ROW()-1), $F151)) : INDEX(AA:AA, ROW()-1)),
   AVERAGEIFS(
     INDEX((unit_details[Effective Rent],unit_details[Effective PSF]),0,1,IF($U$3="Chunk Rent",1,2)),
     unit_details[Leased Date],"&gt;="&amp;($AM$2-X$5),
     unit_details[Leased Date],"&lt;"&amp;$AM$2,
     unit_details[Beds],$L152,
     unit_details[Baths],$M152,
     unit_details[Partial Baths],IF(ISNUMBER($N152),$N152,""),
     unit_details[Sqft],$P152,
     unit_details[Property Name],$F152)
 ),"")</f>
        <v/>
      </c>
      <c r="Z152" s="27" t="str">
        <f t="shared" si="33"/>
        <v/>
      </c>
      <c r="AA152" s="526">
        <f>IFERROR(
  IF($F152="Total",
    SUM(INDEX(AA:AA, ROW()-COUNTIF($F$6:INDEX($F:$F, ROW()-1), $F151)) : INDEX(AA:AA, ROW()-1)),
    COUNTIFS(
      unit_details[Leased Date], "&gt;="&amp;($AM$2-X$5),
      unit_details[Leased Date], "&lt;"&amp;$AM$2,
      unit_details[Beds], $L152,
      unit_details[Baths], $M152,
      unit_details[Partial Baths], IF(ISNUMBER($N152), $N152, ""),
      unit_details[Sqft],$P152,
      unit_details[Property Name], $F152
    )
  ),
"")</f>
        <v>0</v>
      </c>
      <c r="AB152" s="290">
        <f>IF($F152="Total",
SUM(INDEX(AB:AB, ROW()-COUNTIF($F$6:INDEX($F:$F, ROW()-1), $F151)) : INDEX(AB:AB, ROW()-1)),
COUNTIFS(unit_details[Active Listing?],TRUE,
          unit_details[Property Name], $F152,
          unit_details[Beds], $L152,
          unit_details[Baths], $M152,
          unit_details[Partial Baths],IF(ISNUMBER($N152),$N152,""),
          unit_details[Sqft],$P152))</f>
        <v>0</v>
      </c>
      <c r="AC152" s="27" t="str">
        <f t="shared" si="25"/>
        <v/>
      </c>
      <c r="AD152" s="293" t="str">
        <f>IFERROR(IF(AE152="","",IF($F152="Total",
SUMPRODUCT(
   INDEX(AD:AD, ROW()-COUNTIF($F$6:INDEX($F:$F, ROW()-1), $F151)) : INDEX(AD:AD, ROW()-1),
   INDEX(AB:AB, ROW()-COUNTIF($F$6:INDEX($F:$F, ROW()-1), $F151)) : INDEX(AB:AB, ROW()-1)
   )
   /SUM(INDEX(AB:AB, ROW()-COUNTIF($F$6:INDEX($F:$F, ROW()-1), $F151)) : INDEX(AB:AB, ROW()-1)),
          _xlfn.MINIFS(unit_details[Asking Rent],
          unit_details[Active Listing?],TRUE,
          unit_details[Property Name], $F152,
          unit_details[Beds], $L152,
          unit_details[Baths], $M152,
          unit_details[Partial Baths], IF(ISNUMBER($N152),$N152,""),
          unit_details[Sqft],$P152
))),"")</f>
        <v/>
      </c>
      <c r="AE152" s="5" t="str">
        <f>IFERROR(IF($F152="Total",
          SUMPRODUCT(
   INDEX(AE:AE, ROW()-COUNTIF($F$6:INDEX($F:$F, ROW()-1), $F151)) : INDEX(AE:AE, ROW()-1),
   INDEX(AB:AB, ROW()-COUNTIF($F$6:INDEX($F:$F, ROW()-1), $F151)) : INDEX(AB:AB, ROW()-1)
   )
   /SUM(INDEX(AB:AB, ROW()-COUNTIF($F$6:INDEX($F:$F, ROW()-1), $F151)) : INDEX(AB:AB, ROW()-1)),
          AVERAGEIFS(unit_details[Asking Rent],
          unit_details[Active Listing?],TRUE,
          unit_details[Property Name], $F152,
          unit_details[Beds], $L152,
          unit_details[Baths], $M152,
          unit_details[Partial Baths], IF(ISNUMBER($N152),$N152,""),
          unit_details[Sqft],$P152
)),"")</f>
        <v/>
      </c>
      <c r="AF152" s="5" t="str">
        <f>IFERROR(IF(AE152="","",IF($F152="Total",
SUMPRODUCT(
   INDEX(AF:AF, ROW()-COUNTIF($F$6:INDEX($F:$F, ROW()-1), $F151)) : INDEX(AF:AF, ROW()-1),
   INDEX(AB:AB, ROW()-COUNTIF($F$6:INDEX($F:$F, ROW()-1), $F151)) : INDEX(AB:AB, ROW()-1)
   )
   /SUM(INDEX(AB:AB, ROW()-COUNTIF($F$6:INDEX($F:$F, ROW()-1), $F151)) : INDEX(AB:AB, ROW()-1)),
           _xlfn.MAXIFS(unit_details[Asking Rent],
          unit_details[Active Listing?],TRUE,
          unit_details[Property Name], $F152,
          unit_details[Beds], $L152,
          unit_details[Baths], $M152,
          unit_details[Partial Baths], IF(ISNUMBER($N152),$N152,""),
          unit_details[Sqft],$P152
))),"")</f>
        <v/>
      </c>
      <c r="AG152" s="6" t="str">
        <f>IFERROR(IF($F152="Total",
         SUMPRODUCT(
         INDEX(AG:AG, ROW()-COUNTIF($F$6:INDEX($F:$F, ROW()-1), $F151)) : INDEX(AG:AG, ROW()-1),
         INDEX(AB:AB, ROW()-COUNTIF($F$6:INDEX($F:$F, ROW()-1), $F151)) : INDEX(AB:AB, ROW()-1)
         )
         /SUM(INDEX(AB:AB, ROW()-COUNTIF($F$6:INDEX($F:$F, ROW()-1), $F151)) : INDEX(AB:AB, ROW()-1)),
          AVERAGEIFS(unit_details[Asking PSF],
          unit_details[Active Listing?],TRUE,
          unit_details[Property Name], $F152,
          unit_details[Beds], $L152,
          unit_details[Baths], $M152,
          unit_details[Partial Baths], IF(ISNUMBER($N152),$N152,""),
          unit_details[Sqft],$P152
)),"")</f>
        <v/>
      </c>
      <c r="AH152" s="293" t="str">
        <f>IFERROR(IF($F152="Total",
         SUMPRODUCT(
         INDEX(AH:AH, ROW()-COUNTIF($F$6:INDEX($F:$F, ROW()-1), $F151)) : INDEX(AH:AH, ROW()-1),
         INDEX(AB:AB, ROW()-COUNTIF($F$6:INDEX($F:$F, ROW()-1), $F151)) : INDEX(AB:AB, ROW()-1)
         )
         /SUM(INDEX(AB:AB, ROW()-COUNTIF($F$6:INDEX($F:$F, ROW()-1), $F151)) : INDEX(AB:AB, ROW()-1)),
          AVERAGEIFS(unit_details[Effective Rent],
          unit_details[Active Listing?],TRUE,
          unit_details[Property Name], $F152,
          unit_details[Beds], $L152,
          unit_details[Baths], $M152,
          unit_details[Partial Baths], IF(ISNUMBER($N152),$N152,""),
          unit_details[Sqft],$P152
)),"")</f>
        <v/>
      </c>
      <c r="AI152" s="6" t="str">
        <f>IFERROR(IF($F152="Total",
         SUMPRODUCT(
         INDEX(AI:AI, ROW()-COUNTIF($F$6:INDEX($F:$F, ROW()-1), $F151)) : INDEX(AI:AI, ROW()-1),
         INDEX(AB:AB, ROW()-COUNTIF($F$6:INDEX($F:$F, ROW()-1), $F151)) : INDEX(AB:AB, ROW()-1)
         )
         /SUM(INDEX(AB:AB, ROW()-COUNTIF($F$6:INDEX($F:$F, ROW()-1), $F151)) : INDEX(AB:AB, ROW()-1)),
           AVERAGEIFS(unit_details[Effective PSF],
          unit_details[Active Listing?],TRUE,
          unit_details[Property Name], $F152,
          unit_details[Beds], $L152,
          unit_details[Baths], $M152,
          unit_details[Partial Baths], IF(ISNUMBER($N152),$N152,""),
          unit_details[Sqft],$P152
)),"")</f>
        <v/>
      </c>
      <c r="AJ152" s="824" t="str">
        <f t="shared" si="26"/>
        <v/>
      </c>
      <c r="AK152" s="531" t="str">
        <f t="shared" si="27"/>
        <v/>
      </c>
      <c r="AL152" s="714" t="str">
        <f t="shared" si="28"/>
        <v/>
      </c>
      <c r="AM152" s="531" t="str">
        <f t="shared" si="29"/>
        <v/>
      </c>
      <c r="AN152" s="716" t="str">
        <f t="shared" si="30"/>
        <v/>
      </c>
    </row>
    <row r="153" spans="6:40" x14ac:dyDescent="0.2">
      <c r="F153" s="1" t="str">
        <f t="shared" si="23"/>
        <v/>
      </c>
      <c r="G153" s="713" t="str">
        <f t="shared" si="31"/>
        <v/>
      </c>
      <c r="H153" s="17" t="str">
        <f>IFERROR(VLOOKUP($G153,Table1[[Property]:[Exposure %]],4,0),"")</f>
        <v/>
      </c>
      <c r="I153" s="3" t="str">
        <f>IFERROR(VLOOKUP($G153,Table1[[Property]:[Exposure %]],6,0),"")</f>
        <v/>
      </c>
      <c r="J153" s="3" t="str">
        <f>IFERROR(VLOOKUP($G153,Table1[[Property]:[Exposure %]],7,0),"")</f>
        <v/>
      </c>
      <c r="K153"/>
      <c r="L153"/>
      <c r="M153"/>
      <c r="N153"/>
      <c r="O153"/>
      <c r="P153"/>
      <c r="Q153"/>
      <c r="R153" s="4" t="str">
        <f>IFERROR(VLOOKUP(IF(F153="Total",F152,F153),Table1[[Property]:['# Units]],7,0)*S153,"")</f>
        <v/>
      </c>
      <c r="S153" s="27" t="str">
        <f t="shared" si="24"/>
        <v/>
      </c>
      <c r="T153" s="531" t="str">
        <f>IFERROR(
 IF($F153="Total",
   SUMPRODUCT(
   INDEX(T:T, ROW()-COUNTIF($F$6:INDEX($F:$F, ROW()-1), $F152)) : INDEX(T:T, ROW()-1),
   INDEX(W:W, ROW()-COUNTIF($F$6:INDEX($F:$F, ROW()-1), $F152)) : INDEX(W:W, ROW()-1)
   )
   /SUM(INDEX(W:W, ROW()-COUNTIF($F$6:INDEX($F:$F, ROW()-1), $F152)) : INDEX(W:W, ROW()-1)),
   AVERAGEIFS(
     INDEX((unit_details[Asking Rent],unit_details[Asking PSF]),0,1,IF($U$3="Chunk Rent",1,2)),
     unit_details[Leased Date],"&gt;="&amp;($AM$2-T$5),
     unit_details[Leased Date],"&lt;"&amp;$AM$2,
     unit_details[Beds],$L153,
     unit_details[Baths],$M153,
     unit_details[Partial Baths],IF(ISNUMBER($N153),$N153,""),
     unit_details[Sqft],$P153,
     unit_details[Property Name],$F153)
 ),"")</f>
        <v/>
      </c>
      <c r="U153" s="552" t="str">
        <f>IFERROR(
 IF($F153="Total",
   SUMPRODUCT(
   INDEX(U:U, ROW()-COUNTIF($F$6:INDEX($F:$F, ROW()-1), $F152)) : INDEX(U:U, ROW()-1),
   INDEX(W:W, ROW()-COUNTIF($F$6:INDEX($F:$F, ROW()-1), $F152)) : INDEX(W:W, ROW()-1)
   )
   /SUM(INDEX(W:W, ROW()-COUNTIF($F$6:INDEX($F:$F, ROW()-1), $F152)) : INDEX(W:W, ROW()-1)),
   AVERAGEIFS(
     INDEX((unit_details[Effective Rent],unit_details[Effective PSF]),0,1,IF($U$3="Chunk Rent",1,2)),
     unit_details[Leased Date],"&gt;="&amp;($AM$2-T$5),
     unit_details[Leased Date],"&lt;"&amp;$AM$2,
     unit_details[Beds],$L153,
     unit_details[Baths],$M153,
     unit_details[Partial Baths],IF(ISNUMBER($N153),$N153,""),
     unit_details[Sqft],$P153,
     unit_details[Property Name],$F153)
 ),"")</f>
        <v/>
      </c>
      <c r="V153" s="27" t="str">
        <f t="shared" si="32"/>
        <v/>
      </c>
      <c r="W153" s="526">
        <f>IFERROR(
  IF($F153="Total",
    SUM(INDEX(W:W, ROW()-COUNTIF($F$6:INDEX($F:$F, ROW()-1), $F152)) : INDEX(W:W, ROW()-1)),
    COUNTIFS(
      unit_details[Leased Date], "&gt;="&amp;($AM$2-T$5),
      unit_details[Leased Date], "&lt;"&amp;$AM$2,
      unit_details[Beds], $L153,
      unit_details[Baths], $M153,
      unit_details[Partial Baths], IF(ISNUMBER($N153), $N153, ""),
      unit_details[Sqft],$P153,
      unit_details[Property Name], $F153
    )
  ),
"")</f>
        <v>0</v>
      </c>
      <c r="X153" s="531" t="str">
        <f>IFERROR(
 IF($F153="Total",
   SUMPRODUCT(
   INDEX(X:X, ROW()-COUNTIF($F$6:INDEX($F:$F, ROW()-1), $F152)) : INDEX(X:X, ROW()-1),
   INDEX(AA:AA, ROW()-COUNTIF($F$6:INDEX($F:$F, ROW()-1), $F152)) : INDEX(AA:AA, ROW()-1)
   )
   /SUM(INDEX(AA:AA, ROW()-COUNTIF($F$6:INDEX($F:$F, ROW()-1), $F152)) : INDEX(AA:AA, ROW()-1)),
   AVERAGEIFS(
     INDEX((unit_details[Asking Rent],unit_details[Asking PSF]),0,1,IF($U$3="Chunk Rent",1,2)),
     unit_details[Leased Date],"&gt;="&amp;($AM$2-X$5),
     unit_details[Leased Date],"&lt;"&amp;$AM$2,
     unit_details[Beds],$L153,
     unit_details[Baths],$M153,
     unit_details[Partial Baths],IF(ISNUMBER($N153),$N153,""),
     unit_details[Sqft],$P153,
     unit_details[Property Name],$F153)
 ),"")</f>
        <v/>
      </c>
      <c r="Y153" s="552" t="str">
        <f>IFERROR(
 IF($F153="Total",
   SUMPRODUCT(
   INDEX(Y:Y, ROW()-COUNTIF($F$6:INDEX($F:$F, ROW()-1), $F152)) : INDEX(Y:Y, ROW()-1),
   INDEX(AA:AA, ROW()-COUNTIF($F$6:INDEX($F:$F, ROW()-1), $F152)) : INDEX(AA:AA, ROW()-1)
   )
   /SUM(INDEX(AA:AA, ROW()-COUNTIF($F$6:INDEX($F:$F, ROW()-1), $F152)) : INDEX(AA:AA, ROW()-1)),
   AVERAGEIFS(
     INDEX((unit_details[Effective Rent],unit_details[Effective PSF]),0,1,IF($U$3="Chunk Rent",1,2)),
     unit_details[Leased Date],"&gt;="&amp;($AM$2-X$5),
     unit_details[Leased Date],"&lt;"&amp;$AM$2,
     unit_details[Beds],$L153,
     unit_details[Baths],$M153,
     unit_details[Partial Baths],IF(ISNUMBER($N153),$N153,""),
     unit_details[Sqft],$P153,
     unit_details[Property Name],$F153)
 ),"")</f>
        <v/>
      </c>
      <c r="Z153" s="27" t="str">
        <f t="shared" si="33"/>
        <v/>
      </c>
      <c r="AA153" s="526">
        <f>IFERROR(
  IF($F153="Total",
    SUM(INDEX(AA:AA, ROW()-COUNTIF($F$6:INDEX($F:$F, ROW()-1), $F152)) : INDEX(AA:AA, ROW()-1)),
    COUNTIFS(
      unit_details[Leased Date], "&gt;="&amp;($AM$2-X$5),
      unit_details[Leased Date], "&lt;"&amp;$AM$2,
      unit_details[Beds], $L153,
      unit_details[Baths], $M153,
      unit_details[Partial Baths], IF(ISNUMBER($N153), $N153, ""),
      unit_details[Sqft],$P153,
      unit_details[Property Name], $F153
    )
  ),
"")</f>
        <v>0</v>
      </c>
      <c r="AB153" s="290">
        <f>IF($F153="Total",
SUM(INDEX(AB:AB, ROW()-COUNTIF($F$6:INDEX($F:$F, ROW()-1), $F152)) : INDEX(AB:AB, ROW()-1)),
COUNTIFS(unit_details[Active Listing?],TRUE,
          unit_details[Property Name], $F153,
          unit_details[Beds], $L153,
          unit_details[Baths], $M153,
          unit_details[Partial Baths],IF(ISNUMBER($N153),$N153,""),
          unit_details[Sqft],$P153))</f>
        <v>0</v>
      </c>
      <c r="AC153" s="27" t="str">
        <f t="shared" si="25"/>
        <v/>
      </c>
      <c r="AD153" s="293" t="str">
        <f>IFERROR(IF(AE153="","",IF($F153="Total",
SUMPRODUCT(
   INDEX(AD:AD, ROW()-COUNTIF($F$6:INDEX($F:$F, ROW()-1), $F152)) : INDEX(AD:AD, ROW()-1),
   INDEX(AB:AB, ROW()-COUNTIF($F$6:INDEX($F:$F, ROW()-1), $F152)) : INDEX(AB:AB, ROW()-1)
   )
   /SUM(INDEX(AB:AB, ROW()-COUNTIF($F$6:INDEX($F:$F, ROW()-1), $F152)) : INDEX(AB:AB, ROW()-1)),
          _xlfn.MINIFS(unit_details[Asking Rent],
          unit_details[Active Listing?],TRUE,
          unit_details[Property Name], $F153,
          unit_details[Beds], $L153,
          unit_details[Baths], $M153,
          unit_details[Partial Baths], IF(ISNUMBER($N153),$N153,""),
          unit_details[Sqft],$P153
))),"")</f>
        <v/>
      </c>
      <c r="AE153" s="5" t="str">
        <f>IFERROR(IF($F153="Total",
          SUMPRODUCT(
   INDEX(AE:AE, ROW()-COUNTIF($F$6:INDEX($F:$F, ROW()-1), $F152)) : INDEX(AE:AE, ROW()-1),
   INDEX(AB:AB, ROW()-COUNTIF($F$6:INDEX($F:$F, ROW()-1), $F152)) : INDEX(AB:AB, ROW()-1)
   )
   /SUM(INDEX(AB:AB, ROW()-COUNTIF($F$6:INDEX($F:$F, ROW()-1), $F152)) : INDEX(AB:AB, ROW()-1)),
          AVERAGEIFS(unit_details[Asking Rent],
          unit_details[Active Listing?],TRUE,
          unit_details[Property Name], $F153,
          unit_details[Beds], $L153,
          unit_details[Baths], $M153,
          unit_details[Partial Baths], IF(ISNUMBER($N153),$N153,""),
          unit_details[Sqft],$P153
)),"")</f>
        <v/>
      </c>
      <c r="AF153" s="5" t="str">
        <f>IFERROR(IF(AE153="","",IF($F153="Total",
SUMPRODUCT(
   INDEX(AF:AF, ROW()-COUNTIF($F$6:INDEX($F:$F, ROW()-1), $F152)) : INDEX(AF:AF, ROW()-1),
   INDEX(AB:AB, ROW()-COUNTIF($F$6:INDEX($F:$F, ROW()-1), $F152)) : INDEX(AB:AB, ROW()-1)
   )
   /SUM(INDEX(AB:AB, ROW()-COUNTIF($F$6:INDEX($F:$F, ROW()-1), $F152)) : INDEX(AB:AB, ROW()-1)),
           _xlfn.MAXIFS(unit_details[Asking Rent],
          unit_details[Active Listing?],TRUE,
          unit_details[Property Name], $F153,
          unit_details[Beds], $L153,
          unit_details[Baths], $M153,
          unit_details[Partial Baths], IF(ISNUMBER($N153),$N153,""),
          unit_details[Sqft],$P153
))),"")</f>
        <v/>
      </c>
      <c r="AG153" s="6" t="str">
        <f>IFERROR(IF($F153="Total",
         SUMPRODUCT(
         INDEX(AG:AG, ROW()-COUNTIF($F$6:INDEX($F:$F, ROW()-1), $F152)) : INDEX(AG:AG, ROW()-1),
         INDEX(AB:AB, ROW()-COUNTIF($F$6:INDEX($F:$F, ROW()-1), $F152)) : INDEX(AB:AB, ROW()-1)
         )
         /SUM(INDEX(AB:AB, ROW()-COUNTIF($F$6:INDEX($F:$F, ROW()-1), $F152)) : INDEX(AB:AB, ROW()-1)),
          AVERAGEIFS(unit_details[Asking PSF],
          unit_details[Active Listing?],TRUE,
          unit_details[Property Name], $F153,
          unit_details[Beds], $L153,
          unit_details[Baths], $M153,
          unit_details[Partial Baths], IF(ISNUMBER($N153),$N153,""),
          unit_details[Sqft],$P153
)),"")</f>
        <v/>
      </c>
      <c r="AH153" s="293" t="str">
        <f>IFERROR(IF($F153="Total",
         SUMPRODUCT(
         INDEX(AH:AH, ROW()-COUNTIF($F$6:INDEX($F:$F, ROW()-1), $F152)) : INDEX(AH:AH, ROW()-1),
         INDEX(AB:AB, ROW()-COUNTIF($F$6:INDEX($F:$F, ROW()-1), $F152)) : INDEX(AB:AB, ROW()-1)
         )
         /SUM(INDEX(AB:AB, ROW()-COUNTIF($F$6:INDEX($F:$F, ROW()-1), $F152)) : INDEX(AB:AB, ROW()-1)),
          AVERAGEIFS(unit_details[Effective Rent],
          unit_details[Active Listing?],TRUE,
          unit_details[Property Name], $F153,
          unit_details[Beds], $L153,
          unit_details[Baths], $M153,
          unit_details[Partial Baths], IF(ISNUMBER($N153),$N153,""),
          unit_details[Sqft],$P153
)),"")</f>
        <v/>
      </c>
      <c r="AI153" s="6" t="str">
        <f>IFERROR(IF($F153="Total",
         SUMPRODUCT(
         INDEX(AI:AI, ROW()-COUNTIF($F$6:INDEX($F:$F, ROW()-1), $F152)) : INDEX(AI:AI, ROW()-1),
         INDEX(AB:AB, ROW()-COUNTIF($F$6:INDEX($F:$F, ROW()-1), $F152)) : INDEX(AB:AB, ROW()-1)
         )
         /SUM(INDEX(AB:AB, ROW()-COUNTIF($F$6:INDEX($F:$F, ROW()-1), $F152)) : INDEX(AB:AB, ROW()-1)),
           AVERAGEIFS(unit_details[Effective PSF],
          unit_details[Active Listing?],TRUE,
          unit_details[Property Name], $F153,
          unit_details[Beds], $L153,
          unit_details[Baths], $M153,
          unit_details[Partial Baths], IF(ISNUMBER($N153),$N153,""),
          unit_details[Sqft],$P153
)),"")</f>
        <v/>
      </c>
      <c r="AJ153" s="824" t="str">
        <f t="shared" si="26"/>
        <v/>
      </c>
      <c r="AK153" s="531" t="str">
        <f t="shared" si="27"/>
        <v/>
      </c>
      <c r="AL153" s="714" t="str">
        <f t="shared" si="28"/>
        <v/>
      </c>
      <c r="AM153" s="531" t="str">
        <f t="shared" si="29"/>
        <v/>
      </c>
      <c r="AN153" s="716" t="str">
        <f t="shared" si="30"/>
        <v/>
      </c>
    </row>
    <row r="154" spans="6:40" x14ac:dyDescent="0.2">
      <c r="F154" s="1" t="str">
        <f t="shared" si="23"/>
        <v/>
      </c>
      <c r="G154" s="713" t="str">
        <f t="shared" si="31"/>
        <v/>
      </c>
      <c r="H154" s="17" t="str">
        <f>IFERROR(VLOOKUP($G154,Table1[[Property]:[Exposure %]],4,0),"")</f>
        <v/>
      </c>
      <c r="I154" s="3" t="str">
        <f>IFERROR(VLOOKUP($G154,Table1[[Property]:[Exposure %]],6,0),"")</f>
        <v/>
      </c>
      <c r="J154" s="3" t="str">
        <f>IFERROR(VLOOKUP($G154,Table1[[Property]:[Exposure %]],7,0),"")</f>
        <v/>
      </c>
      <c r="K154"/>
      <c r="L154"/>
      <c r="M154"/>
      <c r="N154"/>
      <c r="O154"/>
      <c r="P154"/>
      <c r="Q154"/>
      <c r="R154" s="4" t="str">
        <f>IFERROR(VLOOKUP(IF(F154="Total",F153,F154),Table1[[Property]:['# Units]],7,0)*S154,"")</f>
        <v/>
      </c>
      <c r="S154" s="27" t="str">
        <f t="shared" si="24"/>
        <v/>
      </c>
      <c r="T154" s="531" t="str">
        <f>IFERROR(
 IF($F154="Total",
   SUMPRODUCT(
   INDEX(T:T, ROW()-COUNTIF($F$6:INDEX($F:$F, ROW()-1), $F153)) : INDEX(T:T, ROW()-1),
   INDEX(W:W, ROW()-COUNTIF($F$6:INDEX($F:$F, ROW()-1), $F153)) : INDEX(W:W, ROW()-1)
   )
   /SUM(INDEX(W:W, ROW()-COUNTIF($F$6:INDEX($F:$F, ROW()-1), $F153)) : INDEX(W:W, ROW()-1)),
   AVERAGEIFS(
     INDEX((unit_details[Asking Rent],unit_details[Asking PSF]),0,1,IF($U$3="Chunk Rent",1,2)),
     unit_details[Leased Date],"&gt;="&amp;($AM$2-T$5),
     unit_details[Leased Date],"&lt;"&amp;$AM$2,
     unit_details[Beds],$L154,
     unit_details[Baths],$M154,
     unit_details[Partial Baths],IF(ISNUMBER($N154),$N154,""),
     unit_details[Sqft],$P154,
     unit_details[Property Name],$F154)
 ),"")</f>
        <v/>
      </c>
      <c r="U154" s="552" t="str">
        <f>IFERROR(
 IF($F154="Total",
   SUMPRODUCT(
   INDEX(U:U, ROW()-COUNTIF($F$6:INDEX($F:$F, ROW()-1), $F153)) : INDEX(U:U, ROW()-1),
   INDEX(W:W, ROW()-COUNTIF($F$6:INDEX($F:$F, ROW()-1), $F153)) : INDEX(W:W, ROW()-1)
   )
   /SUM(INDEX(W:W, ROW()-COUNTIF($F$6:INDEX($F:$F, ROW()-1), $F153)) : INDEX(W:W, ROW()-1)),
   AVERAGEIFS(
     INDEX((unit_details[Effective Rent],unit_details[Effective PSF]),0,1,IF($U$3="Chunk Rent",1,2)),
     unit_details[Leased Date],"&gt;="&amp;($AM$2-T$5),
     unit_details[Leased Date],"&lt;"&amp;$AM$2,
     unit_details[Beds],$L154,
     unit_details[Baths],$M154,
     unit_details[Partial Baths],IF(ISNUMBER($N154),$N154,""),
     unit_details[Sqft],$P154,
     unit_details[Property Name],$F154)
 ),"")</f>
        <v/>
      </c>
      <c r="V154" s="27" t="str">
        <f t="shared" si="32"/>
        <v/>
      </c>
      <c r="W154" s="526">
        <f>IFERROR(
  IF($F154="Total",
    SUM(INDEX(W:W, ROW()-COUNTIF($F$6:INDEX($F:$F, ROW()-1), $F153)) : INDEX(W:W, ROW()-1)),
    COUNTIFS(
      unit_details[Leased Date], "&gt;="&amp;($AM$2-T$5),
      unit_details[Leased Date], "&lt;"&amp;$AM$2,
      unit_details[Beds], $L154,
      unit_details[Baths], $M154,
      unit_details[Partial Baths], IF(ISNUMBER($N154), $N154, ""),
      unit_details[Sqft],$P154,
      unit_details[Property Name], $F154
    )
  ),
"")</f>
        <v>0</v>
      </c>
      <c r="X154" s="531" t="str">
        <f>IFERROR(
 IF($F154="Total",
   SUMPRODUCT(
   INDEX(X:X, ROW()-COUNTIF($F$6:INDEX($F:$F, ROW()-1), $F153)) : INDEX(X:X, ROW()-1),
   INDEX(AA:AA, ROW()-COUNTIF($F$6:INDEX($F:$F, ROW()-1), $F153)) : INDEX(AA:AA, ROW()-1)
   )
   /SUM(INDEX(AA:AA, ROW()-COUNTIF($F$6:INDEX($F:$F, ROW()-1), $F153)) : INDEX(AA:AA, ROW()-1)),
   AVERAGEIFS(
     INDEX((unit_details[Asking Rent],unit_details[Asking PSF]),0,1,IF($U$3="Chunk Rent",1,2)),
     unit_details[Leased Date],"&gt;="&amp;($AM$2-X$5),
     unit_details[Leased Date],"&lt;"&amp;$AM$2,
     unit_details[Beds],$L154,
     unit_details[Baths],$M154,
     unit_details[Partial Baths],IF(ISNUMBER($N154),$N154,""),
     unit_details[Sqft],$P154,
     unit_details[Property Name],$F154)
 ),"")</f>
        <v/>
      </c>
      <c r="Y154" s="552" t="str">
        <f>IFERROR(
 IF($F154="Total",
   SUMPRODUCT(
   INDEX(Y:Y, ROW()-COUNTIF($F$6:INDEX($F:$F, ROW()-1), $F153)) : INDEX(Y:Y, ROW()-1),
   INDEX(AA:AA, ROW()-COUNTIF($F$6:INDEX($F:$F, ROW()-1), $F153)) : INDEX(AA:AA, ROW()-1)
   )
   /SUM(INDEX(AA:AA, ROW()-COUNTIF($F$6:INDEX($F:$F, ROW()-1), $F153)) : INDEX(AA:AA, ROW()-1)),
   AVERAGEIFS(
     INDEX((unit_details[Effective Rent],unit_details[Effective PSF]),0,1,IF($U$3="Chunk Rent",1,2)),
     unit_details[Leased Date],"&gt;="&amp;($AM$2-X$5),
     unit_details[Leased Date],"&lt;"&amp;$AM$2,
     unit_details[Beds],$L154,
     unit_details[Baths],$M154,
     unit_details[Partial Baths],IF(ISNUMBER($N154),$N154,""),
     unit_details[Sqft],$P154,
     unit_details[Property Name],$F154)
 ),"")</f>
        <v/>
      </c>
      <c r="Z154" s="27" t="str">
        <f t="shared" si="33"/>
        <v/>
      </c>
      <c r="AA154" s="526">
        <f>IFERROR(
  IF($F154="Total",
    SUM(INDEX(AA:AA, ROW()-COUNTIF($F$6:INDEX($F:$F, ROW()-1), $F153)) : INDEX(AA:AA, ROW()-1)),
    COUNTIFS(
      unit_details[Leased Date], "&gt;="&amp;($AM$2-X$5),
      unit_details[Leased Date], "&lt;"&amp;$AM$2,
      unit_details[Beds], $L154,
      unit_details[Baths], $M154,
      unit_details[Partial Baths], IF(ISNUMBER($N154), $N154, ""),
      unit_details[Sqft],$P154,
      unit_details[Property Name], $F154
    )
  ),
"")</f>
        <v>0</v>
      </c>
      <c r="AB154" s="290">
        <f>IF($F154="Total",
SUM(INDEX(AB:AB, ROW()-COUNTIF($F$6:INDEX($F:$F, ROW()-1), $F153)) : INDEX(AB:AB, ROW()-1)),
COUNTIFS(unit_details[Active Listing?],TRUE,
          unit_details[Property Name], $F154,
          unit_details[Beds], $L154,
          unit_details[Baths], $M154,
          unit_details[Partial Baths],IF(ISNUMBER($N154),$N154,""),
          unit_details[Sqft],$P154))</f>
        <v>0</v>
      </c>
      <c r="AC154" s="27" t="str">
        <f t="shared" si="25"/>
        <v/>
      </c>
      <c r="AD154" s="293" t="str">
        <f>IFERROR(IF(AE154="","",IF($F154="Total",
SUMPRODUCT(
   INDEX(AD:AD, ROW()-COUNTIF($F$6:INDEX($F:$F, ROW()-1), $F153)) : INDEX(AD:AD, ROW()-1),
   INDEX(AB:AB, ROW()-COUNTIF($F$6:INDEX($F:$F, ROW()-1), $F153)) : INDEX(AB:AB, ROW()-1)
   )
   /SUM(INDEX(AB:AB, ROW()-COUNTIF($F$6:INDEX($F:$F, ROW()-1), $F153)) : INDEX(AB:AB, ROW()-1)),
          _xlfn.MINIFS(unit_details[Asking Rent],
          unit_details[Active Listing?],TRUE,
          unit_details[Property Name], $F154,
          unit_details[Beds], $L154,
          unit_details[Baths], $M154,
          unit_details[Partial Baths], IF(ISNUMBER($N154),$N154,""),
          unit_details[Sqft],$P154
))),"")</f>
        <v/>
      </c>
      <c r="AE154" s="5" t="str">
        <f>IFERROR(IF($F154="Total",
          SUMPRODUCT(
   INDEX(AE:AE, ROW()-COUNTIF($F$6:INDEX($F:$F, ROW()-1), $F153)) : INDEX(AE:AE, ROW()-1),
   INDEX(AB:AB, ROW()-COUNTIF($F$6:INDEX($F:$F, ROW()-1), $F153)) : INDEX(AB:AB, ROW()-1)
   )
   /SUM(INDEX(AB:AB, ROW()-COUNTIF($F$6:INDEX($F:$F, ROW()-1), $F153)) : INDEX(AB:AB, ROW()-1)),
          AVERAGEIFS(unit_details[Asking Rent],
          unit_details[Active Listing?],TRUE,
          unit_details[Property Name], $F154,
          unit_details[Beds], $L154,
          unit_details[Baths], $M154,
          unit_details[Partial Baths], IF(ISNUMBER($N154),$N154,""),
          unit_details[Sqft],$P154
)),"")</f>
        <v/>
      </c>
      <c r="AF154" s="5" t="str">
        <f>IFERROR(IF(AE154="","",IF($F154="Total",
SUMPRODUCT(
   INDEX(AF:AF, ROW()-COUNTIF($F$6:INDEX($F:$F, ROW()-1), $F153)) : INDEX(AF:AF, ROW()-1),
   INDEX(AB:AB, ROW()-COUNTIF($F$6:INDEX($F:$F, ROW()-1), $F153)) : INDEX(AB:AB, ROW()-1)
   )
   /SUM(INDEX(AB:AB, ROW()-COUNTIF($F$6:INDEX($F:$F, ROW()-1), $F153)) : INDEX(AB:AB, ROW()-1)),
           _xlfn.MAXIFS(unit_details[Asking Rent],
          unit_details[Active Listing?],TRUE,
          unit_details[Property Name], $F154,
          unit_details[Beds], $L154,
          unit_details[Baths], $M154,
          unit_details[Partial Baths], IF(ISNUMBER($N154),$N154,""),
          unit_details[Sqft],$P154
))),"")</f>
        <v/>
      </c>
      <c r="AG154" s="6" t="str">
        <f>IFERROR(IF($F154="Total",
         SUMPRODUCT(
         INDEX(AG:AG, ROW()-COUNTIF($F$6:INDEX($F:$F, ROW()-1), $F153)) : INDEX(AG:AG, ROW()-1),
         INDEX(AB:AB, ROW()-COUNTIF($F$6:INDEX($F:$F, ROW()-1), $F153)) : INDEX(AB:AB, ROW()-1)
         )
         /SUM(INDEX(AB:AB, ROW()-COUNTIF($F$6:INDEX($F:$F, ROW()-1), $F153)) : INDEX(AB:AB, ROW()-1)),
          AVERAGEIFS(unit_details[Asking PSF],
          unit_details[Active Listing?],TRUE,
          unit_details[Property Name], $F154,
          unit_details[Beds], $L154,
          unit_details[Baths], $M154,
          unit_details[Partial Baths], IF(ISNUMBER($N154),$N154,""),
          unit_details[Sqft],$P154
)),"")</f>
        <v/>
      </c>
      <c r="AH154" s="293" t="str">
        <f>IFERROR(IF($F154="Total",
         SUMPRODUCT(
         INDEX(AH:AH, ROW()-COUNTIF($F$6:INDEX($F:$F, ROW()-1), $F153)) : INDEX(AH:AH, ROW()-1),
         INDEX(AB:AB, ROW()-COUNTIF($F$6:INDEX($F:$F, ROW()-1), $F153)) : INDEX(AB:AB, ROW()-1)
         )
         /SUM(INDEX(AB:AB, ROW()-COUNTIF($F$6:INDEX($F:$F, ROW()-1), $F153)) : INDEX(AB:AB, ROW()-1)),
          AVERAGEIFS(unit_details[Effective Rent],
          unit_details[Active Listing?],TRUE,
          unit_details[Property Name], $F154,
          unit_details[Beds], $L154,
          unit_details[Baths], $M154,
          unit_details[Partial Baths], IF(ISNUMBER($N154),$N154,""),
          unit_details[Sqft],$P154
)),"")</f>
        <v/>
      </c>
      <c r="AI154" s="6" t="str">
        <f>IFERROR(IF($F154="Total",
         SUMPRODUCT(
         INDEX(AI:AI, ROW()-COUNTIF($F$6:INDEX($F:$F, ROW()-1), $F153)) : INDEX(AI:AI, ROW()-1),
         INDEX(AB:AB, ROW()-COUNTIF($F$6:INDEX($F:$F, ROW()-1), $F153)) : INDEX(AB:AB, ROW()-1)
         )
         /SUM(INDEX(AB:AB, ROW()-COUNTIF($F$6:INDEX($F:$F, ROW()-1), $F153)) : INDEX(AB:AB, ROW()-1)),
           AVERAGEIFS(unit_details[Effective PSF],
          unit_details[Active Listing?],TRUE,
          unit_details[Property Name], $F154,
          unit_details[Beds], $L154,
          unit_details[Baths], $M154,
          unit_details[Partial Baths], IF(ISNUMBER($N154),$N154,""),
          unit_details[Sqft],$P154
)),"")</f>
        <v/>
      </c>
      <c r="AJ154" s="824" t="str">
        <f t="shared" si="26"/>
        <v/>
      </c>
      <c r="AK154" s="531" t="str">
        <f t="shared" si="27"/>
        <v/>
      </c>
      <c r="AL154" s="714" t="str">
        <f t="shared" si="28"/>
        <v/>
      </c>
      <c r="AM154" s="531" t="str">
        <f t="shared" si="29"/>
        <v/>
      </c>
      <c r="AN154" s="716" t="str">
        <f t="shared" si="30"/>
        <v/>
      </c>
    </row>
    <row r="155" spans="6:40" x14ac:dyDescent="0.2">
      <c r="F155" s="1" t="str">
        <f t="shared" si="23"/>
        <v/>
      </c>
      <c r="G155" s="713" t="str">
        <f t="shared" si="31"/>
        <v/>
      </c>
      <c r="H155" s="17" t="str">
        <f>IFERROR(VLOOKUP($G155,Table1[[Property]:[Exposure %]],4,0),"")</f>
        <v/>
      </c>
      <c r="I155" s="3" t="str">
        <f>IFERROR(VLOOKUP($G155,Table1[[Property]:[Exposure %]],6,0),"")</f>
        <v/>
      </c>
      <c r="J155" s="3" t="str">
        <f>IFERROR(VLOOKUP($G155,Table1[[Property]:[Exposure %]],7,0),"")</f>
        <v/>
      </c>
      <c r="K155"/>
      <c r="L155"/>
      <c r="M155"/>
      <c r="N155"/>
      <c r="O155"/>
      <c r="P155"/>
      <c r="Q155"/>
      <c r="R155" s="4" t="str">
        <f>IFERROR(VLOOKUP(IF(F155="Total",F154,F155),Table1[[Property]:['# Units]],7,0)*S155,"")</f>
        <v/>
      </c>
      <c r="S155" s="27" t="str">
        <f t="shared" si="24"/>
        <v/>
      </c>
      <c r="T155" s="531" t="str">
        <f>IFERROR(
 IF($F155="Total",
   SUMPRODUCT(
   INDEX(T:T, ROW()-COUNTIF($F$6:INDEX($F:$F, ROW()-1), $F154)) : INDEX(T:T, ROW()-1),
   INDEX(W:W, ROW()-COUNTIF($F$6:INDEX($F:$F, ROW()-1), $F154)) : INDEX(W:W, ROW()-1)
   )
   /SUM(INDEX(W:W, ROW()-COUNTIF($F$6:INDEX($F:$F, ROW()-1), $F154)) : INDEX(W:W, ROW()-1)),
   AVERAGEIFS(
     INDEX((unit_details[Asking Rent],unit_details[Asking PSF]),0,1,IF($U$3="Chunk Rent",1,2)),
     unit_details[Leased Date],"&gt;="&amp;($AM$2-T$5),
     unit_details[Leased Date],"&lt;"&amp;$AM$2,
     unit_details[Beds],$L155,
     unit_details[Baths],$M155,
     unit_details[Partial Baths],IF(ISNUMBER($N155),$N155,""),
     unit_details[Sqft],$P155,
     unit_details[Property Name],$F155)
 ),"")</f>
        <v/>
      </c>
      <c r="U155" s="552" t="str">
        <f>IFERROR(
 IF($F155="Total",
   SUMPRODUCT(
   INDEX(U:U, ROW()-COUNTIF($F$6:INDEX($F:$F, ROW()-1), $F154)) : INDEX(U:U, ROW()-1),
   INDEX(W:W, ROW()-COUNTIF($F$6:INDEX($F:$F, ROW()-1), $F154)) : INDEX(W:W, ROW()-1)
   )
   /SUM(INDEX(W:W, ROW()-COUNTIF($F$6:INDEX($F:$F, ROW()-1), $F154)) : INDEX(W:W, ROW()-1)),
   AVERAGEIFS(
     INDEX((unit_details[Effective Rent],unit_details[Effective PSF]),0,1,IF($U$3="Chunk Rent",1,2)),
     unit_details[Leased Date],"&gt;="&amp;($AM$2-T$5),
     unit_details[Leased Date],"&lt;"&amp;$AM$2,
     unit_details[Beds],$L155,
     unit_details[Baths],$M155,
     unit_details[Partial Baths],IF(ISNUMBER($N155),$N155,""),
     unit_details[Sqft],$P155,
     unit_details[Property Name],$F155)
 ),"")</f>
        <v/>
      </c>
      <c r="V155" s="27" t="str">
        <f t="shared" si="32"/>
        <v/>
      </c>
      <c r="W155" s="526">
        <f>IFERROR(
  IF($F155="Total",
    SUM(INDEX(W:W, ROW()-COUNTIF($F$6:INDEX($F:$F, ROW()-1), $F154)) : INDEX(W:W, ROW()-1)),
    COUNTIFS(
      unit_details[Leased Date], "&gt;="&amp;($AM$2-T$5),
      unit_details[Leased Date], "&lt;"&amp;$AM$2,
      unit_details[Beds], $L155,
      unit_details[Baths], $M155,
      unit_details[Partial Baths], IF(ISNUMBER($N155), $N155, ""),
      unit_details[Sqft],$P155,
      unit_details[Property Name], $F155
    )
  ),
"")</f>
        <v>0</v>
      </c>
      <c r="X155" s="531" t="str">
        <f>IFERROR(
 IF($F155="Total",
   SUMPRODUCT(
   INDEX(X:X, ROW()-COUNTIF($F$6:INDEX($F:$F, ROW()-1), $F154)) : INDEX(X:X, ROW()-1),
   INDEX(AA:AA, ROW()-COUNTIF($F$6:INDEX($F:$F, ROW()-1), $F154)) : INDEX(AA:AA, ROW()-1)
   )
   /SUM(INDEX(AA:AA, ROW()-COUNTIF($F$6:INDEX($F:$F, ROW()-1), $F154)) : INDEX(AA:AA, ROW()-1)),
   AVERAGEIFS(
     INDEX((unit_details[Asking Rent],unit_details[Asking PSF]),0,1,IF($U$3="Chunk Rent",1,2)),
     unit_details[Leased Date],"&gt;="&amp;($AM$2-X$5),
     unit_details[Leased Date],"&lt;"&amp;$AM$2,
     unit_details[Beds],$L155,
     unit_details[Baths],$M155,
     unit_details[Partial Baths],IF(ISNUMBER($N155),$N155,""),
     unit_details[Sqft],$P155,
     unit_details[Property Name],$F155)
 ),"")</f>
        <v/>
      </c>
      <c r="Y155" s="552" t="str">
        <f>IFERROR(
 IF($F155="Total",
   SUMPRODUCT(
   INDEX(Y:Y, ROW()-COUNTIF($F$6:INDEX($F:$F, ROW()-1), $F154)) : INDEX(Y:Y, ROW()-1),
   INDEX(AA:AA, ROW()-COUNTIF($F$6:INDEX($F:$F, ROW()-1), $F154)) : INDEX(AA:AA, ROW()-1)
   )
   /SUM(INDEX(AA:AA, ROW()-COUNTIF($F$6:INDEX($F:$F, ROW()-1), $F154)) : INDEX(AA:AA, ROW()-1)),
   AVERAGEIFS(
     INDEX((unit_details[Effective Rent],unit_details[Effective PSF]),0,1,IF($U$3="Chunk Rent",1,2)),
     unit_details[Leased Date],"&gt;="&amp;($AM$2-X$5),
     unit_details[Leased Date],"&lt;"&amp;$AM$2,
     unit_details[Beds],$L155,
     unit_details[Baths],$M155,
     unit_details[Partial Baths],IF(ISNUMBER($N155),$N155,""),
     unit_details[Sqft],$P155,
     unit_details[Property Name],$F155)
 ),"")</f>
        <v/>
      </c>
      <c r="Z155" s="27" t="str">
        <f t="shared" si="33"/>
        <v/>
      </c>
      <c r="AA155" s="526">
        <f>IFERROR(
  IF($F155="Total",
    SUM(INDEX(AA:AA, ROW()-COUNTIF($F$6:INDEX($F:$F, ROW()-1), $F154)) : INDEX(AA:AA, ROW()-1)),
    COUNTIFS(
      unit_details[Leased Date], "&gt;="&amp;($AM$2-X$5),
      unit_details[Leased Date], "&lt;"&amp;$AM$2,
      unit_details[Beds], $L155,
      unit_details[Baths], $M155,
      unit_details[Partial Baths], IF(ISNUMBER($N155), $N155, ""),
      unit_details[Sqft],$P155,
      unit_details[Property Name], $F155
    )
  ),
"")</f>
        <v>0</v>
      </c>
      <c r="AB155" s="290">
        <f>IF($F155="Total",
SUM(INDEX(AB:AB, ROW()-COUNTIF($F$6:INDEX($F:$F, ROW()-1), $F154)) : INDEX(AB:AB, ROW()-1)),
COUNTIFS(unit_details[Active Listing?],TRUE,
          unit_details[Property Name], $F155,
          unit_details[Beds], $L155,
          unit_details[Baths], $M155,
          unit_details[Partial Baths],IF(ISNUMBER($N155),$N155,""),
          unit_details[Sqft],$P155))</f>
        <v>0</v>
      </c>
      <c r="AC155" s="27" t="str">
        <f t="shared" si="25"/>
        <v/>
      </c>
      <c r="AD155" s="293" t="str">
        <f>IFERROR(IF(AE155="","",IF($F155="Total",
SUMPRODUCT(
   INDEX(AD:AD, ROW()-COUNTIF($F$6:INDEX($F:$F, ROW()-1), $F154)) : INDEX(AD:AD, ROW()-1),
   INDEX(AB:AB, ROW()-COUNTIF($F$6:INDEX($F:$F, ROW()-1), $F154)) : INDEX(AB:AB, ROW()-1)
   )
   /SUM(INDEX(AB:AB, ROW()-COUNTIF($F$6:INDEX($F:$F, ROW()-1), $F154)) : INDEX(AB:AB, ROW()-1)),
          _xlfn.MINIFS(unit_details[Asking Rent],
          unit_details[Active Listing?],TRUE,
          unit_details[Property Name], $F155,
          unit_details[Beds], $L155,
          unit_details[Baths], $M155,
          unit_details[Partial Baths], IF(ISNUMBER($N155),$N155,""),
          unit_details[Sqft],$P155
))),"")</f>
        <v/>
      </c>
      <c r="AE155" s="5" t="str">
        <f>IFERROR(IF($F155="Total",
          SUMPRODUCT(
   INDEX(AE:AE, ROW()-COUNTIF($F$6:INDEX($F:$F, ROW()-1), $F154)) : INDEX(AE:AE, ROW()-1),
   INDEX(AB:AB, ROW()-COUNTIF($F$6:INDEX($F:$F, ROW()-1), $F154)) : INDEX(AB:AB, ROW()-1)
   )
   /SUM(INDEX(AB:AB, ROW()-COUNTIF($F$6:INDEX($F:$F, ROW()-1), $F154)) : INDEX(AB:AB, ROW()-1)),
          AVERAGEIFS(unit_details[Asking Rent],
          unit_details[Active Listing?],TRUE,
          unit_details[Property Name], $F155,
          unit_details[Beds], $L155,
          unit_details[Baths], $M155,
          unit_details[Partial Baths], IF(ISNUMBER($N155),$N155,""),
          unit_details[Sqft],$P155
)),"")</f>
        <v/>
      </c>
      <c r="AF155" s="5" t="str">
        <f>IFERROR(IF(AE155="","",IF($F155="Total",
SUMPRODUCT(
   INDEX(AF:AF, ROW()-COUNTIF($F$6:INDEX($F:$F, ROW()-1), $F154)) : INDEX(AF:AF, ROW()-1),
   INDEX(AB:AB, ROW()-COUNTIF($F$6:INDEX($F:$F, ROW()-1), $F154)) : INDEX(AB:AB, ROW()-1)
   )
   /SUM(INDEX(AB:AB, ROW()-COUNTIF($F$6:INDEX($F:$F, ROW()-1), $F154)) : INDEX(AB:AB, ROW()-1)),
           _xlfn.MAXIFS(unit_details[Asking Rent],
          unit_details[Active Listing?],TRUE,
          unit_details[Property Name], $F155,
          unit_details[Beds], $L155,
          unit_details[Baths], $M155,
          unit_details[Partial Baths], IF(ISNUMBER($N155),$N155,""),
          unit_details[Sqft],$P155
))),"")</f>
        <v/>
      </c>
      <c r="AG155" s="6" t="str">
        <f>IFERROR(IF($F155="Total",
         SUMPRODUCT(
         INDEX(AG:AG, ROW()-COUNTIF($F$6:INDEX($F:$F, ROW()-1), $F154)) : INDEX(AG:AG, ROW()-1),
         INDEX(AB:AB, ROW()-COUNTIF($F$6:INDEX($F:$F, ROW()-1), $F154)) : INDEX(AB:AB, ROW()-1)
         )
         /SUM(INDEX(AB:AB, ROW()-COUNTIF($F$6:INDEX($F:$F, ROW()-1), $F154)) : INDEX(AB:AB, ROW()-1)),
          AVERAGEIFS(unit_details[Asking PSF],
          unit_details[Active Listing?],TRUE,
          unit_details[Property Name], $F155,
          unit_details[Beds], $L155,
          unit_details[Baths], $M155,
          unit_details[Partial Baths], IF(ISNUMBER($N155),$N155,""),
          unit_details[Sqft],$P155
)),"")</f>
        <v/>
      </c>
      <c r="AH155" s="293" t="str">
        <f>IFERROR(IF($F155="Total",
         SUMPRODUCT(
         INDEX(AH:AH, ROW()-COUNTIF($F$6:INDEX($F:$F, ROW()-1), $F154)) : INDEX(AH:AH, ROW()-1),
         INDEX(AB:AB, ROW()-COUNTIF($F$6:INDEX($F:$F, ROW()-1), $F154)) : INDEX(AB:AB, ROW()-1)
         )
         /SUM(INDEX(AB:AB, ROW()-COUNTIF($F$6:INDEX($F:$F, ROW()-1), $F154)) : INDEX(AB:AB, ROW()-1)),
          AVERAGEIFS(unit_details[Effective Rent],
          unit_details[Active Listing?],TRUE,
          unit_details[Property Name], $F155,
          unit_details[Beds], $L155,
          unit_details[Baths], $M155,
          unit_details[Partial Baths], IF(ISNUMBER($N155),$N155,""),
          unit_details[Sqft],$P155
)),"")</f>
        <v/>
      </c>
      <c r="AI155" s="6" t="str">
        <f>IFERROR(IF($F155="Total",
         SUMPRODUCT(
         INDEX(AI:AI, ROW()-COUNTIF($F$6:INDEX($F:$F, ROW()-1), $F154)) : INDEX(AI:AI, ROW()-1),
         INDEX(AB:AB, ROW()-COUNTIF($F$6:INDEX($F:$F, ROW()-1), $F154)) : INDEX(AB:AB, ROW()-1)
         )
         /SUM(INDEX(AB:AB, ROW()-COUNTIF($F$6:INDEX($F:$F, ROW()-1), $F154)) : INDEX(AB:AB, ROW()-1)),
           AVERAGEIFS(unit_details[Effective PSF],
          unit_details[Active Listing?],TRUE,
          unit_details[Property Name], $F155,
          unit_details[Beds], $L155,
          unit_details[Baths], $M155,
          unit_details[Partial Baths], IF(ISNUMBER($N155),$N155,""),
          unit_details[Sqft],$P155
)),"")</f>
        <v/>
      </c>
      <c r="AJ155" s="824" t="str">
        <f t="shared" si="26"/>
        <v/>
      </c>
      <c r="AK155" s="531" t="str">
        <f t="shared" si="27"/>
        <v/>
      </c>
      <c r="AL155" s="714" t="str">
        <f t="shared" si="28"/>
        <v/>
      </c>
      <c r="AM155" s="531" t="str">
        <f t="shared" si="29"/>
        <v/>
      </c>
      <c r="AN155" s="716" t="str">
        <f t="shared" si="30"/>
        <v/>
      </c>
    </row>
    <row r="156" spans="6:40" x14ac:dyDescent="0.2">
      <c r="F156" s="1" t="str">
        <f t="shared" si="23"/>
        <v/>
      </c>
      <c r="G156" s="713" t="str">
        <f t="shared" si="31"/>
        <v/>
      </c>
      <c r="H156" s="17" t="str">
        <f>IFERROR(VLOOKUP($G156,Table1[[Property]:[Exposure %]],4,0),"")</f>
        <v/>
      </c>
      <c r="I156" s="3" t="str">
        <f>IFERROR(VLOOKUP($G156,Table1[[Property]:[Exposure %]],6,0),"")</f>
        <v/>
      </c>
      <c r="J156" s="3" t="str">
        <f>IFERROR(VLOOKUP($G156,Table1[[Property]:[Exposure %]],7,0),"")</f>
        <v/>
      </c>
      <c r="K156"/>
      <c r="L156"/>
      <c r="M156"/>
      <c r="N156"/>
      <c r="O156"/>
      <c r="P156"/>
      <c r="Q156"/>
      <c r="R156" s="4" t="str">
        <f>IFERROR(VLOOKUP(IF(F156="Total",F155,F156),Table1[[Property]:['# Units]],7,0)*S156,"")</f>
        <v/>
      </c>
      <c r="S156" s="27" t="str">
        <f t="shared" si="24"/>
        <v/>
      </c>
      <c r="T156" s="531" t="str">
        <f>IFERROR(
 IF($F156="Total",
   SUMPRODUCT(
   INDEX(T:T, ROW()-COUNTIF($F$6:INDEX($F:$F, ROW()-1), $F155)) : INDEX(T:T, ROW()-1),
   INDEX(W:W, ROW()-COUNTIF($F$6:INDEX($F:$F, ROW()-1), $F155)) : INDEX(W:W, ROW()-1)
   )
   /SUM(INDEX(W:W, ROW()-COUNTIF($F$6:INDEX($F:$F, ROW()-1), $F155)) : INDEX(W:W, ROW()-1)),
   AVERAGEIFS(
     INDEX((unit_details[Asking Rent],unit_details[Asking PSF]),0,1,IF($U$3="Chunk Rent",1,2)),
     unit_details[Leased Date],"&gt;="&amp;($AM$2-T$5),
     unit_details[Leased Date],"&lt;"&amp;$AM$2,
     unit_details[Beds],$L156,
     unit_details[Baths],$M156,
     unit_details[Partial Baths],IF(ISNUMBER($N156),$N156,""),
     unit_details[Sqft],$P156,
     unit_details[Property Name],$F156)
 ),"")</f>
        <v/>
      </c>
      <c r="U156" s="552" t="str">
        <f>IFERROR(
 IF($F156="Total",
   SUMPRODUCT(
   INDEX(U:U, ROW()-COUNTIF($F$6:INDEX($F:$F, ROW()-1), $F155)) : INDEX(U:U, ROW()-1),
   INDEX(W:W, ROW()-COUNTIF($F$6:INDEX($F:$F, ROW()-1), $F155)) : INDEX(W:W, ROW()-1)
   )
   /SUM(INDEX(W:W, ROW()-COUNTIF($F$6:INDEX($F:$F, ROW()-1), $F155)) : INDEX(W:W, ROW()-1)),
   AVERAGEIFS(
     INDEX((unit_details[Effective Rent],unit_details[Effective PSF]),0,1,IF($U$3="Chunk Rent",1,2)),
     unit_details[Leased Date],"&gt;="&amp;($AM$2-T$5),
     unit_details[Leased Date],"&lt;"&amp;$AM$2,
     unit_details[Beds],$L156,
     unit_details[Baths],$M156,
     unit_details[Partial Baths],IF(ISNUMBER($N156),$N156,""),
     unit_details[Sqft],$P156,
     unit_details[Property Name],$F156)
 ),"")</f>
        <v/>
      </c>
      <c r="V156" s="27" t="str">
        <f t="shared" si="32"/>
        <v/>
      </c>
      <c r="W156" s="526">
        <f>IFERROR(
  IF($F156="Total",
    SUM(INDEX(W:W, ROW()-COUNTIF($F$6:INDEX($F:$F, ROW()-1), $F155)) : INDEX(W:W, ROW()-1)),
    COUNTIFS(
      unit_details[Leased Date], "&gt;="&amp;($AM$2-T$5),
      unit_details[Leased Date], "&lt;"&amp;$AM$2,
      unit_details[Beds], $L156,
      unit_details[Baths], $M156,
      unit_details[Partial Baths], IF(ISNUMBER($N156), $N156, ""),
      unit_details[Sqft],$P156,
      unit_details[Property Name], $F156
    )
  ),
"")</f>
        <v>0</v>
      </c>
      <c r="X156" s="531" t="str">
        <f>IFERROR(
 IF($F156="Total",
   SUMPRODUCT(
   INDEX(X:X, ROW()-COUNTIF($F$6:INDEX($F:$F, ROW()-1), $F155)) : INDEX(X:X, ROW()-1),
   INDEX(AA:AA, ROW()-COUNTIF($F$6:INDEX($F:$F, ROW()-1), $F155)) : INDEX(AA:AA, ROW()-1)
   )
   /SUM(INDEX(AA:AA, ROW()-COUNTIF($F$6:INDEX($F:$F, ROW()-1), $F155)) : INDEX(AA:AA, ROW()-1)),
   AVERAGEIFS(
     INDEX((unit_details[Asking Rent],unit_details[Asking PSF]),0,1,IF($U$3="Chunk Rent",1,2)),
     unit_details[Leased Date],"&gt;="&amp;($AM$2-X$5),
     unit_details[Leased Date],"&lt;"&amp;$AM$2,
     unit_details[Beds],$L156,
     unit_details[Baths],$M156,
     unit_details[Partial Baths],IF(ISNUMBER($N156),$N156,""),
     unit_details[Sqft],$P156,
     unit_details[Property Name],$F156)
 ),"")</f>
        <v/>
      </c>
      <c r="Y156" s="552" t="str">
        <f>IFERROR(
 IF($F156="Total",
   SUMPRODUCT(
   INDEX(Y:Y, ROW()-COUNTIF($F$6:INDEX($F:$F, ROW()-1), $F155)) : INDEX(Y:Y, ROW()-1),
   INDEX(AA:AA, ROW()-COUNTIF($F$6:INDEX($F:$F, ROW()-1), $F155)) : INDEX(AA:AA, ROW()-1)
   )
   /SUM(INDEX(AA:AA, ROW()-COUNTIF($F$6:INDEX($F:$F, ROW()-1), $F155)) : INDEX(AA:AA, ROW()-1)),
   AVERAGEIFS(
     INDEX((unit_details[Effective Rent],unit_details[Effective PSF]),0,1,IF($U$3="Chunk Rent",1,2)),
     unit_details[Leased Date],"&gt;="&amp;($AM$2-X$5),
     unit_details[Leased Date],"&lt;"&amp;$AM$2,
     unit_details[Beds],$L156,
     unit_details[Baths],$M156,
     unit_details[Partial Baths],IF(ISNUMBER($N156),$N156,""),
     unit_details[Sqft],$P156,
     unit_details[Property Name],$F156)
 ),"")</f>
        <v/>
      </c>
      <c r="Z156" s="27" t="str">
        <f t="shared" si="33"/>
        <v/>
      </c>
      <c r="AA156" s="526">
        <f>IFERROR(
  IF($F156="Total",
    SUM(INDEX(AA:AA, ROW()-COUNTIF($F$6:INDEX($F:$F, ROW()-1), $F155)) : INDEX(AA:AA, ROW()-1)),
    COUNTIFS(
      unit_details[Leased Date], "&gt;="&amp;($AM$2-X$5),
      unit_details[Leased Date], "&lt;"&amp;$AM$2,
      unit_details[Beds], $L156,
      unit_details[Baths], $M156,
      unit_details[Partial Baths], IF(ISNUMBER($N156), $N156, ""),
      unit_details[Sqft],$P156,
      unit_details[Property Name], $F156
    )
  ),
"")</f>
        <v>0</v>
      </c>
      <c r="AB156" s="290">
        <f>IF($F156="Total",
SUM(INDEX(AB:AB, ROW()-COUNTIF($F$6:INDEX($F:$F, ROW()-1), $F155)) : INDEX(AB:AB, ROW()-1)),
COUNTIFS(unit_details[Active Listing?],TRUE,
          unit_details[Property Name], $F156,
          unit_details[Beds], $L156,
          unit_details[Baths], $M156,
          unit_details[Partial Baths],IF(ISNUMBER($N156),$N156,""),
          unit_details[Sqft],$P156))</f>
        <v>0</v>
      </c>
      <c r="AC156" s="27" t="str">
        <f t="shared" si="25"/>
        <v/>
      </c>
      <c r="AD156" s="293" t="str">
        <f>IFERROR(IF(AE156="","",IF($F156="Total",
SUMPRODUCT(
   INDEX(AD:AD, ROW()-COUNTIF($F$6:INDEX($F:$F, ROW()-1), $F155)) : INDEX(AD:AD, ROW()-1),
   INDEX(AB:AB, ROW()-COUNTIF($F$6:INDEX($F:$F, ROW()-1), $F155)) : INDEX(AB:AB, ROW()-1)
   )
   /SUM(INDEX(AB:AB, ROW()-COUNTIF($F$6:INDEX($F:$F, ROW()-1), $F155)) : INDEX(AB:AB, ROW()-1)),
          _xlfn.MINIFS(unit_details[Asking Rent],
          unit_details[Active Listing?],TRUE,
          unit_details[Property Name], $F156,
          unit_details[Beds], $L156,
          unit_details[Baths], $M156,
          unit_details[Partial Baths], IF(ISNUMBER($N156),$N156,""),
          unit_details[Sqft],$P156
))),"")</f>
        <v/>
      </c>
      <c r="AE156" s="5" t="str">
        <f>IFERROR(IF($F156="Total",
          SUMPRODUCT(
   INDEX(AE:AE, ROW()-COUNTIF($F$6:INDEX($F:$F, ROW()-1), $F155)) : INDEX(AE:AE, ROW()-1),
   INDEX(AB:AB, ROW()-COUNTIF($F$6:INDEX($F:$F, ROW()-1), $F155)) : INDEX(AB:AB, ROW()-1)
   )
   /SUM(INDEX(AB:AB, ROW()-COUNTIF($F$6:INDEX($F:$F, ROW()-1), $F155)) : INDEX(AB:AB, ROW()-1)),
          AVERAGEIFS(unit_details[Asking Rent],
          unit_details[Active Listing?],TRUE,
          unit_details[Property Name], $F156,
          unit_details[Beds], $L156,
          unit_details[Baths], $M156,
          unit_details[Partial Baths], IF(ISNUMBER($N156),$N156,""),
          unit_details[Sqft],$P156
)),"")</f>
        <v/>
      </c>
      <c r="AF156" s="5" t="str">
        <f>IFERROR(IF(AE156="","",IF($F156="Total",
SUMPRODUCT(
   INDEX(AF:AF, ROW()-COUNTIF($F$6:INDEX($F:$F, ROW()-1), $F155)) : INDEX(AF:AF, ROW()-1),
   INDEX(AB:AB, ROW()-COUNTIF($F$6:INDEX($F:$F, ROW()-1), $F155)) : INDEX(AB:AB, ROW()-1)
   )
   /SUM(INDEX(AB:AB, ROW()-COUNTIF($F$6:INDEX($F:$F, ROW()-1), $F155)) : INDEX(AB:AB, ROW()-1)),
           _xlfn.MAXIFS(unit_details[Asking Rent],
          unit_details[Active Listing?],TRUE,
          unit_details[Property Name], $F156,
          unit_details[Beds], $L156,
          unit_details[Baths], $M156,
          unit_details[Partial Baths], IF(ISNUMBER($N156),$N156,""),
          unit_details[Sqft],$P156
))),"")</f>
        <v/>
      </c>
      <c r="AG156" s="6" t="str">
        <f>IFERROR(IF($F156="Total",
         SUMPRODUCT(
         INDEX(AG:AG, ROW()-COUNTIF($F$6:INDEX($F:$F, ROW()-1), $F155)) : INDEX(AG:AG, ROW()-1),
         INDEX(AB:AB, ROW()-COUNTIF($F$6:INDEX($F:$F, ROW()-1), $F155)) : INDEX(AB:AB, ROW()-1)
         )
         /SUM(INDEX(AB:AB, ROW()-COUNTIF($F$6:INDEX($F:$F, ROW()-1), $F155)) : INDEX(AB:AB, ROW()-1)),
          AVERAGEIFS(unit_details[Asking PSF],
          unit_details[Active Listing?],TRUE,
          unit_details[Property Name], $F156,
          unit_details[Beds], $L156,
          unit_details[Baths], $M156,
          unit_details[Partial Baths], IF(ISNUMBER($N156),$N156,""),
          unit_details[Sqft],$P156
)),"")</f>
        <v/>
      </c>
      <c r="AH156" s="293" t="str">
        <f>IFERROR(IF($F156="Total",
         SUMPRODUCT(
         INDEX(AH:AH, ROW()-COUNTIF($F$6:INDEX($F:$F, ROW()-1), $F155)) : INDEX(AH:AH, ROW()-1),
         INDEX(AB:AB, ROW()-COUNTIF($F$6:INDEX($F:$F, ROW()-1), $F155)) : INDEX(AB:AB, ROW()-1)
         )
         /SUM(INDEX(AB:AB, ROW()-COUNTIF($F$6:INDEX($F:$F, ROW()-1), $F155)) : INDEX(AB:AB, ROW()-1)),
          AVERAGEIFS(unit_details[Effective Rent],
          unit_details[Active Listing?],TRUE,
          unit_details[Property Name], $F156,
          unit_details[Beds], $L156,
          unit_details[Baths], $M156,
          unit_details[Partial Baths], IF(ISNUMBER($N156),$N156,""),
          unit_details[Sqft],$P156
)),"")</f>
        <v/>
      </c>
      <c r="AI156" s="6" t="str">
        <f>IFERROR(IF($F156="Total",
         SUMPRODUCT(
         INDEX(AI:AI, ROW()-COUNTIF($F$6:INDEX($F:$F, ROW()-1), $F155)) : INDEX(AI:AI, ROW()-1),
         INDEX(AB:AB, ROW()-COUNTIF($F$6:INDEX($F:$F, ROW()-1), $F155)) : INDEX(AB:AB, ROW()-1)
         )
         /SUM(INDEX(AB:AB, ROW()-COUNTIF($F$6:INDEX($F:$F, ROW()-1), $F155)) : INDEX(AB:AB, ROW()-1)),
           AVERAGEIFS(unit_details[Effective PSF],
          unit_details[Active Listing?],TRUE,
          unit_details[Property Name], $F156,
          unit_details[Beds], $L156,
          unit_details[Baths], $M156,
          unit_details[Partial Baths], IF(ISNUMBER($N156),$N156,""),
          unit_details[Sqft],$P156
)),"")</f>
        <v/>
      </c>
      <c r="AJ156" s="824" t="str">
        <f t="shared" si="26"/>
        <v/>
      </c>
      <c r="AK156" s="531" t="str">
        <f t="shared" si="27"/>
        <v/>
      </c>
      <c r="AL156" s="714" t="str">
        <f t="shared" si="28"/>
        <v/>
      </c>
      <c r="AM156" s="531" t="str">
        <f t="shared" si="29"/>
        <v/>
      </c>
      <c r="AN156" s="716" t="str">
        <f t="shared" si="30"/>
        <v/>
      </c>
    </row>
    <row r="157" spans="6:40" x14ac:dyDescent="0.2">
      <c r="F157" s="1" t="str">
        <f t="shared" si="23"/>
        <v/>
      </c>
      <c r="G157" s="713" t="str">
        <f t="shared" si="31"/>
        <v/>
      </c>
      <c r="H157" s="17" t="str">
        <f>IFERROR(VLOOKUP($G157,Table1[[Property]:[Exposure %]],4,0),"")</f>
        <v/>
      </c>
      <c r="I157" s="3" t="str">
        <f>IFERROR(VLOOKUP($G157,Table1[[Property]:[Exposure %]],6,0),"")</f>
        <v/>
      </c>
      <c r="J157" s="3" t="str">
        <f>IFERROR(VLOOKUP($G157,Table1[[Property]:[Exposure %]],7,0),"")</f>
        <v/>
      </c>
      <c r="K157"/>
      <c r="L157"/>
      <c r="M157"/>
      <c r="N157"/>
      <c r="O157"/>
      <c r="P157"/>
      <c r="Q157"/>
      <c r="R157" s="4" t="str">
        <f>IFERROR(VLOOKUP(IF(F157="Total",F156,F157),Table1[[Property]:['# Units]],7,0)*S157,"")</f>
        <v/>
      </c>
      <c r="S157" s="27" t="str">
        <f t="shared" si="24"/>
        <v/>
      </c>
      <c r="T157" s="531" t="str">
        <f>IFERROR(
 IF($F157="Total",
   SUMPRODUCT(
   INDEX(T:T, ROW()-COUNTIF($F$6:INDEX($F:$F, ROW()-1), $F156)) : INDEX(T:T, ROW()-1),
   INDEX(W:W, ROW()-COUNTIF($F$6:INDEX($F:$F, ROW()-1), $F156)) : INDEX(W:W, ROW()-1)
   )
   /SUM(INDEX(W:W, ROW()-COUNTIF($F$6:INDEX($F:$F, ROW()-1), $F156)) : INDEX(W:W, ROW()-1)),
   AVERAGEIFS(
     INDEX((unit_details[Asking Rent],unit_details[Asking PSF]),0,1,IF($U$3="Chunk Rent",1,2)),
     unit_details[Leased Date],"&gt;="&amp;($AM$2-T$5),
     unit_details[Leased Date],"&lt;"&amp;$AM$2,
     unit_details[Beds],$L157,
     unit_details[Baths],$M157,
     unit_details[Partial Baths],IF(ISNUMBER($N157),$N157,""),
     unit_details[Sqft],$P157,
     unit_details[Property Name],$F157)
 ),"")</f>
        <v/>
      </c>
      <c r="U157" s="552" t="str">
        <f>IFERROR(
 IF($F157="Total",
   SUMPRODUCT(
   INDEX(U:U, ROW()-COUNTIF($F$6:INDEX($F:$F, ROW()-1), $F156)) : INDEX(U:U, ROW()-1),
   INDEX(W:W, ROW()-COUNTIF($F$6:INDEX($F:$F, ROW()-1), $F156)) : INDEX(W:W, ROW()-1)
   )
   /SUM(INDEX(W:W, ROW()-COUNTIF($F$6:INDEX($F:$F, ROW()-1), $F156)) : INDEX(W:W, ROW()-1)),
   AVERAGEIFS(
     INDEX((unit_details[Effective Rent],unit_details[Effective PSF]),0,1,IF($U$3="Chunk Rent",1,2)),
     unit_details[Leased Date],"&gt;="&amp;($AM$2-T$5),
     unit_details[Leased Date],"&lt;"&amp;$AM$2,
     unit_details[Beds],$L157,
     unit_details[Baths],$M157,
     unit_details[Partial Baths],IF(ISNUMBER($N157),$N157,""),
     unit_details[Sqft],$P157,
     unit_details[Property Name],$F157)
 ),"")</f>
        <v/>
      </c>
      <c r="V157" s="27" t="str">
        <f t="shared" si="32"/>
        <v/>
      </c>
      <c r="W157" s="526">
        <f>IFERROR(
  IF($F157="Total",
    SUM(INDEX(W:W, ROW()-COUNTIF($F$6:INDEX($F:$F, ROW()-1), $F156)) : INDEX(W:W, ROW()-1)),
    COUNTIFS(
      unit_details[Leased Date], "&gt;="&amp;($AM$2-T$5),
      unit_details[Leased Date], "&lt;"&amp;$AM$2,
      unit_details[Beds], $L157,
      unit_details[Baths], $M157,
      unit_details[Partial Baths], IF(ISNUMBER($N157), $N157, ""),
      unit_details[Sqft],$P157,
      unit_details[Property Name], $F157
    )
  ),
"")</f>
        <v>0</v>
      </c>
      <c r="X157" s="531" t="str">
        <f>IFERROR(
 IF($F157="Total",
   SUMPRODUCT(
   INDEX(X:X, ROW()-COUNTIF($F$6:INDEX($F:$F, ROW()-1), $F156)) : INDEX(X:X, ROW()-1),
   INDEX(AA:AA, ROW()-COUNTIF($F$6:INDEX($F:$F, ROW()-1), $F156)) : INDEX(AA:AA, ROW()-1)
   )
   /SUM(INDEX(AA:AA, ROW()-COUNTIF($F$6:INDEX($F:$F, ROW()-1), $F156)) : INDEX(AA:AA, ROW()-1)),
   AVERAGEIFS(
     INDEX((unit_details[Asking Rent],unit_details[Asking PSF]),0,1,IF($U$3="Chunk Rent",1,2)),
     unit_details[Leased Date],"&gt;="&amp;($AM$2-X$5),
     unit_details[Leased Date],"&lt;"&amp;$AM$2,
     unit_details[Beds],$L157,
     unit_details[Baths],$M157,
     unit_details[Partial Baths],IF(ISNUMBER($N157),$N157,""),
     unit_details[Sqft],$P157,
     unit_details[Property Name],$F157)
 ),"")</f>
        <v/>
      </c>
      <c r="Y157" s="552" t="str">
        <f>IFERROR(
 IF($F157="Total",
   SUMPRODUCT(
   INDEX(Y:Y, ROW()-COUNTIF($F$6:INDEX($F:$F, ROW()-1), $F156)) : INDEX(Y:Y, ROW()-1),
   INDEX(AA:AA, ROW()-COUNTIF($F$6:INDEX($F:$F, ROW()-1), $F156)) : INDEX(AA:AA, ROW()-1)
   )
   /SUM(INDEX(AA:AA, ROW()-COUNTIF($F$6:INDEX($F:$F, ROW()-1), $F156)) : INDEX(AA:AA, ROW()-1)),
   AVERAGEIFS(
     INDEX((unit_details[Effective Rent],unit_details[Effective PSF]),0,1,IF($U$3="Chunk Rent",1,2)),
     unit_details[Leased Date],"&gt;="&amp;($AM$2-X$5),
     unit_details[Leased Date],"&lt;"&amp;$AM$2,
     unit_details[Beds],$L157,
     unit_details[Baths],$M157,
     unit_details[Partial Baths],IF(ISNUMBER($N157),$N157,""),
     unit_details[Sqft],$P157,
     unit_details[Property Name],$F157)
 ),"")</f>
        <v/>
      </c>
      <c r="Z157" s="27" t="str">
        <f t="shared" si="33"/>
        <v/>
      </c>
      <c r="AA157" s="526">
        <f>IFERROR(
  IF($F157="Total",
    SUM(INDEX(AA:AA, ROW()-COUNTIF($F$6:INDEX($F:$F, ROW()-1), $F156)) : INDEX(AA:AA, ROW()-1)),
    COUNTIFS(
      unit_details[Leased Date], "&gt;="&amp;($AM$2-X$5),
      unit_details[Leased Date], "&lt;"&amp;$AM$2,
      unit_details[Beds], $L157,
      unit_details[Baths], $M157,
      unit_details[Partial Baths], IF(ISNUMBER($N157), $N157, ""),
      unit_details[Sqft],$P157,
      unit_details[Property Name], $F157
    )
  ),
"")</f>
        <v>0</v>
      </c>
      <c r="AB157" s="290">
        <f>IF($F157="Total",
SUM(INDEX(AB:AB, ROW()-COUNTIF($F$6:INDEX($F:$F, ROW()-1), $F156)) : INDEX(AB:AB, ROW()-1)),
COUNTIFS(unit_details[Active Listing?],TRUE,
          unit_details[Property Name], $F157,
          unit_details[Beds], $L157,
          unit_details[Baths], $M157,
          unit_details[Partial Baths],IF(ISNUMBER($N157),$N157,""),
          unit_details[Sqft],$P157))</f>
        <v>0</v>
      </c>
      <c r="AC157" s="27" t="str">
        <f t="shared" si="25"/>
        <v/>
      </c>
      <c r="AD157" s="293" t="str">
        <f>IFERROR(IF(AE157="","",IF($F157="Total",
SUMPRODUCT(
   INDEX(AD:AD, ROW()-COUNTIF($F$6:INDEX($F:$F, ROW()-1), $F156)) : INDEX(AD:AD, ROW()-1),
   INDEX(AB:AB, ROW()-COUNTIF($F$6:INDEX($F:$F, ROW()-1), $F156)) : INDEX(AB:AB, ROW()-1)
   )
   /SUM(INDEX(AB:AB, ROW()-COUNTIF($F$6:INDEX($F:$F, ROW()-1), $F156)) : INDEX(AB:AB, ROW()-1)),
          _xlfn.MINIFS(unit_details[Asking Rent],
          unit_details[Active Listing?],TRUE,
          unit_details[Property Name], $F157,
          unit_details[Beds], $L157,
          unit_details[Baths], $M157,
          unit_details[Partial Baths], IF(ISNUMBER($N157),$N157,""),
          unit_details[Sqft],$P157
))),"")</f>
        <v/>
      </c>
      <c r="AE157" s="5" t="str">
        <f>IFERROR(IF($F157="Total",
          SUMPRODUCT(
   INDEX(AE:AE, ROW()-COUNTIF($F$6:INDEX($F:$F, ROW()-1), $F156)) : INDEX(AE:AE, ROW()-1),
   INDEX(AB:AB, ROW()-COUNTIF($F$6:INDEX($F:$F, ROW()-1), $F156)) : INDEX(AB:AB, ROW()-1)
   )
   /SUM(INDEX(AB:AB, ROW()-COUNTIF($F$6:INDEX($F:$F, ROW()-1), $F156)) : INDEX(AB:AB, ROW()-1)),
          AVERAGEIFS(unit_details[Asking Rent],
          unit_details[Active Listing?],TRUE,
          unit_details[Property Name], $F157,
          unit_details[Beds], $L157,
          unit_details[Baths], $M157,
          unit_details[Partial Baths], IF(ISNUMBER($N157),$N157,""),
          unit_details[Sqft],$P157
)),"")</f>
        <v/>
      </c>
      <c r="AF157" s="5" t="str">
        <f>IFERROR(IF(AE157="","",IF($F157="Total",
SUMPRODUCT(
   INDEX(AF:AF, ROW()-COUNTIF($F$6:INDEX($F:$F, ROW()-1), $F156)) : INDEX(AF:AF, ROW()-1),
   INDEX(AB:AB, ROW()-COUNTIF($F$6:INDEX($F:$F, ROW()-1), $F156)) : INDEX(AB:AB, ROW()-1)
   )
   /SUM(INDEX(AB:AB, ROW()-COUNTIF($F$6:INDEX($F:$F, ROW()-1), $F156)) : INDEX(AB:AB, ROW()-1)),
           _xlfn.MAXIFS(unit_details[Asking Rent],
          unit_details[Active Listing?],TRUE,
          unit_details[Property Name], $F157,
          unit_details[Beds], $L157,
          unit_details[Baths], $M157,
          unit_details[Partial Baths], IF(ISNUMBER($N157),$N157,""),
          unit_details[Sqft],$P157
))),"")</f>
        <v/>
      </c>
      <c r="AG157" s="6" t="str">
        <f>IFERROR(IF($F157="Total",
         SUMPRODUCT(
         INDEX(AG:AG, ROW()-COUNTIF($F$6:INDEX($F:$F, ROW()-1), $F156)) : INDEX(AG:AG, ROW()-1),
         INDEX(AB:AB, ROW()-COUNTIF($F$6:INDEX($F:$F, ROW()-1), $F156)) : INDEX(AB:AB, ROW()-1)
         )
         /SUM(INDEX(AB:AB, ROW()-COUNTIF($F$6:INDEX($F:$F, ROW()-1), $F156)) : INDEX(AB:AB, ROW()-1)),
          AVERAGEIFS(unit_details[Asking PSF],
          unit_details[Active Listing?],TRUE,
          unit_details[Property Name], $F157,
          unit_details[Beds], $L157,
          unit_details[Baths], $M157,
          unit_details[Partial Baths], IF(ISNUMBER($N157),$N157,""),
          unit_details[Sqft],$P157
)),"")</f>
        <v/>
      </c>
      <c r="AH157" s="293" t="str">
        <f>IFERROR(IF($F157="Total",
         SUMPRODUCT(
         INDEX(AH:AH, ROW()-COUNTIF($F$6:INDEX($F:$F, ROW()-1), $F156)) : INDEX(AH:AH, ROW()-1),
         INDEX(AB:AB, ROW()-COUNTIF($F$6:INDEX($F:$F, ROW()-1), $F156)) : INDEX(AB:AB, ROW()-1)
         )
         /SUM(INDEX(AB:AB, ROW()-COUNTIF($F$6:INDEX($F:$F, ROW()-1), $F156)) : INDEX(AB:AB, ROW()-1)),
          AVERAGEIFS(unit_details[Effective Rent],
          unit_details[Active Listing?],TRUE,
          unit_details[Property Name], $F157,
          unit_details[Beds], $L157,
          unit_details[Baths], $M157,
          unit_details[Partial Baths], IF(ISNUMBER($N157),$N157,""),
          unit_details[Sqft],$P157
)),"")</f>
        <v/>
      </c>
      <c r="AI157" s="6" t="str">
        <f>IFERROR(IF($F157="Total",
         SUMPRODUCT(
         INDEX(AI:AI, ROW()-COUNTIF($F$6:INDEX($F:$F, ROW()-1), $F156)) : INDEX(AI:AI, ROW()-1),
         INDEX(AB:AB, ROW()-COUNTIF($F$6:INDEX($F:$F, ROW()-1), $F156)) : INDEX(AB:AB, ROW()-1)
         )
         /SUM(INDEX(AB:AB, ROW()-COUNTIF($F$6:INDEX($F:$F, ROW()-1), $F156)) : INDEX(AB:AB, ROW()-1)),
           AVERAGEIFS(unit_details[Effective PSF],
          unit_details[Active Listing?],TRUE,
          unit_details[Property Name], $F157,
          unit_details[Beds], $L157,
          unit_details[Baths], $M157,
          unit_details[Partial Baths], IF(ISNUMBER($N157),$N157,""),
          unit_details[Sqft],$P157
)),"")</f>
        <v/>
      </c>
      <c r="AJ157" s="824" t="str">
        <f t="shared" si="26"/>
        <v/>
      </c>
      <c r="AK157" s="531" t="str">
        <f t="shared" si="27"/>
        <v/>
      </c>
      <c r="AL157" s="714" t="str">
        <f t="shared" si="28"/>
        <v/>
      </c>
      <c r="AM157" s="531" t="str">
        <f t="shared" si="29"/>
        <v/>
      </c>
      <c r="AN157" s="716" t="str">
        <f t="shared" si="30"/>
        <v/>
      </c>
    </row>
    <row r="158" spans="6:40" x14ac:dyDescent="0.2">
      <c r="F158" s="1" t="str">
        <f t="shared" si="23"/>
        <v/>
      </c>
      <c r="G158" s="713" t="str">
        <f t="shared" si="31"/>
        <v/>
      </c>
      <c r="H158" s="17" t="str">
        <f>IFERROR(VLOOKUP($G158,Table1[[Property]:[Exposure %]],4,0),"")</f>
        <v/>
      </c>
      <c r="I158" s="3" t="str">
        <f>IFERROR(VLOOKUP($G158,Table1[[Property]:[Exposure %]],6,0),"")</f>
        <v/>
      </c>
      <c r="J158" s="3" t="str">
        <f>IFERROR(VLOOKUP($G158,Table1[[Property]:[Exposure %]],7,0),"")</f>
        <v/>
      </c>
      <c r="K158"/>
      <c r="L158"/>
      <c r="M158"/>
      <c r="N158"/>
      <c r="O158"/>
      <c r="P158"/>
      <c r="Q158"/>
      <c r="R158" s="4" t="str">
        <f>IFERROR(VLOOKUP(IF(F158="Total",F157,F158),Table1[[Property]:['# Units]],7,0)*S158,"")</f>
        <v/>
      </c>
      <c r="S158" s="27" t="str">
        <f t="shared" si="24"/>
        <v/>
      </c>
      <c r="T158" s="531" t="str">
        <f>IFERROR(
 IF($F158="Total",
   SUMPRODUCT(
   INDEX(T:T, ROW()-COUNTIF($F$6:INDEX($F:$F, ROW()-1), $F157)) : INDEX(T:T, ROW()-1),
   INDEX(W:W, ROW()-COUNTIF($F$6:INDEX($F:$F, ROW()-1), $F157)) : INDEX(W:W, ROW()-1)
   )
   /SUM(INDEX(W:W, ROW()-COUNTIF($F$6:INDEX($F:$F, ROW()-1), $F157)) : INDEX(W:W, ROW()-1)),
   AVERAGEIFS(
     INDEX((unit_details[Asking Rent],unit_details[Asking PSF]),0,1,IF($U$3="Chunk Rent",1,2)),
     unit_details[Leased Date],"&gt;="&amp;($AM$2-T$5),
     unit_details[Leased Date],"&lt;"&amp;$AM$2,
     unit_details[Beds],$L158,
     unit_details[Baths],$M158,
     unit_details[Partial Baths],IF(ISNUMBER($N158),$N158,""),
     unit_details[Sqft],$P158,
     unit_details[Property Name],$F158)
 ),"")</f>
        <v/>
      </c>
      <c r="U158" s="552" t="str">
        <f>IFERROR(
 IF($F158="Total",
   SUMPRODUCT(
   INDEX(U:U, ROW()-COUNTIF($F$6:INDEX($F:$F, ROW()-1), $F157)) : INDEX(U:U, ROW()-1),
   INDEX(W:W, ROW()-COUNTIF($F$6:INDEX($F:$F, ROW()-1), $F157)) : INDEX(W:W, ROW()-1)
   )
   /SUM(INDEX(W:W, ROW()-COUNTIF($F$6:INDEX($F:$F, ROW()-1), $F157)) : INDEX(W:W, ROW()-1)),
   AVERAGEIFS(
     INDEX((unit_details[Effective Rent],unit_details[Effective PSF]),0,1,IF($U$3="Chunk Rent",1,2)),
     unit_details[Leased Date],"&gt;="&amp;($AM$2-T$5),
     unit_details[Leased Date],"&lt;"&amp;$AM$2,
     unit_details[Beds],$L158,
     unit_details[Baths],$M158,
     unit_details[Partial Baths],IF(ISNUMBER($N158),$N158,""),
     unit_details[Sqft],$P158,
     unit_details[Property Name],$F158)
 ),"")</f>
        <v/>
      </c>
      <c r="V158" s="27" t="str">
        <f t="shared" si="32"/>
        <v/>
      </c>
      <c r="W158" s="526">
        <f>IFERROR(
  IF($F158="Total",
    SUM(INDEX(W:W, ROW()-COUNTIF($F$6:INDEX($F:$F, ROW()-1), $F157)) : INDEX(W:W, ROW()-1)),
    COUNTIFS(
      unit_details[Leased Date], "&gt;="&amp;($AM$2-T$5),
      unit_details[Leased Date], "&lt;"&amp;$AM$2,
      unit_details[Beds], $L158,
      unit_details[Baths], $M158,
      unit_details[Partial Baths], IF(ISNUMBER($N158), $N158, ""),
      unit_details[Sqft],$P158,
      unit_details[Property Name], $F158
    )
  ),
"")</f>
        <v>0</v>
      </c>
      <c r="X158" s="531" t="str">
        <f>IFERROR(
 IF($F158="Total",
   SUMPRODUCT(
   INDEX(X:X, ROW()-COUNTIF($F$6:INDEX($F:$F, ROW()-1), $F157)) : INDEX(X:X, ROW()-1),
   INDEX(AA:AA, ROW()-COUNTIF($F$6:INDEX($F:$F, ROW()-1), $F157)) : INDEX(AA:AA, ROW()-1)
   )
   /SUM(INDEX(AA:AA, ROW()-COUNTIF($F$6:INDEX($F:$F, ROW()-1), $F157)) : INDEX(AA:AA, ROW()-1)),
   AVERAGEIFS(
     INDEX((unit_details[Asking Rent],unit_details[Asking PSF]),0,1,IF($U$3="Chunk Rent",1,2)),
     unit_details[Leased Date],"&gt;="&amp;($AM$2-X$5),
     unit_details[Leased Date],"&lt;"&amp;$AM$2,
     unit_details[Beds],$L158,
     unit_details[Baths],$M158,
     unit_details[Partial Baths],IF(ISNUMBER($N158),$N158,""),
     unit_details[Sqft],$P158,
     unit_details[Property Name],$F158)
 ),"")</f>
        <v/>
      </c>
      <c r="Y158" s="552" t="str">
        <f>IFERROR(
 IF($F158="Total",
   SUMPRODUCT(
   INDEX(Y:Y, ROW()-COUNTIF($F$6:INDEX($F:$F, ROW()-1), $F157)) : INDEX(Y:Y, ROW()-1),
   INDEX(AA:AA, ROW()-COUNTIF($F$6:INDEX($F:$F, ROW()-1), $F157)) : INDEX(AA:AA, ROW()-1)
   )
   /SUM(INDEX(AA:AA, ROW()-COUNTIF($F$6:INDEX($F:$F, ROW()-1), $F157)) : INDEX(AA:AA, ROW()-1)),
   AVERAGEIFS(
     INDEX((unit_details[Effective Rent],unit_details[Effective PSF]),0,1,IF($U$3="Chunk Rent",1,2)),
     unit_details[Leased Date],"&gt;="&amp;($AM$2-X$5),
     unit_details[Leased Date],"&lt;"&amp;$AM$2,
     unit_details[Beds],$L158,
     unit_details[Baths],$M158,
     unit_details[Partial Baths],IF(ISNUMBER($N158),$N158,""),
     unit_details[Sqft],$P158,
     unit_details[Property Name],$F158)
 ),"")</f>
        <v/>
      </c>
      <c r="Z158" s="27" t="str">
        <f t="shared" si="33"/>
        <v/>
      </c>
      <c r="AA158" s="526">
        <f>IFERROR(
  IF($F158="Total",
    SUM(INDEX(AA:AA, ROW()-COUNTIF($F$6:INDEX($F:$F, ROW()-1), $F157)) : INDEX(AA:AA, ROW()-1)),
    COUNTIFS(
      unit_details[Leased Date], "&gt;="&amp;($AM$2-X$5),
      unit_details[Leased Date], "&lt;"&amp;$AM$2,
      unit_details[Beds], $L158,
      unit_details[Baths], $M158,
      unit_details[Partial Baths], IF(ISNUMBER($N158), $N158, ""),
      unit_details[Sqft],$P158,
      unit_details[Property Name], $F158
    )
  ),
"")</f>
        <v>0</v>
      </c>
      <c r="AB158" s="290">
        <f>IF($F158="Total",
SUM(INDEX(AB:AB, ROW()-COUNTIF($F$6:INDEX($F:$F, ROW()-1), $F157)) : INDEX(AB:AB, ROW()-1)),
COUNTIFS(unit_details[Active Listing?],TRUE,
          unit_details[Property Name], $F158,
          unit_details[Beds], $L158,
          unit_details[Baths], $M158,
          unit_details[Partial Baths],IF(ISNUMBER($N158),$N158,""),
          unit_details[Sqft],$P158))</f>
        <v>0</v>
      </c>
      <c r="AC158" s="27" t="str">
        <f t="shared" si="25"/>
        <v/>
      </c>
      <c r="AD158" s="293" t="str">
        <f>IFERROR(IF(AE158="","",IF($F158="Total",
SUMPRODUCT(
   INDEX(AD:AD, ROW()-COUNTIF($F$6:INDEX($F:$F, ROW()-1), $F157)) : INDEX(AD:AD, ROW()-1),
   INDEX(AB:AB, ROW()-COUNTIF($F$6:INDEX($F:$F, ROW()-1), $F157)) : INDEX(AB:AB, ROW()-1)
   )
   /SUM(INDEX(AB:AB, ROW()-COUNTIF($F$6:INDEX($F:$F, ROW()-1), $F157)) : INDEX(AB:AB, ROW()-1)),
          _xlfn.MINIFS(unit_details[Asking Rent],
          unit_details[Active Listing?],TRUE,
          unit_details[Property Name], $F158,
          unit_details[Beds], $L158,
          unit_details[Baths], $M158,
          unit_details[Partial Baths], IF(ISNUMBER($N158),$N158,""),
          unit_details[Sqft],$P158
))),"")</f>
        <v/>
      </c>
      <c r="AE158" s="5" t="str">
        <f>IFERROR(IF($F158="Total",
          SUMPRODUCT(
   INDEX(AE:AE, ROW()-COUNTIF($F$6:INDEX($F:$F, ROW()-1), $F157)) : INDEX(AE:AE, ROW()-1),
   INDEX(AB:AB, ROW()-COUNTIF($F$6:INDEX($F:$F, ROW()-1), $F157)) : INDEX(AB:AB, ROW()-1)
   )
   /SUM(INDEX(AB:AB, ROW()-COUNTIF($F$6:INDEX($F:$F, ROW()-1), $F157)) : INDEX(AB:AB, ROW()-1)),
          AVERAGEIFS(unit_details[Asking Rent],
          unit_details[Active Listing?],TRUE,
          unit_details[Property Name], $F158,
          unit_details[Beds], $L158,
          unit_details[Baths], $M158,
          unit_details[Partial Baths], IF(ISNUMBER($N158),$N158,""),
          unit_details[Sqft],$P158
)),"")</f>
        <v/>
      </c>
      <c r="AF158" s="5" t="str">
        <f>IFERROR(IF(AE158="","",IF($F158="Total",
SUMPRODUCT(
   INDEX(AF:AF, ROW()-COUNTIF($F$6:INDEX($F:$F, ROW()-1), $F157)) : INDEX(AF:AF, ROW()-1),
   INDEX(AB:AB, ROW()-COUNTIF($F$6:INDEX($F:$F, ROW()-1), $F157)) : INDEX(AB:AB, ROW()-1)
   )
   /SUM(INDEX(AB:AB, ROW()-COUNTIF($F$6:INDEX($F:$F, ROW()-1), $F157)) : INDEX(AB:AB, ROW()-1)),
           _xlfn.MAXIFS(unit_details[Asking Rent],
          unit_details[Active Listing?],TRUE,
          unit_details[Property Name], $F158,
          unit_details[Beds], $L158,
          unit_details[Baths], $M158,
          unit_details[Partial Baths], IF(ISNUMBER($N158),$N158,""),
          unit_details[Sqft],$P158
))),"")</f>
        <v/>
      </c>
      <c r="AG158" s="6" t="str">
        <f>IFERROR(IF($F158="Total",
         SUMPRODUCT(
         INDEX(AG:AG, ROW()-COUNTIF($F$6:INDEX($F:$F, ROW()-1), $F157)) : INDEX(AG:AG, ROW()-1),
         INDEX(AB:AB, ROW()-COUNTIF($F$6:INDEX($F:$F, ROW()-1), $F157)) : INDEX(AB:AB, ROW()-1)
         )
         /SUM(INDEX(AB:AB, ROW()-COUNTIF($F$6:INDEX($F:$F, ROW()-1), $F157)) : INDEX(AB:AB, ROW()-1)),
          AVERAGEIFS(unit_details[Asking PSF],
          unit_details[Active Listing?],TRUE,
          unit_details[Property Name], $F158,
          unit_details[Beds], $L158,
          unit_details[Baths], $M158,
          unit_details[Partial Baths], IF(ISNUMBER($N158),$N158,""),
          unit_details[Sqft],$P158
)),"")</f>
        <v/>
      </c>
      <c r="AH158" s="293" t="str">
        <f>IFERROR(IF($F158="Total",
         SUMPRODUCT(
         INDEX(AH:AH, ROW()-COUNTIF($F$6:INDEX($F:$F, ROW()-1), $F157)) : INDEX(AH:AH, ROW()-1),
         INDEX(AB:AB, ROW()-COUNTIF($F$6:INDEX($F:$F, ROW()-1), $F157)) : INDEX(AB:AB, ROW()-1)
         )
         /SUM(INDEX(AB:AB, ROW()-COUNTIF($F$6:INDEX($F:$F, ROW()-1), $F157)) : INDEX(AB:AB, ROW()-1)),
          AVERAGEIFS(unit_details[Effective Rent],
          unit_details[Active Listing?],TRUE,
          unit_details[Property Name], $F158,
          unit_details[Beds], $L158,
          unit_details[Baths], $M158,
          unit_details[Partial Baths], IF(ISNUMBER($N158),$N158,""),
          unit_details[Sqft],$P158
)),"")</f>
        <v/>
      </c>
      <c r="AI158" s="6" t="str">
        <f>IFERROR(IF($F158="Total",
         SUMPRODUCT(
         INDEX(AI:AI, ROW()-COUNTIF($F$6:INDEX($F:$F, ROW()-1), $F157)) : INDEX(AI:AI, ROW()-1),
         INDEX(AB:AB, ROW()-COUNTIF($F$6:INDEX($F:$F, ROW()-1), $F157)) : INDEX(AB:AB, ROW()-1)
         )
         /SUM(INDEX(AB:AB, ROW()-COUNTIF($F$6:INDEX($F:$F, ROW()-1), $F157)) : INDEX(AB:AB, ROW()-1)),
           AVERAGEIFS(unit_details[Effective PSF],
          unit_details[Active Listing?],TRUE,
          unit_details[Property Name], $F158,
          unit_details[Beds], $L158,
          unit_details[Baths], $M158,
          unit_details[Partial Baths], IF(ISNUMBER($N158),$N158,""),
          unit_details[Sqft],$P158
)),"")</f>
        <v/>
      </c>
      <c r="AJ158" s="824" t="str">
        <f t="shared" si="26"/>
        <v/>
      </c>
      <c r="AK158" s="531" t="str">
        <f t="shared" si="27"/>
        <v/>
      </c>
      <c r="AL158" s="714" t="str">
        <f t="shared" si="28"/>
        <v/>
      </c>
      <c r="AM158" s="531" t="str">
        <f t="shared" si="29"/>
        <v/>
      </c>
      <c r="AN158" s="716" t="str">
        <f t="shared" si="30"/>
        <v/>
      </c>
    </row>
    <row r="159" spans="6:40" x14ac:dyDescent="0.2">
      <c r="F159" s="1" t="str">
        <f t="shared" si="23"/>
        <v/>
      </c>
      <c r="G159" s="713" t="str">
        <f t="shared" si="31"/>
        <v/>
      </c>
      <c r="H159" s="17" t="str">
        <f>IFERROR(VLOOKUP($G159,Table1[[Property]:[Exposure %]],4,0),"")</f>
        <v/>
      </c>
      <c r="I159" s="3" t="str">
        <f>IFERROR(VLOOKUP($G159,Table1[[Property]:[Exposure %]],6,0),"")</f>
        <v/>
      </c>
      <c r="J159" s="3" t="str">
        <f>IFERROR(VLOOKUP($G159,Table1[[Property]:[Exposure %]],7,0),"")</f>
        <v/>
      </c>
      <c r="K159"/>
      <c r="L159"/>
      <c r="M159"/>
      <c r="N159"/>
      <c r="O159"/>
      <c r="P159"/>
      <c r="Q159"/>
      <c r="R159" s="4" t="str">
        <f>IFERROR(VLOOKUP(IF(F159="Total",F158,F159),Table1[[Property]:['# Units]],7,0)*S159,"")</f>
        <v/>
      </c>
      <c r="S159" s="27" t="str">
        <f t="shared" si="24"/>
        <v/>
      </c>
      <c r="T159" s="531" t="str">
        <f>IFERROR(
 IF($F159="Total",
   SUMPRODUCT(
   INDEX(T:T, ROW()-COUNTIF($F$6:INDEX($F:$F, ROW()-1), $F158)) : INDEX(T:T, ROW()-1),
   INDEX(W:W, ROW()-COUNTIF($F$6:INDEX($F:$F, ROW()-1), $F158)) : INDEX(W:W, ROW()-1)
   )
   /SUM(INDEX(W:W, ROW()-COUNTIF($F$6:INDEX($F:$F, ROW()-1), $F158)) : INDEX(W:W, ROW()-1)),
   AVERAGEIFS(
     INDEX((unit_details[Asking Rent],unit_details[Asking PSF]),0,1,IF($U$3="Chunk Rent",1,2)),
     unit_details[Leased Date],"&gt;="&amp;($AM$2-T$5),
     unit_details[Leased Date],"&lt;"&amp;$AM$2,
     unit_details[Beds],$L159,
     unit_details[Baths],$M159,
     unit_details[Partial Baths],IF(ISNUMBER($N159),$N159,""),
     unit_details[Sqft],$P159,
     unit_details[Property Name],$F159)
 ),"")</f>
        <v/>
      </c>
      <c r="U159" s="552" t="str">
        <f>IFERROR(
 IF($F159="Total",
   SUMPRODUCT(
   INDEX(U:U, ROW()-COUNTIF($F$6:INDEX($F:$F, ROW()-1), $F158)) : INDEX(U:U, ROW()-1),
   INDEX(W:W, ROW()-COUNTIF($F$6:INDEX($F:$F, ROW()-1), $F158)) : INDEX(W:W, ROW()-1)
   )
   /SUM(INDEX(W:W, ROW()-COUNTIF($F$6:INDEX($F:$F, ROW()-1), $F158)) : INDEX(W:W, ROW()-1)),
   AVERAGEIFS(
     INDEX((unit_details[Effective Rent],unit_details[Effective PSF]),0,1,IF($U$3="Chunk Rent",1,2)),
     unit_details[Leased Date],"&gt;="&amp;($AM$2-T$5),
     unit_details[Leased Date],"&lt;"&amp;$AM$2,
     unit_details[Beds],$L159,
     unit_details[Baths],$M159,
     unit_details[Partial Baths],IF(ISNUMBER($N159),$N159,""),
     unit_details[Sqft],$P159,
     unit_details[Property Name],$F159)
 ),"")</f>
        <v/>
      </c>
      <c r="V159" s="27" t="str">
        <f t="shared" si="32"/>
        <v/>
      </c>
      <c r="W159" s="526">
        <f>IFERROR(
  IF($F159="Total",
    SUM(INDEX(W:W, ROW()-COUNTIF($F$6:INDEX($F:$F, ROW()-1), $F158)) : INDEX(W:W, ROW()-1)),
    COUNTIFS(
      unit_details[Leased Date], "&gt;="&amp;($AM$2-T$5),
      unit_details[Leased Date], "&lt;"&amp;$AM$2,
      unit_details[Beds], $L159,
      unit_details[Baths], $M159,
      unit_details[Partial Baths], IF(ISNUMBER($N159), $N159, ""),
      unit_details[Sqft],$P159,
      unit_details[Property Name], $F159
    )
  ),
"")</f>
        <v>0</v>
      </c>
      <c r="X159" s="531" t="str">
        <f>IFERROR(
 IF($F159="Total",
   SUMPRODUCT(
   INDEX(X:X, ROW()-COUNTIF($F$6:INDEX($F:$F, ROW()-1), $F158)) : INDEX(X:X, ROW()-1),
   INDEX(AA:AA, ROW()-COUNTIF($F$6:INDEX($F:$F, ROW()-1), $F158)) : INDEX(AA:AA, ROW()-1)
   )
   /SUM(INDEX(AA:AA, ROW()-COUNTIF($F$6:INDEX($F:$F, ROW()-1), $F158)) : INDEX(AA:AA, ROW()-1)),
   AVERAGEIFS(
     INDEX((unit_details[Asking Rent],unit_details[Asking PSF]),0,1,IF($U$3="Chunk Rent",1,2)),
     unit_details[Leased Date],"&gt;="&amp;($AM$2-X$5),
     unit_details[Leased Date],"&lt;"&amp;$AM$2,
     unit_details[Beds],$L159,
     unit_details[Baths],$M159,
     unit_details[Partial Baths],IF(ISNUMBER($N159),$N159,""),
     unit_details[Sqft],$P159,
     unit_details[Property Name],$F159)
 ),"")</f>
        <v/>
      </c>
      <c r="Y159" s="552" t="str">
        <f>IFERROR(
 IF($F159="Total",
   SUMPRODUCT(
   INDEX(Y:Y, ROW()-COUNTIF($F$6:INDEX($F:$F, ROW()-1), $F158)) : INDEX(Y:Y, ROW()-1),
   INDEX(AA:AA, ROW()-COUNTIF($F$6:INDEX($F:$F, ROW()-1), $F158)) : INDEX(AA:AA, ROW()-1)
   )
   /SUM(INDEX(AA:AA, ROW()-COUNTIF($F$6:INDEX($F:$F, ROW()-1), $F158)) : INDEX(AA:AA, ROW()-1)),
   AVERAGEIFS(
     INDEX((unit_details[Effective Rent],unit_details[Effective PSF]),0,1,IF($U$3="Chunk Rent",1,2)),
     unit_details[Leased Date],"&gt;="&amp;($AM$2-X$5),
     unit_details[Leased Date],"&lt;"&amp;$AM$2,
     unit_details[Beds],$L159,
     unit_details[Baths],$M159,
     unit_details[Partial Baths],IF(ISNUMBER($N159),$N159,""),
     unit_details[Sqft],$P159,
     unit_details[Property Name],$F159)
 ),"")</f>
        <v/>
      </c>
      <c r="Z159" s="27" t="str">
        <f t="shared" si="33"/>
        <v/>
      </c>
      <c r="AA159" s="526">
        <f>IFERROR(
  IF($F159="Total",
    SUM(INDEX(AA:AA, ROW()-COUNTIF($F$6:INDEX($F:$F, ROW()-1), $F158)) : INDEX(AA:AA, ROW()-1)),
    COUNTIFS(
      unit_details[Leased Date], "&gt;="&amp;($AM$2-X$5),
      unit_details[Leased Date], "&lt;"&amp;$AM$2,
      unit_details[Beds], $L159,
      unit_details[Baths], $M159,
      unit_details[Partial Baths], IF(ISNUMBER($N159), $N159, ""),
      unit_details[Sqft],$P159,
      unit_details[Property Name], $F159
    )
  ),
"")</f>
        <v>0</v>
      </c>
      <c r="AB159" s="290">
        <f>IF($F159="Total",
SUM(INDEX(AB:AB, ROW()-COUNTIF($F$6:INDEX($F:$F, ROW()-1), $F158)) : INDEX(AB:AB, ROW()-1)),
COUNTIFS(unit_details[Active Listing?],TRUE,
          unit_details[Property Name], $F159,
          unit_details[Beds], $L159,
          unit_details[Baths], $M159,
          unit_details[Partial Baths],IF(ISNUMBER($N159),$N159,""),
          unit_details[Sqft],$P159))</f>
        <v>0</v>
      </c>
      <c r="AC159" s="27" t="str">
        <f t="shared" si="25"/>
        <v/>
      </c>
      <c r="AD159" s="293" t="str">
        <f>IFERROR(IF(AE159="","",IF($F159="Total",
SUMPRODUCT(
   INDEX(AD:AD, ROW()-COUNTIF($F$6:INDEX($F:$F, ROW()-1), $F158)) : INDEX(AD:AD, ROW()-1),
   INDEX(AB:AB, ROW()-COUNTIF($F$6:INDEX($F:$F, ROW()-1), $F158)) : INDEX(AB:AB, ROW()-1)
   )
   /SUM(INDEX(AB:AB, ROW()-COUNTIF($F$6:INDEX($F:$F, ROW()-1), $F158)) : INDEX(AB:AB, ROW()-1)),
          _xlfn.MINIFS(unit_details[Asking Rent],
          unit_details[Active Listing?],TRUE,
          unit_details[Property Name], $F159,
          unit_details[Beds], $L159,
          unit_details[Baths], $M159,
          unit_details[Partial Baths], IF(ISNUMBER($N159),$N159,""),
          unit_details[Sqft],$P159
))),"")</f>
        <v/>
      </c>
      <c r="AE159" s="5" t="str">
        <f>IFERROR(IF($F159="Total",
          SUMPRODUCT(
   INDEX(AE:AE, ROW()-COUNTIF($F$6:INDEX($F:$F, ROW()-1), $F158)) : INDEX(AE:AE, ROW()-1),
   INDEX(AB:AB, ROW()-COUNTIF($F$6:INDEX($F:$F, ROW()-1), $F158)) : INDEX(AB:AB, ROW()-1)
   )
   /SUM(INDEX(AB:AB, ROW()-COUNTIF($F$6:INDEX($F:$F, ROW()-1), $F158)) : INDEX(AB:AB, ROW()-1)),
          AVERAGEIFS(unit_details[Asking Rent],
          unit_details[Active Listing?],TRUE,
          unit_details[Property Name], $F159,
          unit_details[Beds], $L159,
          unit_details[Baths], $M159,
          unit_details[Partial Baths], IF(ISNUMBER($N159),$N159,""),
          unit_details[Sqft],$P159
)),"")</f>
        <v/>
      </c>
      <c r="AF159" s="5" t="str">
        <f>IFERROR(IF(AE159="","",IF($F159="Total",
SUMPRODUCT(
   INDEX(AF:AF, ROW()-COUNTIF($F$6:INDEX($F:$F, ROW()-1), $F158)) : INDEX(AF:AF, ROW()-1),
   INDEX(AB:AB, ROW()-COUNTIF($F$6:INDEX($F:$F, ROW()-1), $F158)) : INDEX(AB:AB, ROW()-1)
   )
   /SUM(INDEX(AB:AB, ROW()-COUNTIF($F$6:INDEX($F:$F, ROW()-1), $F158)) : INDEX(AB:AB, ROW()-1)),
           _xlfn.MAXIFS(unit_details[Asking Rent],
          unit_details[Active Listing?],TRUE,
          unit_details[Property Name], $F159,
          unit_details[Beds], $L159,
          unit_details[Baths], $M159,
          unit_details[Partial Baths], IF(ISNUMBER($N159),$N159,""),
          unit_details[Sqft],$P159
))),"")</f>
        <v/>
      </c>
      <c r="AG159" s="6" t="str">
        <f>IFERROR(IF($F159="Total",
         SUMPRODUCT(
         INDEX(AG:AG, ROW()-COUNTIF($F$6:INDEX($F:$F, ROW()-1), $F158)) : INDEX(AG:AG, ROW()-1),
         INDEX(AB:AB, ROW()-COUNTIF($F$6:INDEX($F:$F, ROW()-1), $F158)) : INDEX(AB:AB, ROW()-1)
         )
         /SUM(INDEX(AB:AB, ROW()-COUNTIF($F$6:INDEX($F:$F, ROW()-1), $F158)) : INDEX(AB:AB, ROW()-1)),
          AVERAGEIFS(unit_details[Asking PSF],
          unit_details[Active Listing?],TRUE,
          unit_details[Property Name], $F159,
          unit_details[Beds], $L159,
          unit_details[Baths], $M159,
          unit_details[Partial Baths], IF(ISNUMBER($N159),$N159,""),
          unit_details[Sqft],$P159
)),"")</f>
        <v/>
      </c>
      <c r="AH159" s="293" t="str">
        <f>IFERROR(IF($F159="Total",
         SUMPRODUCT(
         INDEX(AH:AH, ROW()-COUNTIF($F$6:INDEX($F:$F, ROW()-1), $F158)) : INDEX(AH:AH, ROW()-1),
         INDEX(AB:AB, ROW()-COUNTIF($F$6:INDEX($F:$F, ROW()-1), $F158)) : INDEX(AB:AB, ROW()-1)
         )
         /SUM(INDEX(AB:AB, ROW()-COUNTIF($F$6:INDEX($F:$F, ROW()-1), $F158)) : INDEX(AB:AB, ROW()-1)),
          AVERAGEIFS(unit_details[Effective Rent],
          unit_details[Active Listing?],TRUE,
          unit_details[Property Name], $F159,
          unit_details[Beds], $L159,
          unit_details[Baths], $M159,
          unit_details[Partial Baths], IF(ISNUMBER($N159),$N159,""),
          unit_details[Sqft],$P159
)),"")</f>
        <v/>
      </c>
      <c r="AI159" s="6" t="str">
        <f>IFERROR(IF($F159="Total",
         SUMPRODUCT(
         INDEX(AI:AI, ROW()-COUNTIF($F$6:INDEX($F:$F, ROW()-1), $F158)) : INDEX(AI:AI, ROW()-1),
         INDEX(AB:AB, ROW()-COUNTIF($F$6:INDEX($F:$F, ROW()-1), $F158)) : INDEX(AB:AB, ROW()-1)
         )
         /SUM(INDEX(AB:AB, ROW()-COUNTIF($F$6:INDEX($F:$F, ROW()-1), $F158)) : INDEX(AB:AB, ROW()-1)),
           AVERAGEIFS(unit_details[Effective PSF],
          unit_details[Active Listing?],TRUE,
          unit_details[Property Name], $F159,
          unit_details[Beds], $L159,
          unit_details[Baths], $M159,
          unit_details[Partial Baths], IF(ISNUMBER($N159),$N159,""),
          unit_details[Sqft],$P159
)),"")</f>
        <v/>
      </c>
      <c r="AJ159" s="824" t="str">
        <f t="shared" si="26"/>
        <v/>
      </c>
      <c r="AK159" s="531" t="str">
        <f t="shared" si="27"/>
        <v/>
      </c>
      <c r="AL159" s="714" t="str">
        <f t="shared" si="28"/>
        <v/>
      </c>
      <c r="AM159" s="531" t="str">
        <f t="shared" si="29"/>
        <v/>
      </c>
      <c r="AN159" s="716" t="str">
        <f t="shared" si="30"/>
        <v/>
      </c>
    </row>
    <row r="160" spans="6:40" x14ac:dyDescent="0.2">
      <c r="F160" s="1" t="str">
        <f t="shared" si="23"/>
        <v/>
      </c>
      <c r="G160" s="713" t="str">
        <f t="shared" si="31"/>
        <v/>
      </c>
      <c r="H160" s="17" t="str">
        <f>IFERROR(VLOOKUP($G160,Table1[[Property]:[Exposure %]],4,0),"")</f>
        <v/>
      </c>
      <c r="I160" s="3" t="str">
        <f>IFERROR(VLOOKUP($G160,Table1[[Property]:[Exposure %]],6,0),"")</f>
        <v/>
      </c>
      <c r="J160" s="3" t="str">
        <f>IFERROR(VLOOKUP($G160,Table1[[Property]:[Exposure %]],7,0),"")</f>
        <v/>
      </c>
      <c r="K160"/>
      <c r="L160"/>
      <c r="M160"/>
      <c r="N160"/>
      <c r="O160"/>
      <c r="P160"/>
      <c r="Q160"/>
      <c r="R160" s="4" t="str">
        <f>IFERROR(VLOOKUP(IF(F160="Total",F159,F160),Table1[[Property]:['# Units]],7,0)*S160,"")</f>
        <v/>
      </c>
      <c r="S160" s="27" t="str">
        <f t="shared" si="24"/>
        <v/>
      </c>
      <c r="T160" s="531" t="str">
        <f>IFERROR(
 IF($F160="Total",
   SUMPRODUCT(
   INDEX(T:T, ROW()-COUNTIF($F$6:INDEX($F:$F, ROW()-1), $F159)) : INDEX(T:T, ROW()-1),
   INDEX(W:W, ROW()-COUNTIF($F$6:INDEX($F:$F, ROW()-1), $F159)) : INDEX(W:W, ROW()-1)
   )
   /SUM(INDEX(W:W, ROW()-COUNTIF($F$6:INDEX($F:$F, ROW()-1), $F159)) : INDEX(W:W, ROW()-1)),
   AVERAGEIFS(
     INDEX((unit_details[Asking Rent],unit_details[Asking PSF]),0,1,IF($U$3="Chunk Rent",1,2)),
     unit_details[Leased Date],"&gt;="&amp;($AM$2-T$5),
     unit_details[Leased Date],"&lt;"&amp;$AM$2,
     unit_details[Beds],$L160,
     unit_details[Baths],$M160,
     unit_details[Partial Baths],IF(ISNUMBER($N160),$N160,""),
     unit_details[Sqft],$P160,
     unit_details[Property Name],$F160)
 ),"")</f>
        <v/>
      </c>
      <c r="U160" s="552" t="str">
        <f>IFERROR(
 IF($F160="Total",
   SUMPRODUCT(
   INDEX(U:U, ROW()-COUNTIF($F$6:INDEX($F:$F, ROW()-1), $F159)) : INDEX(U:U, ROW()-1),
   INDEX(W:W, ROW()-COUNTIF($F$6:INDEX($F:$F, ROW()-1), $F159)) : INDEX(W:W, ROW()-1)
   )
   /SUM(INDEX(W:W, ROW()-COUNTIF($F$6:INDEX($F:$F, ROW()-1), $F159)) : INDEX(W:W, ROW()-1)),
   AVERAGEIFS(
     INDEX((unit_details[Effective Rent],unit_details[Effective PSF]),0,1,IF($U$3="Chunk Rent",1,2)),
     unit_details[Leased Date],"&gt;="&amp;($AM$2-T$5),
     unit_details[Leased Date],"&lt;"&amp;$AM$2,
     unit_details[Beds],$L160,
     unit_details[Baths],$M160,
     unit_details[Partial Baths],IF(ISNUMBER($N160),$N160,""),
     unit_details[Sqft],$P160,
     unit_details[Property Name],$F160)
 ),"")</f>
        <v/>
      </c>
      <c r="V160" s="27" t="str">
        <f t="shared" si="32"/>
        <v/>
      </c>
      <c r="W160" s="526">
        <f>IFERROR(
  IF($F160="Total",
    SUM(INDEX(W:W, ROW()-COUNTIF($F$6:INDEX($F:$F, ROW()-1), $F159)) : INDEX(W:W, ROW()-1)),
    COUNTIFS(
      unit_details[Leased Date], "&gt;="&amp;($AM$2-T$5),
      unit_details[Leased Date], "&lt;"&amp;$AM$2,
      unit_details[Beds], $L160,
      unit_details[Baths], $M160,
      unit_details[Partial Baths], IF(ISNUMBER($N160), $N160, ""),
      unit_details[Sqft],$P160,
      unit_details[Property Name], $F160
    )
  ),
"")</f>
        <v>0</v>
      </c>
      <c r="X160" s="531" t="str">
        <f>IFERROR(
 IF($F160="Total",
   SUMPRODUCT(
   INDEX(X:X, ROW()-COUNTIF($F$6:INDEX($F:$F, ROW()-1), $F159)) : INDEX(X:X, ROW()-1),
   INDEX(AA:AA, ROW()-COUNTIF($F$6:INDEX($F:$F, ROW()-1), $F159)) : INDEX(AA:AA, ROW()-1)
   )
   /SUM(INDEX(AA:AA, ROW()-COUNTIF($F$6:INDEX($F:$F, ROW()-1), $F159)) : INDEX(AA:AA, ROW()-1)),
   AVERAGEIFS(
     INDEX((unit_details[Asking Rent],unit_details[Asking PSF]),0,1,IF($U$3="Chunk Rent",1,2)),
     unit_details[Leased Date],"&gt;="&amp;($AM$2-X$5),
     unit_details[Leased Date],"&lt;"&amp;$AM$2,
     unit_details[Beds],$L160,
     unit_details[Baths],$M160,
     unit_details[Partial Baths],IF(ISNUMBER($N160),$N160,""),
     unit_details[Sqft],$P160,
     unit_details[Property Name],$F160)
 ),"")</f>
        <v/>
      </c>
      <c r="Y160" s="552" t="str">
        <f>IFERROR(
 IF($F160="Total",
   SUMPRODUCT(
   INDEX(Y:Y, ROW()-COUNTIF($F$6:INDEX($F:$F, ROW()-1), $F159)) : INDEX(Y:Y, ROW()-1),
   INDEX(AA:AA, ROW()-COUNTIF($F$6:INDEX($F:$F, ROW()-1), $F159)) : INDEX(AA:AA, ROW()-1)
   )
   /SUM(INDEX(AA:AA, ROW()-COUNTIF($F$6:INDEX($F:$F, ROW()-1), $F159)) : INDEX(AA:AA, ROW()-1)),
   AVERAGEIFS(
     INDEX((unit_details[Effective Rent],unit_details[Effective PSF]),0,1,IF($U$3="Chunk Rent",1,2)),
     unit_details[Leased Date],"&gt;="&amp;($AM$2-X$5),
     unit_details[Leased Date],"&lt;"&amp;$AM$2,
     unit_details[Beds],$L160,
     unit_details[Baths],$M160,
     unit_details[Partial Baths],IF(ISNUMBER($N160),$N160,""),
     unit_details[Sqft],$P160,
     unit_details[Property Name],$F160)
 ),"")</f>
        <v/>
      </c>
      <c r="Z160" s="27" t="str">
        <f t="shared" si="33"/>
        <v/>
      </c>
      <c r="AA160" s="526">
        <f>IFERROR(
  IF($F160="Total",
    SUM(INDEX(AA:AA, ROW()-COUNTIF($F$6:INDEX($F:$F, ROW()-1), $F159)) : INDEX(AA:AA, ROW()-1)),
    COUNTIFS(
      unit_details[Leased Date], "&gt;="&amp;($AM$2-X$5),
      unit_details[Leased Date], "&lt;"&amp;$AM$2,
      unit_details[Beds], $L160,
      unit_details[Baths], $M160,
      unit_details[Partial Baths], IF(ISNUMBER($N160), $N160, ""),
      unit_details[Sqft],$P160,
      unit_details[Property Name], $F160
    )
  ),
"")</f>
        <v>0</v>
      </c>
      <c r="AB160" s="290">
        <f>IF($F160="Total",
SUM(INDEX(AB:AB, ROW()-COUNTIF($F$6:INDEX($F:$F, ROW()-1), $F159)) : INDEX(AB:AB, ROW()-1)),
COUNTIFS(unit_details[Active Listing?],TRUE,
          unit_details[Property Name], $F160,
          unit_details[Beds], $L160,
          unit_details[Baths], $M160,
          unit_details[Partial Baths],IF(ISNUMBER($N160),$N160,""),
          unit_details[Sqft],$P160))</f>
        <v>0</v>
      </c>
      <c r="AC160" s="27" t="str">
        <f t="shared" si="25"/>
        <v/>
      </c>
      <c r="AD160" s="293" t="str">
        <f>IFERROR(IF(AE160="","",IF($F160="Total",
SUMPRODUCT(
   INDEX(AD:AD, ROW()-COUNTIF($F$6:INDEX($F:$F, ROW()-1), $F159)) : INDEX(AD:AD, ROW()-1),
   INDEX(AB:AB, ROW()-COUNTIF($F$6:INDEX($F:$F, ROW()-1), $F159)) : INDEX(AB:AB, ROW()-1)
   )
   /SUM(INDEX(AB:AB, ROW()-COUNTIF($F$6:INDEX($F:$F, ROW()-1), $F159)) : INDEX(AB:AB, ROW()-1)),
          _xlfn.MINIFS(unit_details[Asking Rent],
          unit_details[Active Listing?],TRUE,
          unit_details[Property Name], $F160,
          unit_details[Beds], $L160,
          unit_details[Baths], $M160,
          unit_details[Partial Baths], IF(ISNUMBER($N160),$N160,""),
          unit_details[Sqft],$P160
))),"")</f>
        <v/>
      </c>
      <c r="AE160" s="5" t="str">
        <f>IFERROR(IF($F160="Total",
          SUMPRODUCT(
   INDEX(AE:AE, ROW()-COUNTIF($F$6:INDEX($F:$F, ROW()-1), $F159)) : INDEX(AE:AE, ROW()-1),
   INDEX(AB:AB, ROW()-COUNTIF($F$6:INDEX($F:$F, ROW()-1), $F159)) : INDEX(AB:AB, ROW()-1)
   )
   /SUM(INDEX(AB:AB, ROW()-COUNTIF($F$6:INDEX($F:$F, ROW()-1), $F159)) : INDEX(AB:AB, ROW()-1)),
          AVERAGEIFS(unit_details[Asking Rent],
          unit_details[Active Listing?],TRUE,
          unit_details[Property Name], $F160,
          unit_details[Beds], $L160,
          unit_details[Baths], $M160,
          unit_details[Partial Baths], IF(ISNUMBER($N160),$N160,""),
          unit_details[Sqft],$P160
)),"")</f>
        <v/>
      </c>
      <c r="AF160" s="5" t="str">
        <f>IFERROR(IF(AE160="","",IF($F160="Total",
SUMPRODUCT(
   INDEX(AF:AF, ROW()-COUNTIF($F$6:INDEX($F:$F, ROW()-1), $F159)) : INDEX(AF:AF, ROW()-1),
   INDEX(AB:AB, ROW()-COUNTIF($F$6:INDEX($F:$F, ROW()-1), $F159)) : INDEX(AB:AB, ROW()-1)
   )
   /SUM(INDEX(AB:AB, ROW()-COUNTIF($F$6:INDEX($F:$F, ROW()-1), $F159)) : INDEX(AB:AB, ROW()-1)),
           _xlfn.MAXIFS(unit_details[Asking Rent],
          unit_details[Active Listing?],TRUE,
          unit_details[Property Name], $F160,
          unit_details[Beds], $L160,
          unit_details[Baths], $M160,
          unit_details[Partial Baths], IF(ISNUMBER($N160),$N160,""),
          unit_details[Sqft],$P160
))),"")</f>
        <v/>
      </c>
      <c r="AG160" s="6" t="str">
        <f>IFERROR(IF($F160="Total",
         SUMPRODUCT(
         INDEX(AG:AG, ROW()-COUNTIF($F$6:INDEX($F:$F, ROW()-1), $F159)) : INDEX(AG:AG, ROW()-1),
         INDEX(AB:AB, ROW()-COUNTIF($F$6:INDEX($F:$F, ROW()-1), $F159)) : INDEX(AB:AB, ROW()-1)
         )
         /SUM(INDEX(AB:AB, ROW()-COUNTIF($F$6:INDEX($F:$F, ROW()-1), $F159)) : INDEX(AB:AB, ROW()-1)),
          AVERAGEIFS(unit_details[Asking PSF],
          unit_details[Active Listing?],TRUE,
          unit_details[Property Name], $F160,
          unit_details[Beds], $L160,
          unit_details[Baths], $M160,
          unit_details[Partial Baths], IF(ISNUMBER($N160),$N160,""),
          unit_details[Sqft],$P160
)),"")</f>
        <v/>
      </c>
      <c r="AH160" s="293" t="str">
        <f>IFERROR(IF($F160="Total",
         SUMPRODUCT(
         INDEX(AH:AH, ROW()-COUNTIF($F$6:INDEX($F:$F, ROW()-1), $F159)) : INDEX(AH:AH, ROW()-1),
         INDEX(AB:AB, ROW()-COUNTIF($F$6:INDEX($F:$F, ROW()-1), $F159)) : INDEX(AB:AB, ROW()-1)
         )
         /SUM(INDEX(AB:AB, ROW()-COUNTIF($F$6:INDEX($F:$F, ROW()-1), $F159)) : INDEX(AB:AB, ROW()-1)),
          AVERAGEIFS(unit_details[Effective Rent],
          unit_details[Active Listing?],TRUE,
          unit_details[Property Name], $F160,
          unit_details[Beds], $L160,
          unit_details[Baths], $M160,
          unit_details[Partial Baths], IF(ISNUMBER($N160),$N160,""),
          unit_details[Sqft],$P160
)),"")</f>
        <v/>
      </c>
      <c r="AI160" s="6" t="str">
        <f>IFERROR(IF($F160="Total",
         SUMPRODUCT(
         INDEX(AI:AI, ROW()-COUNTIF($F$6:INDEX($F:$F, ROW()-1), $F159)) : INDEX(AI:AI, ROW()-1),
         INDEX(AB:AB, ROW()-COUNTIF($F$6:INDEX($F:$F, ROW()-1), $F159)) : INDEX(AB:AB, ROW()-1)
         )
         /SUM(INDEX(AB:AB, ROW()-COUNTIF($F$6:INDEX($F:$F, ROW()-1), $F159)) : INDEX(AB:AB, ROW()-1)),
           AVERAGEIFS(unit_details[Effective PSF],
          unit_details[Active Listing?],TRUE,
          unit_details[Property Name], $F160,
          unit_details[Beds], $L160,
          unit_details[Baths], $M160,
          unit_details[Partial Baths], IF(ISNUMBER($N160),$N160,""),
          unit_details[Sqft],$P160
)),"")</f>
        <v/>
      </c>
      <c r="AJ160" s="824" t="str">
        <f t="shared" si="26"/>
        <v/>
      </c>
      <c r="AK160" s="531" t="str">
        <f t="shared" si="27"/>
        <v/>
      </c>
      <c r="AL160" s="714" t="str">
        <f t="shared" si="28"/>
        <v/>
      </c>
      <c r="AM160" s="531" t="str">
        <f t="shared" si="29"/>
        <v/>
      </c>
      <c r="AN160" s="716" t="str">
        <f t="shared" si="30"/>
        <v/>
      </c>
    </row>
    <row r="161" spans="6:40" x14ac:dyDescent="0.2">
      <c r="F161" s="1" t="str">
        <f t="shared" si="23"/>
        <v/>
      </c>
      <c r="G161" s="713" t="str">
        <f t="shared" si="31"/>
        <v/>
      </c>
      <c r="H161" s="17" t="str">
        <f>IFERROR(VLOOKUP($G161,Table1[[Property]:[Exposure %]],4,0),"")</f>
        <v/>
      </c>
      <c r="I161" s="3" t="str">
        <f>IFERROR(VLOOKUP($G161,Table1[[Property]:[Exposure %]],6,0),"")</f>
        <v/>
      </c>
      <c r="J161" s="3" t="str">
        <f>IFERROR(VLOOKUP($G161,Table1[[Property]:[Exposure %]],7,0),"")</f>
        <v/>
      </c>
      <c r="K161"/>
      <c r="L161"/>
      <c r="M161"/>
      <c r="N161"/>
      <c r="O161"/>
      <c r="P161"/>
      <c r="Q161"/>
      <c r="R161" s="4" t="str">
        <f>IFERROR(VLOOKUP(IF(F161="Total",F160,F161),Table1[[Property]:['# Units]],7,0)*S161,"")</f>
        <v/>
      </c>
      <c r="S161" s="27" t="str">
        <f t="shared" si="24"/>
        <v/>
      </c>
      <c r="T161" s="531" t="str">
        <f>IFERROR(
 IF($F161="Total",
   SUMPRODUCT(
   INDEX(T:T, ROW()-COUNTIF($F$6:INDEX($F:$F, ROW()-1), $F160)) : INDEX(T:T, ROW()-1),
   INDEX(W:W, ROW()-COUNTIF($F$6:INDEX($F:$F, ROW()-1), $F160)) : INDEX(W:W, ROW()-1)
   )
   /SUM(INDEX(W:W, ROW()-COUNTIF($F$6:INDEX($F:$F, ROW()-1), $F160)) : INDEX(W:W, ROW()-1)),
   AVERAGEIFS(
     INDEX((unit_details[Asking Rent],unit_details[Asking PSF]),0,1,IF($U$3="Chunk Rent",1,2)),
     unit_details[Leased Date],"&gt;="&amp;($AM$2-T$5),
     unit_details[Leased Date],"&lt;"&amp;$AM$2,
     unit_details[Beds],$L161,
     unit_details[Baths],$M161,
     unit_details[Partial Baths],IF(ISNUMBER($N161),$N161,""),
     unit_details[Sqft],$P161,
     unit_details[Property Name],$F161)
 ),"")</f>
        <v/>
      </c>
      <c r="U161" s="552" t="str">
        <f>IFERROR(
 IF($F161="Total",
   SUMPRODUCT(
   INDEX(U:U, ROW()-COUNTIF($F$6:INDEX($F:$F, ROW()-1), $F160)) : INDEX(U:U, ROW()-1),
   INDEX(W:W, ROW()-COUNTIF($F$6:INDEX($F:$F, ROW()-1), $F160)) : INDEX(W:W, ROW()-1)
   )
   /SUM(INDEX(W:W, ROW()-COUNTIF($F$6:INDEX($F:$F, ROW()-1), $F160)) : INDEX(W:W, ROW()-1)),
   AVERAGEIFS(
     INDEX((unit_details[Effective Rent],unit_details[Effective PSF]),0,1,IF($U$3="Chunk Rent",1,2)),
     unit_details[Leased Date],"&gt;="&amp;($AM$2-T$5),
     unit_details[Leased Date],"&lt;"&amp;$AM$2,
     unit_details[Beds],$L161,
     unit_details[Baths],$M161,
     unit_details[Partial Baths],IF(ISNUMBER($N161),$N161,""),
     unit_details[Sqft],$P161,
     unit_details[Property Name],$F161)
 ),"")</f>
        <v/>
      </c>
      <c r="V161" s="27" t="str">
        <f t="shared" si="32"/>
        <v/>
      </c>
      <c r="W161" s="526">
        <f>IFERROR(
  IF($F161="Total",
    SUM(INDEX(W:W, ROW()-COUNTIF($F$6:INDEX($F:$F, ROW()-1), $F160)) : INDEX(W:W, ROW()-1)),
    COUNTIFS(
      unit_details[Leased Date], "&gt;="&amp;($AM$2-T$5),
      unit_details[Leased Date], "&lt;"&amp;$AM$2,
      unit_details[Beds], $L161,
      unit_details[Baths], $M161,
      unit_details[Partial Baths], IF(ISNUMBER($N161), $N161, ""),
      unit_details[Sqft],$P161,
      unit_details[Property Name], $F161
    )
  ),
"")</f>
        <v>0</v>
      </c>
      <c r="X161" s="531" t="str">
        <f>IFERROR(
 IF($F161="Total",
   SUMPRODUCT(
   INDEX(X:X, ROW()-COUNTIF($F$6:INDEX($F:$F, ROW()-1), $F160)) : INDEX(X:X, ROW()-1),
   INDEX(AA:AA, ROW()-COUNTIF($F$6:INDEX($F:$F, ROW()-1), $F160)) : INDEX(AA:AA, ROW()-1)
   )
   /SUM(INDEX(AA:AA, ROW()-COUNTIF($F$6:INDEX($F:$F, ROW()-1), $F160)) : INDEX(AA:AA, ROW()-1)),
   AVERAGEIFS(
     INDEX((unit_details[Asking Rent],unit_details[Asking PSF]),0,1,IF($U$3="Chunk Rent",1,2)),
     unit_details[Leased Date],"&gt;="&amp;($AM$2-X$5),
     unit_details[Leased Date],"&lt;"&amp;$AM$2,
     unit_details[Beds],$L161,
     unit_details[Baths],$M161,
     unit_details[Partial Baths],IF(ISNUMBER($N161),$N161,""),
     unit_details[Sqft],$P161,
     unit_details[Property Name],$F161)
 ),"")</f>
        <v/>
      </c>
      <c r="Y161" s="552" t="str">
        <f>IFERROR(
 IF($F161="Total",
   SUMPRODUCT(
   INDEX(Y:Y, ROW()-COUNTIF($F$6:INDEX($F:$F, ROW()-1), $F160)) : INDEX(Y:Y, ROW()-1),
   INDEX(AA:AA, ROW()-COUNTIF($F$6:INDEX($F:$F, ROW()-1), $F160)) : INDEX(AA:AA, ROW()-1)
   )
   /SUM(INDEX(AA:AA, ROW()-COUNTIF($F$6:INDEX($F:$F, ROW()-1), $F160)) : INDEX(AA:AA, ROW()-1)),
   AVERAGEIFS(
     INDEX((unit_details[Effective Rent],unit_details[Effective PSF]),0,1,IF($U$3="Chunk Rent",1,2)),
     unit_details[Leased Date],"&gt;="&amp;($AM$2-X$5),
     unit_details[Leased Date],"&lt;"&amp;$AM$2,
     unit_details[Beds],$L161,
     unit_details[Baths],$M161,
     unit_details[Partial Baths],IF(ISNUMBER($N161),$N161,""),
     unit_details[Sqft],$P161,
     unit_details[Property Name],$F161)
 ),"")</f>
        <v/>
      </c>
      <c r="Z161" s="27" t="str">
        <f t="shared" si="33"/>
        <v/>
      </c>
      <c r="AA161" s="526">
        <f>IFERROR(
  IF($F161="Total",
    SUM(INDEX(AA:AA, ROW()-COUNTIF($F$6:INDEX($F:$F, ROW()-1), $F160)) : INDEX(AA:AA, ROW()-1)),
    COUNTIFS(
      unit_details[Leased Date], "&gt;="&amp;($AM$2-X$5),
      unit_details[Leased Date], "&lt;"&amp;$AM$2,
      unit_details[Beds], $L161,
      unit_details[Baths], $M161,
      unit_details[Partial Baths], IF(ISNUMBER($N161), $N161, ""),
      unit_details[Sqft],$P161,
      unit_details[Property Name], $F161
    )
  ),
"")</f>
        <v>0</v>
      </c>
      <c r="AB161" s="290">
        <f>IF($F161="Total",
SUM(INDEX(AB:AB, ROW()-COUNTIF($F$6:INDEX($F:$F, ROW()-1), $F160)) : INDEX(AB:AB, ROW()-1)),
COUNTIFS(unit_details[Active Listing?],TRUE,
          unit_details[Property Name], $F161,
          unit_details[Beds], $L161,
          unit_details[Baths], $M161,
          unit_details[Partial Baths],IF(ISNUMBER($N161),$N161,""),
          unit_details[Sqft],$P161))</f>
        <v>0</v>
      </c>
      <c r="AC161" s="27" t="str">
        <f t="shared" si="25"/>
        <v/>
      </c>
      <c r="AD161" s="293" t="str">
        <f>IFERROR(IF(AE161="","",IF($F161="Total",
SUMPRODUCT(
   INDEX(AD:AD, ROW()-COUNTIF($F$6:INDEX($F:$F, ROW()-1), $F160)) : INDEX(AD:AD, ROW()-1),
   INDEX(AB:AB, ROW()-COUNTIF($F$6:INDEX($F:$F, ROW()-1), $F160)) : INDEX(AB:AB, ROW()-1)
   )
   /SUM(INDEX(AB:AB, ROW()-COUNTIF($F$6:INDEX($F:$F, ROW()-1), $F160)) : INDEX(AB:AB, ROW()-1)),
          _xlfn.MINIFS(unit_details[Asking Rent],
          unit_details[Active Listing?],TRUE,
          unit_details[Property Name], $F161,
          unit_details[Beds], $L161,
          unit_details[Baths], $M161,
          unit_details[Partial Baths], IF(ISNUMBER($N161),$N161,""),
          unit_details[Sqft],$P161
))),"")</f>
        <v/>
      </c>
      <c r="AE161" s="5" t="str">
        <f>IFERROR(IF($F161="Total",
          SUMPRODUCT(
   INDEX(AE:AE, ROW()-COUNTIF($F$6:INDEX($F:$F, ROW()-1), $F160)) : INDEX(AE:AE, ROW()-1),
   INDEX(AB:AB, ROW()-COUNTIF($F$6:INDEX($F:$F, ROW()-1), $F160)) : INDEX(AB:AB, ROW()-1)
   )
   /SUM(INDEX(AB:AB, ROW()-COUNTIF($F$6:INDEX($F:$F, ROW()-1), $F160)) : INDEX(AB:AB, ROW()-1)),
          AVERAGEIFS(unit_details[Asking Rent],
          unit_details[Active Listing?],TRUE,
          unit_details[Property Name], $F161,
          unit_details[Beds], $L161,
          unit_details[Baths], $M161,
          unit_details[Partial Baths], IF(ISNUMBER($N161),$N161,""),
          unit_details[Sqft],$P161
)),"")</f>
        <v/>
      </c>
      <c r="AF161" s="5" t="str">
        <f>IFERROR(IF(AE161="","",IF($F161="Total",
SUMPRODUCT(
   INDEX(AF:AF, ROW()-COUNTIF($F$6:INDEX($F:$F, ROW()-1), $F160)) : INDEX(AF:AF, ROW()-1),
   INDEX(AB:AB, ROW()-COUNTIF($F$6:INDEX($F:$F, ROW()-1), $F160)) : INDEX(AB:AB, ROW()-1)
   )
   /SUM(INDEX(AB:AB, ROW()-COUNTIF($F$6:INDEX($F:$F, ROW()-1), $F160)) : INDEX(AB:AB, ROW()-1)),
           _xlfn.MAXIFS(unit_details[Asking Rent],
          unit_details[Active Listing?],TRUE,
          unit_details[Property Name], $F161,
          unit_details[Beds], $L161,
          unit_details[Baths], $M161,
          unit_details[Partial Baths], IF(ISNUMBER($N161),$N161,""),
          unit_details[Sqft],$P161
))),"")</f>
        <v/>
      </c>
      <c r="AG161" s="6" t="str">
        <f>IFERROR(IF($F161="Total",
         SUMPRODUCT(
         INDEX(AG:AG, ROW()-COUNTIF($F$6:INDEX($F:$F, ROW()-1), $F160)) : INDEX(AG:AG, ROW()-1),
         INDEX(AB:AB, ROW()-COUNTIF($F$6:INDEX($F:$F, ROW()-1), $F160)) : INDEX(AB:AB, ROW()-1)
         )
         /SUM(INDEX(AB:AB, ROW()-COUNTIF($F$6:INDEX($F:$F, ROW()-1), $F160)) : INDEX(AB:AB, ROW()-1)),
          AVERAGEIFS(unit_details[Asking PSF],
          unit_details[Active Listing?],TRUE,
          unit_details[Property Name], $F161,
          unit_details[Beds], $L161,
          unit_details[Baths], $M161,
          unit_details[Partial Baths], IF(ISNUMBER($N161),$N161,""),
          unit_details[Sqft],$P161
)),"")</f>
        <v/>
      </c>
      <c r="AH161" s="293" t="str">
        <f>IFERROR(IF($F161="Total",
         SUMPRODUCT(
         INDEX(AH:AH, ROW()-COUNTIF($F$6:INDEX($F:$F, ROW()-1), $F160)) : INDEX(AH:AH, ROW()-1),
         INDEX(AB:AB, ROW()-COUNTIF($F$6:INDEX($F:$F, ROW()-1), $F160)) : INDEX(AB:AB, ROW()-1)
         )
         /SUM(INDEX(AB:AB, ROW()-COUNTIF($F$6:INDEX($F:$F, ROW()-1), $F160)) : INDEX(AB:AB, ROW()-1)),
          AVERAGEIFS(unit_details[Effective Rent],
          unit_details[Active Listing?],TRUE,
          unit_details[Property Name], $F161,
          unit_details[Beds], $L161,
          unit_details[Baths], $M161,
          unit_details[Partial Baths], IF(ISNUMBER($N161),$N161,""),
          unit_details[Sqft],$P161
)),"")</f>
        <v/>
      </c>
      <c r="AI161" s="6" t="str">
        <f>IFERROR(IF($F161="Total",
         SUMPRODUCT(
         INDEX(AI:AI, ROW()-COUNTIF($F$6:INDEX($F:$F, ROW()-1), $F160)) : INDEX(AI:AI, ROW()-1),
         INDEX(AB:AB, ROW()-COUNTIF($F$6:INDEX($F:$F, ROW()-1), $F160)) : INDEX(AB:AB, ROW()-1)
         )
         /SUM(INDEX(AB:AB, ROW()-COUNTIF($F$6:INDEX($F:$F, ROW()-1), $F160)) : INDEX(AB:AB, ROW()-1)),
           AVERAGEIFS(unit_details[Effective PSF],
          unit_details[Active Listing?],TRUE,
          unit_details[Property Name], $F161,
          unit_details[Beds], $L161,
          unit_details[Baths], $M161,
          unit_details[Partial Baths], IF(ISNUMBER($N161),$N161,""),
          unit_details[Sqft],$P161
)),"")</f>
        <v/>
      </c>
      <c r="AJ161" s="824" t="str">
        <f t="shared" si="26"/>
        <v/>
      </c>
      <c r="AK161" s="531" t="str">
        <f t="shared" si="27"/>
        <v/>
      </c>
      <c r="AL161" s="714" t="str">
        <f t="shared" si="28"/>
        <v/>
      </c>
      <c r="AM161" s="531" t="str">
        <f t="shared" si="29"/>
        <v/>
      </c>
      <c r="AN161" s="716" t="str">
        <f t="shared" si="30"/>
        <v/>
      </c>
    </row>
    <row r="162" spans="6:40" x14ac:dyDescent="0.2">
      <c r="F162" s="1" t="str">
        <f t="shared" si="23"/>
        <v/>
      </c>
      <c r="G162" s="713" t="str">
        <f t="shared" si="31"/>
        <v/>
      </c>
      <c r="H162" s="17" t="str">
        <f>IFERROR(VLOOKUP($G162,Table1[[Property]:[Exposure %]],4,0),"")</f>
        <v/>
      </c>
      <c r="I162" s="3" t="str">
        <f>IFERROR(VLOOKUP($G162,Table1[[Property]:[Exposure %]],6,0),"")</f>
        <v/>
      </c>
      <c r="J162" s="3" t="str">
        <f>IFERROR(VLOOKUP($G162,Table1[[Property]:[Exposure %]],7,0),"")</f>
        <v/>
      </c>
      <c r="K162"/>
      <c r="L162"/>
      <c r="M162"/>
      <c r="N162"/>
      <c r="O162"/>
      <c r="P162"/>
      <c r="Q162"/>
      <c r="R162" s="4" t="str">
        <f>IFERROR(VLOOKUP(IF(F162="Total",F161,F162),Table1[[Property]:['# Units]],7,0)*S162,"")</f>
        <v/>
      </c>
      <c r="S162" s="27" t="str">
        <f t="shared" si="24"/>
        <v/>
      </c>
      <c r="T162" s="531" t="str">
        <f>IFERROR(
 IF($F162="Total",
   SUMPRODUCT(
   INDEX(T:T, ROW()-COUNTIF($F$6:INDEX($F:$F, ROW()-1), $F161)) : INDEX(T:T, ROW()-1),
   INDEX(W:W, ROW()-COUNTIF($F$6:INDEX($F:$F, ROW()-1), $F161)) : INDEX(W:W, ROW()-1)
   )
   /SUM(INDEX(W:W, ROW()-COUNTIF($F$6:INDEX($F:$F, ROW()-1), $F161)) : INDEX(W:W, ROW()-1)),
   AVERAGEIFS(
     INDEX((unit_details[Asking Rent],unit_details[Asking PSF]),0,1,IF($U$3="Chunk Rent",1,2)),
     unit_details[Leased Date],"&gt;="&amp;($AM$2-T$5),
     unit_details[Leased Date],"&lt;"&amp;$AM$2,
     unit_details[Beds],$L162,
     unit_details[Baths],$M162,
     unit_details[Partial Baths],IF(ISNUMBER($N162),$N162,""),
     unit_details[Sqft],$P162,
     unit_details[Property Name],$F162)
 ),"")</f>
        <v/>
      </c>
      <c r="U162" s="552" t="str">
        <f>IFERROR(
 IF($F162="Total",
   SUMPRODUCT(
   INDEX(U:U, ROW()-COUNTIF($F$6:INDEX($F:$F, ROW()-1), $F161)) : INDEX(U:U, ROW()-1),
   INDEX(W:W, ROW()-COUNTIF($F$6:INDEX($F:$F, ROW()-1), $F161)) : INDEX(W:W, ROW()-1)
   )
   /SUM(INDEX(W:W, ROW()-COUNTIF($F$6:INDEX($F:$F, ROW()-1), $F161)) : INDEX(W:W, ROW()-1)),
   AVERAGEIFS(
     INDEX((unit_details[Effective Rent],unit_details[Effective PSF]),0,1,IF($U$3="Chunk Rent",1,2)),
     unit_details[Leased Date],"&gt;="&amp;($AM$2-T$5),
     unit_details[Leased Date],"&lt;"&amp;$AM$2,
     unit_details[Beds],$L162,
     unit_details[Baths],$M162,
     unit_details[Partial Baths],IF(ISNUMBER($N162),$N162,""),
     unit_details[Sqft],$P162,
     unit_details[Property Name],$F162)
 ),"")</f>
        <v/>
      </c>
      <c r="V162" s="27" t="str">
        <f t="shared" si="32"/>
        <v/>
      </c>
      <c r="W162" s="526">
        <f>IFERROR(
  IF($F162="Total",
    SUM(INDEX(W:W, ROW()-COUNTIF($F$6:INDEX($F:$F, ROW()-1), $F161)) : INDEX(W:W, ROW()-1)),
    COUNTIFS(
      unit_details[Leased Date], "&gt;="&amp;($AM$2-T$5),
      unit_details[Leased Date], "&lt;"&amp;$AM$2,
      unit_details[Beds], $L162,
      unit_details[Baths], $M162,
      unit_details[Partial Baths], IF(ISNUMBER($N162), $N162, ""),
      unit_details[Sqft],$P162,
      unit_details[Property Name], $F162
    )
  ),
"")</f>
        <v>0</v>
      </c>
      <c r="X162" s="531" t="str">
        <f>IFERROR(
 IF($F162="Total",
   SUMPRODUCT(
   INDEX(X:X, ROW()-COUNTIF($F$6:INDEX($F:$F, ROW()-1), $F161)) : INDEX(X:X, ROW()-1),
   INDEX(AA:AA, ROW()-COUNTIF($F$6:INDEX($F:$F, ROW()-1), $F161)) : INDEX(AA:AA, ROW()-1)
   )
   /SUM(INDEX(AA:AA, ROW()-COUNTIF($F$6:INDEX($F:$F, ROW()-1), $F161)) : INDEX(AA:AA, ROW()-1)),
   AVERAGEIFS(
     INDEX((unit_details[Asking Rent],unit_details[Asking PSF]),0,1,IF($U$3="Chunk Rent",1,2)),
     unit_details[Leased Date],"&gt;="&amp;($AM$2-X$5),
     unit_details[Leased Date],"&lt;"&amp;$AM$2,
     unit_details[Beds],$L162,
     unit_details[Baths],$M162,
     unit_details[Partial Baths],IF(ISNUMBER($N162),$N162,""),
     unit_details[Sqft],$P162,
     unit_details[Property Name],$F162)
 ),"")</f>
        <v/>
      </c>
      <c r="Y162" s="552" t="str">
        <f>IFERROR(
 IF($F162="Total",
   SUMPRODUCT(
   INDEX(Y:Y, ROW()-COUNTIF($F$6:INDEX($F:$F, ROW()-1), $F161)) : INDEX(Y:Y, ROW()-1),
   INDEX(AA:AA, ROW()-COUNTIF($F$6:INDEX($F:$F, ROW()-1), $F161)) : INDEX(AA:AA, ROW()-1)
   )
   /SUM(INDEX(AA:AA, ROW()-COUNTIF($F$6:INDEX($F:$F, ROW()-1), $F161)) : INDEX(AA:AA, ROW()-1)),
   AVERAGEIFS(
     INDEX((unit_details[Effective Rent],unit_details[Effective PSF]),0,1,IF($U$3="Chunk Rent",1,2)),
     unit_details[Leased Date],"&gt;="&amp;($AM$2-X$5),
     unit_details[Leased Date],"&lt;"&amp;$AM$2,
     unit_details[Beds],$L162,
     unit_details[Baths],$M162,
     unit_details[Partial Baths],IF(ISNUMBER($N162),$N162,""),
     unit_details[Sqft],$P162,
     unit_details[Property Name],$F162)
 ),"")</f>
        <v/>
      </c>
      <c r="Z162" s="27" t="str">
        <f t="shared" si="33"/>
        <v/>
      </c>
      <c r="AA162" s="526">
        <f>IFERROR(
  IF($F162="Total",
    SUM(INDEX(AA:AA, ROW()-COUNTIF($F$6:INDEX($F:$F, ROW()-1), $F161)) : INDEX(AA:AA, ROW()-1)),
    COUNTIFS(
      unit_details[Leased Date], "&gt;="&amp;($AM$2-X$5),
      unit_details[Leased Date], "&lt;"&amp;$AM$2,
      unit_details[Beds], $L162,
      unit_details[Baths], $M162,
      unit_details[Partial Baths], IF(ISNUMBER($N162), $N162, ""),
      unit_details[Sqft],$P162,
      unit_details[Property Name], $F162
    )
  ),
"")</f>
        <v>0</v>
      </c>
      <c r="AB162" s="290">
        <f>IF($F162="Total",
SUM(INDEX(AB:AB, ROW()-COUNTIF($F$6:INDEX($F:$F, ROW()-1), $F161)) : INDEX(AB:AB, ROW()-1)),
COUNTIFS(unit_details[Active Listing?],TRUE,
          unit_details[Property Name], $F162,
          unit_details[Beds], $L162,
          unit_details[Baths], $M162,
          unit_details[Partial Baths],IF(ISNUMBER($N162),$N162,""),
          unit_details[Sqft],$P162))</f>
        <v>0</v>
      </c>
      <c r="AC162" s="27" t="str">
        <f t="shared" si="25"/>
        <v/>
      </c>
      <c r="AD162" s="293" t="str">
        <f>IFERROR(IF(AE162="","",IF($F162="Total",
SUMPRODUCT(
   INDEX(AD:AD, ROW()-COUNTIF($F$6:INDEX($F:$F, ROW()-1), $F161)) : INDEX(AD:AD, ROW()-1),
   INDEX(AB:AB, ROW()-COUNTIF($F$6:INDEX($F:$F, ROW()-1), $F161)) : INDEX(AB:AB, ROW()-1)
   )
   /SUM(INDEX(AB:AB, ROW()-COUNTIF($F$6:INDEX($F:$F, ROW()-1), $F161)) : INDEX(AB:AB, ROW()-1)),
          _xlfn.MINIFS(unit_details[Asking Rent],
          unit_details[Active Listing?],TRUE,
          unit_details[Property Name], $F162,
          unit_details[Beds], $L162,
          unit_details[Baths], $M162,
          unit_details[Partial Baths], IF(ISNUMBER($N162),$N162,""),
          unit_details[Sqft],$P162
))),"")</f>
        <v/>
      </c>
      <c r="AE162" s="5" t="str">
        <f>IFERROR(IF($F162="Total",
          SUMPRODUCT(
   INDEX(AE:AE, ROW()-COUNTIF($F$6:INDEX($F:$F, ROW()-1), $F161)) : INDEX(AE:AE, ROW()-1),
   INDEX(AB:AB, ROW()-COUNTIF($F$6:INDEX($F:$F, ROW()-1), $F161)) : INDEX(AB:AB, ROW()-1)
   )
   /SUM(INDEX(AB:AB, ROW()-COUNTIF($F$6:INDEX($F:$F, ROW()-1), $F161)) : INDEX(AB:AB, ROW()-1)),
          AVERAGEIFS(unit_details[Asking Rent],
          unit_details[Active Listing?],TRUE,
          unit_details[Property Name], $F162,
          unit_details[Beds], $L162,
          unit_details[Baths], $M162,
          unit_details[Partial Baths], IF(ISNUMBER($N162),$N162,""),
          unit_details[Sqft],$P162
)),"")</f>
        <v/>
      </c>
      <c r="AF162" s="5" t="str">
        <f>IFERROR(IF(AE162="","",IF($F162="Total",
SUMPRODUCT(
   INDEX(AF:AF, ROW()-COUNTIF($F$6:INDEX($F:$F, ROW()-1), $F161)) : INDEX(AF:AF, ROW()-1),
   INDEX(AB:AB, ROW()-COUNTIF($F$6:INDEX($F:$F, ROW()-1), $F161)) : INDEX(AB:AB, ROW()-1)
   )
   /SUM(INDEX(AB:AB, ROW()-COUNTIF($F$6:INDEX($F:$F, ROW()-1), $F161)) : INDEX(AB:AB, ROW()-1)),
           _xlfn.MAXIFS(unit_details[Asking Rent],
          unit_details[Active Listing?],TRUE,
          unit_details[Property Name], $F162,
          unit_details[Beds], $L162,
          unit_details[Baths], $M162,
          unit_details[Partial Baths], IF(ISNUMBER($N162),$N162,""),
          unit_details[Sqft],$P162
))),"")</f>
        <v/>
      </c>
      <c r="AG162" s="6" t="str">
        <f>IFERROR(IF($F162="Total",
         SUMPRODUCT(
         INDEX(AG:AG, ROW()-COUNTIF($F$6:INDEX($F:$F, ROW()-1), $F161)) : INDEX(AG:AG, ROW()-1),
         INDEX(AB:AB, ROW()-COUNTIF($F$6:INDEX($F:$F, ROW()-1), $F161)) : INDEX(AB:AB, ROW()-1)
         )
         /SUM(INDEX(AB:AB, ROW()-COUNTIF($F$6:INDEX($F:$F, ROW()-1), $F161)) : INDEX(AB:AB, ROW()-1)),
          AVERAGEIFS(unit_details[Asking PSF],
          unit_details[Active Listing?],TRUE,
          unit_details[Property Name], $F162,
          unit_details[Beds], $L162,
          unit_details[Baths], $M162,
          unit_details[Partial Baths], IF(ISNUMBER($N162),$N162,""),
          unit_details[Sqft],$P162
)),"")</f>
        <v/>
      </c>
      <c r="AH162" s="293" t="str">
        <f>IFERROR(IF($F162="Total",
         SUMPRODUCT(
         INDEX(AH:AH, ROW()-COUNTIF($F$6:INDEX($F:$F, ROW()-1), $F161)) : INDEX(AH:AH, ROW()-1),
         INDEX(AB:AB, ROW()-COUNTIF($F$6:INDEX($F:$F, ROW()-1), $F161)) : INDEX(AB:AB, ROW()-1)
         )
         /SUM(INDEX(AB:AB, ROW()-COUNTIF($F$6:INDEX($F:$F, ROW()-1), $F161)) : INDEX(AB:AB, ROW()-1)),
          AVERAGEIFS(unit_details[Effective Rent],
          unit_details[Active Listing?],TRUE,
          unit_details[Property Name], $F162,
          unit_details[Beds], $L162,
          unit_details[Baths], $M162,
          unit_details[Partial Baths], IF(ISNUMBER($N162),$N162,""),
          unit_details[Sqft],$P162
)),"")</f>
        <v/>
      </c>
      <c r="AI162" s="6" t="str">
        <f>IFERROR(IF($F162="Total",
         SUMPRODUCT(
         INDEX(AI:AI, ROW()-COUNTIF($F$6:INDEX($F:$F, ROW()-1), $F161)) : INDEX(AI:AI, ROW()-1),
         INDEX(AB:AB, ROW()-COUNTIF($F$6:INDEX($F:$F, ROW()-1), $F161)) : INDEX(AB:AB, ROW()-1)
         )
         /SUM(INDEX(AB:AB, ROW()-COUNTIF($F$6:INDEX($F:$F, ROW()-1), $F161)) : INDEX(AB:AB, ROW()-1)),
           AVERAGEIFS(unit_details[Effective PSF],
          unit_details[Active Listing?],TRUE,
          unit_details[Property Name], $F162,
          unit_details[Beds], $L162,
          unit_details[Baths], $M162,
          unit_details[Partial Baths], IF(ISNUMBER($N162),$N162,""),
          unit_details[Sqft],$P162
)),"")</f>
        <v/>
      </c>
      <c r="AJ162" s="824" t="str">
        <f t="shared" si="26"/>
        <v/>
      </c>
      <c r="AK162" s="531" t="str">
        <f t="shared" si="27"/>
        <v/>
      </c>
      <c r="AL162" s="714" t="str">
        <f t="shared" si="28"/>
        <v/>
      </c>
      <c r="AM162" s="531" t="str">
        <f t="shared" si="29"/>
        <v/>
      </c>
      <c r="AN162" s="716" t="str">
        <f t="shared" si="30"/>
        <v/>
      </c>
    </row>
    <row r="163" spans="6:40" x14ac:dyDescent="0.2">
      <c r="F163" s="1" t="str">
        <f t="shared" si="23"/>
        <v/>
      </c>
      <c r="G163" s="713" t="str">
        <f t="shared" si="31"/>
        <v/>
      </c>
      <c r="H163" s="17" t="str">
        <f>IFERROR(VLOOKUP($G163,Table1[[Property]:[Exposure %]],4,0),"")</f>
        <v/>
      </c>
      <c r="I163" s="3" t="str">
        <f>IFERROR(VLOOKUP($G163,Table1[[Property]:[Exposure %]],6,0),"")</f>
        <v/>
      </c>
      <c r="J163" s="3" t="str">
        <f>IFERROR(VLOOKUP($G163,Table1[[Property]:[Exposure %]],7,0),"")</f>
        <v/>
      </c>
      <c r="K163"/>
      <c r="L163"/>
      <c r="M163"/>
      <c r="N163"/>
      <c r="O163"/>
      <c r="P163"/>
      <c r="Q163"/>
      <c r="R163" s="4" t="str">
        <f>IFERROR(VLOOKUP(IF(F163="Total",F162,F163),Table1[[Property]:['# Units]],7,0)*S163,"")</f>
        <v/>
      </c>
      <c r="S163" s="27" t="str">
        <f t="shared" si="24"/>
        <v/>
      </c>
      <c r="T163" s="531" t="str">
        <f>IFERROR(
 IF($F163="Total",
   SUMPRODUCT(
   INDEX(T:T, ROW()-COUNTIF($F$6:INDEX($F:$F, ROW()-1), $F162)) : INDEX(T:T, ROW()-1),
   INDEX(W:W, ROW()-COUNTIF($F$6:INDEX($F:$F, ROW()-1), $F162)) : INDEX(W:W, ROW()-1)
   )
   /SUM(INDEX(W:W, ROW()-COUNTIF($F$6:INDEX($F:$F, ROW()-1), $F162)) : INDEX(W:W, ROW()-1)),
   AVERAGEIFS(
     INDEX((unit_details[Asking Rent],unit_details[Asking PSF]),0,1,IF($U$3="Chunk Rent",1,2)),
     unit_details[Leased Date],"&gt;="&amp;($AM$2-T$5),
     unit_details[Leased Date],"&lt;"&amp;$AM$2,
     unit_details[Beds],$L163,
     unit_details[Baths],$M163,
     unit_details[Partial Baths],IF(ISNUMBER($N163),$N163,""),
     unit_details[Sqft],$P163,
     unit_details[Property Name],$F163)
 ),"")</f>
        <v/>
      </c>
      <c r="U163" s="552" t="str">
        <f>IFERROR(
 IF($F163="Total",
   SUMPRODUCT(
   INDEX(U:U, ROW()-COUNTIF($F$6:INDEX($F:$F, ROW()-1), $F162)) : INDEX(U:U, ROW()-1),
   INDEX(W:W, ROW()-COUNTIF($F$6:INDEX($F:$F, ROW()-1), $F162)) : INDEX(W:W, ROW()-1)
   )
   /SUM(INDEX(W:W, ROW()-COUNTIF($F$6:INDEX($F:$F, ROW()-1), $F162)) : INDEX(W:W, ROW()-1)),
   AVERAGEIFS(
     INDEX((unit_details[Effective Rent],unit_details[Effective PSF]),0,1,IF($U$3="Chunk Rent",1,2)),
     unit_details[Leased Date],"&gt;="&amp;($AM$2-T$5),
     unit_details[Leased Date],"&lt;"&amp;$AM$2,
     unit_details[Beds],$L163,
     unit_details[Baths],$M163,
     unit_details[Partial Baths],IF(ISNUMBER($N163),$N163,""),
     unit_details[Sqft],$P163,
     unit_details[Property Name],$F163)
 ),"")</f>
        <v/>
      </c>
      <c r="V163" s="27" t="str">
        <f t="shared" si="32"/>
        <v/>
      </c>
      <c r="W163" s="526">
        <f>IFERROR(
  IF($F163="Total",
    SUM(INDEX(W:W, ROW()-COUNTIF($F$6:INDEX($F:$F, ROW()-1), $F162)) : INDEX(W:W, ROW()-1)),
    COUNTIFS(
      unit_details[Leased Date], "&gt;="&amp;($AM$2-T$5),
      unit_details[Leased Date], "&lt;"&amp;$AM$2,
      unit_details[Beds], $L163,
      unit_details[Baths], $M163,
      unit_details[Partial Baths], IF(ISNUMBER($N163), $N163, ""),
      unit_details[Sqft],$P163,
      unit_details[Property Name], $F163
    )
  ),
"")</f>
        <v>0</v>
      </c>
      <c r="X163" s="531" t="str">
        <f>IFERROR(
 IF($F163="Total",
   SUMPRODUCT(
   INDEX(X:X, ROW()-COUNTIF($F$6:INDEX($F:$F, ROW()-1), $F162)) : INDEX(X:X, ROW()-1),
   INDEX(AA:AA, ROW()-COUNTIF($F$6:INDEX($F:$F, ROW()-1), $F162)) : INDEX(AA:AA, ROW()-1)
   )
   /SUM(INDEX(AA:AA, ROW()-COUNTIF($F$6:INDEX($F:$F, ROW()-1), $F162)) : INDEX(AA:AA, ROW()-1)),
   AVERAGEIFS(
     INDEX((unit_details[Asking Rent],unit_details[Asking PSF]),0,1,IF($U$3="Chunk Rent",1,2)),
     unit_details[Leased Date],"&gt;="&amp;($AM$2-X$5),
     unit_details[Leased Date],"&lt;"&amp;$AM$2,
     unit_details[Beds],$L163,
     unit_details[Baths],$M163,
     unit_details[Partial Baths],IF(ISNUMBER($N163),$N163,""),
     unit_details[Sqft],$P163,
     unit_details[Property Name],$F163)
 ),"")</f>
        <v/>
      </c>
      <c r="Y163" s="552" t="str">
        <f>IFERROR(
 IF($F163="Total",
   SUMPRODUCT(
   INDEX(Y:Y, ROW()-COUNTIF($F$6:INDEX($F:$F, ROW()-1), $F162)) : INDEX(Y:Y, ROW()-1),
   INDEX(AA:AA, ROW()-COUNTIF($F$6:INDEX($F:$F, ROW()-1), $F162)) : INDEX(AA:AA, ROW()-1)
   )
   /SUM(INDEX(AA:AA, ROW()-COUNTIF($F$6:INDEX($F:$F, ROW()-1), $F162)) : INDEX(AA:AA, ROW()-1)),
   AVERAGEIFS(
     INDEX((unit_details[Effective Rent],unit_details[Effective PSF]),0,1,IF($U$3="Chunk Rent",1,2)),
     unit_details[Leased Date],"&gt;="&amp;($AM$2-X$5),
     unit_details[Leased Date],"&lt;"&amp;$AM$2,
     unit_details[Beds],$L163,
     unit_details[Baths],$M163,
     unit_details[Partial Baths],IF(ISNUMBER($N163),$N163,""),
     unit_details[Sqft],$P163,
     unit_details[Property Name],$F163)
 ),"")</f>
        <v/>
      </c>
      <c r="Z163" s="27" t="str">
        <f t="shared" si="33"/>
        <v/>
      </c>
      <c r="AA163" s="526">
        <f>IFERROR(
  IF($F163="Total",
    SUM(INDEX(AA:AA, ROW()-COUNTIF($F$6:INDEX($F:$F, ROW()-1), $F162)) : INDEX(AA:AA, ROW()-1)),
    COUNTIFS(
      unit_details[Leased Date], "&gt;="&amp;($AM$2-X$5),
      unit_details[Leased Date], "&lt;"&amp;$AM$2,
      unit_details[Beds], $L163,
      unit_details[Baths], $M163,
      unit_details[Partial Baths], IF(ISNUMBER($N163), $N163, ""),
      unit_details[Sqft],$P163,
      unit_details[Property Name], $F163
    )
  ),
"")</f>
        <v>0</v>
      </c>
      <c r="AB163" s="290">
        <f>IF($F163="Total",
SUM(INDEX(AB:AB, ROW()-COUNTIF($F$6:INDEX($F:$F, ROW()-1), $F162)) : INDEX(AB:AB, ROW()-1)),
COUNTIFS(unit_details[Active Listing?],TRUE,
          unit_details[Property Name], $F163,
          unit_details[Beds], $L163,
          unit_details[Baths], $M163,
          unit_details[Partial Baths],IF(ISNUMBER($N163),$N163,""),
          unit_details[Sqft],$P163))</f>
        <v>0</v>
      </c>
      <c r="AC163" s="27" t="str">
        <f t="shared" si="25"/>
        <v/>
      </c>
      <c r="AD163" s="293" t="str">
        <f>IFERROR(IF(AE163="","",IF($F163="Total",
SUMPRODUCT(
   INDEX(AD:AD, ROW()-COUNTIF($F$6:INDEX($F:$F, ROW()-1), $F162)) : INDEX(AD:AD, ROW()-1),
   INDEX(AB:AB, ROW()-COUNTIF($F$6:INDEX($F:$F, ROW()-1), $F162)) : INDEX(AB:AB, ROW()-1)
   )
   /SUM(INDEX(AB:AB, ROW()-COUNTIF($F$6:INDEX($F:$F, ROW()-1), $F162)) : INDEX(AB:AB, ROW()-1)),
          _xlfn.MINIFS(unit_details[Asking Rent],
          unit_details[Active Listing?],TRUE,
          unit_details[Property Name], $F163,
          unit_details[Beds], $L163,
          unit_details[Baths], $M163,
          unit_details[Partial Baths], IF(ISNUMBER($N163),$N163,""),
          unit_details[Sqft],$P163
))),"")</f>
        <v/>
      </c>
      <c r="AE163" s="5" t="str">
        <f>IFERROR(IF($F163="Total",
          SUMPRODUCT(
   INDEX(AE:AE, ROW()-COUNTIF($F$6:INDEX($F:$F, ROW()-1), $F162)) : INDEX(AE:AE, ROW()-1),
   INDEX(AB:AB, ROW()-COUNTIF($F$6:INDEX($F:$F, ROW()-1), $F162)) : INDEX(AB:AB, ROW()-1)
   )
   /SUM(INDEX(AB:AB, ROW()-COUNTIF($F$6:INDEX($F:$F, ROW()-1), $F162)) : INDEX(AB:AB, ROW()-1)),
          AVERAGEIFS(unit_details[Asking Rent],
          unit_details[Active Listing?],TRUE,
          unit_details[Property Name], $F163,
          unit_details[Beds], $L163,
          unit_details[Baths], $M163,
          unit_details[Partial Baths], IF(ISNUMBER($N163),$N163,""),
          unit_details[Sqft],$P163
)),"")</f>
        <v/>
      </c>
      <c r="AF163" s="5" t="str">
        <f>IFERROR(IF(AE163="","",IF($F163="Total",
SUMPRODUCT(
   INDEX(AF:AF, ROW()-COUNTIF($F$6:INDEX($F:$F, ROW()-1), $F162)) : INDEX(AF:AF, ROW()-1),
   INDEX(AB:AB, ROW()-COUNTIF($F$6:INDEX($F:$F, ROW()-1), $F162)) : INDEX(AB:AB, ROW()-1)
   )
   /SUM(INDEX(AB:AB, ROW()-COUNTIF($F$6:INDEX($F:$F, ROW()-1), $F162)) : INDEX(AB:AB, ROW()-1)),
           _xlfn.MAXIFS(unit_details[Asking Rent],
          unit_details[Active Listing?],TRUE,
          unit_details[Property Name], $F163,
          unit_details[Beds], $L163,
          unit_details[Baths], $M163,
          unit_details[Partial Baths], IF(ISNUMBER($N163),$N163,""),
          unit_details[Sqft],$P163
))),"")</f>
        <v/>
      </c>
      <c r="AG163" s="6" t="str">
        <f>IFERROR(IF($F163="Total",
         SUMPRODUCT(
         INDEX(AG:AG, ROW()-COUNTIF($F$6:INDEX($F:$F, ROW()-1), $F162)) : INDEX(AG:AG, ROW()-1),
         INDEX(AB:AB, ROW()-COUNTIF($F$6:INDEX($F:$F, ROW()-1), $F162)) : INDEX(AB:AB, ROW()-1)
         )
         /SUM(INDEX(AB:AB, ROW()-COUNTIF($F$6:INDEX($F:$F, ROW()-1), $F162)) : INDEX(AB:AB, ROW()-1)),
          AVERAGEIFS(unit_details[Asking PSF],
          unit_details[Active Listing?],TRUE,
          unit_details[Property Name], $F163,
          unit_details[Beds], $L163,
          unit_details[Baths], $M163,
          unit_details[Partial Baths], IF(ISNUMBER($N163),$N163,""),
          unit_details[Sqft],$P163
)),"")</f>
        <v/>
      </c>
      <c r="AH163" s="293" t="str">
        <f>IFERROR(IF($F163="Total",
         SUMPRODUCT(
         INDEX(AH:AH, ROW()-COUNTIF($F$6:INDEX($F:$F, ROW()-1), $F162)) : INDEX(AH:AH, ROW()-1),
         INDEX(AB:AB, ROW()-COUNTIF($F$6:INDEX($F:$F, ROW()-1), $F162)) : INDEX(AB:AB, ROW()-1)
         )
         /SUM(INDEX(AB:AB, ROW()-COUNTIF($F$6:INDEX($F:$F, ROW()-1), $F162)) : INDEX(AB:AB, ROW()-1)),
          AVERAGEIFS(unit_details[Effective Rent],
          unit_details[Active Listing?],TRUE,
          unit_details[Property Name], $F163,
          unit_details[Beds], $L163,
          unit_details[Baths], $M163,
          unit_details[Partial Baths], IF(ISNUMBER($N163),$N163,""),
          unit_details[Sqft],$P163
)),"")</f>
        <v/>
      </c>
      <c r="AI163" s="6" t="str">
        <f>IFERROR(IF($F163="Total",
         SUMPRODUCT(
         INDEX(AI:AI, ROW()-COUNTIF($F$6:INDEX($F:$F, ROW()-1), $F162)) : INDEX(AI:AI, ROW()-1),
         INDEX(AB:AB, ROW()-COUNTIF($F$6:INDEX($F:$F, ROW()-1), $F162)) : INDEX(AB:AB, ROW()-1)
         )
         /SUM(INDEX(AB:AB, ROW()-COUNTIF($F$6:INDEX($F:$F, ROW()-1), $F162)) : INDEX(AB:AB, ROW()-1)),
           AVERAGEIFS(unit_details[Effective PSF],
          unit_details[Active Listing?],TRUE,
          unit_details[Property Name], $F163,
          unit_details[Beds], $L163,
          unit_details[Baths], $M163,
          unit_details[Partial Baths], IF(ISNUMBER($N163),$N163,""),
          unit_details[Sqft],$P163
)),"")</f>
        <v/>
      </c>
      <c r="AJ163" s="824" t="str">
        <f t="shared" si="26"/>
        <v/>
      </c>
      <c r="AK163" s="531" t="str">
        <f t="shared" si="27"/>
        <v/>
      </c>
      <c r="AL163" s="714" t="str">
        <f t="shared" si="28"/>
        <v/>
      </c>
      <c r="AM163" s="531" t="str">
        <f t="shared" si="29"/>
        <v/>
      </c>
      <c r="AN163" s="716" t="str">
        <f t="shared" si="30"/>
        <v/>
      </c>
    </row>
    <row r="164" spans="6:40" x14ac:dyDescent="0.2">
      <c r="F164" s="1" t="str">
        <f t="shared" si="23"/>
        <v/>
      </c>
      <c r="G164" s="713" t="str">
        <f t="shared" si="31"/>
        <v/>
      </c>
      <c r="H164" s="17" t="str">
        <f>IFERROR(VLOOKUP($G164,Table1[[Property]:[Exposure %]],4,0),"")</f>
        <v/>
      </c>
      <c r="I164" s="3" t="str">
        <f>IFERROR(VLOOKUP($G164,Table1[[Property]:[Exposure %]],6,0),"")</f>
        <v/>
      </c>
      <c r="J164" s="3" t="str">
        <f>IFERROR(VLOOKUP($G164,Table1[[Property]:[Exposure %]],7,0),"")</f>
        <v/>
      </c>
      <c r="K164"/>
      <c r="L164"/>
      <c r="M164"/>
      <c r="N164"/>
      <c r="O164"/>
      <c r="P164"/>
      <c r="Q164"/>
      <c r="R164" s="4" t="str">
        <f>IFERROR(VLOOKUP(IF(F164="Total",F163,F164),Table1[[Property]:['# Units]],7,0)*S164,"")</f>
        <v/>
      </c>
      <c r="S164" s="27" t="str">
        <f t="shared" si="24"/>
        <v/>
      </c>
      <c r="T164" s="531" t="str">
        <f>IFERROR(
 IF($F164="Total",
   SUMPRODUCT(
   INDEX(T:T, ROW()-COUNTIF($F$6:INDEX($F:$F, ROW()-1), $F163)) : INDEX(T:T, ROW()-1),
   INDEX(W:W, ROW()-COUNTIF($F$6:INDEX($F:$F, ROW()-1), $F163)) : INDEX(W:W, ROW()-1)
   )
   /SUM(INDEX(W:W, ROW()-COUNTIF($F$6:INDEX($F:$F, ROW()-1), $F163)) : INDEX(W:W, ROW()-1)),
   AVERAGEIFS(
     INDEX((unit_details[Asking Rent],unit_details[Asking PSF]),0,1,IF($U$3="Chunk Rent",1,2)),
     unit_details[Leased Date],"&gt;="&amp;($AM$2-T$5),
     unit_details[Leased Date],"&lt;"&amp;$AM$2,
     unit_details[Beds],$L164,
     unit_details[Baths],$M164,
     unit_details[Partial Baths],IF(ISNUMBER($N164),$N164,""),
     unit_details[Sqft],$P164,
     unit_details[Property Name],$F164)
 ),"")</f>
        <v/>
      </c>
      <c r="U164" s="552" t="str">
        <f>IFERROR(
 IF($F164="Total",
   SUMPRODUCT(
   INDEX(U:U, ROW()-COUNTIF($F$6:INDEX($F:$F, ROW()-1), $F163)) : INDEX(U:U, ROW()-1),
   INDEX(W:W, ROW()-COUNTIF($F$6:INDEX($F:$F, ROW()-1), $F163)) : INDEX(W:W, ROW()-1)
   )
   /SUM(INDEX(W:W, ROW()-COUNTIF($F$6:INDEX($F:$F, ROW()-1), $F163)) : INDEX(W:W, ROW()-1)),
   AVERAGEIFS(
     INDEX((unit_details[Effective Rent],unit_details[Effective PSF]),0,1,IF($U$3="Chunk Rent",1,2)),
     unit_details[Leased Date],"&gt;="&amp;($AM$2-T$5),
     unit_details[Leased Date],"&lt;"&amp;$AM$2,
     unit_details[Beds],$L164,
     unit_details[Baths],$M164,
     unit_details[Partial Baths],IF(ISNUMBER($N164),$N164,""),
     unit_details[Sqft],$P164,
     unit_details[Property Name],$F164)
 ),"")</f>
        <v/>
      </c>
      <c r="V164" s="27" t="str">
        <f t="shared" si="32"/>
        <v/>
      </c>
      <c r="W164" s="526">
        <f>IFERROR(
  IF($F164="Total",
    SUM(INDEX(W:W, ROW()-COUNTIF($F$6:INDEX($F:$F, ROW()-1), $F163)) : INDEX(W:W, ROW()-1)),
    COUNTIFS(
      unit_details[Leased Date], "&gt;="&amp;($AM$2-T$5),
      unit_details[Leased Date], "&lt;"&amp;$AM$2,
      unit_details[Beds], $L164,
      unit_details[Baths], $M164,
      unit_details[Partial Baths], IF(ISNUMBER($N164), $N164, ""),
      unit_details[Sqft],$P164,
      unit_details[Property Name], $F164
    )
  ),
"")</f>
        <v>0</v>
      </c>
      <c r="X164" s="531" t="str">
        <f>IFERROR(
 IF($F164="Total",
   SUMPRODUCT(
   INDEX(X:X, ROW()-COUNTIF($F$6:INDEX($F:$F, ROW()-1), $F163)) : INDEX(X:X, ROW()-1),
   INDEX(AA:AA, ROW()-COUNTIF($F$6:INDEX($F:$F, ROW()-1), $F163)) : INDEX(AA:AA, ROW()-1)
   )
   /SUM(INDEX(AA:AA, ROW()-COUNTIF($F$6:INDEX($F:$F, ROW()-1), $F163)) : INDEX(AA:AA, ROW()-1)),
   AVERAGEIFS(
     INDEX((unit_details[Asking Rent],unit_details[Asking PSF]),0,1,IF($U$3="Chunk Rent",1,2)),
     unit_details[Leased Date],"&gt;="&amp;($AM$2-X$5),
     unit_details[Leased Date],"&lt;"&amp;$AM$2,
     unit_details[Beds],$L164,
     unit_details[Baths],$M164,
     unit_details[Partial Baths],IF(ISNUMBER($N164),$N164,""),
     unit_details[Sqft],$P164,
     unit_details[Property Name],$F164)
 ),"")</f>
        <v/>
      </c>
      <c r="Y164" s="552" t="str">
        <f>IFERROR(
 IF($F164="Total",
   SUMPRODUCT(
   INDEX(Y:Y, ROW()-COUNTIF($F$6:INDEX($F:$F, ROW()-1), $F163)) : INDEX(Y:Y, ROW()-1),
   INDEX(AA:AA, ROW()-COUNTIF($F$6:INDEX($F:$F, ROW()-1), $F163)) : INDEX(AA:AA, ROW()-1)
   )
   /SUM(INDEX(AA:AA, ROW()-COUNTIF($F$6:INDEX($F:$F, ROW()-1), $F163)) : INDEX(AA:AA, ROW()-1)),
   AVERAGEIFS(
     INDEX((unit_details[Effective Rent],unit_details[Effective PSF]),0,1,IF($U$3="Chunk Rent",1,2)),
     unit_details[Leased Date],"&gt;="&amp;($AM$2-X$5),
     unit_details[Leased Date],"&lt;"&amp;$AM$2,
     unit_details[Beds],$L164,
     unit_details[Baths],$M164,
     unit_details[Partial Baths],IF(ISNUMBER($N164),$N164,""),
     unit_details[Sqft],$P164,
     unit_details[Property Name],$F164)
 ),"")</f>
        <v/>
      </c>
      <c r="Z164" s="27" t="str">
        <f t="shared" si="33"/>
        <v/>
      </c>
      <c r="AA164" s="526">
        <f>IFERROR(
  IF($F164="Total",
    SUM(INDEX(AA:AA, ROW()-COUNTIF($F$6:INDEX($F:$F, ROW()-1), $F163)) : INDEX(AA:AA, ROW()-1)),
    COUNTIFS(
      unit_details[Leased Date], "&gt;="&amp;($AM$2-X$5),
      unit_details[Leased Date], "&lt;"&amp;$AM$2,
      unit_details[Beds], $L164,
      unit_details[Baths], $M164,
      unit_details[Partial Baths], IF(ISNUMBER($N164), $N164, ""),
      unit_details[Sqft],$P164,
      unit_details[Property Name], $F164
    )
  ),
"")</f>
        <v>0</v>
      </c>
      <c r="AB164" s="290">
        <f>IF($F164="Total",
SUM(INDEX(AB:AB, ROW()-COUNTIF($F$6:INDEX($F:$F, ROW()-1), $F163)) : INDEX(AB:AB, ROW()-1)),
COUNTIFS(unit_details[Active Listing?],TRUE,
          unit_details[Property Name], $F164,
          unit_details[Beds], $L164,
          unit_details[Baths], $M164,
          unit_details[Partial Baths],IF(ISNUMBER($N164),$N164,""),
          unit_details[Sqft],$P164))</f>
        <v>0</v>
      </c>
      <c r="AC164" s="27" t="str">
        <f t="shared" si="25"/>
        <v/>
      </c>
      <c r="AD164" s="293" t="str">
        <f>IFERROR(IF(AE164="","",IF($F164="Total",
SUMPRODUCT(
   INDEX(AD:AD, ROW()-COUNTIF($F$6:INDEX($F:$F, ROW()-1), $F163)) : INDEX(AD:AD, ROW()-1),
   INDEX(AB:AB, ROW()-COUNTIF($F$6:INDEX($F:$F, ROW()-1), $F163)) : INDEX(AB:AB, ROW()-1)
   )
   /SUM(INDEX(AB:AB, ROW()-COUNTIF($F$6:INDEX($F:$F, ROW()-1), $F163)) : INDEX(AB:AB, ROW()-1)),
          _xlfn.MINIFS(unit_details[Asking Rent],
          unit_details[Active Listing?],TRUE,
          unit_details[Property Name], $F164,
          unit_details[Beds], $L164,
          unit_details[Baths], $M164,
          unit_details[Partial Baths], IF(ISNUMBER($N164),$N164,""),
          unit_details[Sqft],$P164
))),"")</f>
        <v/>
      </c>
      <c r="AE164" s="5" t="str">
        <f>IFERROR(IF($F164="Total",
          SUMPRODUCT(
   INDEX(AE:AE, ROW()-COUNTIF($F$6:INDEX($F:$F, ROW()-1), $F163)) : INDEX(AE:AE, ROW()-1),
   INDEX(AB:AB, ROW()-COUNTIF($F$6:INDEX($F:$F, ROW()-1), $F163)) : INDEX(AB:AB, ROW()-1)
   )
   /SUM(INDEX(AB:AB, ROW()-COUNTIF($F$6:INDEX($F:$F, ROW()-1), $F163)) : INDEX(AB:AB, ROW()-1)),
          AVERAGEIFS(unit_details[Asking Rent],
          unit_details[Active Listing?],TRUE,
          unit_details[Property Name], $F164,
          unit_details[Beds], $L164,
          unit_details[Baths], $M164,
          unit_details[Partial Baths], IF(ISNUMBER($N164),$N164,""),
          unit_details[Sqft],$P164
)),"")</f>
        <v/>
      </c>
      <c r="AF164" s="5" t="str">
        <f>IFERROR(IF(AE164="","",IF($F164="Total",
SUMPRODUCT(
   INDEX(AF:AF, ROW()-COUNTIF($F$6:INDEX($F:$F, ROW()-1), $F163)) : INDEX(AF:AF, ROW()-1),
   INDEX(AB:AB, ROW()-COUNTIF($F$6:INDEX($F:$F, ROW()-1), $F163)) : INDEX(AB:AB, ROW()-1)
   )
   /SUM(INDEX(AB:AB, ROW()-COUNTIF($F$6:INDEX($F:$F, ROW()-1), $F163)) : INDEX(AB:AB, ROW()-1)),
           _xlfn.MAXIFS(unit_details[Asking Rent],
          unit_details[Active Listing?],TRUE,
          unit_details[Property Name], $F164,
          unit_details[Beds], $L164,
          unit_details[Baths], $M164,
          unit_details[Partial Baths], IF(ISNUMBER($N164),$N164,""),
          unit_details[Sqft],$P164
))),"")</f>
        <v/>
      </c>
      <c r="AG164" s="6" t="str">
        <f>IFERROR(IF($F164="Total",
         SUMPRODUCT(
         INDEX(AG:AG, ROW()-COUNTIF($F$6:INDEX($F:$F, ROW()-1), $F163)) : INDEX(AG:AG, ROW()-1),
         INDEX(AB:AB, ROW()-COUNTIF($F$6:INDEX($F:$F, ROW()-1), $F163)) : INDEX(AB:AB, ROW()-1)
         )
         /SUM(INDEX(AB:AB, ROW()-COUNTIF($F$6:INDEX($F:$F, ROW()-1), $F163)) : INDEX(AB:AB, ROW()-1)),
          AVERAGEIFS(unit_details[Asking PSF],
          unit_details[Active Listing?],TRUE,
          unit_details[Property Name], $F164,
          unit_details[Beds], $L164,
          unit_details[Baths], $M164,
          unit_details[Partial Baths], IF(ISNUMBER($N164),$N164,""),
          unit_details[Sqft],$P164
)),"")</f>
        <v/>
      </c>
      <c r="AH164" s="293" t="str">
        <f>IFERROR(IF($F164="Total",
         SUMPRODUCT(
         INDEX(AH:AH, ROW()-COUNTIF($F$6:INDEX($F:$F, ROW()-1), $F163)) : INDEX(AH:AH, ROW()-1),
         INDEX(AB:AB, ROW()-COUNTIF($F$6:INDEX($F:$F, ROW()-1), $F163)) : INDEX(AB:AB, ROW()-1)
         )
         /SUM(INDEX(AB:AB, ROW()-COUNTIF($F$6:INDEX($F:$F, ROW()-1), $F163)) : INDEX(AB:AB, ROW()-1)),
          AVERAGEIFS(unit_details[Effective Rent],
          unit_details[Active Listing?],TRUE,
          unit_details[Property Name], $F164,
          unit_details[Beds], $L164,
          unit_details[Baths], $M164,
          unit_details[Partial Baths], IF(ISNUMBER($N164),$N164,""),
          unit_details[Sqft],$P164
)),"")</f>
        <v/>
      </c>
      <c r="AI164" s="6" t="str">
        <f>IFERROR(IF($F164="Total",
         SUMPRODUCT(
         INDEX(AI:AI, ROW()-COUNTIF($F$6:INDEX($F:$F, ROW()-1), $F163)) : INDEX(AI:AI, ROW()-1),
         INDEX(AB:AB, ROW()-COUNTIF($F$6:INDEX($F:$F, ROW()-1), $F163)) : INDEX(AB:AB, ROW()-1)
         )
         /SUM(INDEX(AB:AB, ROW()-COUNTIF($F$6:INDEX($F:$F, ROW()-1), $F163)) : INDEX(AB:AB, ROW()-1)),
           AVERAGEIFS(unit_details[Effective PSF],
          unit_details[Active Listing?],TRUE,
          unit_details[Property Name], $F164,
          unit_details[Beds], $L164,
          unit_details[Baths], $M164,
          unit_details[Partial Baths], IF(ISNUMBER($N164),$N164,""),
          unit_details[Sqft],$P164
)),"")</f>
        <v/>
      </c>
      <c r="AJ164" s="824" t="str">
        <f t="shared" si="26"/>
        <v/>
      </c>
      <c r="AK164" s="531" t="str">
        <f t="shared" si="27"/>
        <v/>
      </c>
      <c r="AL164" s="714" t="str">
        <f t="shared" si="28"/>
        <v/>
      </c>
      <c r="AM164" s="531" t="str">
        <f t="shared" si="29"/>
        <v/>
      </c>
      <c r="AN164" s="716" t="str">
        <f t="shared" si="30"/>
        <v/>
      </c>
    </row>
    <row r="165" spans="6:40" x14ac:dyDescent="0.2">
      <c r="F165" s="1" t="str">
        <f t="shared" si="23"/>
        <v/>
      </c>
      <c r="G165" s="713" t="str">
        <f t="shared" si="31"/>
        <v/>
      </c>
      <c r="H165" s="17" t="str">
        <f>IFERROR(VLOOKUP($G165,Table1[[Property]:[Exposure %]],4,0),"")</f>
        <v/>
      </c>
      <c r="I165" s="3" t="str">
        <f>IFERROR(VLOOKUP($G165,Table1[[Property]:[Exposure %]],6,0),"")</f>
        <v/>
      </c>
      <c r="J165" s="3" t="str">
        <f>IFERROR(VLOOKUP($G165,Table1[[Property]:[Exposure %]],7,0),"")</f>
        <v/>
      </c>
      <c r="K165"/>
      <c r="L165"/>
      <c r="M165"/>
      <c r="N165"/>
      <c r="O165"/>
      <c r="P165"/>
      <c r="Q165"/>
      <c r="R165" s="4" t="str">
        <f>IFERROR(VLOOKUP(IF(F165="Total",F164,F165),Table1[[Property]:['# Units]],7,0)*S165,"")</f>
        <v/>
      </c>
      <c r="S165" s="27" t="str">
        <f t="shared" si="24"/>
        <v/>
      </c>
      <c r="T165" s="531" t="str">
        <f>IFERROR(
 IF($F165="Total",
   SUMPRODUCT(
   INDEX(T:T, ROW()-COUNTIF($F$6:INDEX($F:$F, ROW()-1), $F164)) : INDEX(T:T, ROW()-1),
   INDEX(W:W, ROW()-COUNTIF($F$6:INDEX($F:$F, ROW()-1), $F164)) : INDEX(W:W, ROW()-1)
   )
   /SUM(INDEX(W:W, ROW()-COUNTIF($F$6:INDEX($F:$F, ROW()-1), $F164)) : INDEX(W:W, ROW()-1)),
   AVERAGEIFS(
     INDEX((unit_details[Asking Rent],unit_details[Asking PSF]),0,1,IF($U$3="Chunk Rent",1,2)),
     unit_details[Leased Date],"&gt;="&amp;($AM$2-T$5),
     unit_details[Leased Date],"&lt;"&amp;$AM$2,
     unit_details[Beds],$L165,
     unit_details[Baths],$M165,
     unit_details[Partial Baths],IF(ISNUMBER($N165),$N165,""),
     unit_details[Sqft],$P165,
     unit_details[Property Name],$F165)
 ),"")</f>
        <v/>
      </c>
      <c r="U165" s="552" t="str">
        <f>IFERROR(
 IF($F165="Total",
   SUMPRODUCT(
   INDEX(U:U, ROW()-COUNTIF($F$6:INDEX($F:$F, ROW()-1), $F164)) : INDEX(U:U, ROW()-1),
   INDEX(W:W, ROW()-COUNTIF($F$6:INDEX($F:$F, ROW()-1), $F164)) : INDEX(W:W, ROW()-1)
   )
   /SUM(INDEX(W:W, ROW()-COUNTIF($F$6:INDEX($F:$F, ROW()-1), $F164)) : INDEX(W:W, ROW()-1)),
   AVERAGEIFS(
     INDEX((unit_details[Effective Rent],unit_details[Effective PSF]),0,1,IF($U$3="Chunk Rent",1,2)),
     unit_details[Leased Date],"&gt;="&amp;($AM$2-T$5),
     unit_details[Leased Date],"&lt;"&amp;$AM$2,
     unit_details[Beds],$L165,
     unit_details[Baths],$M165,
     unit_details[Partial Baths],IF(ISNUMBER($N165),$N165,""),
     unit_details[Sqft],$P165,
     unit_details[Property Name],$F165)
 ),"")</f>
        <v/>
      </c>
      <c r="V165" s="27" t="str">
        <f t="shared" si="32"/>
        <v/>
      </c>
      <c r="W165" s="526">
        <f>IFERROR(
  IF($F165="Total",
    SUM(INDEX(W:W, ROW()-COUNTIF($F$6:INDEX($F:$F, ROW()-1), $F164)) : INDEX(W:W, ROW()-1)),
    COUNTIFS(
      unit_details[Leased Date], "&gt;="&amp;($AM$2-T$5),
      unit_details[Leased Date], "&lt;"&amp;$AM$2,
      unit_details[Beds], $L165,
      unit_details[Baths], $M165,
      unit_details[Partial Baths], IF(ISNUMBER($N165), $N165, ""),
      unit_details[Sqft],$P165,
      unit_details[Property Name], $F165
    )
  ),
"")</f>
        <v>0</v>
      </c>
      <c r="X165" s="531" t="str">
        <f>IFERROR(
 IF($F165="Total",
   SUMPRODUCT(
   INDEX(X:X, ROW()-COUNTIF($F$6:INDEX($F:$F, ROW()-1), $F164)) : INDEX(X:X, ROW()-1),
   INDEX(AA:AA, ROW()-COUNTIF($F$6:INDEX($F:$F, ROW()-1), $F164)) : INDEX(AA:AA, ROW()-1)
   )
   /SUM(INDEX(AA:AA, ROW()-COUNTIF($F$6:INDEX($F:$F, ROW()-1), $F164)) : INDEX(AA:AA, ROW()-1)),
   AVERAGEIFS(
     INDEX((unit_details[Asking Rent],unit_details[Asking PSF]),0,1,IF($U$3="Chunk Rent",1,2)),
     unit_details[Leased Date],"&gt;="&amp;($AM$2-X$5),
     unit_details[Leased Date],"&lt;"&amp;$AM$2,
     unit_details[Beds],$L165,
     unit_details[Baths],$M165,
     unit_details[Partial Baths],IF(ISNUMBER($N165),$N165,""),
     unit_details[Sqft],$P165,
     unit_details[Property Name],$F165)
 ),"")</f>
        <v/>
      </c>
      <c r="Y165" s="552" t="str">
        <f>IFERROR(
 IF($F165="Total",
   SUMPRODUCT(
   INDEX(Y:Y, ROW()-COUNTIF($F$6:INDEX($F:$F, ROW()-1), $F164)) : INDEX(Y:Y, ROW()-1),
   INDEX(AA:AA, ROW()-COUNTIF($F$6:INDEX($F:$F, ROW()-1), $F164)) : INDEX(AA:AA, ROW()-1)
   )
   /SUM(INDEX(AA:AA, ROW()-COUNTIF($F$6:INDEX($F:$F, ROW()-1), $F164)) : INDEX(AA:AA, ROW()-1)),
   AVERAGEIFS(
     INDEX((unit_details[Effective Rent],unit_details[Effective PSF]),0,1,IF($U$3="Chunk Rent",1,2)),
     unit_details[Leased Date],"&gt;="&amp;($AM$2-X$5),
     unit_details[Leased Date],"&lt;"&amp;$AM$2,
     unit_details[Beds],$L165,
     unit_details[Baths],$M165,
     unit_details[Partial Baths],IF(ISNUMBER($N165),$N165,""),
     unit_details[Sqft],$P165,
     unit_details[Property Name],$F165)
 ),"")</f>
        <v/>
      </c>
      <c r="Z165" s="27" t="str">
        <f t="shared" si="33"/>
        <v/>
      </c>
      <c r="AA165" s="526">
        <f>IFERROR(
  IF($F165="Total",
    SUM(INDEX(AA:AA, ROW()-COUNTIF($F$6:INDEX($F:$F, ROW()-1), $F164)) : INDEX(AA:AA, ROW()-1)),
    COUNTIFS(
      unit_details[Leased Date], "&gt;="&amp;($AM$2-X$5),
      unit_details[Leased Date], "&lt;"&amp;$AM$2,
      unit_details[Beds], $L165,
      unit_details[Baths], $M165,
      unit_details[Partial Baths], IF(ISNUMBER($N165), $N165, ""),
      unit_details[Sqft],$P165,
      unit_details[Property Name], $F165
    )
  ),
"")</f>
        <v>0</v>
      </c>
      <c r="AB165" s="290">
        <f>IF($F165="Total",
SUM(INDEX(AB:AB, ROW()-COUNTIF($F$6:INDEX($F:$F, ROW()-1), $F164)) : INDEX(AB:AB, ROW()-1)),
COUNTIFS(unit_details[Active Listing?],TRUE,
          unit_details[Property Name], $F165,
          unit_details[Beds], $L165,
          unit_details[Baths], $M165,
          unit_details[Partial Baths],IF(ISNUMBER($N165),$N165,""),
          unit_details[Sqft],$P165))</f>
        <v>0</v>
      </c>
      <c r="AC165" s="27" t="str">
        <f t="shared" si="25"/>
        <v/>
      </c>
      <c r="AD165" s="293" t="str">
        <f>IFERROR(IF(AE165="","",IF($F165="Total",
SUMPRODUCT(
   INDEX(AD:AD, ROW()-COUNTIF($F$6:INDEX($F:$F, ROW()-1), $F164)) : INDEX(AD:AD, ROW()-1),
   INDEX(AB:AB, ROW()-COUNTIF($F$6:INDEX($F:$F, ROW()-1), $F164)) : INDEX(AB:AB, ROW()-1)
   )
   /SUM(INDEX(AB:AB, ROW()-COUNTIF($F$6:INDEX($F:$F, ROW()-1), $F164)) : INDEX(AB:AB, ROW()-1)),
          _xlfn.MINIFS(unit_details[Asking Rent],
          unit_details[Active Listing?],TRUE,
          unit_details[Property Name], $F165,
          unit_details[Beds], $L165,
          unit_details[Baths], $M165,
          unit_details[Partial Baths], IF(ISNUMBER($N165),$N165,""),
          unit_details[Sqft],$P165
))),"")</f>
        <v/>
      </c>
      <c r="AE165" s="5" t="str">
        <f>IFERROR(IF($F165="Total",
          SUMPRODUCT(
   INDEX(AE:AE, ROW()-COUNTIF($F$6:INDEX($F:$F, ROW()-1), $F164)) : INDEX(AE:AE, ROW()-1),
   INDEX(AB:AB, ROW()-COUNTIF($F$6:INDEX($F:$F, ROW()-1), $F164)) : INDEX(AB:AB, ROW()-1)
   )
   /SUM(INDEX(AB:AB, ROW()-COUNTIF($F$6:INDEX($F:$F, ROW()-1), $F164)) : INDEX(AB:AB, ROW()-1)),
          AVERAGEIFS(unit_details[Asking Rent],
          unit_details[Active Listing?],TRUE,
          unit_details[Property Name], $F165,
          unit_details[Beds], $L165,
          unit_details[Baths], $M165,
          unit_details[Partial Baths], IF(ISNUMBER($N165),$N165,""),
          unit_details[Sqft],$P165
)),"")</f>
        <v/>
      </c>
      <c r="AF165" s="5" t="str">
        <f>IFERROR(IF(AE165="","",IF($F165="Total",
SUMPRODUCT(
   INDEX(AF:AF, ROW()-COUNTIF($F$6:INDEX($F:$F, ROW()-1), $F164)) : INDEX(AF:AF, ROW()-1),
   INDEX(AB:AB, ROW()-COUNTIF($F$6:INDEX($F:$F, ROW()-1), $F164)) : INDEX(AB:AB, ROW()-1)
   )
   /SUM(INDEX(AB:AB, ROW()-COUNTIF($F$6:INDEX($F:$F, ROW()-1), $F164)) : INDEX(AB:AB, ROW()-1)),
           _xlfn.MAXIFS(unit_details[Asking Rent],
          unit_details[Active Listing?],TRUE,
          unit_details[Property Name], $F165,
          unit_details[Beds], $L165,
          unit_details[Baths], $M165,
          unit_details[Partial Baths], IF(ISNUMBER($N165),$N165,""),
          unit_details[Sqft],$P165
))),"")</f>
        <v/>
      </c>
      <c r="AG165" s="6" t="str">
        <f>IFERROR(IF($F165="Total",
         SUMPRODUCT(
         INDEX(AG:AG, ROW()-COUNTIF($F$6:INDEX($F:$F, ROW()-1), $F164)) : INDEX(AG:AG, ROW()-1),
         INDEX(AB:AB, ROW()-COUNTIF($F$6:INDEX($F:$F, ROW()-1), $F164)) : INDEX(AB:AB, ROW()-1)
         )
         /SUM(INDEX(AB:AB, ROW()-COUNTIF($F$6:INDEX($F:$F, ROW()-1), $F164)) : INDEX(AB:AB, ROW()-1)),
          AVERAGEIFS(unit_details[Asking PSF],
          unit_details[Active Listing?],TRUE,
          unit_details[Property Name], $F165,
          unit_details[Beds], $L165,
          unit_details[Baths], $M165,
          unit_details[Partial Baths], IF(ISNUMBER($N165),$N165,""),
          unit_details[Sqft],$P165
)),"")</f>
        <v/>
      </c>
      <c r="AH165" s="293" t="str">
        <f>IFERROR(IF($F165="Total",
         SUMPRODUCT(
         INDEX(AH:AH, ROW()-COUNTIF($F$6:INDEX($F:$F, ROW()-1), $F164)) : INDEX(AH:AH, ROW()-1),
         INDEX(AB:AB, ROW()-COUNTIF($F$6:INDEX($F:$F, ROW()-1), $F164)) : INDEX(AB:AB, ROW()-1)
         )
         /SUM(INDEX(AB:AB, ROW()-COUNTIF($F$6:INDEX($F:$F, ROW()-1), $F164)) : INDEX(AB:AB, ROW()-1)),
          AVERAGEIFS(unit_details[Effective Rent],
          unit_details[Active Listing?],TRUE,
          unit_details[Property Name], $F165,
          unit_details[Beds], $L165,
          unit_details[Baths], $M165,
          unit_details[Partial Baths], IF(ISNUMBER($N165),$N165,""),
          unit_details[Sqft],$P165
)),"")</f>
        <v/>
      </c>
      <c r="AI165" s="6" t="str">
        <f>IFERROR(IF($F165="Total",
         SUMPRODUCT(
         INDEX(AI:AI, ROW()-COUNTIF($F$6:INDEX($F:$F, ROW()-1), $F164)) : INDEX(AI:AI, ROW()-1),
         INDEX(AB:AB, ROW()-COUNTIF($F$6:INDEX($F:$F, ROW()-1), $F164)) : INDEX(AB:AB, ROW()-1)
         )
         /SUM(INDEX(AB:AB, ROW()-COUNTIF($F$6:INDEX($F:$F, ROW()-1), $F164)) : INDEX(AB:AB, ROW()-1)),
           AVERAGEIFS(unit_details[Effective PSF],
          unit_details[Active Listing?],TRUE,
          unit_details[Property Name], $F165,
          unit_details[Beds], $L165,
          unit_details[Baths], $M165,
          unit_details[Partial Baths], IF(ISNUMBER($N165),$N165,""),
          unit_details[Sqft],$P165
)),"")</f>
        <v/>
      </c>
      <c r="AJ165" s="824" t="str">
        <f t="shared" si="26"/>
        <v/>
      </c>
      <c r="AK165" s="531" t="str">
        <f t="shared" si="27"/>
        <v/>
      </c>
      <c r="AL165" s="714" t="str">
        <f t="shared" si="28"/>
        <v/>
      </c>
      <c r="AM165" s="531" t="str">
        <f t="shared" si="29"/>
        <v/>
      </c>
      <c r="AN165" s="716" t="str">
        <f t="shared" si="30"/>
        <v/>
      </c>
    </row>
    <row r="166" spans="6:40" x14ac:dyDescent="0.2">
      <c r="F166" s="1" t="str">
        <f t="shared" si="23"/>
        <v/>
      </c>
      <c r="G166" s="713" t="str">
        <f t="shared" si="31"/>
        <v/>
      </c>
      <c r="H166" s="17" t="str">
        <f>IFERROR(VLOOKUP($G166,Table1[[Property]:[Exposure %]],4,0),"")</f>
        <v/>
      </c>
      <c r="I166" s="3" t="str">
        <f>IFERROR(VLOOKUP($G166,Table1[[Property]:[Exposure %]],6,0),"")</f>
        <v/>
      </c>
      <c r="J166" s="3" t="str">
        <f>IFERROR(VLOOKUP($G166,Table1[[Property]:[Exposure %]],7,0),"")</f>
        <v/>
      </c>
      <c r="K166"/>
      <c r="L166"/>
      <c r="M166"/>
      <c r="N166"/>
      <c r="O166"/>
      <c r="P166"/>
      <c r="Q166"/>
      <c r="R166" s="4" t="str">
        <f>IFERROR(VLOOKUP(IF(F166="Total",F165,F166),Table1[[Property]:['# Units]],7,0)*S166,"")</f>
        <v/>
      </c>
      <c r="S166" s="27" t="str">
        <f t="shared" si="24"/>
        <v/>
      </c>
      <c r="T166" s="531" t="str">
        <f>IFERROR(
 IF($F166="Total",
   SUMPRODUCT(
   INDEX(T:T, ROW()-COUNTIF($F$6:INDEX($F:$F, ROW()-1), $F165)) : INDEX(T:T, ROW()-1),
   INDEX(W:W, ROW()-COUNTIF($F$6:INDEX($F:$F, ROW()-1), $F165)) : INDEX(W:W, ROW()-1)
   )
   /SUM(INDEX(W:W, ROW()-COUNTIF($F$6:INDEX($F:$F, ROW()-1), $F165)) : INDEX(W:W, ROW()-1)),
   AVERAGEIFS(
     INDEX((unit_details[Asking Rent],unit_details[Asking PSF]),0,1,IF($U$3="Chunk Rent",1,2)),
     unit_details[Leased Date],"&gt;="&amp;($AM$2-T$5),
     unit_details[Leased Date],"&lt;"&amp;$AM$2,
     unit_details[Beds],$L166,
     unit_details[Baths],$M166,
     unit_details[Partial Baths],IF(ISNUMBER($N166),$N166,""),
     unit_details[Sqft],$P166,
     unit_details[Property Name],$F166)
 ),"")</f>
        <v/>
      </c>
      <c r="U166" s="552" t="str">
        <f>IFERROR(
 IF($F166="Total",
   SUMPRODUCT(
   INDEX(U:U, ROW()-COUNTIF($F$6:INDEX($F:$F, ROW()-1), $F165)) : INDEX(U:U, ROW()-1),
   INDEX(W:W, ROW()-COUNTIF($F$6:INDEX($F:$F, ROW()-1), $F165)) : INDEX(W:W, ROW()-1)
   )
   /SUM(INDEX(W:W, ROW()-COUNTIF($F$6:INDEX($F:$F, ROW()-1), $F165)) : INDEX(W:W, ROW()-1)),
   AVERAGEIFS(
     INDEX((unit_details[Effective Rent],unit_details[Effective PSF]),0,1,IF($U$3="Chunk Rent",1,2)),
     unit_details[Leased Date],"&gt;="&amp;($AM$2-T$5),
     unit_details[Leased Date],"&lt;"&amp;$AM$2,
     unit_details[Beds],$L166,
     unit_details[Baths],$M166,
     unit_details[Partial Baths],IF(ISNUMBER($N166),$N166,""),
     unit_details[Sqft],$P166,
     unit_details[Property Name],$F166)
 ),"")</f>
        <v/>
      </c>
      <c r="V166" s="27" t="str">
        <f t="shared" si="32"/>
        <v/>
      </c>
      <c r="W166" s="526">
        <f>IFERROR(
  IF($F166="Total",
    SUM(INDEX(W:W, ROW()-COUNTIF($F$6:INDEX($F:$F, ROW()-1), $F165)) : INDEX(W:W, ROW()-1)),
    COUNTIFS(
      unit_details[Leased Date], "&gt;="&amp;($AM$2-T$5),
      unit_details[Leased Date], "&lt;"&amp;$AM$2,
      unit_details[Beds], $L166,
      unit_details[Baths], $M166,
      unit_details[Partial Baths], IF(ISNUMBER($N166), $N166, ""),
      unit_details[Sqft],$P166,
      unit_details[Property Name], $F166
    )
  ),
"")</f>
        <v>0</v>
      </c>
      <c r="X166" s="531" t="str">
        <f>IFERROR(
 IF($F166="Total",
   SUMPRODUCT(
   INDEX(X:X, ROW()-COUNTIF($F$6:INDEX($F:$F, ROW()-1), $F165)) : INDEX(X:X, ROW()-1),
   INDEX(AA:AA, ROW()-COUNTIF($F$6:INDEX($F:$F, ROW()-1), $F165)) : INDEX(AA:AA, ROW()-1)
   )
   /SUM(INDEX(AA:AA, ROW()-COUNTIF($F$6:INDEX($F:$F, ROW()-1), $F165)) : INDEX(AA:AA, ROW()-1)),
   AVERAGEIFS(
     INDEX((unit_details[Asking Rent],unit_details[Asking PSF]),0,1,IF($U$3="Chunk Rent",1,2)),
     unit_details[Leased Date],"&gt;="&amp;($AM$2-X$5),
     unit_details[Leased Date],"&lt;"&amp;$AM$2,
     unit_details[Beds],$L166,
     unit_details[Baths],$M166,
     unit_details[Partial Baths],IF(ISNUMBER($N166),$N166,""),
     unit_details[Sqft],$P166,
     unit_details[Property Name],$F166)
 ),"")</f>
        <v/>
      </c>
      <c r="Y166" s="552" t="str">
        <f>IFERROR(
 IF($F166="Total",
   SUMPRODUCT(
   INDEX(Y:Y, ROW()-COUNTIF($F$6:INDEX($F:$F, ROW()-1), $F165)) : INDEX(Y:Y, ROW()-1),
   INDEX(AA:AA, ROW()-COUNTIF($F$6:INDEX($F:$F, ROW()-1), $F165)) : INDEX(AA:AA, ROW()-1)
   )
   /SUM(INDEX(AA:AA, ROW()-COUNTIF($F$6:INDEX($F:$F, ROW()-1), $F165)) : INDEX(AA:AA, ROW()-1)),
   AVERAGEIFS(
     INDEX((unit_details[Effective Rent],unit_details[Effective PSF]),0,1,IF($U$3="Chunk Rent",1,2)),
     unit_details[Leased Date],"&gt;="&amp;($AM$2-X$5),
     unit_details[Leased Date],"&lt;"&amp;$AM$2,
     unit_details[Beds],$L166,
     unit_details[Baths],$M166,
     unit_details[Partial Baths],IF(ISNUMBER($N166),$N166,""),
     unit_details[Sqft],$P166,
     unit_details[Property Name],$F166)
 ),"")</f>
        <v/>
      </c>
      <c r="Z166" s="27" t="str">
        <f t="shared" si="33"/>
        <v/>
      </c>
      <c r="AA166" s="526">
        <f>IFERROR(
  IF($F166="Total",
    SUM(INDEX(AA:AA, ROW()-COUNTIF($F$6:INDEX($F:$F, ROW()-1), $F165)) : INDEX(AA:AA, ROW()-1)),
    COUNTIFS(
      unit_details[Leased Date], "&gt;="&amp;($AM$2-X$5),
      unit_details[Leased Date], "&lt;"&amp;$AM$2,
      unit_details[Beds], $L166,
      unit_details[Baths], $M166,
      unit_details[Partial Baths], IF(ISNUMBER($N166), $N166, ""),
      unit_details[Sqft],$P166,
      unit_details[Property Name], $F166
    )
  ),
"")</f>
        <v>0</v>
      </c>
      <c r="AB166" s="290">
        <f>IF($F166="Total",
SUM(INDEX(AB:AB, ROW()-COUNTIF($F$6:INDEX($F:$F, ROW()-1), $F165)) : INDEX(AB:AB, ROW()-1)),
COUNTIFS(unit_details[Active Listing?],TRUE,
          unit_details[Property Name], $F166,
          unit_details[Beds], $L166,
          unit_details[Baths], $M166,
          unit_details[Partial Baths],IF(ISNUMBER($N166),$N166,""),
          unit_details[Sqft],$P166))</f>
        <v>0</v>
      </c>
      <c r="AC166" s="27" t="str">
        <f t="shared" si="25"/>
        <v/>
      </c>
      <c r="AD166" s="293" t="str">
        <f>IFERROR(IF(AE166="","",IF($F166="Total",
SUMPRODUCT(
   INDEX(AD:AD, ROW()-COUNTIF($F$6:INDEX($F:$F, ROW()-1), $F165)) : INDEX(AD:AD, ROW()-1),
   INDEX(AB:AB, ROW()-COUNTIF($F$6:INDEX($F:$F, ROW()-1), $F165)) : INDEX(AB:AB, ROW()-1)
   )
   /SUM(INDEX(AB:AB, ROW()-COUNTIF($F$6:INDEX($F:$F, ROW()-1), $F165)) : INDEX(AB:AB, ROW()-1)),
          _xlfn.MINIFS(unit_details[Asking Rent],
          unit_details[Active Listing?],TRUE,
          unit_details[Property Name], $F166,
          unit_details[Beds], $L166,
          unit_details[Baths], $M166,
          unit_details[Partial Baths], IF(ISNUMBER($N166),$N166,""),
          unit_details[Sqft],$P166
))),"")</f>
        <v/>
      </c>
      <c r="AE166" s="5" t="str">
        <f>IFERROR(IF($F166="Total",
          SUMPRODUCT(
   INDEX(AE:AE, ROW()-COUNTIF($F$6:INDEX($F:$F, ROW()-1), $F165)) : INDEX(AE:AE, ROW()-1),
   INDEX(AB:AB, ROW()-COUNTIF($F$6:INDEX($F:$F, ROW()-1), $F165)) : INDEX(AB:AB, ROW()-1)
   )
   /SUM(INDEX(AB:AB, ROW()-COUNTIF($F$6:INDEX($F:$F, ROW()-1), $F165)) : INDEX(AB:AB, ROW()-1)),
          AVERAGEIFS(unit_details[Asking Rent],
          unit_details[Active Listing?],TRUE,
          unit_details[Property Name], $F166,
          unit_details[Beds], $L166,
          unit_details[Baths], $M166,
          unit_details[Partial Baths], IF(ISNUMBER($N166),$N166,""),
          unit_details[Sqft],$P166
)),"")</f>
        <v/>
      </c>
      <c r="AF166" s="5" t="str">
        <f>IFERROR(IF(AE166="","",IF($F166="Total",
SUMPRODUCT(
   INDEX(AF:AF, ROW()-COUNTIF($F$6:INDEX($F:$F, ROW()-1), $F165)) : INDEX(AF:AF, ROW()-1),
   INDEX(AB:AB, ROW()-COUNTIF($F$6:INDEX($F:$F, ROW()-1), $F165)) : INDEX(AB:AB, ROW()-1)
   )
   /SUM(INDEX(AB:AB, ROW()-COUNTIF($F$6:INDEX($F:$F, ROW()-1), $F165)) : INDEX(AB:AB, ROW()-1)),
           _xlfn.MAXIFS(unit_details[Asking Rent],
          unit_details[Active Listing?],TRUE,
          unit_details[Property Name], $F166,
          unit_details[Beds], $L166,
          unit_details[Baths], $M166,
          unit_details[Partial Baths], IF(ISNUMBER($N166),$N166,""),
          unit_details[Sqft],$P166
))),"")</f>
        <v/>
      </c>
      <c r="AG166" s="6" t="str">
        <f>IFERROR(IF($F166="Total",
         SUMPRODUCT(
         INDEX(AG:AG, ROW()-COUNTIF($F$6:INDEX($F:$F, ROW()-1), $F165)) : INDEX(AG:AG, ROW()-1),
         INDEX(AB:AB, ROW()-COUNTIF($F$6:INDEX($F:$F, ROW()-1), $F165)) : INDEX(AB:AB, ROW()-1)
         )
         /SUM(INDEX(AB:AB, ROW()-COUNTIF($F$6:INDEX($F:$F, ROW()-1), $F165)) : INDEX(AB:AB, ROW()-1)),
          AVERAGEIFS(unit_details[Asking PSF],
          unit_details[Active Listing?],TRUE,
          unit_details[Property Name], $F166,
          unit_details[Beds], $L166,
          unit_details[Baths], $M166,
          unit_details[Partial Baths], IF(ISNUMBER($N166),$N166,""),
          unit_details[Sqft],$P166
)),"")</f>
        <v/>
      </c>
      <c r="AH166" s="293" t="str">
        <f>IFERROR(IF($F166="Total",
         SUMPRODUCT(
         INDEX(AH:AH, ROW()-COUNTIF($F$6:INDEX($F:$F, ROW()-1), $F165)) : INDEX(AH:AH, ROW()-1),
         INDEX(AB:AB, ROW()-COUNTIF($F$6:INDEX($F:$F, ROW()-1), $F165)) : INDEX(AB:AB, ROW()-1)
         )
         /SUM(INDEX(AB:AB, ROW()-COUNTIF($F$6:INDEX($F:$F, ROW()-1), $F165)) : INDEX(AB:AB, ROW()-1)),
          AVERAGEIFS(unit_details[Effective Rent],
          unit_details[Active Listing?],TRUE,
          unit_details[Property Name], $F166,
          unit_details[Beds], $L166,
          unit_details[Baths], $M166,
          unit_details[Partial Baths], IF(ISNUMBER($N166),$N166,""),
          unit_details[Sqft],$P166
)),"")</f>
        <v/>
      </c>
      <c r="AI166" s="6" t="str">
        <f>IFERROR(IF($F166="Total",
         SUMPRODUCT(
         INDEX(AI:AI, ROW()-COUNTIF($F$6:INDEX($F:$F, ROW()-1), $F165)) : INDEX(AI:AI, ROW()-1),
         INDEX(AB:AB, ROW()-COUNTIF($F$6:INDEX($F:$F, ROW()-1), $F165)) : INDEX(AB:AB, ROW()-1)
         )
         /SUM(INDEX(AB:AB, ROW()-COUNTIF($F$6:INDEX($F:$F, ROW()-1), $F165)) : INDEX(AB:AB, ROW()-1)),
           AVERAGEIFS(unit_details[Effective PSF],
          unit_details[Active Listing?],TRUE,
          unit_details[Property Name], $F166,
          unit_details[Beds], $L166,
          unit_details[Baths], $M166,
          unit_details[Partial Baths], IF(ISNUMBER($N166),$N166,""),
          unit_details[Sqft],$P166
)),"")</f>
        <v/>
      </c>
      <c r="AJ166" s="824" t="str">
        <f t="shared" si="26"/>
        <v/>
      </c>
      <c r="AK166" s="531" t="str">
        <f t="shared" si="27"/>
        <v/>
      </c>
      <c r="AL166" s="714" t="str">
        <f t="shared" si="28"/>
        <v/>
      </c>
      <c r="AM166" s="531" t="str">
        <f t="shared" si="29"/>
        <v/>
      </c>
      <c r="AN166" s="716" t="str">
        <f t="shared" si="30"/>
        <v/>
      </c>
    </row>
    <row r="167" spans="6:40" x14ac:dyDescent="0.2">
      <c r="F167" s="1" t="str">
        <f t="shared" si="23"/>
        <v/>
      </c>
      <c r="G167" s="713" t="str">
        <f t="shared" si="31"/>
        <v/>
      </c>
      <c r="H167" s="17" t="str">
        <f>IFERROR(VLOOKUP($G167,Table1[[Property]:[Exposure %]],4,0),"")</f>
        <v/>
      </c>
      <c r="I167" s="3" t="str">
        <f>IFERROR(VLOOKUP($G167,Table1[[Property]:[Exposure %]],6,0),"")</f>
        <v/>
      </c>
      <c r="J167" s="3" t="str">
        <f>IFERROR(VLOOKUP($G167,Table1[[Property]:[Exposure %]],7,0),"")</f>
        <v/>
      </c>
      <c r="K167"/>
      <c r="L167"/>
      <c r="M167"/>
      <c r="N167"/>
      <c r="O167"/>
      <c r="P167"/>
      <c r="Q167"/>
      <c r="R167" s="4" t="str">
        <f>IFERROR(VLOOKUP(IF(F167="Total",F166,F167),Table1[[Property]:['# Units]],7,0)*S167,"")</f>
        <v/>
      </c>
      <c r="S167" s="27" t="str">
        <f t="shared" si="24"/>
        <v/>
      </c>
      <c r="T167" s="531" t="str">
        <f>IFERROR(
 IF($F167="Total",
   SUMPRODUCT(
   INDEX(T:T, ROW()-COUNTIF($F$6:INDEX($F:$F, ROW()-1), $F166)) : INDEX(T:T, ROW()-1),
   INDEX(W:W, ROW()-COUNTIF($F$6:INDEX($F:$F, ROW()-1), $F166)) : INDEX(W:W, ROW()-1)
   )
   /SUM(INDEX(W:W, ROW()-COUNTIF($F$6:INDEX($F:$F, ROW()-1), $F166)) : INDEX(W:W, ROW()-1)),
   AVERAGEIFS(
     INDEX((unit_details[Asking Rent],unit_details[Asking PSF]),0,1,IF($U$3="Chunk Rent",1,2)),
     unit_details[Leased Date],"&gt;="&amp;($AM$2-T$5),
     unit_details[Leased Date],"&lt;"&amp;$AM$2,
     unit_details[Beds],$L167,
     unit_details[Baths],$M167,
     unit_details[Partial Baths],IF(ISNUMBER($N167),$N167,""),
     unit_details[Sqft],$P167,
     unit_details[Property Name],$F167)
 ),"")</f>
        <v/>
      </c>
      <c r="U167" s="552" t="str">
        <f>IFERROR(
 IF($F167="Total",
   SUMPRODUCT(
   INDEX(U:U, ROW()-COUNTIF($F$6:INDEX($F:$F, ROW()-1), $F166)) : INDEX(U:U, ROW()-1),
   INDEX(W:W, ROW()-COUNTIF($F$6:INDEX($F:$F, ROW()-1), $F166)) : INDEX(W:W, ROW()-1)
   )
   /SUM(INDEX(W:W, ROW()-COUNTIF($F$6:INDEX($F:$F, ROW()-1), $F166)) : INDEX(W:W, ROW()-1)),
   AVERAGEIFS(
     INDEX((unit_details[Effective Rent],unit_details[Effective PSF]),0,1,IF($U$3="Chunk Rent",1,2)),
     unit_details[Leased Date],"&gt;="&amp;($AM$2-T$5),
     unit_details[Leased Date],"&lt;"&amp;$AM$2,
     unit_details[Beds],$L167,
     unit_details[Baths],$M167,
     unit_details[Partial Baths],IF(ISNUMBER($N167),$N167,""),
     unit_details[Sqft],$P167,
     unit_details[Property Name],$F167)
 ),"")</f>
        <v/>
      </c>
      <c r="V167" s="27" t="str">
        <f t="shared" si="32"/>
        <v/>
      </c>
      <c r="W167" s="526">
        <f>IFERROR(
  IF($F167="Total",
    SUM(INDEX(W:W, ROW()-COUNTIF($F$6:INDEX($F:$F, ROW()-1), $F166)) : INDEX(W:W, ROW()-1)),
    COUNTIFS(
      unit_details[Leased Date], "&gt;="&amp;($AM$2-T$5),
      unit_details[Leased Date], "&lt;"&amp;$AM$2,
      unit_details[Beds], $L167,
      unit_details[Baths], $M167,
      unit_details[Partial Baths], IF(ISNUMBER($N167), $N167, ""),
      unit_details[Sqft],$P167,
      unit_details[Property Name], $F167
    )
  ),
"")</f>
        <v>0</v>
      </c>
      <c r="X167" s="531" t="str">
        <f>IFERROR(
 IF($F167="Total",
   SUMPRODUCT(
   INDEX(X:X, ROW()-COUNTIF($F$6:INDEX($F:$F, ROW()-1), $F166)) : INDEX(X:X, ROW()-1),
   INDEX(AA:AA, ROW()-COUNTIF($F$6:INDEX($F:$F, ROW()-1), $F166)) : INDEX(AA:AA, ROW()-1)
   )
   /SUM(INDEX(AA:AA, ROW()-COUNTIF($F$6:INDEX($F:$F, ROW()-1), $F166)) : INDEX(AA:AA, ROW()-1)),
   AVERAGEIFS(
     INDEX((unit_details[Asking Rent],unit_details[Asking PSF]),0,1,IF($U$3="Chunk Rent",1,2)),
     unit_details[Leased Date],"&gt;="&amp;($AM$2-X$5),
     unit_details[Leased Date],"&lt;"&amp;$AM$2,
     unit_details[Beds],$L167,
     unit_details[Baths],$M167,
     unit_details[Partial Baths],IF(ISNUMBER($N167),$N167,""),
     unit_details[Sqft],$P167,
     unit_details[Property Name],$F167)
 ),"")</f>
        <v/>
      </c>
      <c r="Y167" s="552" t="str">
        <f>IFERROR(
 IF($F167="Total",
   SUMPRODUCT(
   INDEX(Y:Y, ROW()-COUNTIF($F$6:INDEX($F:$F, ROW()-1), $F166)) : INDEX(Y:Y, ROW()-1),
   INDEX(AA:AA, ROW()-COUNTIF($F$6:INDEX($F:$F, ROW()-1), $F166)) : INDEX(AA:AA, ROW()-1)
   )
   /SUM(INDEX(AA:AA, ROW()-COUNTIF($F$6:INDEX($F:$F, ROW()-1), $F166)) : INDEX(AA:AA, ROW()-1)),
   AVERAGEIFS(
     INDEX((unit_details[Effective Rent],unit_details[Effective PSF]),0,1,IF($U$3="Chunk Rent",1,2)),
     unit_details[Leased Date],"&gt;="&amp;($AM$2-X$5),
     unit_details[Leased Date],"&lt;"&amp;$AM$2,
     unit_details[Beds],$L167,
     unit_details[Baths],$M167,
     unit_details[Partial Baths],IF(ISNUMBER($N167),$N167,""),
     unit_details[Sqft],$P167,
     unit_details[Property Name],$F167)
 ),"")</f>
        <v/>
      </c>
      <c r="Z167" s="27" t="str">
        <f t="shared" si="33"/>
        <v/>
      </c>
      <c r="AA167" s="526">
        <f>IFERROR(
  IF($F167="Total",
    SUM(INDEX(AA:AA, ROW()-COUNTIF($F$6:INDEX($F:$F, ROW()-1), $F166)) : INDEX(AA:AA, ROW()-1)),
    COUNTIFS(
      unit_details[Leased Date], "&gt;="&amp;($AM$2-X$5),
      unit_details[Leased Date], "&lt;"&amp;$AM$2,
      unit_details[Beds], $L167,
      unit_details[Baths], $M167,
      unit_details[Partial Baths], IF(ISNUMBER($N167), $N167, ""),
      unit_details[Sqft],$P167,
      unit_details[Property Name], $F167
    )
  ),
"")</f>
        <v>0</v>
      </c>
      <c r="AB167" s="290">
        <f>IF($F167="Total",
SUM(INDEX(AB:AB, ROW()-COUNTIF($F$6:INDEX($F:$F, ROW()-1), $F166)) : INDEX(AB:AB, ROW()-1)),
COUNTIFS(unit_details[Active Listing?],TRUE,
          unit_details[Property Name], $F167,
          unit_details[Beds], $L167,
          unit_details[Baths], $M167,
          unit_details[Partial Baths],IF(ISNUMBER($N167),$N167,""),
          unit_details[Sqft],$P167))</f>
        <v>0</v>
      </c>
      <c r="AC167" s="27" t="str">
        <f t="shared" si="25"/>
        <v/>
      </c>
      <c r="AD167" s="293" t="str">
        <f>IFERROR(IF(AE167="","",IF($F167="Total",
SUMPRODUCT(
   INDEX(AD:AD, ROW()-COUNTIF($F$6:INDEX($F:$F, ROW()-1), $F166)) : INDEX(AD:AD, ROW()-1),
   INDEX(AB:AB, ROW()-COUNTIF($F$6:INDEX($F:$F, ROW()-1), $F166)) : INDEX(AB:AB, ROW()-1)
   )
   /SUM(INDEX(AB:AB, ROW()-COUNTIF($F$6:INDEX($F:$F, ROW()-1), $F166)) : INDEX(AB:AB, ROW()-1)),
          _xlfn.MINIFS(unit_details[Asking Rent],
          unit_details[Active Listing?],TRUE,
          unit_details[Property Name], $F167,
          unit_details[Beds], $L167,
          unit_details[Baths], $M167,
          unit_details[Partial Baths], IF(ISNUMBER($N167),$N167,""),
          unit_details[Sqft],$P167
))),"")</f>
        <v/>
      </c>
      <c r="AE167" s="5" t="str">
        <f>IFERROR(IF($F167="Total",
          SUMPRODUCT(
   INDEX(AE:AE, ROW()-COUNTIF($F$6:INDEX($F:$F, ROW()-1), $F166)) : INDEX(AE:AE, ROW()-1),
   INDEX(AB:AB, ROW()-COUNTIF($F$6:INDEX($F:$F, ROW()-1), $F166)) : INDEX(AB:AB, ROW()-1)
   )
   /SUM(INDEX(AB:AB, ROW()-COUNTIF($F$6:INDEX($F:$F, ROW()-1), $F166)) : INDEX(AB:AB, ROW()-1)),
          AVERAGEIFS(unit_details[Asking Rent],
          unit_details[Active Listing?],TRUE,
          unit_details[Property Name], $F167,
          unit_details[Beds], $L167,
          unit_details[Baths], $M167,
          unit_details[Partial Baths], IF(ISNUMBER($N167),$N167,""),
          unit_details[Sqft],$P167
)),"")</f>
        <v/>
      </c>
      <c r="AF167" s="5" t="str">
        <f>IFERROR(IF(AE167="","",IF($F167="Total",
SUMPRODUCT(
   INDEX(AF:AF, ROW()-COUNTIF($F$6:INDEX($F:$F, ROW()-1), $F166)) : INDEX(AF:AF, ROW()-1),
   INDEX(AB:AB, ROW()-COUNTIF($F$6:INDEX($F:$F, ROW()-1), $F166)) : INDEX(AB:AB, ROW()-1)
   )
   /SUM(INDEX(AB:AB, ROW()-COUNTIF($F$6:INDEX($F:$F, ROW()-1), $F166)) : INDEX(AB:AB, ROW()-1)),
           _xlfn.MAXIFS(unit_details[Asking Rent],
          unit_details[Active Listing?],TRUE,
          unit_details[Property Name], $F167,
          unit_details[Beds], $L167,
          unit_details[Baths], $M167,
          unit_details[Partial Baths], IF(ISNUMBER($N167),$N167,""),
          unit_details[Sqft],$P167
))),"")</f>
        <v/>
      </c>
      <c r="AG167" s="6" t="str">
        <f>IFERROR(IF($F167="Total",
         SUMPRODUCT(
         INDEX(AG:AG, ROW()-COUNTIF($F$6:INDEX($F:$F, ROW()-1), $F166)) : INDEX(AG:AG, ROW()-1),
         INDEX(AB:AB, ROW()-COUNTIF($F$6:INDEX($F:$F, ROW()-1), $F166)) : INDEX(AB:AB, ROW()-1)
         )
         /SUM(INDEX(AB:AB, ROW()-COUNTIF($F$6:INDEX($F:$F, ROW()-1), $F166)) : INDEX(AB:AB, ROW()-1)),
          AVERAGEIFS(unit_details[Asking PSF],
          unit_details[Active Listing?],TRUE,
          unit_details[Property Name], $F167,
          unit_details[Beds], $L167,
          unit_details[Baths], $M167,
          unit_details[Partial Baths], IF(ISNUMBER($N167),$N167,""),
          unit_details[Sqft],$P167
)),"")</f>
        <v/>
      </c>
      <c r="AH167" s="293" t="str">
        <f>IFERROR(IF($F167="Total",
         SUMPRODUCT(
         INDEX(AH:AH, ROW()-COUNTIF($F$6:INDEX($F:$F, ROW()-1), $F166)) : INDEX(AH:AH, ROW()-1),
         INDEX(AB:AB, ROW()-COUNTIF($F$6:INDEX($F:$F, ROW()-1), $F166)) : INDEX(AB:AB, ROW()-1)
         )
         /SUM(INDEX(AB:AB, ROW()-COUNTIF($F$6:INDEX($F:$F, ROW()-1), $F166)) : INDEX(AB:AB, ROW()-1)),
          AVERAGEIFS(unit_details[Effective Rent],
          unit_details[Active Listing?],TRUE,
          unit_details[Property Name], $F167,
          unit_details[Beds], $L167,
          unit_details[Baths], $M167,
          unit_details[Partial Baths], IF(ISNUMBER($N167),$N167,""),
          unit_details[Sqft],$P167
)),"")</f>
        <v/>
      </c>
      <c r="AI167" s="6" t="str">
        <f>IFERROR(IF($F167="Total",
         SUMPRODUCT(
         INDEX(AI:AI, ROW()-COUNTIF($F$6:INDEX($F:$F, ROW()-1), $F166)) : INDEX(AI:AI, ROW()-1),
         INDEX(AB:AB, ROW()-COUNTIF($F$6:INDEX($F:$F, ROW()-1), $F166)) : INDEX(AB:AB, ROW()-1)
         )
         /SUM(INDEX(AB:AB, ROW()-COUNTIF($F$6:INDEX($F:$F, ROW()-1), $F166)) : INDEX(AB:AB, ROW()-1)),
           AVERAGEIFS(unit_details[Effective PSF],
          unit_details[Active Listing?],TRUE,
          unit_details[Property Name], $F167,
          unit_details[Beds], $L167,
          unit_details[Baths], $M167,
          unit_details[Partial Baths], IF(ISNUMBER($N167),$N167,""),
          unit_details[Sqft],$P167
)),"")</f>
        <v/>
      </c>
      <c r="AJ167" s="824" t="str">
        <f t="shared" si="26"/>
        <v/>
      </c>
      <c r="AK167" s="531" t="str">
        <f t="shared" si="27"/>
        <v/>
      </c>
      <c r="AL167" s="714" t="str">
        <f t="shared" si="28"/>
        <v/>
      </c>
      <c r="AM167" s="531" t="str">
        <f t="shared" si="29"/>
        <v/>
      </c>
      <c r="AN167" s="716" t="str">
        <f t="shared" si="30"/>
        <v/>
      </c>
    </row>
    <row r="168" spans="6:40" x14ac:dyDescent="0.2">
      <c r="F168" s="1" t="str">
        <f t="shared" si="23"/>
        <v/>
      </c>
      <c r="G168" s="713" t="str">
        <f t="shared" si="31"/>
        <v/>
      </c>
      <c r="H168" s="17" t="str">
        <f>IFERROR(VLOOKUP($G168,Table1[[Property]:[Exposure %]],4,0),"")</f>
        <v/>
      </c>
      <c r="I168" s="3" t="str">
        <f>IFERROR(VLOOKUP($G168,Table1[[Property]:[Exposure %]],6,0),"")</f>
        <v/>
      </c>
      <c r="J168" s="3" t="str">
        <f>IFERROR(VLOOKUP($G168,Table1[[Property]:[Exposure %]],7,0),"")</f>
        <v/>
      </c>
      <c r="K168"/>
      <c r="L168"/>
      <c r="M168"/>
      <c r="N168"/>
      <c r="O168"/>
      <c r="P168"/>
      <c r="Q168"/>
      <c r="R168" s="4" t="str">
        <f>IFERROR(VLOOKUP(IF(F168="Total",F167,F168),Table1[[Property]:['# Units]],7,0)*S168,"")</f>
        <v/>
      </c>
      <c r="S168" s="27" t="str">
        <f t="shared" si="24"/>
        <v/>
      </c>
      <c r="T168" s="531" t="str">
        <f>IFERROR(
 IF($F168="Total",
   SUMPRODUCT(
   INDEX(T:T, ROW()-COUNTIF($F$6:INDEX($F:$F, ROW()-1), $F167)) : INDEX(T:T, ROW()-1),
   INDEX(W:W, ROW()-COUNTIF($F$6:INDEX($F:$F, ROW()-1), $F167)) : INDEX(W:W, ROW()-1)
   )
   /SUM(INDEX(W:W, ROW()-COUNTIF($F$6:INDEX($F:$F, ROW()-1), $F167)) : INDEX(W:W, ROW()-1)),
   AVERAGEIFS(
     INDEX((unit_details[Asking Rent],unit_details[Asking PSF]),0,1,IF($U$3="Chunk Rent",1,2)),
     unit_details[Leased Date],"&gt;="&amp;($AM$2-T$5),
     unit_details[Leased Date],"&lt;"&amp;$AM$2,
     unit_details[Beds],$L168,
     unit_details[Baths],$M168,
     unit_details[Partial Baths],IF(ISNUMBER($N168),$N168,""),
     unit_details[Sqft],$P168,
     unit_details[Property Name],$F168)
 ),"")</f>
        <v/>
      </c>
      <c r="U168" s="552" t="str">
        <f>IFERROR(
 IF($F168="Total",
   SUMPRODUCT(
   INDEX(U:U, ROW()-COUNTIF($F$6:INDEX($F:$F, ROW()-1), $F167)) : INDEX(U:U, ROW()-1),
   INDEX(W:W, ROW()-COUNTIF($F$6:INDEX($F:$F, ROW()-1), $F167)) : INDEX(W:W, ROW()-1)
   )
   /SUM(INDEX(W:W, ROW()-COUNTIF($F$6:INDEX($F:$F, ROW()-1), $F167)) : INDEX(W:W, ROW()-1)),
   AVERAGEIFS(
     INDEX((unit_details[Effective Rent],unit_details[Effective PSF]),0,1,IF($U$3="Chunk Rent",1,2)),
     unit_details[Leased Date],"&gt;="&amp;($AM$2-T$5),
     unit_details[Leased Date],"&lt;"&amp;$AM$2,
     unit_details[Beds],$L168,
     unit_details[Baths],$M168,
     unit_details[Partial Baths],IF(ISNUMBER($N168),$N168,""),
     unit_details[Sqft],$P168,
     unit_details[Property Name],$F168)
 ),"")</f>
        <v/>
      </c>
      <c r="V168" s="27" t="str">
        <f t="shared" si="32"/>
        <v/>
      </c>
      <c r="W168" s="526">
        <f>IFERROR(
  IF($F168="Total",
    SUM(INDEX(W:W, ROW()-COUNTIF($F$6:INDEX($F:$F, ROW()-1), $F167)) : INDEX(W:W, ROW()-1)),
    COUNTIFS(
      unit_details[Leased Date], "&gt;="&amp;($AM$2-T$5),
      unit_details[Leased Date], "&lt;"&amp;$AM$2,
      unit_details[Beds], $L168,
      unit_details[Baths], $M168,
      unit_details[Partial Baths], IF(ISNUMBER($N168), $N168, ""),
      unit_details[Sqft],$P168,
      unit_details[Property Name], $F168
    )
  ),
"")</f>
        <v>0</v>
      </c>
      <c r="X168" s="531" t="str">
        <f>IFERROR(
 IF($F168="Total",
   SUMPRODUCT(
   INDEX(X:X, ROW()-COUNTIF($F$6:INDEX($F:$F, ROW()-1), $F167)) : INDEX(X:X, ROW()-1),
   INDEX(AA:AA, ROW()-COUNTIF($F$6:INDEX($F:$F, ROW()-1), $F167)) : INDEX(AA:AA, ROW()-1)
   )
   /SUM(INDEX(AA:AA, ROW()-COUNTIF($F$6:INDEX($F:$F, ROW()-1), $F167)) : INDEX(AA:AA, ROW()-1)),
   AVERAGEIFS(
     INDEX((unit_details[Asking Rent],unit_details[Asking PSF]),0,1,IF($U$3="Chunk Rent",1,2)),
     unit_details[Leased Date],"&gt;="&amp;($AM$2-X$5),
     unit_details[Leased Date],"&lt;"&amp;$AM$2,
     unit_details[Beds],$L168,
     unit_details[Baths],$M168,
     unit_details[Partial Baths],IF(ISNUMBER($N168),$N168,""),
     unit_details[Sqft],$P168,
     unit_details[Property Name],$F168)
 ),"")</f>
        <v/>
      </c>
      <c r="Y168" s="552" t="str">
        <f>IFERROR(
 IF($F168="Total",
   SUMPRODUCT(
   INDEX(Y:Y, ROW()-COUNTIF($F$6:INDEX($F:$F, ROW()-1), $F167)) : INDEX(Y:Y, ROW()-1),
   INDEX(AA:AA, ROW()-COUNTIF($F$6:INDEX($F:$F, ROW()-1), $F167)) : INDEX(AA:AA, ROW()-1)
   )
   /SUM(INDEX(AA:AA, ROW()-COUNTIF($F$6:INDEX($F:$F, ROW()-1), $F167)) : INDEX(AA:AA, ROW()-1)),
   AVERAGEIFS(
     INDEX((unit_details[Effective Rent],unit_details[Effective PSF]),0,1,IF($U$3="Chunk Rent",1,2)),
     unit_details[Leased Date],"&gt;="&amp;($AM$2-X$5),
     unit_details[Leased Date],"&lt;"&amp;$AM$2,
     unit_details[Beds],$L168,
     unit_details[Baths],$M168,
     unit_details[Partial Baths],IF(ISNUMBER($N168),$N168,""),
     unit_details[Sqft],$P168,
     unit_details[Property Name],$F168)
 ),"")</f>
        <v/>
      </c>
      <c r="Z168" s="27" t="str">
        <f t="shared" si="33"/>
        <v/>
      </c>
      <c r="AA168" s="526">
        <f>IFERROR(
  IF($F168="Total",
    SUM(INDEX(AA:AA, ROW()-COUNTIF($F$6:INDEX($F:$F, ROW()-1), $F167)) : INDEX(AA:AA, ROW()-1)),
    COUNTIFS(
      unit_details[Leased Date], "&gt;="&amp;($AM$2-X$5),
      unit_details[Leased Date], "&lt;"&amp;$AM$2,
      unit_details[Beds], $L168,
      unit_details[Baths], $M168,
      unit_details[Partial Baths], IF(ISNUMBER($N168), $N168, ""),
      unit_details[Sqft],$P168,
      unit_details[Property Name], $F168
    )
  ),
"")</f>
        <v>0</v>
      </c>
      <c r="AB168" s="290">
        <f>IF($F168="Total",
SUM(INDEX(AB:AB, ROW()-COUNTIF($F$6:INDEX($F:$F, ROW()-1), $F167)) : INDEX(AB:AB, ROW()-1)),
COUNTIFS(unit_details[Active Listing?],TRUE,
          unit_details[Property Name], $F168,
          unit_details[Beds], $L168,
          unit_details[Baths], $M168,
          unit_details[Partial Baths],IF(ISNUMBER($N168),$N168,""),
          unit_details[Sqft],$P168))</f>
        <v>0</v>
      </c>
      <c r="AC168" s="27" t="str">
        <f t="shared" si="25"/>
        <v/>
      </c>
      <c r="AD168" s="293" t="str">
        <f>IFERROR(IF(AE168="","",IF($F168="Total",
SUMPRODUCT(
   INDEX(AD:AD, ROW()-COUNTIF($F$6:INDEX($F:$F, ROW()-1), $F167)) : INDEX(AD:AD, ROW()-1),
   INDEX(AB:AB, ROW()-COUNTIF($F$6:INDEX($F:$F, ROW()-1), $F167)) : INDEX(AB:AB, ROW()-1)
   )
   /SUM(INDEX(AB:AB, ROW()-COUNTIF($F$6:INDEX($F:$F, ROW()-1), $F167)) : INDEX(AB:AB, ROW()-1)),
          _xlfn.MINIFS(unit_details[Asking Rent],
          unit_details[Active Listing?],TRUE,
          unit_details[Property Name], $F168,
          unit_details[Beds], $L168,
          unit_details[Baths], $M168,
          unit_details[Partial Baths], IF(ISNUMBER($N168),$N168,""),
          unit_details[Sqft],$P168
))),"")</f>
        <v/>
      </c>
      <c r="AE168" s="5" t="str">
        <f>IFERROR(IF($F168="Total",
          SUMPRODUCT(
   INDEX(AE:AE, ROW()-COUNTIF($F$6:INDEX($F:$F, ROW()-1), $F167)) : INDEX(AE:AE, ROW()-1),
   INDEX(AB:AB, ROW()-COUNTIF($F$6:INDEX($F:$F, ROW()-1), $F167)) : INDEX(AB:AB, ROW()-1)
   )
   /SUM(INDEX(AB:AB, ROW()-COUNTIF($F$6:INDEX($F:$F, ROW()-1), $F167)) : INDEX(AB:AB, ROW()-1)),
          AVERAGEIFS(unit_details[Asking Rent],
          unit_details[Active Listing?],TRUE,
          unit_details[Property Name], $F168,
          unit_details[Beds], $L168,
          unit_details[Baths], $M168,
          unit_details[Partial Baths], IF(ISNUMBER($N168),$N168,""),
          unit_details[Sqft],$P168
)),"")</f>
        <v/>
      </c>
      <c r="AF168" s="5" t="str">
        <f>IFERROR(IF(AE168="","",IF($F168="Total",
SUMPRODUCT(
   INDEX(AF:AF, ROW()-COUNTIF($F$6:INDEX($F:$F, ROW()-1), $F167)) : INDEX(AF:AF, ROW()-1),
   INDEX(AB:AB, ROW()-COUNTIF($F$6:INDEX($F:$F, ROW()-1), $F167)) : INDEX(AB:AB, ROW()-1)
   )
   /SUM(INDEX(AB:AB, ROW()-COUNTIF($F$6:INDEX($F:$F, ROW()-1), $F167)) : INDEX(AB:AB, ROW()-1)),
           _xlfn.MAXIFS(unit_details[Asking Rent],
          unit_details[Active Listing?],TRUE,
          unit_details[Property Name], $F168,
          unit_details[Beds], $L168,
          unit_details[Baths], $M168,
          unit_details[Partial Baths], IF(ISNUMBER($N168),$N168,""),
          unit_details[Sqft],$P168
))),"")</f>
        <v/>
      </c>
      <c r="AG168" s="6" t="str">
        <f>IFERROR(IF($F168="Total",
         SUMPRODUCT(
         INDEX(AG:AG, ROW()-COUNTIF($F$6:INDEX($F:$F, ROW()-1), $F167)) : INDEX(AG:AG, ROW()-1),
         INDEX(AB:AB, ROW()-COUNTIF($F$6:INDEX($F:$F, ROW()-1), $F167)) : INDEX(AB:AB, ROW()-1)
         )
         /SUM(INDEX(AB:AB, ROW()-COUNTIF($F$6:INDEX($F:$F, ROW()-1), $F167)) : INDEX(AB:AB, ROW()-1)),
          AVERAGEIFS(unit_details[Asking PSF],
          unit_details[Active Listing?],TRUE,
          unit_details[Property Name], $F168,
          unit_details[Beds], $L168,
          unit_details[Baths], $M168,
          unit_details[Partial Baths], IF(ISNUMBER($N168),$N168,""),
          unit_details[Sqft],$P168
)),"")</f>
        <v/>
      </c>
      <c r="AH168" s="293" t="str">
        <f>IFERROR(IF($F168="Total",
         SUMPRODUCT(
         INDEX(AH:AH, ROW()-COUNTIF($F$6:INDEX($F:$F, ROW()-1), $F167)) : INDEX(AH:AH, ROW()-1),
         INDEX(AB:AB, ROW()-COUNTIF($F$6:INDEX($F:$F, ROW()-1), $F167)) : INDEX(AB:AB, ROW()-1)
         )
         /SUM(INDEX(AB:AB, ROW()-COUNTIF($F$6:INDEX($F:$F, ROW()-1), $F167)) : INDEX(AB:AB, ROW()-1)),
          AVERAGEIFS(unit_details[Effective Rent],
          unit_details[Active Listing?],TRUE,
          unit_details[Property Name], $F168,
          unit_details[Beds], $L168,
          unit_details[Baths], $M168,
          unit_details[Partial Baths], IF(ISNUMBER($N168),$N168,""),
          unit_details[Sqft],$P168
)),"")</f>
        <v/>
      </c>
      <c r="AI168" s="6" t="str">
        <f>IFERROR(IF($F168="Total",
         SUMPRODUCT(
         INDEX(AI:AI, ROW()-COUNTIF($F$6:INDEX($F:$F, ROW()-1), $F167)) : INDEX(AI:AI, ROW()-1),
         INDEX(AB:AB, ROW()-COUNTIF($F$6:INDEX($F:$F, ROW()-1), $F167)) : INDEX(AB:AB, ROW()-1)
         )
         /SUM(INDEX(AB:AB, ROW()-COUNTIF($F$6:INDEX($F:$F, ROW()-1), $F167)) : INDEX(AB:AB, ROW()-1)),
           AVERAGEIFS(unit_details[Effective PSF],
          unit_details[Active Listing?],TRUE,
          unit_details[Property Name], $F168,
          unit_details[Beds], $L168,
          unit_details[Baths], $M168,
          unit_details[Partial Baths], IF(ISNUMBER($N168),$N168,""),
          unit_details[Sqft],$P168
)),"")</f>
        <v/>
      </c>
      <c r="AJ168" s="824" t="str">
        <f t="shared" si="26"/>
        <v/>
      </c>
      <c r="AK168" s="531" t="str">
        <f t="shared" si="27"/>
        <v/>
      </c>
      <c r="AL168" s="714" t="str">
        <f t="shared" si="28"/>
        <v/>
      </c>
      <c r="AM168" s="531" t="str">
        <f t="shared" si="29"/>
        <v/>
      </c>
      <c r="AN168" s="716" t="str">
        <f t="shared" si="30"/>
        <v/>
      </c>
    </row>
    <row r="169" spans="6:40" x14ac:dyDescent="0.2">
      <c r="F169" s="1" t="str">
        <f t="shared" si="23"/>
        <v/>
      </c>
      <c r="G169" s="713" t="str">
        <f t="shared" si="31"/>
        <v/>
      </c>
      <c r="H169" s="17" t="str">
        <f>IFERROR(VLOOKUP($G169,Table1[[Property]:[Exposure %]],4,0),"")</f>
        <v/>
      </c>
      <c r="I169" s="3" t="str">
        <f>IFERROR(VLOOKUP($G169,Table1[[Property]:[Exposure %]],6,0),"")</f>
        <v/>
      </c>
      <c r="J169" s="3" t="str">
        <f>IFERROR(VLOOKUP($G169,Table1[[Property]:[Exposure %]],7,0),"")</f>
        <v/>
      </c>
      <c r="K169"/>
      <c r="L169"/>
      <c r="M169"/>
      <c r="N169"/>
      <c r="O169"/>
      <c r="P169"/>
      <c r="Q169"/>
      <c r="R169" s="4" t="str">
        <f>IFERROR(VLOOKUP(IF(F169="Total",F168,F169),Table1[[Property]:['# Units]],7,0)*S169,"")</f>
        <v/>
      </c>
      <c r="S169" s="27" t="str">
        <f t="shared" si="24"/>
        <v/>
      </c>
      <c r="T169" s="531" t="str">
        <f>IFERROR(
 IF($F169="Total",
   SUMPRODUCT(
   INDEX(T:T, ROW()-COUNTIF($F$6:INDEX($F:$F, ROW()-1), $F168)) : INDEX(T:T, ROW()-1),
   INDEX(W:W, ROW()-COUNTIF($F$6:INDEX($F:$F, ROW()-1), $F168)) : INDEX(W:W, ROW()-1)
   )
   /SUM(INDEX(W:W, ROW()-COUNTIF($F$6:INDEX($F:$F, ROW()-1), $F168)) : INDEX(W:W, ROW()-1)),
   AVERAGEIFS(
     INDEX((unit_details[Asking Rent],unit_details[Asking PSF]),0,1,IF($U$3="Chunk Rent",1,2)),
     unit_details[Leased Date],"&gt;="&amp;($AM$2-T$5),
     unit_details[Leased Date],"&lt;"&amp;$AM$2,
     unit_details[Beds],$L169,
     unit_details[Baths],$M169,
     unit_details[Partial Baths],IF(ISNUMBER($N169),$N169,""),
     unit_details[Sqft],$P169,
     unit_details[Property Name],$F169)
 ),"")</f>
        <v/>
      </c>
      <c r="U169" s="552" t="str">
        <f>IFERROR(
 IF($F169="Total",
   SUMPRODUCT(
   INDEX(U:U, ROW()-COUNTIF($F$6:INDEX($F:$F, ROW()-1), $F168)) : INDEX(U:U, ROW()-1),
   INDEX(W:W, ROW()-COUNTIF($F$6:INDEX($F:$F, ROW()-1), $F168)) : INDEX(W:W, ROW()-1)
   )
   /SUM(INDEX(W:W, ROW()-COUNTIF($F$6:INDEX($F:$F, ROW()-1), $F168)) : INDEX(W:W, ROW()-1)),
   AVERAGEIFS(
     INDEX((unit_details[Effective Rent],unit_details[Effective PSF]),0,1,IF($U$3="Chunk Rent",1,2)),
     unit_details[Leased Date],"&gt;="&amp;($AM$2-T$5),
     unit_details[Leased Date],"&lt;"&amp;$AM$2,
     unit_details[Beds],$L169,
     unit_details[Baths],$M169,
     unit_details[Partial Baths],IF(ISNUMBER($N169),$N169,""),
     unit_details[Sqft],$P169,
     unit_details[Property Name],$F169)
 ),"")</f>
        <v/>
      </c>
      <c r="V169" s="27" t="str">
        <f t="shared" si="32"/>
        <v/>
      </c>
      <c r="W169" s="526">
        <f>IFERROR(
  IF($F169="Total",
    SUM(INDEX(W:W, ROW()-COUNTIF($F$6:INDEX($F:$F, ROW()-1), $F168)) : INDEX(W:W, ROW()-1)),
    COUNTIFS(
      unit_details[Leased Date], "&gt;="&amp;($AM$2-T$5),
      unit_details[Leased Date], "&lt;"&amp;$AM$2,
      unit_details[Beds], $L169,
      unit_details[Baths], $M169,
      unit_details[Partial Baths], IF(ISNUMBER($N169), $N169, ""),
      unit_details[Sqft],$P169,
      unit_details[Property Name], $F169
    )
  ),
"")</f>
        <v>0</v>
      </c>
      <c r="X169" s="531" t="str">
        <f>IFERROR(
 IF($F169="Total",
   SUMPRODUCT(
   INDEX(X:X, ROW()-COUNTIF($F$6:INDEX($F:$F, ROW()-1), $F168)) : INDEX(X:X, ROW()-1),
   INDEX(AA:AA, ROW()-COUNTIF($F$6:INDEX($F:$F, ROW()-1), $F168)) : INDEX(AA:AA, ROW()-1)
   )
   /SUM(INDEX(AA:AA, ROW()-COUNTIF($F$6:INDEX($F:$F, ROW()-1), $F168)) : INDEX(AA:AA, ROW()-1)),
   AVERAGEIFS(
     INDEX((unit_details[Asking Rent],unit_details[Asking PSF]),0,1,IF($U$3="Chunk Rent",1,2)),
     unit_details[Leased Date],"&gt;="&amp;($AM$2-X$5),
     unit_details[Leased Date],"&lt;"&amp;$AM$2,
     unit_details[Beds],$L169,
     unit_details[Baths],$M169,
     unit_details[Partial Baths],IF(ISNUMBER($N169),$N169,""),
     unit_details[Sqft],$P169,
     unit_details[Property Name],$F169)
 ),"")</f>
        <v/>
      </c>
      <c r="Y169" s="552" t="str">
        <f>IFERROR(
 IF($F169="Total",
   SUMPRODUCT(
   INDEX(Y:Y, ROW()-COUNTIF($F$6:INDEX($F:$F, ROW()-1), $F168)) : INDEX(Y:Y, ROW()-1),
   INDEX(AA:AA, ROW()-COUNTIF($F$6:INDEX($F:$F, ROW()-1), $F168)) : INDEX(AA:AA, ROW()-1)
   )
   /SUM(INDEX(AA:AA, ROW()-COUNTIF($F$6:INDEX($F:$F, ROW()-1), $F168)) : INDEX(AA:AA, ROW()-1)),
   AVERAGEIFS(
     INDEX((unit_details[Effective Rent],unit_details[Effective PSF]),0,1,IF($U$3="Chunk Rent",1,2)),
     unit_details[Leased Date],"&gt;="&amp;($AM$2-X$5),
     unit_details[Leased Date],"&lt;"&amp;$AM$2,
     unit_details[Beds],$L169,
     unit_details[Baths],$M169,
     unit_details[Partial Baths],IF(ISNUMBER($N169),$N169,""),
     unit_details[Sqft],$P169,
     unit_details[Property Name],$F169)
 ),"")</f>
        <v/>
      </c>
      <c r="Z169" s="27" t="str">
        <f t="shared" si="33"/>
        <v/>
      </c>
      <c r="AA169" s="526">
        <f>IFERROR(
  IF($F169="Total",
    SUM(INDEX(AA:AA, ROW()-COUNTIF($F$6:INDEX($F:$F, ROW()-1), $F168)) : INDEX(AA:AA, ROW()-1)),
    COUNTIFS(
      unit_details[Leased Date], "&gt;="&amp;($AM$2-X$5),
      unit_details[Leased Date], "&lt;"&amp;$AM$2,
      unit_details[Beds], $L169,
      unit_details[Baths], $M169,
      unit_details[Partial Baths], IF(ISNUMBER($N169), $N169, ""),
      unit_details[Sqft],$P169,
      unit_details[Property Name], $F169
    )
  ),
"")</f>
        <v>0</v>
      </c>
      <c r="AB169" s="290">
        <f>IF($F169="Total",
SUM(INDEX(AB:AB, ROW()-COUNTIF($F$6:INDEX($F:$F, ROW()-1), $F168)) : INDEX(AB:AB, ROW()-1)),
COUNTIFS(unit_details[Active Listing?],TRUE,
          unit_details[Property Name], $F169,
          unit_details[Beds], $L169,
          unit_details[Baths], $M169,
          unit_details[Partial Baths],IF(ISNUMBER($N169),$N169,""),
          unit_details[Sqft],$P169))</f>
        <v>0</v>
      </c>
      <c r="AC169" s="27" t="str">
        <f t="shared" si="25"/>
        <v/>
      </c>
      <c r="AD169" s="293" t="str">
        <f>IFERROR(IF(AE169="","",IF($F169="Total",
SUMPRODUCT(
   INDEX(AD:AD, ROW()-COUNTIF($F$6:INDEX($F:$F, ROW()-1), $F168)) : INDEX(AD:AD, ROW()-1),
   INDEX(AB:AB, ROW()-COUNTIF($F$6:INDEX($F:$F, ROW()-1), $F168)) : INDEX(AB:AB, ROW()-1)
   )
   /SUM(INDEX(AB:AB, ROW()-COUNTIF($F$6:INDEX($F:$F, ROW()-1), $F168)) : INDEX(AB:AB, ROW()-1)),
          _xlfn.MINIFS(unit_details[Asking Rent],
          unit_details[Active Listing?],TRUE,
          unit_details[Property Name], $F169,
          unit_details[Beds], $L169,
          unit_details[Baths], $M169,
          unit_details[Partial Baths], IF(ISNUMBER($N169),$N169,""),
          unit_details[Sqft],$P169
))),"")</f>
        <v/>
      </c>
      <c r="AE169" s="5" t="str">
        <f>IFERROR(IF($F169="Total",
          SUMPRODUCT(
   INDEX(AE:AE, ROW()-COUNTIF($F$6:INDEX($F:$F, ROW()-1), $F168)) : INDEX(AE:AE, ROW()-1),
   INDEX(AB:AB, ROW()-COUNTIF($F$6:INDEX($F:$F, ROW()-1), $F168)) : INDEX(AB:AB, ROW()-1)
   )
   /SUM(INDEX(AB:AB, ROW()-COUNTIF($F$6:INDEX($F:$F, ROW()-1), $F168)) : INDEX(AB:AB, ROW()-1)),
          AVERAGEIFS(unit_details[Asking Rent],
          unit_details[Active Listing?],TRUE,
          unit_details[Property Name], $F169,
          unit_details[Beds], $L169,
          unit_details[Baths], $M169,
          unit_details[Partial Baths], IF(ISNUMBER($N169),$N169,""),
          unit_details[Sqft],$P169
)),"")</f>
        <v/>
      </c>
      <c r="AF169" s="5" t="str">
        <f>IFERROR(IF(AE169="","",IF($F169="Total",
SUMPRODUCT(
   INDEX(AF:AF, ROW()-COUNTIF($F$6:INDEX($F:$F, ROW()-1), $F168)) : INDEX(AF:AF, ROW()-1),
   INDEX(AB:AB, ROW()-COUNTIF($F$6:INDEX($F:$F, ROW()-1), $F168)) : INDEX(AB:AB, ROW()-1)
   )
   /SUM(INDEX(AB:AB, ROW()-COUNTIF($F$6:INDEX($F:$F, ROW()-1), $F168)) : INDEX(AB:AB, ROW()-1)),
           _xlfn.MAXIFS(unit_details[Asking Rent],
          unit_details[Active Listing?],TRUE,
          unit_details[Property Name], $F169,
          unit_details[Beds], $L169,
          unit_details[Baths], $M169,
          unit_details[Partial Baths], IF(ISNUMBER($N169),$N169,""),
          unit_details[Sqft],$P169
))),"")</f>
        <v/>
      </c>
      <c r="AG169" s="6" t="str">
        <f>IFERROR(IF($F169="Total",
         SUMPRODUCT(
         INDEX(AG:AG, ROW()-COUNTIF($F$6:INDEX($F:$F, ROW()-1), $F168)) : INDEX(AG:AG, ROW()-1),
         INDEX(AB:AB, ROW()-COUNTIF($F$6:INDEX($F:$F, ROW()-1), $F168)) : INDEX(AB:AB, ROW()-1)
         )
         /SUM(INDEX(AB:AB, ROW()-COUNTIF($F$6:INDEX($F:$F, ROW()-1), $F168)) : INDEX(AB:AB, ROW()-1)),
          AVERAGEIFS(unit_details[Asking PSF],
          unit_details[Active Listing?],TRUE,
          unit_details[Property Name], $F169,
          unit_details[Beds], $L169,
          unit_details[Baths], $M169,
          unit_details[Partial Baths], IF(ISNUMBER($N169),$N169,""),
          unit_details[Sqft],$P169
)),"")</f>
        <v/>
      </c>
      <c r="AH169" s="293" t="str">
        <f>IFERROR(IF($F169="Total",
         SUMPRODUCT(
         INDEX(AH:AH, ROW()-COUNTIF($F$6:INDEX($F:$F, ROW()-1), $F168)) : INDEX(AH:AH, ROW()-1),
         INDEX(AB:AB, ROW()-COUNTIF($F$6:INDEX($F:$F, ROW()-1), $F168)) : INDEX(AB:AB, ROW()-1)
         )
         /SUM(INDEX(AB:AB, ROW()-COUNTIF($F$6:INDEX($F:$F, ROW()-1), $F168)) : INDEX(AB:AB, ROW()-1)),
          AVERAGEIFS(unit_details[Effective Rent],
          unit_details[Active Listing?],TRUE,
          unit_details[Property Name], $F169,
          unit_details[Beds], $L169,
          unit_details[Baths], $M169,
          unit_details[Partial Baths], IF(ISNUMBER($N169),$N169,""),
          unit_details[Sqft],$P169
)),"")</f>
        <v/>
      </c>
      <c r="AI169" s="6" t="str">
        <f>IFERROR(IF($F169="Total",
         SUMPRODUCT(
         INDEX(AI:AI, ROW()-COUNTIF($F$6:INDEX($F:$F, ROW()-1), $F168)) : INDEX(AI:AI, ROW()-1),
         INDEX(AB:AB, ROW()-COUNTIF($F$6:INDEX($F:$F, ROW()-1), $F168)) : INDEX(AB:AB, ROW()-1)
         )
         /SUM(INDEX(AB:AB, ROW()-COUNTIF($F$6:INDEX($F:$F, ROW()-1), $F168)) : INDEX(AB:AB, ROW()-1)),
           AVERAGEIFS(unit_details[Effective PSF],
          unit_details[Active Listing?],TRUE,
          unit_details[Property Name], $F169,
          unit_details[Beds], $L169,
          unit_details[Baths], $M169,
          unit_details[Partial Baths], IF(ISNUMBER($N169),$N169,""),
          unit_details[Sqft],$P169
)),"")</f>
        <v/>
      </c>
      <c r="AJ169" s="824" t="str">
        <f t="shared" si="26"/>
        <v/>
      </c>
      <c r="AK169" s="531" t="str">
        <f t="shared" si="27"/>
        <v/>
      </c>
      <c r="AL169" s="714" t="str">
        <f t="shared" si="28"/>
        <v/>
      </c>
      <c r="AM169" s="531" t="str">
        <f t="shared" si="29"/>
        <v/>
      </c>
      <c r="AN169" s="716" t="str">
        <f t="shared" si="30"/>
        <v/>
      </c>
    </row>
    <row r="170" spans="6:40" x14ac:dyDescent="0.2">
      <c r="F170" s="1" t="str">
        <f t="shared" si="23"/>
        <v/>
      </c>
      <c r="G170" s="713" t="str">
        <f t="shared" si="31"/>
        <v/>
      </c>
      <c r="H170" s="17" t="str">
        <f>IFERROR(VLOOKUP($G170,Table1[[Property]:[Exposure %]],4,0),"")</f>
        <v/>
      </c>
      <c r="I170" s="3" t="str">
        <f>IFERROR(VLOOKUP($G170,Table1[[Property]:[Exposure %]],6,0),"")</f>
        <v/>
      </c>
      <c r="J170" s="3" t="str">
        <f>IFERROR(VLOOKUP($G170,Table1[[Property]:[Exposure %]],7,0),"")</f>
        <v/>
      </c>
      <c r="K170"/>
      <c r="L170"/>
      <c r="M170"/>
      <c r="N170"/>
      <c r="O170"/>
      <c r="P170"/>
      <c r="Q170"/>
      <c r="R170" s="4" t="str">
        <f>IFERROR(VLOOKUP(IF(F170="Total",F169,F170),Table1[[Property]:['# Units]],7,0)*S170,"")</f>
        <v/>
      </c>
      <c r="S170" s="27" t="str">
        <f t="shared" si="24"/>
        <v/>
      </c>
      <c r="T170" s="531" t="str">
        <f>IFERROR(
 IF($F170="Total",
   SUMPRODUCT(
   INDEX(T:T, ROW()-COUNTIF($F$6:INDEX($F:$F, ROW()-1), $F169)) : INDEX(T:T, ROW()-1),
   INDEX(W:W, ROW()-COUNTIF($F$6:INDEX($F:$F, ROW()-1), $F169)) : INDEX(W:W, ROW()-1)
   )
   /SUM(INDEX(W:W, ROW()-COUNTIF($F$6:INDEX($F:$F, ROW()-1), $F169)) : INDEX(W:W, ROW()-1)),
   AVERAGEIFS(
     INDEX((unit_details[Asking Rent],unit_details[Asking PSF]),0,1,IF($U$3="Chunk Rent",1,2)),
     unit_details[Leased Date],"&gt;="&amp;($AM$2-T$5),
     unit_details[Leased Date],"&lt;"&amp;$AM$2,
     unit_details[Beds],$L170,
     unit_details[Baths],$M170,
     unit_details[Partial Baths],IF(ISNUMBER($N170),$N170,""),
     unit_details[Sqft],$P170,
     unit_details[Property Name],$F170)
 ),"")</f>
        <v/>
      </c>
      <c r="U170" s="552" t="str">
        <f>IFERROR(
 IF($F170="Total",
   SUMPRODUCT(
   INDEX(U:U, ROW()-COUNTIF($F$6:INDEX($F:$F, ROW()-1), $F169)) : INDEX(U:U, ROW()-1),
   INDEX(W:W, ROW()-COUNTIF($F$6:INDEX($F:$F, ROW()-1), $F169)) : INDEX(W:W, ROW()-1)
   )
   /SUM(INDEX(W:W, ROW()-COUNTIF($F$6:INDEX($F:$F, ROW()-1), $F169)) : INDEX(W:W, ROW()-1)),
   AVERAGEIFS(
     INDEX((unit_details[Effective Rent],unit_details[Effective PSF]),0,1,IF($U$3="Chunk Rent",1,2)),
     unit_details[Leased Date],"&gt;="&amp;($AM$2-T$5),
     unit_details[Leased Date],"&lt;"&amp;$AM$2,
     unit_details[Beds],$L170,
     unit_details[Baths],$M170,
     unit_details[Partial Baths],IF(ISNUMBER($N170),$N170,""),
     unit_details[Sqft],$P170,
     unit_details[Property Name],$F170)
 ),"")</f>
        <v/>
      </c>
      <c r="V170" s="27" t="str">
        <f t="shared" si="32"/>
        <v/>
      </c>
      <c r="W170" s="526">
        <f>IFERROR(
  IF($F170="Total",
    SUM(INDEX(W:W, ROW()-COUNTIF($F$6:INDEX($F:$F, ROW()-1), $F169)) : INDEX(W:W, ROW()-1)),
    COUNTIFS(
      unit_details[Leased Date], "&gt;="&amp;($AM$2-T$5),
      unit_details[Leased Date], "&lt;"&amp;$AM$2,
      unit_details[Beds], $L170,
      unit_details[Baths], $M170,
      unit_details[Partial Baths], IF(ISNUMBER($N170), $N170, ""),
      unit_details[Sqft],$P170,
      unit_details[Property Name], $F170
    )
  ),
"")</f>
        <v>0</v>
      </c>
      <c r="X170" s="531" t="str">
        <f>IFERROR(
 IF($F170="Total",
   SUMPRODUCT(
   INDEX(X:X, ROW()-COUNTIF($F$6:INDEX($F:$F, ROW()-1), $F169)) : INDEX(X:X, ROW()-1),
   INDEX(AA:AA, ROW()-COUNTIF($F$6:INDEX($F:$F, ROW()-1), $F169)) : INDEX(AA:AA, ROW()-1)
   )
   /SUM(INDEX(AA:AA, ROW()-COUNTIF($F$6:INDEX($F:$F, ROW()-1), $F169)) : INDEX(AA:AA, ROW()-1)),
   AVERAGEIFS(
     INDEX((unit_details[Asking Rent],unit_details[Asking PSF]),0,1,IF($U$3="Chunk Rent",1,2)),
     unit_details[Leased Date],"&gt;="&amp;($AM$2-X$5),
     unit_details[Leased Date],"&lt;"&amp;$AM$2,
     unit_details[Beds],$L170,
     unit_details[Baths],$M170,
     unit_details[Partial Baths],IF(ISNUMBER($N170),$N170,""),
     unit_details[Sqft],$P170,
     unit_details[Property Name],$F170)
 ),"")</f>
        <v/>
      </c>
      <c r="Y170" s="552" t="str">
        <f>IFERROR(
 IF($F170="Total",
   SUMPRODUCT(
   INDEX(Y:Y, ROW()-COUNTIF($F$6:INDEX($F:$F, ROW()-1), $F169)) : INDEX(Y:Y, ROW()-1),
   INDEX(AA:AA, ROW()-COUNTIF($F$6:INDEX($F:$F, ROW()-1), $F169)) : INDEX(AA:AA, ROW()-1)
   )
   /SUM(INDEX(AA:AA, ROW()-COUNTIF($F$6:INDEX($F:$F, ROW()-1), $F169)) : INDEX(AA:AA, ROW()-1)),
   AVERAGEIFS(
     INDEX((unit_details[Effective Rent],unit_details[Effective PSF]),0,1,IF($U$3="Chunk Rent",1,2)),
     unit_details[Leased Date],"&gt;="&amp;($AM$2-X$5),
     unit_details[Leased Date],"&lt;"&amp;$AM$2,
     unit_details[Beds],$L170,
     unit_details[Baths],$M170,
     unit_details[Partial Baths],IF(ISNUMBER($N170),$N170,""),
     unit_details[Sqft],$P170,
     unit_details[Property Name],$F170)
 ),"")</f>
        <v/>
      </c>
      <c r="Z170" s="27" t="str">
        <f t="shared" si="33"/>
        <v/>
      </c>
      <c r="AA170" s="526">
        <f>IFERROR(
  IF($F170="Total",
    SUM(INDEX(AA:AA, ROW()-COUNTIF($F$6:INDEX($F:$F, ROW()-1), $F169)) : INDEX(AA:AA, ROW()-1)),
    COUNTIFS(
      unit_details[Leased Date], "&gt;="&amp;($AM$2-X$5),
      unit_details[Leased Date], "&lt;"&amp;$AM$2,
      unit_details[Beds], $L170,
      unit_details[Baths], $M170,
      unit_details[Partial Baths], IF(ISNUMBER($N170), $N170, ""),
      unit_details[Sqft],$P170,
      unit_details[Property Name], $F170
    )
  ),
"")</f>
        <v>0</v>
      </c>
      <c r="AB170" s="290">
        <f>IF($F170="Total",
SUM(INDEX(AB:AB, ROW()-COUNTIF($F$6:INDEX($F:$F, ROW()-1), $F169)) : INDEX(AB:AB, ROW()-1)),
COUNTIFS(unit_details[Active Listing?],TRUE,
          unit_details[Property Name], $F170,
          unit_details[Beds], $L170,
          unit_details[Baths], $M170,
          unit_details[Partial Baths],IF(ISNUMBER($N170),$N170,""),
          unit_details[Sqft],$P170))</f>
        <v>0</v>
      </c>
      <c r="AC170" s="27" t="str">
        <f t="shared" si="25"/>
        <v/>
      </c>
      <c r="AD170" s="293" t="str">
        <f>IFERROR(IF(AE170="","",IF($F170="Total",
SUMPRODUCT(
   INDEX(AD:AD, ROW()-COUNTIF($F$6:INDEX($F:$F, ROW()-1), $F169)) : INDEX(AD:AD, ROW()-1),
   INDEX(AB:AB, ROW()-COUNTIF($F$6:INDEX($F:$F, ROW()-1), $F169)) : INDEX(AB:AB, ROW()-1)
   )
   /SUM(INDEX(AB:AB, ROW()-COUNTIF($F$6:INDEX($F:$F, ROW()-1), $F169)) : INDEX(AB:AB, ROW()-1)),
          _xlfn.MINIFS(unit_details[Asking Rent],
          unit_details[Active Listing?],TRUE,
          unit_details[Property Name], $F170,
          unit_details[Beds], $L170,
          unit_details[Baths], $M170,
          unit_details[Partial Baths], IF(ISNUMBER($N170),$N170,""),
          unit_details[Sqft],$P170
))),"")</f>
        <v/>
      </c>
      <c r="AE170" s="5" t="str">
        <f>IFERROR(IF($F170="Total",
          SUMPRODUCT(
   INDEX(AE:AE, ROW()-COUNTIF($F$6:INDEX($F:$F, ROW()-1), $F169)) : INDEX(AE:AE, ROW()-1),
   INDEX(AB:AB, ROW()-COUNTIF($F$6:INDEX($F:$F, ROW()-1), $F169)) : INDEX(AB:AB, ROW()-1)
   )
   /SUM(INDEX(AB:AB, ROW()-COUNTIF($F$6:INDEX($F:$F, ROW()-1), $F169)) : INDEX(AB:AB, ROW()-1)),
          AVERAGEIFS(unit_details[Asking Rent],
          unit_details[Active Listing?],TRUE,
          unit_details[Property Name], $F170,
          unit_details[Beds], $L170,
          unit_details[Baths], $M170,
          unit_details[Partial Baths], IF(ISNUMBER($N170),$N170,""),
          unit_details[Sqft],$P170
)),"")</f>
        <v/>
      </c>
      <c r="AF170" s="5" t="str">
        <f>IFERROR(IF(AE170="","",IF($F170="Total",
SUMPRODUCT(
   INDEX(AF:AF, ROW()-COUNTIF($F$6:INDEX($F:$F, ROW()-1), $F169)) : INDEX(AF:AF, ROW()-1),
   INDEX(AB:AB, ROW()-COUNTIF($F$6:INDEX($F:$F, ROW()-1), $F169)) : INDEX(AB:AB, ROW()-1)
   )
   /SUM(INDEX(AB:AB, ROW()-COUNTIF($F$6:INDEX($F:$F, ROW()-1), $F169)) : INDEX(AB:AB, ROW()-1)),
           _xlfn.MAXIFS(unit_details[Asking Rent],
          unit_details[Active Listing?],TRUE,
          unit_details[Property Name], $F170,
          unit_details[Beds], $L170,
          unit_details[Baths], $M170,
          unit_details[Partial Baths], IF(ISNUMBER($N170),$N170,""),
          unit_details[Sqft],$P170
))),"")</f>
        <v/>
      </c>
      <c r="AG170" s="6" t="str">
        <f>IFERROR(IF($F170="Total",
         SUMPRODUCT(
         INDEX(AG:AG, ROW()-COUNTIF($F$6:INDEX($F:$F, ROW()-1), $F169)) : INDEX(AG:AG, ROW()-1),
         INDEX(AB:AB, ROW()-COUNTIF($F$6:INDEX($F:$F, ROW()-1), $F169)) : INDEX(AB:AB, ROW()-1)
         )
         /SUM(INDEX(AB:AB, ROW()-COUNTIF($F$6:INDEX($F:$F, ROW()-1), $F169)) : INDEX(AB:AB, ROW()-1)),
          AVERAGEIFS(unit_details[Asking PSF],
          unit_details[Active Listing?],TRUE,
          unit_details[Property Name], $F170,
          unit_details[Beds], $L170,
          unit_details[Baths], $M170,
          unit_details[Partial Baths], IF(ISNUMBER($N170),$N170,""),
          unit_details[Sqft],$P170
)),"")</f>
        <v/>
      </c>
      <c r="AH170" s="293" t="str">
        <f>IFERROR(IF($F170="Total",
         SUMPRODUCT(
         INDEX(AH:AH, ROW()-COUNTIF($F$6:INDEX($F:$F, ROW()-1), $F169)) : INDEX(AH:AH, ROW()-1),
         INDEX(AB:AB, ROW()-COUNTIF($F$6:INDEX($F:$F, ROW()-1), $F169)) : INDEX(AB:AB, ROW()-1)
         )
         /SUM(INDEX(AB:AB, ROW()-COUNTIF($F$6:INDEX($F:$F, ROW()-1), $F169)) : INDEX(AB:AB, ROW()-1)),
          AVERAGEIFS(unit_details[Effective Rent],
          unit_details[Active Listing?],TRUE,
          unit_details[Property Name], $F170,
          unit_details[Beds], $L170,
          unit_details[Baths], $M170,
          unit_details[Partial Baths], IF(ISNUMBER($N170),$N170,""),
          unit_details[Sqft],$P170
)),"")</f>
        <v/>
      </c>
      <c r="AI170" s="6" t="str">
        <f>IFERROR(IF($F170="Total",
         SUMPRODUCT(
         INDEX(AI:AI, ROW()-COUNTIF($F$6:INDEX($F:$F, ROW()-1), $F169)) : INDEX(AI:AI, ROW()-1),
         INDEX(AB:AB, ROW()-COUNTIF($F$6:INDEX($F:$F, ROW()-1), $F169)) : INDEX(AB:AB, ROW()-1)
         )
         /SUM(INDEX(AB:AB, ROW()-COUNTIF($F$6:INDEX($F:$F, ROW()-1), $F169)) : INDEX(AB:AB, ROW()-1)),
           AVERAGEIFS(unit_details[Effective PSF],
          unit_details[Active Listing?],TRUE,
          unit_details[Property Name], $F170,
          unit_details[Beds], $L170,
          unit_details[Baths], $M170,
          unit_details[Partial Baths], IF(ISNUMBER($N170),$N170,""),
          unit_details[Sqft],$P170
)),"")</f>
        <v/>
      </c>
      <c r="AJ170" s="824" t="str">
        <f t="shared" si="26"/>
        <v/>
      </c>
      <c r="AK170" s="531" t="str">
        <f t="shared" si="27"/>
        <v/>
      </c>
      <c r="AL170" s="714" t="str">
        <f t="shared" si="28"/>
        <v/>
      </c>
      <c r="AM170" s="531" t="str">
        <f t="shared" si="29"/>
        <v/>
      </c>
      <c r="AN170" s="716" t="str">
        <f t="shared" si="30"/>
        <v/>
      </c>
    </row>
    <row r="171" spans="6:40" x14ac:dyDescent="0.2">
      <c r="F171" s="1" t="str">
        <f t="shared" si="23"/>
        <v/>
      </c>
      <c r="G171" s="713" t="str">
        <f t="shared" si="31"/>
        <v/>
      </c>
      <c r="H171" s="17" t="str">
        <f>IFERROR(VLOOKUP($G171,Table1[[Property]:[Exposure %]],4,0),"")</f>
        <v/>
      </c>
      <c r="I171" s="3" t="str">
        <f>IFERROR(VLOOKUP($G171,Table1[[Property]:[Exposure %]],6,0),"")</f>
        <v/>
      </c>
      <c r="J171" s="3" t="str">
        <f>IFERROR(VLOOKUP($G171,Table1[[Property]:[Exposure %]],7,0),"")</f>
        <v/>
      </c>
      <c r="K171"/>
      <c r="L171"/>
      <c r="M171"/>
      <c r="N171"/>
      <c r="O171"/>
      <c r="P171"/>
      <c r="Q171"/>
      <c r="R171" s="4" t="str">
        <f>IFERROR(VLOOKUP(IF(F171="Total",F170,F171),Table1[[Property]:['# Units]],7,0)*S171,"")</f>
        <v/>
      </c>
      <c r="S171" s="27" t="str">
        <f t="shared" si="24"/>
        <v/>
      </c>
      <c r="T171" s="531" t="str">
        <f>IFERROR(
 IF($F171="Total",
   SUMPRODUCT(
   INDEX(T:T, ROW()-COUNTIF($F$6:INDEX($F:$F, ROW()-1), $F170)) : INDEX(T:T, ROW()-1),
   INDEX(W:W, ROW()-COUNTIF($F$6:INDEX($F:$F, ROW()-1), $F170)) : INDEX(W:W, ROW()-1)
   )
   /SUM(INDEX(W:W, ROW()-COUNTIF($F$6:INDEX($F:$F, ROW()-1), $F170)) : INDEX(W:W, ROW()-1)),
   AVERAGEIFS(
     INDEX((unit_details[Asking Rent],unit_details[Asking PSF]),0,1,IF($U$3="Chunk Rent",1,2)),
     unit_details[Leased Date],"&gt;="&amp;($AM$2-T$5),
     unit_details[Leased Date],"&lt;"&amp;$AM$2,
     unit_details[Beds],$L171,
     unit_details[Baths],$M171,
     unit_details[Partial Baths],IF(ISNUMBER($N171),$N171,""),
     unit_details[Sqft],$P171,
     unit_details[Property Name],$F171)
 ),"")</f>
        <v/>
      </c>
      <c r="U171" s="552" t="str">
        <f>IFERROR(
 IF($F171="Total",
   SUMPRODUCT(
   INDEX(U:U, ROW()-COUNTIF($F$6:INDEX($F:$F, ROW()-1), $F170)) : INDEX(U:U, ROW()-1),
   INDEX(W:W, ROW()-COUNTIF($F$6:INDEX($F:$F, ROW()-1), $F170)) : INDEX(W:W, ROW()-1)
   )
   /SUM(INDEX(W:W, ROW()-COUNTIF($F$6:INDEX($F:$F, ROW()-1), $F170)) : INDEX(W:W, ROW()-1)),
   AVERAGEIFS(
     INDEX((unit_details[Effective Rent],unit_details[Effective PSF]),0,1,IF($U$3="Chunk Rent",1,2)),
     unit_details[Leased Date],"&gt;="&amp;($AM$2-T$5),
     unit_details[Leased Date],"&lt;"&amp;$AM$2,
     unit_details[Beds],$L171,
     unit_details[Baths],$M171,
     unit_details[Partial Baths],IF(ISNUMBER($N171),$N171,""),
     unit_details[Sqft],$P171,
     unit_details[Property Name],$F171)
 ),"")</f>
        <v/>
      </c>
      <c r="V171" s="27" t="str">
        <f t="shared" si="32"/>
        <v/>
      </c>
      <c r="W171" s="526">
        <f>IFERROR(
  IF($F171="Total",
    SUM(INDEX(W:W, ROW()-COUNTIF($F$6:INDEX($F:$F, ROW()-1), $F170)) : INDEX(W:W, ROW()-1)),
    COUNTIFS(
      unit_details[Leased Date], "&gt;="&amp;($AM$2-T$5),
      unit_details[Leased Date], "&lt;"&amp;$AM$2,
      unit_details[Beds], $L171,
      unit_details[Baths], $M171,
      unit_details[Partial Baths], IF(ISNUMBER($N171), $N171, ""),
      unit_details[Sqft],$P171,
      unit_details[Property Name], $F171
    )
  ),
"")</f>
        <v>0</v>
      </c>
      <c r="X171" s="531" t="str">
        <f>IFERROR(
 IF($F171="Total",
   SUMPRODUCT(
   INDEX(X:X, ROW()-COUNTIF($F$6:INDEX($F:$F, ROW()-1), $F170)) : INDEX(X:X, ROW()-1),
   INDEX(AA:AA, ROW()-COUNTIF($F$6:INDEX($F:$F, ROW()-1), $F170)) : INDEX(AA:AA, ROW()-1)
   )
   /SUM(INDEX(AA:AA, ROW()-COUNTIF($F$6:INDEX($F:$F, ROW()-1), $F170)) : INDEX(AA:AA, ROW()-1)),
   AVERAGEIFS(
     INDEX((unit_details[Asking Rent],unit_details[Asking PSF]),0,1,IF($U$3="Chunk Rent",1,2)),
     unit_details[Leased Date],"&gt;="&amp;($AM$2-X$5),
     unit_details[Leased Date],"&lt;"&amp;$AM$2,
     unit_details[Beds],$L171,
     unit_details[Baths],$M171,
     unit_details[Partial Baths],IF(ISNUMBER($N171),$N171,""),
     unit_details[Sqft],$P171,
     unit_details[Property Name],$F171)
 ),"")</f>
        <v/>
      </c>
      <c r="Y171" s="552" t="str">
        <f>IFERROR(
 IF($F171="Total",
   SUMPRODUCT(
   INDEX(Y:Y, ROW()-COUNTIF($F$6:INDEX($F:$F, ROW()-1), $F170)) : INDEX(Y:Y, ROW()-1),
   INDEX(AA:AA, ROW()-COUNTIF($F$6:INDEX($F:$F, ROW()-1), $F170)) : INDEX(AA:AA, ROW()-1)
   )
   /SUM(INDEX(AA:AA, ROW()-COUNTIF($F$6:INDEX($F:$F, ROW()-1), $F170)) : INDEX(AA:AA, ROW()-1)),
   AVERAGEIFS(
     INDEX((unit_details[Effective Rent],unit_details[Effective PSF]),0,1,IF($U$3="Chunk Rent",1,2)),
     unit_details[Leased Date],"&gt;="&amp;($AM$2-X$5),
     unit_details[Leased Date],"&lt;"&amp;$AM$2,
     unit_details[Beds],$L171,
     unit_details[Baths],$M171,
     unit_details[Partial Baths],IF(ISNUMBER($N171),$N171,""),
     unit_details[Sqft],$P171,
     unit_details[Property Name],$F171)
 ),"")</f>
        <v/>
      </c>
      <c r="Z171" s="27" t="str">
        <f t="shared" si="33"/>
        <v/>
      </c>
      <c r="AA171" s="526">
        <f>IFERROR(
  IF($F171="Total",
    SUM(INDEX(AA:AA, ROW()-COUNTIF($F$6:INDEX($F:$F, ROW()-1), $F170)) : INDEX(AA:AA, ROW()-1)),
    COUNTIFS(
      unit_details[Leased Date], "&gt;="&amp;($AM$2-X$5),
      unit_details[Leased Date], "&lt;"&amp;$AM$2,
      unit_details[Beds], $L171,
      unit_details[Baths], $M171,
      unit_details[Partial Baths], IF(ISNUMBER($N171), $N171, ""),
      unit_details[Sqft],$P171,
      unit_details[Property Name], $F171
    )
  ),
"")</f>
        <v>0</v>
      </c>
      <c r="AB171" s="290">
        <f>IF($F171="Total",
SUM(INDEX(AB:AB, ROW()-COUNTIF($F$6:INDEX($F:$F, ROW()-1), $F170)) : INDEX(AB:AB, ROW()-1)),
COUNTIFS(unit_details[Active Listing?],TRUE,
          unit_details[Property Name], $F171,
          unit_details[Beds], $L171,
          unit_details[Baths], $M171,
          unit_details[Partial Baths],IF(ISNUMBER($N171),$N171,""),
          unit_details[Sqft],$P171))</f>
        <v>0</v>
      </c>
      <c r="AC171" s="27" t="str">
        <f t="shared" si="25"/>
        <v/>
      </c>
      <c r="AD171" s="293" t="str">
        <f>IFERROR(IF(AE171="","",IF($F171="Total",
SUMPRODUCT(
   INDEX(AD:AD, ROW()-COUNTIF($F$6:INDEX($F:$F, ROW()-1), $F170)) : INDEX(AD:AD, ROW()-1),
   INDEX(AB:AB, ROW()-COUNTIF($F$6:INDEX($F:$F, ROW()-1), $F170)) : INDEX(AB:AB, ROW()-1)
   )
   /SUM(INDEX(AB:AB, ROW()-COUNTIF($F$6:INDEX($F:$F, ROW()-1), $F170)) : INDEX(AB:AB, ROW()-1)),
          _xlfn.MINIFS(unit_details[Asking Rent],
          unit_details[Active Listing?],TRUE,
          unit_details[Property Name], $F171,
          unit_details[Beds], $L171,
          unit_details[Baths], $M171,
          unit_details[Partial Baths], IF(ISNUMBER($N171),$N171,""),
          unit_details[Sqft],$P171
))),"")</f>
        <v/>
      </c>
      <c r="AE171" s="5" t="str">
        <f>IFERROR(IF($F171="Total",
          SUMPRODUCT(
   INDEX(AE:AE, ROW()-COUNTIF($F$6:INDEX($F:$F, ROW()-1), $F170)) : INDEX(AE:AE, ROW()-1),
   INDEX(AB:AB, ROW()-COUNTIF($F$6:INDEX($F:$F, ROW()-1), $F170)) : INDEX(AB:AB, ROW()-1)
   )
   /SUM(INDEX(AB:AB, ROW()-COUNTIF($F$6:INDEX($F:$F, ROW()-1), $F170)) : INDEX(AB:AB, ROW()-1)),
          AVERAGEIFS(unit_details[Asking Rent],
          unit_details[Active Listing?],TRUE,
          unit_details[Property Name], $F171,
          unit_details[Beds], $L171,
          unit_details[Baths], $M171,
          unit_details[Partial Baths], IF(ISNUMBER($N171),$N171,""),
          unit_details[Sqft],$P171
)),"")</f>
        <v/>
      </c>
      <c r="AF171" s="5" t="str">
        <f>IFERROR(IF(AE171="","",IF($F171="Total",
SUMPRODUCT(
   INDEX(AF:AF, ROW()-COUNTIF($F$6:INDEX($F:$F, ROW()-1), $F170)) : INDEX(AF:AF, ROW()-1),
   INDEX(AB:AB, ROW()-COUNTIF($F$6:INDEX($F:$F, ROW()-1), $F170)) : INDEX(AB:AB, ROW()-1)
   )
   /SUM(INDEX(AB:AB, ROW()-COUNTIF($F$6:INDEX($F:$F, ROW()-1), $F170)) : INDEX(AB:AB, ROW()-1)),
           _xlfn.MAXIFS(unit_details[Asking Rent],
          unit_details[Active Listing?],TRUE,
          unit_details[Property Name], $F171,
          unit_details[Beds], $L171,
          unit_details[Baths], $M171,
          unit_details[Partial Baths], IF(ISNUMBER($N171),$N171,""),
          unit_details[Sqft],$P171
))),"")</f>
        <v/>
      </c>
      <c r="AG171" s="6" t="str">
        <f>IFERROR(IF($F171="Total",
         SUMPRODUCT(
         INDEX(AG:AG, ROW()-COUNTIF($F$6:INDEX($F:$F, ROW()-1), $F170)) : INDEX(AG:AG, ROW()-1),
         INDEX(AB:AB, ROW()-COUNTIF($F$6:INDEX($F:$F, ROW()-1), $F170)) : INDEX(AB:AB, ROW()-1)
         )
         /SUM(INDEX(AB:AB, ROW()-COUNTIF($F$6:INDEX($F:$F, ROW()-1), $F170)) : INDEX(AB:AB, ROW()-1)),
          AVERAGEIFS(unit_details[Asking PSF],
          unit_details[Active Listing?],TRUE,
          unit_details[Property Name], $F171,
          unit_details[Beds], $L171,
          unit_details[Baths], $M171,
          unit_details[Partial Baths], IF(ISNUMBER($N171),$N171,""),
          unit_details[Sqft],$P171
)),"")</f>
        <v/>
      </c>
      <c r="AH171" s="293" t="str">
        <f>IFERROR(IF($F171="Total",
         SUMPRODUCT(
         INDEX(AH:AH, ROW()-COUNTIF($F$6:INDEX($F:$F, ROW()-1), $F170)) : INDEX(AH:AH, ROW()-1),
         INDEX(AB:AB, ROW()-COUNTIF($F$6:INDEX($F:$F, ROW()-1), $F170)) : INDEX(AB:AB, ROW()-1)
         )
         /SUM(INDEX(AB:AB, ROW()-COUNTIF($F$6:INDEX($F:$F, ROW()-1), $F170)) : INDEX(AB:AB, ROW()-1)),
          AVERAGEIFS(unit_details[Effective Rent],
          unit_details[Active Listing?],TRUE,
          unit_details[Property Name], $F171,
          unit_details[Beds], $L171,
          unit_details[Baths], $M171,
          unit_details[Partial Baths], IF(ISNUMBER($N171),$N171,""),
          unit_details[Sqft],$P171
)),"")</f>
        <v/>
      </c>
      <c r="AI171" s="6" t="str">
        <f>IFERROR(IF($F171="Total",
         SUMPRODUCT(
         INDEX(AI:AI, ROW()-COUNTIF($F$6:INDEX($F:$F, ROW()-1), $F170)) : INDEX(AI:AI, ROW()-1),
         INDEX(AB:AB, ROW()-COUNTIF($F$6:INDEX($F:$F, ROW()-1), $F170)) : INDEX(AB:AB, ROW()-1)
         )
         /SUM(INDEX(AB:AB, ROW()-COUNTIF($F$6:INDEX($F:$F, ROW()-1), $F170)) : INDEX(AB:AB, ROW()-1)),
           AVERAGEIFS(unit_details[Effective PSF],
          unit_details[Active Listing?],TRUE,
          unit_details[Property Name], $F171,
          unit_details[Beds], $L171,
          unit_details[Baths], $M171,
          unit_details[Partial Baths], IF(ISNUMBER($N171),$N171,""),
          unit_details[Sqft],$P171
)),"")</f>
        <v/>
      </c>
      <c r="AJ171" s="824" t="str">
        <f t="shared" si="26"/>
        <v/>
      </c>
      <c r="AK171" s="531" t="str">
        <f t="shared" si="27"/>
        <v/>
      </c>
      <c r="AL171" s="714" t="str">
        <f t="shared" si="28"/>
        <v/>
      </c>
      <c r="AM171" s="531" t="str">
        <f t="shared" si="29"/>
        <v/>
      </c>
      <c r="AN171" s="716" t="str">
        <f t="shared" si="30"/>
        <v/>
      </c>
    </row>
    <row r="172" spans="6:40" x14ac:dyDescent="0.2">
      <c r="F172" s="1" t="str">
        <f t="shared" si="23"/>
        <v/>
      </c>
      <c r="G172" s="713" t="str">
        <f t="shared" si="31"/>
        <v/>
      </c>
      <c r="H172" s="17" t="str">
        <f>IFERROR(VLOOKUP($G172,Table1[[Property]:[Exposure %]],4,0),"")</f>
        <v/>
      </c>
      <c r="I172" s="3" t="str">
        <f>IFERROR(VLOOKUP($G172,Table1[[Property]:[Exposure %]],6,0),"")</f>
        <v/>
      </c>
      <c r="J172" s="3" t="str">
        <f>IFERROR(VLOOKUP($G172,Table1[[Property]:[Exposure %]],7,0),"")</f>
        <v/>
      </c>
      <c r="K172"/>
      <c r="L172"/>
      <c r="M172"/>
      <c r="N172"/>
      <c r="O172"/>
      <c r="P172"/>
      <c r="Q172"/>
      <c r="R172" s="4" t="str">
        <f>IFERROR(VLOOKUP(IF(F172="Total",F171,F172),Table1[[Property]:['# Units]],7,0)*S172,"")</f>
        <v/>
      </c>
      <c r="S172" s="27" t="str">
        <f t="shared" si="24"/>
        <v/>
      </c>
      <c r="T172" s="531" t="str">
        <f>IFERROR(
 IF($F172="Total",
   SUMPRODUCT(
   INDEX(T:T, ROW()-COUNTIF($F$6:INDEX($F:$F, ROW()-1), $F171)) : INDEX(T:T, ROW()-1),
   INDEX(W:W, ROW()-COUNTIF($F$6:INDEX($F:$F, ROW()-1), $F171)) : INDEX(W:W, ROW()-1)
   )
   /SUM(INDEX(W:W, ROW()-COUNTIF($F$6:INDEX($F:$F, ROW()-1), $F171)) : INDEX(W:W, ROW()-1)),
   AVERAGEIFS(
     INDEX((unit_details[Asking Rent],unit_details[Asking PSF]),0,1,IF($U$3="Chunk Rent",1,2)),
     unit_details[Leased Date],"&gt;="&amp;($AM$2-T$5),
     unit_details[Leased Date],"&lt;"&amp;$AM$2,
     unit_details[Beds],$L172,
     unit_details[Baths],$M172,
     unit_details[Partial Baths],IF(ISNUMBER($N172),$N172,""),
     unit_details[Sqft],$P172,
     unit_details[Property Name],$F172)
 ),"")</f>
        <v/>
      </c>
      <c r="U172" s="552" t="str">
        <f>IFERROR(
 IF($F172="Total",
   SUMPRODUCT(
   INDEX(U:U, ROW()-COUNTIF($F$6:INDEX($F:$F, ROW()-1), $F171)) : INDEX(U:U, ROW()-1),
   INDEX(W:W, ROW()-COUNTIF($F$6:INDEX($F:$F, ROW()-1), $F171)) : INDEX(W:W, ROW()-1)
   )
   /SUM(INDEX(W:W, ROW()-COUNTIF($F$6:INDEX($F:$F, ROW()-1), $F171)) : INDEX(W:W, ROW()-1)),
   AVERAGEIFS(
     INDEX((unit_details[Effective Rent],unit_details[Effective PSF]),0,1,IF($U$3="Chunk Rent",1,2)),
     unit_details[Leased Date],"&gt;="&amp;($AM$2-T$5),
     unit_details[Leased Date],"&lt;"&amp;$AM$2,
     unit_details[Beds],$L172,
     unit_details[Baths],$M172,
     unit_details[Partial Baths],IF(ISNUMBER($N172),$N172,""),
     unit_details[Sqft],$P172,
     unit_details[Property Name],$F172)
 ),"")</f>
        <v/>
      </c>
      <c r="V172" s="27" t="str">
        <f t="shared" si="32"/>
        <v/>
      </c>
      <c r="W172" s="526">
        <f>IFERROR(
  IF($F172="Total",
    SUM(INDEX(W:W, ROW()-COUNTIF($F$6:INDEX($F:$F, ROW()-1), $F171)) : INDEX(W:W, ROW()-1)),
    COUNTIFS(
      unit_details[Leased Date], "&gt;="&amp;($AM$2-T$5),
      unit_details[Leased Date], "&lt;"&amp;$AM$2,
      unit_details[Beds], $L172,
      unit_details[Baths], $M172,
      unit_details[Partial Baths], IF(ISNUMBER($N172), $N172, ""),
      unit_details[Sqft],$P172,
      unit_details[Property Name], $F172
    )
  ),
"")</f>
        <v>0</v>
      </c>
      <c r="X172" s="531" t="str">
        <f>IFERROR(
 IF($F172="Total",
   SUMPRODUCT(
   INDEX(X:X, ROW()-COUNTIF($F$6:INDEX($F:$F, ROW()-1), $F171)) : INDEX(X:X, ROW()-1),
   INDEX(AA:AA, ROW()-COUNTIF($F$6:INDEX($F:$F, ROW()-1), $F171)) : INDEX(AA:AA, ROW()-1)
   )
   /SUM(INDEX(AA:AA, ROW()-COUNTIF($F$6:INDEX($F:$F, ROW()-1), $F171)) : INDEX(AA:AA, ROW()-1)),
   AVERAGEIFS(
     INDEX((unit_details[Asking Rent],unit_details[Asking PSF]),0,1,IF($U$3="Chunk Rent",1,2)),
     unit_details[Leased Date],"&gt;="&amp;($AM$2-X$5),
     unit_details[Leased Date],"&lt;"&amp;$AM$2,
     unit_details[Beds],$L172,
     unit_details[Baths],$M172,
     unit_details[Partial Baths],IF(ISNUMBER($N172),$N172,""),
     unit_details[Sqft],$P172,
     unit_details[Property Name],$F172)
 ),"")</f>
        <v/>
      </c>
      <c r="Y172" s="552" t="str">
        <f>IFERROR(
 IF($F172="Total",
   SUMPRODUCT(
   INDEX(Y:Y, ROW()-COUNTIF($F$6:INDEX($F:$F, ROW()-1), $F171)) : INDEX(Y:Y, ROW()-1),
   INDEX(AA:AA, ROW()-COUNTIF($F$6:INDEX($F:$F, ROW()-1), $F171)) : INDEX(AA:AA, ROW()-1)
   )
   /SUM(INDEX(AA:AA, ROW()-COUNTIF($F$6:INDEX($F:$F, ROW()-1), $F171)) : INDEX(AA:AA, ROW()-1)),
   AVERAGEIFS(
     INDEX((unit_details[Effective Rent],unit_details[Effective PSF]),0,1,IF($U$3="Chunk Rent",1,2)),
     unit_details[Leased Date],"&gt;="&amp;($AM$2-X$5),
     unit_details[Leased Date],"&lt;"&amp;$AM$2,
     unit_details[Beds],$L172,
     unit_details[Baths],$M172,
     unit_details[Partial Baths],IF(ISNUMBER($N172),$N172,""),
     unit_details[Sqft],$P172,
     unit_details[Property Name],$F172)
 ),"")</f>
        <v/>
      </c>
      <c r="Z172" s="27" t="str">
        <f t="shared" si="33"/>
        <v/>
      </c>
      <c r="AA172" s="526">
        <f>IFERROR(
  IF($F172="Total",
    SUM(INDEX(AA:AA, ROW()-COUNTIF($F$6:INDEX($F:$F, ROW()-1), $F171)) : INDEX(AA:AA, ROW()-1)),
    COUNTIFS(
      unit_details[Leased Date], "&gt;="&amp;($AM$2-X$5),
      unit_details[Leased Date], "&lt;"&amp;$AM$2,
      unit_details[Beds], $L172,
      unit_details[Baths], $M172,
      unit_details[Partial Baths], IF(ISNUMBER($N172), $N172, ""),
      unit_details[Sqft],$P172,
      unit_details[Property Name], $F172
    )
  ),
"")</f>
        <v>0</v>
      </c>
      <c r="AB172" s="290">
        <f>IF($F172="Total",
SUM(INDEX(AB:AB, ROW()-COUNTIF($F$6:INDEX($F:$F, ROW()-1), $F171)) : INDEX(AB:AB, ROW()-1)),
COUNTIFS(unit_details[Active Listing?],TRUE,
          unit_details[Property Name], $F172,
          unit_details[Beds], $L172,
          unit_details[Baths], $M172,
          unit_details[Partial Baths],IF(ISNUMBER($N172),$N172,""),
          unit_details[Sqft],$P172))</f>
        <v>0</v>
      </c>
      <c r="AC172" s="27" t="str">
        <f t="shared" si="25"/>
        <v/>
      </c>
      <c r="AD172" s="293" t="str">
        <f>IFERROR(IF(AE172="","",IF($F172="Total",
SUMPRODUCT(
   INDEX(AD:AD, ROW()-COUNTIF($F$6:INDEX($F:$F, ROW()-1), $F171)) : INDEX(AD:AD, ROW()-1),
   INDEX(AB:AB, ROW()-COUNTIF($F$6:INDEX($F:$F, ROW()-1), $F171)) : INDEX(AB:AB, ROW()-1)
   )
   /SUM(INDEX(AB:AB, ROW()-COUNTIF($F$6:INDEX($F:$F, ROW()-1), $F171)) : INDEX(AB:AB, ROW()-1)),
          _xlfn.MINIFS(unit_details[Asking Rent],
          unit_details[Active Listing?],TRUE,
          unit_details[Property Name], $F172,
          unit_details[Beds], $L172,
          unit_details[Baths], $M172,
          unit_details[Partial Baths], IF(ISNUMBER($N172),$N172,""),
          unit_details[Sqft],$P172
))),"")</f>
        <v/>
      </c>
      <c r="AE172" s="5" t="str">
        <f>IFERROR(IF($F172="Total",
          SUMPRODUCT(
   INDEX(AE:AE, ROW()-COUNTIF($F$6:INDEX($F:$F, ROW()-1), $F171)) : INDEX(AE:AE, ROW()-1),
   INDEX(AB:AB, ROW()-COUNTIF($F$6:INDEX($F:$F, ROW()-1), $F171)) : INDEX(AB:AB, ROW()-1)
   )
   /SUM(INDEX(AB:AB, ROW()-COUNTIF($F$6:INDEX($F:$F, ROW()-1), $F171)) : INDEX(AB:AB, ROW()-1)),
          AVERAGEIFS(unit_details[Asking Rent],
          unit_details[Active Listing?],TRUE,
          unit_details[Property Name], $F172,
          unit_details[Beds], $L172,
          unit_details[Baths], $M172,
          unit_details[Partial Baths], IF(ISNUMBER($N172),$N172,""),
          unit_details[Sqft],$P172
)),"")</f>
        <v/>
      </c>
      <c r="AF172" s="5" t="str">
        <f>IFERROR(IF(AE172="","",IF($F172="Total",
SUMPRODUCT(
   INDEX(AF:AF, ROW()-COUNTIF($F$6:INDEX($F:$F, ROW()-1), $F171)) : INDEX(AF:AF, ROW()-1),
   INDEX(AB:AB, ROW()-COUNTIF($F$6:INDEX($F:$F, ROW()-1), $F171)) : INDEX(AB:AB, ROW()-1)
   )
   /SUM(INDEX(AB:AB, ROW()-COUNTIF($F$6:INDEX($F:$F, ROW()-1), $F171)) : INDEX(AB:AB, ROW()-1)),
           _xlfn.MAXIFS(unit_details[Asking Rent],
          unit_details[Active Listing?],TRUE,
          unit_details[Property Name], $F172,
          unit_details[Beds], $L172,
          unit_details[Baths], $M172,
          unit_details[Partial Baths], IF(ISNUMBER($N172),$N172,""),
          unit_details[Sqft],$P172
))),"")</f>
        <v/>
      </c>
      <c r="AG172" s="6" t="str">
        <f>IFERROR(IF($F172="Total",
         SUMPRODUCT(
         INDEX(AG:AG, ROW()-COUNTIF($F$6:INDEX($F:$F, ROW()-1), $F171)) : INDEX(AG:AG, ROW()-1),
         INDEX(AB:AB, ROW()-COUNTIF($F$6:INDEX($F:$F, ROW()-1), $F171)) : INDEX(AB:AB, ROW()-1)
         )
         /SUM(INDEX(AB:AB, ROW()-COUNTIF($F$6:INDEX($F:$F, ROW()-1), $F171)) : INDEX(AB:AB, ROW()-1)),
          AVERAGEIFS(unit_details[Asking PSF],
          unit_details[Active Listing?],TRUE,
          unit_details[Property Name], $F172,
          unit_details[Beds], $L172,
          unit_details[Baths], $M172,
          unit_details[Partial Baths], IF(ISNUMBER($N172),$N172,""),
          unit_details[Sqft],$P172
)),"")</f>
        <v/>
      </c>
      <c r="AH172" s="293" t="str">
        <f>IFERROR(IF($F172="Total",
         SUMPRODUCT(
         INDEX(AH:AH, ROW()-COUNTIF($F$6:INDEX($F:$F, ROW()-1), $F171)) : INDEX(AH:AH, ROW()-1),
         INDEX(AB:AB, ROW()-COUNTIF($F$6:INDEX($F:$F, ROW()-1), $F171)) : INDEX(AB:AB, ROW()-1)
         )
         /SUM(INDEX(AB:AB, ROW()-COUNTIF($F$6:INDEX($F:$F, ROW()-1), $F171)) : INDEX(AB:AB, ROW()-1)),
          AVERAGEIFS(unit_details[Effective Rent],
          unit_details[Active Listing?],TRUE,
          unit_details[Property Name], $F172,
          unit_details[Beds], $L172,
          unit_details[Baths], $M172,
          unit_details[Partial Baths], IF(ISNUMBER($N172),$N172,""),
          unit_details[Sqft],$P172
)),"")</f>
        <v/>
      </c>
      <c r="AI172" s="6" t="str">
        <f>IFERROR(IF($F172="Total",
         SUMPRODUCT(
         INDEX(AI:AI, ROW()-COUNTIF($F$6:INDEX($F:$F, ROW()-1), $F171)) : INDEX(AI:AI, ROW()-1),
         INDEX(AB:AB, ROW()-COUNTIF($F$6:INDEX($F:$F, ROW()-1), $F171)) : INDEX(AB:AB, ROW()-1)
         )
         /SUM(INDEX(AB:AB, ROW()-COUNTIF($F$6:INDEX($F:$F, ROW()-1), $F171)) : INDEX(AB:AB, ROW()-1)),
           AVERAGEIFS(unit_details[Effective PSF],
          unit_details[Active Listing?],TRUE,
          unit_details[Property Name], $F172,
          unit_details[Beds], $L172,
          unit_details[Baths], $M172,
          unit_details[Partial Baths], IF(ISNUMBER($N172),$N172,""),
          unit_details[Sqft],$P172
)),"")</f>
        <v/>
      </c>
      <c r="AJ172" s="824" t="str">
        <f t="shared" si="26"/>
        <v/>
      </c>
      <c r="AK172" s="531" t="str">
        <f t="shared" si="27"/>
        <v/>
      </c>
      <c r="AL172" s="714" t="str">
        <f t="shared" si="28"/>
        <v/>
      </c>
      <c r="AM172" s="531" t="str">
        <f t="shared" si="29"/>
        <v/>
      </c>
      <c r="AN172" s="716" t="str">
        <f t="shared" si="30"/>
        <v/>
      </c>
    </row>
    <row r="173" spans="6:40" x14ac:dyDescent="0.2">
      <c r="F173" s="1" t="str">
        <f t="shared" si="23"/>
        <v/>
      </c>
      <c r="G173" s="713" t="str">
        <f t="shared" si="31"/>
        <v/>
      </c>
      <c r="H173" s="17" t="str">
        <f>IFERROR(VLOOKUP($G173,Table1[[Property]:[Exposure %]],4,0),"")</f>
        <v/>
      </c>
      <c r="I173" s="3" t="str">
        <f>IFERROR(VLOOKUP($G173,Table1[[Property]:[Exposure %]],6,0),"")</f>
        <v/>
      </c>
      <c r="J173" s="3" t="str">
        <f>IFERROR(VLOOKUP($G173,Table1[[Property]:[Exposure %]],7,0),"")</f>
        <v/>
      </c>
      <c r="K173"/>
      <c r="L173"/>
      <c r="M173"/>
      <c r="N173"/>
      <c r="O173"/>
      <c r="P173"/>
      <c r="Q173"/>
      <c r="R173" s="4" t="str">
        <f>IFERROR(VLOOKUP(IF(F173="Total",F172,F173),Table1[[Property]:['# Units]],7,0)*S173,"")</f>
        <v/>
      </c>
      <c r="S173" s="27" t="str">
        <f t="shared" si="24"/>
        <v/>
      </c>
      <c r="T173" s="531" t="str">
        <f>IFERROR(
 IF($F173="Total",
   SUMPRODUCT(
   INDEX(T:T, ROW()-COUNTIF($F$6:INDEX($F:$F, ROW()-1), $F172)) : INDEX(T:T, ROW()-1),
   INDEX(W:W, ROW()-COUNTIF($F$6:INDEX($F:$F, ROW()-1), $F172)) : INDEX(W:W, ROW()-1)
   )
   /SUM(INDEX(W:W, ROW()-COUNTIF($F$6:INDEX($F:$F, ROW()-1), $F172)) : INDEX(W:W, ROW()-1)),
   AVERAGEIFS(
     INDEX((unit_details[Asking Rent],unit_details[Asking PSF]),0,1,IF($U$3="Chunk Rent",1,2)),
     unit_details[Leased Date],"&gt;="&amp;($AM$2-T$5),
     unit_details[Leased Date],"&lt;"&amp;$AM$2,
     unit_details[Beds],$L173,
     unit_details[Baths],$M173,
     unit_details[Partial Baths],IF(ISNUMBER($N173),$N173,""),
     unit_details[Sqft],$P173,
     unit_details[Property Name],$F173)
 ),"")</f>
        <v/>
      </c>
      <c r="U173" s="552" t="str">
        <f>IFERROR(
 IF($F173="Total",
   SUMPRODUCT(
   INDEX(U:U, ROW()-COUNTIF($F$6:INDEX($F:$F, ROW()-1), $F172)) : INDEX(U:U, ROW()-1),
   INDEX(W:W, ROW()-COUNTIF($F$6:INDEX($F:$F, ROW()-1), $F172)) : INDEX(W:W, ROW()-1)
   )
   /SUM(INDEX(W:W, ROW()-COUNTIF($F$6:INDEX($F:$F, ROW()-1), $F172)) : INDEX(W:W, ROW()-1)),
   AVERAGEIFS(
     INDEX((unit_details[Effective Rent],unit_details[Effective PSF]),0,1,IF($U$3="Chunk Rent",1,2)),
     unit_details[Leased Date],"&gt;="&amp;($AM$2-T$5),
     unit_details[Leased Date],"&lt;"&amp;$AM$2,
     unit_details[Beds],$L173,
     unit_details[Baths],$M173,
     unit_details[Partial Baths],IF(ISNUMBER($N173),$N173,""),
     unit_details[Sqft],$P173,
     unit_details[Property Name],$F173)
 ),"")</f>
        <v/>
      </c>
      <c r="V173" s="27" t="str">
        <f t="shared" si="32"/>
        <v/>
      </c>
      <c r="W173" s="526">
        <f>IFERROR(
  IF($F173="Total",
    SUM(INDEX(W:W, ROW()-COUNTIF($F$6:INDEX($F:$F, ROW()-1), $F172)) : INDEX(W:W, ROW()-1)),
    COUNTIFS(
      unit_details[Leased Date], "&gt;="&amp;($AM$2-T$5),
      unit_details[Leased Date], "&lt;"&amp;$AM$2,
      unit_details[Beds], $L173,
      unit_details[Baths], $M173,
      unit_details[Partial Baths], IF(ISNUMBER($N173), $N173, ""),
      unit_details[Sqft],$P173,
      unit_details[Property Name], $F173
    )
  ),
"")</f>
        <v>0</v>
      </c>
      <c r="X173" s="531" t="str">
        <f>IFERROR(
 IF($F173="Total",
   SUMPRODUCT(
   INDEX(X:X, ROW()-COUNTIF($F$6:INDEX($F:$F, ROW()-1), $F172)) : INDEX(X:X, ROW()-1),
   INDEX(AA:AA, ROW()-COUNTIF($F$6:INDEX($F:$F, ROW()-1), $F172)) : INDEX(AA:AA, ROW()-1)
   )
   /SUM(INDEX(AA:AA, ROW()-COUNTIF($F$6:INDEX($F:$F, ROW()-1), $F172)) : INDEX(AA:AA, ROW()-1)),
   AVERAGEIFS(
     INDEX((unit_details[Asking Rent],unit_details[Asking PSF]),0,1,IF($U$3="Chunk Rent",1,2)),
     unit_details[Leased Date],"&gt;="&amp;($AM$2-X$5),
     unit_details[Leased Date],"&lt;"&amp;$AM$2,
     unit_details[Beds],$L173,
     unit_details[Baths],$M173,
     unit_details[Partial Baths],IF(ISNUMBER($N173),$N173,""),
     unit_details[Sqft],$P173,
     unit_details[Property Name],$F173)
 ),"")</f>
        <v/>
      </c>
      <c r="Y173" s="552" t="str">
        <f>IFERROR(
 IF($F173="Total",
   SUMPRODUCT(
   INDEX(Y:Y, ROW()-COUNTIF($F$6:INDEX($F:$F, ROW()-1), $F172)) : INDEX(Y:Y, ROW()-1),
   INDEX(AA:AA, ROW()-COUNTIF($F$6:INDEX($F:$F, ROW()-1), $F172)) : INDEX(AA:AA, ROW()-1)
   )
   /SUM(INDEX(AA:AA, ROW()-COUNTIF($F$6:INDEX($F:$F, ROW()-1), $F172)) : INDEX(AA:AA, ROW()-1)),
   AVERAGEIFS(
     INDEX((unit_details[Effective Rent],unit_details[Effective PSF]),0,1,IF($U$3="Chunk Rent",1,2)),
     unit_details[Leased Date],"&gt;="&amp;($AM$2-X$5),
     unit_details[Leased Date],"&lt;"&amp;$AM$2,
     unit_details[Beds],$L173,
     unit_details[Baths],$M173,
     unit_details[Partial Baths],IF(ISNUMBER($N173),$N173,""),
     unit_details[Sqft],$P173,
     unit_details[Property Name],$F173)
 ),"")</f>
        <v/>
      </c>
      <c r="Z173" s="27" t="str">
        <f t="shared" si="33"/>
        <v/>
      </c>
      <c r="AA173" s="526">
        <f>IFERROR(
  IF($F173="Total",
    SUM(INDEX(AA:AA, ROW()-COUNTIF($F$6:INDEX($F:$F, ROW()-1), $F172)) : INDEX(AA:AA, ROW()-1)),
    COUNTIFS(
      unit_details[Leased Date], "&gt;="&amp;($AM$2-X$5),
      unit_details[Leased Date], "&lt;"&amp;$AM$2,
      unit_details[Beds], $L173,
      unit_details[Baths], $M173,
      unit_details[Partial Baths], IF(ISNUMBER($N173), $N173, ""),
      unit_details[Sqft],$P173,
      unit_details[Property Name], $F173
    )
  ),
"")</f>
        <v>0</v>
      </c>
      <c r="AB173" s="290">
        <f>IF($F173="Total",
SUM(INDEX(AB:AB, ROW()-COUNTIF($F$6:INDEX($F:$F, ROW()-1), $F172)) : INDEX(AB:AB, ROW()-1)),
COUNTIFS(unit_details[Active Listing?],TRUE,
          unit_details[Property Name], $F173,
          unit_details[Beds], $L173,
          unit_details[Baths], $M173,
          unit_details[Partial Baths],IF(ISNUMBER($N173),$N173,""),
          unit_details[Sqft],$P173))</f>
        <v>0</v>
      </c>
      <c r="AC173" s="27" t="str">
        <f t="shared" si="25"/>
        <v/>
      </c>
      <c r="AD173" s="293" t="str">
        <f>IFERROR(IF(AE173="","",IF($F173="Total",
SUMPRODUCT(
   INDEX(AD:AD, ROW()-COUNTIF($F$6:INDEX($F:$F, ROW()-1), $F172)) : INDEX(AD:AD, ROW()-1),
   INDEX(AB:AB, ROW()-COUNTIF($F$6:INDEX($F:$F, ROW()-1), $F172)) : INDEX(AB:AB, ROW()-1)
   )
   /SUM(INDEX(AB:AB, ROW()-COUNTIF($F$6:INDEX($F:$F, ROW()-1), $F172)) : INDEX(AB:AB, ROW()-1)),
          _xlfn.MINIFS(unit_details[Asking Rent],
          unit_details[Active Listing?],TRUE,
          unit_details[Property Name], $F173,
          unit_details[Beds], $L173,
          unit_details[Baths], $M173,
          unit_details[Partial Baths], IF(ISNUMBER($N173),$N173,""),
          unit_details[Sqft],$P173
))),"")</f>
        <v/>
      </c>
      <c r="AE173" s="5" t="str">
        <f>IFERROR(IF($F173="Total",
          SUMPRODUCT(
   INDEX(AE:AE, ROW()-COUNTIF($F$6:INDEX($F:$F, ROW()-1), $F172)) : INDEX(AE:AE, ROW()-1),
   INDEX(AB:AB, ROW()-COUNTIF($F$6:INDEX($F:$F, ROW()-1), $F172)) : INDEX(AB:AB, ROW()-1)
   )
   /SUM(INDEX(AB:AB, ROW()-COUNTIF($F$6:INDEX($F:$F, ROW()-1), $F172)) : INDEX(AB:AB, ROW()-1)),
          AVERAGEIFS(unit_details[Asking Rent],
          unit_details[Active Listing?],TRUE,
          unit_details[Property Name], $F173,
          unit_details[Beds], $L173,
          unit_details[Baths], $M173,
          unit_details[Partial Baths], IF(ISNUMBER($N173),$N173,""),
          unit_details[Sqft],$P173
)),"")</f>
        <v/>
      </c>
      <c r="AF173" s="5" t="str">
        <f>IFERROR(IF(AE173="","",IF($F173="Total",
SUMPRODUCT(
   INDEX(AF:AF, ROW()-COUNTIF($F$6:INDEX($F:$F, ROW()-1), $F172)) : INDEX(AF:AF, ROW()-1),
   INDEX(AB:AB, ROW()-COUNTIF($F$6:INDEX($F:$F, ROW()-1), $F172)) : INDEX(AB:AB, ROW()-1)
   )
   /SUM(INDEX(AB:AB, ROW()-COUNTIF($F$6:INDEX($F:$F, ROW()-1), $F172)) : INDEX(AB:AB, ROW()-1)),
           _xlfn.MAXIFS(unit_details[Asking Rent],
          unit_details[Active Listing?],TRUE,
          unit_details[Property Name], $F173,
          unit_details[Beds], $L173,
          unit_details[Baths], $M173,
          unit_details[Partial Baths], IF(ISNUMBER($N173),$N173,""),
          unit_details[Sqft],$P173
))),"")</f>
        <v/>
      </c>
      <c r="AG173" s="6" t="str">
        <f>IFERROR(IF($F173="Total",
         SUMPRODUCT(
         INDEX(AG:AG, ROW()-COUNTIF($F$6:INDEX($F:$F, ROW()-1), $F172)) : INDEX(AG:AG, ROW()-1),
         INDEX(AB:AB, ROW()-COUNTIF($F$6:INDEX($F:$F, ROW()-1), $F172)) : INDEX(AB:AB, ROW()-1)
         )
         /SUM(INDEX(AB:AB, ROW()-COUNTIF($F$6:INDEX($F:$F, ROW()-1), $F172)) : INDEX(AB:AB, ROW()-1)),
          AVERAGEIFS(unit_details[Asking PSF],
          unit_details[Active Listing?],TRUE,
          unit_details[Property Name], $F173,
          unit_details[Beds], $L173,
          unit_details[Baths], $M173,
          unit_details[Partial Baths], IF(ISNUMBER($N173),$N173,""),
          unit_details[Sqft],$P173
)),"")</f>
        <v/>
      </c>
      <c r="AH173" s="293" t="str">
        <f>IFERROR(IF($F173="Total",
         SUMPRODUCT(
         INDEX(AH:AH, ROW()-COUNTIF($F$6:INDEX($F:$F, ROW()-1), $F172)) : INDEX(AH:AH, ROW()-1),
         INDEX(AB:AB, ROW()-COUNTIF($F$6:INDEX($F:$F, ROW()-1), $F172)) : INDEX(AB:AB, ROW()-1)
         )
         /SUM(INDEX(AB:AB, ROW()-COUNTIF($F$6:INDEX($F:$F, ROW()-1), $F172)) : INDEX(AB:AB, ROW()-1)),
          AVERAGEIFS(unit_details[Effective Rent],
          unit_details[Active Listing?],TRUE,
          unit_details[Property Name], $F173,
          unit_details[Beds], $L173,
          unit_details[Baths], $M173,
          unit_details[Partial Baths], IF(ISNUMBER($N173),$N173,""),
          unit_details[Sqft],$P173
)),"")</f>
        <v/>
      </c>
      <c r="AI173" s="6" t="str">
        <f>IFERROR(IF($F173="Total",
         SUMPRODUCT(
         INDEX(AI:AI, ROW()-COUNTIF($F$6:INDEX($F:$F, ROW()-1), $F172)) : INDEX(AI:AI, ROW()-1),
         INDEX(AB:AB, ROW()-COUNTIF($F$6:INDEX($F:$F, ROW()-1), $F172)) : INDEX(AB:AB, ROW()-1)
         )
         /SUM(INDEX(AB:AB, ROW()-COUNTIF($F$6:INDEX($F:$F, ROW()-1), $F172)) : INDEX(AB:AB, ROW()-1)),
           AVERAGEIFS(unit_details[Effective PSF],
          unit_details[Active Listing?],TRUE,
          unit_details[Property Name], $F173,
          unit_details[Beds], $L173,
          unit_details[Baths], $M173,
          unit_details[Partial Baths], IF(ISNUMBER($N173),$N173,""),
          unit_details[Sqft],$P173
)),"")</f>
        <v/>
      </c>
      <c r="AJ173" s="824" t="str">
        <f t="shared" si="26"/>
        <v/>
      </c>
      <c r="AK173" s="531" t="str">
        <f t="shared" si="27"/>
        <v/>
      </c>
      <c r="AL173" s="714" t="str">
        <f t="shared" si="28"/>
        <v/>
      </c>
      <c r="AM173" s="531" t="str">
        <f t="shared" si="29"/>
        <v/>
      </c>
      <c r="AN173" s="716" t="str">
        <f t="shared" si="30"/>
        <v/>
      </c>
    </row>
    <row r="174" spans="6:40" x14ac:dyDescent="0.2">
      <c r="F174" s="1" t="str">
        <f t="shared" si="23"/>
        <v/>
      </c>
      <c r="G174" s="713" t="str">
        <f t="shared" si="31"/>
        <v/>
      </c>
      <c r="H174" s="17" t="str">
        <f>IFERROR(VLOOKUP($G174,Table1[[Property]:[Exposure %]],4,0),"")</f>
        <v/>
      </c>
      <c r="I174" s="3" t="str">
        <f>IFERROR(VLOOKUP($G174,Table1[[Property]:[Exposure %]],6,0),"")</f>
        <v/>
      </c>
      <c r="J174" s="3" t="str">
        <f>IFERROR(VLOOKUP($G174,Table1[[Property]:[Exposure %]],7,0),"")</f>
        <v/>
      </c>
      <c r="K174"/>
      <c r="L174"/>
      <c r="M174"/>
      <c r="N174"/>
      <c r="O174"/>
      <c r="P174"/>
      <c r="Q174"/>
      <c r="R174" s="4" t="str">
        <f>IFERROR(VLOOKUP(IF(F174="Total",F173,F174),Table1[[Property]:['# Units]],7,0)*S174,"")</f>
        <v/>
      </c>
      <c r="S174" s="27" t="str">
        <f t="shared" si="24"/>
        <v/>
      </c>
      <c r="T174" s="531" t="str">
        <f>IFERROR(
 IF($F174="Total",
   SUMPRODUCT(
   INDEX(T:T, ROW()-COUNTIF($F$6:INDEX($F:$F, ROW()-1), $F173)) : INDEX(T:T, ROW()-1),
   INDEX(W:W, ROW()-COUNTIF($F$6:INDEX($F:$F, ROW()-1), $F173)) : INDEX(W:W, ROW()-1)
   )
   /SUM(INDEX(W:W, ROW()-COUNTIF($F$6:INDEX($F:$F, ROW()-1), $F173)) : INDEX(W:W, ROW()-1)),
   AVERAGEIFS(
     INDEX((unit_details[Asking Rent],unit_details[Asking PSF]),0,1,IF($U$3="Chunk Rent",1,2)),
     unit_details[Leased Date],"&gt;="&amp;($AM$2-T$5),
     unit_details[Leased Date],"&lt;"&amp;$AM$2,
     unit_details[Beds],$L174,
     unit_details[Baths],$M174,
     unit_details[Partial Baths],IF(ISNUMBER($N174),$N174,""),
     unit_details[Sqft],$P174,
     unit_details[Property Name],$F174)
 ),"")</f>
        <v/>
      </c>
      <c r="U174" s="552" t="str">
        <f>IFERROR(
 IF($F174="Total",
   SUMPRODUCT(
   INDEX(U:U, ROW()-COUNTIF($F$6:INDEX($F:$F, ROW()-1), $F173)) : INDEX(U:U, ROW()-1),
   INDEX(W:W, ROW()-COUNTIF($F$6:INDEX($F:$F, ROW()-1), $F173)) : INDEX(W:W, ROW()-1)
   )
   /SUM(INDEX(W:W, ROW()-COUNTIF($F$6:INDEX($F:$F, ROW()-1), $F173)) : INDEX(W:W, ROW()-1)),
   AVERAGEIFS(
     INDEX((unit_details[Effective Rent],unit_details[Effective PSF]),0,1,IF($U$3="Chunk Rent",1,2)),
     unit_details[Leased Date],"&gt;="&amp;($AM$2-T$5),
     unit_details[Leased Date],"&lt;"&amp;$AM$2,
     unit_details[Beds],$L174,
     unit_details[Baths],$M174,
     unit_details[Partial Baths],IF(ISNUMBER($N174),$N174,""),
     unit_details[Sqft],$P174,
     unit_details[Property Name],$F174)
 ),"")</f>
        <v/>
      </c>
      <c r="V174" s="27" t="str">
        <f t="shared" si="32"/>
        <v/>
      </c>
      <c r="W174" s="526">
        <f>IFERROR(
  IF($F174="Total",
    SUM(INDEX(W:W, ROW()-COUNTIF($F$6:INDEX($F:$F, ROW()-1), $F173)) : INDEX(W:W, ROW()-1)),
    COUNTIFS(
      unit_details[Leased Date], "&gt;="&amp;($AM$2-T$5),
      unit_details[Leased Date], "&lt;"&amp;$AM$2,
      unit_details[Beds], $L174,
      unit_details[Baths], $M174,
      unit_details[Partial Baths], IF(ISNUMBER($N174), $N174, ""),
      unit_details[Sqft],$P174,
      unit_details[Property Name], $F174
    )
  ),
"")</f>
        <v>0</v>
      </c>
      <c r="X174" s="531" t="str">
        <f>IFERROR(
 IF($F174="Total",
   SUMPRODUCT(
   INDEX(X:X, ROW()-COUNTIF($F$6:INDEX($F:$F, ROW()-1), $F173)) : INDEX(X:X, ROW()-1),
   INDEX(AA:AA, ROW()-COUNTIF($F$6:INDEX($F:$F, ROW()-1), $F173)) : INDEX(AA:AA, ROW()-1)
   )
   /SUM(INDEX(AA:AA, ROW()-COUNTIF($F$6:INDEX($F:$F, ROW()-1), $F173)) : INDEX(AA:AA, ROW()-1)),
   AVERAGEIFS(
     INDEX((unit_details[Asking Rent],unit_details[Asking PSF]),0,1,IF($U$3="Chunk Rent",1,2)),
     unit_details[Leased Date],"&gt;="&amp;($AM$2-X$5),
     unit_details[Leased Date],"&lt;"&amp;$AM$2,
     unit_details[Beds],$L174,
     unit_details[Baths],$M174,
     unit_details[Partial Baths],IF(ISNUMBER($N174),$N174,""),
     unit_details[Sqft],$P174,
     unit_details[Property Name],$F174)
 ),"")</f>
        <v/>
      </c>
      <c r="Y174" s="552" t="str">
        <f>IFERROR(
 IF($F174="Total",
   SUMPRODUCT(
   INDEX(Y:Y, ROW()-COUNTIF($F$6:INDEX($F:$F, ROW()-1), $F173)) : INDEX(Y:Y, ROW()-1),
   INDEX(AA:AA, ROW()-COUNTIF($F$6:INDEX($F:$F, ROW()-1), $F173)) : INDEX(AA:AA, ROW()-1)
   )
   /SUM(INDEX(AA:AA, ROW()-COUNTIF($F$6:INDEX($F:$F, ROW()-1), $F173)) : INDEX(AA:AA, ROW()-1)),
   AVERAGEIFS(
     INDEX((unit_details[Effective Rent],unit_details[Effective PSF]),0,1,IF($U$3="Chunk Rent",1,2)),
     unit_details[Leased Date],"&gt;="&amp;($AM$2-X$5),
     unit_details[Leased Date],"&lt;"&amp;$AM$2,
     unit_details[Beds],$L174,
     unit_details[Baths],$M174,
     unit_details[Partial Baths],IF(ISNUMBER($N174),$N174,""),
     unit_details[Sqft],$P174,
     unit_details[Property Name],$F174)
 ),"")</f>
        <v/>
      </c>
      <c r="Z174" s="27" t="str">
        <f t="shared" si="33"/>
        <v/>
      </c>
      <c r="AA174" s="526">
        <f>IFERROR(
  IF($F174="Total",
    SUM(INDEX(AA:AA, ROW()-COUNTIF($F$6:INDEX($F:$F, ROW()-1), $F173)) : INDEX(AA:AA, ROW()-1)),
    COUNTIFS(
      unit_details[Leased Date], "&gt;="&amp;($AM$2-X$5),
      unit_details[Leased Date], "&lt;"&amp;$AM$2,
      unit_details[Beds], $L174,
      unit_details[Baths], $M174,
      unit_details[Partial Baths], IF(ISNUMBER($N174), $N174, ""),
      unit_details[Sqft],$P174,
      unit_details[Property Name], $F174
    )
  ),
"")</f>
        <v>0</v>
      </c>
      <c r="AB174" s="290">
        <f>IF($F174="Total",
SUM(INDEX(AB:AB, ROW()-COUNTIF($F$6:INDEX($F:$F, ROW()-1), $F173)) : INDEX(AB:AB, ROW()-1)),
COUNTIFS(unit_details[Active Listing?],TRUE,
          unit_details[Property Name], $F174,
          unit_details[Beds], $L174,
          unit_details[Baths], $M174,
          unit_details[Partial Baths],IF(ISNUMBER($N174),$N174,""),
          unit_details[Sqft],$P174))</f>
        <v>0</v>
      </c>
      <c r="AC174" s="27" t="str">
        <f t="shared" si="25"/>
        <v/>
      </c>
      <c r="AD174" s="293" t="str">
        <f>IFERROR(IF(AE174="","",IF($F174="Total",
SUMPRODUCT(
   INDEX(AD:AD, ROW()-COUNTIF($F$6:INDEX($F:$F, ROW()-1), $F173)) : INDEX(AD:AD, ROW()-1),
   INDEX(AB:AB, ROW()-COUNTIF($F$6:INDEX($F:$F, ROW()-1), $F173)) : INDEX(AB:AB, ROW()-1)
   )
   /SUM(INDEX(AB:AB, ROW()-COUNTIF($F$6:INDEX($F:$F, ROW()-1), $F173)) : INDEX(AB:AB, ROW()-1)),
          _xlfn.MINIFS(unit_details[Asking Rent],
          unit_details[Active Listing?],TRUE,
          unit_details[Property Name], $F174,
          unit_details[Beds], $L174,
          unit_details[Baths], $M174,
          unit_details[Partial Baths], IF(ISNUMBER($N174),$N174,""),
          unit_details[Sqft],$P174
))),"")</f>
        <v/>
      </c>
      <c r="AE174" s="5" t="str">
        <f>IFERROR(IF($F174="Total",
          SUMPRODUCT(
   INDEX(AE:AE, ROW()-COUNTIF($F$6:INDEX($F:$F, ROW()-1), $F173)) : INDEX(AE:AE, ROW()-1),
   INDEX(AB:AB, ROW()-COUNTIF($F$6:INDEX($F:$F, ROW()-1), $F173)) : INDEX(AB:AB, ROW()-1)
   )
   /SUM(INDEX(AB:AB, ROW()-COUNTIF($F$6:INDEX($F:$F, ROW()-1), $F173)) : INDEX(AB:AB, ROW()-1)),
          AVERAGEIFS(unit_details[Asking Rent],
          unit_details[Active Listing?],TRUE,
          unit_details[Property Name], $F174,
          unit_details[Beds], $L174,
          unit_details[Baths], $M174,
          unit_details[Partial Baths], IF(ISNUMBER($N174),$N174,""),
          unit_details[Sqft],$P174
)),"")</f>
        <v/>
      </c>
      <c r="AF174" s="5" t="str">
        <f>IFERROR(IF(AE174="","",IF($F174="Total",
SUMPRODUCT(
   INDEX(AF:AF, ROW()-COUNTIF($F$6:INDEX($F:$F, ROW()-1), $F173)) : INDEX(AF:AF, ROW()-1),
   INDEX(AB:AB, ROW()-COUNTIF($F$6:INDEX($F:$F, ROW()-1), $F173)) : INDEX(AB:AB, ROW()-1)
   )
   /SUM(INDEX(AB:AB, ROW()-COUNTIF($F$6:INDEX($F:$F, ROW()-1), $F173)) : INDEX(AB:AB, ROW()-1)),
           _xlfn.MAXIFS(unit_details[Asking Rent],
          unit_details[Active Listing?],TRUE,
          unit_details[Property Name], $F174,
          unit_details[Beds], $L174,
          unit_details[Baths], $M174,
          unit_details[Partial Baths], IF(ISNUMBER($N174),$N174,""),
          unit_details[Sqft],$P174
))),"")</f>
        <v/>
      </c>
      <c r="AG174" s="6" t="str">
        <f>IFERROR(IF($F174="Total",
         SUMPRODUCT(
         INDEX(AG:AG, ROW()-COUNTIF($F$6:INDEX($F:$F, ROW()-1), $F173)) : INDEX(AG:AG, ROW()-1),
         INDEX(AB:AB, ROW()-COUNTIF($F$6:INDEX($F:$F, ROW()-1), $F173)) : INDEX(AB:AB, ROW()-1)
         )
         /SUM(INDEX(AB:AB, ROW()-COUNTIF($F$6:INDEX($F:$F, ROW()-1), $F173)) : INDEX(AB:AB, ROW()-1)),
          AVERAGEIFS(unit_details[Asking PSF],
          unit_details[Active Listing?],TRUE,
          unit_details[Property Name], $F174,
          unit_details[Beds], $L174,
          unit_details[Baths], $M174,
          unit_details[Partial Baths], IF(ISNUMBER($N174),$N174,""),
          unit_details[Sqft],$P174
)),"")</f>
        <v/>
      </c>
      <c r="AH174" s="293" t="str">
        <f>IFERROR(IF($F174="Total",
         SUMPRODUCT(
         INDEX(AH:AH, ROW()-COUNTIF($F$6:INDEX($F:$F, ROW()-1), $F173)) : INDEX(AH:AH, ROW()-1),
         INDEX(AB:AB, ROW()-COUNTIF($F$6:INDEX($F:$F, ROW()-1), $F173)) : INDEX(AB:AB, ROW()-1)
         )
         /SUM(INDEX(AB:AB, ROW()-COUNTIF($F$6:INDEX($F:$F, ROW()-1), $F173)) : INDEX(AB:AB, ROW()-1)),
          AVERAGEIFS(unit_details[Effective Rent],
          unit_details[Active Listing?],TRUE,
          unit_details[Property Name], $F174,
          unit_details[Beds], $L174,
          unit_details[Baths], $M174,
          unit_details[Partial Baths], IF(ISNUMBER($N174),$N174,""),
          unit_details[Sqft],$P174
)),"")</f>
        <v/>
      </c>
      <c r="AI174" s="6" t="str">
        <f>IFERROR(IF($F174="Total",
         SUMPRODUCT(
         INDEX(AI:AI, ROW()-COUNTIF($F$6:INDEX($F:$F, ROW()-1), $F173)) : INDEX(AI:AI, ROW()-1),
         INDEX(AB:AB, ROW()-COUNTIF($F$6:INDEX($F:$F, ROW()-1), $F173)) : INDEX(AB:AB, ROW()-1)
         )
         /SUM(INDEX(AB:AB, ROW()-COUNTIF($F$6:INDEX($F:$F, ROW()-1), $F173)) : INDEX(AB:AB, ROW()-1)),
           AVERAGEIFS(unit_details[Effective PSF],
          unit_details[Active Listing?],TRUE,
          unit_details[Property Name], $F174,
          unit_details[Beds], $L174,
          unit_details[Baths], $M174,
          unit_details[Partial Baths], IF(ISNUMBER($N174),$N174,""),
          unit_details[Sqft],$P174
)),"")</f>
        <v/>
      </c>
      <c r="AJ174" s="824" t="str">
        <f t="shared" si="26"/>
        <v/>
      </c>
      <c r="AK174" s="531" t="str">
        <f t="shared" si="27"/>
        <v/>
      </c>
      <c r="AL174" s="714" t="str">
        <f t="shared" si="28"/>
        <v/>
      </c>
      <c r="AM174" s="531" t="str">
        <f t="shared" si="29"/>
        <v/>
      </c>
      <c r="AN174" s="716" t="str">
        <f t="shared" si="30"/>
        <v/>
      </c>
    </row>
    <row r="175" spans="6:40" x14ac:dyDescent="0.2">
      <c r="F175" s="1" t="str">
        <f t="shared" si="23"/>
        <v/>
      </c>
      <c r="G175" s="713" t="str">
        <f t="shared" si="31"/>
        <v/>
      </c>
      <c r="H175" s="17" t="str">
        <f>IFERROR(VLOOKUP($G175,Table1[[Property]:[Exposure %]],4,0),"")</f>
        <v/>
      </c>
      <c r="I175" s="3" t="str">
        <f>IFERROR(VLOOKUP($G175,Table1[[Property]:[Exposure %]],6,0),"")</f>
        <v/>
      </c>
      <c r="J175" s="3" t="str">
        <f>IFERROR(VLOOKUP($G175,Table1[[Property]:[Exposure %]],7,0),"")</f>
        <v/>
      </c>
      <c r="K175"/>
      <c r="L175"/>
      <c r="M175"/>
      <c r="N175"/>
      <c r="O175"/>
      <c r="P175"/>
      <c r="Q175"/>
      <c r="R175" s="4" t="str">
        <f>IFERROR(VLOOKUP(IF(F175="Total",F174,F175),Table1[[Property]:['# Units]],7,0)*S175,"")</f>
        <v/>
      </c>
      <c r="S175" s="27" t="str">
        <f t="shared" si="24"/>
        <v/>
      </c>
      <c r="T175" s="531" t="str">
        <f>IFERROR(
 IF($F175="Total",
   SUMPRODUCT(
   INDEX(T:T, ROW()-COUNTIF($F$6:INDEX($F:$F, ROW()-1), $F174)) : INDEX(T:T, ROW()-1),
   INDEX(W:W, ROW()-COUNTIF($F$6:INDEX($F:$F, ROW()-1), $F174)) : INDEX(W:W, ROW()-1)
   )
   /SUM(INDEX(W:W, ROW()-COUNTIF($F$6:INDEX($F:$F, ROW()-1), $F174)) : INDEX(W:W, ROW()-1)),
   AVERAGEIFS(
     INDEX((unit_details[Asking Rent],unit_details[Asking PSF]),0,1,IF($U$3="Chunk Rent",1,2)),
     unit_details[Leased Date],"&gt;="&amp;($AM$2-T$5),
     unit_details[Leased Date],"&lt;"&amp;$AM$2,
     unit_details[Beds],$L175,
     unit_details[Baths],$M175,
     unit_details[Partial Baths],IF(ISNUMBER($N175),$N175,""),
     unit_details[Sqft],$P175,
     unit_details[Property Name],$F175)
 ),"")</f>
        <v/>
      </c>
      <c r="U175" s="552" t="str">
        <f>IFERROR(
 IF($F175="Total",
   SUMPRODUCT(
   INDEX(U:U, ROW()-COUNTIF($F$6:INDEX($F:$F, ROW()-1), $F174)) : INDEX(U:U, ROW()-1),
   INDEX(W:W, ROW()-COUNTIF($F$6:INDEX($F:$F, ROW()-1), $F174)) : INDEX(W:W, ROW()-1)
   )
   /SUM(INDEX(W:W, ROW()-COUNTIF($F$6:INDEX($F:$F, ROW()-1), $F174)) : INDEX(W:W, ROW()-1)),
   AVERAGEIFS(
     INDEX((unit_details[Effective Rent],unit_details[Effective PSF]),0,1,IF($U$3="Chunk Rent",1,2)),
     unit_details[Leased Date],"&gt;="&amp;($AM$2-T$5),
     unit_details[Leased Date],"&lt;"&amp;$AM$2,
     unit_details[Beds],$L175,
     unit_details[Baths],$M175,
     unit_details[Partial Baths],IF(ISNUMBER($N175),$N175,""),
     unit_details[Sqft],$P175,
     unit_details[Property Name],$F175)
 ),"")</f>
        <v/>
      </c>
      <c r="V175" s="27" t="str">
        <f t="shared" si="32"/>
        <v/>
      </c>
      <c r="W175" s="526">
        <f>IFERROR(
  IF($F175="Total",
    SUM(INDEX(W:W, ROW()-COUNTIF($F$6:INDEX($F:$F, ROW()-1), $F174)) : INDEX(W:W, ROW()-1)),
    COUNTIFS(
      unit_details[Leased Date], "&gt;="&amp;($AM$2-T$5),
      unit_details[Leased Date], "&lt;"&amp;$AM$2,
      unit_details[Beds], $L175,
      unit_details[Baths], $M175,
      unit_details[Partial Baths], IF(ISNUMBER($N175), $N175, ""),
      unit_details[Sqft],$P175,
      unit_details[Property Name], $F175
    )
  ),
"")</f>
        <v>0</v>
      </c>
      <c r="X175" s="531" t="str">
        <f>IFERROR(
 IF($F175="Total",
   SUMPRODUCT(
   INDEX(X:X, ROW()-COUNTIF($F$6:INDEX($F:$F, ROW()-1), $F174)) : INDEX(X:X, ROW()-1),
   INDEX(AA:AA, ROW()-COUNTIF($F$6:INDEX($F:$F, ROW()-1), $F174)) : INDEX(AA:AA, ROW()-1)
   )
   /SUM(INDEX(AA:AA, ROW()-COUNTIF($F$6:INDEX($F:$F, ROW()-1), $F174)) : INDEX(AA:AA, ROW()-1)),
   AVERAGEIFS(
     INDEX((unit_details[Asking Rent],unit_details[Asking PSF]),0,1,IF($U$3="Chunk Rent",1,2)),
     unit_details[Leased Date],"&gt;="&amp;($AM$2-X$5),
     unit_details[Leased Date],"&lt;"&amp;$AM$2,
     unit_details[Beds],$L175,
     unit_details[Baths],$M175,
     unit_details[Partial Baths],IF(ISNUMBER($N175),$N175,""),
     unit_details[Sqft],$P175,
     unit_details[Property Name],$F175)
 ),"")</f>
        <v/>
      </c>
      <c r="Y175" s="552" t="str">
        <f>IFERROR(
 IF($F175="Total",
   SUMPRODUCT(
   INDEX(Y:Y, ROW()-COUNTIF($F$6:INDEX($F:$F, ROW()-1), $F174)) : INDEX(Y:Y, ROW()-1),
   INDEX(AA:AA, ROW()-COUNTIF($F$6:INDEX($F:$F, ROW()-1), $F174)) : INDEX(AA:AA, ROW()-1)
   )
   /SUM(INDEX(AA:AA, ROW()-COUNTIF($F$6:INDEX($F:$F, ROW()-1), $F174)) : INDEX(AA:AA, ROW()-1)),
   AVERAGEIFS(
     INDEX((unit_details[Effective Rent],unit_details[Effective PSF]),0,1,IF($U$3="Chunk Rent",1,2)),
     unit_details[Leased Date],"&gt;="&amp;($AM$2-X$5),
     unit_details[Leased Date],"&lt;"&amp;$AM$2,
     unit_details[Beds],$L175,
     unit_details[Baths],$M175,
     unit_details[Partial Baths],IF(ISNUMBER($N175),$N175,""),
     unit_details[Sqft],$P175,
     unit_details[Property Name],$F175)
 ),"")</f>
        <v/>
      </c>
      <c r="Z175" s="27" t="str">
        <f t="shared" si="33"/>
        <v/>
      </c>
      <c r="AA175" s="526">
        <f>IFERROR(
  IF($F175="Total",
    SUM(INDEX(AA:AA, ROW()-COUNTIF($F$6:INDEX($F:$F, ROW()-1), $F174)) : INDEX(AA:AA, ROW()-1)),
    COUNTIFS(
      unit_details[Leased Date], "&gt;="&amp;($AM$2-X$5),
      unit_details[Leased Date], "&lt;"&amp;$AM$2,
      unit_details[Beds], $L175,
      unit_details[Baths], $M175,
      unit_details[Partial Baths], IF(ISNUMBER($N175), $N175, ""),
      unit_details[Sqft],$P175,
      unit_details[Property Name], $F175
    )
  ),
"")</f>
        <v>0</v>
      </c>
      <c r="AB175" s="290">
        <f>IF($F175="Total",
SUM(INDEX(AB:AB, ROW()-COUNTIF($F$6:INDEX($F:$F, ROW()-1), $F174)) : INDEX(AB:AB, ROW()-1)),
COUNTIFS(unit_details[Active Listing?],TRUE,
          unit_details[Property Name], $F175,
          unit_details[Beds], $L175,
          unit_details[Baths], $M175,
          unit_details[Partial Baths],IF(ISNUMBER($N175),$N175,""),
          unit_details[Sqft],$P175))</f>
        <v>0</v>
      </c>
      <c r="AC175" s="27" t="str">
        <f t="shared" si="25"/>
        <v/>
      </c>
      <c r="AD175" s="293" t="str">
        <f>IFERROR(IF(AE175="","",IF($F175="Total",
SUMPRODUCT(
   INDEX(AD:AD, ROW()-COUNTIF($F$6:INDEX($F:$F, ROW()-1), $F174)) : INDEX(AD:AD, ROW()-1),
   INDEX(AB:AB, ROW()-COUNTIF($F$6:INDEX($F:$F, ROW()-1), $F174)) : INDEX(AB:AB, ROW()-1)
   )
   /SUM(INDEX(AB:AB, ROW()-COUNTIF($F$6:INDEX($F:$F, ROW()-1), $F174)) : INDEX(AB:AB, ROW()-1)),
          _xlfn.MINIFS(unit_details[Asking Rent],
          unit_details[Active Listing?],TRUE,
          unit_details[Property Name], $F175,
          unit_details[Beds], $L175,
          unit_details[Baths], $M175,
          unit_details[Partial Baths], IF(ISNUMBER($N175),$N175,""),
          unit_details[Sqft],$P175
))),"")</f>
        <v/>
      </c>
      <c r="AE175" s="5" t="str">
        <f>IFERROR(IF($F175="Total",
          SUMPRODUCT(
   INDEX(AE:AE, ROW()-COUNTIF($F$6:INDEX($F:$F, ROW()-1), $F174)) : INDEX(AE:AE, ROW()-1),
   INDEX(AB:AB, ROW()-COUNTIF($F$6:INDEX($F:$F, ROW()-1), $F174)) : INDEX(AB:AB, ROW()-1)
   )
   /SUM(INDEX(AB:AB, ROW()-COUNTIF($F$6:INDEX($F:$F, ROW()-1), $F174)) : INDEX(AB:AB, ROW()-1)),
          AVERAGEIFS(unit_details[Asking Rent],
          unit_details[Active Listing?],TRUE,
          unit_details[Property Name], $F175,
          unit_details[Beds], $L175,
          unit_details[Baths], $M175,
          unit_details[Partial Baths], IF(ISNUMBER($N175),$N175,""),
          unit_details[Sqft],$P175
)),"")</f>
        <v/>
      </c>
      <c r="AF175" s="5" t="str">
        <f>IFERROR(IF(AE175="","",IF($F175="Total",
SUMPRODUCT(
   INDEX(AF:AF, ROW()-COUNTIF($F$6:INDEX($F:$F, ROW()-1), $F174)) : INDEX(AF:AF, ROW()-1),
   INDEX(AB:AB, ROW()-COUNTIF($F$6:INDEX($F:$F, ROW()-1), $F174)) : INDEX(AB:AB, ROW()-1)
   )
   /SUM(INDEX(AB:AB, ROW()-COUNTIF($F$6:INDEX($F:$F, ROW()-1), $F174)) : INDEX(AB:AB, ROW()-1)),
           _xlfn.MAXIFS(unit_details[Asking Rent],
          unit_details[Active Listing?],TRUE,
          unit_details[Property Name], $F175,
          unit_details[Beds], $L175,
          unit_details[Baths], $M175,
          unit_details[Partial Baths], IF(ISNUMBER($N175),$N175,""),
          unit_details[Sqft],$P175
))),"")</f>
        <v/>
      </c>
      <c r="AG175" s="6" t="str">
        <f>IFERROR(IF($F175="Total",
         SUMPRODUCT(
         INDEX(AG:AG, ROW()-COUNTIF($F$6:INDEX($F:$F, ROW()-1), $F174)) : INDEX(AG:AG, ROW()-1),
         INDEX(AB:AB, ROW()-COUNTIF($F$6:INDEX($F:$F, ROW()-1), $F174)) : INDEX(AB:AB, ROW()-1)
         )
         /SUM(INDEX(AB:AB, ROW()-COUNTIF($F$6:INDEX($F:$F, ROW()-1), $F174)) : INDEX(AB:AB, ROW()-1)),
          AVERAGEIFS(unit_details[Asking PSF],
          unit_details[Active Listing?],TRUE,
          unit_details[Property Name], $F175,
          unit_details[Beds], $L175,
          unit_details[Baths], $M175,
          unit_details[Partial Baths], IF(ISNUMBER($N175),$N175,""),
          unit_details[Sqft],$P175
)),"")</f>
        <v/>
      </c>
      <c r="AH175" s="293" t="str">
        <f>IFERROR(IF($F175="Total",
         SUMPRODUCT(
         INDEX(AH:AH, ROW()-COUNTIF($F$6:INDEX($F:$F, ROW()-1), $F174)) : INDEX(AH:AH, ROW()-1),
         INDEX(AB:AB, ROW()-COUNTIF($F$6:INDEX($F:$F, ROW()-1), $F174)) : INDEX(AB:AB, ROW()-1)
         )
         /SUM(INDEX(AB:AB, ROW()-COUNTIF($F$6:INDEX($F:$F, ROW()-1), $F174)) : INDEX(AB:AB, ROW()-1)),
          AVERAGEIFS(unit_details[Effective Rent],
          unit_details[Active Listing?],TRUE,
          unit_details[Property Name], $F175,
          unit_details[Beds], $L175,
          unit_details[Baths], $M175,
          unit_details[Partial Baths], IF(ISNUMBER($N175),$N175,""),
          unit_details[Sqft],$P175
)),"")</f>
        <v/>
      </c>
      <c r="AI175" s="6" t="str">
        <f>IFERROR(IF($F175="Total",
         SUMPRODUCT(
         INDEX(AI:AI, ROW()-COUNTIF($F$6:INDEX($F:$F, ROW()-1), $F174)) : INDEX(AI:AI, ROW()-1),
         INDEX(AB:AB, ROW()-COUNTIF($F$6:INDEX($F:$F, ROW()-1), $F174)) : INDEX(AB:AB, ROW()-1)
         )
         /SUM(INDEX(AB:AB, ROW()-COUNTIF($F$6:INDEX($F:$F, ROW()-1), $F174)) : INDEX(AB:AB, ROW()-1)),
           AVERAGEIFS(unit_details[Effective PSF],
          unit_details[Active Listing?],TRUE,
          unit_details[Property Name], $F175,
          unit_details[Beds], $L175,
          unit_details[Baths], $M175,
          unit_details[Partial Baths], IF(ISNUMBER($N175),$N175,""),
          unit_details[Sqft],$P175
)),"")</f>
        <v/>
      </c>
      <c r="AJ175" s="824" t="str">
        <f t="shared" si="26"/>
        <v/>
      </c>
      <c r="AK175" s="531" t="str">
        <f t="shared" si="27"/>
        <v/>
      </c>
      <c r="AL175" s="714" t="str">
        <f t="shared" si="28"/>
        <v/>
      </c>
      <c r="AM175" s="531" t="str">
        <f t="shared" si="29"/>
        <v/>
      </c>
      <c r="AN175" s="716" t="str">
        <f t="shared" si="30"/>
        <v/>
      </c>
    </row>
    <row r="176" spans="6:40" x14ac:dyDescent="0.2">
      <c r="F176" s="1" t="str">
        <f t="shared" si="23"/>
        <v/>
      </c>
      <c r="G176" s="713" t="str">
        <f t="shared" si="31"/>
        <v/>
      </c>
      <c r="H176" s="17" t="str">
        <f>IFERROR(VLOOKUP($G176,Table1[[Property]:[Exposure %]],4,0),"")</f>
        <v/>
      </c>
      <c r="I176" s="3" t="str">
        <f>IFERROR(VLOOKUP($G176,Table1[[Property]:[Exposure %]],6,0),"")</f>
        <v/>
      </c>
      <c r="J176" s="3" t="str">
        <f>IFERROR(VLOOKUP($G176,Table1[[Property]:[Exposure %]],7,0),"")</f>
        <v/>
      </c>
      <c r="K176"/>
      <c r="L176"/>
      <c r="M176"/>
      <c r="N176"/>
      <c r="O176"/>
      <c r="P176"/>
      <c r="Q176"/>
      <c r="R176" s="4" t="str">
        <f>IFERROR(VLOOKUP(IF(F176="Total",F175,F176),Table1[[Property]:['# Units]],7,0)*S176,"")</f>
        <v/>
      </c>
      <c r="S176" s="27" t="str">
        <f t="shared" si="24"/>
        <v/>
      </c>
      <c r="T176" s="531" t="str">
        <f>IFERROR(
 IF($F176="Total",
   SUMPRODUCT(
   INDEX(T:T, ROW()-COUNTIF($F$6:INDEX($F:$F, ROW()-1), $F175)) : INDEX(T:T, ROW()-1),
   INDEX(W:W, ROW()-COUNTIF($F$6:INDEX($F:$F, ROW()-1), $F175)) : INDEX(W:W, ROW()-1)
   )
   /SUM(INDEX(W:W, ROW()-COUNTIF($F$6:INDEX($F:$F, ROW()-1), $F175)) : INDEX(W:W, ROW()-1)),
   AVERAGEIFS(
     INDEX((unit_details[Asking Rent],unit_details[Asking PSF]),0,1,IF($U$3="Chunk Rent",1,2)),
     unit_details[Leased Date],"&gt;="&amp;($AM$2-T$5),
     unit_details[Leased Date],"&lt;"&amp;$AM$2,
     unit_details[Beds],$L176,
     unit_details[Baths],$M176,
     unit_details[Partial Baths],IF(ISNUMBER($N176),$N176,""),
     unit_details[Sqft],$P176,
     unit_details[Property Name],$F176)
 ),"")</f>
        <v/>
      </c>
      <c r="U176" s="552" t="str">
        <f>IFERROR(
 IF($F176="Total",
   SUMPRODUCT(
   INDEX(U:U, ROW()-COUNTIF($F$6:INDEX($F:$F, ROW()-1), $F175)) : INDEX(U:U, ROW()-1),
   INDEX(W:W, ROW()-COUNTIF($F$6:INDEX($F:$F, ROW()-1), $F175)) : INDEX(W:W, ROW()-1)
   )
   /SUM(INDEX(W:W, ROW()-COUNTIF($F$6:INDEX($F:$F, ROW()-1), $F175)) : INDEX(W:W, ROW()-1)),
   AVERAGEIFS(
     INDEX((unit_details[Effective Rent],unit_details[Effective PSF]),0,1,IF($U$3="Chunk Rent",1,2)),
     unit_details[Leased Date],"&gt;="&amp;($AM$2-T$5),
     unit_details[Leased Date],"&lt;"&amp;$AM$2,
     unit_details[Beds],$L176,
     unit_details[Baths],$M176,
     unit_details[Partial Baths],IF(ISNUMBER($N176),$N176,""),
     unit_details[Sqft],$P176,
     unit_details[Property Name],$F176)
 ),"")</f>
        <v/>
      </c>
      <c r="V176" s="27" t="str">
        <f t="shared" si="32"/>
        <v/>
      </c>
      <c r="W176" s="526">
        <f>IFERROR(
  IF($F176="Total",
    SUM(INDEX(W:W, ROW()-COUNTIF($F$6:INDEX($F:$F, ROW()-1), $F175)) : INDEX(W:W, ROW()-1)),
    COUNTIFS(
      unit_details[Leased Date], "&gt;="&amp;($AM$2-T$5),
      unit_details[Leased Date], "&lt;"&amp;$AM$2,
      unit_details[Beds], $L176,
      unit_details[Baths], $M176,
      unit_details[Partial Baths], IF(ISNUMBER($N176), $N176, ""),
      unit_details[Sqft],$P176,
      unit_details[Property Name], $F176
    )
  ),
"")</f>
        <v>0</v>
      </c>
      <c r="X176" s="531" t="str">
        <f>IFERROR(
 IF($F176="Total",
   SUMPRODUCT(
   INDEX(X:X, ROW()-COUNTIF($F$6:INDEX($F:$F, ROW()-1), $F175)) : INDEX(X:X, ROW()-1),
   INDEX(AA:AA, ROW()-COUNTIF($F$6:INDEX($F:$F, ROW()-1), $F175)) : INDEX(AA:AA, ROW()-1)
   )
   /SUM(INDEX(AA:AA, ROW()-COUNTIF($F$6:INDEX($F:$F, ROW()-1), $F175)) : INDEX(AA:AA, ROW()-1)),
   AVERAGEIFS(
     INDEX((unit_details[Asking Rent],unit_details[Asking PSF]),0,1,IF($U$3="Chunk Rent",1,2)),
     unit_details[Leased Date],"&gt;="&amp;($AM$2-X$5),
     unit_details[Leased Date],"&lt;"&amp;$AM$2,
     unit_details[Beds],$L176,
     unit_details[Baths],$M176,
     unit_details[Partial Baths],IF(ISNUMBER($N176),$N176,""),
     unit_details[Sqft],$P176,
     unit_details[Property Name],$F176)
 ),"")</f>
        <v/>
      </c>
      <c r="Y176" s="552" t="str">
        <f>IFERROR(
 IF($F176="Total",
   SUMPRODUCT(
   INDEX(Y:Y, ROW()-COUNTIF($F$6:INDEX($F:$F, ROW()-1), $F175)) : INDEX(Y:Y, ROW()-1),
   INDEX(AA:AA, ROW()-COUNTIF($F$6:INDEX($F:$F, ROW()-1), $F175)) : INDEX(AA:AA, ROW()-1)
   )
   /SUM(INDEX(AA:AA, ROW()-COUNTIF($F$6:INDEX($F:$F, ROW()-1), $F175)) : INDEX(AA:AA, ROW()-1)),
   AVERAGEIFS(
     INDEX((unit_details[Effective Rent],unit_details[Effective PSF]),0,1,IF($U$3="Chunk Rent",1,2)),
     unit_details[Leased Date],"&gt;="&amp;($AM$2-X$5),
     unit_details[Leased Date],"&lt;"&amp;$AM$2,
     unit_details[Beds],$L176,
     unit_details[Baths],$M176,
     unit_details[Partial Baths],IF(ISNUMBER($N176),$N176,""),
     unit_details[Sqft],$P176,
     unit_details[Property Name],$F176)
 ),"")</f>
        <v/>
      </c>
      <c r="Z176" s="27" t="str">
        <f t="shared" si="33"/>
        <v/>
      </c>
      <c r="AA176" s="526">
        <f>IFERROR(
  IF($F176="Total",
    SUM(INDEX(AA:AA, ROW()-COUNTIF($F$6:INDEX($F:$F, ROW()-1), $F175)) : INDEX(AA:AA, ROW()-1)),
    COUNTIFS(
      unit_details[Leased Date], "&gt;="&amp;($AM$2-X$5),
      unit_details[Leased Date], "&lt;"&amp;$AM$2,
      unit_details[Beds], $L176,
      unit_details[Baths], $M176,
      unit_details[Partial Baths], IF(ISNUMBER($N176), $N176, ""),
      unit_details[Sqft],$P176,
      unit_details[Property Name], $F176
    )
  ),
"")</f>
        <v>0</v>
      </c>
      <c r="AB176" s="290">
        <f>IF($F176="Total",
SUM(INDEX(AB:AB, ROW()-COUNTIF($F$6:INDEX($F:$F, ROW()-1), $F175)) : INDEX(AB:AB, ROW()-1)),
COUNTIFS(unit_details[Active Listing?],TRUE,
          unit_details[Property Name], $F176,
          unit_details[Beds], $L176,
          unit_details[Baths], $M176,
          unit_details[Partial Baths],IF(ISNUMBER($N176),$N176,""),
          unit_details[Sqft],$P176))</f>
        <v>0</v>
      </c>
      <c r="AC176" s="27" t="str">
        <f t="shared" si="25"/>
        <v/>
      </c>
      <c r="AD176" s="293" t="str">
        <f>IFERROR(IF(AE176="","",IF($F176="Total",
SUMPRODUCT(
   INDEX(AD:AD, ROW()-COUNTIF($F$6:INDEX($F:$F, ROW()-1), $F175)) : INDEX(AD:AD, ROW()-1),
   INDEX(AB:AB, ROW()-COUNTIF($F$6:INDEX($F:$F, ROW()-1), $F175)) : INDEX(AB:AB, ROW()-1)
   )
   /SUM(INDEX(AB:AB, ROW()-COUNTIF($F$6:INDEX($F:$F, ROW()-1), $F175)) : INDEX(AB:AB, ROW()-1)),
          _xlfn.MINIFS(unit_details[Asking Rent],
          unit_details[Active Listing?],TRUE,
          unit_details[Property Name], $F176,
          unit_details[Beds], $L176,
          unit_details[Baths], $M176,
          unit_details[Partial Baths], IF(ISNUMBER($N176),$N176,""),
          unit_details[Sqft],$P176
))),"")</f>
        <v/>
      </c>
      <c r="AE176" s="5" t="str">
        <f>IFERROR(IF($F176="Total",
          SUMPRODUCT(
   INDEX(AE:AE, ROW()-COUNTIF($F$6:INDEX($F:$F, ROW()-1), $F175)) : INDEX(AE:AE, ROW()-1),
   INDEX(AB:AB, ROW()-COUNTIF($F$6:INDEX($F:$F, ROW()-1), $F175)) : INDEX(AB:AB, ROW()-1)
   )
   /SUM(INDEX(AB:AB, ROW()-COUNTIF($F$6:INDEX($F:$F, ROW()-1), $F175)) : INDEX(AB:AB, ROW()-1)),
          AVERAGEIFS(unit_details[Asking Rent],
          unit_details[Active Listing?],TRUE,
          unit_details[Property Name], $F176,
          unit_details[Beds], $L176,
          unit_details[Baths], $M176,
          unit_details[Partial Baths], IF(ISNUMBER($N176),$N176,""),
          unit_details[Sqft],$P176
)),"")</f>
        <v/>
      </c>
      <c r="AF176" s="5" t="str">
        <f>IFERROR(IF(AE176="","",IF($F176="Total",
SUMPRODUCT(
   INDEX(AF:AF, ROW()-COUNTIF($F$6:INDEX($F:$F, ROW()-1), $F175)) : INDEX(AF:AF, ROW()-1),
   INDEX(AB:AB, ROW()-COUNTIF($F$6:INDEX($F:$F, ROW()-1), $F175)) : INDEX(AB:AB, ROW()-1)
   )
   /SUM(INDEX(AB:AB, ROW()-COUNTIF($F$6:INDEX($F:$F, ROW()-1), $F175)) : INDEX(AB:AB, ROW()-1)),
           _xlfn.MAXIFS(unit_details[Asking Rent],
          unit_details[Active Listing?],TRUE,
          unit_details[Property Name], $F176,
          unit_details[Beds], $L176,
          unit_details[Baths], $M176,
          unit_details[Partial Baths], IF(ISNUMBER($N176),$N176,""),
          unit_details[Sqft],$P176
))),"")</f>
        <v/>
      </c>
      <c r="AG176" s="6" t="str">
        <f>IFERROR(IF($F176="Total",
         SUMPRODUCT(
         INDEX(AG:AG, ROW()-COUNTIF($F$6:INDEX($F:$F, ROW()-1), $F175)) : INDEX(AG:AG, ROW()-1),
         INDEX(AB:AB, ROW()-COUNTIF($F$6:INDEX($F:$F, ROW()-1), $F175)) : INDEX(AB:AB, ROW()-1)
         )
         /SUM(INDEX(AB:AB, ROW()-COUNTIF($F$6:INDEX($F:$F, ROW()-1), $F175)) : INDEX(AB:AB, ROW()-1)),
          AVERAGEIFS(unit_details[Asking PSF],
          unit_details[Active Listing?],TRUE,
          unit_details[Property Name], $F176,
          unit_details[Beds], $L176,
          unit_details[Baths], $M176,
          unit_details[Partial Baths], IF(ISNUMBER($N176),$N176,""),
          unit_details[Sqft],$P176
)),"")</f>
        <v/>
      </c>
      <c r="AH176" s="293" t="str">
        <f>IFERROR(IF($F176="Total",
         SUMPRODUCT(
         INDEX(AH:AH, ROW()-COUNTIF($F$6:INDEX($F:$F, ROW()-1), $F175)) : INDEX(AH:AH, ROW()-1),
         INDEX(AB:AB, ROW()-COUNTIF($F$6:INDEX($F:$F, ROW()-1), $F175)) : INDEX(AB:AB, ROW()-1)
         )
         /SUM(INDEX(AB:AB, ROW()-COUNTIF($F$6:INDEX($F:$F, ROW()-1), $F175)) : INDEX(AB:AB, ROW()-1)),
          AVERAGEIFS(unit_details[Effective Rent],
          unit_details[Active Listing?],TRUE,
          unit_details[Property Name], $F176,
          unit_details[Beds], $L176,
          unit_details[Baths], $M176,
          unit_details[Partial Baths], IF(ISNUMBER($N176),$N176,""),
          unit_details[Sqft],$P176
)),"")</f>
        <v/>
      </c>
      <c r="AI176" s="6" t="str">
        <f>IFERROR(IF($F176="Total",
         SUMPRODUCT(
         INDEX(AI:AI, ROW()-COUNTIF($F$6:INDEX($F:$F, ROW()-1), $F175)) : INDEX(AI:AI, ROW()-1),
         INDEX(AB:AB, ROW()-COUNTIF($F$6:INDEX($F:$F, ROW()-1), $F175)) : INDEX(AB:AB, ROW()-1)
         )
         /SUM(INDEX(AB:AB, ROW()-COUNTIF($F$6:INDEX($F:$F, ROW()-1), $F175)) : INDEX(AB:AB, ROW()-1)),
           AVERAGEIFS(unit_details[Effective PSF],
          unit_details[Active Listing?],TRUE,
          unit_details[Property Name], $F176,
          unit_details[Beds], $L176,
          unit_details[Baths], $M176,
          unit_details[Partial Baths], IF(ISNUMBER($N176),$N176,""),
          unit_details[Sqft],$P176
)),"")</f>
        <v/>
      </c>
      <c r="AJ176" s="824" t="str">
        <f t="shared" si="26"/>
        <v/>
      </c>
      <c r="AK176" s="531" t="str">
        <f t="shared" si="27"/>
        <v/>
      </c>
      <c r="AL176" s="714" t="str">
        <f t="shared" si="28"/>
        <v/>
      </c>
      <c r="AM176" s="531" t="str">
        <f t="shared" si="29"/>
        <v/>
      </c>
      <c r="AN176" s="716" t="str">
        <f t="shared" si="30"/>
        <v/>
      </c>
    </row>
    <row r="177" spans="6:40" x14ac:dyDescent="0.2">
      <c r="F177" s="1" t="str">
        <f t="shared" si="23"/>
        <v/>
      </c>
      <c r="G177" s="713" t="str">
        <f t="shared" si="31"/>
        <v/>
      </c>
      <c r="H177" s="17" t="str">
        <f>IFERROR(VLOOKUP($G177,Table1[[Property]:[Exposure %]],4,0),"")</f>
        <v/>
      </c>
      <c r="I177" s="3" t="str">
        <f>IFERROR(VLOOKUP($G177,Table1[[Property]:[Exposure %]],6,0),"")</f>
        <v/>
      </c>
      <c r="J177" s="3" t="str">
        <f>IFERROR(VLOOKUP($G177,Table1[[Property]:[Exposure %]],7,0),"")</f>
        <v/>
      </c>
      <c r="K177"/>
      <c r="L177"/>
      <c r="M177"/>
      <c r="N177"/>
      <c r="O177"/>
      <c r="P177"/>
      <c r="Q177"/>
      <c r="R177" s="4" t="str">
        <f>IFERROR(VLOOKUP(IF(F177="Total",F176,F177),Table1[[Property]:['# Units]],7,0)*S177,"")</f>
        <v/>
      </c>
      <c r="S177" s="27" t="str">
        <f t="shared" si="24"/>
        <v/>
      </c>
      <c r="T177" s="531" t="str">
        <f>IFERROR(
 IF($F177="Total",
   SUMPRODUCT(
   INDEX(T:T, ROW()-COUNTIF($F$6:INDEX($F:$F, ROW()-1), $F176)) : INDEX(T:T, ROW()-1),
   INDEX(W:W, ROW()-COUNTIF($F$6:INDEX($F:$F, ROW()-1), $F176)) : INDEX(W:W, ROW()-1)
   )
   /SUM(INDEX(W:W, ROW()-COUNTIF($F$6:INDEX($F:$F, ROW()-1), $F176)) : INDEX(W:W, ROW()-1)),
   AVERAGEIFS(
     INDEX((unit_details[Asking Rent],unit_details[Asking PSF]),0,1,IF($U$3="Chunk Rent",1,2)),
     unit_details[Leased Date],"&gt;="&amp;($AM$2-T$5),
     unit_details[Leased Date],"&lt;"&amp;$AM$2,
     unit_details[Beds],$L177,
     unit_details[Baths],$M177,
     unit_details[Partial Baths],IF(ISNUMBER($N177),$N177,""),
     unit_details[Sqft],$P177,
     unit_details[Property Name],$F177)
 ),"")</f>
        <v/>
      </c>
      <c r="U177" s="552" t="str">
        <f>IFERROR(
 IF($F177="Total",
   SUMPRODUCT(
   INDEX(U:U, ROW()-COUNTIF($F$6:INDEX($F:$F, ROW()-1), $F176)) : INDEX(U:U, ROW()-1),
   INDEX(W:W, ROW()-COUNTIF($F$6:INDEX($F:$F, ROW()-1), $F176)) : INDEX(W:W, ROW()-1)
   )
   /SUM(INDEX(W:W, ROW()-COUNTIF($F$6:INDEX($F:$F, ROW()-1), $F176)) : INDEX(W:W, ROW()-1)),
   AVERAGEIFS(
     INDEX((unit_details[Effective Rent],unit_details[Effective PSF]),0,1,IF($U$3="Chunk Rent",1,2)),
     unit_details[Leased Date],"&gt;="&amp;($AM$2-T$5),
     unit_details[Leased Date],"&lt;"&amp;$AM$2,
     unit_details[Beds],$L177,
     unit_details[Baths],$M177,
     unit_details[Partial Baths],IF(ISNUMBER($N177),$N177,""),
     unit_details[Sqft],$P177,
     unit_details[Property Name],$F177)
 ),"")</f>
        <v/>
      </c>
      <c r="V177" s="27" t="str">
        <f t="shared" si="32"/>
        <v/>
      </c>
      <c r="W177" s="526">
        <f>IFERROR(
  IF($F177="Total",
    SUM(INDEX(W:W, ROW()-COUNTIF($F$6:INDEX($F:$F, ROW()-1), $F176)) : INDEX(W:W, ROW()-1)),
    COUNTIFS(
      unit_details[Leased Date], "&gt;="&amp;($AM$2-T$5),
      unit_details[Leased Date], "&lt;"&amp;$AM$2,
      unit_details[Beds], $L177,
      unit_details[Baths], $M177,
      unit_details[Partial Baths], IF(ISNUMBER($N177), $N177, ""),
      unit_details[Sqft],$P177,
      unit_details[Property Name], $F177
    )
  ),
"")</f>
        <v>0</v>
      </c>
      <c r="X177" s="531" t="str">
        <f>IFERROR(
 IF($F177="Total",
   SUMPRODUCT(
   INDEX(X:X, ROW()-COUNTIF($F$6:INDEX($F:$F, ROW()-1), $F176)) : INDEX(X:X, ROW()-1),
   INDEX(AA:AA, ROW()-COUNTIF($F$6:INDEX($F:$F, ROW()-1), $F176)) : INDEX(AA:AA, ROW()-1)
   )
   /SUM(INDEX(AA:AA, ROW()-COUNTIF($F$6:INDEX($F:$F, ROW()-1), $F176)) : INDEX(AA:AA, ROW()-1)),
   AVERAGEIFS(
     INDEX((unit_details[Asking Rent],unit_details[Asking PSF]),0,1,IF($U$3="Chunk Rent",1,2)),
     unit_details[Leased Date],"&gt;="&amp;($AM$2-X$5),
     unit_details[Leased Date],"&lt;"&amp;$AM$2,
     unit_details[Beds],$L177,
     unit_details[Baths],$M177,
     unit_details[Partial Baths],IF(ISNUMBER($N177),$N177,""),
     unit_details[Sqft],$P177,
     unit_details[Property Name],$F177)
 ),"")</f>
        <v/>
      </c>
      <c r="Y177" s="552" t="str">
        <f>IFERROR(
 IF($F177="Total",
   SUMPRODUCT(
   INDEX(Y:Y, ROW()-COUNTIF($F$6:INDEX($F:$F, ROW()-1), $F176)) : INDEX(Y:Y, ROW()-1),
   INDEX(AA:AA, ROW()-COUNTIF($F$6:INDEX($F:$F, ROW()-1), $F176)) : INDEX(AA:AA, ROW()-1)
   )
   /SUM(INDEX(AA:AA, ROW()-COUNTIF($F$6:INDEX($F:$F, ROW()-1), $F176)) : INDEX(AA:AA, ROW()-1)),
   AVERAGEIFS(
     INDEX((unit_details[Effective Rent],unit_details[Effective PSF]),0,1,IF($U$3="Chunk Rent",1,2)),
     unit_details[Leased Date],"&gt;="&amp;($AM$2-X$5),
     unit_details[Leased Date],"&lt;"&amp;$AM$2,
     unit_details[Beds],$L177,
     unit_details[Baths],$M177,
     unit_details[Partial Baths],IF(ISNUMBER($N177),$N177,""),
     unit_details[Sqft],$P177,
     unit_details[Property Name],$F177)
 ),"")</f>
        <v/>
      </c>
      <c r="Z177" s="27" t="str">
        <f t="shared" si="33"/>
        <v/>
      </c>
      <c r="AA177" s="526">
        <f>IFERROR(
  IF($F177="Total",
    SUM(INDEX(AA:AA, ROW()-COUNTIF($F$6:INDEX($F:$F, ROW()-1), $F176)) : INDEX(AA:AA, ROW()-1)),
    COUNTIFS(
      unit_details[Leased Date], "&gt;="&amp;($AM$2-X$5),
      unit_details[Leased Date], "&lt;"&amp;$AM$2,
      unit_details[Beds], $L177,
      unit_details[Baths], $M177,
      unit_details[Partial Baths], IF(ISNUMBER($N177), $N177, ""),
      unit_details[Sqft],$P177,
      unit_details[Property Name], $F177
    )
  ),
"")</f>
        <v>0</v>
      </c>
      <c r="AB177" s="290">
        <f>IF($F177="Total",
SUM(INDEX(AB:AB, ROW()-COUNTIF($F$6:INDEX($F:$F, ROW()-1), $F176)) : INDEX(AB:AB, ROW()-1)),
COUNTIFS(unit_details[Active Listing?],TRUE,
          unit_details[Property Name], $F177,
          unit_details[Beds], $L177,
          unit_details[Baths], $M177,
          unit_details[Partial Baths],IF(ISNUMBER($N177),$N177,""),
          unit_details[Sqft],$P177))</f>
        <v>0</v>
      </c>
      <c r="AC177" s="27" t="str">
        <f t="shared" si="25"/>
        <v/>
      </c>
      <c r="AD177" s="293" t="str">
        <f>IFERROR(IF(AE177="","",IF($F177="Total",
SUMPRODUCT(
   INDEX(AD:AD, ROW()-COUNTIF($F$6:INDEX($F:$F, ROW()-1), $F176)) : INDEX(AD:AD, ROW()-1),
   INDEX(AB:AB, ROW()-COUNTIF($F$6:INDEX($F:$F, ROW()-1), $F176)) : INDEX(AB:AB, ROW()-1)
   )
   /SUM(INDEX(AB:AB, ROW()-COUNTIF($F$6:INDEX($F:$F, ROW()-1), $F176)) : INDEX(AB:AB, ROW()-1)),
          _xlfn.MINIFS(unit_details[Asking Rent],
          unit_details[Active Listing?],TRUE,
          unit_details[Property Name], $F177,
          unit_details[Beds], $L177,
          unit_details[Baths], $M177,
          unit_details[Partial Baths], IF(ISNUMBER($N177),$N177,""),
          unit_details[Sqft],$P177
))),"")</f>
        <v/>
      </c>
      <c r="AE177" s="5" t="str">
        <f>IFERROR(IF($F177="Total",
          SUMPRODUCT(
   INDEX(AE:AE, ROW()-COUNTIF($F$6:INDEX($F:$F, ROW()-1), $F176)) : INDEX(AE:AE, ROW()-1),
   INDEX(AB:AB, ROW()-COUNTIF($F$6:INDEX($F:$F, ROW()-1), $F176)) : INDEX(AB:AB, ROW()-1)
   )
   /SUM(INDEX(AB:AB, ROW()-COUNTIF($F$6:INDEX($F:$F, ROW()-1), $F176)) : INDEX(AB:AB, ROW()-1)),
          AVERAGEIFS(unit_details[Asking Rent],
          unit_details[Active Listing?],TRUE,
          unit_details[Property Name], $F177,
          unit_details[Beds], $L177,
          unit_details[Baths], $M177,
          unit_details[Partial Baths], IF(ISNUMBER($N177),$N177,""),
          unit_details[Sqft],$P177
)),"")</f>
        <v/>
      </c>
      <c r="AF177" s="5" t="str">
        <f>IFERROR(IF(AE177="","",IF($F177="Total",
SUMPRODUCT(
   INDEX(AF:AF, ROW()-COUNTIF($F$6:INDEX($F:$F, ROW()-1), $F176)) : INDEX(AF:AF, ROW()-1),
   INDEX(AB:AB, ROW()-COUNTIF($F$6:INDEX($F:$F, ROW()-1), $F176)) : INDEX(AB:AB, ROW()-1)
   )
   /SUM(INDEX(AB:AB, ROW()-COUNTIF($F$6:INDEX($F:$F, ROW()-1), $F176)) : INDEX(AB:AB, ROW()-1)),
           _xlfn.MAXIFS(unit_details[Asking Rent],
          unit_details[Active Listing?],TRUE,
          unit_details[Property Name], $F177,
          unit_details[Beds], $L177,
          unit_details[Baths], $M177,
          unit_details[Partial Baths], IF(ISNUMBER($N177),$N177,""),
          unit_details[Sqft],$P177
))),"")</f>
        <v/>
      </c>
      <c r="AG177" s="6" t="str">
        <f>IFERROR(IF($F177="Total",
         SUMPRODUCT(
         INDEX(AG:AG, ROW()-COUNTIF($F$6:INDEX($F:$F, ROW()-1), $F176)) : INDEX(AG:AG, ROW()-1),
         INDEX(AB:AB, ROW()-COUNTIF($F$6:INDEX($F:$F, ROW()-1), $F176)) : INDEX(AB:AB, ROW()-1)
         )
         /SUM(INDEX(AB:AB, ROW()-COUNTIF($F$6:INDEX($F:$F, ROW()-1), $F176)) : INDEX(AB:AB, ROW()-1)),
          AVERAGEIFS(unit_details[Asking PSF],
          unit_details[Active Listing?],TRUE,
          unit_details[Property Name], $F177,
          unit_details[Beds], $L177,
          unit_details[Baths], $M177,
          unit_details[Partial Baths], IF(ISNUMBER($N177),$N177,""),
          unit_details[Sqft],$P177
)),"")</f>
        <v/>
      </c>
      <c r="AH177" s="293" t="str">
        <f>IFERROR(IF($F177="Total",
         SUMPRODUCT(
         INDEX(AH:AH, ROW()-COUNTIF($F$6:INDEX($F:$F, ROW()-1), $F176)) : INDEX(AH:AH, ROW()-1),
         INDEX(AB:AB, ROW()-COUNTIF($F$6:INDEX($F:$F, ROW()-1), $F176)) : INDEX(AB:AB, ROW()-1)
         )
         /SUM(INDEX(AB:AB, ROW()-COUNTIF($F$6:INDEX($F:$F, ROW()-1), $F176)) : INDEX(AB:AB, ROW()-1)),
          AVERAGEIFS(unit_details[Effective Rent],
          unit_details[Active Listing?],TRUE,
          unit_details[Property Name], $F177,
          unit_details[Beds], $L177,
          unit_details[Baths], $M177,
          unit_details[Partial Baths], IF(ISNUMBER($N177),$N177,""),
          unit_details[Sqft],$P177
)),"")</f>
        <v/>
      </c>
      <c r="AI177" s="6" t="str">
        <f>IFERROR(IF($F177="Total",
         SUMPRODUCT(
         INDEX(AI:AI, ROW()-COUNTIF($F$6:INDEX($F:$F, ROW()-1), $F176)) : INDEX(AI:AI, ROW()-1),
         INDEX(AB:AB, ROW()-COUNTIF($F$6:INDEX($F:$F, ROW()-1), $F176)) : INDEX(AB:AB, ROW()-1)
         )
         /SUM(INDEX(AB:AB, ROW()-COUNTIF($F$6:INDEX($F:$F, ROW()-1), $F176)) : INDEX(AB:AB, ROW()-1)),
           AVERAGEIFS(unit_details[Effective PSF],
          unit_details[Active Listing?],TRUE,
          unit_details[Property Name], $F177,
          unit_details[Beds], $L177,
          unit_details[Baths], $M177,
          unit_details[Partial Baths], IF(ISNUMBER($N177),$N177,""),
          unit_details[Sqft],$P177
)),"")</f>
        <v/>
      </c>
      <c r="AJ177" s="824" t="str">
        <f t="shared" si="26"/>
        <v/>
      </c>
      <c r="AK177" s="531" t="str">
        <f t="shared" si="27"/>
        <v/>
      </c>
      <c r="AL177" s="714" t="str">
        <f t="shared" si="28"/>
        <v/>
      </c>
      <c r="AM177" s="531" t="str">
        <f t="shared" si="29"/>
        <v/>
      </c>
      <c r="AN177" s="716" t="str">
        <f t="shared" si="30"/>
        <v/>
      </c>
    </row>
    <row r="178" spans="6:40" x14ac:dyDescent="0.2">
      <c r="F178" s="1" t="str">
        <f t="shared" si="23"/>
        <v/>
      </c>
      <c r="G178" s="713" t="str">
        <f t="shared" si="31"/>
        <v/>
      </c>
      <c r="H178" s="17" t="str">
        <f>IFERROR(VLOOKUP($G178,Table1[[Property]:[Exposure %]],4,0),"")</f>
        <v/>
      </c>
      <c r="I178" s="3" t="str">
        <f>IFERROR(VLOOKUP($G178,Table1[[Property]:[Exposure %]],6,0),"")</f>
        <v/>
      </c>
      <c r="J178" s="3" t="str">
        <f>IFERROR(VLOOKUP($G178,Table1[[Property]:[Exposure %]],7,0),"")</f>
        <v/>
      </c>
      <c r="K178"/>
      <c r="L178"/>
      <c r="M178"/>
      <c r="N178"/>
      <c r="O178"/>
      <c r="P178"/>
      <c r="Q178"/>
      <c r="R178" s="4" t="str">
        <f>IFERROR(VLOOKUP(IF(F178="Total",F177,F178),Table1[[Property]:['# Units]],7,0)*S178,"")</f>
        <v/>
      </c>
      <c r="S178" s="27" t="str">
        <f t="shared" si="24"/>
        <v/>
      </c>
      <c r="T178" s="531" t="str">
        <f>IFERROR(
 IF($F178="Total",
   SUMPRODUCT(
   INDEX(T:T, ROW()-COUNTIF($F$6:INDEX($F:$F, ROW()-1), $F177)) : INDEX(T:T, ROW()-1),
   INDEX(W:W, ROW()-COUNTIF($F$6:INDEX($F:$F, ROW()-1), $F177)) : INDEX(W:W, ROW()-1)
   )
   /SUM(INDEX(W:W, ROW()-COUNTIF($F$6:INDEX($F:$F, ROW()-1), $F177)) : INDEX(W:W, ROW()-1)),
   AVERAGEIFS(
     INDEX((unit_details[Asking Rent],unit_details[Asking PSF]),0,1,IF($U$3="Chunk Rent",1,2)),
     unit_details[Leased Date],"&gt;="&amp;($AM$2-T$5),
     unit_details[Leased Date],"&lt;"&amp;$AM$2,
     unit_details[Beds],$L178,
     unit_details[Baths],$M178,
     unit_details[Partial Baths],IF(ISNUMBER($N178),$N178,""),
     unit_details[Sqft],$P178,
     unit_details[Property Name],$F178)
 ),"")</f>
        <v/>
      </c>
      <c r="U178" s="552" t="str">
        <f>IFERROR(
 IF($F178="Total",
   SUMPRODUCT(
   INDEX(U:U, ROW()-COUNTIF($F$6:INDEX($F:$F, ROW()-1), $F177)) : INDEX(U:U, ROW()-1),
   INDEX(W:W, ROW()-COUNTIF($F$6:INDEX($F:$F, ROW()-1), $F177)) : INDEX(W:W, ROW()-1)
   )
   /SUM(INDEX(W:W, ROW()-COUNTIF($F$6:INDEX($F:$F, ROW()-1), $F177)) : INDEX(W:W, ROW()-1)),
   AVERAGEIFS(
     INDEX((unit_details[Effective Rent],unit_details[Effective PSF]),0,1,IF($U$3="Chunk Rent",1,2)),
     unit_details[Leased Date],"&gt;="&amp;($AM$2-T$5),
     unit_details[Leased Date],"&lt;"&amp;$AM$2,
     unit_details[Beds],$L178,
     unit_details[Baths],$M178,
     unit_details[Partial Baths],IF(ISNUMBER($N178),$N178,""),
     unit_details[Sqft],$P178,
     unit_details[Property Name],$F178)
 ),"")</f>
        <v/>
      </c>
      <c r="V178" s="27" t="str">
        <f t="shared" si="32"/>
        <v/>
      </c>
      <c r="W178" s="526">
        <f>IFERROR(
  IF($F178="Total",
    SUM(INDEX(W:W, ROW()-COUNTIF($F$6:INDEX($F:$F, ROW()-1), $F177)) : INDEX(W:W, ROW()-1)),
    COUNTIFS(
      unit_details[Leased Date], "&gt;="&amp;($AM$2-T$5),
      unit_details[Leased Date], "&lt;"&amp;$AM$2,
      unit_details[Beds], $L178,
      unit_details[Baths], $M178,
      unit_details[Partial Baths], IF(ISNUMBER($N178), $N178, ""),
      unit_details[Sqft],$P178,
      unit_details[Property Name], $F178
    )
  ),
"")</f>
        <v>0</v>
      </c>
      <c r="X178" s="531" t="str">
        <f>IFERROR(
 IF($F178="Total",
   SUMPRODUCT(
   INDEX(X:X, ROW()-COUNTIF($F$6:INDEX($F:$F, ROW()-1), $F177)) : INDEX(X:X, ROW()-1),
   INDEX(AA:AA, ROW()-COUNTIF($F$6:INDEX($F:$F, ROW()-1), $F177)) : INDEX(AA:AA, ROW()-1)
   )
   /SUM(INDEX(AA:AA, ROW()-COUNTIF($F$6:INDEX($F:$F, ROW()-1), $F177)) : INDEX(AA:AA, ROW()-1)),
   AVERAGEIFS(
     INDEX((unit_details[Asking Rent],unit_details[Asking PSF]),0,1,IF($U$3="Chunk Rent",1,2)),
     unit_details[Leased Date],"&gt;="&amp;($AM$2-X$5),
     unit_details[Leased Date],"&lt;"&amp;$AM$2,
     unit_details[Beds],$L178,
     unit_details[Baths],$M178,
     unit_details[Partial Baths],IF(ISNUMBER($N178),$N178,""),
     unit_details[Sqft],$P178,
     unit_details[Property Name],$F178)
 ),"")</f>
        <v/>
      </c>
      <c r="Y178" s="552" t="str">
        <f>IFERROR(
 IF($F178="Total",
   SUMPRODUCT(
   INDEX(Y:Y, ROW()-COUNTIF($F$6:INDEX($F:$F, ROW()-1), $F177)) : INDEX(Y:Y, ROW()-1),
   INDEX(AA:AA, ROW()-COUNTIF($F$6:INDEX($F:$F, ROW()-1), $F177)) : INDEX(AA:AA, ROW()-1)
   )
   /SUM(INDEX(AA:AA, ROW()-COUNTIF($F$6:INDEX($F:$F, ROW()-1), $F177)) : INDEX(AA:AA, ROW()-1)),
   AVERAGEIFS(
     INDEX((unit_details[Effective Rent],unit_details[Effective PSF]),0,1,IF($U$3="Chunk Rent",1,2)),
     unit_details[Leased Date],"&gt;="&amp;($AM$2-X$5),
     unit_details[Leased Date],"&lt;"&amp;$AM$2,
     unit_details[Beds],$L178,
     unit_details[Baths],$M178,
     unit_details[Partial Baths],IF(ISNUMBER($N178),$N178,""),
     unit_details[Sqft],$P178,
     unit_details[Property Name],$F178)
 ),"")</f>
        <v/>
      </c>
      <c r="Z178" s="27" t="str">
        <f t="shared" si="33"/>
        <v/>
      </c>
      <c r="AA178" s="526">
        <f>IFERROR(
  IF($F178="Total",
    SUM(INDEX(AA:AA, ROW()-COUNTIF($F$6:INDEX($F:$F, ROW()-1), $F177)) : INDEX(AA:AA, ROW()-1)),
    COUNTIFS(
      unit_details[Leased Date], "&gt;="&amp;($AM$2-X$5),
      unit_details[Leased Date], "&lt;"&amp;$AM$2,
      unit_details[Beds], $L178,
      unit_details[Baths], $M178,
      unit_details[Partial Baths], IF(ISNUMBER($N178), $N178, ""),
      unit_details[Sqft],$P178,
      unit_details[Property Name], $F178
    )
  ),
"")</f>
        <v>0</v>
      </c>
      <c r="AB178" s="290">
        <f>IF($F178="Total",
SUM(INDEX(AB:AB, ROW()-COUNTIF($F$6:INDEX($F:$F, ROW()-1), $F177)) : INDEX(AB:AB, ROW()-1)),
COUNTIFS(unit_details[Active Listing?],TRUE,
          unit_details[Property Name], $F178,
          unit_details[Beds], $L178,
          unit_details[Baths], $M178,
          unit_details[Partial Baths],IF(ISNUMBER($N178),$N178,""),
          unit_details[Sqft],$P178))</f>
        <v>0</v>
      </c>
      <c r="AC178" s="27" t="str">
        <f t="shared" si="25"/>
        <v/>
      </c>
      <c r="AD178" s="293" t="str">
        <f>IFERROR(IF(AE178="","",IF($F178="Total",
SUMPRODUCT(
   INDEX(AD:AD, ROW()-COUNTIF($F$6:INDEX($F:$F, ROW()-1), $F177)) : INDEX(AD:AD, ROW()-1),
   INDEX(AB:AB, ROW()-COUNTIF($F$6:INDEX($F:$F, ROW()-1), $F177)) : INDEX(AB:AB, ROW()-1)
   )
   /SUM(INDEX(AB:AB, ROW()-COUNTIF($F$6:INDEX($F:$F, ROW()-1), $F177)) : INDEX(AB:AB, ROW()-1)),
          _xlfn.MINIFS(unit_details[Asking Rent],
          unit_details[Active Listing?],TRUE,
          unit_details[Property Name], $F178,
          unit_details[Beds], $L178,
          unit_details[Baths], $M178,
          unit_details[Partial Baths], IF(ISNUMBER($N178),$N178,""),
          unit_details[Sqft],$P178
))),"")</f>
        <v/>
      </c>
      <c r="AE178" s="5" t="str">
        <f>IFERROR(IF($F178="Total",
          SUMPRODUCT(
   INDEX(AE:AE, ROW()-COUNTIF($F$6:INDEX($F:$F, ROW()-1), $F177)) : INDEX(AE:AE, ROW()-1),
   INDEX(AB:AB, ROW()-COUNTIF($F$6:INDEX($F:$F, ROW()-1), $F177)) : INDEX(AB:AB, ROW()-1)
   )
   /SUM(INDEX(AB:AB, ROW()-COUNTIF($F$6:INDEX($F:$F, ROW()-1), $F177)) : INDEX(AB:AB, ROW()-1)),
          AVERAGEIFS(unit_details[Asking Rent],
          unit_details[Active Listing?],TRUE,
          unit_details[Property Name], $F178,
          unit_details[Beds], $L178,
          unit_details[Baths], $M178,
          unit_details[Partial Baths], IF(ISNUMBER($N178),$N178,""),
          unit_details[Sqft],$P178
)),"")</f>
        <v/>
      </c>
      <c r="AF178" s="5" t="str">
        <f>IFERROR(IF(AE178="","",IF($F178="Total",
SUMPRODUCT(
   INDEX(AF:AF, ROW()-COUNTIF($F$6:INDEX($F:$F, ROW()-1), $F177)) : INDEX(AF:AF, ROW()-1),
   INDEX(AB:AB, ROW()-COUNTIF($F$6:INDEX($F:$F, ROW()-1), $F177)) : INDEX(AB:AB, ROW()-1)
   )
   /SUM(INDEX(AB:AB, ROW()-COUNTIF($F$6:INDEX($F:$F, ROW()-1), $F177)) : INDEX(AB:AB, ROW()-1)),
           _xlfn.MAXIFS(unit_details[Asking Rent],
          unit_details[Active Listing?],TRUE,
          unit_details[Property Name], $F178,
          unit_details[Beds], $L178,
          unit_details[Baths], $M178,
          unit_details[Partial Baths], IF(ISNUMBER($N178),$N178,""),
          unit_details[Sqft],$P178
))),"")</f>
        <v/>
      </c>
      <c r="AG178" s="6" t="str">
        <f>IFERROR(IF($F178="Total",
         SUMPRODUCT(
         INDEX(AG:AG, ROW()-COUNTIF($F$6:INDEX($F:$F, ROW()-1), $F177)) : INDEX(AG:AG, ROW()-1),
         INDEX(AB:AB, ROW()-COUNTIF($F$6:INDEX($F:$F, ROW()-1), $F177)) : INDEX(AB:AB, ROW()-1)
         )
         /SUM(INDEX(AB:AB, ROW()-COUNTIF($F$6:INDEX($F:$F, ROW()-1), $F177)) : INDEX(AB:AB, ROW()-1)),
          AVERAGEIFS(unit_details[Asking PSF],
          unit_details[Active Listing?],TRUE,
          unit_details[Property Name], $F178,
          unit_details[Beds], $L178,
          unit_details[Baths], $M178,
          unit_details[Partial Baths], IF(ISNUMBER($N178),$N178,""),
          unit_details[Sqft],$P178
)),"")</f>
        <v/>
      </c>
      <c r="AH178" s="293" t="str">
        <f>IFERROR(IF($F178="Total",
         SUMPRODUCT(
         INDEX(AH:AH, ROW()-COUNTIF($F$6:INDEX($F:$F, ROW()-1), $F177)) : INDEX(AH:AH, ROW()-1),
         INDEX(AB:AB, ROW()-COUNTIF($F$6:INDEX($F:$F, ROW()-1), $F177)) : INDEX(AB:AB, ROW()-1)
         )
         /SUM(INDEX(AB:AB, ROW()-COUNTIF($F$6:INDEX($F:$F, ROW()-1), $F177)) : INDEX(AB:AB, ROW()-1)),
          AVERAGEIFS(unit_details[Effective Rent],
          unit_details[Active Listing?],TRUE,
          unit_details[Property Name], $F178,
          unit_details[Beds], $L178,
          unit_details[Baths], $M178,
          unit_details[Partial Baths], IF(ISNUMBER($N178),$N178,""),
          unit_details[Sqft],$P178
)),"")</f>
        <v/>
      </c>
      <c r="AI178" s="6" t="str">
        <f>IFERROR(IF($F178="Total",
         SUMPRODUCT(
         INDEX(AI:AI, ROW()-COUNTIF($F$6:INDEX($F:$F, ROW()-1), $F177)) : INDEX(AI:AI, ROW()-1),
         INDEX(AB:AB, ROW()-COUNTIF($F$6:INDEX($F:$F, ROW()-1), $F177)) : INDEX(AB:AB, ROW()-1)
         )
         /SUM(INDEX(AB:AB, ROW()-COUNTIF($F$6:INDEX($F:$F, ROW()-1), $F177)) : INDEX(AB:AB, ROW()-1)),
           AVERAGEIFS(unit_details[Effective PSF],
          unit_details[Active Listing?],TRUE,
          unit_details[Property Name], $F178,
          unit_details[Beds], $L178,
          unit_details[Baths], $M178,
          unit_details[Partial Baths], IF(ISNUMBER($N178),$N178,""),
          unit_details[Sqft],$P178
)),"")</f>
        <v/>
      </c>
      <c r="AJ178" s="824" t="str">
        <f t="shared" si="26"/>
        <v/>
      </c>
      <c r="AK178" s="531" t="str">
        <f t="shared" si="27"/>
        <v/>
      </c>
      <c r="AL178" s="714" t="str">
        <f t="shared" si="28"/>
        <v/>
      </c>
      <c r="AM178" s="531" t="str">
        <f t="shared" si="29"/>
        <v/>
      </c>
      <c r="AN178" s="716" t="str">
        <f t="shared" si="30"/>
        <v/>
      </c>
    </row>
    <row r="179" spans="6:40" x14ac:dyDescent="0.2">
      <c r="F179" s="1" t="str">
        <f t="shared" si="23"/>
        <v/>
      </c>
      <c r="G179" s="713" t="str">
        <f t="shared" si="31"/>
        <v/>
      </c>
      <c r="H179" s="17" t="str">
        <f>IFERROR(VLOOKUP($G179,Table1[[Property]:[Exposure %]],4,0),"")</f>
        <v/>
      </c>
      <c r="I179" s="3" t="str">
        <f>IFERROR(VLOOKUP($G179,Table1[[Property]:[Exposure %]],6,0),"")</f>
        <v/>
      </c>
      <c r="J179" s="3" t="str">
        <f>IFERROR(VLOOKUP($G179,Table1[[Property]:[Exposure %]],7,0),"")</f>
        <v/>
      </c>
      <c r="K179"/>
      <c r="L179"/>
      <c r="M179"/>
      <c r="N179"/>
      <c r="O179"/>
      <c r="P179"/>
      <c r="Q179"/>
      <c r="R179" s="4" t="str">
        <f>IFERROR(VLOOKUP(IF(F179="Total",F178,F179),Table1[[Property]:['# Units]],7,0)*S179,"")</f>
        <v/>
      </c>
      <c r="S179" s="27" t="str">
        <f t="shared" si="24"/>
        <v/>
      </c>
      <c r="T179" s="531" t="str">
        <f>IFERROR(
 IF($F179="Total",
   SUMPRODUCT(
   INDEX(T:T, ROW()-COUNTIF($F$6:INDEX($F:$F, ROW()-1), $F178)) : INDEX(T:T, ROW()-1),
   INDEX(W:W, ROW()-COUNTIF($F$6:INDEX($F:$F, ROW()-1), $F178)) : INDEX(W:W, ROW()-1)
   )
   /SUM(INDEX(W:W, ROW()-COUNTIF($F$6:INDEX($F:$F, ROW()-1), $F178)) : INDEX(W:W, ROW()-1)),
   AVERAGEIFS(
     INDEX((unit_details[Asking Rent],unit_details[Asking PSF]),0,1,IF($U$3="Chunk Rent",1,2)),
     unit_details[Leased Date],"&gt;="&amp;($AM$2-T$5),
     unit_details[Leased Date],"&lt;"&amp;$AM$2,
     unit_details[Beds],$L179,
     unit_details[Baths],$M179,
     unit_details[Partial Baths],IF(ISNUMBER($N179),$N179,""),
     unit_details[Sqft],$P179,
     unit_details[Property Name],$F179)
 ),"")</f>
        <v/>
      </c>
      <c r="U179" s="552" t="str">
        <f>IFERROR(
 IF($F179="Total",
   SUMPRODUCT(
   INDEX(U:U, ROW()-COUNTIF($F$6:INDEX($F:$F, ROW()-1), $F178)) : INDEX(U:U, ROW()-1),
   INDEX(W:W, ROW()-COUNTIF($F$6:INDEX($F:$F, ROW()-1), $F178)) : INDEX(W:W, ROW()-1)
   )
   /SUM(INDEX(W:W, ROW()-COUNTIF($F$6:INDEX($F:$F, ROW()-1), $F178)) : INDEX(W:W, ROW()-1)),
   AVERAGEIFS(
     INDEX((unit_details[Effective Rent],unit_details[Effective PSF]),0,1,IF($U$3="Chunk Rent",1,2)),
     unit_details[Leased Date],"&gt;="&amp;($AM$2-T$5),
     unit_details[Leased Date],"&lt;"&amp;$AM$2,
     unit_details[Beds],$L179,
     unit_details[Baths],$M179,
     unit_details[Partial Baths],IF(ISNUMBER($N179),$N179,""),
     unit_details[Sqft],$P179,
     unit_details[Property Name],$F179)
 ),"")</f>
        <v/>
      </c>
      <c r="V179" s="27" t="str">
        <f t="shared" si="32"/>
        <v/>
      </c>
      <c r="W179" s="526">
        <f>IFERROR(
  IF($F179="Total",
    SUM(INDEX(W:W, ROW()-COUNTIF($F$6:INDEX($F:$F, ROW()-1), $F178)) : INDEX(W:W, ROW()-1)),
    COUNTIFS(
      unit_details[Leased Date], "&gt;="&amp;($AM$2-T$5),
      unit_details[Leased Date], "&lt;"&amp;$AM$2,
      unit_details[Beds], $L179,
      unit_details[Baths], $M179,
      unit_details[Partial Baths], IF(ISNUMBER($N179), $N179, ""),
      unit_details[Sqft],$P179,
      unit_details[Property Name], $F179
    )
  ),
"")</f>
        <v>0</v>
      </c>
      <c r="X179" s="531" t="str">
        <f>IFERROR(
 IF($F179="Total",
   SUMPRODUCT(
   INDEX(X:X, ROW()-COUNTIF($F$6:INDEX($F:$F, ROW()-1), $F178)) : INDEX(X:X, ROW()-1),
   INDEX(AA:AA, ROW()-COUNTIF($F$6:INDEX($F:$F, ROW()-1), $F178)) : INDEX(AA:AA, ROW()-1)
   )
   /SUM(INDEX(AA:AA, ROW()-COUNTIF($F$6:INDEX($F:$F, ROW()-1), $F178)) : INDEX(AA:AA, ROW()-1)),
   AVERAGEIFS(
     INDEX((unit_details[Asking Rent],unit_details[Asking PSF]),0,1,IF($U$3="Chunk Rent",1,2)),
     unit_details[Leased Date],"&gt;="&amp;($AM$2-X$5),
     unit_details[Leased Date],"&lt;"&amp;$AM$2,
     unit_details[Beds],$L179,
     unit_details[Baths],$M179,
     unit_details[Partial Baths],IF(ISNUMBER($N179),$N179,""),
     unit_details[Sqft],$P179,
     unit_details[Property Name],$F179)
 ),"")</f>
        <v/>
      </c>
      <c r="Y179" s="552" t="str">
        <f>IFERROR(
 IF($F179="Total",
   SUMPRODUCT(
   INDEX(Y:Y, ROW()-COUNTIF($F$6:INDEX($F:$F, ROW()-1), $F178)) : INDEX(Y:Y, ROW()-1),
   INDEX(AA:AA, ROW()-COUNTIF($F$6:INDEX($F:$F, ROW()-1), $F178)) : INDEX(AA:AA, ROW()-1)
   )
   /SUM(INDEX(AA:AA, ROW()-COUNTIF($F$6:INDEX($F:$F, ROW()-1), $F178)) : INDEX(AA:AA, ROW()-1)),
   AVERAGEIFS(
     INDEX((unit_details[Effective Rent],unit_details[Effective PSF]),0,1,IF($U$3="Chunk Rent",1,2)),
     unit_details[Leased Date],"&gt;="&amp;($AM$2-X$5),
     unit_details[Leased Date],"&lt;"&amp;$AM$2,
     unit_details[Beds],$L179,
     unit_details[Baths],$M179,
     unit_details[Partial Baths],IF(ISNUMBER($N179),$N179,""),
     unit_details[Sqft],$P179,
     unit_details[Property Name],$F179)
 ),"")</f>
        <v/>
      </c>
      <c r="Z179" s="27" t="str">
        <f t="shared" si="33"/>
        <v/>
      </c>
      <c r="AA179" s="526">
        <f>IFERROR(
  IF($F179="Total",
    SUM(INDEX(AA:AA, ROW()-COUNTIF($F$6:INDEX($F:$F, ROW()-1), $F178)) : INDEX(AA:AA, ROW()-1)),
    COUNTIFS(
      unit_details[Leased Date], "&gt;="&amp;($AM$2-X$5),
      unit_details[Leased Date], "&lt;"&amp;$AM$2,
      unit_details[Beds], $L179,
      unit_details[Baths], $M179,
      unit_details[Partial Baths], IF(ISNUMBER($N179), $N179, ""),
      unit_details[Sqft],$P179,
      unit_details[Property Name], $F179
    )
  ),
"")</f>
        <v>0</v>
      </c>
      <c r="AB179" s="290">
        <f>IF($F179="Total",
SUM(INDEX(AB:AB, ROW()-COUNTIF($F$6:INDEX($F:$F, ROW()-1), $F178)) : INDEX(AB:AB, ROW()-1)),
COUNTIFS(unit_details[Active Listing?],TRUE,
          unit_details[Property Name], $F179,
          unit_details[Beds], $L179,
          unit_details[Baths], $M179,
          unit_details[Partial Baths],IF(ISNUMBER($N179),$N179,""),
          unit_details[Sqft],$P179))</f>
        <v>0</v>
      </c>
      <c r="AC179" s="27" t="str">
        <f t="shared" si="25"/>
        <v/>
      </c>
      <c r="AD179" s="293" t="str">
        <f>IFERROR(IF(AE179="","",IF($F179="Total",
SUMPRODUCT(
   INDEX(AD:AD, ROW()-COUNTIF($F$6:INDEX($F:$F, ROW()-1), $F178)) : INDEX(AD:AD, ROW()-1),
   INDEX(AB:AB, ROW()-COUNTIF($F$6:INDEX($F:$F, ROW()-1), $F178)) : INDEX(AB:AB, ROW()-1)
   )
   /SUM(INDEX(AB:AB, ROW()-COUNTIF($F$6:INDEX($F:$F, ROW()-1), $F178)) : INDEX(AB:AB, ROW()-1)),
          _xlfn.MINIFS(unit_details[Asking Rent],
          unit_details[Active Listing?],TRUE,
          unit_details[Property Name], $F179,
          unit_details[Beds], $L179,
          unit_details[Baths], $M179,
          unit_details[Partial Baths], IF(ISNUMBER($N179),$N179,""),
          unit_details[Sqft],$P179
))),"")</f>
        <v/>
      </c>
      <c r="AE179" s="5" t="str">
        <f>IFERROR(IF($F179="Total",
          SUMPRODUCT(
   INDEX(AE:AE, ROW()-COUNTIF($F$6:INDEX($F:$F, ROW()-1), $F178)) : INDEX(AE:AE, ROW()-1),
   INDEX(AB:AB, ROW()-COUNTIF($F$6:INDEX($F:$F, ROW()-1), $F178)) : INDEX(AB:AB, ROW()-1)
   )
   /SUM(INDEX(AB:AB, ROW()-COUNTIF($F$6:INDEX($F:$F, ROW()-1), $F178)) : INDEX(AB:AB, ROW()-1)),
          AVERAGEIFS(unit_details[Asking Rent],
          unit_details[Active Listing?],TRUE,
          unit_details[Property Name], $F179,
          unit_details[Beds], $L179,
          unit_details[Baths], $M179,
          unit_details[Partial Baths], IF(ISNUMBER($N179),$N179,""),
          unit_details[Sqft],$P179
)),"")</f>
        <v/>
      </c>
      <c r="AF179" s="5" t="str">
        <f>IFERROR(IF(AE179="","",IF($F179="Total",
SUMPRODUCT(
   INDEX(AF:AF, ROW()-COUNTIF($F$6:INDEX($F:$F, ROW()-1), $F178)) : INDEX(AF:AF, ROW()-1),
   INDEX(AB:AB, ROW()-COUNTIF($F$6:INDEX($F:$F, ROW()-1), $F178)) : INDEX(AB:AB, ROW()-1)
   )
   /SUM(INDEX(AB:AB, ROW()-COUNTIF($F$6:INDEX($F:$F, ROW()-1), $F178)) : INDEX(AB:AB, ROW()-1)),
           _xlfn.MAXIFS(unit_details[Asking Rent],
          unit_details[Active Listing?],TRUE,
          unit_details[Property Name], $F179,
          unit_details[Beds], $L179,
          unit_details[Baths], $M179,
          unit_details[Partial Baths], IF(ISNUMBER($N179),$N179,""),
          unit_details[Sqft],$P179
))),"")</f>
        <v/>
      </c>
      <c r="AG179" s="6" t="str">
        <f>IFERROR(IF($F179="Total",
         SUMPRODUCT(
         INDEX(AG:AG, ROW()-COUNTIF($F$6:INDEX($F:$F, ROW()-1), $F178)) : INDEX(AG:AG, ROW()-1),
         INDEX(AB:AB, ROW()-COUNTIF($F$6:INDEX($F:$F, ROW()-1), $F178)) : INDEX(AB:AB, ROW()-1)
         )
         /SUM(INDEX(AB:AB, ROW()-COUNTIF($F$6:INDEX($F:$F, ROW()-1), $F178)) : INDEX(AB:AB, ROW()-1)),
          AVERAGEIFS(unit_details[Asking PSF],
          unit_details[Active Listing?],TRUE,
          unit_details[Property Name], $F179,
          unit_details[Beds], $L179,
          unit_details[Baths], $M179,
          unit_details[Partial Baths], IF(ISNUMBER($N179),$N179,""),
          unit_details[Sqft],$P179
)),"")</f>
        <v/>
      </c>
      <c r="AH179" s="293" t="str">
        <f>IFERROR(IF($F179="Total",
         SUMPRODUCT(
         INDEX(AH:AH, ROW()-COUNTIF($F$6:INDEX($F:$F, ROW()-1), $F178)) : INDEX(AH:AH, ROW()-1),
         INDEX(AB:AB, ROW()-COUNTIF($F$6:INDEX($F:$F, ROW()-1), $F178)) : INDEX(AB:AB, ROW()-1)
         )
         /SUM(INDEX(AB:AB, ROW()-COUNTIF($F$6:INDEX($F:$F, ROW()-1), $F178)) : INDEX(AB:AB, ROW()-1)),
          AVERAGEIFS(unit_details[Effective Rent],
          unit_details[Active Listing?],TRUE,
          unit_details[Property Name], $F179,
          unit_details[Beds], $L179,
          unit_details[Baths], $M179,
          unit_details[Partial Baths], IF(ISNUMBER($N179),$N179,""),
          unit_details[Sqft],$P179
)),"")</f>
        <v/>
      </c>
      <c r="AI179" s="6" t="str">
        <f>IFERROR(IF($F179="Total",
         SUMPRODUCT(
         INDEX(AI:AI, ROW()-COUNTIF($F$6:INDEX($F:$F, ROW()-1), $F178)) : INDEX(AI:AI, ROW()-1),
         INDEX(AB:AB, ROW()-COUNTIF($F$6:INDEX($F:$F, ROW()-1), $F178)) : INDEX(AB:AB, ROW()-1)
         )
         /SUM(INDEX(AB:AB, ROW()-COUNTIF($F$6:INDEX($F:$F, ROW()-1), $F178)) : INDEX(AB:AB, ROW()-1)),
           AVERAGEIFS(unit_details[Effective PSF],
          unit_details[Active Listing?],TRUE,
          unit_details[Property Name], $F179,
          unit_details[Beds], $L179,
          unit_details[Baths], $M179,
          unit_details[Partial Baths], IF(ISNUMBER($N179),$N179,""),
          unit_details[Sqft],$P179
)),"")</f>
        <v/>
      </c>
      <c r="AJ179" s="824" t="str">
        <f t="shared" si="26"/>
        <v/>
      </c>
      <c r="AK179" s="531" t="str">
        <f t="shared" si="27"/>
        <v/>
      </c>
      <c r="AL179" s="714" t="str">
        <f t="shared" si="28"/>
        <v/>
      </c>
      <c r="AM179" s="531" t="str">
        <f t="shared" si="29"/>
        <v/>
      </c>
      <c r="AN179" s="716" t="str">
        <f t="shared" si="30"/>
        <v/>
      </c>
    </row>
    <row r="180" spans="6:40" x14ac:dyDescent="0.2">
      <c r="F180" s="1" t="str">
        <f t="shared" si="23"/>
        <v/>
      </c>
      <c r="G180" s="713" t="str">
        <f t="shared" si="31"/>
        <v/>
      </c>
      <c r="H180" s="17" t="str">
        <f>IFERROR(VLOOKUP($G180,Table1[[Property]:[Exposure %]],4,0),"")</f>
        <v/>
      </c>
      <c r="I180" s="3" t="str">
        <f>IFERROR(VLOOKUP($G180,Table1[[Property]:[Exposure %]],6,0),"")</f>
        <v/>
      </c>
      <c r="J180" s="3" t="str">
        <f>IFERROR(VLOOKUP($G180,Table1[[Property]:[Exposure %]],7,0),"")</f>
        <v/>
      </c>
      <c r="K180"/>
      <c r="L180"/>
      <c r="M180"/>
      <c r="N180"/>
      <c r="O180"/>
      <c r="P180"/>
      <c r="Q180"/>
      <c r="R180" s="4" t="str">
        <f>IFERROR(VLOOKUP(IF(F180="Total",F179,F180),Table1[[Property]:['# Units]],7,0)*S180,"")</f>
        <v/>
      </c>
      <c r="S180" s="27" t="str">
        <f t="shared" si="24"/>
        <v/>
      </c>
      <c r="T180" s="531" t="str">
        <f>IFERROR(
 IF($F180="Total",
   SUMPRODUCT(
   INDEX(T:T, ROW()-COUNTIF($F$6:INDEX($F:$F, ROW()-1), $F179)) : INDEX(T:T, ROW()-1),
   INDEX(W:W, ROW()-COUNTIF($F$6:INDEX($F:$F, ROW()-1), $F179)) : INDEX(W:W, ROW()-1)
   )
   /SUM(INDEX(W:W, ROW()-COUNTIF($F$6:INDEX($F:$F, ROW()-1), $F179)) : INDEX(W:W, ROW()-1)),
   AVERAGEIFS(
     INDEX((unit_details[Asking Rent],unit_details[Asking PSF]),0,1,IF($U$3="Chunk Rent",1,2)),
     unit_details[Leased Date],"&gt;="&amp;($AM$2-T$5),
     unit_details[Leased Date],"&lt;"&amp;$AM$2,
     unit_details[Beds],$L180,
     unit_details[Baths],$M180,
     unit_details[Partial Baths],IF(ISNUMBER($N180),$N180,""),
     unit_details[Sqft],$P180,
     unit_details[Property Name],$F180)
 ),"")</f>
        <v/>
      </c>
      <c r="U180" s="552" t="str">
        <f>IFERROR(
 IF($F180="Total",
   SUMPRODUCT(
   INDEX(U:U, ROW()-COUNTIF($F$6:INDEX($F:$F, ROW()-1), $F179)) : INDEX(U:U, ROW()-1),
   INDEX(W:W, ROW()-COUNTIF($F$6:INDEX($F:$F, ROW()-1), $F179)) : INDEX(W:W, ROW()-1)
   )
   /SUM(INDEX(W:W, ROW()-COUNTIF($F$6:INDEX($F:$F, ROW()-1), $F179)) : INDEX(W:W, ROW()-1)),
   AVERAGEIFS(
     INDEX((unit_details[Effective Rent],unit_details[Effective PSF]),0,1,IF($U$3="Chunk Rent",1,2)),
     unit_details[Leased Date],"&gt;="&amp;($AM$2-T$5),
     unit_details[Leased Date],"&lt;"&amp;$AM$2,
     unit_details[Beds],$L180,
     unit_details[Baths],$M180,
     unit_details[Partial Baths],IF(ISNUMBER($N180),$N180,""),
     unit_details[Sqft],$P180,
     unit_details[Property Name],$F180)
 ),"")</f>
        <v/>
      </c>
      <c r="V180" s="27" t="str">
        <f t="shared" si="32"/>
        <v/>
      </c>
      <c r="W180" s="526">
        <f>IFERROR(
  IF($F180="Total",
    SUM(INDEX(W:W, ROW()-COUNTIF($F$6:INDEX($F:$F, ROW()-1), $F179)) : INDEX(W:W, ROW()-1)),
    COUNTIFS(
      unit_details[Leased Date], "&gt;="&amp;($AM$2-T$5),
      unit_details[Leased Date], "&lt;"&amp;$AM$2,
      unit_details[Beds], $L180,
      unit_details[Baths], $M180,
      unit_details[Partial Baths], IF(ISNUMBER($N180), $N180, ""),
      unit_details[Sqft],$P180,
      unit_details[Property Name], $F180
    )
  ),
"")</f>
        <v>0</v>
      </c>
      <c r="X180" s="531" t="str">
        <f>IFERROR(
 IF($F180="Total",
   SUMPRODUCT(
   INDEX(X:X, ROW()-COUNTIF($F$6:INDEX($F:$F, ROW()-1), $F179)) : INDEX(X:X, ROW()-1),
   INDEX(AA:AA, ROW()-COUNTIF($F$6:INDEX($F:$F, ROW()-1), $F179)) : INDEX(AA:AA, ROW()-1)
   )
   /SUM(INDEX(AA:AA, ROW()-COUNTIF($F$6:INDEX($F:$F, ROW()-1), $F179)) : INDEX(AA:AA, ROW()-1)),
   AVERAGEIFS(
     INDEX((unit_details[Asking Rent],unit_details[Asking PSF]),0,1,IF($U$3="Chunk Rent",1,2)),
     unit_details[Leased Date],"&gt;="&amp;($AM$2-X$5),
     unit_details[Leased Date],"&lt;"&amp;$AM$2,
     unit_details[Beds],$L180,
     unit_details[Baths],$M180,
     unit_details[Partial Baths],IF(ISNUMBER($N180),$N180,""),
     unit_details[Sqft],$P180,
     unit_details[Property Name],$F180)
 ),"")</f>
        <v/>
      </c>
      <c r="Y180" s="552" t="str">
        <f>IFERROR(
 IF($F180="Total",
   SUMPRODUCT(
   INDEX(Y:Y, ROW()-COUNTIF($F$6:INDEX($F:$F, ROW()-1), $F179)) : INDEX(Y:Y, ROW()-1),
   INDEX(AA:AA, ROW()-COUNTIF($F$6:INDEX($F:$F, ROW()-1), $F179)) : INDEX(AA:AA, ROW()-1)
   )
   /SUM(INDEX(AA:AA, ROW()-COUNTIF($F$6:INDEX($F:$F, ROW()-1), $F179)) : INDEX(AA:AA, ROW()-1)),
   AVERAGEIFS(
     INDEX((unit_details[Effective Rent],unit_details[Effective PSF]),0,1,IF($U$3="Chunk Rent",1,2)),
     unit_details[Leased Date],"&gt;="&amp;($AM$2-X$5),
     unit_details[Leased Date],"&lt;"&amp;$AM$2,
     unit_details[Beds],$L180,
     unit_details[Baths],$M180,
     unit_details[Partial Baths],IF(ISNUMBER($N180),$N180,""),
     unit_details[Sqft],$P180,
     unit_details[Property Name],$F180)
 ),"")</f>
        <v/>
      </c>
      <c r="Z180" s="27" t="str">
        <f t="shared" si="33"/>
        <v/>
      </c>
      <c r="AA180" s="526">
        <f>IFERROR(
  IF($F180="Total",
    SUM(INDEX(AA:AA, ROW()-COUNTIF($F$6:INDEX($F:$F, ROW()-1), $F179)) : INDEX(AA:AA, ROW()-1)),
    COUNTIFS(
      unit_details[Leased Date], "&gt;="&amp;($AM$2-X$5),
      unit_details[Leased Date], "&lt;"&amp;$AM$2,
      unit_details[Beds], $L180,
      unit_details[Baths], $M180,
      unit_details[Partial Baths], IF(ISNUMBER($N180), $N180, ""),
      unit_details[Sqft],$P180,
      unit_details[Property Name], $F180
    )
  ),
"")</f>
        <v>0</v>
      </c>
      <c r="AB180" s="290">
        <f>IF($F180="Total",
SUM(INDEX(AB:AB, ROW()-COUNTIF($F$6:INDEX($F:$F, ROW()-1), $F179)) : INDEX(AB:AB, ROW()-1)),
COUNTIFS(unit_details[Active Listing?],TRUE,
          unit_details[Property Name], $F180,
          unit_details[Beds], $L180,
          unit_details[Baths], $M180,
          unit_details[Partial Baths],IF(ISNUMBER($N180),$N180,""),
          unit_details[Sqft],$P180))</f>
        <v>0</v>
      </c>
      <c r="AC180" s="27" t="str">
        <f t="shared" si="25"/>
        <v/>
      </c>
      <c r="AD180" s="293" t="str">
        <f>IFERROR(IF(AE180="","",IF($F180="Total",
SUMPRODUCT(
   INDEX(AD:AD, ROW()-COUNTIF($F$6:INDEX($F:$F, ROW()-1), $F179)) : INDEX(AD:AD, ROW()-1),
   INDEX(AB:AB, ROW()-COUNTIF($F$6:INDEX($F:$F, ROW()-1), $F179)) : INDEX(AB:AB, ROW()-1)
   )
   /SUM(INDEX(AB:AB, ROW()-COUNTIF($F$6:INDEX($F:$F, ROW()-1), $F179)) : INDEX(AB:AB, ROW()-1)),
          _xlfn.MINIFS(unit_details[Asking Rent],
          unit_details[Active Listing?],TRUE,
          unit_details[Property Name], $F180,
          unit_details[Beds], $L180,
          unit_details[Baths], $M180,
          unit_details[Partial Baths], IF(ISNUMBER($N180),$N180,""),
          unit_details[Sqft],$P180
))),"")</f>
        <v/>
      </c>
      <c r="AE180" s="5" t="str">
        <f>IFERROR(IF($F180="Total",
          SUMPRODUCT(
   INDEX(AE:AE, ROW()-COUNTIF($F$6:INDEX($F:$F, ROW()-1), $F179)) : INDEX(AE:AE, ROW()-1),
   INDEX(AB:AB, ROW()-COUNTIF($F$6:INDEX($F:$F, ROW()-1), $F179)) : INDEX(AB:AB, ROW()-1)
   )
   /SUM(INDEX(AB:AB, ROW()-COUNTIF($F$6:INDEX($F:$F, ROW()-1), $F179)) : INDEX(AB:AB, ROW()-1)),
          AVERAGEIFS(unit_details[Asking Rent],
          unit_details[Active Listing?],TRUE,
          unit_details[Property Name], $F180,
          unit_details[Beds], $L180,
          unit_details[Baths], $M180,
          unit_details[Partial Baths], IF(ISNUMBER($N180),$N180,""),
          unit_details[Sqft],$P180
)),"")</f>
        <v/>
      </c>
      <c r="AF180" s="5" t="str">
        <f>IFERROR(IF(AE180="","",IF($F180="Total",
SUMPRODUCT(
   INDEX(AF:AF, ROW()-COUNTIF($F$6:INDEX($F:$F, ROW()-1), $F179)) : INDEX(AF:AF, ROW()-1),
   INDEX(AB:AB, ROW()-COUNTIF($F$6:INDEX($F:$F, ROW()-1), $F179)) : INDEX(AB:AB, ROW()-1)
   )
   /SUM(INDEX(AB:AB, ROW()-COUNTIF($F$6:INDEX($F:$F, ROW()-1), $F179)) : INDEX(AB:AB, ROW()-1)),
           _xlfn.MAXIFS(unit_details[Asking Rent],
          unit_details[Active Listing?],TRUE,
          unit_details[Property Name], $F180,
          unit_details[Beds], $L180,
          unit_details[Baths], $M180,
          unit_details[Partial Baths], IF(ISNUMBER($N180),$N180,""),
          unit_details[Sqft],$P180
))),"")</f>
        <v/>
      </c>
      <c r="AG180" s="6" t="str">
        <f>IFERROR(IF($F180="Total",
         SUMPRODUCT(
         INDEX(AG:AG, ROW()-COUNTIF($F$6:INDEX($F:$F, ROW()-1), $F179)) : INDEX(AG:AG, ROW()-1),
         INDEX(AB:AB, ROW()-COUNTIF($F$6:INDEX($F:$F, ROW()-1), $F179)) : INDEX(AB:AB, ROW()-1)
         )
         /SUM(INDEX(AB:AB, ROW()-COUNTIF($F$6:INDEX($F:$F, ROW()-1), $F179)) : INDEX(AB:AB, ROW()-1)),
          AVERAGEIFS(unit_details[Asking PSF],
          unit_details[Active Listing?],TRUE,
          unit_details[Property Name], $F180,
          unit_details[Beds], $L180,
          unit_details[Baths], $M180,
          unit_details[Partial Baths], IF(ISNUMBER($N180),$N180,""),
          unit_details[Sqft],$P180
)),"")</f>
        <v/>
      </c>
      <c r="AH180" s="293" t="str">
        <f>IFERROR(IF($F180="Total",
         SUMPRODUCT(
         INDEX(AH:AH, ROW()-COUNTIF($F$6:INDEX($F:$F, ROW()-1), $F179)) : INDEX(AH:AH, ROW()-1),
         INDEX(AB:AB, ROW()-COUNTIF($F$6:INDEX($F:$F, ROW()-1), $F179)) : INDEX(AB:AB, ROW()-1)
         )
         /SUM(INDEX(AB:AB, ROW()-COUNTIF($F$6:INDEX($F:$F, ROW()-1), $F179)) : INDEX(AB:AB, ROW()-1)),
          AVERAGEIFS(unit_details[Effective Rent],
          unit_details[Active Listing?],TRUE,
          unit_details[Property Name], $F180,
          unit_details[Beds], $L180,
          unit_details[Baths], $M180,
          unit_details[Partial Baths], IF(ISNUMBER($N180),$N180,""),
          unit_details[Sqft],$P180
)),"")</f>
        <v/>
      </c>
      <c r="AI180" s="6" t="str">
        <f>IFERROR(IF($F180="Total",
         SUMPRODUCT(
         INDEX(AI:AI, ROW()-COUNTIF($F$6:INDEX($F:$F, ROW()-1), $F179)) : INDEX(AI:AI, ROW()-1),
         INDEX(AB:AB, ROW()-COUNTIF($F$6:INDEX($F:$F, ROW()-1), $F179)) : INDEX(AB:AB, ROW()-1)
         )
         /SUM(INDEX(AB:AB, ROW()-COUNTIF($F$6:INDEX($F:$F, ROW()-1), $F179)) : INDEX(AB:AB, ROW()-1)),
           AVERAGEIFS(unit_details[Effective PSF],
          unit_details[Active Listing?],TRUE,
          unit_details[Property Name], $F180,
          unit_details[Beds], $L180,
          unit_details[Baths], $M180,
          unit_details[Partial Baths], IF(ISNUMBER($N180),$N180,""),
          unit_details[Sqft],$P180
)),"")</f>
        <v/>
      </c>
      <c r="AJ180" s="824" t="str">
        <f t="shared" si="26"/>
        <v/>
      </c>
      <c r="AK180" s="531" t="str">
        <f t="shared" si="27"/>
        <v/>
      </c>
      <c r="AL180" s="714" t="str">
        <f t="shared" si="28"/>
        <v/>
      </c>
      <c r="AM180" s="531" t="str">
        <f t="shared" si="29"/>
        <v/>
      </c>
      <c r="AN180" s="716" t="str">
        <f t="shared" si="30"/>
        <v/>
      </c>
    </row>
    <row r="181" spans="6:40" x14ac:dyDescent="0.2">
      <c r="F181" s="1" t="str">
        <f t="shared" si="23"/>
        <v/>
      </c>
      <c r="G181" s="713" t="str">
        <f t="shared" si="31"/>
        <v/>
      </c>
      <c r="H181" s="17" t="str">
        <f>IFERROR(VLOOKUP($G181,Table1[[Property]:[Exposure %]],4,0),"")</f>
        <v/>
      </c>
      <c r="I181" s="3" t="str">
        <f>IFERROR(VLOOKUP($G181,Table1[[Property]:[Exposure %]],6,0),"")</f>
        <v/>
      </c>
      <c r="J181" s="3" t="str">
        <f>IFERROR(VLOOKUP($G181,Table1[[Property]:[Exposure %]],7,0),"")</f>
        <v/>
      </c>
      <c r="K181"/>
      <c r="L181"/>
      <c r="M181"/>
      <c r="N181"/>
      <c r="O181"/>
      <c r="P181"/>
      <c r="Q181"/>
      <c r="R181" s="4" t="str">
        <f>IFERROR(VLOOKUP(IF(F181="Total",F180,F181),Table1[[Property]:['# Units]],7,0)*S181,"")</f>
        <v/>
      </c>
      <c r="S181" s="27" t="str">
        <f t="shared" si="24"/>
        <v/>
      </c>
      <c r="T181" s="531" t="str">
        <f>IFERROR(
 IF($F181="Total",
   SUMPRODUCT(
   INDEX(T:T, ROW()-COUNTIF($F$6:INDEX($F:$F, ROW()-1), $F180)) : INDEX(T:T, ROW()-1),
   INDEX(W:W, ROW()-COUNTIF($F$6:INDEX($F:$F, ROW()-1), $F180)) : INDEX(W:W, ROW()-1)
   )
   /SUM(INDEX(W:W, ROW()-COUNTIF($F$6:INDEX($F:$F, ROW()-1), $F180)) : INDEX(W:W, ROW()-1)),
   AVERAGEIFS(
     INDEX((unit_details[Asking Rent],unit_details[Asking PSF]),0,1,IF($U$3="Chunk Rent",1,2)),
     unit_details[Leased Date],"&gt;="&amp;($AM$2-T$5),
     unit_details[Leased Date],"&lt;"&amp;$AM$2,
     unit_details[Beds],$L181,
     unit_details[Baths],$M181,
     unit_details[Partial Baths],IF(ISNUMBER($N181),$N181,""),
     unit_details[Sqft],$P181,
     unit_details[Property Name],$F181)
 ),"")</f>
        <v/>
      </c>
      <c r="U181" s="552" t="str">
        <f>IFERROR(
 IF($F181="Total",
   SUMPRODUCT(
   INDEX(U:U, ROW()-COUNTIF($F$6:INDEX($F:$F, ROW()-1), $F180)) : INDEX(U:U, ROW()-1),
   INDEX(W:W, ROW()-COUNTIF($F$6:INDEX($F:$F, ROW()-1), $F180)) : INDEX(W:W, ROW()-1)
   )
   /SUM(INDEX(W:W, ROW()-COUNTIF($F$6:INDEX($F:$F, ROW()-1), $F180)) : INDEX(W:W, ROW()-1)),
   AVERAGEIFS(
     INDEX((unit_details[Effective Rent],unit_details[Effective PSF]),0,1,IF($U$3="Chunk Rent",1,2)),
     unit_details[Leased Date],"&gt;="&amp;($AM$2-T$5),
     unit_details[Leased Date],"&lt;"&amp;$AM$2,
     unit_details[Beds],$L181,
     unit_details[Baths],$M181,
     unit_details[Partial Baths],IF(ISNUMBER($N181),$N181,""),
     unit_details[Sqft],$P181,
     unit_details[Property Name],$F181)
 ),"")</f>
        <v/>
      </c>
      <c r="V181" s="27" t="str">
        <f t="shared" si="32"/>
        <v/>
      </c>
      <c r="W181" s="526">
        <f>IFERROR(
  IF($F181="Total",
    SUM(INDEX(W:W, ROW()-COUNTIF($F$6:INDEX($F:$F, ROW()-1), $F180)) : INDEX(W:W, ROW()-1)),
    COUNTIFS(
      unit_details[Leased Date], "&gt;="&amp;($AM$2-T$5),
      unit_details[Leased Date], "&lt;"&amp;$AM$2,
      unit_details[Beds], $L181,
      unit_details[Baths], $M181,
      unit_details[Partial Baths], IF(ISNUMBER($N181), $N181, ""),
      unit_details[Sqft],$P181,
      unit_details[Property Name], $F181
    )
  ),
"")</f>
        <v>0</v>
      </c>
      <c r="X181" s="531" t="str">
        <f>IFERROR(
 IF($F181="Total",
   SUMPRODUCT(
   INDEX(X:X, ROW()-COUNTIF($F$6:INDEX($F:$F, ROW()-1), $F180)) : INDEX(X:X, ROW()-1),
   INDEX(AA:AA, ROW()-COUNTIF($F$6:INDEX($F:$F, ROW()-1), $F180)) : INDEX(AA:AA, ROW()-1)
   )
   /SUM(INDEX(AA:AA, ROW()-COUNTIF($F$6:INDEX($F:$F, ROW()-1), $F180)) : INDEX(AA:AA, ROW()-1)),
   AVERAGEIFS(
     INDEX((unit_details[Asking Rent],unit_details[Asking PSF]),0,1,IF($U$3="Chunk Rent",1,2)),
     unit_details[Leased Date],"&gt;="&amp;($AM$2-X$5),
     unit_details[Leased Date],"&lt;"&amp;$AM$2,
     unit_details[Beds],$L181,
     unit_details[Baths],$M181,
     unit_details[Partial Baths],IF(ISNUMBER($N181),$N181,""),
     unit_details[Sqft],$P181,
     unit_details[Property Name],$F181)
 ),"")</f>
        <v/>
      </c>
      <c r="Y181" s="552" t="str">
        <f>IFERROR(
 IF($F181="Total",
   SUMPRODUCT(
   INDEX(Y:Y, ROW()-COUNTIF($F$6:INDEX($F:$F, ROW()-1), $F180)) : INDEX(Y:Y, ROW()-1),
   INDEX(AA:AA, ROW()-COUNTIF($F$6:INDEX($F:$F, ROW()-1), $F180)) : INDEX(AA:AA, ROW()-1)
   )
   /SUM(INDEX(AA:AA, ROW()-COUNTIF($F$6:INDEX($F:$F, ROW()-1), $F180)) : INDEX(AA:AA, ROW()-1)),
   AVERAGEIFS(
     INDEX((unit_details[Effective Rent],unit_details[Effective PSF]),0,1,IF($U$3="Chunk Rent",1,2)),
     unit_details[Leased Date],"&gt;="&amp;($AM$2-X$5),
     unit_details[Leased Date],"&lt;"&amp;$AM$2,
     unit_details[Beds],$L181,
     unit_details[Baths],$M181,
     unit_details[Partial Baths],IF(ISNUMBER($N181),$N181,""),
     unit_details[Sqft],$P181,
     unit_details[Property Name],$F181)
 ),"")</f>
        <v/>
      </c>
      <c r="Z181" s="27" t="str">
        <f t="shared" si="33"/>
        <v/>
      </c>
      <c r="AA181" s="526">
        <f>IFERROR(
  IF($F181="Total",
    SUM(INDEX(AA:AA, ROW()-COUNTIF($F$6:INDEX($F:$F, ROW()-1), $F180)) : INDEX(AA:AA, ROW()-1)),
    COUNTIFS(
      unit_details[Leased Date], "&gt;="&amp;($AM$2-X$5),
      unit_details[Leased Date], "&lt;"&amp;$AM$2,
      unit_details[Beds], $L181,
      unit_details[Baths], $M181,
      unit_details[Partial Baths], IF(ISNUMBER($N181), $N181, ""),
      unit_details[Sqft],$P181,
      unit_details[Property Name], $F181
    )
  ),
"")</f>
        <v>0</v>
      </c>
      <c r="AB181" s="290">
        <f>IF($F181="Total",
SUM(INDEX(AB:AB, ROW()-COUNTIF($F$6:INDEX($F:$F, ROW()-1), $F180)) : INDEX(AB:AB, ROW()-1)),
COUNTIFS(unit_details[Active Listing?],TRUE,
          unit_details[Property Name], $F181,
          unit_details[Beds], $L181,
          unit_details[Baths], $M181,
          unit_details[Partial Baths],IF(ISNUMBER($N181),$N181,""),
          unit_details[Sqft],$P181))</f>
        <v>0</v>
      </c>
      <c r="AC181" s="27" t="str">
        <f t="shared" si="25"/>
        <v/>
      </c>
      <c r="AD181" s="293" t="str">
        <f>IFERROR(IF(AE181="","",IF($F181="Total",
SUMPRODUCT(
   INDEX(AD:AD, ROW()-COUNTIF($F$6:INDEX($F:$F, ROW()-1), $F180)) : INDEX(AD:AD, ROW()-1),
   INDEX(AB:AB, ROW()-COUNTIF($F$6:INDEX($F:$F, ROW()-1), $F180)) : INDEX(AB:AB, ROW()-1)
   )
   /SUM(INDEX(AB:AB, ROW()-COUNTIF($F$6:INDEX($F:$F, ROW()-1), $F180)) : INDEX(AB:AB, ROW()-1)),
          _xlfn.MINIFS(unit_details[Asking Rent],
          unit_details[Active Listing?],TRUE,
          unit_details[Property Name], $F181,
          unit_details[Beds], $L181,
          unit_details[Baths], $M181,
          unit_details[Partial Baths], IF(ISNUMBER($N181),$N181,""),
          unit_details[Sqft],$P181
))),"")</f>
        <v/>
      </c>
      <c r="AE181" s="5" t="str">
        <f>IFERROR(IF($F181="Total",
          SUMPRODUCT(
   INDEX(AE:AE, ROW()-COUNTIF($F$6:INDEX($F:$F, ROW()-1), $F180)) : INDEX(AE:AE, ROW()-1),
   INDEX(AB:AB, ROW()-COUNTIF($F$6:INDEX($F:$F, ROW()-1), $F180)) : INDEX(AB:AB, ROW()-1)
   )
   /SUM(INDEX(AB:AB, ROW()-COUNTIF($F$6:INDEX($F:$F, ROW()-1), $F180)) : INDEX(AB:AB, ROW()-1)),
          AVERAGEIFS(unit_details[Asking Rent],
          unit_details[Active Listing?],TRUE,
          unit_details[Property Name], $F181,
          unit_details[Beds], $L181,
          unit_details[Baths], $M181,
          unit_details[Partial Baths], IF(ISNUMBER($N181),$N181,""),
          unit_details[Sqft],$P181
)),"")</f>
        <v/>
      </c>
      <c r="AF181" s="5" t="str">
        <f>IFERROR(IF(AE181="","",IF($F181="Total",
SUMPRODUCT(
   INDEX(AF:AF, ROW()-COUNTIF($F$6:INDEX($F:$F, ROW()-1), $F180)) : INDEX(AF:AF, ROW()-1),
   INDEX(AB:AB, ROW()-COUNTIF($F$6:INDEX($F:$F, ROW()-1), $F180)) : INDEX(AB:AB, ROW()-1)
   )
   /SUM(INDEX(AB:AB, ROW()-COUNTIF($F$6:INDEX($F:$F, ROW()-1), $F180)) : INDEX(AB:AB, ROW()-1)),
           _xlfn.MAXIFS(unit_details[Asking Rent],
          unit_details[Active Listing?],TRUE,
          unit_details[Property Name], $F181,
          unit_details[Beds], $L181,
          unit_details[Baths], $M181,
          unit_details[Partial Baths], IF(ISNUMBER($N181),$N181,""),
          unit_details[Sqft],$P181
))),"")</f>
        <v/>
      </c>
      <c r="AG181" s="6" t="str">
        <f>IFERROR(IF($F181="Total",
         SUMPRODUCT(
         INDEX(AG:AG, ROW()-COUNTIF($F$6:INDEX($F:$F, ROW()-1), $F180)) : INDEX(AG:AG, ROW()-1),
         INDEX(AB:AB, ROW()-COUNTIF($F$6:INDEX($F:$F, ROW()-1), $F180)) : INDEX(AB:AB, ROW()-1)
         )
         /SUM(INDEX(AB:AB, ROW()-COUNTIF($F$6:INDEX($F:$F, ROW()-1), $F180)) : INDEX(AB:AB, ROW()-1)),
          AVERAGEIFS(unit_details[Asking PSF],
          unit_details[Active Listing?],TRUE,
          unit_details[Property Name], $F181,
          unit_details[Beds], $L181,
          unit_details[Baths], $M181,
          unit_details[Partial Baths], IF(ISNUMBER($N181),$N181,""),
          unit_details[Sqft],$P181
)),"")</f>
        <v/>
      </c>
      <c r="AH181" s="293" t="str">
        <f>IFERROR(IF($F181="Total",
         SUMPRODUCT(
         INDEX(AH:AH, ROW()-COUNTIF($F$6:INDEX($F:$F, ROW()-1), $F180)) : INDEX(AH:AH, ROW()-1),
         INDEX(AB:AB, ROW()-COUNTIF($F$6:INDEX($F:$F, ROW()-1), $F180)) : INDEX(AB:AB, ROW()-1)
         )
         /SUM(INDEX(AB:AB, ROW()-COUNTIF($F$6:INDEX($F:$F, ROW()-1), $F180)) : INDEX(AB:AB, ROW()-1)),
          AVERAGEIFS(unit_details[Effective Rent],
          unit_details[Active Listing?],TRUE,
          unit_details[Property Name], $F181,
          unit_details[Beds], $L181,
          unit_details[Baths], $M181,
          unit_details[Partial Baths], IF(ISNUMBER($N181),$N181,""),
          unit_details[Sqft],$P181
)),"")</f>
        <v/>
      </c>
      <c r="AI181" s="6" t="str">
        <f>IFERROR(IF($F181="Total",
         SUMPRODUCT(
         INDEX(AI:AI, ROW()-COUNTIF($F$6:INDEX($F:$F, ROW()-1), $F180)) : INDEX(AI:AI, ROW()-1),
         INDEX(AB:AB, ROW()-COUNTIF($F$6:INDEX($F:$F, ROW()-1), $F180)) : INDEX(AB:AB, ROW()-1)
         )
         /SUM(INDEX(AB:AB, ROW()-COUNTIF($F$6:INDEX($F:$F, ROW()-1), $F180)) : INDEX(AB:AB, ROW()-1)),
           AVERAGEIFS(unit_details[Effective PSF],
          unit_details[Active Listing?],TRUE,
          unit_details[Property Name], $F181,
          unit_details[Beds], $L181,
          unit_details[Baths], $M181,
          unit_details[Partial Baths], IF(ISNUMBER($N181),$N181,""),
          unit_details[Sqft],$P181
)),"")</f>
        <v/>
      </c>
      <c r="AJ181" s="824" t="str">
        <f t="shared" si="26"/>
        <v/>
      </c>
      <c r="AK181" s="531" t="str">
        <f t="shared" si="27"/>
        <v/>
      </c>
      <c r="AL181" s="714" t="str">
        <f t="shared" si="28"/>
        <v/>
      </c>
      <c r="AM181" s="531" t="str">
        <f t="shared" si="29"/>
        <v/>
      </c>
      <c r="AN181" s="716" t="str">
        <f t="shared" si="30"/>
        <v/>
      </c>
    </row>
    <row r="182" spans="6:40" x14ac:dyDescent="0.2">
      <c r="F182" s="1" t="str">
        <f t="shared" si="23"/>
        <v/>
      </c>
      <c r="G182" s="713" t="str">
        <f t="shared" si="31"/>
        <v/>
      </c>
      <c r="H182" s="17" t="str">
        <f>IFERROR(VLOOKUP($G182,Table1[[Property]:[Exposure %]],4,0),"")</f>
        <v/>
      </c>
      <c r="I182" s="3" t="str">
        <f>IFERROR(VLOOKUP($G182,Table1[[Property]:[Exposure %]],6,0),"")</f>
        <v/>
      </c>
      <c r="J182" s="3" t="str">
        <f>IFERROR(VLOOKUP($G182,Table1[[Property]:[Exposure %]],7,0),"")</f>
        <v/>
      </c>
      <c r="K182"/>
      <c r="L182"/>
      <c r="M182"/>
      <c r="N182"/>
      <c r="O182"/>
      <c r="P182"/>
      <c r="Q182"/>
      <c r="R182" s="4" t="str">
        <f>IFERROR(VLOOKUP(IF(F182="Total",F181,F182),Table1[[Property]:['# Units]],7,0)*S182,"")</f>
        <v/>
      </c>
      <c r="S182" s="27" t="str">
        <f t="shared" si="24"/>
        <v/>
      </c>
      <c r="T182" s="531" t="str">
        <f>IFERROR(
 IF($F182="Total",
   SUMPRODUCT(
   INDEX(T:T, ROW()-COUNTIF($F$6:INDEX($F:$F, ROW()-1), $F181)) : INDEX(T:T, ROW()-1),
   INDEX(W:W, ROW()-COUNTIF($F$6:INDEX($F:$F, ROW()-1), $F181)) : INDEX(W:W, ROW()-1)
   )
   /SUM(INDEX(W:W, ROW()-COUNTIF($F$6:INDEX($F:$F, ROW()-1), $F181)) : INDEX(W:W, ROW()-1)),
   AVERAGEIFS(
     INDEX((unit_details[Asking Rent],unit_details[Asking PSF]),0,1,IF($U$3="Chunk Rent",1,2)),
     unit_details[Leased Date],"&gt;="&amp;($AM$2-T$5),
     unit_details[Leased Date],"&lt;"&amp;$AM$2,
     unit_details[Beds],$L182,
     unit_details[Baths],$M182,
     unit_details[Partial Baths],IF(ISNUMBER($N182),$N182,""),
     unit_details[Sqft],$P182,
     unit_details[Property Name],$F182)
 ),"")</f>
        <v/>
      </c>
      <c r="U182" s="552" t="str">
        <f>IFERROR(
 IF($F182="Total",
   SUMPRODUCT(
   INDEX(U:U, ROW()-COUNTIF($F$6:INDEX($F:$F, ROW()-1), $F181)) : INDEX(U:U, ROW()-1),
   INDEX(W:W, ROW()-COUNTIF($F$6:INDEX($F:$F, ROW()-1), $F181)) : INDEX(W:W, ROW()-1)
   )
   /SUM(INDEX(W:W, ROW()-COUNTIF($F$6:INDEX($F:$F, ROW()-1), $F181)) : INDEX(W:W, ROW()-1)),
   AVERAGEIFS(
     INDEX((unit_details[Effective Rent],unit_details[Effective PSF]),0,1,IF($U$3="Chunk Rent",1,2)),
     unit_details[Leased Date],"&gt;="&amp;($AM$2-T$5),
     unit_details[Leased Date],"&lt;"&amp;$AM$2,
     unit_details[Beds],$L182,
     unit_details[Baths],$M182,
     unit_details[Partial Baths],IF(ISNUMBER($N182),$N182,""),
     unit_details[Sqft],$P182,
     unit_details[Property Name],$F182)
 ),"")</f>
        <v/>
      </c>
      <c r="V182" s="27" t="str">
        <f t="shared" si="32"/>
        <v/>
      </c>
      <c r="W182" s="526">
        <f>IFERROR(
  IF($F182="Total",
    SUM(INDEX(W:W, ROW()-COUNTIF($F$6:INDEX($F:$F, ROW()-1), $F181)) : INDEX(W:W, ROW()-1)),
    COUNTIFS(
      unit_details[Leased Date], "&gt;="&amp;($AM$2-T$5),
      unit_details[Leased Date], "&lt;"&amp;$AM$2,
      unit_details[Beds], $L182,
      unit_details[Baths], $M182,
      unit_details[Partial Baths], IF(ISNUMBER($N182), $N182, ""),
      unit_details[Sqft],$P182,
      unit_details[Property Name], $F182
    )
  ),
"")</f>
        <v>0</v>
      </c>
      <c r="X182" s="531" t="str">
        <f>IFERROR(
 IF($F182="Total",
   SUMPRODUCT(
   INDEX(X:X, ROW()-COUNTIF($F$6:INDEX($F:$F, ROW()-1), $F181)) : INDEX(X:X, ROW()-1),
   INDEX(AA:AA, ROW()-COUNTIF($F$6:INDEX($F:$F, ROW()-1), $F181)) : INDEX(AA:AA, ROW()-1)
   )
   /SUM(INDEX(AA:AA, ROW()-COUNTIF($F$6:INDEX($F:$F, ROW()-1), $F181)) : INDEX(AA:AA, ROW()-1)),
   AVERAGEIFS(
     INDEX((unit_details[Asking Rent],unit_details[Asking PSF]),0,1,IF($U$3="Chunk Rent",1,2)),
     unit_details[Leased Date],"&gt;="&amp;($AM$2-X$5),
     unit_details[Leased Date],"&lt;"&amp;$AM$2,
     unit_details[Beds],$L182,
     unit_details[Baths],$M182,
     unit_details[Partial Baths],IF(ISNUMBER($N182),$N182,""),
     unit_details[Sqft],$P182,
     unit_details[Property Name],$F182)
 ),"")</f>
        <v/>
      </c>
      <c r="Y182" s="552" t="str">
        <f>IFERROR(
 IF($F182="Total",
   SUMPRODUCT(
   INDEX(Y:Y, ROW()-COUNTIF($F$6:INDEX($F:$F, ROW()-1), $F181)) : INDEX(Y:Y, ROW()-1),
   INDEX(AA:AA, ROW()-COUNTIF($F$6:INDEX($F:$F, ROW()-1), $F181)) : INDEX(AA:AA, ROW()-1)
   )
   /SUM(INDEX(AA:AA, ROW()-COUNTIF($F$6:INDEX($F:$F, ROW()-1), $F181)) : INDEX(AA:AA, ROW()-1)),
   AVERAGEIFS(
     INDEX((unit_details[Effective Rent],unit_details[Effective PSF]),0,1,IF($U$3="Chunk Rent",1,2)),
     unit_details[Leased Date],"&gt;="&amp;($AM$2-X$5),
     unit_details[Leased Date],"&lt;"&amp;$AM$2,
     unit_details[Beds],$L182,
     unit_details[Baths],$M182,
     unit_details[Partial Baths],IF(ISNUMBER($N182),$N182,""),
     unit_details[Sqft],$P182,
     unit_details[Property Name],$F182)
 ),"")</f>
        <v/>
      </c>
      <c r="Z182" s="27" t="str">
        <f t="shared" si="33"/>
        <v/>
      </c>
      <c r="AA182" s="526">
        <f>IFERROR(
  IF($F182="Total",
    SUM(INDEX(AA:AA, ROW()-COUNTIF($F$6:INDEX($F:$F, ROW()-1), $F181)) : INDEX(AA:AA, ROW()-1)),
    COUNTIFS(
      unit_details[Leased Date], "&gt;="&amp;($AM$2-X$5),
      unit_details[Leased Date], "&lt;"&amp;$AM$2,
      unit_details[Beds], $L182,
      unit_details[Baths], $M182,
      unit_details[Partial Baths], IF(ISNUMBER($N182), $N182, ""),
      unit_details[Sqft],$P182,
      unit_details[Property Name], $F182
    )
  ),
"")</f>
        <v>0</v>
      </c>
      <c r="AB182" s="290">
        <f>IF($F182="Total",
SUM(INDEX(AB:AB, ROW()-COUNTIF($F$6:INDEX($F:$F, ROW()-1), $F181)) : INDEX(AB:AB, ROW()-1)),
COUNTIFS(unit_details[Active Listing?],TRUE,
          unit_details[Property Name], $F182,
          unit_details[Beds], $L182,
          unit_details[Baths], $M182,
          unit_details[Partial Baths],IF(ISNUMBER($N182),$N182,""),
          unit_details[Sqft],$P182))</f>
        <v>0</v>
      </c>
      <c r="AC182" s="27" t="str">
        <f t="shared" si="25"/>
        <v/>
      </c>
      <c r="AD182" s="293" t="str">
        <f>IFERROR(IF(AE182="","",IF($F182="Total",
SUMPRODUCT(
   INDEX(AD:AD, ROW()-COUNTIF($F$6:INDEX($F:$F, ROW()-1), $F181)) : INDEX(AD:AD, ROW()-1),
   INDEX(AB:AB, ROW()-COUNTIF($F$6:INDEX($F:$F, ROW()-1), $F181)) : INDEX(AB:AB, ROW()-1)
   )
   /SUM(INDEX(AB:AB, ROW()-COUNTIF($F$6:INDEX($F:$F, ROW()-1), $F181)) : INDEX(AB:AB, ROW()-1)),
          _xlfn.MINIFS(unit_details[Asking Rent],
          unit_details[Active Listing?],TRUE,
          unit_details[Property Name], $F182,
          unit_details[Beds], $L182,
          unit_details[Baths], $M182,
          unit_details[Partial Baths], IF(ISNUMBER($N182),$N182,""),
          unit_details[Sqft],$P182
))),"")</f>
        <v/>
      </c>
      <c r="AE182" s="5" t="str">
        <f>IFERROR(IF($F182="Total",
          SUMPRODUCT(
   INDEX(AE:AE, ROW()-COUNTIF($F$6:INDEX($F:$F, ROW()-1), $F181)) : INDEX(AE:AE, ROW()-1),
   INDEX(AB:AB, ROW()-COUNTIF($F$6:INDEX($F:$F, ROW()-1), $F181)) : INDEX(AB:AB, ROW()-1)
   )
   /SUM(INDEX(AB:AB, ROW()-COUNTIF($F$6:INDEX($F:$F, ROW()-1), $F181)) : INDEX(AB:AB, ROW()-1)),
          AVERAGEIFS(unit_details[Asking Rent],
          unit_details[Active Listing?],TRUE,
          unit_details[Property Name], $F182,
          unit_details[Beds], $L182,
          unit_details[Baths], $M182,
          unit_details[Partial Baths], IF(ISNUMBER($N182),$N182,""),
          unit_details[Sqft],$P182
)),"")</f>
        <v/>
      </c>
      <c r="AF182" s="5" t="str">
        <f>IFERROR(IF(AE182="","",IF($F182="Total",
SUMPRODUCT(
   INDEX(AF:AF, ROW()-COUNTIF($F$6:INDEX($F:$F, ROW()-1), $F181)) : INDEX(AF:AF, ROW()-1),
   INDEX(AB:AB, ROW()-COUNTIF($F$6:INDEX($F:$F, ROW()-1), $F181)) : INDEX(AB:AB, ROW()-1)
   )
   /SUM(INDEX(AB:AB, ROW()-COUNTIF($F$6:INDEX($F:$F, ROW()-1), $F181)) : INDEX(AB:AB, ROW()-1)),
           _xlfn.MAXIFS(unit_details[Asking Rent],
          unit_details[Active Listing?],TRUE,
          unit_details[Property Name], $F182,
          unit_details[Beds], $L182,
          unit_details[Baths], $M182,
          unit_details[Partial Baths], IF(ISNUMBER($N182),$N182,""),
          unit_details[Sqft],$P182
))),"")</f>
        <v/>
      </c>
      <c r="AG182" s="6" t="str">
        <f>IFERROR(IF($F182="Total",
         SUMPRODUCT(
         INDEX(AG:AG, ROW()-COUNTIF($F$6:INDEX($F:$F, ROW()-1), $F181)) : INDEX(AG:AG, ROW()-1),
         INDEX(AB:AB, ROW()-COUNTIF($F$6:INDEX($F:$F, ROW()-1), $F181)) : INDEX(AB:AB, ROW()-1)
         )
         /SUM(INDEX(AB:AB, ROW()-COUNTIF($F$6:INDEX($F:$F, ROW()-1), $F181)) : INDEX(AB:AB, ROW()-1)),
          AVERAGEIFS(unit_details[Asking PSF],
          unit_details[Active Listing?],TRUE,
          unit_details[Property Name], $F182,
          unit_details[Beds], $L182,
          unit_details[Baths], $M182,
          unit_details[Partial Baths], IF(ISNUMBER($N182),$N182,""),
          unit_details[Sqft],$P182
)),"")</f>
        <v/>
      </c>
      <c r="AH182" s="293" t="str">
        <f>IFERROR(IF($F182="Total",
         SUMPRODUCT(
         INDEX(AH:AH, ROW()-COUNTIF($F$6:INDEX($F:$F, ROW()-1), $F181)) : INDEX(AH:AH, ROW()-1),
         INDEX(AB:AB, ROW()-COUNTIF($F$6:INDEX($F:$F, ROW()-1), $F181)) : INDEX(AB:AB, ROW()-1)
         )
         /SUM(INDEX(AB:AB, ROW()-COUNTIF($F$6:INDEX($F:$F, ROW()-1), $F181)) : INDEX(AB:AB, ROW()-1)),
          AVERAGEIFS(unit_details[Effective Rent],
          unit_details[Active Listing?],TRUE,
          unit_details[Property Name], $F182,
          unit_details[Beds], $L182,
          unit_details[Baths], $M182,
          unit_details[Partial Baths], IF(ISNUMBER($N182),$N182,""),
          unit_details[Sqft],$P182
)),"")</f>
        <v/>
      </c>
      <c r="AI182" s="6" t="str">
        <f>IFERROR(IF($F182="Total",
         SUMPRODUCT(
         INDEX(AI:AI, ROW()-COUNTIF($F$6:INDEX($F:$F, ROW()-1), $F181)) : INDEX(AI:AI, ROW()-1),
         INDEX(AB:AB, ROW()-COUNTIF($F$6:INDEX($F:$F, ROW()-1), $F181)) : INDEX(AB:AB, ROW()-1)
         )
         /SUM(INDEX(AB:AB, ROW()-COUNTIF($F$6:INDEX($F:$F, ROW()-1), $F181)) : INDEX(AB:AB, ROW()-1)),
           AVERAGEIFS(unit_details[Effective PSF],
          unit_details[Active Listing?],TRUE,
          unit_details[Property Name], $F182,
          unit_details[Beds], $L182,
          unit_details[Baths], $M182,
          unit_details[Partial Baths], IF(ISNUMBER($N182),$N182,""),
          unit_details[Sqft],$P182
)),"")</f>
        <v/>
      </c>
      <c r="AJ182" s="824" t="str">
        <f t="shared" si="26"/>
        <v/>
      </c>
      <c r="AK182" s="531" t="str">
        <f t="shared" si="27"/>
        <v/>
      </c>
      <c r="AL182" s="714" t="str">
        <f t="shared" si="28"/>
        <v/>
      </c>
      <c r="AM182" s="531" t="str">
        <f t="shared" si="29"/>
        <v/>
      </c>
      <c r="AN182" s="716" t="str">
        <f t="shared" si="30"/>
        <v/>
      </c>
    </row>
    <row r="183" spans="6:40" x14ac:dyDescent="0.2">
      <c r="F183" s="1" t="str">
        <f t="shared" si="23"/>
        <v/>
      </c>
      <c r="G183" s="713" t="str">
        <f t="shared" si="31"/>
        <v/>
      </c>
      <c r="H183" s="17" t="str">
        <f>IFERROR(VLOOKUP($G183,Table1[[Property]:[Exposure %]],4,0),"")</f>
        <v/>
      </c>
      <c r="I183" s="3" t="str">
        <f>IFERROR(VLOOKUP($G183,Table1[[Property]:[Exposure %]],6,0),"")</f>
        <v/>
      </c>
      <c r="J183" s="3" t="str">
        <f>IFERROR(VLOOKUP($G183,Table1[[Property]:[Exposure %]],7,0),"")</f>
        <v/>
      </c>
      <c r="K183"/>
      <c r="L183"/>
      <c r="M183"/>
      <c r="N183"/>
      <c r="O183"/>
      <c r="P183"/>
      <c r="Q183"/>
      <c r="R183" s="4" t="str">
        <f>IFERROR(VLOOKUP(IF(F183="Total",F182,F183),Table1[[Property]:['# Units]],7,0)*S183,"")</f>
        <v/>
      </c>
      <c r="S183" s="27" t="str">
        <f t="shared" si="24"/>
        <v/>
      </c>
      <c r="T183" s="531" t="str">
        <f>IFERROR(
 IF($F183="Total",
   SUMPRODUCT(
   INDEX(T:T, ROW()-COUNTIF($F$6:INDEX($F:$F, ROW()-1), $F182)) : INDEX(T:T, ROW()-1),
   INDEX(W:W, ROW()-COUNTIF($F$6:INDEX($F:$F, ROW()-1), $F182)) : INDEX(W:W, ROW()-1)
   )
   /SUM(INDEX(W:W, ROW()-COUNTIF($F$6:INDEX($F:$F, ROW()-1), $F182)) : INDEX(W:W, ROW()-1)),
   AVERAGEIFS(
     INDEX((unit_details[Asking Rent],unit_details[Asking PSF]),0,1,IF($U$3="Chunk Rent",1,2)),
     unit_details[Leased Date],"&gt;="&amp;($AM$2-T$5),
     unit_details[Leased Date],"&lt;"&amp;$AM$2,
     unit_details[Beds],$L183,
     unit_details[Baths],$M183,
     unit_details[Partial Baths],IF(ISNUMBER($N183),$N183,""),
     unit_details[Sqft],$P183,
     unit_details[Property Name],$F183)
 ),"")</f>
        <v/>
      </c>
      <c r="U183" s="552" t="str">
        <f>IFERROR(
 IF($F183="Total",
   SUMPRODUCT(
   INDEX(U:U, ROW()-COUNTIF($F$6:INDEX($F:$F, ROW()-1), $F182)) : INDEX(U:U, ROW()-1),
   INDEX(W:W, ROW()-COUNTIF($F$6:INDEX($F:$F, ROW()-1), $F182)) : INDEX(W:W, ROW()-1)
   )
   /SUM(INDEX(W:W, ROW()-COUNTIF($F$6:INDEX($F:$F, ROW()-1), $F182)) : INDEX(W:W, ROW()-1)),
   AVERAGEIFS(
     INDEX((unit_details[Effective Rent],unit_details[Effective PSF]),0,1,IF($U$3="Chunk Rent",1,2)),
     unit_details[Leased Date],"&gt;="&amp;($AM$2-T$5),
     unit_details[Leased Date],"&lt;"&amp;$AM$2,
     unit_details[Beds],$L183,
     unit_details[Baths],$M183,
     unit_details[Partial Baths],IF(ISNUMBER($N183),$N183,""),
     unit_details[Sqft],$P183,
     unit_details[Property Name],$F183)
 ),"")</f>
        <v/>
      </c>
      <c r="V183" s="27" t="str">
        <f t="shared" si="32"/>
        <v/>
      </c>
      <c r="W183" s="526">
        <f>IFERROR(
  IF($F183="Total",
    SUM(INDEX(W:W, ROW()-COUNTIF($F$6:INDEX($F:$F, ROW()-1), $F182)) : INDEX(W:W, ROW()-1)),
    COUNTIFS(
      unit_details[Leased Date], "&gt;="&amp;($AM$2-T$5),
      unit_details[Leased Date], "&lt;"&amp;$AM$2,
      unit_details[Beds], $L183,
      unit_details[Baths], $M183,
      unit_details[Partial Baths], IF(ISNUMBER($N183), $N183, ""),
      unit_details[Sqft],$P183,
      unit_details[Property Name], $F183
    )
  ),
"")</f>
        <v>0</v>
      </c>
      <c r="X183" s="531" t="str">
        <f>IFERROR(
 IF($F183="Total",
   SUMPRODUCT(
   INDEX(X:X, ROW()-COUNTIF($F$6:INDEX($F:$F, ROW()-1), $F182)) : INDEX(X:X, ROW()-1),
   INDEX(AA:AA, ROW()-COUNTIF($F$6:INDEX($F:$F, ROW()-1), $F182)) : INDEX(AA:AA, ROW()-1)
   )
   /SUM(INDEX(AA:AA, ROW()-COUNTIF($F$6:INDEX($F:$F, ROW()-1), $F182)) : INDEX(AA:AA, ROW()-1)),
   AVERAGEIFS(
     INDEX((unit_details[Asking Rent],unit_details[Asking PSF]),0,1,IF($U$3="Chunk Rent",1,2)),
     unit_details[Leased Date],"&gt;="&amp;($AM$2-X$5),
     unit_details[Leased Date],"&lt;"&amp;$AM$2,
     unit_details[Beds],$L183,
     unit_details[Baths],$M183,
     unit_details[Partial Baths],IF(ISNUMBER($N183),$N183,""),
     unit_details[Sqft],$P183,
     unit_details[Property Name],$F183)
 ),"")</f>
        <v/>
      </c>
      <c r="Y183" s="552" t="str">
        <f>IFERROR(
 IF($F183="Total",
   SUMPRODUCT(
   INDEX(Y:Y, ROW()-COUNTIF($F$6:INDEX($F:$F, ROW()-1), $F182)) : INDEX(Y:Y, ROW()-1),
   INDEX(AA:AA, ROW()-COUNTIF($F$6:INDEX($F:$F, ROW()-1), $F182)) : INDEX(AA:AA, ROW()-1)
   )
   /SUM(INDEX(AA:AA, ROW()-COUNTIF($F$6:INDEX($F:$F, ROW()-1), $F182)) : INDEX(AA:AA, ROW()-1)),
   AVERAGEIFS(
     INDEX((unit_details[Effective Rent],unit_details[Effective PSF]),0,1,IF($U$3="Chunk Rent",1,2)),
     unit_details[Leased Date],"&gt;="&amp;($AM$2-X$5),
     unit_details[Leased Date],"&lt;"&amp;$AM$2,
     unit_details[Beds],$L183,
     unit_details[Baths],$M183,
     unit_details[Partial Baths],IF(ISNUMBER($N183),$N183,""),
     unit_details[Sqft],$P183,
     unit_details[Property Name],$F183)
 ),"")</f>
        <v/>
      </c>
      <c r="Z183" s="27" t="str">
        <f t="shared" si="33"/>
        <v/>
      </c>
      <c r="AA183" s="526">
        <f>IFERROR(
  IF($F183="Total",
    SUM(INDEX(AA:AA, ROW()-COUNTIF($F$6:INDEX($F:$F, ROW()-1), $F182)) : INDEX(AA:AA, ROW()-1)),
    COUNTIFS(
      unit_details[Leased Date], "&gt;="&amp;($AM$2-X$5),
      unit_details[Leased Date], "&lt;"&amp;$AM$2,
      unit_details[Beds], $L183,
      unit_details[Baths], $M183,
      unit_details[Partial Baths], IF(ISNUMBER($N183), $N183, ""),
      unit_details[Sqft],$P183,
      unit_details[Property Name], $F183
    )
  ),
"")</f>
        <v>0</v>
      </c>
      <c r="AB183" s="290">
        <f>IF($F183="Total",
SUM(INDEX(AB:AB, ROW()-COUNTIF($F$6:INDEX($F:$F, ROW()-1), $F182)) : INDEX(AB:AB, ROW()-1)),
COUNTIFS(unit_details[Active Listing?],TRUE,
          unit_details[Property Name], $F183,
          unit_details[Beds], $L183,
          unit_details[Baths], $M183,
          unit_details[Partial Baths],IF(ISNUMBER($N183),$N183,""),
          unit_details[Sqft],$P183))</f>
        <v>0</v>
      </c>
      <c r="AC183" s="27" t="str">
        <f t="shared" si="25"/>
        <v/>
      </c>
      <c r="AD183" s="293" t="str">
        <f>IFERROR(IF(AE183="","",IF($F183="Total",
SUMPRODUCT(
   INDEX(AD:AD, ROW()-COUNTIF($F$6:INDEX($F:$F, ROW()-1), $F182)) : INDEX(AD:AD, ROW()-1),
   INDEX(AB:AB, ROW()-COUNTIF($F$6:INDEX($F:$F, ROW()-1), $F182)) : INDEX(AB:AB, ROW()-1)
   )
   /SUM(INDEX(AB:AB, ROW()-COUNTIF($F$6:INDEX($F:$F, ROW()-1), $F182)) : INDEX(AB:AB, ROW()-1)),
          _xlfn.MINIFS(unit_details[Asking Rent],
          unit_details[Active Listing?],TRUE,
          unit_details[Property Name], $F183,
          unit_details[Beds], $L183,
          unit_details[Baths], $M183,
          unit_details[Partial Baths], IF(ISNUMBER($N183),$N183,""),
          unit_details[Sqft],$P183
))),"")</f>
        <v/>
      </c>
      <c r="AE183" s="5" t="str">
        <f>IFERROR(IF($F183="Total",
          SUMPRODUCT(
   INDEX(AE:AE, ROW()-COUNTIF($F$6:INDEX($F:$F, ROW()-1), $F182)) : INDEX(AE:AE, ROW()-1),
   INDEX(AB:AB, ROW()-COUNTIF($F$6:INDEX($F:$F, ROW()-1), $F182)) : INDEX(AB:AB, ROW()-1)
   )
   /SUM(INDEX(AB:AB, ROW()-COUNTIF($F$6:INDEX($F:$F, ROW()-1), $F182)) : INDEX(AB:AB, ROW()-1)),
          AVERAGEIFS(unit_details[Asking Rent],
          unit_details[Active Listing?],TRUE,
          unit_details[Property Name], $F183,
          unit_details[Beds], $L183,
          unit_details[Baths], $M183,
          unit_details[Partial Baths], IF(ISNUMBER($N183),$N183,""),
          unit_details[Sqft],$P183
)),"")</f>
        <v/>
      </c>
      <c r="AF183" s="5" t="str">
        <f>IFERROR(IF(AE183="","",IF($F183="Total",
SUMPRODUCT(
   INDEX(AF:AF, ROW()-COUNTIF($F$6:INDEX($F:$F, ROW()-1), $F182)) : INDEX(AF:AF, ROW()-1),
   INDEX(AB:AB, ROW()-COUNTIF($F$6:INDEX($F:$F, ROW()-1), $F182)) : INDEX(AB:AB, ROW()-1)
   )
   /SUM(INDEX(AB:AB, ROW()-COUNTIF($F$6:INDEX($F:$F, ROW()-1), $F182)) : INDEX(AB:AB, ROW()-1)),
           _xlfn.MAXIFS(unit_details[Asking Rent],
          unit_details[Active Listing?],TRUE,
          unit_details[Property Name], $F183,
          unit_details[Beds], $L183,
          unit_details[Baths], $M183,
          unit_details[Partial Baths], IF(ISNUMBER($N183),$N183,""),
          unit_details[Sqft],$P183
))),"")</f>
        <v/>
      </c>
      <c r="AG183" s="6" t="str">
        <f>IFERROR(IF($F183="Total",
         SUMPRODUCT(
         INDEX(AG:AG, ROW()-COUNTIF($F$6:INDEX($F:$F, ROW()-1), $F182)) : INDEX(AG:AG, ROW()-1),
         INDEX(AB:AB, ROW()-COUNTIF($F$6:INDEX($F:$F, ROW()-1), $F182)) : INDEX(AB:AB, ROW()-1)
         )
         /SUM(INDEX(AB:AB, ROW()-COUNTIF($F$6:INDEX($F:$F, ROW()-1), $F182)) : INDEX(AB:AB, ROW()-1)),
          AVERAGEIFS(unit_details[Asking PSF],
          unit_details[Active Listing?],TRUE,
          unit_details[Property Name], $F183,
          unit_details[Beds], $L183,
          unit_details[Baths], $M183,
          unit_details[Partial Baths], IF(ISNUMBER($N183),$N183,""),
          unit_details[Sqft],$P183
)),"")</f>
        <v/>
      </c>
      <c r="AH183" s="293" t="str">
        <f>IFERROR(IF($F183="Total",
         SUMPRODUCT(
         INDEX(AH:AH, ROW()-COUNTIF($F$6:INDEX($F:$F, ROW()-1), $F182)) : INDEX(AH:AH, ROW()-1),
         INDEX(AB:AB, ROW()-COUNTIF($F$6:INDEX($F:$F, ROW()-1), $F182)) : INDEX(AB:AB, ROW()-1)
         )
         /SUM(INDEX(AB:AB, ROW()-COUNTIF($F$6:INDEX($F:$F, ROW()-1), $F182)) : INDEX(AB:AB, ROW()-1)),
          AVERAGEIFS(unit_details[Effective Rent],
          unit_details[Active Listing?],TRUE,
          unit_details[Property Name], $F183,
          unit_details[Beds], $L183,
          unit_details[Baths], $M183,
          unit_details[Partial Baths], IF(ISNUMBER($N183),$N183,""),
          unit_details[Sqft],$P183
)),"")</f>
        <v/>
      </c>
      <c r="AI183" s="6" t="str">
        <f>IFERROR(IF($F183="Total",
         SUMPRODUCT(
         INDEX(AI:AI, ROW()-COUNTIF($F$6:INDEX($F:$F, ROW()-1), $F182)) : INDEX(AI:AI, ROW()-1),
         INDEX(AB:AB, ROW()-COUNTIF($F$6:INDEX($F:$F, ROW()-1), $F182)) : INDEX(AB:AB, ROW()-1)
         )
         /SUM(INDEX(AB:AB, ROW()-COUNTIF($F$6:INDEX($F:$F, ROW()-1), $F182)) : INDEX(AB:AB, ROW()-1)),
           AVERAGEIFS(unit_details[Effective PSF],
          unit_details[Active Listing?],TRUE,
          unit_details[Property Name], $F183,
          unit_details[Beds], $L183,
          unit_details[Baths], $M183,
          unit_details[Partial Baths], IF(ISNUMBER($N183),$N183,""),
          unit_details[Sqft],$P183
)),"")</f>
        <v/>
      </c>
      <c r="AJ183" s="824" t="str">
        <f t="shared" si="26"/>
        <v/>
      </c>
      <c r="AK183" s="531" t="str">
        <f t="shared" si="27"/>
        <v/>
      </c>
      <c r="AL183" s="714" t="str">
        <f t="shared" si="28"/>
        <v/>
      </c>
      <c r="AM183" s="531" t="str">
        <f t="shared" si="29"/>
        <v/>
      </c>
      <c r="AN183" s="716" t="str">
        <f t="shared" si="30"/>
        <v/>
      </c>
    </row>
    <row r="184" spans="6:40" x14ac:dyDescent="0.2">
      <c r="F184" s="1" t="str">
        <f t="shared" si="23"/>
        <v/>
      </c>
      <c r="G184" s="713" t="str">
        <f t="shared" si="31"/>
        <v/>
      </c>
      <c r="H184" s="17" t="str">
        <f>IFERROR(VLOOKUP($G184,Table1[[Property]:[Exposure %]],4,0),"")</f>
        <v/>
      </c>
      <c r="I184" s="3" t="str">
        <f>IFERROR(VLOOKUP($G184,Table1[[Property]:[Exposure %]],6,0),"")</f>
        <v/>
      </c>
      <c r="J184" s="3" t="str">
        <f>IFERROR(VLOOKUP($G184,Table1[[Property]:[Exposure %]],7,0),"")</f>
        <v/>
      </c>
      <c r="K184"/>
      <c r="L184"/>
      <c r="M184"/>
      <c r="N184"/>
      <c r="O184"/>
      <c r="P184"/>
      <c r="Q184"/>
      <c r="R184" s="4" t="str">
        <f>IFERROR(VLOOKUP(IF(F184="Total",F183,F184),Table1[[Property]:['# Units]],7,0)*S184,"")</f>
        <v/>
      </c>
      <c r="S184" s="27" t="str">
        <f t="shared" si="24"/>
        <v/>
      </c>
      <c r="T184" s="531" t="str">
        <f>IFERROR(
 IF($F184="Total",
   SUMPRODUCT(
   INDEX(T:T, ROW()-COUNTIF($F$6:INDEX($F:$F, ROW()-1), $F183)) : INDEX(T:T, ROW()-1),
   INDEX(W:W, ROW()-COUNTIF($F$6:INDEX($F:$F, ROW()-1), $F183)) : INDEX(W:W, ROW()-1)
   )
   /SUM(INDEX(W:W, ROW()-COUNTIF($F$6:INDEX($F:$F, ROW()-1), $F183)) : INDEX(W:W, ROW()-1)),
   AVERAGEIFS(
     INDEX((unit_details[Asking Rent],unit_details[Asking PSF]),0,1,IF($U$3="Chunk Rent",1,2)),
     unit_details[Leased Date],"&gt;="&amp;($AM$2-T$5),
     unit_details[Leased Date],"&lt;"&amp;$AM$2,
     unit_details[Beds],$L184,
     unit_details[Baths],$M184,
     unit_details[Partial Baths],IF(ISNUMBER($N184),$N184,""),
     unit_details[Sqft],$P184,
     unit_details[Property Name],$F184)
 ),"")</f>
        <v/>
      </c>
      <c r="U184" s="552" t="str">
        <f>IFERROR(
 IF($F184="Total",
   SUMPRODUCT(
   INDEX(U:U, ROW()-COUNTIF($F$6:INDEX($F:$F, ROW()-1), $F183)) : INDEX(U:U, ROW()-1),
   INDEX(W:W, ROW()-COUNTIF($F$6:INDEX($F:$F, ROW()-1), $F183)) : INDEX(W:W, ROW()-1)
   )
   /SUM(INDEX(W:W, ROW()-COUNTIF($F$6:INDEX($F:$F, ROW()-1), $F183)) : INDEX(W:W, ROW()-1)),
   AVERAGEIFS(
     INDEX((unit_details[Effective Rent],unit_details[Effective PSF]),0,1,IF($U$3="Chunk Rent",1,2)),
     unit_details[Leased Date],"&gt;="&amp;($AM$2-T$5),
     unit_details[Leased Date],"&lt;"&amp;$AM$2,
     unit_details[Beds],$L184,
     unit_details[Baths],$M184,
     unit_details[Partial Baths],IF(ISNUMBER($N184),$N184,""),
     unit_details[Sqft],$P184,
     unit_details[Property Name],$F184)
 ),"")</f>
        <v/>
      </c>
      <c r="V184" s="27" t="str">
        <f t="shared" si="32"/>
        <v/>
      </c>
      <c r="W184" s="526">
        <f>IFERROR(
  IF($F184="Total",
    SUM(INDEX(W:W, ROW()-COUNTIF($F$6:INDEX($F:$F, ROW()-1), $F183)) : INDEX(W:W, ROW()-1)),
    COUNTIFS(
      unit_details[Leased Date], "&gt;="&amp;($AM$2-T$5),
      unit_details[Leased Date], "&lt;"&amp;$AM$2,
      unit_details[Beds], $L184,
      unit_details[Baths], $M184,
      unit_details[Partial Baths], IF(ISNUMBER($N184), $N184, ""),
      unit_details[Sqft],$P184,
      unit_details[Property Name], $F184
    )
  ),
"")</f>
        <v>0</v>
      </c>
      <c r="X184" s="531" t="str">
        <f>IFERROR(
 IF($F184="Total",
   SUMPRODUCT(
   INDEX(X:X, ROW()-COUNTIF($F$6:INDEX($F:$F, ROW()-1), $F183)) : INDEX(X:X, ROW()-1),
   INDEX(AA:AA, ROW()-COUNTIF($F$6:INDEX($F:$F, ROW()-1), $F183)) : INDEX(AA:AA, ROW()-1)
   )
   /SUM(INDEX(AA:AA, ROW()-COUNTIF($F$6:INDEX($F:$F, ROW()-1), $F183)) : INDEX(AA:AA, ROW()-1)),
   AVERAGEIFS(
     INDEX((unit_details[Asking Rent],unit_details[Asking PSF]),0,1,IF($U$3="Chunk Rent",1,2)),
     unit_details[Leased Date],"&gt;="&amp;($AM$2-X$5),
     unit_details[Leased Date],"&lt;"&amp;$AM$2,
     unit_details[Beds],$L184,
     unit_details[Baths],$M184,
     unit_details[Partial Baths],IF(ISNUMBER($N184),$N184,""),
     unit_details[Sqft],$P184,
     unit_details[Property Name],$F184)
 ),"")</f>
        <v/>
      </c>
      <c r="Y184" s="552" t="str">
        <f>IFERROR(
 IF($F184="Total",
   SUMPRODUCT(
   INDEX(Y:Y, ROW()-COUNTIF($F$6:INDEX($F:$F, ROW()-1), $F183)) : INDEX(Y:Y, ROW()-1),
   INDEX(AA:AA, ROW()-COUNTIF($F$6:INDEX($F:$F, ROW()-1), $F183)) : INDEX(AA:AA, ROW()-1)
   )
   /SUM(INDEX(AA:AA, ROW()-COUNTIF($F$6:INDEX($F:$F, ROW()-1), $F183)) : INDEX(AA:AA, ROW()-1)),
   AVERAGEIFS(
     INDEX((unit_details[Effective Rent],unit_details[Effective PSF]),0,1,IF($U$3="Chunk Rent",1,2)),
     unit_details[Leased Date],"&gt;="&amp;($AM$2-X$5),
     unit_details[Leased Date],"&lt;"&amp;$AM$2,
     unit_details[Beds],$L184,
     unit_details[Baths],$M184,
     unit_details[Partial Baths],IF(ISNUMBER($N184),$N184,""),
     unit_details[Sqft],$P184,
     unit_details[Property Name],$F184)
 ),"")</f>
        <v/>
      </c>
      <c r="Z184" s="27" t="str">
        <f t="shared" si="33"/>
        <v/>
      </c>
      <c r="AA184" s="526">
        <f>IFERROR(
  IF($F184="Total",
    SUM(INDEX(AA:AA, ROW()-COUNTIF($F$6:INDEX($F:$F, ROW()-1), $F183)) : INDEX(AA:AA, ROW()-1)),
    COUNTIFS(
      unit_details[Leased Date], "&gt;="&amp;($AM$2-X$5),
      unit_details[Leased Date], "&lt;"&amp;$AM$2,
      unit_details[Beds], $L184,
      unit_details[Baths], $M184,
      unit_details[Partial Baths], IF(ISNUMBER($N184), $N184, ""),
      unit_details[Sqft],$P184,
      unit_details[Property Name], $F184
    )
  ),
"")</f>
        <v>0</v>
      </c>
      <c r="AB184" s="290">
        <f>IF($F184="Total",
SUM(INDEX(AB:AB, ROW()-COUNTIF($F$6:INDEX($F:$F, ROW()-1), $F183)) : INDEX(AB:AB, ROW()-1)),
COUNTIFS(unit_details[Active Listing?],TRUE,
          unit_details[Property Name], $F184,
          unit_details[Beds], $L184,
          unit_details[Baths], $M184,
          unit_details[Partial Baths],IF(ISNUMBER($N184),$N184,""),
          unit_details[Sqft],$P184))</f>
        <v>0</v>
      </c>
      <c r="AC184" s="27" t="str">
        <f t="shared" si="25"/>
        <v/>
      </c>
      <c r="AD184" s="293" t="str">
        <f>IFERROR(IF(AE184="","",IF($F184="Total",
SUMPRODUCT(
   INDEX(AD:AD, ROW()-COUNTIF($F$6:INDEX($F:$F, ROW()-1), $F183)) : INDEX(AD:AD, ROW()-1),
   INDEX(AB:AB, ROW()-COUNTIF($F$6:INDEX($F:$F, ROW()-1), $F183)) : INDEX(AB:AB, ROW()-1)
   )
   /SUM(INDEX(AB:AB, ROW()-COUNTIF($F$6:INDEX($F:$F, ROW()-1), $F183)) : INDEX(AB:AB, ROW()-1)),
          _xlfn.MINIFS(unit_details[Asking Rent],
          unit_details[Active Listing?],TRUE,
          unit_details[Property Name], $F184,
          unit_details[Beds], $L184,
          unit_details[Baths], $M184,
          unit_details[Partial Baths], IF(ISNUMBER($N184),$N184,""),
          unit_details[Sqft],$P184
))),"")</f>
        <v/>
      </c>
      <c r="AE184" s="5" t="str">
        <f>IFERROR(IF($F184="Total",
          SUMPRODUCT(
   INDEX(AE:AE, ROW()-COUNTIF($F$6:INDEX($F:$F, ROW()-1), $F183)) : INDEX(AE:AE, ROW()-1),
   INDEX(AB:AB, ROW()-COUNTIF($F$6:INDEX($F:$F, ROW()-1), $F183)) : INDEX(AB:AB, ROW()-1)
   )
   /SUM(INDEX(AB:AB, ROW()-COUNTIF($F$6:INDEX($F:$F, ROW()-1), $F183)) : INDEX(AB:AB, ROW()-1)),
          AVERAGEIFS(unit_details[Asking Rent],
          unit_details[Active Listing?],TRUE,
          unit_details[Property Name], $F184,
          unit_details[Beds], $L184,
          unit_details[Baths], $M184,
          unit_details[Partial Baths], IF(ISNUMBER($N184),$N184,""),
          unit_details[Sqft],$P184
)),"")</f>
        <v/>
      </c>
      <c r="AF184" s="5" t="str">
        <f>IFERROR(IF(AE184="","",IF($F184="Total",
SUMPRODUCT(
   INDEX(AF:AF, ROW()-COUNTIF($F$6:INDEX($F:$F, ROW()-1), $F183)) : INDEX(AF:AF, ROW()-1),
   INDEX(AB:AB, ROW()-COUNTIF($F$6:INDEX($F:$F, ROW()-1), $F183)) : INDEX(AB:AB, ROW()-1)
   )
   /SUM(INDEX(AB:AB, ROW()-COUNTIF($F$6:INDEX($F:$F, ROW()-1), $F183)) : INDEX(AB:AB, ROW()-1)),
           _xlfn.MAXIFS(unit_details[Asking Rent],
          unit_details[Active Listing?],TRUE,
          unit_details[Property Name], $F184,
          unit_details[Beds], $L184,
          unit_details[Baths], $M184,
          unit_details[Partial Baths], IF(ISNUMBER($N184),$N184,""),
          unit_details[Sqft],$P184
))),"")</f>
        <v/>
      </c>
      <c r="AG184" s="6" t="str">
        <f>IFERROR(IF($F184="Total",
         SUMPRODUCT(
         INDEX(AG:AG, ROW()-COUNTIF($F$6:INDEX($F:$F, ROW()-1), $F183)) : INDEX(AG:AG, ROW()-1),
         INDEX(AB:AB, ROW()-COUNTIF($F$6:INDEX($F:$F, ROW()-1), $F183)) : INDEX(AB:AB, ROW()-1)
         )
         /SUM(INDEX(AB:AB, ROW()-COUNTIF($F$6:INDEX($F:$F, ROW()-1), $F183)) : INDEX(AB:AB, ROW()-1)),
          AVERAGEIFS(unit_details[Asking PSF],
          unit_details[Active Listing?],TRUE,
          unit_details[Property Name], $F184,
          unit_details[Beds], $L184,
          unit_details[Baths], $M184,
          unit_details[Partial Baths], IF(ISNUMBER($N184),$N184,""),
          unit_details[Sqft],$P184
)),"")</f>
        <v/>
      </c>
      <c r="AH184" s="293" t="str">
        <f>IFERROR(IF($F184="Total",
         SUMPRODUCT(
         INDEX(AH:AH, ROW()-COUNTIF($F$6:INDEX($F:$F, ROW()-1), $F183)) : INDEX(AH:AH, ROW()-1),
         INDEX(AB:AB, ROW()-COUNTIF($F$6:INDEX($F:$F, ROW()-1), $F183)) : INDEX(AB:AB, ROW()-1)
         )
         /SUM(INDEX(AB:AB, ROW()-COUNTIF($F$6:INDEX($F:$F, ROW()-1), $F183)) : INDEX(AB:AB, ROW()-1)),
          AVERAGEIFS(unit_details[Effective Rent],
          unit_details[Active Listing?],TRUE,
          unit_details[Property Name], $F184,
          unit_details[Beds], $L184,
          unit_details[Baths], $M184,
          unit_details[Partial Baths], IF(ISNUMBER($N184),$N184,""),
          unit_details[Sqft],$P184
)),"")</f>
        <v/>
      </c>
      <c r="AI184" s="6" t="str">
        <f>IFERROR(IF($F184="Total",
         SUMPRODUCT(
         INDEX(AI:AI, ROW()-COUNTIF($F$6:INDEX($F:$F, ROW()-1), $F183)) : INDEX(AI:AI, ROW()-1),
         INDEX(AB:AB, ROW()-COUNTIF($F$6:INDEX($F:$F, ROW()-1), $F183)) : INDEX(AB:AB, ROW()-1)
         )
         /SUM(INDEX(AB:AB, ROW()-COUNTIF($F$6:INDEX($F:$F, ROW()-1), $F183)) : INDEX(AB:AB, ROW()-1)),
           AVERAGEIFS(unit_details[Effective PSF],
          unit_details[Active Listing?],TRUE,
          unit_details[Property Name], $F184,
          unit_details[Beds], $L184,
          unit_details[Baths], $M184,
          unit_details[Partial Baths], IF(ISNUMBER($N184),$N184,""),
          unit_details[Sqft],$P184
)),"")</f>
        <v/>
      </c>
      <c r="AJ184" s="824" t="str">
        <f t="shared" si="26"/>
        <v/>
      </c>
      <c r="AK184" s="531" t="str">
        <f t="shared" si="27"/>
        <v/>
      </c>
      <c r="AL184" s="714" t="str">
        <f t="shared" si="28"/>
        <v/>
      </c>
      <c r="AM184" s="531" t="str">
        <f t="shared" si="29"/>
        <v/>
      </c>
      <c r="AN184" s="716" t="str">
        <f t="shared" si="30"/>
        <v/>
      </c>
    </row>
    <row r="185" spans="6:40" x14ac:dyDescent="0.2">
      <c r="F185" s="1" t="str">
        <f t="shared" si="23"/>
        <v/>
      </c>
      <c r="G185" s="713" t="str">
        <f t="shared" si="31"/>
        <v/>
      </c>
      <c r="H185" s="17" t="str">
        <f>IFERROR(VLOOKUP($G185,Table1[[Property]:[Exposure %]],4,0),"")</f>
        <v/>
      </c>
      <c r="I185" s="3" t="str">
        <f>IFERROR(VLOOKUP($G185,Table1[[Property]:[Exposure %]],6,0),"")</f>
        <v/>
      </c>
      <c r="J185" s="3" t="str">
        <f>IFERROR(VLOOKUP($G185,Table1[[Property]:[Exposure %]],7,0),"")</f>
        <v/>
      </c>
      <c r="K185"/>
      <c r="L185"/>
      <c r="M185"/>
      <c r="N185"/>
      <c r="O185"/>
      <c r="P185"/>
      <c r="Q185"/>
      <c r="R185" s="4" t="str">
        <f>IFERROR(VLOOKUP(IF(F185="Total",F184,F185),Table1[[Property]:['# Units]],7,0)*S185,"")</f>
        <v/>
      </c>
      <c r="S185" s="27" t="str">
        <f t="shared" si="24"/>
        <v/>
      </c>
      <c r="T185" s="531" t="str">
        <f>IFERROR(
 IF($F185="Total",
   SUMPRODUCT(
   INDEX(T:T, ROW()-COUNTIF($F$6:INDEX($F:$F, ROW()-1), $F184)) : INDEX(T:T, ROW()-1),
   INDEX(W:W, ROW()-COUNTIF($F$6:INDEX($F:$F, ROW()-1), $F184)) : INDEX(W:W, ROW()-1)
   )
   /SUM(INDEX(W:W, ROW()-COUNTIF($F$6:INDEX($F:$F, ROW()-1), $F184)) : INDEX(W:W, ROW()-1)),
   AVERAGEIFS(
     INDEX((unit_details[Asking Rent],unit_details[Asking PSF]),0,1,IF($U$3="Chunk Rent",1,2)),
     unit_details[Leased Date],"&gt;="&amp;($AM$2-T$5),
     unit_details[Leased Date],"&lt;"&amp;$AM$2,
     unit_details[Beds],$L185,
     unit_details[Baths],$M185,
     unit_details[Partial Baths],IF(ISNUMBER($N185),$N185,""),
     unit_details[Sqft],$P185,
     unit_details[Property Name],$F185)
 ),"")</f>
        <v/>
      </c>
      <c r="U185" s="552" t="str">
        <f>IFERROR(
 IF($F185="Total",
   SUMPRODUCT(
   INDEX(U:U, ROW()-COUNTIF($F$6:INDEX($F:$F, ROW()-1), $F184)) : INDEX(U:U, ROW()-1),
   INDEX(W:W, ROW()-COUNTIF($F$6:INDEX($F:$F, ROW()-1), $F184)) : INDEX(W:W, ROW()-1)
   )
   /SUM(INDEX(W:W, ROW()-COUNTIF($F$6:INDEX($F:$F, ROW()-1), $F184)) : INDEX(W:W, ROW()-1)),
   AVERAGEIFS(
     INDEX((unit_details[Effective Rent],unit_details[Effective PSF]),0,1,IF($U$3="Chunk Rent",1,2)),
     unit_details[Leased Date],"&gt;="&amp;($AM$2-T$5),
     unit_details[Leased Date],"&lt;"&amp;$AM$2,
     unit_details[Beds],$L185,
     unit_details[Baths],$M185,
     unit_details[Partial Baths],IF(ISNUMBER($N185),$N185,""),
     unit_details[Sqft],$P185,
     unit_details[Property Name],$F185)
 ),"")</f>
        <v/>
      </c>
      <c r="V185" s="27" t="str">
        <f t="shared" si="32"/>
        <v/>
      </c>
      <c r="W185" s="526">
        <f>IFERROR(
  IF($F185="Total",
    SUM(INDEX(W:W, ROW()-COUNTIF($F$6:INDEX($F:$F, ROW()-1), $F184)) : INDEX(W:W, ROW()-1)),
    COUNTIFS(
      unit_details[Leased Date], "&gt;="&amp;($AM$2-T$5),
      unit_details[Leased Date], "&lt;"&amp;$AM$2,
      unit_details[Beds], $L185,
      unit_details[Baths], $M185,
      unit_details[Partial Baths], IF(ISNUMBER($N185), $N185, ""),
      unit_details[Sqft],$P185,
      unit_details[Property Name], $F185
    )
  ),
"")</f>
        <v>0</v>
      </c>
      <c r="X185" s="531" t="str">
        <f>IFERROR(
 IF($F185="Total",
   SUMPRODUCT(
   INDEX(X:X, ROW()-COUNTIF($F$6:INDEX($F:$F, ROW()-1), $F184)) : INDEX(X:X, ROW()-1),
   INDEX(AA:AA, ROW()-COUNTIF($F$6:INDEX($F:$F, ROW()-1), $F184)) : INDEX(AA:AA, ROW()-1)
   )
   /SUM(INDEX(AA:AA, ROW()-COUNTIF($F$6:INDEX($F:$F, ROW()-1), $F184)) : INDEX(AA:AA, ROW()-1)),
   AVERAGEIFS(
     INDEX((unit_details[Asking Rent],unit_details[Asking PSF]),0,1,IF($U$3="Chunk Rent",1,2)),
     unit_details[Leased Date],"&gt;="&amp;($AM$2-X$5),
     unit_details[Leased Date],"&lt;"&amp;$AM$2,
     unit_details[Beds],$L185,
     unit_details[Baths],$M185,
     unit_details[Partial Baths],IF(ISNUMBER($N185),$N185,""),
     unit_details[Sqft],$P185,
     unit_details[Property Name],$F185)
 ),"")</f>
        <v/>
      </c>
      <c r="Y185" s="552" t="str">
        <f>IFERROR(
 IF($F185="Total",
   SUMPRODUCT(
   INDEX(Y:Y, ROW()-COUNTIF($F$6:INDEX($F:$F, ROW()-1), $F184)) : INDEX(Y:Y, ROW()-1),
   INDEX(AA:AA, ROW()-COUNTIF($F$6:INDEX($F:$F, ROW()-1), $F184)) : INDEX(AA:AA, ROW()-1)
   )
   /SUM(INDEX(AA:AA, ROW()-COUNTIF($F$6:INDEX($F:$F, ROW()-1), $F184)) : INDEX(AA:AA, ROW()-1)),
   AVERAGEIFS(
     INDEX((unit_details[Effective Rent],unit_details[Effective PSF]),0,1,IF($U$3="Chunk Rent",1,2)),
     unit_details[Leased Date],"&gt;="&amp;($AM$2-X$5),
     unit_details[Leased Date],"&lt;"&amp;$AM$2,
     unit_details[Beds],$L185,
     unit_details[Baths],$M185,
     unit_details[Partial Baths],IF(ISNUMBER($N185),$N185,""),
     unit_details[Sqft],$P185,
     unit_details[Property Name],$F185)
 ),"")</f>
        <v/>
      </c>
      <c r="Z185" s="27" t="str">
        <f t="shared" si="33"/>
        <v/>
      </c>
      <c r="AA185" s="526">
        <f>IFERROR(
  IF($F185="Total",
    SUM(INDEX(AA:AA, ROW()-COUNTIF($F$6:INDEX($F:$F, ROW()-1), $F184)) : INDEX(AA:AA, ROW()-1)),
    COUNTIFS(
      unit_details[Leased Date], "&gt;="&amp;($AM$2-X$5),
      unit_details[Leased Date], "&lt;"&amp;$AM$2,
      unit_details[Beds], $L185,
      unit_details[Baths], $M185,
      unit_details[Partial Baths], IF(ISNUMBER($N185), $N185, ""),
      unit_details[Sqft],$P185,
      unit_details[Property Name], $F185
    )
  ),
"")</f>
        <v>0</v>
      </c>
      <c r="AB185" s="290">
        <f>IF($F185="Total",
SUM(INDEX(AB:AB, ROW()-COUNTIF($F$6:INDEX($F:$F, ROW()-1), $F184)) : INDEX(AB:AB, ROW()-1)),
COUNTIFS(unit_details[Active Listing?],TRUE,
          unit_details[Property Name], $F185,
          unit_details[Beds], $L185,
          unit_details[Baths], $M185,
          unit_details[Partial Baths],IF(ISNUMBER($N185),$N185,""),
          unit_details[Sqft],$P185))</f>
        <v>0</v>
      </c>
      <c r="AC185" s="27" t="str">
        <f t="shared" si="25"/>
        <v/>
      </c>
      <c r="AD185" s="293" t="str">
        <f>IFERROR(IF(AE185="","",IF($F185="Total",
SUMPRODUCT(
   INDEX(AD:AD, ROW()-COUNTIF($F$6:INDEX($F:$F, ROW()-1), $F184)) : INDEX(AD:AD, ROW()-1),
   INDEX(AB:AB, ROW()-COUNTIF($F$6:INDEX($F:$F, ROW()-1), $F184)) : INDEX(AB:AB, ROW()-1)
   )
   /SUM(INDEX(AB:AB, ROW()-COUNTIF($F$6:INDEX($F:$F, ROW()-1), $F184)) : INDEX(AB:AB, ROW()-1)),
          _xlfn.MINIFS(unit_details[Asking Rent],
          unit_details[Active Listing?],TRUE,
          unit_details[Property Name], $F185,
          unit_details[Beds], $L185,
          unit_details[Baths], $M185,
          unit_details[Partial Baths], IF(ISNUMBER($N185),$N185,""),
          unit_details[Sqft],$P185
))),"")</f>
        <v/>
      </c>
      <c r="AE185" s="5" t="str">
        <f>IFERROR(IF($F185="Total",
          SUMPRODUCT(
   INDEX(AE:AE, ROW()-COUNTIF($F$6:INDEX($F:$F, ROW()-1), $F184)) : INDEX(AE:AE, ROW()-1),
   INDEX(AB:AB, ROW()-COUNTIF($F$6:INDEX($F:$F, ROW()-1), $F184)) : INDEX(AB:AB, ROW()-1)
   )
   /SUM(INDEX(AB:AB, ROW()-COUNTIF($F$6:INDEX($F:$F, ROW()-1), $F184)) : INDEX(AB:AB, ROW()-1)),
          AVERAGEIFS(unit_details[Asking Rent],
          unit_details[Active Listing?],TRUE,
          unit_details[Property Name], $F185,
          unit_details[Beds], $L185,
          unit_details[Baths], $M185,
          unit_details[Partial Baths], IF(ISNUMBER($N185),$N185,""),
          unit_details[Sqft],$P185
)),"")</f>
        <v/>
      </c>
      <c r="AF185" s="5" t="str">
        <f>IFERROR(IF(AE185="","",IF($F185="Total",
SUMPRODUCT(
   INDEX(AF:AF, ROW()-COUNTIF($F$6:INDEX($F:$F, ROW()-1), $F184)) : INDEX(AF:AF, ROW()-1),
   INDEX(AB:AB, ROW()-COUNTIF($F$6:INDEX($F:$F, ROW()-1), $F184)) : INDEX(AB:AB, ROW()-1)
   )
   /SUM(INDEX(AB:AB, ROW()-COUNTIF($F$6:INDEX($F:$F, ROW()-1), $F184)) : INDEX(AB:AB, ROW()-1)),
           _xlfn.MAXIFS(unit_details[Asking Rent],
          unit_details[Active Listing?],TRUE,
          unit_details[Property Name], $F185,
          unit_details[Beds], $L185,
          unit_details[Baths], $M185,
          unit_details[Partial Baths], IF(ISNUMBER($N185),$N185,""),
          unit_details[Sqft],$P185
))),"")</f>
        <v/>
      </c>
      <c r="AG185" s="6" t="str">
        <f>IFERROR(IF($F185="Total",
         SUMPRODUCT(
         INDEX(AG:AG, ROW()-COUNTIF($F$6:INDEX($F:$F, ROW()-1), $F184)) : INDEX(AG:AG, ROW()-1),
         INDEX(AB:AB, ROW()-COUNTIF($F$6:INDEX($F:$F, ROW()-1), $F184)) : INDEX(AB:AB, ROW()-1)
         )
         /SUM(INDEX(AB:AB, ROW()-COUNTIF($F$6:INDEX($F:$F, ROW()-1), $F184)) : INDEX(AB:AB, ROW()-1)),
          AVERAGEIFS(unit_details[Asking PSF],
          unit_details[Active Listing?],TRUE,
          unit_details[Property Name], $F185,
          unit_details[Beds], $L185,
          unit_details[Baths], $M185,
          unit_details[Partial Baths], IF(ISNUMBER($N185),$N185,""),
          unit_details[Sqft],$P185
)),"")</f>
        <v/>
      </c>
      <c r="AH185" s="293" t="str">
        <f>IFERROR(IF($F185="Total",
         SUMPRODUCT(
         INDEX(AH:AH, ROW()-COUNTIF($F$6:INDEX($F:$F, ROW()-1), $F184)) : INDEX(AH:AH, ROW()-1),
         INDEX(AB:AB, ROW()-COUNTIF($F$6:INDEX($F:$F, ROW()-1), $F184)) : INDEX(AB:AB, ROW()-1)
         )
         /SUM(INDEX(AB:AB, ROW()-COUNTIF($F$6:INDEX($F:$F, ROW()-1), $F184)) : INDEX(AB:AB, ROW()-1)),
          AVERAGEIFS(unit_details[Effective Rent],
          unit_details[Active Listing?],TRUE,
          unit_details[Property Name], $F185,
          unit_details[Beds], $L185,
          unit_details[Baths], $M185,
          unit_details[Partial Baths], IF(ISNUMBER($N185),$N185,""),
          unit_details[Sqft],$P185
)),"")</f>
        <v/>
      </c>
      <c r="AI185" s="6" t="str">
        <f>IFERROR(IF($F185="Total",
         SUMPRODUCT(
         INDEX(AI:AI, ROW()-COUNTIF($F$6:INDEX($F:$F, ROW()-1), $F184)) : INDEX(AI:AI, ROW()-1),
         INDEX(AB:AB, ROW()-COUNTIF($F$6:INDEX($F:$F, ROW()-1), $F184)) : INDEX(AB:AB, ROW()-1)
         )
         /SUM(INDEX(AB:AB, ROW()-COUNTIF($F$6:INDEX($F:$F, ROW()-1), $F184)) : INDEX(AB:AB, ROW()-1)),
           AVERAGEIFS(unit_details[Effective PSF],
          unit_details[Active Listing?],TRUE,
          unit_details[Property Name], $F185,
          unit_details[Beds], $L185,
          unit_details[Baths], $M185,
          unit_details[Partial Baths], IF(ISNUMBER($N185),$N185,""),
          unit_details[Sqft],$P185
)),"")</f>
        <v/>
      </c>
      <c r="AJ185" s="824" t="str">
        <f t="shared" si="26"/>
        <v/>
      </c>
      <c r="AK185" s="531" t="str">
        <f t="shared" si="27"/>
        <v/>
      </c>
      <c r="AL185" s="714" t="str">
        <f t="shared" si="28"/>
        <v/>
      </c>
      <c r="AM185" s="531" t="str">
        <f t="shared" si="29"/>
        <v/>
      </c>
      <c r="AN185" s="716" t="str">
        <f t="shared" si="30"/>
        <v/>
      </c>
    </row>
    <row r="186" spans="6:40" x14ac:dyDescent="0.2">
      <c r="F186" s="1" t="str">
        <f t="shared" si="23"/>
        <v/>
      </c>
      <c r="G186" s="713" t="str">
        <f t="shared" si="31"/>
        <v/>
      </c>
      <c r="H186" s="17" t="str">
        <f>IFERROR(VLOOKUP($G186,Table1[[Property]:[Exposure %]],4,0),"")</f>
        <v/>
      </c>
      <c r="I186" s="3" t="str">
        <f>IFERROR(VLOOKUP($G186,Table1[[Property]:[Exposure %]],6,0),"")</f>
        <v/>
      </c>
      <c r="J186" s="3" t="str">
        <f>IFERROR(VLOOKUP($G186,Table1[[Property]:[Exposure %]],7,0),"")</f>
        <v/>
      </c>
      <c r="K186"/>
      <c r="L186"/>
      <c r="M186"/>
      <c r="N186"/>
      <c r="O186"/>
      <c r="P186"/>
      <c r="Q186"/>
      <c r="R186" s="4" t="str">
        <f>IFERROR(VLOOKUP(IF(F186="Total",F185,F186),Table1[[Property]:['# Units]],7,0)*S186,"")</f>
        <v/>
      </c>
      <c r="S186" s="27" t="str">
        <f t="shared" si="24"/>
        <v/>
      </c>
      <c r="T186" s="531" t="str">
        <f>IFERROR(
 IF($F186="Total",
   SUMPRODUCT(
   INDEX(T:T, ROW()-COUNTIF($F$6:INDEX($F:$F, ROW()-1), $F185)) : INDEX(T:T, ROW()-1),
   INDEX(W:W, ROW()-COUNTIF($F$6:INDEX($F:$F, ROW()-1), $F185)) : INDEX(W:W, ROW()-1)
   )
   /SUM(INDEX(W:W, ROW()-COUNTIF($F$6:INDEX($F:$F, ROW()-1), $F185)) : INDEX(W:W, ROW()-1)),
   AVERAGEIFS(
     INDEX((unit_details[Asking Rent],unit_details[Asking PSF]),0,1,IF($U$3="Chunk Rent",1,2)),
     unit_details[Leased Date],"&gt;="&amp;($AM$2-T$5),
     unit_details[Leased Date],"&lt;"&amp;$AM$2,
     unit_details[Beds],$L186,
     unit_details[Baths],$M186,
     unit_details[Partial Baths],IF(ISNUMBER($N186),$N186,""),
     unit_details[Sqft],$P186,
     unit_details[Property Name],$F186)
 ),"")</f>
        <v/>
      </c>
      <c r="U186" s="552" t="str">
        <f>IFERROR(
 IF($F186="Total",
   SUMPRODUCT(
   INDEX(U:U, ROW()-COUNTIF($F$6:INDEX($F:$F, ROW()-1), $F185)) : INDEX(U:U, ROW()-1),
   INDEX(W:W, ROW()-COUNTIF($F$6:INDEX($F:$F, ROW()-1), $F185)) : INDEX(W:W, ROW()-1)
   )
   /SUM(INDEX(W:W, ROW()-COUNTIF($F$6:INDEX($F:$F, ROW()-1), $F185)) : INDEX(W:W, ROW()-1)),
   AVERAGEIFS(
     INDEX((unit_details[Effective Rent],unit_details[Effective PSF]),0,1,IF($U$3="Chunk Rent",1,2)),
     unit_details[Leased Date],"&gt;="&amp;($AM$2-T$5),
     unit_details[Leased Date],"&lt;"&amp;$AM$2,
     unit_details[Beds],$L186,
     unit_details[Baths],$M186,
     unit_details[Partial Baths],IF(ISNUMBER($N186),$N186,""),
     unit_details[Sqft],$P186,
     unit_details[Property Name],$F186)
 ),"")</f>
        <v/>
      </c>
      <c r="V186" s="27" t="str">
        <f t="shared" si="32"/>
        <v/>
      </c>
      <c r="W186" s="526">
        <f>IFERROR(
  IF($F186="Total",
    SUM(INDEX(W:W, ROW()-COUNTIF($F$6:INDEX($F:$F, ROW()-1), $F185)) : INDEX(W:W, ROW()-1)),
    COUNTIFS(
      unit_details[Leased Date], "&gt;="&amp;($AM$2-T$5),
      unit_details[Leased Date], "&lt;"&amp;$AM$2,
      unit_details[Beds], $L186,
      unit_details[Baths], $M186,
      unit_details[Partial Baths], IF(ISNUMBER($N186), $N186, ""),
      unit_details[Sqft],$P186,
      unit_details[Property Name], $F186
    )
  ),
"")</f>
        <v>0</v>
      </c>
      <c r="X186" s="531" t="str">
        <f>IFERROR(
 IF($F186="Total",
   SUMPRODUCT(
   INDEX(X:X, ROW()-COUNTIF($F$6:INDEX($F:$F, ROW()-1), $F185)) : INDEX(X:X, ROW()-1),
   INDEX(AA:AA, ROW()-COUNTIF($F$6:INDEX($F:$F, ROW()-1), $F185)) : INDEX(AA:AA, ROW()-1)
   )
   /SUM(INDEX(AA:AA, ROW()-COUNTIF($F$6:INDEX($F:$F, ROW()-1), $F185)) : INDEX(AA:AA, ROW()-1)),
   AVERAGEIFS(
     INDEX((unit_details[Asking Rent],unit_details[Asking PSF]),0,1,IF($U$3="Chunk Rent",1,2)),
     unit_details[Leased Date],"&gt;="&amp;($AM$2-X$5),
     unit_details[Leased Date],"&lt;"&amp;$AM$2,
     unit_details[Beds],$L186,
     unit_details[Baths],$M186,
     unit_details[Partial Baths],IF(ISNUMBER($N186),$N186,""),
     unit_details[Sqft],$P186,
     unit_details[Property Name],$F186)
 ),"")</f>
        <v/>
      </c>
      <c r="Y186" s="552" t="str">
        <f>IFERROR(
 IF($F186="Total",
   SUMPRODUCT(
   INDEX(Y:Y, ROW()-COUNTIF($F$6:INDEX($F:$F, ROW()-1), $F185)) : INDEX(Y:Y, ROW()-1),
   INDEX(AA:AA, ROW()-COUNTIF($F$6:INDEX($F:$F, ROW()-1), $F185)) : INDEX(AA:AA, ROW()-1)
   )
   /SUM(INDEX(AA:AA, ROW()-COUNTIF($F$6:INDEX($F:$F, ROW()-1), $F185)) : INDEX(AA:AA, ROW()-1)),
   AVERAGEIFS(
     INDEX((unit_details[Effective Rent],unit_details[Effective PSF]),0,1,IF($U$3="Chunk Rent",1,2)),
     unit_details[Leased Date],"&gt;="&amp;($AM$2-X$5),
     unit_details[Leased Date],"&lt;"&amp;$AM$2,
     unit_details[Beds],$L186,
     unit_details[Baths],$M186,
     unit_details[Partial Baths],IF(ISNUMBER($N186),$N186,""),
     unit_details[Sqft],$P186,
     unit_details[Property Name],$F186)
 ),"")</f>
        <v/>
      </c>
      <c r="Z186" s="27" t="str">
        <f t="shared" si="33"/>
        <v/>
      </c>
      <c r="AA186" s="526">
        <f>IFERROR(
  IF($F186="Total",
    SUM(INDEX(AA:AA, ROW()-COUNTIF($F$6:INDEX($F:$F, ROW()-1), $F185)) : INDEX(AA:AA, ROW()-1)),
    COUNTIFS(
      unit_details[Leased Date], "&gt;="&amp;($AM$2-X$5),
      unit_details[Leased Date], "&lt;"&amp;$AM$2,
      unit_details[Beds], $L186,
      unit_details[Baths], $M186,
      unit_details[Partial Baths], IF(ISNUMBER($N186), $N186, ""),
      unit_details[Sqft],$P186,
      unit_details[Property Name], $F186
    )
  ),
"")</f>
        <v>0</v>
      </c>
      <c r="AB186" s="290">
        <f>IF($F186="Total",
SUM(INDEX(AB:AB, ROW()-COUNTIF($F$6:INDEX($F:$F, ROW()-1), $F185)) : INDEX(AB:AB, ROW()-1)),
COUNTIFS(unit_details[Active Listing?],TRUE,
          unit_details[Property Name], $F186,
          unit_details[Beds], $L186,
          unit_details[Baths], $M186,
          unit_details[Partial Baths],IF(ISNUMBER($N186),$N186,""),
          unit_details[Sqft],$P186))</f>
        <v>0</v>
      </c>
      <c r="AC186" s="27" t="str">
        <f t="shared" si="25"/>
        <v/>
      </c>
      <c r="AD186" s="293" t="str">
        <f>IFERROR(IF(AE186="","",IF($F186="Total",
SUMPRODUCT(
   INDEX(AD:AD, ROW()-COUNTIF($F$6:INDEX($F:$F, ROW()-1), $F185)) : INDEX(AD:AD, ROW()-1),
   INDEX(AB:AB, ROW()-COUNTIF($F$6:INDEX($F:$F, ROW()-1), $F185)) : INDEX(AB:AB, ROW()-1)
   )
   /SUM(INDEX(AB:AB, ROW()-COUNTIF($F$6:INDEX($F:$F, ROW()-1), $F185)) : INDEX(AB:AB, ROW()-1)),
          _xlfn.MINIFS(unit_details[Asking Rent],
          unit_details[Active Listing?],TRUE,
          unit_details[Property Name], $F186,
          unit_details[Beds], $L186,
          unit_details[Baths], $M186,
          unit_details[Partial Baths], IF(ISNUMBER($N186),$N186,""),
          unit_details[Sqft],$P186
))),"")</f>
        <v/>
      </c>
      <c r="AE186" s="5" t="str">
        <f>IFERROR(IF($F186="Total",
          SUMPRODUCT(
   INDEX(AE:AE, ROW()-COUNTIF($F$6:INDEX($F:$F, ROW()-1), $F185)) : INDEX(AE:AE, ROW()-1),
   INDEX(AB:AB, ROW()-COUNTIF($F$6:INDEX($F:$F, ROW()-1), $F185)) : INDEX(AB:AB, ROW()-1)
   )
   /SUM(INDEX(AB:AB, ROW()-COUNTIF($F$6:INDEX($F:$F, ROW()-1), $F185)) : INDEX(AB:AB, ROW()-1)),
          AVERAGEIFS(unit_details[Asking Rent],
          unit_details[Active Listing?],TRUE,
          unit_details[Property Name], $F186,
          unit_details[Beds], $L186,
          unit_details[Baths], $M186,
          unit_details[Partial Baths], IF(ISNUMBER($N186),$N186,""),
          unit_details[Sqft],$P186
)),"")</f>
        <v/>
      </c>
      <c r="AF186" s="5" t="str">
        <f>IFERROR(IF(AE186="","",IF($F186="Total",
SUMPRODUCT(
   INDEX(AF:AF, ROW()-COUNTIF($F$6:INDEX($F:$F, ROW()-1), $F185)) : INDEX(AF:AF, ROW()-1),
   INDEX(AB:AB, ROW()-COUNTIF($F$6:INDEX($F:$F, ROW()-1), $F185)) : INDEX(AB:AB, ROW()-1)
   )
   /SUM(INDEX(AB:AB, ROW()-COUNTIF($F$6:INDEX($F:$F, ROW()-1), $F185)) : INDEX(AB:AB, ROW()-1)),
           _xlfn.MAXIFS(unit_details[Asking Rent],
          unit_details[Active Listing?],TRUE,
          unit_details[Property Name], $F186,
          unit_details[Beds], $L186,
          unit_details[Baths], $M186,
          unit_details[Partial Baths], IF(ISNUMBER($N186),$N186,""),
          unit_details[Sqft],$P186
))),"")</f>
        <v/>
      </c>
      <c r="AG186" s="6" t="str">
        <f>IFERROR(IF($F186="Total",
         SUMPRODUCT(
         INDEX(AG:AG, ROW()-COUNTIF($F$6:INDEX($F:$F, ROW()-1), $F185)) : INDEX(AG:AG, ROW()-1),
         INDEX(AB:AB, ROW()-COUNTIF($F$6:INDEX($F:$F, ROW()-1), $F185)) : INDEX(AB:AB, ROW()-1)
         )
         /SUM(INDEX(AB:AB, ROW()-COUNTIF($F$6:INDEX($F:$F, ROW()-1), $F185)) : INDEX(AB:AB, ROW()-1)),
          AVERAGEIFS(unit_details[Asking PSF],
          unit_details[Active Listing?],TRUE,
          unit_details[Property Name], $F186,
          unit_details[Beds], $L186,
          unit_details[Baths], $M186,
          unit_details[Partial Baths], IF(ISNUMBER($N186),$N186,""),
          unit_details[Sqft],$P186
)),"")</f>
        <v/>
      </c>
      <c r="AH186" s="293" t="str">
        <f>IFERROR(IF($F186="Total",
         SUMPRODUCT(
         INDEX(AH:AH, ROW()-COUNTIF($F$6:INDEX($F:$F, ROW()-1), $F185)) : INDEX(AH:AH, ROW()-1),
         INDEX(AB:AB, ROW()-COUNTIF($F$6:INDEX($F:$F, ROW()-1), $F185)) : INDEX(AB:AB, ROW()-1)
         )
         /SUM(INDEX(AB:AB, ROW()-COUNTIF($F$6:INDEX($F:$F, ROW()-1), $F185)) : INDEX(AB:AB, ROW()-1)),
          AVERAGEIFS(unit_details[Effective Rent],
          unit_details[Active Listing?],TRUE,
          unit_details[Property Name], $F186,
          unit_details[Beds], $L186,
          unit_details[Baths], $M186,
          unit_details[Partial Baths], IF(ISNUMBER($N186),$N186,""),
          unit_details[Sqft],$P186
)),"")</f>
        <v/>
      </c>
      <c r="AI186" s="6" t="str">
        <f>IFERROR(IF($F186="Total",
         SUMPRODUCT(
         INDEX(AI:AI, ROW()-COUNTIF($F$6:INDEX($F:$F, ROW()-1), $F185)) : INDEX(AI:AI, ROW()-1),
         INDEX(AB:AB, ROW()-COUNTIF($F$6:INDEX($F:$F, ROW()-1), $F185)) : INDEX(AB:AB, ROW()-1)
         )
         /SUM(INDEX(AB:AB, ROW()-COUNTIF($F$6:INDEX($F:$F, ROW()-1), $F185)) : INDEX(AB:AB, ROW()-1)),
           AVERAGEIFS(unit_details[Effective PSF],
          unit_details[Active Listing?],TRUE,
          unit_details[Property Name], $F186,
          unit_details[Beds], $L186,
          unit_details[Baths], $M186,
          unit_details[Partial Baths], IF(ISNUMBER($N186),$N186,""),
          unit_details[Sqft],$P186
)),"")</f>
        <v/>
      </c>
      <c r="AJ186" s="824" t="str">
        <f t="shared" si="26"/>
        <v/>
      </c>
      <c r="AK186" s="531" t="str">
        <f t="shared" si="27"/>
        <v/>
      </c>
      <c r="AL186" s="714" t="str">
        <f t="shared" si="28"/>
        <v/>
      </c>
      <c r="AM186" s="531" t="str">
        <f t="shared" si="29"/>
        <v/>
      </c>
      <c r="AN186" s="716" t="str">
        <f t="shared" si="30"/>
        <v/>
      </c>
    </row>
    <row r="187" spans="6:40" x14ac:dyDescent="0.2">
      <c r="F187" s="1" t="str">
        <f t="shared" si="23"/>
        <v/>
      </c>
      <c r="G187" s="713" t="str">
        <f t="shared" si="31"/>
        <v/>
      </c>
      <c r="H187" s="17" t="str">
        <f>IFERROR(VLOOKUP($G187,Table1[[Property]:[Exposure %]],4,0),"")</f>
        <v/>
      </c>
      <c r="I187" s="3" t="str">
        <f>IFERROR(VLOOKUP($G187,Table1[[Property]:[Exposure %]],6,0),"")</f>
        <v/>
      </c>
      <c r="J187" s="3" t="str">
        <f>IFERROR(VLOOKUP($G187,Table1[[Property]:[Exposure %]],7,0),"")</f>
        <v/>
      </c>
      <c r="K187"/>
      <c r="L187"/>
      <c r="M187"/>
      <c r="N187"/>
      <c r="O187"/>
      <c r="P187"/>
      <c r="Q187"/>
      <c r="R187" s="4" t="str">
        <f>IFERROR(VLOOKUP(IF(F187="Total",F186,F187),Table1[[Property]:['# Units]],7,0)*S187,"")</f>
        <v/>
      </c>
      <c r="S187" s="27" t="str">
        <f t="shared" si="24"/>
        <v/>
      </c>
      <c r="T187" s="531" t="str">
        <f>IFERROR(
 IF($F187="Total",
   SUMPRODUCT(
   INDEX(T:T, ROW()-COUNTIF($F$6:INDEX($F:$F, ROW()-1), $F186)) : INDEX(T:T, ROW()-1),
   INDEX(W:W, ROW()-COUNTIF($F$6:INDEX($F:$F, ROW()-1), $F186)) : INDEX(W:W, ROW()-1)
   )
   /SUM(INDEX(W:W, ROW()-COUNTIF($F$6:INDEX($F:$F, ROW()-1), $F186)) : INDEX(W:W, ROW()-1)),
   AVERAGEIFS(
     INDEX((unit_details[Asking Rent],unit_details[Asking PSF]),0,1,IF($U$3="Chunk Rent",1,2)),
     unit_details[Leased Date],"&gt;="&amp;($AM$2-T$5),
     unit_details[Leased Date],"&lt;"&amp;$AM$2,
     unit_details[Beds],$L187,
     unit_details[Baths],$M187,
     unit_details[Partial Baths],IF(ISNUMBER($N187),$N187,""),
     unit_details[Sqft],$P187,
     unit_details[Property Name],$F187)
 ),"")</f>
        <v/>
      </c>
      <c r="U187" s="552" t="str">
        <f>IFERROR(
 IF($F187="Total",
   SUMPRODUCT(
   INDEX(U:U, ROW()-COUNTIF($F$6:INDEX($F:$F, ROW()-1), $F186)) : INDEX(U:U, ROW()-1),
   INDEX(W:W, ROW()-COUNTIF($F$6:INDEX($F:$F, ROW()-1), $F186)) : INDEX(W:W, ROW()-1)
   )
   /SUM(INDEX(W:W, ROW()-COUNTIF($F$6:INDEX($F:$F, ROW()-1), $F186)) : INDEX(W:W, ROW()-1)),
   AVERAGEIFS(
     INDEX((unit_details[Effective Rent],unit_details[Effective PSF]),0,1,IF($U$3="Chunk Rent",1,2)),
     unit_details[Leased Date],"&gt;="&amp;($AM$2-T$5),
     unit_details[Leased Date],"&lt;"&amp;$AM$2,
     unit_details[Beds],$L187,
     unit_details[Baths],$M187,
     unit_details[Partial Baths],IF(ISNUMBER($N187),$N187,""),
     unit_details[Sqft],$P187,
     unit_details[Property Name],$F187)
 ),"")</f>
        <v/>
      </c>
      <c r="V187" s="27" t="str">
        <f t="shared" si="32"/>
        <v/>
      </c>
      <c r="W187" s="526">
        <f>IFERROR(
  IF($F187="Total",
    SUM(INDEX(W:W, ROW()-COUNTIF($F$6:INDEX($F:$F, ROW()-1), $F186)) : INDEX(W:W, ROW()-1)),
    COUNTIFS(
      unit_details[Leased Date], "&gt;="&amp;($AM$2-T$5),
      unit_details[Leased Date], "&lt;"&amp;$AM$2,
      unit_details[Beds], $L187,
      unit_details[Baths], $M187,
      unit_details[Partial Baths], IF(ISNUMBER($N187), $N187, ""),
      unit_details[Sqft],$P187,
      unit_details[Property Name], $F187
    )
  ),
"")</f>
        <v>0</v>
      </c>
      <c r="X187" s="531" t="str">
        <f>IFERROR(
 IF($F187="Total",
   SUMPRODUCT(
   INDEX(X:X, ROW()-COUNTIF($F$6:INDEX($F:$F, ROW()-1), $F186)) : INDEX(X:X, ROW()-1),
   INDEX(AA:AA, ROW()-COUNTIF($F$6:INDEX($F:$F, ROW()-1), $F186)) : INDEX(AA:AA, ROW()-1)
   )
   /SUM(INDEX(AA:AA, ROW()-COUNTIF($F$6:INDEX($F:$F, ROW()-1), $F186)) : INDEX(AA:AA, ROW()-1)),
   AVERAGEIFS(
     INDEX((unit_details[Asking Rent],unit_details[Asking PSF]),0,1,IF($U$3="Chunk Rent",1,2)),
     unit_details[Leased Date],"&gt;="&amp;($AM$2-X$5),
     unit_details[Leased Date],"&lt;"&amp;$AM$2,
     unit_details[Beds],$L187,
     unit_details[Baths],$M187,
     unit_details[Partial Baths],IF(ISNUMBER($N187),$N187,""),
     unit_details[Sqft],$P187,
     unit_details[Property Name],$F187)
 ),"")</f>
        <v/>
      </c>
      <c r="Y187" s="552" t="str">
        <f>IFERROR(
 IF($F187="Total",
   SUMPRODUCT(
   INDEX(Y:Y, ROW()-COUNTIF($F$6:INDEX($F:$F, ROW()-1), $F186)) : INDEX(Y:Y, ROW()-1),
   INDEX(AA:AA, ROW()-COUNTIF($F$6:INDEX($F:$F, ROW()-1), $F186)) : INDEX(AA:AA, ROW()-1)
   )
   /SUM(INDEX(AA:AA, ROW()-COUNTIF($F$6:INDEX($F:$F, ROW()-1), $F186)) : INDEX(AA:AA, ROW()-1)),
   AVERAGEIFS(
     INDEX((unit_details[Effective Rent],unit_details[Effective PSF]),0,1,IF($U$3="Chunk Rent",1,2)),
     unit_details[Leased Date],"&gt;="&amp;($AM$2-X$5),
     unit_details[Leased Date],"&lt;"&amp;$AM$2,
     unit_details[Beds],$L187,
     unit_details[Baths],$M187,
     unit_details[Partial Baths],IF(ISNUMBER($N187),$N187,""),
     unit_details[Sqft],$P187,
     unit_details[Property Name],$F187)
 ),"")</f>
        <v/>
      </c>
      <c r="Z187" s="27" t="str">
        <f t="shared" si="33"/>
        <v/>
      </c>
      <c r="AA187" s="526">
        <f>IFERROR(
  IF($F187="Total",
    SUM(INDEX(AA:AA, ROW()-COUNTIF($F$6:INDEX($F:$F, ROW()-1), $F186)) : INDEX(AA:AA, ROW()-1)),
    COUNTIFS(
      unit_details[Leased Date], "&gt;="&amp;($AM$2-X$5),
      unit_details[Leased Date], "&lt;"&amp;$AM$2,
      unit_details[Beds], $L187,
      unit_details[Baths], $M187,
      unit_details[Partial Baths], IF(ISNUMBER($N187), $N187, ""),
      unit_details[Sqft],$P187,
      unit_details[Property Name], $F187
    )
  ),
"")</f>
        <v>0</v>
      </c>
      <c r="AB187" s="290">
        <f>IF($F187="Total",
SUM(INDEX(AB:AB, ROW()-COUNTIF($F$6:INDEX($F:$F, ROW()-1), $F186)) : INDEX(AB:AB, ROW()-1)),
COUNTIFS(unit_details[Active Listing?],TRUE,
          unit_details[Property Name], $F187,
          unit_details[Beds], $L187,
          unit_details[Baths], $M187,
          unit_details[Partial Baths],IF(ISNUMBER($N187),$N187,""),
          unit_details[Sqft],$P187))</f>
        <v>0</v>
      </c>
      <c r="AC187" s="27" t="str">
        <f t="shared" si="25"/>
        <v/>
      </c>
      <c r="AD187" s="293" t="str">
        <f>IFERROR(IF(AE187="","",IF($F187="Total",
SUMPRODUCT(
   INDEX(AD:AD, ROW()-COUNTIF($F$6:INDEX($F:$F, ROW()-1), $F186)) : INDEX(AD:AD, ROW()-1),
   INDEX(AB:AB, ROW()-COUNTIF($F$6:INDEX($F:$F, ROW()-1), $F186)) : INDEX(AB:AB, ROW()-1)
   )
   /SUM(INDEX(AB:AB, ROW()-COUNTIF($F$6:INDEX($F:$F, ROW()-1), $F186)) : INDEX(AB:AB, ROW()-1)),
          _xlfn.MINIFS(unit_details[Asking Rent],
          unit_details[Active Listing?],TRUE,
          unit_details[Property Name], $F187,
          unit_details[Beds], $L187,
          unit_details[Baths], $M187,
          unit_details[Partial Baths], IF(ISNUMBER($N187),$N187,""),
          unit_details[Sqft],$P187
))),"")</f>
        <v/>
      </c>
      <c r="AE187" s="5" t="str">
        <f>IFERROR(IF($F187="Total",
          SUMPRODUCT(
   INDEX(AE:AE, ROW()-COUNTIF($F$6:INDEX($F:$F, ROW()-1), $F186)) : INDEX(AE:AE, ROW()-1),
   INDEX(AB:AB, ROW()-COUNTIF($F$6:INDEX($F:$F, ROW()-1), $F186)) : INDEX(AB:AB, ROW()-1)
   )
   /SUM(INDEX(AB:AB, ROW()-COUNTIF($F$6:INDEX($F:$F, ROW()-1), $F186)) : INDEX(AB:AB, ROW()-1)),
          AVERAGEIFS(unit_details[Asking Rent],
          unit_details[Active Listing?],TRUE,
          unit_details[Property Name], $F187,
          unit_details[Beds], $L187,
          unit_details[Baths], $M187,
          unit_details[Partial Baths], IF(ISNUMBER($N187),$N187,""),
          unit_details[Sqft],$P187
)),"")</f>
        <v/>
      </c>
      <c r="AF187" s="5" t="str">
        <f>IFERROR(IF(AE187="","",IF($F187="Total",
SUMPRODUCT(
   INDEX(AF:AF, ROW()-COUNTIF($F$6:INDEX($F:$F, ROW()-1), $F186)) : INDEX(AF:AF, ROW()-1),
   INDEX(AB:AB, ROW()-COUNTIF($F$6:INDEX($F:$F, ROW()-1), $F186)) : INDEX(AB:AB, ROW()-1)
   )
   /SUM(INDEX(AB:AB, ROW()-COUNTIF($F$6:INDEX($F:$F, ROW()-1), $F186)) : INDEX(AB:AB, ROW()-1)),
           _xlfn.MAXIFS(unit_details[Asking Rent],
          unit_details[Active Listing?],TRUE,
          unit_details[Property Name], $F187,
          unit_details[Beds], $L187,
          unit_details[Baths], $M187,
          unit_details[Partial Baths], IF(ISNUMBER($N187),$N187,""),
          unit_details[Sqft],$P187
))),"")</f>
        <v/>
      </c>
      <c r="AG187" s="6" t="str">
        <f>IFERROR(IF($F187="Total",
         SUMPRODUCT(
         INDEX(AG:AG, ROW()-COUNTIF($F$6:INDEX($F:$F, ROW()-1), $F186)) : INDEX(AG:AG, ROW()-1),
         INDEX(AB:AB, ROW()-COUNTIF($F$6:INDEX($F:$F, ROW()-1), $F186)) : INDEX(AB:AB, ROW()-1)
         )
         /SUM(INDEX(AB:AB, ROW()-COUNTIF($F$6:INDEX($F:$F, ROW()-1), $F186)) : INDEX(AB:AB, ROW()-1)),
          AVERAGEIFS(unit_details[Asking PSF],
          unit_details[Active Listing?],TRUE,
          unit_details[Property Name], $F187,
          unit_details[Beds], $L187,
          unit_details[Baths], $M187,
          unit_details[Partial Baths], IF(ISNUMBER($N187),$N187,""),
          unit_details[Sqft],$P187
)),"")</f>
        <v/>
      </c>
      <c r="AH187" s="293" t="str">
        <f>IFERROR(IF($F187="Total",
         SUMPRODUCT(
         INDEX(AH:AH, ROW()-COUNTIF($F$6:INDEX($F:$F, ROW()-1), $F186)) : INDEX(AH:AH, ROW()-1),
         INDEX(AB:AB, ROW()-COUNTIF($F$6:INDEX($F:$F, ROW()-1), $F186)) : INDEX(AB:AB, ROW()-1)
         )
         /SUM(INDEX(AB:AB, ROW()-COUNTIF($F$6:INDEX($F:$F, ROW()-1), $F186)) : INDEX(AB:AB, ROW()-1)),
          AVERAGEIFS(unit_details[Effective Rent],
          unit_details[Active Listing?],TRUE,
          unit_details[Property Name], $F187,
          unit_details[Beds], $L187,
          unit_details[Baths], $M187,
          unit_details[Partial Baths], IF(ISNUMBER($N187),$N187,""),
          unit_details[Sqft],$P187
)),"")</f>
        <v/>
      </c>
      <c r="AI187" s="6" t="str">
        <f>IFERROR(IF($F187="Total",
         SUMPRODUCT(
         INDEX(AI:AI, ROW()-COUNTIF($F$6:INDEX($F:$F, ROW()-1), $F186)) : INDEX(AI:AI, ROW()-1),
         INDEX(AB:AB, ROW()-COUNTIF($F$6:INDEX($F:$F, ROW()-1), $F186)) : INDEX(AB:AB, ROW()-1)
         )
         /SUM(INDEX(AB:AB, ROW()-COUNTIF($F$6:INDEX($F:$F, ROW()-1), $F186)) : INDEX(AB:AB, ROW()-1)),
           AVERAGEIFS(unit_details[Effective PSF],
          unit_details[Active Listing?],TRUE,
          unit_details[Property Name], $F187,
          unit_details[Beds], $L187,
          unit_details[Baths], $M187,
          unit_details[Partial Baths], IF(ISNUMBER($N187),$N187,""),
          unit_details[Sqft],$P187
)),"")</f>
        <v/>
      </c>
      <c r="AJ187" s="824" t="str">
        <f t="shared" si="26"/>
        <v/>
      </c>
      <c r="AK187" s="531" t="str">
        <f t="shared" si="27"/>
        <v/>
      </c>
      <c r="AL187" s="714" t="str">
        <f t="shared" si="28"/>
        <v/>
      </c>
      <c r="AM187" s="531" t="str">
        <f t="shared" si="29"/>
        <v/>
      </c>
      <c r="AN187" s="716" t="str">
        <f t="shared" si="30"/>
        <v/>
      </c>
    </row>
    <row r="188" spans="6:40" x14ac:dyDescent="0.2">
      <c r="F188" s="1" t="str">
        <f t="shared" si="23"/>
        <v/>
      </c>
      <c r="G188" s="713" t="str">
        <f t="shared" si="31"/>
        <v/>
      </c>
      <c r="H188" s="17" t="str">
        <f>IFERROR(VLOOKUP($G188,Table1[[Property]:[Exposure %]],4,0),"")</f>
        <v/>
      </c>
      <c r="I188" s="3" t="str">
        <f>IFERROR(VLOOKUP($G188,Table1[[Property]:[Exposure %]],6,0),"")</f>
        <v/>
      </c>
      <c r="J188" s="3" t="str">
        <f>IFERROR(VLOOKUP($G188,Table1[[Property]:[Exposure %]],7,0),"")</f>
        <v/>
      </c>
      <c r="K188"/>
      <c r="L188"/>
      <c r="M188"/>
      <c r="N188"/>
      <c r="O188"/>
      <c r="P188"/>
      <c r="Q188"/>
      <c r="R188" s="4" t="str">
        <f>IFERROR(VLOOKUP(IF(F188="Total",F187,F188),Table1[[Property]:['# Units]],7,0)*S188,"")</f>
        <v/>
      </c>
      <c r="S188" s="27" t="str">
        <f t="shared" si="24"/>
        <v/>
      </c>
      <c r="T188" s="531" t="str">
        <f>IFERROR(
 IF($F188="Total",
   SUMPRODUCT(
   INDEX(T:T, ROW()-COUNTIF($F$6:INDEX($F:$F, ROW()-1), $F187)) : INDEX(T:T, ROW()-1),
   INDEX(W:W, ROW()-COUNTIF($F$6:INDEX($F:$F, ROW()-1), $F187)) : INDEX(W:W, ROW()-1)
   )
   /SUM(INDEX(W:W, ROW()-COUNTIF($F$6:INDEX($F:$F, ROW()-1), $F187)) : INDEX(W:W, ROW()-1)),
   AVERAGEIFS(
     INDEX((unit_details[Asking Rent],unit_details[Asking PSF]),0,1,IF($U$3="Chunk Rent",1,2)),
     unit_details[Leased Date],"&gt;="&amp;($AM$2-T$5),
     unit_details[Leased Date],"&lt;"&amp;$AM$2,
     unit_details[Beds],$L188,
     unit_details[Baths],$M188,
     unit_details[Partial Baths],IF(ISNUMBER($N188),$N188,""),
     unit_details[Sqft],$P188,
     unit_details[Property Name],$F188)
 ),"")</f>
        <v/>
      </c>
      <c r="U188" s="552" t="str">
        <f>IFERROR(
 IF($F188="Total",
   SUMPRODUCT(
   INDEX(U:U, ROW()-COUNTIF($F$6:INDEX($F:$F, ROW()-1), $F187)) : INDEX(U:U, ROW()-1),
   INDEX(W:W, ROW()-COUNTIF($F$6:INDEX($F:$F, ROW()-1), $F187)) : INDEX(W:W, ROW()-1)
   )
   /SUM(INDEX(W:W, ROW()-COUNTIF($F$6:INDEX($F:$F, ROW()-1), $F187)) : INDEX(W:W, ROW()-1)),
   AVERAGEIFS(
     INDEX((unit_details[Effective Rent],unit_details[Effective PSF]),0,1,IF($U$3="Chunk Rent",1,2)),
     unit_details[Leased Date],"&gt;="&amp;($AM$2-T$5),
     unit_details[Leased Date],"&lt;"&amp;$AM$2,
     unit_details[Beds],$L188,
     unit_details[Baths],$M188,
     unit_details[Partial Baths],IF(ISNUMBER($N188),$N188,""),
     unit_details[Sqft],$P188,
     unit_details[Property Name],$F188)
 ),"")</f>
        <v/>
      </c>
      <c r="V188" s="27" t="str">
        <f t="shared" si="32"/>
        <v/>
      </c>
      <c r="W188" s="526">
        <f>IFERROR(
  IF($F188="Total",
    SUM(INDEX(W:W, ROW()-COUNTIF($F$6:INDEX($F:$F, ROW()-1), $F187)) : INDEX(W:W, ROW()-1)),
    COUNTIFS(
      unit_details[Leased Date], "&gt;="&amp;($AM$2-T$5),
      unit_details[Leased Date], "&lt;"&amp;$AM$2,
      unit_details[Beds], $L188,
      unit_details[Baths], $M188,
      unit_details[Partial Baths], IF(ISNUMBER($N188), $N188, ""),
      unit_details[Sqft],$P188,
      unit_details[Property Name], $F188
    )
  ),
"")</f>
        <v>0</v>
      </c>
      <c r="X188" s="531" t="str">
        <f>IFERROR(
 IF($F188="Total",
   SUMPRODUCT(
   INDEX(X:X, ROW()-COUNTIF($F$6:INDEX($F:$F, ROW()-1), $F187)) : INDEX(X:X, ROW()-1),
   INDEX(AA:AA, ROW()-COUNTIF($F$6:INDEX($F:$F, ROW()-1), $F187)) : INDEX(AA:AA, ROW()-1)
   )
   /SUM(INDEX(AA:AA, ROW()-COUNTIF($F$6:INDEX($F:$F, ROW()-1), $F187)) : INDEX(AA:AA, ROW()-1)),
   AVERAGEIFS(
     INDEX((unit_details[Asking Rent],unit_details[Asking PSF]),0,1,IF($U$3="Chunk Rent",1,2)),
     unit_details[Leased Date],"&gt;="&amp;($AM$2-X$5),
     unit_details[Leased Date],"&lt;"&amp;$AM$2,
     unit_details[Beds],$L188,
     unit_details[Baths],$M188,
     unit_details[Partial Baths],IF(ISNUMBER($N188),$N188,""),
     unit_details[Sqft],$P188,
     unit_details[Property Name],$F188)
 ),"")</f>
        <v/>
      </c>
      <c r="Y188" s="552" t="str">
        <f>IFERROR(
 IF($F188="Total",
   SUMPRODUCT(
   INDEX(Y:Y, ROW()-COUNTIF($F$6:INDEX($F:$F, ROW()-1), $F187)) : INDEX(Y:Y, ROW()-1),
   INDEX(AA:AA, ROW()-COUNTIF($F$6:INDEX($F:$F, ROW()-1), $F187)) : INDEX(AA:AA, ROW()-1)
   )
   /SUM(INDEX(AA:AA, ROW()-COUNTIF($F$6:INDEX($F:$F, ROW()-1), $F187)) : INDEX(AA:AA, ROW()-1)),
   AVERAGEIFS(
     INDEX((unit_details[Effective Rent],unit_details[Effective PSF]),0,1,IF($U$3="Chunk Rent",1,2)),
     unit_details[Leased Date],"&gt;="&amp;($AM$2-X$5),
     unit_details[Leased Date],"&lt;"&amp;$AM$2,
     unit_details[Beds],$L188,
     unit_details[Baths],$M188,
     unit_details[Partial Baths],IF(ISNUMBER($N188),$N188,""),
     unit_details[Sqft],$P188,
     unit_details[Property Name],$F188)
 ),"")</f>
        <v/>
      </c>
      <c r="Z188" s="27" t="str">
        <f t="shared" si="33"/>
        <v/>
      </c>
      <c r="AA188" s="526">
        <f>IFERROR(
  IF($F188="Total",
    SUM(INDEX(AA:AA, ROW()-COUNTIF($F$6:INDEX($F:$F, ROW()-1), $F187)) : INDEX(AA:AA, ROW()-1)),
    COUNTIFS(
      unit_details[Leased Date], "&gt;="&amp;($AM$2-X$5),
      unit_details[Leased Date], "&lt;"&amp;$AM$2,
      unit_details[Beds], $L188,
      unit_details[Baths], $M188,
      unit_details[Partial Baths], IF(ISNUMBER($N188), $N188, ""),
      unit_details[Sqft],$P188,
      unit_details[Property Name], $F188
    )
  ),
"")</f>
        <v>0</v>
      </c>
      <c r="AB188" s="290">
        <f>IF($F188="Total",
SUM(INDEX(AB:AB, ROW()-COUNTIF($F$6:INDEX($F:$F, ROW()-1), $F187)) : INDEX(AB:AB, ROW()-1)),
COUNTIFS(unit_details[Active Listing?],TRUE,
          unit_details[Property Name], $F188,
          unit_details[Beds], $L188,
          unit_details[Baths], $M188,
          unit_details[Partial Baths],IF(ISNUMBER($N188),$N188,""),
          unit_details[Sqft],$P188))</f>
        <v>0</v>
      </c>
      <c r="AC188" s="27" t="str">
        <f t="shared" si="25"/>
        <v/>
      </c>
      <c r="AD188" s="293" t="str">
        <f>IFERROR(IF(AE188="","",IF($F188="Total",
SUMPRODUCT(
   INDEX(AD:AD, ROW()-COUNTIF($F$6:INDEX($F:$F, ROW()-1), $F187)) : INDEX(AD:AD, ROW()-1),
   INDEX(AB:AB, ROW()-COUNTIF($F$6:INDEX($F:$F, ROW()-1), $F187)) : INDEX(AB:AB, ROW()-1)
   )
   /SUM(INDEX(AB:AB, ROW()-COUNTIF($F$6:INDEX($F:$F, ROW()-1), $F187)) : INDEX(AB:AB, ROW()-1)),
          _xlfn.MINIFS(unit_details[Asking Rent],
          unit_details[Active Listing?],TRUE,
          unit_details[Property Name], $F188,
          unit_details[Beds], $L188,
          unit_details[Baths], $M188,
          unit_details[Partial Baths], IF(ISNUMBER($N188),$N188,""),
          unit_details[Sqft],$P188
))),"")</f>
        <v/>
      </c>
      <c r="AE188" s="5" t="str">
        <f>IFERROR(IF($F188="Total",
          SUMPRODUCT(
   INDEX(AE:AE, ROW()-COUNTIF($F$6:INDEX($F:$F, ROW()-1), $F187)) : INDEX(AE:AE, ROW()-1),
   INDEX(AB:AB, ROW()-COUNTIF($F$6:INDEX($F:$F, ROW()-1), $F187)) : INDEX(AB:AB, ROW()-1)
   )
   /SUM(INDEX(AB:AB, ROW()-COUNTIF($F$6:INDEX($F:$F, ROW()-1), $F187)) : INDEX(AB:AB, ROW()-1)),
          AVERAGEIFS(unit_details[Asking Rent],
          unit_details[Active Listing?],TRUE,
          unit_details[Property Name], $F188,
          unit_details[Beds], $L188,
          unit_details[Baths], $M188,
          unit_details[Partial Baths], IF(ISNUMBER($N188),$N188,""),
          unit_details[Sqft],$P188
)),"")</f>
        <v/>
      </c>
      <c r="AF188" s="5" t="str">
        <f>IFERROR(IF(AE188="","",IF($F188="Total",
SUMPRODUCT(
   INDEX(AF:AF, ROW()-COUNTIF($F$6:INDEX($F:$F, ROW()-1), $F187)) : INDEX(AF:AF, ROW()-1),
   INDEX(AB:AB, ROW()-COUNTIF($F$6:INDEX($F:$F, ROW()-1), $F187)) : INDEX(AB:AB, ROW()-1)
   )
   /SUM(INDEX(AB:AB, ROW()-COUNTIF($F$6:INDEX($F:$F, ROW()-1), $F187)) : INDEX(AB:AB, ROW()-1)),
           _xlfn.MAXIFS(unit_details[Asking Rent],
          unit_details[Active Listing?],TRUE,
          unit_details[Property Name], $F188,
          unit_details[Beds], $L188,
          unit_details[Baths], $M188,
          unit_details[Partial Baths], IF(ISNUMBER($N188),$N188,""),
          unit_details[Sqft],$P188
))),"")</f>
        <v/>
      </c>
      <c r="AG188" s="6" t="str">
        <f>IFERROR(IF($F188="Total",
         SUMPRODUCT(
         INDEX(AG:AG, ROW()-COUNTIF($F$6:INDEX($F:$F, ROW()-1), $F187)) : INDEX(AG:AG, ROW()-1),
         INDEX(AB:AB, ROW()-COUNTIF($F$6:INDEX($F:$F, ROW()-1), $F187)) : INDEX(AB:AB, ROW()-1)
         )
         /SUM(INDEX(AB:AB, ROW()-COUNTIF($F$6:INDEX($F:$F, ROW()-1), $F187)) : INDEX(AB:AB, ROW()-1)),
          AVERAGEIFS(unit_details[Asking PSF],
          unit_details[Active Listing?],TRUE,
          unit_details[Property Name], $F188,
          unit_details[Beds], $L188,
          unit_details[Baths], $M188,
          unit_details[Partial Baths], IF(ISNUMBER($N188),$N188,""),
          unit_details[Sqft],$P188
)),"")</f>
        <v/>
      </c>
      <c r="AH188" s="293" t="str">
        <f>IFERROR(IF($F188="Total",
         SUMPRODUCT(
         INDEX(AH:AH, ROW()-COUNTIF($F$6:INDEX($F:$F, ROW()-1), $F187)) : INDEX(AH:AH, ROW()-1),
         INDEX(AB:AB, ROW()-COUNTIF($F$6:INDEX($F:$F, ROW()-1), $F187)) : INDEX(AB:AB, ROW()-1)
         )
         /SUM(INDEX(AB:AB, ROW()-COUNTIF($F$6:INDEX($F:$F, ROW()-1), $F187)) : INDEX(AB:AB, ROW()-1)),
          AVERAGEIFS(unit_details[Effective Rent],
          unit_details[Active Listing?],TRUE,
          unit_details[Property Name], $F188,
          unit_details[Beds], $L188,
          unit_details[Baths], $M188,
          unit_details[Partial Baths], IF(ISNUMBER($N188),$N188,""),
          unit_details[Sqft],$P188
)),"")</f>
        <v/>
      </c>
      <c r="AI188" s="6" t="str">
        <f>IFERROR(IF($F188="Total",
         SUMPRODUCT(
         INDEX(AI:AI, ROW()-COUNTIF($F$6:INDEX($F:$F, ROW()-1), $F187)) : INDEX(AI:AI, ROW()-1),
         INDEX(AB:AB, ROW()-COUNTIF($F$6:INDEX($F:$F, ROW()-1), $F187)) : INDEX(AB:AB, ROW()-1)
         )
         /SUM(INDEX(AB:AB, ROW()-COUNTIF($F$6:INDEX($F:$F, ROW()-1), $F187)) : INDEX(AB:AB, ROW()-1)),
           AVERAGEIFS(unit_details[Effective PSF],
          unit_details[Active Listing?],TRUE,
          unit_details[Property Name], $F188,
          unit_details[Beds], $L188,
          unit_details[Baths], $M188,
          unit_details[Partial Baths], IF(ISNUMBER($N188),$N188,""),
          unit_details[Sqft],$P188
)),"")</f>
        <v/>
      </c>
      <c r="AJ188" s="824" t="str">
        <f t="shared" si="26"/>
        <v/>
      </c>
      <c r="AK188" s="531" t="str">
        <f t="shared" si="27"/>
        <v/>
      </c>
      <c r="AL188" s="714" t="str">
        <f t="shared" si="28"/>
        <v/>
      </c>
      <c r="AM188" s="531" t="str">
        <f t="shared" si="29"/>
        <v/>
      </c>
      <c r="AN188" s="716" t="str">
        <f t="shared" si="30"/>
        <v/>
      </c>
    </row>
    <row r="189" spans="6:40" x14ac:dyDescent="0.2">
      <c r="F189" s="1" t="str">
        <f t="shared" si="23"/>
        <v/>
      </c>
      <c r="G189" s="713" t="str">
        <f t="shared" si="31"/>
        <v/>
      </c>
      <c r="H189" s="17" t="str">
        <f>IFERROR(VLOOKUP($G189,Table1[[Property]:[Exposure %]],4,0),"")</f>
        <v/>
      </c>
      <c r="I189" s="3" t="str">
        <f>IFERROR(VLOOKUP($G189,Table1[[Property]:[Exposure %]],6,0),"")</f>
        <v/>
      </c>
      <c r="J189" s="3" t="str">
        <f>IFERROR(VLOOKUP($G189,Table1[[Property]:[Exposure %]],7,0),"")</f>
        <v/>
      </c>
      <c r="K189"/>
      <c r="L189"/>
      <c r="M189"/>
      <c r="N189"/>
      <c r="O189"/>
      <c r="P189"/>
      <c r="Q189"/>
      <c r="R189" s="4" t="str">
        <f>IFERROR(VLOOKUP(IF(F189="Total",F188,F189),Table1[[Property]:['# Units]],7,0)*S189,"")</f>
        <v/>
      </c>
      <c r="S189" s="27" t="str">
        <f t="shared" si="24"/>
        <v/>
      </c>
      <c r="T189" s="531" t="str">
        <f>IFERROR(
 IF($F189="Total",
   SUMPRODUCT(
   INDEX(T:T, ROW()-COUNTIF($F$6:INDEX($F:$F, ROW()-1), $F188)) : INDEX(T:T, ROW()-1),
   INDEX(W:W, ROW()-COUNTIF($F$6:INDEX($F:$F, ROW()-1), $F188)) : INDEX(W:W, ROW()-1)
   )
   /SUM(INDEX(W:W, ROW()-COUNTIF($F$6:INDEX($F:$F, ROW()-1), $F188)) : INDEX(W:W, ROW()-1)),
   AVERAGEIFS(
     INDEX((unit_details[Asking Rent],unit_details[Asking PSF]),0,1,IF($U$3="Chunk Rent",1,2)),
     unit_details[Leased Date],"&gt;="&amp;($AM$2-T$5),
     unit_details[Leased Date],"&lt;"&amp;$AM$2,
     unit_details[Beds],$L189,
     unit_details[Baths],$M189,
     unit_details[Partial Baths],IF(ISNUMBER($N189),$N189,""),
     unit_details[Sqft],$P189,
     unit_details[Property Name],$F189)
 ),"")</f>
        <v/>
      </c>
      <c r="U189" s="552" t="str">
        <f>IFERROR(
 IF($F189="Total",
   SUMPRODUCT(
   INDEX(U:U, ROW()-COUNTIF($F$6:INDEX($F:$F, ROW()-1), $F188)) : INDEX(U:U, ROW()-1),
   INDEX(W:W, ROW()-COUNTIF($F$6:INDEX($F:$F, ROW()-1), $F188)) : INDEX(W:W, ROW()-1)
   )
   /SUM(INDEX(W:W, ROW()-COUNTIF($F$6:INDEX($F:$F, ROW()-1), $F188)) : INDEX(W:W, ROW()-1)),
   AVERAGEIFS(
     INDEX((unit_details[Effective Rent],unit_details[Effective PSF]),0,1,IF($U$3="Chunk Rent",1,2)),
     unit_details[Leased Date],"&gt;="&amp;($AM$2-T$5),
     unit_details[Leased Date],"&lt;"&amp;$AM$2,
     unit_details[Beds],$L189,
     unit_details[Baths],$M189,
     unit_details[Partial Baths],IF(ISNUMBER($N189),$N189,""),
     unit_details[Sqft],$P189,
     unit_details[Property Name],$F189)
 ),"")</f>
        <v/>
      </c>
      <c r="V189" s="27" t="str">
        <f t="shared" si="32"/>
        <v/>
      </c>
      <c r="W189" s="526">
        <f>IFERROR(
  IF($F189="Total",
    SUM(INDEX(W:W, ROW()-COUNTIF($F$6:INDEX($F:$F, ROW()-1), $F188)) : INDEX(W:W, ROW()-1)),
    COUNTIFS(
      unit_details[Leased Date], "&gt;="&amp;($AM$2-T$5),
      unit_details[Leased Date], "&lt;"&amp;$AM$2,
      unit_details[Beds], $L189,
      unit_details[Baths], $M189,
      unit_details[Partial Baths], IF(ISNUMBER($N189), $N189, ""),
      unit_details[Sqft],$P189,
      unit_details[Property Name], $F189
    )
  ),
"")</f>
        <v>0</v>
      </c>
      <c r="X189" s="531" t="str">
        <f>IFERROR(
 IF($F189="Total",
   SUMPRODUCT(
   INDEX(X:X, ROW()-COUNTIF($F$6:INDEX($F:$F, ROW()-1), $F188)) : INDEX(X:X, ROW()-1),
   INDEX(AA:AA, ROW()-COUNTIF($F$6:INDEX($F:$F, ROW()-1), $F188)) : INDEX(AA:AA, ROW()-1)
   )
   /SUM(INDEX(AA:AA, ROW()-COUNTIF($F$6:INDEX($F:$F, ROW()-1), $F188)) : INDEX(AA:AA, ROW()-1)),
   AVERAGEIFS(
     INDEX((unit_details[Asking Rent],unit_details[Asking PSF]),0,1,IF($U$3="Chunk Rent",1,2)),
     unit_details[Leased Date],"&gt;="&amp;($AM$2-X$5),
     unit_details[Leased Date],"&lt;"&amp;$AM$2,
     unit_details[Beds],$L189,
     unit_details[Baths],$M189,
     unit_details[Partial Baths],IF(ISNUMBER($N189),$N189,""),
     unit_details[Sqft],$P189,
     unit_details[Property Name],$F189)
 ),"")</f>
        <v/>
      </c>
      <c r="Y189" s="552" t="str">
        <f>IFERROR(
 IF($F189="Total",
   SUMPRODUCT(
   INDEX(Y:Y, ROW()-COUNTIF($F$6:INDEX($F:$F, ROW()-1), $F188)) : INDEX(Y:Y, ROW()-1),
   INDEX(AA:AA, ROW()-COUNTIF($F$6:INDEX($F:$F, ROW()-1), $F188)) : INDEX(AA:AA, ROW()-1)
   )
   /SUM(INDEX(AA:AA, ROW()-COUNTIF($F$6:INDEX($F:$F, ROW()-1), $F188)) : INDEX(AA:AA, ROW()-1)),
   AVERAGEIFS(
     INDEX((unit_details[Effective Rent],unit_details[Effective PSF]),0,1,IF($U$3="Chunk Rent",1,2)),
     unit_details[Leased Date],"&gt;="&amp;($AM$2-X$5),
     unit_details[Leased Date],"&lt;"&amp;$AM$2,
     unit_details[Beds],$L189,
     unit_details[Baths],$M189,
     unit_details[Partial Baths],IF(ISNUMBER($N189),$N189,""),
     unit_details[Sqft],$P189,
     unit_details[Property Name],$F189)
 ),"")</f>
        <v/>
      </c>
      <c r="Z189" s="27" t="str">
        <f t="shared" si="33"/>
        <v/>
      </c>
      <c r="AA189" s="526">
        <f>IFERROR(
  IF($F189="Total",
    SUM(INDEX(AA:AA, ROW()-COUNTIF($F$6:INDEX($F:$F, ROW()-1), $F188)) : INDEX(AA:AA, ROW()-1)),
    COUNTIFS(
      unit_details[Leased Date], "&gt;="&amp;($AM$2-X$5),
      unit_details[Leased Date], "&lt;"&amp;$AM$2,
      unit_details[Beds], $L189,
      unit_details[Baths], $M189,
      unit_details[Partial Baths], IF(ISNUMBER($N189), $N189, ""),
      unit_details[Sqft],$P189,
      unit_details[Property Name], $F189
    )
  ),
"")</f>
        <v>0</v>
      </c>
      <c r="AB189" s="290">
        <f>IF($F189="Total",
SUM(INDEX(AB:AB, ROW()-COUNTIF($F$6:INDEX($F:$F, ROW()-1), $F188)) : INDEX(AB:AB, ROW()-1)),
COUNTIFS(unit_details[Active Listing?],TRUE,
          unit_details[Property Name], $F189,
          unit_details[Beds], $L189,
          unit_details[Baths], $M189,
          unit_details[Partial Baths],IF(ISNUMBER($N189),$N189,""),
          unit_details[Sqft],$P189))</f>
        <v>0</v>
      </c>
      <c r="AC189" s="27" t="str">
        <f t="shared" si="25"/>
        <v/>
      </c>
      <c r="AD189" s="293" t="str">
        <f>IFERROR(IF(AE189="","",IF($F189="Total",
SUMPRODUCT(
   INDEX(AD:AD, ROW()-COUNTIF($F$6:INDEX($F:$F, ROW()-1), $F188)) : INDEX(AD:AD, ROW()-1),
   INDEX(AB:AB, ROW()-COUNTIF($F$6:INDEX($F:$F, ROW()-1), $F188)) : INDEX(AB:AB, ROW()-1)
   )
   /SUM(INDEX(AB:AB, ROW()-COUNTIF($F$6:INDEX($F:$F, ROW()-1), $F188)) : INDEX(AB:AB, ROW()-1)),
          _xlfn.MINIFS(unit_details[Asking Rent],
          unit_details[Active Listing?],TRUE,
          unit_details[Property Name], $F189,
          unit_details[Beds], $L189,
          unit_details[Baths], $M189,
          unit_details[Partial Baths], IF(ISNUMBER($N189),$N189,""),
          unit_details[Sqft],$P189
))),"")</f>
        <v/>
      </c>
      <c r="AE189" s="5" t="str">
        <f>IFERROR(IF($F189="Total",
          SUMPRODUCT(
   INDEX(AE:AE, ROW()-COUNTIF($F$6:INDEX($F:$F, ROW()-1), $F188)) : INDEX(AE:AE, ROW()-1),
   INDEX(AB:AB, ROW()-COUNTIF($F$6:INDEX($F:$F, ROW()-1), $F188)) : INDEX(AB:AB, ROW()-1)
   )
   /SUM(INDEX(AB:AB, ROW()-COUNTIF($F$6:INDEX($F:$F, ROW()-1), $F188)) : INDEX(AB:AB, ROW()-1)),
          AVERAGEIFS(unit_details[Asking Rent],
          unit_details[Active Listing?],TRUE,
          unit_details[Property Name], $F189,
          unit_details[Beds], $L189,
          unit_details[Baths], $M189,
          unit_details[Partial Baths], IF(ISNUMBER($N189),$N189,""),
          unit_details[Sqft],$P189
)),"")</f>
        <v/>
      </c>
      <c r="AF189" s="5" t="str">
        <f>IFERROR(IF(AE189="","",IF($F189="Total",
SUMPRODUCT(
   INDEX(AF:AF, ROW()-COUNTIF($F$6:INDEX($F:$F, ROW()-1), $F188)) : INDEX(AF:AF, ROW()-1),
   INDEX(AB:AB, ROW()-COUNTIF($F$6:INDEX($F:$F, ROW()-1), $F188)) : INDEX(AB:AB, ROW()-1)
   )
   /SUM(INDEX(AB:AB, ROW()-COUNTIF($F$6:INDEX($F:$F, ROW()-1), $F188)) : INDEX(AB:AB, ROW()-1)),
           _xlfn.MAXIFS(unit_details[Asking Rent],
          unit_details[Active Listing?],TRUE,
          unit_details[Property Name], $F189,
          unit_details[Beds], $L189,
          unit_details[Baths], $M189,
          unit_details[Partial Baths], IF(ISNUMBER($N189),$N189,""),
          unit_details[Sqft],$P189
))),"")</f>
        <v/>
      </c>
      <c r="AG189" s="6" t="str">
        <f>IFERROR(IF($F189="Total",
         SUMPRODUCT(
         INDEX(AG:AG, ROW()-COUNTIF($F$6:INDEX($F:$F, ROW()-1), $F188)) : INDEX(AG:AG, ROW()-1),
         INDEX(AB:AB, ROW()-COUNTIF($F$6:INDEX($F:$F, ROW()-1), $F188)) : INDEX(AB:AB, ROW()-1)
         )
         /SUM(INDEX(AB:AB, ROW()-COUNTIF($F$6:INDEX($F:$F, ROW()-1), $F188)) : INDEX(AB:AB, ROW()-1)),
          AVERAGEIFS(unit_details[Asking PSF],
          unit_details[Active Listing?],TRUE,
          unit_details[Property Name], $F189,
          unit_details[Beds], $L189,
          unit_details[Baths], $M189,
          unit_details[Partial Baths], IF(ISNUMBER($N189),$N189,""),
          unit_details[Sqft],$P189
)),"")</f>
        <v/>
      </c>
      <c r="AH189" s="293" t="str">
        <f>IFERROR(IF($F189="Total",
         SUMPRODUCT(
         INDEX(AH:AH, ROW()-COUNTIF($F$6:INDEX($F:$F, ROW()-1), $F188)) : INDEX(AH:AH, ROW()-1),
         INDEX(AB:AB, ROW()-COUNTIF($F$6:INDEX($F:$F, ROW()-1), $F188)) : INDEX(AB:AB, ROW()-1)
         )
         /SUM(INDEX(AB:AB, ROW()-COUNTIF($F$6:INDEX($F:$F, ROW()-1), $F188)) : INDEX(AB:AB, ROW()-1)),
          AVERAGEIFS(unit_details[Effective Rent],
          unit_details[Active Listing?],TRUE,
          unit_details[Property Name], $F189,
          unit_details[Beds], $L189,
          unit_details[Baths], $M189,
          unit_details[Partial Baths], IF(ISNUMBER($N189),$N189,""),
          unit_details[Sqft],$P189
)),"")</f>
        <v/>
      </c>
      <c r="AI189" s="6" t="str">
        <f>IFERROR(IF($F189="Total",
         SUMPRODUCT(
         INDEX(AI:AI, ROW()-COUNTIF($F$6:INDEX($F:$F, ROW()-1), $F188)) : INDEX(AI:AI, ROW()-1),
         INDEX(AB:AB, ROW()-COUNTIF($F$6:INDEX($F:$F, ROW()-1), $F188)) : INDEX(AB:AB, ROW()-1)
         )
         /SUM(INDEX(AB:AB, ROW()-COUNTIF($F$6:INDEX($F:$F, ROW()-1), $F188)) : INDEX(AB:AB, ROW()-1)),
           AVERAGEIFS(unit_details[Effective PSF],
          unit_details[Active Listing?],TRUE,
          unit_details[Property Name], $F189,
          unit_details[Beds], $L189,
          unit_details[Baths], $M189,
          unit_details[Partial Baths], IF(ISNUMBER($N189),$N189,""),
          unit_details[Sqft],$P189
)),"")</f>
        <v/>
      </c>
      <c r="AJ189" s="824" t="str">
        <f t="shared" si="26"/>
        <v/>
      </c>
      <c r="AK189" s="531" t="str">
        <f t="shared" si="27"/>
        <v/>
      </c>
      <c r="AL189" s="714" t="str">
        <f t="shared" si="28"/>
        <v/>
      </c>
      <c r="AM189" s="531" t="str">
        <f t="shared" si="29"/>
        <v/>
      </c>
      <c r="AN189" s="716" t="str">
        <f t="shared" si="30"/>
        <v/>
      </c>
    </row>
    <row r="190" spans="6:40" x14ac:dyDescent="0.2">
      <c r="F190" s="1" t="str">
        <f t="shared" si="23"/>
        <v/>
      </c>
      <c r="G190" s="713" t="str">
        <f t="shared" si="31"/>
        <v/>
      </c>
      <c r="H190" s="17" t="str">
        <f>IFERROR(VLOOKUP($G190,Table1[[Property]:[Exposure %]],4,0),"")</f>
        <v/>
      </c>
      <c r="I190" s="3" t="str">
        <f>IFERROR(VLOOKUP($G190,Table1[[Property]:[Exposure %]],6,0),"")</f>
        <v/>
      </c>
      <c r="J190" s="3" t="str">
        <f>IFERROR(VLOOKUP($G190,Table1[[Property]:[Exposure %]],7,0),"")</f>
        <v/>
      </c>
      <c r="K190"/>
      <c r="L190"/>
      <c r="M190"/>
      <c r="N190"/>
      <c r="O190"/>
      <c r="P190"/>
      <c r="Q190"/>
      <c r="R190" s="4" t="str">
        <f>IFERROR(VLOOKUP(IF(F190="Total",F189,F190),Table1[[Property]:['# Units]],7,0)*S190,"")</f>
        <v/>
      </c>
      <c r="S190" s="27" t="str">
        <f t="shared" si="24"/>
        <v/>
      </c>
      <c r="T190" s="531" t="str">
        <f>IFERROR(
 IF($F190="Total",
   SUMPRODUCT(
   INDEX(T:T, ROW()-COUNTIF($F$6:INDEX($F:$F, ROW()-1), $F189)) : INDEX(T:T, ROW()-1),
   INDEX(W:W, ROW()-COUNTIF($F$6:INDEX($F:$F, ROW()-1), $F189)) : INDEX(W:W, ROW()-1)
   )
   /SUM(INDEX(W:W, ROW()-COUNTIF($F$6:INDEX($F:$F, ROW()-1), $F189)) : INDEX(W:W, ROW()-1)),
   AVERAGEIFS(
     INDEX((unit_details[Asking Rent],unit_details[Asking PSF]),0,1,IF($U$3="Chunk Rent",1,2)),
     unit_details[Leased Date],"&gt;="&amp;($AM$2-T$5),
     unit_details[Leased Date],"&lt;"&amp;$AM$2,
     unit_details[Beds],$L190,
     unit_details[Baths],$M190,
     unit_details[Partial Baths],IF(ISNUMBER($N190),$N190,""),
     unit_details[Sqft],$P190,
     unit_details[Property Name],$F190)
 ),"")</f>
        <v/>
      </c>
      <c r="U190" s="552" t="str">
        <f>IFERROR(
 IF($F190="Total",
   SUMPRODUCT(
   INDEX(U:U, ROW()-COUNTIF($F$6:INDEX($F:$F, ROW()-1), $F189)) : INDEX(U:U, ROW()-1),
   INDEX(W:W, ROW()-COUNTIF($F$6:INDEX($F:$F, ROW()-1), $F189)) : INDEX(W:W, ROW()-1)
   )
   /SUM(INDEX(W:W, ROW()-COUNTIF($F$6:INDEX($F:$F, ROW()-1), $F189)) : INDEX(W:W, ROW()-1)),
   AVERAGEIFS(
     INDEX((unit_details[Effective Rent],unit_details[Effective PSF]),0,1,IF($U$3="Chunk Rent",1,2)),
     unit_details[Leased Date],"&gt;="&amp;($AM$2-T$5),
     unit_details[Leased Date],"&lt;"&amp;$AM$2,
     unit_details[Beds],$L190,
     unit_details[Baths],$M190,
     unit_details[Partial Baths],IF(ISNUMBER($N190),$N190,""),
     unit_details[Sqft],$P190,
     unit_details[Property Name],$F190)
 ),"")</f>
        <v/>
      </c>
      <c r="V190" s="27" t="str">
        <f t="shared" si="32"/>
        <v/>
      </c>
      <c r="W190" s="526">
        <f>IFERROR(
  IF($F190="Total",
    SUM(INDEX(W:W, ROW()-COUNTIF($F$6:INDEX($F:$F, ROW()-1), $F189)) : INDEX(W:W, ROW()-1)),
    COUNTIFS(
      unit_details[Leased Date], "&gt;="&amp;($AM$2-T$5),
      unit_details[Leased Date], "&lt;"&amp;$AM$2,
      unit_details[Beds], $L190,
      unit_details[Baths], $M190,
      unit_details[Partial Baths], IF(ISNUMBER($N190), $N190, ""),
      unit_details[Sqft],$P190,
      unit_details[Property Name], $F190
    )
  ),
"")</f>
        <v>0</v>
      </c>
      <c r="X190" s="531" t="str">
        <f>IFERROR(
 IF($F190="Total",
   SUMPRODUCT(
   INDEX(X:X, ROW()-COUNTIF($F$6:INDEX($F:$F, ROW()-1), $F189)) : INDEX(X:X, ROW()-1),
   INDEX(AA:AA, ROW()-COUNTIF($F$6:INDEX($F:$F, ROW()-1), $F189)) : INDEX(AA:AA, ROW()-1)
   )
   /SUM(INDEX(AA:AA, ROW()-COUNTIF($F$6:INDEX($F:$F, ROW()-1), $F189)) : INDEX(AA:AA, ROW()-1)),
   AVERAGEIFS(
     INDEX((unit_details[Asking Rent],unit_details[Asking PSF]),0,1,IF($U$3="Chunk Rent",1,2)),
     unit_details[Leased Date],"&gt;="&amp;($AM$2-X$5),
     unit_details[Leased Date],"&lt;"&amp;$AM$2,
     unit_details[Beds],$L190,
     unit_details[Baths],$M190,
     unit_details[Partial Baths],IF(ISNUMBER($N190),$N190,""),
     unit_details[Sqft],$P190,
     unit_details[Property Name],$F190)
 ),"")</f>
        <v/>
      </c>
      <c r="Y190" s="552" t="str">
        <f>IFERROR(
 IF($F190="Total",
   SUMPRODUCT(
   INDEX(Y:Y, ROW()-COUNTIF($F$6:INDEX($F:$F, ROW()-1), $F189)) : INDEX(Y:Y, ROW()-1),
   INDEX(AA:AA, ROW()-COUNTIF($F$6:INDEX($F:$F, ROW()-1), $F189)) : INDEX(AA:AA, ROW()-1)
   )
   /SUM(INDEX(AA:AA, ROW()-COUNTIF($F$6:INDEX($F:$F, ROW()-1), $F189)) : INDEX(AA:AA, ROW()-1)),
   AVERAGEIFS(
     INDEX((unit_details[Effective Rent],unit_details[Effective PSF]),0,1,IF($U$3="Chunk Rent",1,2)),
     unit_details[Leased Date],"&gt;="&amp;($AM$2-X$5),
     unit_details[Leased Date],"&lt;"&amp;$AM$2,
     unit_details[Beds],$L190,
     unit_details[Baths],$M190,
     unit_details[Partial Baths],IF(ISNUMBER($N190),$N190,""),
     unit_details[Sqft],$P190,
     unit_details[Property Name],$F190)
 ),"")</f>
        <v/>
      </c>
      <c r="Z190" s="27" t="str">
        <f t="shared" si="33"/>
        <v/>
      </c>
      <c r="AA190" s="526">
        <f>IFERROR(
  IF($F190="Total",
    SUM(INDEX(AA:AA, ROW()-COUNTIF($F$6:INDEX($F:$F, ROW()-1), $F189)) : INDEX(AA:AA, ROW()-1)),
    COUNTIFS(
      unit_details[Leased Date], "&gt;="&amp;($AM$2-X$5),
      unit_details[Leased Date], "&lt;"&amp;$AM$2,
      unit_details[Beds], $L190,
      unit_details[Baths], $M190,
      unit_details[Partial Baths], IF(ISNUMBER($N190), $N190, ""),
      unit_details[Sqft],$P190,
      unit_details[Property Name], $F190
    )
  ),
"")</f>
        <v>0</v>
      </c>
      <c r="AB190" s="290">
        <f>IF($F190="Total",
SUM(INDEX(AB:AB, ROW()-COUNTIF($F$6:INDEX($F:$F, ROW()-1), $F189)) : INDEX(AB:AB, ROW()-1)),
COUNTIFS(unit_details[Active Listing?],TRUE,
          unit_details[Property Name], $F190,
          unit_details[Beds], $L190,
          unit_details[Baths], $M190,
          unit_details[Partial Baths],IF(ISNUMBER($N190),$N190,""),
          unit_details[Sqft],$P190))</f>
        <v>0</v>
      </c>
      <c r="AC190" s="27" t="str">
        <f t="shared" si="25"/>
        <v/>
      </c>
      <c r="AD190" s="293" t="str">
        <f>IFERROR(IF(AE190="","",IF($F190="Total",
SUMPRODUCT(
   INDEX(AD:AD, ROW()-COUNTIF($F$6:INDEX($F:$F, ROW()-1), $F189)) : INDEX(AD:AD, ROW()-1),
   INDEX(AB:AB, ROW()-COUNTIF($F$6:INDEX($F:$F, ROW()-1), $F189)) : INDEX(AB:AB, ROW()-1)
   )
   /SUM(INDEX(AB:AB, ROW()-COUNTIF($F$6:INDEX($F:$F, ROW()-1), $F189)) : INDEX(AB:AB, ROW()-1)),
          _xlfn.MINIFS(unit_details[Asking Rent],
          unit_details[Active Listing?],TRUE,
          unit_details[Property Name], $F190,
          unit_details[Beds], $L190,
          unit_details[Baths], $M190,
          unit_details[Partial Baths], IF(ISNUMBER($N190),$N190,""),
          unit_details[Sqft],$P190
))),"")</f>
        <v/>
      </c>
      <c r="AE190" s="5" t="str">
        <f>IFERROR(IF($F190="Total",
          SUMPRODUCT(
   INDEX(AE:AE, ROW()-COUNTIF($F$6:INDEX($F:$F, ROW()-1), $F189)) : INDEX(AE:AE, ROW()-1),
   INDEX(AB:AB, ROW()-COUNTIF($F$6:INDEX($F:$F, ROW()-1), $F189)) : INDEX(AB:AB, ROW()-1)
   )
   /SUM(INDEX(AB:AB, ROW()-COUNTIF($F$6:INDEX($F:$F, ROW()-1), $F189)) : INDEX(AB:AB, ROW()-1)),
          AVERAGEIFS(unit_details[Asking Rent],
          unit_details[Active Listing?],TRUE,
          unit_details[Property Name], $F190,
          unit_details[Beds], $L190,
          unit_details[Baths], $M190,
          unit_details[Partial Baths], IF(ISNUMBER($N190),$N190,""),
          unit_details[Sqft],$P190
)),"")</f>
        <v/>
      </c>
      <c r="AF190" s="5" t="str">
        <f>IFERROR(IF(AE190="","",IF($F190="Total",
SUMPRODUCT(
   INDEX(AF:AF, ROW()-COUNTIF($F$6:INDEX($F:$F, ROW()-1), $F189)) : INDEX(AF:AF, ROW()-1),
   INDEX(AB:AB, ROW()-COUNTIF($F$6:INDEX($F:$F, ROW()-1), $F189)) : INDEX(AB:AB, ROW()-1)
   )
   /SUM(INDEX(AB:AB, ROW()-COUNTIF($F$6:INDEX($F:$F, ROW()-1), $F189)) : INDEX(AB:AB, ROW()-1)),
           _xlfn.MAXIFS(unit_details[Asking Rent],
          unit_details[Active Listing?],TRUE,
          unit_details[Property Name], $F190,
          unit_details[Beds], $L190,
          unit_details[Baths], $M190,
          unit_details[Partial Baths], IF(ISNUMBER($N190),$N190,""),
          unit_details[Sqft],$P190
))),"")</f>
        <v/>
      </c>
      <c r="AG190" s="6" t="str">
        <f>IFERROR(IF($F190="Total",
         SUMPRODUCT(
         INDEX(AG:AG, ROW()-COUNTIF($F$6:INDEX($F:$F, ROW()-1), $F189)) : INDEX(AG:AG, ROW()-1),
         INDEX(AB:AB, ROW()-COUNTIF($F$6:INDEX($F:$F, ROW()-1), $F189)) : INDEX(AB:AB, ROW()-1)
         )
         /SUM(INDEX(AB:AB, ROW()-COUNTIF($F$6:INDEX($F:$F, ROW()-1), $F189)) : INDEX(AB:AB, ROW()-1)),
          AVERAGEIFS(unit_details[Asking PSF],
          unit_details[Active Listing?],TRUE,
          unit_details[Property Name], $F190,
          unit_details[Beds], $L190,
          unit_details[Baths], $M190,
          unit_details[Partial Baths], IF(ISNUMBER($N190),$N190,""),
          unit_details[Sqft],$P190
)),"")</f>
        <v/>
      </c>
      <c r="AH190" s="293" t="str">
        <f>IFERROR(IF($F190="Total",
         SUMPRODUCT(
         INDEX(AH:AH, ROW()-COUNTIF($F$6:INDEX($F:$F, ROW()-1), $F189)) : INDEX(AH:AH, ROW()-1),
         INDEX(AB:AB, ROW()-COUNTIF($F$6:INDEX($F:$F, ROW()-1), $F189)) : INDEX(AB:AB, ROW()-1)
         )
         /SUM(INDEX(AB:AB, ROW()-COUNTIF($F$6:INDEX($F:$F, ROW()-1), $F189)) : INDEX(AB:AB, ROW()-1)),
          AVERAGEIFS(unit_details[Effective Rent],
          unit_details[Active Listing?],TRUE,
          unit_details[Property Name], $F190,
          unit_details[Beds], $L190,
          unit_details[Baths], $M190,
          unit_details[Partial Baths], IF(ISNUMBER($N190),$N190,""),
          unit_details[Sqft],$P190
)),"")</f>
        <v/>
      </c>
      <c r="AI190" s="6" t="str">
        <f>IFERROR(IF($F190="Total",
         SUMPRODUCT(
         INDEX(AI:AI, ROW()-COUNTIF($F$6:INDEX($F:$F, ROW()-1), $F189)) : INDEX(AI:AI, ROW()-1),
         INDEX(AB:AB, ROW()-COUNTIF($F$6:INDEX($F:$F, ROW()-1), $F189)) : INDEX(AB:AB, ROW()-1)
         )
         /SUM(INDEX(AB:AB, ROW()-COUNTIF($F$6:INDEX($F:$F, ROW()-1), $F189)) : INDEX(AB:AB, ROW()-1)),
           AVERAGEIFS(unit_details[Effective PSF],
          unit_details[Active Listing?],TRUE,
          unit_details[Property Name], $F190,
          unit_details[Beds], $L190,
          unit_details[Baths], $M190,
          unit_details[Partial Baths], IF(ISNUMBER($N190),$N190,""),
          unit_details[Sqft],$P190
)),"")</f>
        <v/>
      </c>
      <c r="AJ190" s="824" t="str">
        <f t="shared" si="26"/>
        <v/>
      </c>
      <c r="AK190" s="531" t="str">
        <f t="shared" si="27"/>
        <v/>
      </c>
      <c r="AL190" s="714" t="str">
        <f t="shared" si="28"/>
        <v/>
      </c>
      <c r="AM190" s="531" t="str">
        <f t="shared" si="29"/>
        <v/>
      </c>
      <c r="AN190" s="716" t="str">
        <f t="shared" si="30"/>
        <v/>
      </c>
    </row>
    <row r="191" spans="6:40" x14ac:dyDescent="0.2">
      <c r="F191" s="1" t="str">
        <f t="shared" si="23"/>
        <v/>
      </c>
      <c r="G191" s="713" t="str">
        <f t="shared" si="31"/>
        <v/>
      </c>
      <c r="H191" s="17" t="str">
        <f>IFERROR(VLOOKUP($G191,Table1[[Property]:[Exposure %]],4,0),"")</f>
        <v/>
      </c>
      <c r="I191" s="3" t="str">
        <f>IFERROR(VLOOKUP($G191,Table1[[Property]:[Exposure %]],6,0),"")</f>
        <v/>
      </c>
      <c r="J191" s="3" t="str">
        <f>IFERROR(VLOOKUP($G191,Table1[[Property]:[Exposure %]],7,0),"")</f>
        <v/>
      </c>
      <c r="K191"/>
      <c r="L191"/>
      <c r="M191"/>
      <c r="N191"/>
      <c r="O191"/>
      <c r="P191"/>
      <c r="Q191"/>
      <c r="R191" s="4" t="str">
        <f>IFERROR(VLOOKUP(IF(F191="Total",F190,F191),Table1[[Property]:['# Units]],7,0)*S191,"")</f>
        <v/>
      </c>
      <c r="S191" s="27" t="str">
        <f t="shared" si="24"/>
        <v/>
      </c>
      <c r="T191" s="531" t="str">
        <f>IFERROR(
 IF($F191="Total",
   SUMPRODUCT(
   INDEX(T:T, ROW()-COUNTIF($F$6:INDEX($F:$F, ROW()-1), $F190)) : INDEX(T:T, ROW()-1),
   INDEX(W:W, ROW()-COUNTIF($F$6:INDEX($F:$F, ROW()-1), $F190)) : INDEX(W:W, ROW()-1)
   )
   /SUM(INDEX(W:W, ROW()-COUNTIF($F$6:INDEX($F:$F, ROW()-1), $F190)) : INDEX(W:W, ROW()-1)),
   AVERAGEIFS(
     INDEX((unit_details[Asking Rent],unit_details[Asking PSF]),0,1,IF($U$3="Chunk Rent",1,2)),
     unit_details[Leased Date],"&gt;="&amp;($AM$2-T$5),
     unit_details[Leased Date],"&lt;"&amp;$AM$2,
     unit_details[Beds],$L191,
     unit_details[Baths],$M191,
     unit_details[Partial Baths],IF(ISNUMBER($N191),$N191,""),
     unit_details[Sqft],$P191,
     unit_details[Property Name],$F191)
 ),"")</f>
        <v/>
      </c>
      <c r="U191" s="552" t="str">
        <f>IFERROR(
 IF($F191="Total",
   SUMPRODUCT(
   INDEX(U:U, ROW()-COUNTIF($F$6:INDEX($F:$F, ROW()-1), $F190)) : INDEX(U:U, ROW()-1),
   INDEX(W:W, ROW()-COUNTIF($F$6:INDEX($F:$F, ROW()-1), $F190)) : INDEX(W:W, ROW()-1)
   )
   /SUM(INDEX(W:W, ROW()-COUNTIF($F$6:INDEX($F:$F, ROW()-1), $F190)) : INDEX(W:W, ROW()-1)),
   AVERAGEIFS(
     INDEX((unit_details[Effective Rent],unit_details[Effective PSF]),0,1,IF($U$3="Chunk Rent",1,2)),
     unit_details[Leased Date],"&gt;="&amp;($AM$2-T$5),
     unit_details[Leased Date],"&lt;"&amp;$AM$2,
     unit_details[Beds],$L191,
     unit_details[Baths],$M191,
     unit_details[Partial Baths],IF(ISNUMBER($N191),$N191,""),
     unit_details[Sqft],$P191,
     unit_details[Property Name],$F191)
 ),"")</f>
        <v/>
      </c>
      <c r="V191" s="27" t="str">
        <f t="shared" si="32"/>
        <v/>
      </c>
      <c r="W191" s="526">
        <f>IFERROR(
  IF($F191="Total",
    SUM(INDEX(W:W, ROW()-COUNTIF($F$6:INDEX($F:$F, ROW()-1), $F190)) : INDEX(W:W, ROW()-1)),
    COUNTIFS(
      unit_details[Leased Date], "&gt;="&amp;($AM$2-T$5),
      unit_details[Leased Date], "&lt;"&amp;$AM$2,
      unit_details[Beds], $L191,
      unit_details[Baths], $M191,
      unit_details[Partial Baths], IF(ISNUMBER($N191), $N191, ""),
      unit_details[Sqft],$P191,
      unit_details[Property Name], $F191
    )
  ),
"")</f>
        <v>0</v>
      </c>
      <c r="X191" s="531" t="str">
        <f>IFERROR(
 IF($F191="Total",
   SUMPRODUCT(
   INDEX(X:X, ROW()-COUNTIF($F$6:INDEX($F:$F, ROW()-1), $F190)) : INDEX(X:X, ROW()-1),
   INDEX(AA:AA, ROW()-COUNTIF($F$6:INDEX($F:$F, ROW()-1), $F190)) : INDEX(AA:AA, ROW()-1)
   )
   /SUM(INDEX(AA:AA, ROW()-COUNTIF($F$6:INDEX($F:$F, ROW()-1), $F190)) : INDEX(AA:AA, ROW()-1)),
   AVERAGEIFS(
     INDEX((unit_details[Asking Rent],unit_details[Asking PSF]),0,1,IF($U$3="Chunk Rent",1,2)),
     unit_details[Leased Date],"&gt;="&amp;($AM$2-X$5),
     unit_details[Leased Date],"&lt;"&amp;$AM$2,
     unit_details[Beds],$L191,
     unit_details[Baths],$M191,
     unit_details[Partial Baths],IF(ISNUMBER($N191),$N191,""),
     unit_details[Sqft],$P191,
     unit_details[Property Name],$F191)
 ),"")</f>
        <v/>
      </c>
      <c r="Y191" s="552" t="str">
        <f>IFERROR(
 IF($F191="Total",
   SUMPRODUCT(
   INDEX(Y:Y, ROW()-COUNTIF($F$6:INDEX($F:$F, ROW()-1), $F190)) : INDEX(Y:Y, ROW()-1),
   INDEX(AA:AA, ROW()-COUNTIF($F$6:INDEX($F:$F, ROW()-1), $F190)) : INDEX(AA:AA, ROW()-1)
   )
   /SUM(INDEX(AA:AA, ROW()-COUNTIF($F$6:INDEX($F:$F, ROW()-1), $F190)) : INDEX(AA:AA, ROW()-1)),
   AVERAGEIFS(
     INDEX((unit_details[Effective Rent],unit_details[Effective PSF]),0,1,IF($U$3="Chunk Rent",1,2)),
     unit_details[Leased Date],"&gt;="&amp;($AM$2-X$5),
     unit_details[Leased Date],"&lt;"&amp;$AM$2,
     unit_details[Beds],$L191,
     unit_details[Baths],$M191,
     unit_details[Partial Baths],IF(ISNUMBER($N191),$N191,""),
     unit_details[Sqft],$P191,
     unit_details[Property Name],$F191)
 ),"")</f>
        <v/>
      </c>
      <c r="Z191" s="27" t="str">
        <f t="shared" si="33"/>
        <v/>
      </c>
      <c r="AA191" s="526">
        <f>IFERROR(
  IF($F191="Total",
    SUM(INDEX(AA:AA, ROW()-COUNTIF($F$6:INDEX($F:$F, ROW()-1), $F190)) : INDEX(AA:AA, ROW()-1)),
    COUNTIFS(
      unit_details[Leased Date], "&gt;="&amp;($AM$2-X$5),
      unit_details[Leased Date], "&lt;"&amp;$AM$2,
      unit_details[Beds], $L191,
      unit_details[Baths], $M191,
      unit_details[Partial Baths], IF(ISNUMBER($N191), $N191, ""),
      unit_details[Sqft],$P191,
      unit_details[Property Name], $F191
    )
  ),
"")</f>
        <v>0</v>
      </c>
      <c r="AB191" s="290">
        <f>IF($F191="Total",
SUM(INDEX(AB:AB, ROW()-COUNTIF($F$6:INDEX($F:$F, ROW()-1), $F190)) : INDEX(AB:AB, ROW()-1)),
COUNTIFS(unit_details[Active Listing?],TRUE,
          unit_details[Property Name], $F191,
          unit_details[Beds], $L191,
          unit_details[Baths], $M191,
          unit_details[Partial Baths],IF(ISNUMBER($N191),$N191,""),
          unit_details[Sqft],$P191))</f>
        <v>0</v>
      </c>
      <c r="AC191" s="27" t="str">
        <f t="shared" si="25"/>
        <v/>
      </c>
      <c r="AD191" s="293" t="str">
        <f>IFERROR(IF(AE191="","",IF($F191="Total",
SUMPRODUCT(
   INDEX(AD:AD, ROW()-COUNTIF($F$6:INDEX($F:$F, ROW()-1), $F190)) : INDEX(AD:AD, ROW()-1),
   INDEX(AB:AB, ROW()-COUNTIF($F$6:INDEX($F:$F, ROW()-1), $F190)) : INDEX(AB:AB, ROW()-1)
   )
   /SUM(INDEX(AB:AB, ROW()-COUNTIF($F$6:INDEX($F:$F, ROW()-1), $F190)) : INDEX(AB:AB, ROW()-1)),
          _xlfn.MINIFS(unit_details[Asking Rent],
          unit_details[Active Listing?],TRUE,
          unit_details[Property Name], $F191,
          unit_details[Beds], $L191,
          unit_details[Baths], $M191,
          unit_details[Partial Baths], IF(ISNUMBER($N191),$N191,""),
          unit_details[Sqft],$P191
))),"")</f>
        <v/>
      </c>
      <c r="AE191" s="5" t="str">
        <f>IFERROR(IF($F191="Total",
          SUMPRODUCT(
   INDEX(AE:AE, ROW()-COUNTIF($F$6:INDEX($F:$F, ROW()-1), $F190)) : INDEX(AE:AE, ROW()-1),
   INDEX(AB:AB, ROW()-COUNTIF($F$6:INDEX($F:$F, ROW()-1), $F190)) : INDEX(AB:AB, ROW()-1)
   )
   /SUM(INDEX(AB:AB, ROW()-COUNTIF($F$6:INDEX($F:$F, ROW()-1), $F190)) : INDEX(AB:AB, ROW()-1)),
          AVERAGEIFS(unit_details[Asking Rent],
          unit_details[Active Listing?],TRUE,
          unit_details[Property Name], $F191,
          unit_details[Beds], $L191,
          unit_details[Baths], $M191,
          unit_details[Partial Baths], IF(ISNUMBER($N191),$N191,""),
          unit_details[Sqft],$P191
)),"")</f>
        <v/>
      </c>
      <c r="AF191" s="5" t="str">
        <f>IFERROR(IF(AE191="","",IF($F191="Total",
SUMPRODUCT(
   INDEX(AF:AF, ROW()-COUNTIF($F$6:INDEX($F:$F, ROW()-1), $F190)) : INDEX(AF:AF, ROW()-1),
   INDEX(AB:AB, ROW()-COUNTIF($F$6:INDEX($F:$F, ROW()-1), $F190)) : INDEX(AB:AB, ROW()-1)
   )
   /SUM(INDEX(AB:AB, ROW()-COUNTIF($F$6:INDEX($F:$F, ROW()-1), $F190)) : INDEX(AB:AB, ROW()-1)),
           _xlfn.MAXIFS(unit_details[Asking Rent],
          unit_details[Active Listing?],TRUE,
          unit_details[Property Name], $F191,
          unit_details[Beds], $L191,
          unit_details[Baths], $M191,
          unit_details[Partial Baths], IF(ISNUMBER($N191),$N191,""),
          unit_details[Sqft],$P191
))),"")</f>
        <v/>
      </c>
      <c r="AG191" s="6" t="str">
        <f>IFERROR(IF($F191="Total",
         SUMPRODUCT(
         INDEX(AG:AG, ROW()-COUNTIF($F$6:INDEX($F:$F, ROW()-1), $F190)) : INDEX(AG:AG, ROW()-1),
         INDEX(AB:AB, ROW()-COUNTIF($F$6:INDEX($F:$F, ROW()-1), $F190)) : INDEX(AB:AB, ROW()-1)
         )
         /SUM(INDEX(AB:AB, ROW()-COUNTIF($F$6:INDEX($F:$F, ROW()-1), $F190)) : INDEX(AB:AB, ROW()-1)),
          AVERAGEIFS(unit_details[Asking PSF],
          unit_details[Active Listing?],TRUE,
          unit_details[Property Name], $F191,
          unit_details[Beds], $L191,
          unit_details[Baths], $M191,
          unit_details[Partial Baths], IF(ISNUMBER($N191),$N191,""),
          unit_details[Sqft],$P191
)),"")</f>
        <v/>
      </c>
      <c r="AH191" s="293" t="str">
        <f>IFERROR(IF($F191="Total",
         SUMPRODUCT(
         INDEX(AH:AH, ROW()-COUNTIF($F$6:INDEX($F:$F, ROW()-1), $F190)) : INDEX(AH:AH, ROW()-1),
         INDEX(AB:AB, ROW()-COUNTIF($F$6:INDEX($F:$F, ROW()-1), $F190)) : INDEX(AB:AB, ROW()-1)
         )
         /SUM(INDEX(AB:AB, ROW()-COUNTIF($F$6:INDEX($F:$F, ROW()-1), $F190)) : INDEX(AB:AB, ROW()-1)),
          AVERAGEIFS(unit_details[Effective Rent],
          unit_details[Active Listing?],TRUE,
          unit_details[Property Name], $F191,
          unit_details[Beds], $L191,
          unit_details[Baths], $M191,
          unit_details[Partial Baths], IF(ISNUMBER($N191),$N191,""),
          unit_details[Sqft],$P191
)),"")</f>
        <v/>
      </c>
      <c r="AI191" s="6" t="str">
        <f>IFERROR(IF($F191="Total",
         SUMPRODUCT(
         INDEX(AI:AI, ROW()-COUNTIF($F$6:INDEX($F:$F, ROW()-1), $F190)) : INDEX(AI:AI, ROW()-1),
         INDEX(AB:AB, ROW()-COUNTIF($F$6:INDEX($F:$F, ROW()-1), $F190)) : INDEX(AB:AB, ROW()-1)
         )
         /SUM(INDEX(AB:AB, ROW()-COUNTIF($F$6:INDEX($F:$F, ROW()-1), $F190)) : INDEX(AB:AB, ROW()-1)),
           AVERAGEIFS(unit_details[Effective PSF],
          unit_details[Active Listing?],TRUE,
          unit_details[Property Name], $F191,
          unit_details[Beds], $L191,
          unit_details[Baths], $M191,
          unit_details[Partial Baths], IF(ISNUMBER($N191),$N191,""),
          unit_details[Sqft],$P191
)),"")</f>
        <v/>
      </c>
      <c r="AJ191" s="824" t="str">
        <f t="shared" si="26"/>
        <v/>
      </c>
      <c r="AK191" s="531" t="str">
        <f t="shared" si="27"/>
        <v/>
      </c>
      <c r="AL191" s="714" t="str">
        <f t="shared" si="28"/>
        <v/>
      </c>
      <c r="AM191" s="531" t="str">
        <f t="shared" si="29"/>
        <v/>
      </c>
      <c r="AN191" s="716" t="str">
        <f t="shared" si="30"/>
        <v/>
      </c>
    </row>
    <row r="192" spans="6:40" x14ac:dyDescent="0.2">
      <c r="F192" s="1" t="str">
        <f t="shared" si="23"/>
        <v/>
      </c>
      <c r="G192" s="713" t="str">
        <f t="shared" si="31"/>
        <v/>
      </c>
      <c r="H192" s="17" t="str">
        <f>IFERROR(VLOOKUP($G192,Table1[[Property]:[Exposure %]],4,0),"")</f>
        <v/>
      </c>
      <c r="I192" s="3" t="str">
        <f>IFERROR(VLOOKUP($G192,Table1[[Property]:[Exposure %]],6,0),"")</f>
        <v/>
      </c>
      <c r="J192" s="3" t="str">
        <f>IFERROR(VLOOKUP($G192,Table1[[Property]:[Exposure %]],7,0),"")</f>
        <v/>
      </c>
      <c r="K192"/>
      <c r="L192"/>
      <c r="M192"/>
      <c r="N192"/>
      <c r="O192"/>
      <c r="P192"/>
      <c r="Q192"/>
      <c r="R192" s="4" t="str">
        <f>IFERROR(VLOOKUP(IF(F192="Total",F191,F192),Table1[[Property]:['# Units]],7,0)*S192,"")</f>
        <v/>
      </c>
      <c r="S192" s="27" t="str">
        <f t="shared" si="24"/>
        <v/>
      </c>
      <c r="T192" s="531" t="str">
        <f>IFERROR(
 IF($F192="Total",
   SUMPRODUCT(
   INDEX(T:T, ROW()-COUNTIF($F$6:INDEX($F:$F, ROW()-1), $F191)) : INDEX(T:T, ROW()-1),
   INDEX(W:W, ROW()-COUNTIF($F$6:INDEX($F:$F, ROW()-1), $F191)) : INDEX(W:W, ROW()-1)
   )
   /SUM(INDEX(W:W, ROW()-COUNTIF($F$6:INDEX($F:$F, ROW()-1), $F191)) : INDEX(W:W, ROW()-1)),
   AVERAGEIFS(
     INDEX((unit_details[Asking Rent],unit_details[Asking PSF]),0,1,IF($U$3="Chunk Rent",1,2)),
     unit_details[Leased Date],"&gt;="&amp;($AM$2-T$5),
     unit_details[Leased Date],"&lt;"&amp;$AM$2,
     unit_details[Beds],$L192,
     unit_details[Baths],$M192,
     unit_details[Partial Baths],IF(ISNUMBER($N192),$N192,""),
     unit_details[Sqft],$P192,
     unit_details[Property Name],$F192)
 ),"")</f>
        <v/>
      </c>
      <c r="U192" s="552" t="str">
        <f>IFERROR(
 IF($F192="Total",
   SUMPRODUCT(
   INDEX(U:U, ROW()-COUNTIF($F$6:INDEX($F:$F, ROW()-1), $F191)) : INDEX(U:U, ROW()-1),
   INDEX(W:W, ROW()-COUNTIF($F$6:INDEX($F:$F, ROW()-1), $F191)) : INDEX(W:W, ROW()-1)
   )
   /SUM(INDEX(W:W, ROW()-COUNTIF($F$6:INDEX($F:$F, ROW()-1), $F191)) : INDEX(W:W, ROW()-1)),
   AVERAGEIFS(
     INDEX((unit_details[Effective Rent],unit_details[Effective PSF]),0,1,IF($U$3="Chunk Rent",1,2)),
     unit_details[Leased Date],"&gt;="&amp;($AM$2-T$5),
     unit_details[Leased Date],"&lt;"&amp;$AM$2,
     unit_details[Beds],$L192,
     unit_details[Baths],$M192,
     unit_details[Partial Baths],IF(ISNUMBER($N192),$N192,""),
     unit_details[Sqft],$P192,
     unit_details[Property Name],$F192)
 ),"")</f>
        <v/>
      </c>
      <c r="V192" s="27" t="str">
        <f t="shared" si="32"/>
        <v/>
      </c>
      <c r="W192" s="526">
        <f>IFERROR(
  IF($F192="Total",
    SUM(INDEX(W:W, ROW()-COUNTIF($F$6:INDEX($F:$F, ROW()-1), $F191)) : INDEX(W:W, ROW()-1)),
    COUNTIFS(
      unit_details[Leased Date], "&gt;="&amp;($AM$2-T$5),
      unit_details[Leased Date], "&lt;"&amp;$AM$2,
      unit_details[Beds], $L192,
      unit_details[Baths], $M192,
      unit_details[Partial Baths], IF(ISNUMBER($N192), $N192, ""),
      unit_details[Sqft],$P192,
      unit_details[Property Name], $F192
    )
  ),
"")</f>
        <v>0</v>
      </c>
      <c r="X192" s="531" t="str">
        <f>IFERROR(
 IF($F192="Total",
   SUMPRODUCT(
   INDEX(X:X, ROW()-COUNTIF($F$6:INDEX($F:$F, ROW()-1), $F191)) : INDEX(X:X, ROW()-1),
   INDEX(AA:AA, ROW()-COUNTIF($F$6:INDEX($F:$F, ROW()-1), $F191)) : INDEX(AA:AA, ROW()-1)
   )
   /SUM(INDEX(AA:AA, ROW()-COUNTIF($F$6:INDEX($F:$F, ROW()-1), $F191)) : INDEX(AA:AA, ROW()-1)),
   AVERAGEIFS(
     INDEX((unit_details[Asking Rent],unit_details[Asking PSF]),0,1,IF($U$3="Chunk Rent",1,2)),
     unit_details[Leased Date],"&gt;="&amp;($AM$2-X$5),
     unit_details[Leased Date],"&lt;"&amp;$AM$2,
     unit_details[Beds],$L192,
     unit_details[Baths],$M192,
     unit_details[Partial Baths],IF(ISNUMBER($N192),$N192,""),
     unit_details[Sqft],$P192,
     unit_details[Property Name],$F192)
 ),"")</f>
        <v/>
      </c>
      <c r="Y192" s="552" t="str">
        <f>IFERROR(
 IF($F192="Total",
   SUMPRODUCT(
   INDEX(Y:Y, ROW()-COUNTIF($F$6:INDEX($F:$F, ROW()-1), $F191)) : INDEX(Y:Y, ROW()-1),
   INDEX(AA:AA, ROW()-COUNTIF($F$6:INDEX($F:$F, ROW()-1), $F191)) : INDEX(AA:AA, ROW()-1)
   )
   /SUM(INDEX(AA:AA, ROW()-COUNTIF($F$6:INDEX($F:$F, ROW()-1), $F191)) : INDEX(AA:AA, ROW()-1)),
   AVERAGEIFS(
     INDEX((unit_details[Effective Rent],unit_details[Effective PSF]),0,1,IF($U$3="Chunk Rent",1,2)),
     unit_details[Leased Date],"&gt;="&amp;($AM$2-X$5),
     unit_details[Leased Date],"&lt;"&amp;$AM$2,
     unit_details[Beds],$L192,
     unit_details[Baths],$M192,
     unit_details[Partial Baths],IF(ISNUMBER($N192),$N192,""),
     unit_details[Sqft],$P192,
     unit_details[Property Name],$F192)
 ),"")</f>
        <v/>
      </c>
      <c r="Z192" s="27" t="str">
        <f t="shared" si="33"/>
        <v/>
      </c>
      <c r="AA192" s="526">
        <f>IFERROR(
  IF($F192="Total",
    SUM(INDEX(AA:AA, ROW()-COUNTIF($F$6:INDEX($F:$F, ROW()-1), $F191)) : INDEX(AA:AA, ROW()-1)),
    COUNTIFS(
      unit_details[Leased Date], "&gt;="&amp;($AM$2-X$5),
      unit_details[Leased Date], "&lt;"&amp;$AM$2,
      unit_details[Beds], $L192,
      unit_details[Baths], $M192,
      unit_details[Partial Baths], IF(ISNUMBER($N192), $N192, ""),
      unit_details[Sqft],$P192,
      unit_details[Property Name], $F192
    )
  ),
"")</f>
        <v>0</v>
      </c>
      <c r="AB192" s="290">
        <f>IF($F192="Total",
SUM(INDEX(AB:AB, ROW()-COUNTIF($F$6:INDEX($F:$F, ROW()-1), $F191)) : INDEX(AB:AB, ROW()-1)),
COUNTIFS(unit_details[Active Listing?],TRUE,
          unit_details[Property Name], $F192,
          unit_details[Beds], $L192,
          unit_details[Baths], $M192,
          unit_details[Partial Baths],IF(ISNUMBER($N192),$N192,""),
          unit_details[Sqft],$P192))</f>
        <v>0</v>
      </c>
      <c r="AC192" s="27" t="str">
        <f t="shared" si="25"/>
        <v/>
      </c>
      <c r="AD192" s="293" t="str">
        <f>IFERROR(IF(AE192="","",IF($F192="Total",
SUMPRODUCT(
   INDEX(AD:AD, ROW()-COUNTIF($F$6:INDEX($F:$F, ROW()-1), $F191)) : INDEX(AD:AD, ROW()-1),
   INDEX(AB:AB, ROW()-COUNTIF($F$6:INDEX($F:$F, ROW()-1), $F191)) : INDEX(AB:AB, ROW()-1)
   )
   /SUM(INDEX(AB:AB, ROW()-COUNTIF($F$6:INDEX($F:$F, ROW()-1), $F191)) : INDEX(AB:AB, ROW()-1)),
          _xlfn.MINIFS(unit_details[Asking Rent],
          unit_details[Active Listing?],TRUE,
          unit_details[Property Name], $F192,
          unit_details[Beds], $L192,
          unit_details[Baths], $M192,
          unit_details[Partial Baths], IF(ISNUMBER($N192),$N192,""),
          unit_details[Sqft],$P192
))),"")</f>
        <v/>
      </c>
      <c r="AE192" s="5" t="str">
        <f>IFERROR(IF($F192="Total",
          SUMPRODUCT(
   INDEX(AE:AE, ROW()-COUNTIF($F$6:INDEX($F:$F, ROW()-1), $F191)) : INDEX(AE:AE, ROW()-1),
   INDEX(AB:AB, ROW()-COUNTIF($F$6:INDEX($F:$F, ROW()-1), $F191)) : INDEX(AB:AB, ROW()-1)
   )
   /SUM(INDEX(AB:AB, ROW()-COUNTIF($F$6:INDEX($F:$F, ROW()-1), $F191)) : INDEX(AB:AB, ROW()-1)),
          AVERAGEIFS(unit_details[Asking Rent],
          unit_details[Active Listing?],TRUE,
          unit_details[Property Name], $F192,
          unit_details[Beds], $L192,
          unit_details[Baths], $M192,
          unit_details[Partial Baths], IF(ISNUMBER($N192),$N192,""),
          unit_details[Sqft],$P192
)),"")</f>
        <v/>
      </c>
      <c r="AF192" s="5" t="str">
        <f>IFERROR(IF(AE192="","",IF($F192="Total",
SUMPRODUCT(
   INDEX(AF:AF, ROW()-COUNTIF($F$6:INDEX($F:$F, ROW()-1), $F191)) : INDEX(AF:AF, ROW()-1),
   INDEX(AB:AB, ROW()-COUNTIF($F$6:INDEX($F:$F, ROW()-1), $F191)) : INDEX(AB:AB, ROW()-1)
   )
   /SUM(INDEX(AB:AB, ROW()-COUNTIF($F$6:INDEX($F:$F, ROW()-1), $F191)) : INDEX(AB:AB, ROW()-1)),
           _xlfn.MAXIFS(unit_details[Asking Rent],
          unit_details[Active Listing?],TRUE,
          unit_details[Property Name], $F192,
          unit_details[Beds], $L192,
          unit_details[Baths], $M192,
          unit_details[Partial Baths], IF(ISNUMBER($N192),$N192,""),
          unit_details[Sqft],$P192
))),"")</f>
        <v/>
      </c>
      <c r="AG192" s="6" t="str">
        <f>IFERROR(IF($F192="Total",
         SUMPRODUCT(
         INDEX(AG:AG, ROW()-COUNTIF($F$6:INDEX($F:$F, ROW()-1), $F191)) : INDEX(AG:AG, ROW()-1),
         INDEX(AB:AB, ROW()-COUNTIF($F$6:INDEX($F:$F, ROW()-1), $F191)) : INDEX(AB:AB, ROW()-1)
         )
         /SUM(INDEX(AB:AB, ROW()-COUNTIF($F$6:INDEX($F:$F, ROW()-1), $F191)) : INDEX(AB:AB, ROW()-1)),
          AVERAGEIFS(unit_details[Asking PSF],
          unit_details[Active Listing?],TRUE,
          unit_details[Property Name], $F192,
          unit_details[Beds], $L192,
          unit_details[Baths], $M192,
          unit_details[Partial Baths], IF(ISNUMBER($N192),$N192,""),
          unit_details[Sqft],$P192
)),"")</f>
        <v/>
      </c>
      <c r="AH192" s="293" t="str">
        <f>IFERROR(IF($F192="Total",
         SUMPRODUCT(
         INDEX(AH:AH, ROW()-COUNTIF($F$6:INDEX($F:$F, ROW()-1), $F191)) : INDEX(AH:AH, ROW()-1),
         INDEX(AB:AB, ROW()-COUNTIF($F$6:INDEX($F:$F, ROW()-1), $F191)) : INDEX(AB:AB, ROW()-1)
         )
         /SUM(INDEX(AB:AB, ROW()-COUNTIF($F$6:INDEX($F:$F, ROW()-1), $F191)) : INDEX(AB:AB, ROW()-1)),
          AVERAGEIFS(unit_details[Effective Rent],
          unit_details[Active Listing?],TRUE,
          unit_details[Property Name], $F192,
          unit_details[Beds], $L192,
          unit_details[Baths], $M192,
          unit_details[Partial Baths], IF(ISNUMBER($N192),$N192,""),
          unit_details[Sqft],$P192
)),"")</f>
        <v/>
      </c>
      <c r="AI192" s="6" t="str">
        <f>IFERROR(IF($F192="Total",
         SUMPRODUCT(
         INDEX(AI:AI, ROW()-COUNTIF($F$6:INDEX($F:$F, ROW()-1), $F191)) : INDEX(AI:AI, ROW()-1),
         INDEX(AB:AB, ROW()-COUNTIF($F$6:INDEX($F:$F, ROW()-1), $F191)) : INDEX(AB:AB, ROW()-1)
         )
         /SUM(INDEX(AB:AB, ROW()-COUNTIF($F$6:INDEX($F:$F, ROW()-1), $F191)) : INDEX(AB:AB, ROW()-1)),
           AVERAGEIFS(unit_details[Effective PSF],
          unit_details[Active Listing?],TRUE,
          unit_details[Property Name], $F192,
          unit_details[Beds], $L192,
          unit_details[Baths], $M192,
          unit_details[Partial Baths], IF(ISNUMBER($N192),$N192,""),
          unit_details[Sqft],$P192
)),"")</f>
        <v/>
      </c>
      <c r="AJ192" s="824" t="str">
        <f t="shared" si="26"/>
        <v/>
      </c>
      <c r="AK192" s="531" t="str">
        <f t="shared" si="27"/>
        <v/>
      </c>
      <c r="AL192" s="714" t="str">
        <f t="shared" si="28"/>
        <v/>
      </c>
      <c r="AM192" s="531" t="str">
        <f t="shared" si="29"/>
        <v/>
      </c>
      <c r="AN192" s="716" t="str">
        <f t="shared" si="30"/>
        <v/>
      </c>
    </row>
    <row r="193" spans="5:40" x14ac:dyDescent="0.2">
      <c r="F193" s="1" t="str">
        <f t="shared" si="23"/>
        <v/>
      </c>
      <c r="G193" s="713" t="str">
        <f t="shared" si="31"/>
        <v/>
      </c>
      <c r="H193" s="17" t="str">
        <f>IFERROR(VLOOKUP($G193,Table1[[Property]:[Exposure %]],4,0),"")</f>
        <v/>
      </c>
      <c r="I193" s="3" t="str">
        <f>IFERROR(VLOOKUP($G193,Table1[[Property]:[Exposure %]],6,0),"")</f>
        <v/>
      </c>
      <c r="J193" s="3" t="str">
        <f>IFERROR(VLOOKUP($G193,Table1[[Property]:[Exposure %]],7,0),"")</f>
        <v/>
      </c>
      <c r="K193"/>
      <c r="L193"/>
      <c r="M193"/>
      <c r="N193"/>
      <c r="O193"/>
      <c r="P193"/>
      <c r="Q193"/>
      <c r="R193" s="4" t="str">
        <f>IFERROR(VLOOKUP(IF(F193="Total",F192,F193),Table1[[Property]:['# Units]],7,0)*S193,"")</f>
        <v/>
      </c>
      <c r="S193" s="27" t="str">
        <f t="shared" si="24"/>
        <v/>
      </c>
      <c r="T193" s="531" t="str">
        <f>IFERROR(
 IF($F193="Total",
   SUMPRODUCT(
   INDEX(T:T, ROW()-COUNTIF($F$6:INDEX($F:$F, ROW()-1), $F192)) : INDEX(T:T, ROW()-1),
   INDEX(W:W, ROW()-COUNTIF($F$6:INDEX($F:$F, ROW()-1), $F192)) : INDEX(W:W, ROW()-1)
   )
   /SUM(INDEX(W:W, ROW()-COUNTIF($F$6:INDEX($F:$F, ROW()-1), $F192)) : INDEX(W:W, ROW()-1)),
   AVERAGEIFS(
     INDEX((unit_details[Asking Rent],unit_details[Asking PSF]),0,1,IF($U$3="Chunk Rent",1,2)),
     unit_details[Leased Date],"&gt;="&amp;($AM$2-T$5),
     unit_details[Leased Date],"&lt;"&amp;$AM$2,
     unit_details[Beds],$L193,
     unit_details[Baths],$M193,
     unit_details[Partial Baths],IF(ISNUMBER($N193),$N193,""),
     unit_details[Sqft],$P193,
     unit_details[Property Name],$F193)
 ),"")</f>
        <v/>
      </c>
      <c r="U193" s="552" t="str">
        <f>IFERROR(
 IF($F193="Total",
   SUMPRODUCT(
   INDEX(U:U, ROW()-COUNTIF($F$6:INDEX($F:$F, ROW()-1), $F192)) : INDEX(U:U, ROW()-1),
   INDEX(W:W, ROW()-COUNTIF($F$6:INDEX($F:$F, ROW()-1), $F192)) : INDEX(W:W, ROW()-1)
   )
   /SUM(INDEX(W:W, ROW()-COUNTIF($F$6:INDEX($F:$F, ROW()-1), $F192)) : INDEX(W:W, ROW()-1)),
   AVERAGEIFS(
     INDEX((unit_details[Effective Rent],unit_details[Effective PSF]),0,1,IF($U$3="Chunk Rent",1,2)),
     unit_details[Leased Date],"&gt;="&amp;($AM$2-T$5),
     unit_details[Leased Date],"&lt;"&amp;$AM$2,
     unit_details[Beds],$L193,
     unit_details[Baths],$M193,
     unit_details[Partial Baths],IF(ISNUMBER($N193),$N193,""),
     unit_details[Sqft],$P193,
     unit_details[Property Name],$F193)
 ),"")</f>
        <v/>
      </c>
      <c r="V193" s="27" t="str">
        <f t="shared" si="32"/>
        <v/>
      </c>
      <c r="W193" s="526">
        <f>IFERROR(
  IF($F193="Total",
    SUM(INDEX(W:W, ROW()-COUNTIF($F$6:INDEX($F:$F, ROW()-1), $F192)) : INDEX(W:W, ROW()-1)),
    COUNTIFS(
      unit_details[Leased Date], "&gt;="&amp;($AM$2-T$5),
      unit_details[Leased Date], "&lt;"&amp;$AM$2,
      unit_details[Beds], $L193,
      unit_details[Baths], $M193,
      unit_details[Partial Baths], IF(ISNUMBER($N193), $N193, ""),
      unit_details[Sqft],$P193,
      unit_details[Property Name], $F193
    )
  ),
"")</f>
        <v>0</v>
      </c>
      <c r="X193" s="531" t="str">
        <f>IFERROR(
 IF($F193="Total",
   SUMPRODUCT(
   INDEX(X:X, ROW()-COUNTIF($F$6:INDEX($F:$F, ROW()-1), $F192)) : INDEX(X:X, ROW()-1),
   INDEX(AA:AA, ROW()-COUNTIF($F$6:INDEX($F:$F, ROW()-1), $F192)) : INDEX(AA:AA, ROW()-1)
   )
   /SUM(INDEX(AA:AA, ROW()-COUNTIF($F$6:INDEX($F:$F, ROW()-1), $F192)) : INDEX(AA:AA, ROW()-1)),
   AVERAGEIFS(
     INDEX((unit_details[Asking Rent],unit_details[Asking PSF]),0,1,IF($U$3="Chunk Rent",1,2)),
     unit_details[Leased Date],"&gt;="&amp;($AM$2-X$5),
     unit_details[Leased Date],"&lt;"&amp;$AM$2,
     unit_details[Beds],$L193,
     unit_details[Baths],$M193,
     unit_details[Partial Baths],IF(ISNUMBER($N193),$N193,""),
     unit_details[Sqft],$P193,
     unit_details[Property Name],$F193)
 ),"")</f>
        <v/>
      </c>
      <c r="Y193" s="552" t="str">
        <f>IFERROR(
 IF($F193="Total",
   SUMPRODUCT(
   INDEX(Y:Y, ROW()-COUNTIF($F$6:INDEX($F:$F, ROW()-1), $F192)) : INDEX(Y:Y, ROW()-1),
   INDEX(AA:AA, ROW()-COUNTIF($F$6:INDEX($F:$F, ROW()-1), $F192)) : INDEX(AA:AA, ROW()-1)
   )
   /SUM(INDEX(AA:AA, ROW()-COUNTIF($F$6:INDEX($F:$F, ROW()-1), $F192)) : INDEX(AA:AA, ROW()-1)),
   AVERAGEIFS(
     INDEX((unit_details[Effective Rent],unit_details[Effective PSF]),0,1,IF($U$3="Chunk Rent",1,2)),
     unit_details[Leased Date],"&gt;="&amp;($AM$2-X$5),
     unit_details[Leased Date],"&lt;"&amp;$AM$2,
     unit_details[Beds],$L193,
     unit_details[Baths],$M193,
     unit_details[Partial Baths],IF(ISNUMBER($N193),$N193,""),
     unit_details[Sqft],$P193,
     unit_details[Property Name],$F193)
 ),"")</f>
        <v/>
      </c>
      <c r="Z193" s="27" t="str">
        <f t="shared" si="33"/>
        <v/>
      </c>
      <c r="AA193" s="526">
        <f>IFERROR(
  IF($F193="Total",
    SUM(INDEX(AA:AA, ROW()-COUNTIF($F$6:INDEX($F:$F, ROW()-1), $F192)) : INDEX(AA:AA, ROW()-1)),
    COUNTIFS(
      unit_details[Leased Date], "&gt;="&amp;($AM$2-X$5),
      unit_details[Leased Date], "&lt;"&amp;$AM$2,
      unit_details[Beds], $L193,
      unit_details[Baths], $M193,
      unit_details[Partial Baths], IF(ISNUMBER($N193), $N193, ""),
      unit_details[Sqft],$P193,
      unit_details[Property Name], $F193
    )
  ),
"")</f>
        <v>0</v>
      </c>
      <c r="AB193" s="290">
        <f>IF($F193="Total",
SUM(INDEX(AB:AB, ROW()-COUNTIF($F$6:INDEX($F:$F, ROW()-1), $F192)) : INDEX(AB:AB, ROW()-1)),
COUNTIFS(unit_details[Active Listing?],TRUE,
          unit_details[Property Name], $F193,
          unit_details[Beds], $L193,
          unit_details[Baths], $M193,
          unit_details[Partial Baths],IF(ISNUMBER($N193),$N193,""),
          unit_details[Sqft],$P193))</f>
        <v>0</v>
      </c>
      <c r="AC193" s="27" t="str">
        <f t="shared" si="25"/>
        <v/>
      </c>
      <c r="AD193" s="293" t="str">
        <f>IFERROR(IF(AE193="","",IF($F193="Total",
SUMPRODUCT(
   INDEX(AD:AD, ROW()-COUNTIF($F$6:INDEX($F:$F, ROW()-1), $F192)) : INDEX(AD:AD, ROW()-1),
   INDEX(AB:AB, ROW()-COUNTIF($F$6:INDEX($F:$F, ROW()-1), $F192)) : INDEX(AB:AB, ROW()-1)
   )
   /SUM(INDEX(AB:AB, ROW()-COUNTIF($F$6:INDEX($F:$F, ROW()-1), $F192)) : INDEX(AB:AB, ROW()-1)),
          _xlfn.MINIFS(unit_details[Asking Rent],
          unit_details[Active Listing?],TRUE,
          unit_details[Property Name], $F193,
          unit_details[Beds], $L193,
          unit_details[Baths], $M193,
          unit_details[Partial Baths], IF(ISNUMBER($N193),$N193,""),
          unit_details[Sqft],$P193
))),"")</f>
        <v/>
      </c>
      <c r="AE193" s="5" t="str">
        <f>IFERROR(IF($F193="Total",
          SUMPRODUCT(
   INDEX(AE:AE, ROW()-COUNTIF($F$6:INDEX($F:$F, ROW()-1), $F192)) : INDEX(AE:AE, ROW()-1),
   INDEX(AB:AB, ROW()-COUNTIF($F$6:INDEX($F:$F, ROW()-1), $F192)) : INDEX(AB:AB, ROW()-1)
   )
   /SUM(INDEX(AB:AB, ROW()-COUNTIF($F$6:INDEX($F:$F, ROW()-1), $F192)) : INDEX(AB:AB, ROW()-1)),
          AVERAGEIFS(unit_details[Asking Rent],
          unit_details[Active Listing?],TRUE,
          unit_details[Property Name], $F193,
          unit_details[Beds], $L193,
          unit_details[Baths], $M193,
          unit_details[Partial Baths], IF(ISNUMBER($N193),$N193,""),
          unit_details[Sqft],$P193
)),"")</f>
        <v/>
      </c>
      <c r="AF193" s="5" t="str">
        <f>IFERROR(IF(AE193="","",IF($F193="Total",
SUMPRODUCT(
   INDEX(AF:AF, ROW()-COUNTIF($F$6:INDEX($F:$F, ROW()-1), $F192)) : INDEX(AF:AF, ROW()-1),
   INDEX(AB:AB, ROW()-COUNTIF($F$6:INDEX($F:$F, ROW()-1), $F192)) : INDEX(AB:AB, ROW()-1)
   )
   /SUM(INDEX(AB:AB, ROW()-COUNTIF($F$6:INDEX($F:$F, ROW()-1), $F192)) : INDEX(AB:AB, ROW()-1)),
           _xlfn.MAXIFS(unit_details[Asking Rent],
          unit_details[Active Listing?],TRUE,
          unit_details[Property Name], $F193,
          unit_details[Beds], $L193,
          unit_details[Baths], $M193,
          unit_details[Partial Baths], IF(ISNUMBER($N193),$N193,""),
          unit_details[Sqft],$P193
))),"")</f>
        <v/>
      </c>
      <c r="AG193" s="6" t="str">
        <f>IFERROR(IF($F193="Total",
         SUMPRODUCT(
         INDEX(AG:AG, ROW()-COUNTIF($F$6:INDEX($F:$F, ROW()-1), $F192)) : INDEX(AG:AG, ROW()-1),
         INDEX(AB:AB, ROW()-COUNTIF($F$6:INDEX($F:$F, ROW()-1), $F192)) : INDEX(AB:AB, ROW()-1)
         )
         /SUM(INDEX(AB:AB, ROW()-COUNTIF($F$6:INDEX($F:$F, ROW()-1), $F192)) : INDEX(AB:AB, ROW()-1)),
          AVERAGEIFS(unit_details[Asking PSF],
          unit_details[Active Listing?],TRUE,
          unit_details[Property Name], $F193,
          unit_details[Beds], $L193,
          unit_details[Baths], $M193,
          unit_details[Partial Baths], IF(ISNUMBER($N193),$N193,""),
          unit_details[Sqft],$P193
)),"")</f>
        <v/>
      </c>
      <c r="AH193" s="293" t="str">
        <f>IFERROR(IF($F193="Total",
         SUMPRODUCT(
         INDEX(AH:AH, ROW()-COUNTIF($F$6:INDEX($F:$F, ROW()-1), $F192)) : INDEX(AH:AH, ROW()-1),
         INDEX(AB:AB, ROW()-COUNTIF($F$6:INDEX($F:$F, ROW()-1), $F192)) : INDEX(AB:AB, ROW()-1)
         )
         /SUM(INDEX(AB:AB, ROW()-COUNTIF($F$6:INDEX($F:$F, ROW()-1), $F192)) : INDEX(AB:AB, ROW()-1)),
          AVERAGEIFS(unit_details[Effective Rent],
          unit_details[Active Listing?],TRUE,
          unit_details[Property Name], $F193,
          unit_details[Beds], $L193,
          unit_details[Baths], $M193,
          unit_details[Partial Baths], IF(ISNUMBER($N193),$N193,""),
          unit_details[Sqft],$P193
)),"")</f>
        <v/>
      </c>
      <c r="AI193" s="6" t="str">
        <f>IFERROR(IF($F193="Total",
         SUMPRODUCT(
         INDEX(AI:AI, ROW()-COUNTIF($F$6:INDEX($F:$F, ROW()-1), $F192)) : INDEX(AI:AI, ROW()-1),
         INDEX(AB:AB, ROW()-COUNTIF($F$6:INDEX($F:$F, ROW()-1), $F192)) : INDEX(AB:AB, ROW()-1)
         )
         /SUM(INDEX(AB:AB, ROW()-COUNTIF($F$6:INDEX($F:$F, ROW()-1), $F192)) : INDEX(AB:AB, ROW()-1)),
           AVERAGEIFS(unit_details[Effective PSF],
          unit_details[Active Listing?],TRUE,
          unit_details[Property Name], $F193,
          unit_details[Beds], $L193,
          unit_details[Baths], $M193,
          unit_details[Partial Baths], IF(ISNUMBER($N193),$N193,""),
          unit_details[Sqft],$P193
)),"")</f>
        <v/>
      </c>
      <c r="AJ193" s="824" t="str">
        <f t="shared" si="26"/>
        <v/>
      </c>
      <c r="AK193" s="531" t="str">
        <f t="shared" si="27"/>
        <v/>
      </c>
      <c r="AL193" s="714" t="str">
        <f t="shared" si="28"/>
        <v/>
      </c>
      <c r="AM193" s="531" t="str">
        <f t="shared" si="29"/>
        <v/>
      </c>
      <c r="AN193" s="716" t="str">
        <f t="shared" si="30"/>
        <v/>
      </c>
    </row>
    <row r="194" spans="5:40" x14ac:dyDescent="0.2">
      <c r="F194" s="1" t="str">
        <f t="shared" si="23"/>
        <v/>
      </c>
      <c r="G194" s="713" t="str">
        <f t="shared" si="31"/>
        <v/>
      </c>
      <c r="H194" s="17" t="str">
        <f>IFERROR(VLOOKUP($G194,Table1[[Property]:[Exposure %]],4,0),"")</f>
        <v/>
      </c>
      <c r="I194" s="3" t="str">
        <f>IFERROR(VLOOKUP($G194,Table1[[Property]:[Exposure %]],6,0),"")</f>
        <v/>
      </c>
      <c r="J194" s="3" t="str">
        <f>IFERROR(VLOOKUP($G194,Table1[[Property]:[Exposure %]],7,0),"")</f>
        <v/>
      </c>
      <c r="K194"/>
      <c r="L194"/>
      <c r="M194"/>
      <c r="N194"/>
      <c r="O194"/>
      <c r="P194"/>
      <c r="Q194"/>
      <c r="R194" s="4" t="str">
        <f>IFERROR(VLOOKUP(IF(F194="Total",F193,F194),Table1[[Property]:['# Units]],7,0)*S194,"")</f>
        <v/>
      </c>
      <c r="S194" s="27" t="str">
        <f t="shared" si="24"/>
        <v/>
      </c>
      <c r="T194" s="531" t="str">
        <f>IFERROR(
 IF($F194="Total",
   SUMPRODUCT(
   INDEX(T:T, ROW()-COUNTIF($F$6:INDEX($F:$F, ROW()-1), $F193)) : INDEX(T:T, ROW()-1),
   INDEX(W:W, ROW()-COUNTIF($F$6:INDEX($F:$F, ROW()-1), $F193)) : INDEX(W:W, ROW()-1)
   )
   /SUM(INDEX(W:W, ROW()-COUNTIF($F$6:INDEX($F:$F, ROW()-1), $F193)) : INDEX(W:W, ROW()-1)),
   AVERAGEIFS(
     INDEX((unit_details[Asking Rent],unit_details[Asking PSF]),0,1,IF($U$3="Chunk Rent",1,2)),
     unit_details[Leased Date],"&gt;="&amp;($AM$2-T$5),
     unit_details[Leased Date],"&lt;"&amp;$AM$2,
     unit_details[Beds],$L194,
     unit_details[Baths],$M194,
     unit_details[Partial Baths],IF(ISNUMBER($N194),$N194,""),
     unit_details[Sqft],$P194,
     unit_details[Property Name],$F194)
 ),"")</f>
        <v/>
      </c>
      <c r="U194" s="552" t="str">
        <f>IFERROR(
 IF($F194="Total",
   SUMPRODUCT(
   INDEX(U:U, ROW()-COUNTIF($F$6:INDEX($F:$F, ROW()-1), $F193)) : INDEX(U:U, ROW()-1),
   INDEX(W:W, ROW()-COUNTIF($F$6:INDEX($F:$F, ROW()-1), $F193)) : INDEX(W:W, ROW()-1)
   )
   /SUM(INDEX(W:W, ROW()-COUNTIF($F$6:INDEX($F:$F, ROW()-1), $F193)) : INDEX(W:W, ROW()-1)),
   AVERAGEIFS(
     INDEX((unit_details[Effective Rent],unit_details[Effective PSF]),0,1,IF($U$3="Chunk Rent",1,2)),
     unit_details[Leased Date],"&gt;="&amp;($AM$2-T$5),
     unit_details[Leased Date],"&lt;"&amp;$AM$2,
     unit_details[Beds],$L194,
     unit_details[Baths],$M194,
     unit_details[Partial Baths],IF(ISNUMBER($N194),$N194,""),
     unit_details[Sqft],$P194,
     unit_details[Property Name],$F194)
 ),"")</f>
        <v/>
      </c>
      <c r="V194" s="27" t="str">
        <f t="shared" si="32"/>
        <v/>
      </c>
      <c r="W194" s="526">
        <f>IFERROR(
  IF($F194="Total",
    SUM(INDEX(W:W, ROW()-COUNTIF($F$6:INDEX($F:$F, ROW()-1), $F193)) : INDEX(W:W, ROW()-1)),
    COUNTIFS(
      unit_details[Leased Date], "&gt;="&amp;($AM$2-T$5),
      unit_details[Leased Date], "&lt;"&amp;$AM$2,
      unit_details[Beds], $L194,
      unit_details[Baths], $M194,
      unit_details[Partial Baths], IF(ISNUMBER($N194), $N194, ""),
      unit_details[Sqft],$P194,
      unit_details[Property Name], $F194
    )
  ),
"")</f>
        <v>0</v>
      </c>
      <c r="X194" s="531" t="str">
        <f>IFERROR(
 IF($F194="Total",
   SUMPRODUCT(
   INDEX(X:X, ROW()-COUNTIF($F$6:INDEX($F:$F, ROW()-1), $F193)) : INDEX(X:X, ROW()-1),
   INDEX(AA:AA, ROW()-COUNTIF($F$6:INDEX($F:$F, ROW()-1), $F193)) : INDEX(AA:AA, ROW()-1)
   )
   /SUM(INDEX(AA:AA, ROW()-COUNTIF($F$6:INDEX($F:$F, ROW()-1), $F193)) : INDEX(AA:AA, ROW()-1)),
   AVERAGEIFS(
     INDEX((unit_details[Asking Rent],unit_details[Asking PSF]),0,1,IF($U$3="Chunk Rent",1,2)),
     unit_details[Leased Date],"&gt;="&amp;($AM$2-X$5),
     unit_details[Leased Date],"&lt;"&amp;$AM$2,
     unit_details[Beds],$L194,
     unit_details[Baths],$M194,
     unit_details[Partial Baths],IF(ISNUMBER($N194),$N194,""),
     unit_details[Sqft],$P194,
     unit_details[Property Name],$F194)
 ),"")</f>
        <v/>
      </c>
      <c r="Y194" s="552" t="str">
        <f>IFERROR(
 IF($F194="Total",
   SUMPRODUCT(
   INDEX(Y:Y, ROW()-COUNTIF($F$6:INDEX($F:$F, ROW()-1), $F193)) : INDEX(Y:Y, ROW()-1),
   INDEX(AA:AA, ROW()-COUNTIF($F$6:INDEX($F:$F, ROW()-1), $F193)) : INDEX(AA:AA, ROW()-1)
   )
   /SUM(INDEX(AA:AA, ROW()-COUNTIF($F$6:INDEX($F:$F, ROW()-1), $F193)) : INDEX(AA:AA, ROW()-1)),
   AVERAGEIFS(
     INDEX((unit_details[Effective Rent],unit_details[Effective PSF]),0,1,IF($U$3="Chunk Rent",1,2)),
     unit_details[Leased Date],"&gt;="&amp;($AM$2-X$5),
     unit_details[Leased Date],"&lt;"&amp;$AM$2,
     unit_details[Beds],$L194,
     unit_details[Baths],$M194,
     unit_details[Partial Baths],IF(ISNUMBER($N194),$N194,""),
     unit_details[Sqft],$P194,
     unit_details[Property Name],$F194)
 ),"")</f>
        <v/>
      </c>
      <c r="Z194" s="27" t="str">
        <f t="shared" si="33"/>
        <v/>
      </c>
      <c r="AA194" s="526">
        <f>IFERROR(
  IF($F194="Total",
    SUM(INDEX(AA:AA, ROW()-COUNTIF($F$6:INDEX($F:$F, ROW()-1), $F193)) : INDEX(AA:AA, ROW()-1)),
    COUNTIFS(
      unit_details[Leased Date], "&gt;="&amp;($AM$2-X$5),
      unit_details[Leased Date], "&lt;"&amp;$AM$2,
      unit_details[Beds], $L194,
      unit_details[Baths], $M194,
      unit_details[Partial Baths], IF(ISNUMBER($N194), $N194, ""),
      unit_details[Sqft],$P194,
      unit_details[Property Name], $F194
    )
  ),
"")</f>
        <v>0</v>
      </c>
      <c r="AB194" s="290">
        <f>IF($F194="Total",
SUM(INDEX(AB:AB, ROW()-COUNTIF($F$6:INDEX($F:$F, ROW()-1), $F193)) : INDEX(AB:AB, ROW()-1)),
COUNTIFS(unit_details[Active Listing?],TRUE,
          unit_details[Property Name], $F194,
          unit_details[Beds], $L194,
          unit_details[Baths], $M194,
          unit_details[Partial Baths],IF(ISNUMBER($N194),$N194,""),
          unit_details[Sqft],$P194))</f>
        <v>0</v>
      </c>
      <c r="AC194" s="27" t="str">
        <f t="shared" si="25"/>
        <v/>
      </c>
      <c r="AD194" s="293" t="str">
        <f>IFERROR(IF(AE194="","",IF($F194="Total",
SUMPRODUCT(
   INDEX(AD:AD, ROW()-COUNTIF($F$6:INDEX($F:$F, ROW()-1), $F193)) : INDEX(AD:AD, ROW()-1),
   INDEX(AB:AB, ROW()-COUNTIF($F$6:INDEX($F:$F, ROW()-1), $F193)) : INDEX(AB:AB, ROW()-1)
   )
   /SUM(INDEX(AB:AB, ROW()-COUNTIF($F$6:INDEX($F:$F, ROW()-1), $F193)) : INDEX(AB:AB, ROW()-1)),
          _xlfn.MINIFS(unit_details[Asking Rent],
          unit_details[Active Listing?],TRUE,
          unit_details[Property Name], $F194,
          unit_details[Beds], $L194,
          unit_details[Baths], $M194,
          unit_details[Partial Baths], IF(ISNUMBER($N194),$N194,""),
          unit_details[Sqft],$P194
))),"")</f>
        <v/>
      </c>
      <c r="AE194" s="5" t="str">
        <f>IFERROR(IF($F194="Total",
          SUMPRODUCT(
   INDEX(AE:AE, ROW()-COUNTIF($F$6:INDEX($F:$F, ROW()-1), $F193)) : INDEX(AE:AE, ROW()-1),
   INDEX(AB:AB, ROW()-COUNTIF($F$6:INDEX($F:$F, ROW()-1), $F193)) : INDEX(AB:AB, ROW()-1)
   )
   /SUM(INDEX(AB:AB, ROW()-COUNTIF($F$6:INDEX($F:$F, ROW()-1), $F193)) : INDEX(AB:AB, ROW()-1)),
          AVERAGEIFS(unit_details[Asking Rent],
          unit_details[Active Listing?],TRUE,
          unit_details[Property Name], $F194,
          unit_details[Beds], $L194,
          unit_details[Baths], $M194,
          unit_details[Partial Baths], IF(ISNUMBER($N194),$N194,""),
          unit_details[Sqft],$P194
)),"")</f>
        <v/>
      </c>
      <c r="AF194" s="5" t="str">
        <f>IFERROR(IF(AE194="","",IF($F194="Total",
SUMPRODUCT(
   INDEX(AF:AF, ROW()-COUNTIF($F$6:INDEX($F:$F, ROW()-1), $F193)) : INDEX(AF:AF, ROW()-1),
   INDEX(AB:AB, ROW()-COUNTIF($F$6:INDEX($F:$F, ROW()-1), $F193)) : INDEX(AB:AB, ROW()-1)
   )
   /SUM(INDEX(AB:AB, ROW()-COUNTIF($F$6:INDEX($F:$F, ROW()-1), $F193)) : INDEX(AB:AB, ROW()-1)),
           _xlfn.MAXIFS(unit_details[Asking Rent],
          unit_details[Active Listing?],TRUE,
          unit_details[Property Name], $F194,
          unit_details[Beds], $L194,
          unit_details[Baths], $M194,
          unit_details[Partial Baths], IF(ISNUMBER($N194),$N194,""),
          unit_details[Sqft],$P194
))),"")</f>
        <v/>
      </c>
      <c r="AG194" s="6" t="str">
        <f>IFERROR(IF($F194="Total",
         SUMPRODUCT(
         INDEX(AG:AG, ROW()-COUNTIF($F$6:INDEX($F:$F, ROW()-1), $F193)) : INDEX(AG:AG, ROW()-1),
         INDEX(AB:AB, ROW()-COUNTIF($F$6:INDEX($F:$F, ROW()-1), $F193)) : INDEX(AB:AB, ROW()-1)
         )
         /SUM(INDEX(AB:AB, ROW()-COUNTIF($F$6:INDEX($F:$F, ROW()-1), $F193)) : INDEX(AB:AB, ROW()-1)),
          AVERAGEIFS(unit_details[Asking PSF],
          unit_details[Active Listing?],TRUE,
          unit_details[Property Name], $F194,
          unit_details[Beds], $L194,
          unit_details[Baths], $M194,
          unit_details[Partial Baths], IF(ISNUMBER($N194),$N194,""),
          unit_details[Sqft],$P194
)),"")</f>
        <v/>
      </c>
      <c r="AH194" s="293" t="str">
        <f>IFERROR(IF($F194="Total",
         SUMPRODUCT(
         INDEX(AH:AH, ROW()-COUNTIF($F$6:INDEX($F:$F, ROW()-1), $F193)) : INDEX(AH:AH, ROW()-1),
         INDEX(AB:AB, ROW()-COUNTIF($F$6:INDEX($F:$F, ROW()-1), $F193)) : INDEX(AB:AB, ROW()-1)
         )
         /SUM(INDEX(AB:AB, ROW()-COUNTIF($F$6:INDEX($F:$F, ROW()-1), $F193)) : INDEX(AB:AB, ROW()-1)),
          AVERAGEIFS(unit_details[Effective Rent],
          unit_details[Active Listing?],TRUE,
          unit_details[Property Name], $F194,
          unit_details[Beds], $L194,
          unit_details[Baths], $M194,
          unit_details[Partial Baths], IF(ISNUMBER($N194),$N194,""),
          unit_details[Sqft],$P194
)),"")</f>
        <v/>
      </c>
      <c r="AI194" s="6" t="str">
        <f>IFERROR(IF($F194="Total",
         SUMPRODUCT(
         INDEX(AI:AI, ROW()-COUNTIF($F$6:INDEX($F:$F, ROW()-1), $F193)) : INDEX(AI:AI, ROW()-1),
         INDEX(AB:AB, ROW()-COUNTIF($F$6:INDEX($F:$F, ROW()-1), $F193)) : INDEX(AB:AB, ROW()-1)
         )
         /SUM(INDEX(AB:AB, ROW()-COUNTIF($F$6:INDEX($F:$F, ROW()-1), $F193)) : INDEX(AB:AB, ROW()-1)),
           AVERAGEIFS(unit_details[Effective PSF],
          unit_details[Active Listing?],TRUE,
          unit_details[Property Name], $F194,
          unit_details[Beds], $L194,
          unit_details[Baths], $M194,
          unit_details[Partial Baths], IF(ISNUMBER($N194),$N194,""),
          unit_details[Sqft],$P194
)),"")</f>
        <v/>
      </c>
      <c r="AJ194" s="824" t="str">
        <f t="shared" si="26"/>
        <v/>
      </c>
      <c r="AK194" s="531" t="str">
        <f t="shared" si="27"/>
        <v/>
      </c>
      <c r="AL194" s="714" t="str">
        <f t="shared" si="28"/>
        <v/>
      </c>
      <c r="AM194" s="531" t="str">
        <f t="shared" si="29"/>
        <v/>
      </c>
      <c r="AN194" s="716" t="str">
        <f t="shared" si="30"/>
        <v/>
      </c>
    </row>
    <row r="195" spans="5:40" x14ac:dyDescent="0.2">
      <c r="F195" s="1" t="str">
        <f t="shared" si="23"/>
        <v/>
      </c>
      <c r="G195" s="713" t="str">
        <f t="shared" si="31"/>
        <v/>
      </c>
      <c r="H195" s="17" t="str">
        <f>IFERROR(VLOOKUP($G195,Table1[[Property]:[Exposure %]],4,0),"")</f>
        <v/>
      </c>
      <c r="I195" s="3" t="str">
        <f>IFERROR(VLOOKUP($G195,Table1[[Property]:[Exposure %]],6,0),"")</f>
        <v/>
      </c>
      <c r="J195" s="3" t="str">
        <f>IFERROR(VLOOKUP($G195,Table1[[Property]:[Exposure %]],7,0),"")</f>
        <v/>
      </c>
      <c r="K195"/>
      <c r="L195"/>
      <c r="M195"/>
      <c r="N195"/>
      <c r="O195"/>
      <c r="P195"/>
      <c r="Q195"/>
      <c r="R195" s="4" t="str">
        <f>IFERROR(VLOOKUP(IF(F195="Total",F194,F195),Table1[[Property]:['# Units]],7,0)*S195,"")</f>
        <v/>
      </c>
      <c r="S195" s="27" t="str">
        <f t="shared" si="24"/>
        <v/>
      </c>
      <c r="T195" s="531" t="str">
        <f>IFERROR(
 IF($F195="Total",
   SUMPRODUCT(
   INDEX(T:T, ROW()-COUNTIF($F$6:INDEX($F:$F, ROW()-1), $F194)) : INDEX(T:T, ROW()-1),
   INDEX(W:W, ROW()-COUNTIF($F$6:INDEX($F:$F, ROW()-1), $F194)) : INDEX(W:W, ROW()-1)
   )
   /SUM(INDEX(W:W, ROW()-COUNTIF($F$6:INDEX($F:$F, ROW()-1), $F194)) : INDEX(W:W, ROW()-1)),
   AVERAGEIFS(
     INDEX((unit_details[Asking Rent],unit_details[Asking PSF]),0,1,IF($U$3="Chunk Rent",1,2)),
     unit_details[Leased Date],"&gt;="&amp;($AM$2-T$5),
     unit_details[Leased Date],"&lt;"&amp;$AM$2,
     unit_details[Beds],$L195,
     unit_details[Baths],$M195,
     unit_details[Partial Baths],IF(ISNUMBER($N195),$N195,""),
     unit_details[Sqft],$P195,
     unit_details[Property Name],$F195)
 ),"")</f>
        <v/>
      </c>
      <c r="U195" s="552" t="str">
        <f>IFERROR(
 IF($F195="Total",
   SUMPRODUCT(
   INDEX(U:U, ROW()-COUNTIF($F$6:INDEX($F:$F, ROW()-1), $F194)) : INDEX(U:U, ROW()-1),
   INDEX(W:W, ROW()-COUNTIF($F$6:INDEX($F:$F, ROW()-1), $F194)) : INDEX(W:W, ROW()-1)
   )
   /SUM(INDEX(W:W, ROW()-COUNTIF($F$6:INDEX($F:$F, ROW()-1), $F194)) : INDEX(W:W, ROW()-1)),
   AVERAGEIFS(
     INDEX((unit_details[Effective Rent],unit_details[Effective PSF]),0,1,IF($U$3="Chunk Rent",1,2)),
     unit_details[Leased Date],"&gt;="&amp;($AM$2-T$5),
     unit_details[Leased Date],"&lt;"&amp;$AM$2,
     unit_details[Beds],$L195,
     unit_details[Baths],$M195,
     unit_details[Partial Baths],IF(ISNUMBER($N195),$N195,""),
     unit_details[Sqft],$P195,
     unit_details[Property Name],$F195)
 ),"")</f>
        <v/>
      </c>
      <c r="V195" s="27" t="str">
        <f t="shared" si="32"/>
        <v/>
      </c>
      <c r="W195" s="526">
        <f>IFERROR(
  IF($F195="Total",
    SUM(INDEX(W:W, ROW()-COUNTIF($F$6:INDEX($F:$F, ROW()-1), $F194)) : INDEX(W:W, ROW()-1)),
    COUNTIFS(
      unit_details[Leased Date], "&gt;="&amp;($AM$2-T$5),
      unit_details[Leased Date], "&lt;"&amp;$AM$2,
      unit_details[Beds], $L195,
      unit_details[Baths], $M195,
      unit_details[Partial Baths], IF(ISNUMBER($N195), $N195, ""),
      unit_details[Sqft],$P195,
      unit_details[Property Name], $F195
    )
  ),
"")</f>
        <v>0</v>
      </c>
      <c r="X195" s="531" t="str">
        <f>IFERROR(
 IF($F195="Total",
   SUMPRODUCT(
   INDEX(X:X, ROW()-COUNTIF($F$6:INDEX($F:$F, ROW()-1), $F194)) : INDEX(X:X, ROW()-1),
   INDEX(AA:AA, ROW()-COUNTIF($F$6:INDEX($F:$F, ROW()-1), $F194)) : INDEX(AA:AA, ROW()-1)
   )
   /SUM(INDEX(AA:AA, ROW()-COUNTIF($F$6:INDEX($F:$F, ROW()-1), $F194)) : INDEX(AA:AA, ROW()-1)),
   AVERAGEIFS(
     INDEX((unit_details[Asking Rent],unit_details[Asking PSF]),0,1,IF($U$3="Chunk Rent",1,2)),
     unit_details[Leased Date],"&gt;="&amp;($AM$2-X$5),
     unit_details[Leased Date],"&lt;"&amp;$AM$2,
     unit_details[Beds],$L195,
     unit_details[Baths],$M195,
     unit_details[Partial Baths],IF(ISNUMBER($N195),$N195,""),
     unit_details[Sqft],$P195,
     unit_details[Property Name],$F195)
 ),"")</f>
        <v/>
      </c>
      <c r="Y195" s="552" t="str">
        <f>IFERROR(
 IF($F195="Total",
   SUMPRODUCT(
   INDEX(Y:Y, ROW()-COUNTIF($F$6:INDEX($F:$F, ROW()-1), $F194)) : INDEX(Y:Y, ROW()-1),
   INDEX(AA:AA, ROW()-COUNTIF($F$6:INDEX($F:$F, ROW()-1), $F194)) : INDEX(AA:AA, ROW()-1)
   )
   /SUM(INDEX(AA:AA, ROW()-COUNTIF($F$6:INDEX($F:$F, ROW()-1), $F194)) : INDEX(AA:AA, ROW()-1)),
   AVERAGEIFS(
     INDEX((unit_details[Effective Rent],unit_details[Effective PSF]),0,1,IF($U$3="Chunk Rent",1,2)),
     unit_details[Leased Date],"&gt;="&amp;($AM$2-X$5),
     unit_details[Leased Date],"&lt;"&amp;$AM$2,
     unit_details[Beds],$L195,
     unit_details[Baths],$M195,
     unit_details[Partial Baths],IF(ISNUMBER($N195),$N195,""),
     unit_details[Sqft],$P195,
     unit_details[Property Name],$F195)
 ),"")</f>
        <v/>
      </c>
      <c r="Z195" s="27" t="str">
        <f t="shared" si="33"/>
        <v/>
      </c>
      <c r="AA195" s="526">
        <f>IFERROR(
  IF($F195="Total",
    SUM(INDEX(AA:AA, ROW()-COUNTIF($F$6:INDEX($F:$F, ROW()-1), $F194)) : INDEX(AA:AA, ROW()-1)),
    COUNTIFS(
      unit_details[Leased Date], "&gt;="&amp;($AM$2-X$5),
      unit_details[Leased Date], "&lt;"&amp;$AM$2,
      unit_details[Beds], $L195,
      unit_details[Baths], $M195,
      unit_details[Partial Baths], IF(ISNUMBER($N195), $N195, ""),
      unit_details[Sqft],$P195,
      unit_details[Property Name], $F195
    )
  ),
"")</f>
        <v>0</v>
      </c>
      <c r="AB195" s="290">
        <f>IF($F195="Total",
SUM(INDEX(AB:AB, ROW()-COUNTIF($F$6:INDEX($F:$F, ROW()-1), $F194)) : INDEX(AB:AB, ROW()-1)),
COUNTIFS(unit_details[Active Listing?],TRUE,
          unit_details[Property Name], $F195,
          unit_details[Beds], $L195,
          unit_details[Baths], $M195,
          unit_details[Partial Baths],IF(ISNUMBER($N195),$N195,""),
          unit_details[Sqft],$P195))</f>
        <v>0</v>
      </c>
      <c r="AC195" s="27" t="str">
        <f t="shared" si="25"/>
        <v/>
      </c>
      <c r="AD195" s="293" t="str">
        <f>IFERROR(IF(AE195="","",IF($F195="Total",
SUMPRODUCT(
   INDEX(AD:AD, ROW()-COUNTIF($F$6:INDEX($F:$F, ROW()-1), $F194)) : INDEX(AD:AD, ROW()-1),
   INDEX(AB:AB, ROW()-COUNTIF($F$6:INDEX($F:$F, ROW()-1), $F194)) : INDEX(AB:AB, ROW()-1)
   )
   /SUM(INDEX(AB:AB, ROW()-COUNTIF($F$6:INDEX($F:$F, ROW()-1), $F194)) : INDEX(AB:AB, ROW()-1)),
          _xlfn.MINIFS(unit_details[Asking Rent],
          unit_details[Active Listing?],TRUE,
          unit_details[Property Name], $F195,
          unit_details[Beds], $L195,
          unit_details[Baths], $M195,
          unit_details[Partial Baths], IF(ISNUMBER($N195),$N195,""),
          unit_details[Sqft],$P195
))),"")</f>
        <v/>
      </c>
      <c r="AE195" s="5" t="str">
        <f>IFERROR(IF($F195="Total",
          SUMPRODUCT(
   INDEX(AE:AE, ROW()-COUNTIF($F$6:INDEX($F:$F, ROW()-1), $F194)) : INDEX(AE:AE, ROW()-1),
   INDEX(AB:AB, ROW()-COUNTIF($F$6:INDEX($F:$F, ROW()-1), $F194)) : INDEX(AB:AB, ROW()-1)
   )
   /SUM(INDEX(AB:AB, ROW()-COUNTIF($F$6:INDEX($F:$F, ROW()-1), $F194)) : INDEX(AB:AB, ROW()-1)),
          AVERAGEIFS(unit_details[Asking Rent],
          unit_details[Active Listing?],TRUE,
          unit_details[Property Name], $F195,
          unit_details[Beds], $L195,
          unit_details[Baths], $M195,
          unit_details[Partial Baths], IF(ISNUMBER($N195),$N195,""),
          unit_details[Sqft],$P195
)),"")</f>
        <v/>
      </c>
      <c r="AF195" s="5" t="str">
        <f>IFERROR(IF(AE195="","",IF($F195="Total",
SUMPRODUCT(
   INDEX(AF:AF, ROW()-COUNTIF($F$6:INDEX($F:$F, ROW()-1), $F194)) : INDEX(AF:AF, ROW()-1),
   INDEX(AB:AB, ROW()-COUNTIF($F$6:INDEX($F:$F, ROW()-1), $F194)) : INDEX(AB:AB, ROW()-1)
   )
   /SUM(INDEX(AB:AB, ROW()-COUNTIF($F$6:INDEX($F:$F, ROW()-1), $F194)) : INDEX(AB:AB, ROW()-1)),
           _xlfn.MAXIFS(unit_details[Asking Rent],
          unit_details[Active Listing?],TRUE,
          unit_details[Property Name], $F195,
          unit_details[Beds], $L195,
          unit_details[Baths], $M195,
          unit_details[Partial Baths], IF(ISNUMBER($N195),$N195,""),
          unit_details[Sqft],$P195
))),"")</f>
        <v/>
      </c>
      <c r="AG195" s="6" t="str">
        <f>IFERROR(IF($F195="Total",
         SUMPRODUCT(
         INDEX(AG:AG, ROW()-COUNTIF($F$6:INDEX($F:$F, ROW()-1), $F194)) : INDEX(AG:AG, ROW()-1),
         INDEX(AB:AB, ROW()-COUNTIF($F$6:INDEX($F:$F, ROW()-1), $F194)) : INDEX(AB:AB, ROW()-1)
         )
         /SUM(INDEX(AB:AB, ROW()-COUNTIF($F$6:INDEX($F:$F, ROW()-1), $F194)) : INDEX(AB:AB, ROW()-1)),
          AVERAGEIFS(unit_details[Asking PSF],
          unit_details[Active Listing?],TRUE,
          unit_details[Property Name], $F195,
          unit_details[Beds], $L195,
          unit_details[Baths], $M195,
          unit_details[Partial Baths], IF(ISNUMBER($N195),$N195,""),
          unit_details[Sqft],$P195
)),"")</f>
        <v/>
      </c>
      <c r="AH195" s="293" t="str">
        <f>IFERROR(IF($F195="Total",
         SUMPRODUCT(
         INDEX(AH:AH, ROW()-COUNTIF($F$6:INDEX($F:$F, ROW()-1), $F194)) : INDEX(AH:AH, ROW()-1),
         INDEX(AB:AB, ROW()-COUNTIF($F$6:INDEX($F:$F, ROW()-1), $F194)) : INDEX(AB:AB, ROW()-1)
         )
         /SUM(INDEX(AB:AB, ROW()-COUNTIF($F$6:INDEX($F:$F, ROW()-1), $F194)) : INDEX(AB:AB, ROW()-1)),
          AVERAGEIFS(unit_details[Effective Rent],
          unit_details[Active Listing?],TRUE,
          unit_details[Property Name], $F195,
          unit_details[Beds], $L195,
          unit_details[Baths], $M195,
          unit_details[Partial Baths], IF(ISNUMBER($N195),$N195,""),
          unit_details[Sqft],$P195
)),"")</f>
        <v/>
      </c>
      <c r="AI195" s="6" t="str">
        <f>IFERROR(IF($F195="Total",
         SUMPRODUCT(
         INDEX(AI:AI, ROW()-COUNTIF($F$6:INDEX($F:$F, ROW()-1), $F194)) : INDEX(AI:AI, ROW()-1),
         INDEX(AB:AB, ROW()-COUNTIF($F$6:INDEX($F:$F, ROW()-1), $F194)) : INDEX(AB:AB, ROW()-1)
         )
         /SUM(INDEX(AB:AB, ROW()-COUNTIF($F$6:INDEX($F:$F, ROW()-1), $F194)) : INDEX(AB:AB, ROW()-1)),
           AVERAGEIFS(unit_details[Effective PSF],
          unit_details[Active Listing?],TRUE,
          unit_details[Property Name], $F195,
          unit_details[Beds], $L195,
          unit_details[Baths], $M195,
          unit_details[Partial Baths], IF(ISNUMBER($N195),$N195,""),
          unit_details[Sqft],$P195
)),"")</f>
        <v/>
      </c>
      <c r="AJ195" s="824" t="str">
        <f t="shared" si="26"/>
        <v/>
      </c>
      <c r="AK195" s="531" t="str">
        <f t="shared" si="27"/>
        <v/>
      </c>
      <c r="AL195" s="714" t="str">
        <f t="shared" si="28"/>
        <v/>
      </c>
      <c r="AM195" s="531" t="str">
        <f t="shared" si="29"/>
        <v/>
      </c>
      <c r="AN195" s="716" t="str">
        <f t="shared" si="30"/>
        <v/>
      </c>
    </row>
    <row r="196" spans="5:40" x14ac:dyDescent="0.2">
      <c r="F196" s="1" t="str">
        <f t="shared" si="23"/>
        <v/>
      </c>
      <c r="G196" s="713" t="str">
        <f t="shared" si="31"/>
        <v/>
      </c>
      <c r="H196" s="17" t="str">
        <f>IFERROR(VLOOKUP($G196,Table1[[Property]:[Exposure %]],4,0),"")</f>
        <v/>
      </c>
      <c r="I196" s="3" t="str">
        <f>IFERROR(VLOOKUP($G196,Table1[[Property]:[Exposure %]],6,0),"")</f>
        <v/>
      </c>
      <c r="J196" s="3" t="str">
        <f>IFERROR(VLOOKUP($G196,Table1[[Property]:[Exposure %]],7,0),"")</f>
        <v/>
      </c>
      <c r="K196"/>
      <c r="L196"/>
      <c r="M196"/>
      <c r="N196"/>
      <c r="O196"/>
      <c r="P196"/>
      <c r="Q196"/>
      <c r="R196" s="4" t="str">
        <f>IFERROR(VLOOKUP(IF(F196="Total",F195,F196),Table1[[Property]:['# Units]],7,0)*S196,"")</f>
        <v/>
      </c>
      <c r="S196" s="27" t="str">
        <f t="shared" si="24"/>
        <v/>
      </c>
      <c r="T196" s="531" t="str">
        <f>IFERROR(
 IF($F196="Total",
   SUMPRODUCT(
   INDEX(T:T, ROW()-COUNTIF($F$6:INDEX($F:$F, ROW()-1), $F195)) : INDEX(T:T, ROW()-1),
   INDEX(W:W, ROW()-COUNTIF($F$6:INDEX($F:$F, ROW()-1), $F195)) : INDEX(W:W, ROW()-1)
   )
   /SUM(INDEX(W:W, ROW()-COUNTIF($F$6:INDEX($F:$F, ROW()-1), $F195)) : INDEX(W:W, ROW()-1)),
   AVERAGEIFS(
     INDEX((unit_details[Asking Rent],unit_details[Asking PSF]),0,1,IF($U$3="Chunk Rent",1,2)),
     unit_details[Leased Date],"&gt;="&amp;($AM$2-T$5),
     unit_details[Leased Date],"&lt;"&amp;$AM$2,
     unit_details[Beds],$L196,
     unit_details[Baths],$M196,
     unit_details[Partial Baths],IF(ISNUMBER($N196),$N196,""),
     unit_details[Sqft],$P196,
     unit_details[Property Name],$F196)
 ),"")</f>
        <v/>
      </c>
      <c r="U196" s="552" t="str">
        <f>IFERROR(
 IF($F196="Total",
   SUMPRODUCT(
   INDEX(U:U, ROW()-COUNTIF($F$6:INDEX($F:$F, ROW()-1), $F195)) : INDEX(U:U, ROW()-1),
   INDEX(W:W, ROW()-COUNTIF($F$6:INDEX($F:$F, ROW()-1), $F195)) : INDEX(W:W, ROW()-1)
   )
   /SUM(INDEX(W:W, ROW()-COUNTIF($F$6:INDEX($F:$F, ROW()-1), $F195)) : INDEX(W:W, ROW()-1)),
   AVERAGEIFS(
     INDEX((unit_details[Effective Rent],unit_details[Effective PSF]),0,1,IF($U$3="Chunk Rent",1,2)),
     unit_details[Leased Date],"&gt;="&amp;($AM$2-T$5),
     unit_details[Leased Date],"&lt;"&amp;$AM$2,
     unit_details[Beds],$L196,
     unit_details[Baths],$M196,
     unit_details[Partial Baths],IF(ISNUMBER($N196),$N196,""),
     unit_details[Sqft],$P196,
     unit_details[Property Name],$F196)
 ),"")</f>
        <v/>
      </c>
      <c r="V196" s="27" t="str">
        <f t="shared" si="32"/>
        <v/>
      </c>
      <c r="W196" s="526">
        <f>IFERROR(
  IF($F196="Total",
    SUM(INDEX(W:W, ROW()-COUNTIF($F$6:INDEX($F:$F, ROW()-1), $F195)) : INDEX(W:W, ROW()-1)),
    COUNTIFS(
      unit_details[Leased Date], "&gt;="&amp;($AM$2-T$5),
      unit_details[Leased Date], "&lt;"&amp;$AM$2,
      unit_details[Beds], $L196,
      unit_details[Baths], $M196,
      unit_details[Partial Baths], IF(ISNUMBER($N196), $N196, ""),
      unit_details[Sqft],$P196,
      unit_details[Property Name], $F196
    )
  ),
"")</f>
        <v>0</v>
      </c>
      <c r="X196" s="531" t="str">
        <f>IFERROR(
 IF($F196="Total",
   SUMPRODUCT(
   INDEX(X:X, ROW()-COUNTIF($F$6:INDEX($F:$F, ROW()-1), $F195)) : INDEX(X:X, ROW()-1),
   INDEX(AA:AA, ROW()-COUNTIF($F$6:INDEX($F:$F, ROW()-1), $F195)) : INDEX(AA:AA, ROW()-1)
   )
   /SUM(INDEX(AA:AA, ROW()-COUNTIF($F$6:INDEX($F:$F, ROW()-1), $F195)) : INDEX(AA:AA, ROW()-1)),
   AVERAGEIFS(
     INDEX((unit_details[Asking Rent],unit_details[Asking PSF]),0,1,IF($U$3="Chunk Rent",1,2)),
     unit_details[Leased Date],"&gt;="&amp;($AM$2-X$5),
     unit_details[Leased Date],"&lt;"&amp;$AM$2,
     unit_details[Beds],$L196,
     unit_details[Baths],$M196,
     unit_details[Partial Baths],IF(ISNUMBER($N196),$N196,""),
     unit_details[Sqft],$P196,
     unit_details[Property Name],$F196)
 ),"")</f>
        <v/>
      </c>
      <c r="Y196" s="552" t="str">
        <f>IFERROR(
 IF($F196="Total",
   SUMPRODUCT(
   INDEX(Y:Y, ROW()-COUNTIF($F$6:INDEX($F:$F, ROW()-1), $F195)) : INDEX(Y:Y, ROW()-1),
   INDEX(AA:AA, ROW()-COUNTIF($F$6:INDEX($F:$F, ROW()-1), $F195)) : INDEX(AA:AA, ROW()-1)
   )
   /SUM(INDEX(AA:AA, ROW()-COUNTIF($F$6:INDEX($F:$F, ROW()-1), $F195)) : INDEX(AA:AA, ROW()-1)),
   AVERAGEIFS(
     INDEX((unit_details[Effective Rent],unit_details[Effective PSF]),0,1,IF($U$3="Chunk Rent",1,2)),
     unit_details[Leased Date],"&gt;="&amp;($AM$2-X$5),
     unit_details[Leased Date],"&lt;"&amp;$AM$2,
     unit_details[Beds],$L196,
     unit_details[Baths],$M196,
     unit_details[Partial Baths],IF(ISNUMBER($N196),$N196,""),
     unit_details[Sqft],$P196,
     unit_details[Property Name],$F196)
 ),"")</f>
        <v/>
      </c>
      <c r="Z196" s="27" t="str">
        <f t="shared" si="33"/>
        <v/>
      </c>
      <c r="AA196" s="526">
        <f>IFERROR(
  IF($F196="Total",
    SUM(INDEX(AA:AA, ROW()-COUNTIF($F$6:INDEX($F:$F, ROW()-1), $F195)) : INDEX(AA:AA, ROW()-1)),
    COUNTIFS(
      unit_details[Leased Date], "&gt;="&amp;($AM$2-X$5),
      unit_details[Leased Date], "&lt;"&amp;$AM$2,
      unit_details[Beds], $L196,
      unit_details[Baths], $M196,
      unit_details[Partial Baths], IF(ISNUMBER($N196), $N196, ""),
      unit_details[Sqft],$P196,
      unit_details[Property Name], $F196
    )
  ),
"")</f>
        <v>0</v>
      </c>
      <c r="AB196" s="290">
        <f>IF($F196="Total",
SUM(INDEX(AB:AB, ROW()-COUNTIF($F$6:INDEX($F:$F, ROW()-1), $F195)) : INDEX(AB:AB, ROW()-1)),
COUNTIFS(unit_details[Active Listing?],TRUE,
          unit_details[Property Name], $F196,
          unit_details[Beds], $L196,
          unit_details[Baths], $M196,
          unit_details[Partial Baths],IF(ISNUMBER($N196),$N196,""),
          unit_details[Sqft],$P196))</f>
        <v>0</v>
      </c>
      <c r="AC196" s="27" t="str">
        <f t="shared" si="25"/>
        <v/>
      </c>
      <c r="AD196" s="293" t="str">
        <f>IFERROR(IF(AE196="","",IF($F196="Total",
SUMPRODUCT(
   INDEX(AD:AD, ROW()-COUNTIF($F$6:INDEX($F:$F, ROW()-1), $F195)) : INDEX(AD:AD, ROW()-1),
   INDEX(AB:AB, ROW()-COUNTIF($F$6:INDEX($F:$F, ROW()-1), $F195)) : INDEX(AB:AB, ROW()-1)
   )
   /SUM(INDEX(AB:AB, ROW()-COUNTIF($F$6:INDEX($F:$F, ROW()-1), $F195)) : INDEX(AB:AB, ROW()-1)),
          _xlfn.MINIFS(unit_details[Asking Rent],
          unit_details[Active Listing?],TRUE,
          unit_details[Property Name], $F196,
          unit_details[Beds], $L196,
          unit_details[Baths], $M196,
          unit_details[Partial Baths], IF(ISNUMBER($N196),$N196,""),
          unit_details[Sqft],$P196
))),"")</f>
        <v/>
      </c>
      <c r="AE196" s="5" t="str">
        <f>IFERROR(IF($F196="Total",
          SUMPRODUCT(
   INDEX(AE:AE, ROW()-COUNTIF($F$6:INDEX($F:$F, ROW()-1), $F195)) : INDEX(AE:AE, ROW()-1),
   INDEX(AB:AB, ROW()-COUNTIF($F$6:INDEX($F:$F, ROW()-1), $F195)) : INDEX(AB:AB, ROW()-1)
   )
   /SUM(INDEX(AB:AB, ROW()-COUNTIF($F$6:INDEX($F:$F, ROW()-1), $F195)) : INDEX(AB:AB, ROW()-1)),
          AVERAGEIFS(unit_details[Asking Rent],
          unit_details[Active Listing?],TRUE,
          unit_details[Property Name], $F196,
          unit_details[Beds], $L196,
          unit_details[Baths], $M196,
          unit_details[Partial Baths], IF(ISNUMBER($N196),$N196,""),
          unit_details[Sqft],$P196
)),"")</f>
        <v/>
      </c>
      <c r="AF196" s="5" t="str">
        <f>IFERROR(IF(AE196="","",IF($F196="Total",
SUMPRODUCT(
   INDEX(AF:AF, ROW()-COUNTIF($F$6:INDEX($F:$F, ROW()-1), $F195)) : INDEX(AF:AF, ROW()-1),
   INDEX(AB:AB, ROW()-COUNTIF($F$6:INDEX($F:$F, ROW()-1), $F195)) : INDEX(AB:AB, ROW()-1)
   )
   /SUM(INDEX(AB:AB, ROW()-COUNTIF($F$6:INDEX($F:$F, ROW()-1), $F195)) : INDEX(AB:AB, ROW()-1)),
           _xlfn.MAXIFS(unit_details[Asking Rent],
          unit_details[Active Listing?],TRUE,
          unit_details[Property Name], $F196,
          unit_details[Beds], $L196,
          unit_details[Baths], $M196,
          unit_details[Partial Baths], IF(ISNUMBER($N196),$N196,""),
          unit_details[Sqft],$P196
))),"")</f>
        <v/>
      </c>
      <c r="AG196" s="6" t="str">
        <f>IFERROR(IF($F196="Total",
         SUMPRODUCT(
         INDEX(AG:AG, ROW()-COUNTIF($F$6:INDEX($F:$F, ROW()-1), $F195)) : INDEX(AG:AG, ROW()-1),
         INDEX(AB:AB, ROW()-COUNTIF($F$6:INDEX($F:$F, ROW()-1), $F195)) : INDEX(AB:AB, ROW()-1)
         )
         /SUM(INDEX(AB:AB, ROW()-COUNTIF($F$6:INDEX($F:$F, ROW()-1), $F195)) : INDEX(AB:AB, ROW()-1)),
          AVERAGEIFS(unit_details[Asking PSF],
          unit_details[Active Listing?],TRUE,
          unit_details[Property Name], $F196,
          unit_details[Beds], $L196,
          unit_details[Baths], $M196,
          unit_details[Partial Baths], IF(ISNUMBER($N196),$N196,""),
          unit_details[Sqft],$P196
)),"")</f>
        <v/>
      </c>
      <c r="AH196" s="293" t="str">
        <f>IFERROR(IF($F196="Total",
         SUMPRODUCT(
         INDEX(AH:AH, ROW()-COUNTIF($F$6:INDEX($F:$F, ROW()-1), $F195)) : INDEX(AH:AH, ROW()-1),
         INDEX(AB:AB, ROW()-COUNTIF($F$6:INDEX($F:$F, ROW()-1), $F195)) : INDEX(AB:AB, ROW()-1)
         )
         /SUM(INDEX(AB:AB, ROW()-COUNTIF($F$6:INDEX($F:$F, ROW()-1), $F195)) : INDEX(AB:AB, ROW()-1)),
          AVERAGEIFS(unit_details[Effective Rent],
          unit_details[Active Listing?],TRUE,
          unit_details[Property Name], $F196,
          unit_details[Beds], $L196,
          unit_details[Baths], $M196,
          unit_details[Partial Baths], IF(ISNUMBER($N196),$N196,""),
          unit_details[Sqft],$P196
)),"")</f>
        <v/>
      </c>
      <c r="AI196" s="6" t="str">
        <f>IFERROR(IF($F196="Total",
         SUMPRODUCT(
         INDEX(AI:AI, ROW()-COUNTIF($F$6:INDEX($F:$F, ROW()-1), $F195)) : INDEX(AI:AI, ROW()-1),
         INDEX(AB:AB, ROW()-COUNTIF($F$6:INDEX($F:$F, ROW()-1), $F195)) : INDEX(AB:AB, ROW()-1)
         )
         /SUM(INDEX(AB:AB, ROW()-COUNTIF($F$6:INDEX($F:$F, ROW()-1), $F195)) : INDEX(AB:AB, ROW()-1)),
           AVERAGEIFS(unit_details[Effective PSF],
          unit_details[Active Listing?],TRUE,
          unit_details[Property Name], $F196,
          unit_details[Beds], $L196,
          unit_details[Baths], $M196,
          unit_details[Partial Baths], IF(ISNUMBER($N196),$N196,""),
          unit_details[Sqft],$P196
)),"")</f>
        <v/>
      </c>
      <c r="AJ196" s="824" t="str">
        <f t="shared" si="26"/>
        <v/>
      </c>
      <c r="AK196" s="531" t="str">
        <f t="shared" si="27"/>
        <v/>
      </c>
      <c r="AL196" s="714" t="str">
        <f t="shared" si="28"/>
        <v/>
      </c>
      <c r="AM196" s="531" t="str">
        <f t="shared" si="29"/>
        <v/>
      </c>
      <c r="AN196" s="716" t="str">
        <f t="shared" si="30"/>
        <v/>
      </c>
    </row>
    <row r="197" spans="5:40" x14ac:dyDescent="0.2">
      <c r="F197" s="1" t="str">
        <f t="shared" si="23"/>
        <v/>
      </c>
      <c r="G197" s="713" t="str">
        <f t="shared" si="31"/>
        <v/>
      </c>
      <c r="H197" s="17" t="str">
        <f>IFERROR(VLOOKUP($G197,Table1[[Property]:[Exposure %]],4,0),"")</f>
        <v/>
      </c>
      <c r="I197" s="3" t="str">
        <f>IFERROR(VLOOKUP($G197,Table1[[Property]:[Exposure %]],6,0),"")</f>
        <v/>
      </c>
      <c r="J197" s="3" t="str">
        <f>IFERROR(VLOOKUP($G197,Table1[[Property]:[Exposure %]],7,0),"")</f>
        <v/>
      </c>
      <c r="K197"/>
      <c r="L197"/>
      <c r="M197"/>
      <c r="N197"/>
      <c r="O197"/>
      <c r="P197"/>
      <c r="Q197"/>
      <c r="R197" s="4" t="str">
        <f>IFERROR(VLOOKUP(IF(F197="Total",F196,F197),Table1[[Property]:['# Units]],7,0)*S197,"")</f>
        <v/>
      </c>
      <c r="S197" s="27" t="str">
        <f t="shared" si="24"/>
        <v/>
      </c>
      <c r="T197" s="531" t="str">
        <f>IFERROR(
 IF($F197="Total",
   SUMPRODUCT(
   INDEX(T:T, ROW()-COUNTIF($F$6:INDEX($F:$F, ROW()-1), $F196)) : INDEX(T:T, ROW()-1),
   INDEX(W:W, ROW()-COUNTIF($F$6:INDEX($F:$F, ROW()-1), $F196)) : INDEX(W:W, ROW()-1)
   )
   /SUM(INDEX(W:W, ROW()-COUNTIF($F$6:INDEX($F:$F, ROW()-1), $F196)) : INDEX(W:W, ROW()-1)),
   AVERAGEIFS(
     INDEX((unit_details[Asking Rent],unit_details[Asking PSF]),0,1,IF($U$3="Chunk Rent",1,2)),
     unit_details[Leased Date],"&gt;="&amp;($AM$2-T$5),
     unit_details[Leased Date],"&lt;"&amp;$AM$2,
     unit_details[Beds],$L197,
     unit_details[Baths],$M197,
     unit_details[Partial Baths],IF(ISNUMBER($N197),$N197,""),
     unit_details[Sqft],$P197,
     unit_details[Property Name],$F197)
 ),"")</f>
        <v/>
      </c>
      <c r="U197" s="552" t="str">
        <f>IFERROR(
 IF($F197="Total",
   SUMPRODUCT(
   INDEX(U:U, ROW()-COUNTIF($F$6:INDEX($F:$F, ROW()-1), $F196)) : INDEX(U:U, ROW()-1),
   INDEX(W:W, ROW()-COUNTIF($F$6:INDEX($F:$F, ROW()-1), $F196)) : INDEX(W:W, ROW()-1)
   )
   /SUM(INDEX(W:W, ROW()-COUNTIF($F$6:INDEX($F:$F, ROW()-1), $F196)) : INDEX(W:W, ROW()-1)),
   AVERAGEIFS(
     INDEX((unit_details[Effective Rent],unit_details[Effective PSF]),0,1,IF($U$3="Chunk Rent",1,2)),
     unit_details[Leased Date],"&gt;="&amp;($AM$2-T$5),
     unit_details[Leased Date],"&lt;"&amp;$AM$2,
     unit_details[Beds],$L197,
     unit_details[Baths],$M197,
     unit_details[Partial Baths],IF(ISNUMBER($N197),$N197,""),
     unit_details[Sqft],$P197,
     unit_details[Property Name],$F197)
 ),"")</f>
        <v/>
      </c>
      <c r="V197" s="27" t="str">
        <f t="shared" si="32"/>
        <v/>
      </c>
      <c r="W197" s="526">
        <f>IFERROR(
  IF($F197="Total",
    SUM(INDEX(W:W, ROW()-COUNTIF($F$6:INDEX($F:$F, ROW()-1), $F196)) : INDEX(W:W, ROW()-1)),
    COUNTIFS(
      unit_details[Leased Date], "&gt;="&amp;($AM$2-T$5),
      unit_details[Leased Date], "&lt;"&amp;$AM$2,
      unit_details[Beds], $L197,
      unit_details[Baths], $M197,
      unit_details[Partial Baths], IF(ISNUMBER($N197), $N197, ""),
      unit_details[Sqft],$P197,
      unit_details[Property Name], $F197
    )
  ),
"")</f>
        <v>0</v>
      </c>
      <c r="X197" s="531" t="str">
        <f>IFERROR(
 IF($F197="Total",
   SUMPRODUCT(
   INDEX(X:X, ROW()-COUNTIF($F$6:INDEX($F:$F, ROW()-1), $F196)) : INDEX(X:X, ROW()-1),
   INDEX(AA:AA, ROW()-COUNTIF($F$6:INDEX($F:$F, ROW()-1), $F196)) : INDEX(AA:AA, ROW()-1)
   )
   /SUM(INDEX(AA:AA, ROW()-COUNTIF($F$6:INDEX($F:$F, ROW()-1), $F196)) : INDEX(AA:AA, ROW()-1)),
   AVERAGEIFS(
     INDEX((unit_details[Asking Rent],unit_details[Asking PSF]),0,1,IF($U$3="Chunk Rent",1,2)),
     unit_details[Leased Date],"&gt;="&amp;($AM$2-X$5),
     unit_details[Leased Date],"&lt;"&amp;$AM$2,
     unit_details[Beds],$L197,
     unit_details[Baths],$M197,
     unit_details[Partial Baths],IF(ISNUMBER($N197),$N197,""),
     unit_details[Sqft],$P197,
     unit_details[Property Name],$F197)
 ),"")</f>
        <v/>
      </c>
      <c r="Y197" s="552" t="str">
        <f>IFERROR(
 IF($F197="Total",
   SUMPRODUCT(
   INDEX(Y:Y, ROW()-COUNTIF($F$6:INDEX($F:$F, ROW()-1), $F196)) : INDEX(Y:Y, ROW()-1),
   INDEX(AA:AA, ROW()-COUNTIF($F$6:INDEX($F:$F, ROW()-1), $F196)) : INDEX(AA:AA, ROW()-1)
   )
   /SUM(INDEX(AA:AA, ROW()-COUNTIF($F$6:INDEX($F:$F, ROW()-1), $F196)) : INDEX(AA:AA, ROW()-1)),
   AVERAGEIFS(
     INDEX((unit_details[Effective Rent],unit_details[Effective PSF]),0,1,IF($U$3="Chunk Rent",1,2)),
     unit_details[Leased Date],"&gt;="&amp;($AM$2-X$5),
     unit_details[Leased Date],"&lt;"&amp;$AM$2,
     unit_details[Beds],$L197,
     unit_details[Baths],$M197,
     unit_details[Partial Baths],IF(ISNUMBER($N197),$N197,""),
     unit_details[Sqft],$P197,
     unit_details[Property Name],$F197)
 ),"")</f>
        <v/>
      </c>
      <c r="Z197" s="27" t="str">
        <f t="shared" si="33"/>
        <v/>
      </c>
      <c r="AA197" s="526">
        <f>IFERROR(
  IF($F197="Total",
    SUM(INDEX(AA:AA, ROW()-COUNTIF($F$6:INDEX($F:$F, ROW()-1), $F196)) : INDEX(AA:AA, ROW()-1)),
    COUNTIFS(
      unit_details[Leased Date], "&gt;="&amp;($AM$2-X$5),
      unit_details[Leased Date], "&lt;"&amp;$AM$2,
      unit_details[Beds], $L197,
      unit_details[Baths], $M197,
      unit_details[Partial Baths], IF(ISNUMBER($N197), $N197, ""),
      unit_details[Sqft],$P197,
      unit_details[Property Name], $F197
    )
  ),
"")</f>
        <v>0</v>
      </c>
      <c r="AB197" s="290">
        <f>IF($F197="Total",
SUM(INDEX(AB:AB, ROW()-COUNTIF($F$6:INDEX($F:$F, ROW()-1), $F196)) : INDEX(AB:AB, ROW()-1)),
COUNTIFS(unit_details[Active Listing?],TRUE,
          unit_details[Property Name], $F197,
          unit_details[Beds], $L197,
          unit_details[Baths], $M197,
          unit_details[Partial Baths],IF(ISNUMBER($N197),$N197,""),
          unit_details[Sqft],$P197))</f>
        <v>0</v>
      </c>
      <c r="AC197" s="27" t="str">
        <f t="shared" si="25"/>
        <v/>
      </c>
      <c r="AD197" s="293" t="str">
        <f>IFERROR(IF(AE197="","",IF($F197="Total",
SUMPRODUCT(
   INDEX(AD:AD, ROW()-COUNTIF($F$6:INDEX($F:$F, ROW()-1), $F196)) : INDEX(AD:AD, ROW()-1),
   INDEX(AB:AB, ROW()-COUNTIF($F$6:INDEX($F:$F, ROW()-1), $F196)) : INDEX(AB:AB, ROW()-1)
   )
   /SUM(INDEX(AB:AB, ROW()-COUNTIF($F$6:INDEX($F:$F, ROW()-1), $F196)) : INDEX(AB:AB, ROW()-1)),
          _xlfn.MINIFS(unit_details[Asking Rent],
          unit_details[Active Listing?],TRUE,
          unit_details[Property Name], $F197,
          unit_details[Beds], $L197,
          unit_details[Baths], $M197,
          unit_details[Partial Baths], IF(ISNUMBER($N197),$N197,""),
          unit_details[Sqft],$P197
))),"")</f>
        <v/>
      </c>
      <c r="AE197" s="5" t="str">
        <f>IFERROR(IF($F197="Total",
          SUMPRODUCT(
   INDEX(AE:AE, ROW()-COUNTIF($F$6:INDEX($F:$F, ROW()-1), $F196)) : INDEX(AE:AE, ROW()-1),
   INDEX(AB:AB, ROW()-COUNTIF($F$6:INDEX($F:$F, ROW()-1), $F196)) : INDEX(AB:AB, ROW()-1)
   )
   /SUM(INDEX(AB:AB, ROW()-COUNTIF($F$6:INDEX($F:$F, ROW()-1), $F196)) : INDEX(AB:AB, ROW()-1)),
          AVERAGEIFS(unit_details[Asking Rent],
          unit_details[Active Listing?],TRUE,
          unit_details[Property Name], $F197,
          unit_details[Beds], $L197,
          unit_details[Baths], $M197,
          unit_details[Partial Baths], IF(ISNUMBER($N197),$N197,""),
          unit_details[Sqft],$P197
)),"")</f>
        <v/>
      </c>
      <c r="AF197" s="5" t="str">
        <f>IFERROR(IF(AE197="","",IF($F197="Total",
SUMPRODUCT(
   INDEX(AF:AF, ROW()-COUNTIF($F$6:INDEX($F:$F, ROW()-1), $F196)) : INDEX(AF:AF, ROW()-1),
   INDEX(AB:AB, ROW()-COUNTIF($F$6:INDEX($F:$F, ROW()-1), $F196)) : INDEX(AB:AB, ROW()-1)
   )
   /SUM(INDEX(AB:AB, ROW()-COUNTIF($F$6:INDEX($F:$F, ROW()-1), $F196)) : INDEX(AB:AB, ROW()-1)),
           _xlfn.MAXIFS(unit_details[Asking Rent],
          unit_details[Active Listing?],TRUE,
          unit_details[Property Name], $F197,
          unit_details[Beds], $L197,
          unit_details[Baths], $M197,
          unit_details[Partial Baths], IF(ISNUMBER($N197),$N197,""),
          unit_details[Sqft],$P197
))),"")</f>
        <v/>
      </c>
      <c r="AG197" s="6" t="str">
        <f>IFERROR(IF($F197="Total",
         SUMPRODUCT(
         INDEX(AG:AG, ROW()-COUNTIF($F$6:INDEX($F:$F, ROW()-1), $F196)) : INDEX(AG:AG, ROW()-1),
         INDEX(AB:AB, ROW()-COUNTIF($F$6:INDEX($F:$F, ROW()-1), $F196)) : INDEX(AB:AB, ROW()-1)
         )
         /SUM(INDEX(AB:AB, ROW()-COUNTIF($F$6:INDEX($F:$F, ROW()-1), $F196)) : INDEX(AB:AB, ROW()-1)),
          AVERAGEIFS(unit_details[Asking PSF],
          unit_details[Active Listing?],TRUE,
          unit_details[Property Name], $F197,
          unit_details[Beds], $L197,
          unit_details[Baths], $M197,
          unit_details[Partial Baths], IF(ISNUMBER($N197),$N197,""),
          unit_details[Sqft],$P197
)),"")</f>
        <v/>
      </c>
      <c r="AH197" s="293" t="str">
        <f>IFERROR(IF($F197="Total",
         SUMPRODUCT(
         INDEX(AH:AH, ROW()-COUNTIF($F$6:INDEX($F:$F, ROW()-1), $F196)) : INDEX(AH:AH, ROW()-1),
         INDEX(AB:AB, ROW()-COUNTIF($F$6:INDEX($F:$F, ROW()-1), $F196)) : INDEX(AB:AB, ROW()-1)
         )
         /SUM(INDEX(AB:AB, ROW()-COUNTIF($F$6:INDEX($F:$F, ROW()-1), $F196)) : INDEX(AB:AB, ROW()-1)),
          AVERAGEIFS(unit_details[Effective Rent],
          unit_details[Active Listing?],TRUE,
          unit_details[Property Name], $F197,
          unit_details[Beds], $L197,
          unit_details[Baths], $M197,
          unit_details[Partial Baths], IF(ISNUMBER($N197),$N197,""),
          unit_details[Sqft],$P197
)),"")</f>
        <v/>
      </c>
      <c r="AI197" s="6" t="str">
        <f>IFERROR(IF($F197="Total",
         SUMPRODUCT(
         INDEX(AI:AI, ROW()-COUNTIF($F$6:INDEX($F:$F, ROW()-1), $F196)) : INDEX(AI:AI, ROW()-1),
         INDEX(AB:AB, ROW()-COUNTIF($F$6:INDEX($F:$F, ROW()-1), $F196)) : INDEX(AB:AB, ROW()-1)
         )
         /SUM(INDEX(AB:AB, ROW()-COUNTIF($F$6:INDEX($F:$F, ROW()-1), $F196)) : INDEX(AB:AB, ROW()-1)),
           AVERAGEIFS(unit_details[Effective PSF],
          unit_details[Active Listing?],TRUE,
          unit_details[Property Name], $F197,
          unit_details[Beds], $L197,
          unit_details[Baths], $M197,
          unit_details[Partial Baths], IF(ISNUMBER($N197),$N197,""),
          unit_details[Sqft],$P197
)),"")</f>
        <v/>
      </c>
      <c r="AJ197" s="824" t="str">
        <f t="shared" si="26"/>
        <v/>
      </c>
      <c r="AK197" s="531" t="str">
        <f t="shared" si="27"/>
        <v/>
      </c>
      <c r="AL197" s="714" t="str">
        <f t="shared" si="28"/>
        <v/>
      </c>
      <c r="AM197" s="531" t="str">
        <f t="shared" si="29"/>
        <v/>
      </c>
      <c r="AN197" s="716" t="str">
        <f t="shared" si="30"/>
        <v/>
      </c>
    </row>
    <row r="198" spans="5:40" x14ac:dyDescent="0.2">
      <c r="F198" s="1" t="str">
        <f t="shared" si="23"/>
        <v/>
      </c>
      <c r="G198" s="713" t="str">
        <f t="shared" si="31"/>
        <v/>
      </c>
      <c r="H198" s="17" t="str">
        <f>IFERROR(VLOOKUP($G198,Table1[[Property]:[Exposure %]],4,0),"")</f>
        <v/>
      </c>
      <c r="I198" s="3" t="str">
        <f>IFERROR(VLOOKUP($G198,Table1[[Property]:[Exposure %]],6,0),"")</f>
        <v/>
      </c>
      <c r="J198" s="3" t="str">
        <f>IFERROR(VLOOKUP($G198,Table1[[Property]:[Exposure %]],7,0),"")</f>
        <v/>
      </c>
      <c r="K198"/>
      <c r="L198"/>
      <c r="M198"/>
      <c r="N198"/>
      <c r="O198"/>
      <c r="P198"/>
      <c r="Q198"/>
      <c r="R198" s="4" t="str">
        <f>IFERROR(VLOOKUP(IF(F198="Total",F197,F198),Table1[[Property]:['# Units]],7,0)*S198,"")</f>
        <v/>
      </c>
      <c r="S198" s="27" t="str">
        <f t="shared" si="24"/>
        <v/>
      </c>
      <c r="T198" s="531" t="str">
        <f>IFERROR(
 IF($F198="Total",
   SUMPRODUCT(
   INDEX(T:T, ROW()-COUNTIF($F$6:INDEX($F:$F, ROW()-1), $F197)) : INDEX(T:T, ROW()-1),
   INDEX(W:W, ROW()-COUNTIF($F$6:INDEX($F:$F, ROW()-1), $F197)) : INDEX(W:W, ROW()-1)
   )
   /SUM(INDEX(W:W, ROW()-COUNTIF($F$6:INDEX($F:$F, ROW()-1), $F197)) : INDEX(W:W, ROW()-1)),
   AVERAGEIFS(
     INDEX((unit_details[Asking Rent],unit_details[Asking PSF]),0,1,IF($U$3="Chunk Rent",1,2)),
     unit_details[Leased Date],"&gt;="&amp;($AM$2-T$5),
     unit_details[Leased Date],"&lt;"&amp;$AM$2,
     unit_details[Beds],$L198,
     unit_details[Baths],$M198,
     unit_details[Partial Baths],IF(ISNUMBER($N198),$N198,""),
     unit_details[Sqft],$P198,
     unit_details[Property Name],$F198)
 ),"")</f>
        <v/>
      </c>
      <c r="U198" s="552" t="str">
        <f>IFERROR(
 IF($F198="Total",
   SUMPRODUCT(
   INDEX(U:U, ROW()-COUNTIF($F$6:INDEX($F:$F, ROW()-1), $F197)) : INDEX(U:U, ROW()-1),
   INDEX(W:W, ROW()-COUNTIF($F$6:INDEX($F:$F, ROW()-1), $F197)) : INDEX(W:W, ROW()-1)
   )
   /SUM(INDEX(W:W, ROW()-COUNTIF($F$6:INDEX($F:$F, ROW()-1), $F197)) : INDEX(W:W, ROW()-1)),
   AVERAGEIFS(
     INDEX((unit_details[Effective Rent],unit_details[Effective PSF]),0,1,IF($U$3="Chunk Rent",1,2)),
     unit_details[Leased Date],"&gt;="&amp;($AM$2-T$5),
     unit_details[Leased Date],"&lt;"&amp;$AM$2,
     unit_details[Beds],$L198,
     unit_details[Baths],$M198,
     unit_details[Partial Baths],IF(ISNUMBER($N198),$N198,""),
     unit_details[Sqft],$P198,
     unit_details[Property Name],$F198)
 ),"")</f>
        <v/>
      </c>
      <c r="V198" s="27" t="str">
        <f t="shared" si="32"/>
        <v/>
      </c>
      <c r="W198" s="526">
        <f>IFERROR(
  IF($F198="Total",
    SUM(INDEX(W:W, ROW()-COUNTIF($F$6:INDEX($F:$F, ROW()-1), $F197)) : INDEX(W:W, ROW()-1)),
    COUNTIFS(
      unit_details[Leased Date], "&gt;="&amp;($AM$2-T$5),
      unit_details[Leased Date], "&lt;"&amp;$AM$2,
      unit_details[Beds], $L198,
      unit_details[Baths], $M198,
      unit_details[Partial Baths], IF(ISNUMBER($N198), $N198, ""),
      unit_details[Sqft],$P198,
      unit_details[Property Name], $F198
    )
  ),
"")</f>
        <v>0</v>
      </c>
      <c r="X198" s="531" t="str">
        <f>IFERROR(
 IF($F198="Total",
   SUMPRODUCT(
   INDEX(X:X, ROW()-COUNTIF($F$6:INDEX($F:$F, ROW()-1), $F197)) : INDEX(X:X, ROW()-1),
   INDEX(AA:AA, ROW()-COUNTIF($F$6:INDEX($F:$F, ROW()-1), $F197)) : INDEX(AA:AA, ROW()-1)
   )
   /SUM(INDEX(AA:AA, ROW()-COUNTIF($F$6:INDEX($F:$F, ROW()-1), $F197)) : INDEX(AA:AA, ROW()-1)),
   AVERAGEIFS(
     INDEX((unit_details[Asking Rent],unit_details[Asking PSF]),0,1,IF($U$3="Chunk Rent",1,2)),
     unit_details[Leased Date],"&gt;="&amp;($AM$2-X$5),
     unit_details[Leased Date],"&lt;"&amp;$AM$2,
     unit_details[Beds],$L198,
     unit_details[Baths],$M198,
     unit_details[Partial Baths],IF(ISNUMBER($N198),$N198,""),
     unit_details[Sqft],$P198,
     unit_details[Property Name],$F198)
 ),"")</f>
        <v/>
      </c>
      <c r="Y198" s="552" t="str">
        <f>IFERROR(
 IF($F198="Total",
   SUMPRODUCT(
   INDEX(Y:Y, ROW()-COUNTIF($F$6:INDEX($F:$F, ROW()-1), $F197)) : INDEX(Y:Y, ROW()-1),
   INDEX(AA:AA, ROW()-COUNTIF($F$6:INDEX($F:$F, ROW()-1), $F197)) : INDEX(AA:AA, ROW()-1)
   )
   /SUM(INDEX(AA:AA, ROW()-COUNTIF($F$6:INDEX($F:$F, ROW()-1), $F197)) : INDEX(AA:AA, ROW()-1)),
   AVERAGEIFS(
     INDEX((unit_details[Effective Rent],unit_details[Effective PSF]),0,1,IF($U$3="Chunk Rent",1,2)),
     unit_details[Leased Date],"&gt;="&amp;($AM$2-X$5),
     unit_details[Leased Date],"&lt;"&amp;$AM$2,
     unit_details[Beds],$L198,
     unit_details[Baths],$M198,
     unit_details[Partial Baths],IF(ISNUMBER($N198),$N198,""),
     unit_details[Sqft],$P198,
     unit_details[Property Name],$F198)
 ),"")</f>
        <v/>
      </c>
      <c r="Z198" s="27" t="str">
        <f t="shared" si="33"/>
        <v/>
      </c>
      <c r="AA198" s="526">
        <f>IFERROR(
  IF($F198="Total",
    SUM(INDEX(AA:AA, ROW()-COUNTIF($F$6:INDEX($F:$F, ROW()-1), $F197)) : INDEX(AA:AA, ROW()-1)),
    COUNTIFS(
      unit_details[Leased Date], "&gt;="&amp;($AM$2-X$5),
      unit_details[Leased Date], "&lt;"&amp;$AM$2,
      unit_details[Beds], $L198,
      unit_details[Baths], $M198,
      unit_details[Partial Baths], IF(ISNUMBER($N198), $N198, ""),
      unit_details[Sqft],$P198,
      unit_details[Property Name], $F198
    )
  ),
"")</f>
        <v>0</v>
      </c>
      <c r="AB198" s="290">
        <f>IF($F198="Total",
SUM(INDEX(AB:AB, ROW()-COUNTIF($F$6:INDEX($F:$F, ROW()-1), $F197)) : INDEX(AB:AB, ROW()-1)),
COUNTIFS(unit_details[Active Listing?],TRUE,
          unit_details[Property Name], $F198,
          unit_details[Beds], $L198,
          unit_details[Baths], $M198,
          unit_details[Partial Baths],IF(ISNUMBER($N198),$N198,""),
          unit_details[Sqft],$P198))</f>
        <v>0</v>
      </c>
      <c r="AC198" s="27" t="str">
        <f t="shared" si="25"/>
        <v/>
      </c>
      <c r="AD198" s="293" t="str">
        <f>IFERROR(IF(AE198="","",IF($F198="Total",
SUMPRODUCT(
   INDEX(AD:AD, ROW()-COUNTIF($F$6:INDEX($F:$F, ROW()-1), $F197)) : INDEX(AD:AD, ROW()-1),
   INDEX(AB:AB, ROW()-COUNTIF($F$6:INDEX($F:$F, ROW()-1), $F197)) : INDEX(AB:AB, ROW()-1)
   )
   /SUM(INDEX(AB:AB, ROW()-COUNTIF($F$6:INDEX($F:$F, ROW()-1), $F197)) : INDEX(AB:AB, ROW()-1)),
          _xlfn.MINIFS(unit_details[Asking Rent],
          unit_details[Active Listing?],TRUE,
          unit_details[Property Name], $F198,
          unit_details[Beds], $L198,
          unit_details[Baths], $M198,
          unit_details[Partial Baths], IF(ISNUMBER($N198),$N198,""),
          unit_details[Sqft],$P198
))),"")</f>
        <v/>
      </c>
      <c r="AE198" s="5" t="str">
        <f>IFERROR(IF($F198="Total",
          SUMPRODUCT(
   INDEX(AE:AE, ROW()-COUNTIF($F$6:INDEX($F:$F, ROW()-1), $F197)) : INDEX(AE:AE, ROW()-1),
   INDEX(AB:AB, ROW()-COUNTIF($F$6:INDEX($F:$F, ROW()-1), $F197)) : INDEX(AB:AB, ROW()-1)
   )
   /SUM(INDEX(AB:AB, ROW()-COUNTIF($F$6:INDEX($F:$F, ROW()-1), $F197)) : INDEX(AB:AB, ROW()-1)),
          AVERAGEIFS(unit_details[Asking Rent],
          unit_details[Active Listing?],TRUE,
          unit_details[Property Name], $F198,
          unit_details[Beds], $L198,
          unit_details[Baths], $M198,
          unit_details[Partial Baths], IF(ISNUMBER($N198),$N198,""),
          unit_details[Sqft],$P198
)),"")</f>
        <v/>
      </c>
      <c r="AF198" s="5" t="str">
        <f>IFERROR(IF(AE198="","",IF($F198="Total",
SUMPRODUCT(
   INDEX(AF:AF, ROW()-COUNTIF($F$6:INDEX($F:$F, ROW()-1), $F197)) : INDEX(AF:AF, ROW()-1),
   INDEX(AB:AB, ROW()-COUNTIF($F$6:INDEX($F:$F, ROW()-1), $F197)) : INDEX(AB:AB, ROW()-1)
   )
   /SUM(INDEX(AB:AB, ROW()-COUNTIF($F$6:INDEX($F:$F, ROW()-1), $F197)) : INDEX(AB:AB, ROW()-1)),
           _xlfn.MAXIFS(unit_details[Asking Rent],
          unit_details[Active Listing?],TRUE,
          unit_details[Property Name], $F198,
          unit_details[Beds], $L198,
          unit_details[Baths], $M198,
          unit_details[Partial Baths], IF(ISNUMBER($N198),$N198,""),
          unit_details[Sqft],$P198
))),"")</f>
        <v/>
      </c>
      <c r="AG198" s="6" t="str">
        <f>IFERROR(IF($F198="Total",
         SUMPRODUCT(
         INDEX(AG:AG, ROW()-COUNTIF($F$6:INDEX($F:$F, ROW()-1), $F197)) : INDEX(AG:AG, ROW()-1),
         INDEX(AB:AB, ROW()-COUNTIF($F$6:INDEX($F:$F, ROW()-1), $F197)) : INDEX(AB:AB, ROW()-1)
         )
         /SUM(INDEX(AB:AB, ROW()-COUNTIF($F$6:INDEX($F:$F, ROW()-1), $F197)) : INDEX(AB:AB, ROW()-1)),
          AVERAGEIFS(unit_details[Asking PSF],
          unit_details[Active Listing?],TRUE,
          unit_details[Property Name], $F198,
          unit_details[Beds], $L198,
          unit_details[Baths], $M198,
          unit_details[Partial Baths], IF(ISNUMBER($N198),$N198,""),
          unit_details[Sqft],$P198
)),"")</f>
        <v/>
      </c>
      <c r="AH198" s="293" t="str">
        <f>IFERROR(IF($F198="Total",
         SUMPRODUCT(
         INDEX(AH:AH, ROW()-COUNTIF($F$6:INDEX($F:$F, ROW()-1), $F197)) : INDEX(AH:AH, ROW()-1),
         INDEX(AB:AB, ROW()-COUNTIF($F$6:INDEX($F:$F, ROW()-1), $F197)) : INDEX(AB:AB, ROW()-1)
         )
         /SUM(INDEX(AB:AB, ROW()-COUNTIF($F$6:INDEX($F:$F, ROW()-1), $F197)) : INDEX(AB:AB, ROW()-1)),
          AVERAGEIFS(unit_details[Effective Rent],
          unit_details[Active Listing?],TRUE,
          unit_details[Property Name], $F198,
          unit_details[Beds], $L198,
          unit_details[Baths], $M198,
          unit_details[Partial Baths], IF(ISNUMBER($N198),$N198,""),
          unit_details[Sqft],$P198
)),"")</f>
        <v/>
      </c>
      <c r="AI198" s="6" t="str">
        <f>IFERROR(IF($F198="Total",
         SUMPRODUCT(
         INDEX(AI:AI, ROW()-COUNTIF($F$6:INDEX($F:$F, ROW()-1), $F197)) : INDEX(AI:AI, ROW()-1),
         INDEX(AB:AB, ROW()-COUNTIF($F$6:INDEX($F:$F, ROW()-1), $F197)) : INDEX(AB:AB, ROW()-1)
         )
         /SUM(INDEX(AB:AB, ROW()-COUNTIF($F$6:INDEX($F:$F, ROW()-1), $F197)) : INDEX(AB:AB, ROW()-1)),
           AVERAGEIFS(unit_details[Effective PSF],
          unit_details[Active Listing?],TRUE,
          unit_details[Property Name], $F198,
          unit_details[Beds], $L198,
          unit_details[Baths], $M198,
          unit_details[Partial Baths], IF(ISNUMBER($N198),$N198,""),
          unit_details[Sqft],$P198
)),"")</f>
        <v/>
      </c>
      <c r="AJ198" s="824" t="str">
        <f t="shared" si="26"/>
        <v/>
      </c>
      <c r="AK198" s="531" t="str">
        <f t="shared" si="27"/>
        <v/>
      </c>
      <c r="AL198" s="714" t="str">
        <f t="shared" si="28"/>
        <v/>
      </c>
      <c r="AM198" s="531" t="str">
        <f t="shared" si="29"/>
        <v/>
      </c>
      <c r="AN198" s="716" t="str">
        <f t="shared" si="30"/>
        <v/>
      </c>
    </row>
    <row r="199" spans="5:40" x14ac:dyDescent="0.2">
      <c r="F199" s="1" t="str">
        <f t="shared" ref="F199:F262" si="34">IF(RIGHT(K199,5)="Total","Total",IF(ISTEXT(K199),K199,IF(F198="Total","",F198)))</f>
        <v/>
      </c>
      <c r="G199" s="713" t="str">
        <f t="shared" si="31"/>
        <v/>
      </c>
      <c r="H199" s="17" t="str">
        <f>IFERROR(VLOOKUP($G199,Table1[[Property]:[Exposure %]],4,0),"")</f>
        <v/>
      </c>
      <c r="I199" s="3" t="str">
        <f>IFERROR(VLOOKUP($G199,Table1[[Property]:[Exposure %]],6,0),"")</f>
        <v/>
      </c>
      <c r="J199" s="3" t="str">
        <f>IFERROR(VLOOKUP($G199,Table1[[Property]:[Exposure %]],7,0),"")</f>
        <v/>
      </c>
      <c r="K199"/>
      <c r="L199"/>
      <c r="M199"/>
      <c r="N199"/>
      <c r="O199"/>
      <c r="P199"/>
      <c r="Q199"/>
      <c r="R199" s="4" t="str">
        <f>IFERROR(VLOOKUP(IF(F199="Total",F198,F199),Table1[[Property]:['# Units]],7,0)*S199,"")</f>
        <v/>
      </c>
      <c r="S199" s="27" t="str">
        <f t="shared" ref="S199:S262" si="35">IF(Q199=0,"",Q199)</f>
        <v/>
      </c>
      <c r="T199" s="531" t="str">
        <f>IFERROR(
 IF($F199="Total",
   SUMPRODUCT(
   INDEX(T:T, ROW()-COUNTIF($F$6:INDEX($F:$F, ROW()-1), $F198)) : INDEX(T:T, ROW()-1),
   INDEX(W:W, ROW()-COUNTIF($F$6:INDEX($F:$F, ROW()-1), $F198)) : INDEX(W:W, ROW()-1)
   )
   /SUM(INDEX(W:W, ROW()-COUNTIF($F$6:INDEX($F:$F, ROW()-1), $F198)) : INDEX(W:W, ROW()-1)),
   AVERAGEIFS(
     INDEX((unit_details[Asking Rent],unit_details[Asking PSF]),0,1,IF($U$3="Chunk Rent",1,2)),
     unit_details[Leased Date],"&gt;="&amp;($AM$2-T$5),
     unit_details[Leased Date],"&lt;"&amp;$AM$2,
     unit_details[Beds],$L199,
     unit_details[Baths],$M199,
     unit_details[Partial Baths],IF(ISNUMBER($N199),$N199,""),
     unit_details[Sqft],$P199,
     unit_details[Property Name],$F199)
 ),"")</f>
        <v/>
      </c>
      <c r="U199" s="552" t="str">
        <f>IFERROR(
 IF($F199="Total",
   SUMPRODUCT(
   INDEX(U:U, ROW()-COUNTIF($F$6:INDEX($F:$F, ROW()-1), $F198)) : INDEX(U:U, ROW()-1),
   INDEX(W:W, ROW()-COUNTIF($F$6:INDEX($F:$F, ROW()-1), $F198)) : INDEX(W:W, ROW()-1)
   )
   /SUM(INDEX(W:W, ROW()-COUNTIF($F$6:INDEX($F:$F, ROW()-1), $F198)) : INDEX(W:W, ROW()-1)),
   AVERAGEIFS(
     INDEX((unit_details[Effective Rent],unit_details[Effective PSF]),0,1,IF($U$3="Chunk Rent",1,2)),
     unit_details[Leased Date],"&gt;="&amp;($AM$2-T$5),
     unit_details[Leased Date],"&lt;"&amp;$AM$2,
     unit_details[Beds],$L199,
     unit_details[Baths],$M199,
     unit_details[Partial Baths],IF(ISNUMBER($N199),$N199,""),
     unit_details[Sqft],$P199,
     unit_details[Property Name],$F199)
 ),"")</f>
        <v/>
      </c>
      <c r="V199" s="27" t="str">
        <f t="shared" si="32"/>
        <v/>
      </c>
      <c r="W199" s="526">
        <f>IFERROR(
  IF($F199="Total",
    SUM(INDEX(W:W, ROW()-COUNTIF($F$6:INDEX($F:$F, ROW()-1), $F198)) : INDEX(W:W, ROW()-1)),
    COUNTIFS(
      unit_details[Leased Date], "&gt;="&amp;($AM$2-T$5),
      unit_details[Leased Date], "&lt;"&amp;$AM$2,
      unit_details[Beds], $L199,
      unit_details[Baths], $M199,
      unit_details[Partial Baths], IF(ISNUMBER($N199), $N199, ""),
      unit_details[Sqft],$P199,
      unit_details[Property Name], $F199
    )
  ),
"")</f>
        <v>0</v>
      </c>
      <c r="X199" s="531" t="str">
        <f>IFERROR(
 IF($F199="Total",
   SUMPRODUCT(
   INDEX(X:X, ROW()-COUNTIF($F$6:INDEX($F:$F, ROW()-1), $F198)) : INDEX(X:X, ROW()-1),
   INDEX(AA:AA, ROW()-COUNTIF($F$6:INDEX($F:$F, ROW()-1), $F198)) : INDEX(AA:AA, ROW()-1)
   )
   /SUM(INDEX(AA:AA, ROW()-COUNTIF($F$6:INDEX($F:$F, ROW()-1), $F198)) : INDEX(AA:AA, ROW()-1)),
   AVERAGEIFS(
     INDEX((unit_details[Asking Rent],unit_details[Asking PSF]),0,1,IF($U$3="Chunk Rent",1,2)),
     unit_details[Leased Date],"&gt;="&amp;($AM$2-X$5),
     unit_details[Leased Date],"&lt;"&amp;$AM$2,
     unit_details[Beds],$L199,
     unit_details[Baths],$M199,
     unit_details[Partial Baths],IF(ISNUMBER($N199),$N199,""),
     unit_details[Sqft],$P199,
     unit_details[Property Name],$F199)
 ),"")</f>
        <v/>
      </c>
      <c r="Y199" s="552" t="str">
        <f>IFERROR(
 IF($F199="Total",
   SUMPRODUCT(
   INDEX(Y:Y, ROW()-COUNTIF($F$6:INDEX($F:$F, ROW()-1), $F198)) : INDEX(Y:Y, ROW()-1),
   INDEX(AA:AA, ROW()-COUNTIF($F$6:INDEX($F:$F, ROW()-1), $F198)) : INDEX(AA:AA, ROW()-1)
   )
   /SUM(INDEX(AA:AA, ROW()-COUNTIF($F$6:INDEX($F:$F, ROW()-1), $F198)) : INDEX(AA:AA, ROW()-1)),
   AVERAGEIFS(
     INDEX((unit_details[Effective Rent],unit_details[Effective PSF]),0,1,IF($U$3="Chunk Rent",1,2)),
     unit_details[Leased Date],"&gt;="&amp;($AM$2-X$5),
     unit_details[Leased Date],"&lt;"&amp;$AM$2,
     unit_details[Beds],$L199,
     unit_details[Baths],$M199,
     unit_details[Partial Baths],IF(ISNUMBER($N199),$N199,""),
     unit_details[Sqft],$P199,
     unit_details[Property Name],$F199)
 ),"")</f>
        <v/>
      </c>
      <c r="Z199" s="27" t="str">
        <f t="shared" si="33"/>
        <v/>
      </c>
      <c r="AA199" s="526">
        <f>IFERROR(
  IF($F199="Total",
    SUM(INDEX(AA:AA, ROW()-COUNTIF($F$6:INDEX($F:$F, ROW()-1), $F198)) : INDEX(AA:AA, ROW()-1)),
    COUNTIFS(
      unit_details[Leased Date], "&gt;="&amp;($AM$2-X$5),
      unit_details[Leased Date], "&lt;"&amp;$AM$2,
      unit_details[Beds], $L199,
      unit_details[Baths], $M199,
      unit_details[Partial Baths], IF(ISNUMBER($N199), $N199, ""),
      unit_details[Sqft],$P199,
      unit_details[Property Name], $F199
    )
  ),
"")</f>
        <v>0</v>
      </c>
      <c r="AB199" s="290">
        <f>IF($F199="Total",
SUM(INDEX(AB:AB, ROW()-COUNTIF($F$6:INDEX($F:$F, ROW()-1), $F198)) : INDEX(AB:AB, ROW()-1)),
COUNTIFS(unit_details[Active Listing?],TRUE,
          unit_details[Property Name], $F199,
          unit_details[Beds], $L199,
          unit_details[Baths], $M199,
          unit_details[Partial Baths],IF(ISNUMBER($N199),$N199,""),
          unit_details[Sqft],$P199))</f>
        <v>0</v>
      </c>
      <c r="AC199" s="27" t="str">
        <f t="shared" ref="AC199:AC262" si="36">IFERROR(AB199/R199,"")</f>
        <v/>
      </c>
      <c r="AD199" s="293" t="str">
        <f>IFERROR(IF(AE199="","",IF($F199="Total",
SUMPRODUCT(
   INDEX(AD:AD, ROW()-COUNTIF($F$6:INDEX($F:$F, ROW()-1), $F198)) : INDEX(AD:AD, ROW()-1),
   INDEX(AB:AB, ROW()-COUNTIF($F$6:INDEX($F:$F, ROW()-1), $F198)) : INDEX(AB:AB, ROW()-1)
   )
   /SUM(INDEX(AB:AB, ROW()-COUNTIF($F$6:INDEX($F:$F, ROW()-1), $F198)) : INDEX(AB:AB, ROW()-1)),
          _xlfn.MINIFS(unit_details[Asking Rent],
          unit_details[Active Listing?],TRUE,
          unit_details[Property Name], $F199,
          unit_details[Beds], $L199,
          unit_details[Baths], $M199,
          unit_details[Partial Baths], IF(ISNUMBER($N199),$N199,""),
          unit_details[Sqft],$P199
))),"")</f>
        <v/>
      </c>
      <c r="AE199" s="5" t="str">
        <f>IFERROR(IF($F199="Total",
          SUMPRODUCT(
   INDEX(AE:AE, ROW()-COUNTIF($F$6:INDEX($F:$F, ROW()-1), $F198)) : INDEX(AE:AE, ROW()-1),
   INDEX(AB:AB, ROW()-COUNTIF($F$6:INDEX($F:$F, ROW()-1), $F198)) : INDEX(AB:AB, ROW()-1)
   )
   /SUM(INDEX(AB:AB, ROW()-COUNTIF($F$6:INDEX($F:$F, ROW()-1), $F198)) : INDEX(AB:AB, ROW()-1)),
          AVERAGEIFS(unit_details[Asking Rent],
          unit_details[Active Listing?],TRUE,
          unit_details[Property Name], $F199,
          unit_details[Beds], $L199,
          unit_details[Baths], $M199,
          unit_details[Partial Baths], IF(ISNUMBER($N199),$N199,""),
          unit_details[Sqft],$P199
)),"")</f>
        <v/>
      </c>
      <c r="AF199" s="5" t="str">
        <f>IFERROR(IF(AE199="","",IF($F199="Total",
SUMPRODUCT(
   INDEX(AF:AF, ROW()-COUNTIF($F$6:INDEX($F:$F, ROW()-1), $F198)) : INDEX(AF:AF, ROW()-1),
   INDEX(AB:AB, ROW()-COUNTIF($F$6:INDEX($F:$F, ROW()-1), $F198)) : INDEX(AB:AB, ROW()-1)
   )
   /SUM(INDEX(AB:AB, ROW()-COUNTIF($F$6:INDEX($F:$F, ROW()-1), $F198)) : INDEX(AB:AB, ROW()-1)),
           _xlfn.MAXIFS(unit_details[Asking Rent],
          unit_details[Active Listing?],TRUE,
          unit_details[Property Name], $F199,
          unit_details[Beds], $L199,
          unit_details[Baths], $M199,
          unit_details[Partial Baths], IF(ISNUMBER($N199),$N199,""),
          unit_details[Sqft],$P199
))),"")</f>
        <v/>
      </c>
      <c r="AG199" s="6" t="str">
        <f>IFERROR(IF($F199="Total",
         SUMPRODUCT(
         INDEX(AG:AG, ROW()-COUNTIF($F$6:INDEX($F:$F, ROW()-1), $F198)) : INDEX(AG:AG, ROW()-1),
         INDEX(AB:AB, ROW()-COUNTIF($F$6:INDEX($F:$F, ROW()-1), $F198)) : INDEX(AB:AB, ROW()-1)
         )
         /SUM(INDEX(AB:AB, ROW()-COUNTIF($F$6:INDEX($F:$F, ROW()-1), $F198)) : INDEX(AB:AB, ROW()-1)),
          AVERAGEIFS(unit_details[Asking PSF],
          unit_details[Active Listing?],TRUE,
          unit_details[Property Name], $F199,
          unit_details[Beds], $L199,
          unit_details[Baths], $M199,
          unit_details[Partial Baths], IF(ISNUMBER($N199),$N199,""),
          unit_details[Sqft],$P199
)),"")</f>
        <v/>
      </c>
      <c r="AH199" s="293" t="str">
        <f>IFERROR(IF($F199="Total",
         SUMPRODUCT(
         INDEX(AH:AH, ROW()-COUNTIF($F$6:INDEX($F:$F, ROW()-1), $F198)) : INDEX(AH:AH, ROW()-1),
         INDEX(AB:AB, ROW()-COUNTIF($F$6:INDEX($F:$F, ROW()-1), $F198)) : INDEX(AB:AB, ROW()-1)
         )
         /SUM(INDEX(AB:AB, ROW()-COUNTIF($F$6:INDEX($F:$F, ROW()-1), $F198)) : INDEX(AB:AB, ROW()-1)),
          AVERAGEIFS(unit_details[Effective Rent],
          unit_details[Active Listing?],TRUE,
          unit_details[Property Name], $F199,
          unit_details[Beds], $L199,
          unit_details[Baths], $M199,
          unit_details[Partial Baths], IF(ISNUMBER($N199),$N199,""),
          unit_details[Sqft],$P199
)),"")</f>
        <v/>
      </c>
      <c r="AI199" s="6" t="str">
        <f>IFERROR(IF($F199="Total",
         SUMPRODUCT(
         INDEX(AI:AI, ROW()-COUNTIF($F$6:INDEX($F:$F, ROW()-1), $F198)) : INDEX(AI:AI, ROW()-1),
         INDEX(AB:AB, ROW()-COUNTIF($F$6:INDEX($F:$F, ROW()-1), $F198)) : INDEX(AB:AB, ROW()-1)
         )
         /SUM(INDEX(AB:AB, ROW()-COUNTIF($F$6:INDEX($F:$F, ROW()-1), $F198)) : INDEX(AB:AB, ROW()-1)),
           AVERAGEIFS(unit_details[Effective PSF],
          unit_details[Active Listing?],TRUE,
          unit_details[Property Name], $F199,
          unit_details[Beds], $L199,
          unit_details[Baths], $M199,
          unit_details[Partial Baths], IF(ISNUMBER($N199),$N199,""),
          unit_details[Sqft],$P199
)),"")</f>
        <v/>
      </c>
      <c r="AJ199" s="824" t="str">
        <f t="shared" ref="AJ199:AJ262" si="37">IFERROR((AE199-AH199)/AE199,"")</f>
        <v/>
      </c>
      <c r="AK199" s="531" t="str">
        <f t="shared" ref="AK199:AK262" si="38">IFERROR(
IF(AND($AM$3="Asking Rent",$U$3="Chunk Rent"),$AE199-$T199,
IF(AND($AM$3="Effective Rent",$U$3="Chunk Rent"),$AH199-$U199,
IF(AND($AM$3="Asking Rent",$U$3="Rent PSF"),$AG199-$T199,$AI199-$U199))),"")</f>
        <v/>
      </c>
      <c r="AL199" s="714" t="str">
        <f t="shared" ref="AL199:AL262" si="39">IFERROR(AK199/(IF($AM$3="Asking Rent",T199,U199)),"")</f>
        <v/>
      </c>
      <c r="AM199" s="531" t="str">
        <f t="shared" ref="AM199:AM262" si="40">IFERROR(
IF(AND($AM$3="Asking Rent",$U$3="Chunk Rent"),$AE199-$X199,
IF(AND($AM$3="Effective Rent",$U$3="Chunk Rent"),$AH199-$Y199,
IF(AND($AM$3="Asking Rent",$U$3="Rent PSF"),$AG199-$X199,$AI199-$Y199))),"")</f>
        <v/>
      </c>
      <c r="AN199" s="716" t="str">
        <f t="shared" ref="AN199:AN262" si="41">IFERROR(AM199/(IF($AM$3="Asking Rent",X199,Y199)),"")</f>
        <v/>
      </c>
    </row>
    <row r="200" spans="5:40" x14ac:dyDescent="0.2">
      <c r="F200" s="1" t="str">
        <f t="shared" si="34"/>
        <v/>
      </c>
      <c r="G200" s="713" t="str">
        <f t="shared" ref="G200:G263" si="42">IF(F200=F199,"",F200)</f>
        <v/>
      </c>
      <c r="H200" s="17" t="str">
        <f>IFERROR(VLOOKUP($G200,Table1[[Property]:[Exposure %]],4,0),"")</f>
        <v/>
      </c>
      <c r="I200" s="3" t="str">
        <f>IFERROR(VLOOKUP($G200,Table1[[Property]:[Exposure %]],6,0),"")</f>
        <v/>
      </c>
      <c r="J200" s="3" t="str">
        <f>IFERROR(VLOOKUP($G200,Table1[[Property]:[Exposure %]],7,0),"")</f>
        <v/>
      </c>
      <c r="K200"/>
      <c r="L200"/>
      <c r="M200"/>
      <c r="N200"/>
      <c r="O200"/>
      <c r="P200"/>
      <c r="Q200"/>
      <c r="R200" s="4" t="str">
        <f>IFERROR(VLOOKUP(IF(F200="Total",F199,F200),Table1[[Property]:['# Units]],7,0)*S200,"")</f>
        <v/>
      </c>
      <c r="S200" s="27" t="str">
        <f t="shared" si="35"/>
        <v/>
      </c>
      <c r="T200" s="531" t="str">
        <f>IFERROR(
 IF($F200="Total",
   SUMPRODUCT(
   INDEX(T:T, ROW()-COUNTIF($F$6:INDEX($F:$F, ROW()-1), $F199)) : INDEX(T:T, ROW()-1),
   INDEX(W:W, ROW()-COUNTIF($F$6:INDEX($F:$F, ROW()-1), $F199)) : INDEX(W:W, ROW()-1)
   )
   /SUM(INDEX(W:W, ROW()-COUNTIF($F$6:INDEX($F:$F, ROW()-1), $F199)) : INDEX(W:W, ROW()-1)),
   AVERAGEIFS(
     INDEX((unit_details[Asking Rent],unit_details[Asking PSF]),0,1,IF($U$3="Chunk Rent",1,2)),
     unit_details[Leased Date],"&gt;="&amp;($AM$2-T$5),
     unit_details[Leased Date],"&lt;"&amp;$AM$2,
     unit_details[Beds],$L200,
     unit_details[Baths],$M200,
     unit_details[Partial Baths],IF(ISNUMBER($N200),$N200,""),
     unit_details[Sqft],$P200,
     unit_details[Property Name],$F200)
 ),"")</f>
        <v/>
      </c>
      <c r="U200" s="552" t="str">
        <f>IFERROR(
 IF($F200="Total",
   SUMPRODUCT(
   INDEX(U:U, ROW()-COUNTIF($F$6:INDEX($F:$F, ROW()-1), $F199)) : INDEX(U:U, ROW()-1),
   INDEX(W:W, ROW()-COUNTIF($F$6:INDEX($F:$F, ROW()-1), $F199)) : INDEX(W:W, ROW()-1)
   )
   /SUM(INDEX(W:W, ROW()-COUNTIF($F$6:INDEX($F:$F, ROW()-1), $F199)) : INDEX(W:W, ROW()-1)),
   AVERAGEIFS(
     INDEX((unit_details[Effective Rent],unit_details[Effective PSF]),0,1,IF($U$3="Chunk Rent",1,2)),
     unit_details[Leased Date],"&gt;="&amp;($AM$2-T$5),
     unit_details[Leased Date],"&lt;"&amp;$AM$2,
     unit_details[Beds],$L200,
     unit_details[Baths],$M200,
     unit_details[Partial Baths],IF(ISNUMBER($N200),$N200,""),
     unit_details[Sqft],$P200,
     unit_details[Property Name],$F200)
 ),"")</f>
        <v/>
      </c>
      <c r="V200" s="27" t="str">
        <f t="shared" ref="V200:V263" si="43">IFERROR(IF((T200-U200)/T200=0,"",(T200-U200)/T200),"")</f>
        <v/>
      </c>
      <c r="W200" s="526">
        <f>IFERROR(
  IF($F200="Total",
    SUM(INDEX(W:W, ROW()-COUNTIF($F$6:INDEX($F:$F, ROW()-1), $F199)) : INDEX(W:W, ROW()-1)),
    COUNTIFS(
      unit_details[Leased Date], "&gt;="&amp;($AM$2-T$5),
      unit_details[Leased Date], "&lt;"&amp;$AM$2,
      unit_details[Beds], $L200,
      unit_details[Baths], $M200,
      unit_details[Partial Baths], IF(ISNUMBER($N200), $N200, ""),
      unit_details[Sqft],$P200,
      unit_details[Property Name], $F200
    )
  ),
"")</f>
        <v>0</v>
      </c>
      <c r="X200" s="531" t="str">
        <f>IFERROR(
 IF($F200="Total",
   SUMPRODUCT(
   INDEX(X:X, ROW()-COUNTIF($F$6:INDEX($F:$F, ROW()-1), $F199)) : INDEX(X:X, ROW()-1),
   INDEX(AA:AA, ROW()-COUNTIF($F$6:INDEX($F:$F, ROW()-1), $F199)) : INDEX(AA:AA, ROW()-1)
   )
   /SUM(INDEX(AA:AA, ROW()-COUNTIF($F$6:INDEX($F:$F, ROW()-1), $F199)) : INDEX(AA:AA, ROW()-1)),
   AVERAGEIFS(
     INDEX((unit_details[Asking Rent],unit_details[Asking PSF]),0,1,IF($U$3="Chunk Rent",1,2)),
     unit_details[Leased Date],"&gt;="&amp;($AM$2-X$5),
     unit_details[Leased Date],"&lt;"&amp;$AM$2,
     unit_details[Beds],$L200,
     unit_details[Baths],$M200,
     unit_details[Partial Baths],IF(ISNUMBER($N200),$N200,""),
     unit_details[Sqft],$P200,
     unit_details[Property Name],$F200)
 ),"")</f>
        <v/>
      </c>
      <c r="Y200" s="552" t="str">
        <f>IFERROR(
 IF($F200="Total",
   SUMPRODUCT(
   INDEX(Y:Y, ROW()-COUNTIF($F$6:INDEX($F:$F, ROW()-1), $F199)) : INDEX(Y:Y, ROW()-1),
   INDEX(AA:AA, ROW()-COUNTIF($F$6:INDEX($F:$F, ROW()-1), $F199)) : INDEX(AA:AA, ROW()-1)
   )
   /SUM(INDEX(AA:AA, ROW()-COUNTIF($F$6:INDEX($F:$F, ROW()-1), $F199)) : INDEX(AA:AA, ROW()-1)),
   AVERAGEIFS(
     INDEX((unit_details[Effective Rent],unit_details[Effective PSF]),0,1,IF($U$3="Chunk Rent",1,2)),
     unit_details[Leased Date],"&gt;="&amp;($AM$2-X$5),
     unit_details[Leased Date],"&lt;"&amp;$AM$2,
     unit_details[Beds],$L200,
     unit_details[Baths],$M200,
     unit_details[Partial Baths],IF(ISNUMBER($N200),$N200,""),
     unit_details[Sqft],$P200,
     unit_details[Property Name],$F200)
 ),"")</f>
        <v/>
      </c>
      <c r="Z200" s="27" t="str">
        <f t="shared" ref="Z200:Z263" si="44">IFERROR(IF((X200-Y200)/X200=0,"",(X200-Y200)/X200),"")</f>
        <v/>
      </c>
      <c r="AA200" s="526">
        <f>IFERROR(
  IF($F200="Total",
    SUM(INDEX(AA:AA, ROW()-COUNTIF($F$6:INDEX($F:$F, ROW()-1), $F199)) : INDEX(AA:AA, ROW()-1)),
    COUNTIFS(
      unit_details[Leased Date], "&gt;="&amp;($AM$2-X$5),
      unit_details[Leased Date], "&lt;"&amp;$AM$2,
      unit_details[Beds], $L200,
      unit_details[Baths], $M200,
      unit_details[Partial Baths], IF(ISNUMBER($N200), $N200, ""),
      unit_details[Sqft],$P200,
      unit_details[Property Name], $F200
    )
  ),
"")</f>
        <v>0</v>
      </c>
      <c r="AB200" s="290">
        <f>IF($F200="Total",
SUM(INDEX(AB:AB, ROW()-COUNTIF($F$6:INDEX($F:$F, ROW()-1), $F199)) : INDEX(AB:AB, ROW()-1)),
COUNTIFS(unit_details[Active Listing?],TRUE,
          unit_details[Property Name], $F200,
          unit_details[Beds], $L200,
          unit_details[Baths], $M200,
          unit_details[Partial Baths],IF(ISNUMBER($N200),$N200,""),
          unit_details[Sqft],$P200))</f>
        <v>0</v>
      </c>
      <c r="AC200" s="27" t="str">
        <f t="shared" si="36"/>
        <v/>
      </c>
      <c r="AD200" s="293" t="str">
        <f>IFERROR(IF(AE200="","",IF($F200="Total",
SUMPRODUCT(
   INDEX(AD:AD, ROW()-COUNTIF($F$6:INDEX($F:$F, ROW()-1), $F199)) : INDEX(AD:AD, ROW()-1),
   INDEX(AB:AB, ROW()-COUNTIF($F$6:INDEX($F:$F, ROW()-1), $F199)) : INDEX(AB:AB, ROW()-1)
   )
   /SUM(INDEX(AB:AB, ROW()-COUNTIF($F$6:INDEX($F:$F, ROW()-1), $F199)) : INDEX(AB:AB, ROW()-1)),
          _xlfn.MINIFS(unit_details[Asking Rent],
          unit_details[Active Listing?],TRUE,
          unit_details[Property Name], $F200,
          unit_details[Beds], $L200,
          unit_details[Baths], $M200,
          unit_details[Partial Baths], IF(ISNUMBER($N200),$N200,""),
          unit_details[Sqft],$P200
))),"")</f>
        <v/>
      </c>
      <c r="AE200" s="5" t="str">
        <f>IFERROR(IF($F200="Total",
          SUMPRODUCT(
   INDEX(AE:AE, ROW()-COUNTIF($F$6:INDEX($F:$F, ROW()-1), $F199)) : INDEX(AE:AE, ROW()-1),
   INDEX(AB:AB, ROW()-COUNTIF($F$6:INDEX($F:$F, ROW()-1), $F199)) : INDEX(AB:AB, ROW()-1)
   )
   /SUM(INDEX(AB:AB, ROW()-COUNTIF($F$6:INDEX($F:$F, ROW()-1), $F199)) : INDEX(AB:AB, ROW()-1)),
          AVERAGEIFS(unit_details[Asking Rent],
          unit_details[Active Listing?],TRUE,
          unit_details[Property Name], $F200,
          unit_details[Beds], $L200,
          unit_details[Baths], $M200,
          unit_details[Partial Baths], IF(ISNUMBER($N200),$N200,""),
          unit_details[Sqft],$P200
)),"")</f>
        <v/>
      </c>
      <c r="AF200" s="5" t="str">
        <f>IFERROR(IF(AE200="","",IF($F200="Total",
SUMPRODUCT(
   INDEX(AF:AF, ROW()-COUNTIF($F$6:INDEX($F:$F, ROW()-1), $F199)) : INDEX(AF:AF, ROW()-1),
   INDEX(AB:AB, ROW()-COUNTIF($F$6:INDEX($F:$F, ROW()-1), $F199)) : INDEX(AB:AB, ROW()-1)
   )
   /SUM(INDEX(AB:AB, ROW()-COUNTIF($F$6:INDEX($F:$F, ROW()-1), $F199)) : INDEX(AB:AB, ROW()-1)),
           _xlfn.MAXIFS(unit_details[Asking Rent],
          unit_details[Active Listing?],TRUE,
          unit_details[Property Name], $F200,
          unit_details[Beds], $L200,
          unit_details[Baths], $M200,
          unit_details[Partial Baths], IF(ISNUMBER($N200),$N200,""),
          unit_details[Sqft],$P200
))),"")</f>
        <v/>
      </c>
      <c r="AG200" s="6" t="str">
        <f>IFERROR(IF($F200="Total",
         SUMPRODUCT(
         INDEX(AG:AG, ROW()-COUNTIF($F$6:INDEX($F:$F, ROW()-1), $F199)) : INDEX(AG:AG, ROW()-1),
         INDEX(AB:AB, ROW()-COUNTIF($F$6:INDEX($F:$F, ROW()-1), $F199)) : INDEX(AB:AB, ROW()-1)
         )
         /SUM(INDEX(AB:AB, ROW()-COUNTIF($F$6:INDEX($F:$F, ROW()-1), $F199)) : INDEX(AB:AB, ROW()-1)),
          AVERAGEIFS(unit_details[Asking PSF],
          unit_details[Active Listing?],TRUE,
          unit_details[Property Name], $F200,
          unit_details[Beds], $L200,
          unit_details[Baths], $M200,
          unit_details[Partial Baths], IF(ISNUMBER($N200),$N200,""),
          unit_details[Sqft],$P200
)),"")</f>
        <v/>
      </c>
      <c r="AH200" s="293" t="str">
        <f>IFERROR(IF($F200="Total",
         SUMPRODUCT(
         INDEX(AH:AH, ROW()-COUNTIF($F$6:INDEX($F:$F, ROW()-1), $F199)) : INDEX(AH:AH, ROW()-1),
         INDEX(AB:AB, ROW()-COUNTIF($F$6:INDEX($F:$F, ROW()-1), $F199)) : INDEX(AB:AB, ROW()-1)
         )
         /SUM(INDEX(AB:AB, ROW()-COUNTIF($F$6:INDEX($F:$F, ROW()-1), $F199)) : INDEX(AB:AB, ROW()-1)),
          AVERAGEIFS(unit_details[Effective Rent],
          unit_details[Active Listing?],TRUE,
          unit_details[Property Name], $F200,
          unit_details[Beds], $L200,
          unit_details[Baths], $M200,
          unit_details[Partial Baths], IF(ISNUMBER($N200),$N200,""),
          unit_details[Sqft],$P200
)),"")</f>
        <v/>
      </c>
      <c r="AI200" s="6" t="str">
        <f>IFERROR(IF($F200="Total",
         SUMPRODUCT(
         INDEX(AI:AI, ROW()-COUNTIF($F$6:INDEX($F:$F, ROW()-1), $F199)) : INDEX(AI:AI, ROW()-1),
         INDEX(AB:AB, ROW()-COUNTIF($F$6:INDEX($F:$F, ROW()-1), $F199)) : INDEX(AB:AB, ROW()-1)
         )
         /SUM(INDEX(AB:AB, ROW()-COUNTIF($F$6:INDEX($F:$F, ROW()-1), $F199)) : INDEX(AB:AB, ROW()-1)),
           AVERAGEIFS(unit_details[Effective PSF],
          unit_details[Active Listing?],TRUE,
          unit_details[Property Name], $F200,
          unit_details[Beds], $L200,
          unit_details[Baths], $M200,
          unit_details[Partial Baths], IF(ISNUMBER($N200),$N200,""),
          unit_details[Sqft],$P200
)),"")</f>
        <v/>
      </c>
      <c r="AJ200" s="824" t="str">
        <f t="shared" si="37"/>
        <v/>
      </c>
      <c r="AK200" s="531" t="str">
        <f t="shared" si="38"/>
        <v/>
      </c>
      <c r="AL200" s="714" t="str">
        <f t="shared" si="39"/>
        <v/>
      </c>
      <c r="AM200" s="531" t="str">
        <f t="shared" si="40"/>
        <v/>
      </c>
      <c r="AN200" s="716" t="str">
        <f t="shared" si="41"/>
        <v/>
      </c>
    </row>
    <row r="201" spans="5:40" x14ac:dyDescent="0.2">
      <c r="F201" s="1" t="str">
        <f t="shared" si="34"/>
        <v/>
      </c>
      <c r="G201" s="713" t="str">
        <f t="shared" si="42"/>
        <v/>
      </c>
      <c r="H201" s="17" t="str">
        <f>IFERROR(VLOOKUP($G201,Table1[[Property]:[Exposure %]],4,0),"")</f>
        <v/>
      </c>
      <c r="I201" s="3" t="str">
        <f>IFERROR(VLOOKUP($G201,Table1[[Property]:[Exposure %]],6,0),"")</f>
        <v/>
      </c>
      <c r="J201" s="3" t="str">
        <f>IFERROR(VLOOKUP($G201,Table1[[Property]:[Exposure %]],7,0),"")</f>
        <v/>
      </c>
      <c r="K201"/>
      <c r="L201"/>
      <c r="M201"/>
      <c r="N201"/>
      <c r="O201"/>
      <c r="P201"/>
      <c r="Q201"/>
      <c r="R201" s="4" t="str">
        <f>IFERROR(VLOOKUP(IF(F201="Total",F200,F201),Table1[[Property]:['# Units]],7,0)*S201,"")</f>
        <v/>
      </c>
      <c r="S201" s="27" t="str">
        <f t="shared" si="35"/>
        <v/>
      </c>
      <c r="T201" s="531" t="str">
        <f>IFERROR(
 IF($F201="Total",
   SUMPRODUCT(
   INDEX(T:T, ROW()-COUNTIF($F$6:INDEX($F:$F, ROW()-1), $F200)) : INDEX(T:T, ROW()-1),
   INDEX(W:W, ROW()-COUNTIF($F$6:INDEX($F:$F, ROW()-1), $F200)) : INDEX(W:W, ROW()-1)
   )
   /SUM(INDEX(W:W, ROW()-COUNTIF($F$6:INDEX($F:$F, ROW()-1), $F200)) : INDEX(W:W, ROW()-1)),
   AVERAGEIFS(
     INDEX((unit_details[Asking Rent],unit_details[Asking PSF]),0,1,IF($U$3="Chunk Rent",1,2)),
     unit_details[Leased Date],"&gt;="&amp;($AM$2-T$5),
     unit_details[Leased Date],"&lt;"&amp;$AM$2,
     unit_details[Beds],$L201,
     unit_details[Baths],$M201,
     unit_details[Partial Baths],IF(ISNUMBER($N201),$N201,""),
     unit_details[Sqft],$P201,
     unit_details[Property Name],$F201)
 ),"")</f>
        <v/>
      </c>
      <c r="U201" s="552" t="str">
        <f>IFERROR(
 IF($F201="Total",
   SUMPRODUCT(
   INDEX(U:U, ROW()-COUNTIF($F$6:INDEX($F:$F, ROW()-1), $F200)) : INDEX(U:U, ROW()-1),
   INDEX(W:W, ROW()-COUNTIF($F$6:INDEX($F:$F, ROW()-1), $F200)) : INDEX(W:W, ROW()-1)
   )
   /SUM(INDEX(W:W, ROW()-COUNTIF($F$6:INDEX($F:$F, ROW()-1), $F200)) : INDEX(W:W, ROW()-1)),
   AVERAGEIFS(
     INDEX((unit_details[Effective Rent],unit_details[Effective PSF]),0,1,IF($U$3="Chunk Rent",1,2)),
     unit_details[Leased Date],"&gt;="&amp;($AM$2-T$5),
     unit_details[Leased Date],"&lt;"&amp;$AM$2,
     unit_details[Beds],$L201,
     unit_details[Baths],$M201,
     unit_details[Partial Baths],IF(ISNUMBER($N201),$N201,""),
     unit_details[Sqft],$P201,
     unit_details[Property Name],$F201)
 ),"")</f>
        <v/>
      </c>
      <c r="V201" s="27" t="str">
        <f t="shared" si="43"/>
        <v/>
      </c>
      <c r="W201" s="526">
        <f>IFERROR(
  IF($F201="Total",
    SUM(INDEX(W:W, ROW()-COUNTIF($F$6:INDEX($F:$F, ROW()-1), $F200)) : INDEX(W:W, ROW()-1)),
    COUNTIFS(
      unit_details[Leased Date], "&gt;="&amp;($AM$2-T$5),
      unit_details[Leased Date], "&lt;"&amp;$AM$2,
      unit_details[Beds], $L201,
      unit_details[Baths], $M201,
      unit_details[Partial Baths], IF(ISNUMBER($N201), $N201, ""),
      unit_details[Sqft],$P201,
      unit_details[Property Name], $F201
    )
  ),
"")</f>
        <v>0</v>
      </c>
      <c r="X201" s="531" t="str">
        <f>IFERROR(
 IF($F201="Total",
   SUMPRODUCT(
   INDEX(X:X, ROW()-COUNTIF($F$6:INDEX($F:$F, ROW()-1), $F200)) : INDEX(X:X, ROW()-1),
   INDEX(AA:AA, ROW()-COUNTIF($F$6:INDEX($F:$F, ROW()-1), $F200)) : INDEX(AA:AA, ROW()-1)
   )
   /SUM(INDEX(AA:AA, ROW()-COUNTIF($F$6:INDEX($F:$F, ROW()-1), $F200)) : INDEX(AA:AA, ROW()-1)),
   AVERAGEIFS(
     INDEX((unit_details[Asking Rent],unit_details[Asking PSF]),0,1,IF($U$3="Chunk Rent",1,2)),
     unit_details[Leased Date],"&gt;="&amp;($AM$2-X$5),
     unit_details[Leased Date],"&lt;"&amp;$AM$2,
     unit_details[Beds],$L201,
     unit_details[Baths],$M201,
     unit_details[Partial Baths],IF(ISNUMBER($N201),$N201,""),
     unit_details[Sqft],$P201,
     unit_details[Property Name],$F201)
 ),"")</f>
        <v/>
      </c>
      <c r="Y201" s="552" t="str">
        <f>IFERROR(
 IF($F201="Total",
   SUMPRODUCT(
   INDEX(Y:Y, ROW()-COUNTIF($F$6:INDEX($F:$F, ROW()-1), $F200)) : INDEX(Y:Y, ROW()-1),
   INDEX(AA:AA, ROW()-COUNTIF($F$6:INDEX($F:$F, ROW()-1), $F200)) : INDEX(AA:AA, ROW()-1)
   )
   /SUM(INDEX(AA:AA, ROW()-COUNTIF($F$6:INDEX($F:$F, ROW()-1), $F200)) : INDEX(AA:AA, ROW()-1)),
   AVERAGEIFS(
     INDEX((unit_details[Effective Rent],unit_details[Effective PSF]),0,1,IF($U$3="Chunk Rent",1,2)),
     unit_details[Leased Date],"&gt;="&amp;($AM$2-X$5),
     unit_details[Leased Date],"&lt;"&amp;$AM$2,
     unit_details[Beds],$L201,
     unit_details[Baths],$M201,
     unit_details[Partial Baths],IF(ISNUMBER($N201),$N201,""),
     unit_details[Sqft],$P201,
     unit_details[Property Name],$F201)
 ),"")</f>
        <v/>
      </c>
      <c r="Z201" s="27" t="str">
        <f t="shared" si="44"/>
        <v/>
      </c>
      <c r="AA201" s="526">
        <f>IFERROR(
  IF($F201="Total",
    SUM(INDEX(AA:AA, ROW()-COUNTIF($F$6:INDEX($F:$F, ROW()-1), $F200)) : INDEX(AA:AA, ROW()-1)),
    COUNTIFS(
      unit_details[Leased Date], "&gt;="&amp;($AM$2-X$5),
      unit_details[Leased Date], "&lt;"&amp;$AM$2,
      unit_details[Beds], $L201,
      unit_details[Baths], $M201,
      unit_details[Partial Baths], IF(ISNUMBER($N201), $N201, ""),
      unit_details[Sqft],$P201,
      unit_details[Property Name], $F201
    )
  ),
"")</f>
        <v>0</v>
      </c>
      <c r="AB201" s="290">
        <f>IF($F201="Total",
SUM(INDEX(AB:AB, ROW()-COUNTIF($F$6:INDEX($F:$F, ROW()-1), $F200)) : INDEX(AB:AB, ROW()-1)),
COUNTIFS(unit_details[Active Listing?],TRUE,
          unit_details[Property Name], $F201,
          unit_details[Beds], $L201,
          unit_details[Baths], $M201,
          unit_details[Partial Baths],IF(ISNUMBER($N201),$N201,""),
          unit_details[Sqft],$P201))</f>
        <v>0</v>
      </c>
      <c r="AC201" s="27" t="str">
        <f t="shared" si="36"/>
        <v/>
      </c>
      <c r="AD201" s="293" t="str">
        <f>IFERROR(IF(AE201="","",IF($F201="Total",
SUMPRODUCT(
   INDEX(AD:AD, ROW()-COUNTIF($F$6:INDEX($F:$F, ROW()-1), $F200)) : INDEX(AD:AD, ROW()-1),
   INDEX(AB:AB, ROW()-COUNTIF($F$6:INDEX($F:$F, ROW()-1), $F200)) : INDEX(AB:AB, ROW()-1)
   )
   /SUM(INDEX(AB:AB, ROW()-COUNTIF($F$6:INDEX($F:$F, ROW()-1), $F200)) : INDEX(AB:AB, ROW()-1)),
          _xlfn.MINIFS(unit_details[Asking Rent],
          unit_details[Active Listing?],TRUE,
          unit_details[Property Name], $F201,
          unit_details[Beds], $L201,
          unit_details[Baths], $M201,
          unit_details[Partial Baths], IF(ISNUMBER($N201),$N201,""),
          unit_details[Sqft],$P201
))),"")</f>
        <v/>
      </c>
      <c r="AE201" s="5" t="str">
        <f>IFERROR(IF($F201="Total",
          SUMPRODUCT(
   INDEX(AE:AE, ROW()-COUNTIF($F$6:INDEX($F:$F, ROW()-1), $F200)) : INDEX(AE:AE, ROW()-1),
   INDEX(AB:AB, ROW()-COUNTIF($F$6:INDEX($F:$F, ROW()-1), $F200)) : INDEX(AB:AB, ROW()-1)
   )
   /SUM(INDEX(AB:AB, ROW()-COUNTIF($F$6:INDEX($F:$F, ROW()-1), $F200)) : INDEX(AB:AB, ROW()-1)),
          AVERAGEIFS(unit_details[Asking Rent],
          unit_details[Active Listing?],TRUE,
          unit_details[Property Name], $F201,
          unit_details[Beds], $L201,
          unit_details[Baths], $M201,
          unit_details[Partial Baths], IF(ISNUMBER($N201),$N201,""),
          unit_details[Sqft],$P201
)),"")</f>
        <v/>
      </c>
      <c r="AF201" s="5" t="str">
        <f>IFERROR(IF(AE201="","",IF($F201="Total",
SUMPRODUCT(
   INDEX(AF:AF, ROW()-COUNTIF($F$6:INDEX($F:$F, ROW()-1), $F200)) : INDEX(AF:AF, ROW()-1),
   INDEX(AB:AB, ROW()-COUNTIF($F$6:INDEX($F:$F, ROW()-1), $F200)) : INDEX(AB:AB, ROW()-1)
   )
   /SUM(INDEX(AB:AB, ROW()-COUNTIF($F$6:INDEX($F:$F, ROW()-1), $F200)) : INDEX(AB:AB, ROW()-1)),
           _xlfn.MAXIFS(unit_details[Asking Rent],
          unit_details[Active Listing?],TRUE,
          unit_details[Property Name], $F201,
          unit_details[Beds], $L201,
          unit_details[Baths], $M201,
          unit_details[Partial Baths], IF(ISNUMBER($N201),$N201,""),
          unit_details[Sqft],$P201
))),"")</f>
        <v/>
      </c>
      <c r="AG201" s="6" t="str">
        <f>IFERROR(IF($F201="Total",
         SUMPRODUCT(
         INDEX(AG:AG, ROW()-COUNTIF($F$6:INDEX($F:$F, ROW()-1), $F200)) : INDEX(AG:AG, ROW()-1),
         INDEX(AB:AB, ROW()-COUNTIF($F$6:INDEX($F:$F, ROW()-1), $F200)) : INDEX(AB:AB, ROW()-1)
         )
         /SUM(INDEX(AB:AB, ROW()-COUNTIF($F$6:INDEX($F:$F, ROW()-1), $F200)) : INDEX(AB:AB, ROW()-1)),
          AVERAGEIFS(unit_details[Asking PSF],
          unit_details[Active Listing?],TRUE,
          unit_details[Property Name], $F201,
          unit_details[Beds], $L201,
          unit_details[Baths], $M201,
          unit_details[Partial Baths], IF(ISNUMBER($N201),$N201,""),
          unit_details[Sqft],$P201
)),"")</f>
        <v/>
      </c>
      <c r="AH201" s="293" t="str">
        <f>IFERROR(IF($F201="Total",
         SUMPRODUCT(
         INDEX(AH:AH, ROW()-COUNTIF($F$6:INDEX($F:$F, ROW()-1), $F200)) : INDEX(AH:AH, ROW()-1),
         INDEX(AB:AB, ROW()-COUNTIF($F$6:INDEX($F:$F, ROW()-1), $F200)) : INDEX(AB:AB, ROW()-1)
         )
         /SUM(INDEX(AB:AB, ROW()-COUNTIF($F$6:INDEX($F:$F, ROW()-1), $F200)) : INDEX(AB:AB, ROW()-1)),
          AVERAGEIFS(unit_details[Effective Rent],
          unit_details[Active Listing?],TRUE,
          unit_details[Property Name], $F201,
          unit_details[Beds], $L201,
          unit_details[Baths], $M201,
          unit_details[Partial Baths], IF(ISNUMBER($N201),$N201,""),
          unit_details[Sqft],$P201
)),"")</f>
        <v/>
      </c>
      <c r="AI201" s="6" t="str">
        <f>IFERROR(IF($F201="Total",
         SUMPRODUCT(
         INDEX(AI:AI, ROW()-COUNTIF($F$6:INDEX($F:$F, ROW()-1), $F200)) : INDEX(AI:AI, ROW()-1),
         INDEX(AB:AB, ROW()-COUNTIF($F$6:INDEX($F:$F, ROW()-1), $F200)) : INDEX(AB:AB, ROW()-1)
         )
         /SUM(INDEX(AB:AB, ROW()-COUNTIF($F$6:INDEX($F:$F, ROW()-1), $F200)) : INDEX(AB:AB, ROW()-1)),
           AVERAGEIFS(unit_details[Effective PSF],
          unit_details[Active Listing?],TRUE,
          unit_details[Property Name], $F201,
          unit_details[Beds], $L201,
          unit_details[Baths], $M201,
          unit_details[Partial Baths], IF(ISNUMBER($N201),$N201,""),
          unit_details[Sqft],$P201
)),"")</f>
        <v/>
      </c>
      <c r="AJ201" s="824" t="str">
        <f t="shared" si="37"/>
        <v/>
      </c>
      <c r="AK201" s="531" t="str">
        <f t="shared" si="38"/>
        <v/>
      </c>
      <c r="AL201" s="714" t="str">
        <f t="shared" si="39"/>
        <v/>
      </c>
      <c r="AM201" s="531" t="str">
        <f t="shared" si="40"/>
        <v/>
      </c>
      <c r="AN201" s="716" t="str">
        <f t="shared" si="41"/>
        <v/>
      </c>
    </row>
    <row r="202" spans="5:40" x14ac:dyDescent="0.2">
      <c r="F202" s="1" t="str">
        <f t="shared" si="34"/>
        <v/>
      </c>
      <c r="G202" s="713" t="str">
        <f t="shared" si="42"/>
        <v/>
      </c>
      <c r="H202" s="17" t="str">
        <f>IFERROR(VLOOKUP($G202,Table1[[Property]:[Exposure %]],4,0),"")</f>
        <v/>
      </c>
      <c r="I202" s="3" t="str">
        <f>IFERROR(VLOOKUP($G202,Table1[[Property]:[Exposure %]],6,0),"")</f>
        <v/>
      </c>
      <c r="J202" s="3" t="str">
        <f>IFERROR(VLOOKUP($G202,Table1[[Property]:[Exposure %]],7,0),"")</f>
        <v/>
      </c>
      <c r="K202"/>
      <c r="L202"/>
      <c r="M202"/>
      <c r="N202"/>
      <c r="O202"/>
      <c r="P202"/>
      <c r="Q202"/>
      <c r="R202" s="4" t="str">
        <f>IFERROR(VLOOKUP(IF(F202="Total",F201,F202),Table1[[Property]:['# Units]],7,0)*S202,"")</f>
        <v/>
      </c>
      <c r="S202" s="27" t="str">
        <f t="shared" si="35"/>
        <v/>
      </c>
      <c r="T202" s="531" t="str">
        <f>IFERROR(
 IF($F202="Total",
   SUMPRODUCT(
   INDEX(T:T, ROW()-COUNTIF($F$6:INDEX($F:$F, ROW()-1), $F201)) : INDEX(T:T, ROW()-1),
   INDEX(W:W, ROW()-COUNTIF($F$6:INDEX($F:$F, ROW()-1), $F201)) : INDEX(W:W, ROW()-1)
   )
   /SUM(INDEX(W:W, ROW()-COUNTIF($F$6:INDEX($F:$F, ROW()-1), $F201)) : INDEX(W:W, ROW()-1)),
   AVERAGEIFS(
     INDEX((unit_details[Asking Rent],unit_details[Asking PSF]),0,1,IF($U$3="Chunk Rent",1,2)),
     unit_details[Leased Date],"&gt;="&amp;($AM$2-T$5),
     unit_details[Leased Date],"&lt;"&amp;$AM$2,
     unit_details[Beds],$L202,
     unit_details[Baths],$M202,
     unit_details[Partial Baths],IF(ISNUMBER($N202),$N202,""),
     unit_details[Sqft],$P202,
     unit_details[Property Name],$F202)
 ),"")</f>
        <v/>
      </c>
      <c r="U202" s="552" t="str">
        <f>IFERROR(
 IF($F202="Total",
   SUMPRODUCT(
   INDEX(U:U, ROW()-COUNTIF($F$6:INDEX($F:$F, ROW()-1), $F201)) : INDEX(U:U, ROW()-1),
   INDEX(W:W, ROW()-COUNTIF($F$6:INDEX($F:$F, ROW()-1), $F201)) : INDEX(W:W, ROW()-1)
   )
   /SUM(INDEX(W:W, ROW()-COUNTIF($F$6:INDEX($F:$F, ROW()-1), $F201)) : INDEX(W:W, ROW()-1)),
   AVERAGEIFS(
     INDEX((unit_details[Effective Rent],unit_details[Effective PSF]),0,1,IF($U$3="Chunk Rent",1,2)),
     unit_details[Leased Date],"&gt;="&amp;($AM$2-T$5),
     unit_details[Leased Date],"&lt;"&amp;$AM$2,
     unit_details[Beds],$L202,
     unit_details[Baths],$M202,
     unit_details[Partial Baths],IF(ISNUMBER($N202),$N202,""),
     unit_details[Sqft],$P202,
     unit_details[Property Name],$F202)
 ),"")</f>
        <v/>
      </c>
      <c r="V202" s="27" t="str">
        <f t="shared" si="43"/>
        <v/>
      </c>
      <c r="W202" s="526">
        <f>IFERROR(
  IF($F202="Total",
    SUM(INDEX(W:W, ROW()-COUNTIF($F$6:INDEX($F:$F, ROW()-1), $F201)) : INDEX(W:W, ROW()-1)),
    COUNTIFS(
      unit_details[Leased Date], "&gt;="&amp;($AM$2-T$5),
      unit_details[Leased Date], "&lt;"&amp;$AM$2,
      unit_details[Beds], $L202,
      unit_details[Baths], $M202,
      unit_details[Partial Baths], IF(ISNUMBER($N202), $N202, ""),
      unit_details[Sqft],$P202,
      unit_details[Property Name], $F202
    )
  ),
"")</f>
        <v>0</v>
      </c>
      <c r="X202" s="531" t="str">
        <f>IFERROR(
 IF($F202="Total",
   SUMPRODUCT(
   INDEX(X:X, ROW()-COUNTIF($F$6:INDEX($F:$F, ROW()-1), $F201)) : INDEX(X:X, ROW()-1),
   INDEX(AA:AA, ROW()-COUNTIF($F$6:INDEX($F:$F, ROW()-1), $F201)) : INDEX(AA:AA, ROW()-1)
   )
   /SUM(INDEX(AA:AA, ROW()-COUNTIF($F$6:INDEX($F:$F, ROW()-1), $F201)) : INDEX(AA:AA, ROW()-1)),
   AVERAGEIFS(
     INDEX((unit_details[Asking Rent],unit_details[Asking PSF]),0,1,IF($U$3="Chunk Rent",1,2)),
     unit_details[Leased Date],"&gt;="&amp;($AM$2-X$5),
     unit_details[Leased Date],"&lt;"&amp;$AM$2,
     unit_details[Beds],$L202,
     unit_details[Baths],$M202,
     unit_details[Partial Baths],IF(ISNUMBER($N202),$N202,""),
     unit_details[Sqft],$P202,
     unit_details[Property Name],$F202)
 ),"")</f>
        <v/>
      </c>
      <c r="Y202" s="552" t="str">
        <f>IFERROR(
 IF($F202="Total",
   SUMPRODUCT(
   INDEX(Y:Y, ROW()-COUNTIF($F$6:INDEX($F:$F, ROW()-1), $F201)) : INDEX(Y:Y, ROW()-1),
   INDEX(AA:AA, ROW()-COUNTIF($F$6:INDEX($F:$F, ROW()-1), $F201)) : INDEX(AA:AA, ROW()-1)
   )
   /SUM(INDEX(AA:AA, ROW()-COUNTIF($F$6:INDEX($F:$F, ROW()-1), $F201)) : INDEX(AA:AA, ROW()-1)),
   AVERAGEIFS(
     INDEX((unit_details[Effective Rent],unit_details[Effective PSF]),0,1,IF($U$3="Chunk Rent",1,2)),
     unit_details[Leased Date],"&gt;="&amp;($AM$2-X$5),
     unit_details[Leased Date],"&lt;"&amp;$AM$2,
     unit_details[Beds],$L202,
     unit_details[Baths],$M202,
     unit_details[Partial Baths],IF(ISNUMBER($N202),$N202,""),
     unit_details[Sqft],$P202,
     unit_details[Property Name],$F202)
 ),"")</f>
        <v/>
      </c>
      <c r="Z202" s="27" t="str">
        <f t="shared" si="44"/>
        <v/>
      </c>
      <c r="AA202" s="526">
        <f>IFERROR(
  IF($F202="Total",
    SUM(INDEX(AA:AA, ROW()-COUNTIF($F$6:INDEX($F:$F, ROW()-1), $F201)) : INDEX(AA:AA, ROW()-1)),
    COUNTIFS(
      unit_details[Leased Date], "&gt;="&amp;($AM$2-X$5),
      unit_details[Leased Date], "&lt;"&amp;$AM$2,
      unit_details[Beds], $L202,
      unit_details[Baths], $M202,
      unit_details[Partial Baths], IF(ISNUMBER($N202), $N202, ""),
      unit_details[Sqft],$P202,
      unit_details[Property Name], $F202
    )
  ),
"")</f>
        <v>0</v>
      </c>
      <c r="AB202" s="290">
        <f>IF($F202="Total",
SUM(INDEX(AB:AB, ROW()-COUNTIF($F$6:INDEX($F:$F, ROW()-1), $F201)) : INDEX(AB:AB, ROW()-1)),
COUNTIFS(unit_details[Active Listing?],TRUE,
          unit_details[Property Name], $F202,
          unit_details[Beds], $L202,
          unit_details[Baths], $M202,
          unit_details[Partial Baths],IF(ISNUMBER($N202),$N202,""),
          unit_details[Sqft],$P202))</f>
        <v>0</v>
      </c>
      <c r="AC202" s="27" t="str">
        <f t="shared" si="36"/>
        <v/>
      </c>
      <c r="AD202" s="293" t="str">
        <f>IFERROR(IF(AE202="","",IF($F202="Total",
SUMPRODUCT(
   INDEX(AD:AD, ROW()-COUNTIF($F$6:INDEX($F:$F, ROW()-1), $F201)) : INDEX(AD:AD, ROW()-1),
   INDEX(AB:AB, ROW()-COUNTIF($F$6:INDEX($F:$F, ROW()-1), $F201)) : INDEX(AB:AB, ROW()-1)
   )
   /SUM(INDEX(AB:AB, ROW()-COUNTIF($F$6:INDEX($F:$F, ROW()-1), $F201)) : INDEX(AB:AB, ROW()-1)),
          _xlfn.MINIFS(unit_details[Asking Rent],
          unit_details[Active Listing?],TRUE,
          unit_details[Property Name], $F202,
          unit_details[Beds], $L202,
          unit_details[Baths], $M202,
          unit_details[Partial Baths], IF(ISNUMBER($N202),$N202,""),
          unit_details[Sqft],$P202
))),"")</f>
        <v/>
      </c>
      <c r="AE202" s="5" t="str">
        <f>IFERROR(IF($F202="Total",
          SUMPRODUCT(
   INDEX(AE:AE, ROW()-COUNTIF($F$6:INDEX($F:$F, ROW()-1), $F201)) : INDEX(AE:AE, ROW()-1),
   INDEX(AB:AB, ROW()-COUNTIF($F$6:INDEX($F:$F, ROW()-1), $F201)) : INDEX(AB:AB, ROW()-1)
   )
   /SUM(INDEX(AB:AB, ROW()-COUNTIF($F$6:INDEX($F:$F, ROW()-1), $F201)) : INDEX(AB:AB, ROW()-1)),
          AVERAGEIFS(unit_details[Asking Rent],
          unit_details[Active Listing?],TRUE,
          unit_details[Property Name], $F202,
          unit_details[Beds], $L202,
          unit_details[Baths], $M202,
          unit_details[Partial Baths], IF(ISNUMBER($N202),$N202,""),
          unit_details[Sqft],$P202
)),"")</f>
        <v/>
      </c>
      <c r="AF202" s="5" t="str">
        <f>IFERROR(IF(AE202="","",IF($F202="Total",
SUMPRODUCT(
   INDEX(AF:AF, ROW()-COUNTIF($F$6:INDEX($F:$F, ROW()-1), $F201)) : INDEX(AF:AF, ROW()-1),
   INDEX(AB:AB, ROW()-COUNTIF($F$6:INDEX($F:$F, ROW()-1), $F201)) : INDEX(AB:AB, ROW()-1)
   )
   /SUM(INDEX(AB:AB, ROW()-COUNTIF($F$6:INDEX($F:$F, ROW()-1), $F201)) : INDEX(AB:AB, ROW()-1)),
           _xlfn.MAXIFS(unit_details[Asking Rent],
          unit_details[Active Listing?],TRUE,
          unit_details[Property Name], $F202,
          unit_details[Beds], $L202,
          unit_details[Baths], $M202,
          unit_details[Partial Baths], IF(ISNUMBER($N202),$N202,""),
          unit_details[Sqft],$P202
))),"")</f>
        <v/>
      </c>
      <c r="AG202" s="6" t="str">
        <f>IFERROR(IF($F202="Total",
         SUMPRODUCT(
         INDEX(AG:AG, ROW()-COUNTIF($F$6:INDEX($F:$F, ROW()-1), $F201)) : INDEX(AG:AG, ROW()-1),
         INDEX(AB:AB, ROW()-COUNTIF($F$6:INDEX($F:$F, ROW()-1), $F201)) : INDEX(AB:AB, ROW()-1)
         )
         /SUM(INDEX(AB:AB, ROW()-COUNTIF($F$6:INDEX($F:$F, ROW()-1), $F201)) : INDEX(AB:AB, ROW()-1)),
          AVERAGEIFS(unit_details[Asking PSF],
          unit_details[Active Listing?],TRUE,
          unit_details[Property Name], $F202,
          unit_details[Beds], $L202,
          unit_details[Baths], $M202,
          unit_details[Partial Baths], IF(ISNUMBER($N202),$N202,""),
          unit_details[Sqft],$P202
)),"")</f>
        <v/>
      </c>
      <c r="AH202" s="293" t="str">
        <f>IFERROR(IF($F202="Total",
         SUMPRODUCT(
         INDEX(AH:AH, ROW()-COUNTIF($F$6:INDEX($F:$F, ROW()-1), $F201)) : INDEX(AH:AH, ROW()-1),
         INDEX(AB:AB, ROW()-COUNTIF($F$6:INDEX($F:$F, ROW()-1), $F201)) : INDEX(AB:AB, ROW()-1)
         )
         /SUM(INDEX(AB:AB, ROW()-COUNTIF($F$6:INDEX($F:$F, ROW()-1), $F201)) : INDEX(AB:AB, ROW()-1)),
          AVERAGEIFS(unit_details[Effective Rent],
          unit_details[Active Listing?],TRUE,
          unit_details[Property Name], $F202,
          unit_details[Beds], $L202,
          unit_details[Baths], $M202,
          unit_details[Partial Baths], IF(ISNUMBER($N202),$N202,""),
          unit_details[Sqft],$P202
)),"")</f>
        <v/>
      </c>
      <c r="AI202" s="6" t="str">
        <f>IFERROR(IF($F202="Total",
         SUMPRODUCT(
         INDEX(AI:AI, ROW()-COUNTIF($F$6:INDEX($F:$F, ROW()-1), $F201)) : INDEX(AI:AI, ROW()-1),
         INDEX(AB:AB, ROW()-COUNTIF($F$6:INDEX($F:$F, ROW()-1), $F201)) : INDEX(AB:AB, ROW()-1)
         )
         /SUM(INDEX(AB:AB, ROW()-COUNTIF($F$6:INDEX($F:$F, ROW()-1), $F201)) : INDEX(AB:AB, ROW()-1)),
           AVERAGEIFS(unit_details[Effective PSF],
          unit_details[Active Listing?],TRUE,
          unit_details[Property Name], $F202,
          unit_details[Beds], $L202,
          unit_details[Baths], $M202,
          unit_details[Partial Baths], IF(ISNUMBER($N202),$N202,""),
          unit_details[Sqft],$P202
)),"")</f>
        <v/>
      </c>
      <c r="AJ202" s="824" t="str">
        <f t="shared" si="37"/>
        <v/>
      </c>
      <c r="AK202" s="531" t="str">
        <f t="shared" si="38"/>
        <v/>
      </c>
      <c r="AL202" s="714" t="str">
        <f t="shared" si="39"/>
        <v/>
      </c>
      <c r="AM202" s="531" t="str">
        <f t="shared" si="40"/>
        <v/>
      </c>
      <c r="AN202" s="716" t="str">
        <f t="shared" si="41"/>
        <v/>
      </c>
    </row>
    <row r="203" spans="5:40" x14ac:dyDescent="0.2">
      <c r="F203" s="1" t="str">
        <f t="shared" si="34"/>
        <v/>
      </c>
      <c r="G203" s="713" t="str">
        <f t="shared" si="42"/>
        <v/>
      </c>
      <c r="H203" s="17" t="str">
        <f>IFERROR(VLOOKUP($G203,Table1[[Property]:[Exposure %]],4,0),"")</f>
        <v/>
      </c>
      <c r="I203" s="3" t="str">
        <f>IFERROR(VLOOKUP($G203,Table1[[Property]:[Exposure %]],6,0),"")</f>
        <v/>
      </c>
      <c r="J203" s="3" t="str">
        <f>IFERROR(VLOOKUP($G203,Table1[[Property]:[Exposure %]],7,0),"")</f>
        <v/>
      </c>
      <c r="K203"/>
      <c r="L203"/>
      <c r="M203"/>
      <c r="N203"/>
      <c r="O203"/>
      <c r="P203"/>
      <c r="Q203"/>
      <c r="R203" s="4" t="str">
        <f>IFERROR(VLOOKUP(IF(F203="Total",F202,F203),Table1[[Property]:['# Units]],7,0)*S203,"")</f>
        <v/>
      </c>
      <c r="S203" s="27" t="str">
        <f t="shared" si="35"/>
        <v/>
      </c>
      <c r="T203" s="531" t="str">
        <f>IFERROR(
 IF($F203="Total",
   SUMPRODUCT(
   INDEX(T:T, ROW()-COUNTIF($F$6:INDEX($F:$F, ROW()-1), $F202)) : INDEX(T:T, ROW()-1),
   INDEX(W:W, ROW()-COUNTIF($F$6:INDEX($F:$F, ROW()-1), $F202)) : INDEX(W:W, ROW()-1)
   )
   /SUM(INDEX(W:W, ROW()-COUNTIF($F$6:INDEX($F:$F, ROW()-1), $F202)) : INDEX(W:W, ROW()-1)),
   AVERAGEIFS(
     INDEX((unit_details[Asking Rent],unit_details[Asking PSF]),0,1,IF($U$3="Chunk Rent",1,2)),
     unit_details[Leased Date],"&gt;="&amp;($AM$2-T$5),
     unit_details[Leased Date],"&lt;"&amp;$AM$2,
     unit_details[Beds],$L203,
     unit_details[Baths],$M203,
     unit_details[Partial Baths],IF(ISNUMBER($N203),$N203,""),
     unit_details[Sqft],$P203,
     unit_details[Property Name],$F203)
 ),"")</f>
        <v/>
      </c>
      <c r="U203" s="552" t="str">
        <f>IFERROR(
 IF($F203="Total",
   SUMPRODUCT(
   INDEX(U:U, ROW()-COUNTIF($F$6:INDEX($F:$F, ROW()-1), $F202)) : INDEX(U:U, ROW()-1),
   INDEX(W:W, ROW()-COUNTIF($F$6:INDEX($F:$F, ROW()-1), $F202)) : INDEX(W:W, ROW()-1)
   )
   /SUM(INDEX(W:W, ROW()-COUNTIF($F$6:INDEX($F:$F, ROW()-1), $F202)) : INDEX(W:W, ROW()-1)),
   AVERAGEIFS(
     INDEX((unit_details[Effective Rent],unit_details[Effective PSF]),0,1,IF($U$3="Chunk Rent",1,2)),
     unit_details[Leased Date],"&gt;="&amp;($AM$2-T$5),
     unit_details[Leased Date],"&lt;"&amp;$AM$2,
     unit_details[Beds],$L203,
     unit_details[Baths],$M203,
     unit_details[Partial Baths],IF(ISNUMBER($N203),$N203,""),
     unit_details[Sqft],$P203,
     unit_details[Property Name],$F203)
 ),"")</f>
        <v/>
      </c>
      <c r="V203" s="27" t="str">
        <f t="shared" si="43"/>
        <v/>
      </c>
      <c r="W203" s="526">
        <f>IFERROR(
  IF($F203="Total",
    SUM(INDEX(W:W, ROW()-COUNTIF($F$6:INDEX($F:$F, ROW()-1), $F202)) : INDEX(W:W, ROW()-1)),
    COUNTIFS(
      unit_details[Leased Date], "&gt;="&amp;($AM$2-T$5),
      unit_details[Leased Date], "&lt;"&amp;$AM$2,
      unit_details[Beds], $L203,
      unit_details[Baths], $M203,
      unit_details[Partial Baths], IF(ISNUMBER($N203), $N203, ""),
      unit_details[Sqft],$P203,
      unit_details[Property Name], $F203
    )
  ),
"")</f>
        <v>0</v>
      </c>
      <c r="X203" s="531" t="str">
        <f>IFERROR(
 IF($F203="Total",
   SUMPRODUCT(
   INDEX(X:X, ROW()-COUNTIF($F$6:INDEX($F:$F, ROW()-1), $F202)) : INDEX(X:X, ROW()-1),
   INDEX(AA:AA, ROW()-COUNTIF($F$6:INDEX($F:$F, ROW()-1), $F202)) : INDEX(AA:AA, ROW()-1)
   )
   /SUM(INDEX(AA:AA, ROW()-COUNTIF($F$6:INDEX($F:$F, ROW()-1), $F202)) : INDEX(AA:AA, ROW()-1)),
   AVERAGEIFS(
     INDEX((unit_details[Asking Rent],unit_details[Asking PSF]),0,1,IF($U$3="Chunk Rent",1,2)),
     unit_details[Leased Date],"&gt;="&amp;($AM$2-X$5),
     unit_details[Leased Date],"&lt;"&amp;$AM$2,
     unit_details[Beds],$L203,
     unit_details[Baths],$M203,
     unit_details[Partial Baths],IF(ISNUMBER($N203),$N203,""),
     unit_details[Sqft],$P203,
     unit_details[Property Name],$F203)
 ),"")</f>
        <v/>
      </c>
      <c r="Y203" s="552" t="str">
        <f>IFERROR(
 IF($F203="Total",
   SUMPRODUCT(
   INDEX(Y:Y, ROW()-COUNTIF($F$6:INDEX($F:$F, ROW()-1), $F202)) : INDEX(Y:Y, ROW()-1),
   INDEX(AA:AA, ROW()-COUNTIF($F$6:INDEX($F:$F, ROW()-1), $F202)) : INDEX(AA:AA, ROW()-1)
   )
   /SUM(INDEX(AA:AA, ROW()-COUNTIF($F$6:INDEX($F:$F, ROW()-1), $F202)) : INDEX(AA:AA, ROW()-1)),
   AVERAGEIFS(
     INDEX((unit_details[Effective Rent],unit_details[Effective PSF]),0,1,IF($U$3="Chunk Rent",1,2)),
     unit_details[Leased Date],"&gt;="&amp;($AM$2-X$5),
     unit_details[Leased Date],"&lt;"&amp;$AM$2,
     unit_details[Beds],$L203,
     unit_details[Baths],$M203,
     unit_details[Partial Baths],IF(ISNUMBER($N203),$N203,""),
     unit_details[Sqft],$P203,
     unit_details[Property Name],$F203)
 ),"")</f>
        <v/>
      </c>
      <c r="Z203" s="27" t="str">
        <f t="shared" si="44"/>
        <v/>
      </c>
      <c r="AA203" s="526">
        <f>IFERROR(
  IF($F203="Total",
    SUM(INDEX(AA:AA, ROW()-COUNTIF($F$6:INDEX($F:$F, ROW()-1), $F202)) : INDEX(AA:AA, ROW()-1)),
    COUNTIFS(
      unit_details[Leased Date], "&gt;="&amp;($AM$2-X$5),
      unit_details[Leased Date], "&lt;"&amp;$AM$2,
      unit_details[Beds], $L203,
      unit_details[Baths], $M203,
      unit_details[Partial Baths], IF(ISNUMBER($N203), $N203, ""),
      unit_details[Sqft],$P203,
      unit_details[Property Name], $F203
    )
  ),
"")</f>
        <v>0</v>
      </c>
      <c r="AB203" s="290">
        <f>IF($F203="Total",
SUM(INDEX(AB:AB, ROW()-COUNTIF($F$6:INDEX($F:$F, ROW()-1), $F202)) : INDEX(AB:AB, ROW()-1)),
COUNTIFS(unit_details[Active Listing?],TRUE,
          unit_details[Property Name], $F203,
          unit_details[Beds], $L203,
          unit_details[Baths], $M203,
          unit_details[Partial Baths],IF(ISNUMBER($N203),$N203,""),
          unit_details[Sqft],$P203))</f>
        <v>0</v>
      </c>
      <c r="AC203" s="27" t="str">
        <f t="shared" si="36"/>
        <v/>
      </c>
      <c r="AD203" s="293" t="str">
        <f>IFERROR(IF(AE203="","",IF($F203="Total",
SUMPRODUCT(
   INDEX(AD:AD, ROW()-COUNTIF($F$6:INDEX($F:$F, ROW()-1), $F202)) : INDEX(AD:AD, ROW()-1),
   INDEX(AB:AB, ROW()-COUNTIF($F$6:INDEX($F:$F, ROW()-1), $F202)) : INDEX(AB:AB, ROW()-1)
   )
   /SUM(INDEX(AB:AB, ROW()-COUNTIF($F$6:INDEX($F:$F, ROW()-1), $F202)) : INDEX(AB:AB, ROW()-1)),
          _xlfn.MINIFS(unit_details[Asking Rent],
          unit_details[Active Listing?],TRUE,
          unit_details[Property Name], $F203,
          unit_details[Beds], $L203,
          unit_details[Baths], $M203,
          unit_details[Partial Baths], IF(ISNUMBER($N203),$N203,""),
          unit_details[Sqft],$P203
))),"")</f>
        <v/>
      </c>
      <c r="AE203" s="5" t="str">
        <f>IFERROR(IF($F203="Total",
          SUMPRODUCT(
   INDEX(AE:AE, ROW()-COUNTIF($F$6:INDEX($F:$F, ROW()-1), $F202)) : INDEX(AE:AE, ROW()-1),
   INDEX(AB:AB, ROW()-COUNTIF($F$6:INDEX($F:$F, ROW()-1), $F202)) : INDEX(AB:AB, ROW()-1)
   )
   /SUM(INDEX(AB:AB, ROW()-COUNTIF($F$6:INDEX($F:$F, ROW()-1), $F202)) : INDEX(AB:AB, ROW()-1)),
          AVERAGEIFS(unit_details[Asking Rent],
          unit_details[Active Listing?],TRUE,
          unit_details[Property Name], $F203,
          unit_details[Beds], $L203,
          unit_details[Baths], $M203,
          unit_details[Partial Baths], IF(ISNUMBER($N203),$N203,""),
          unit_details[Sqft],$P203
)),"")</f>
        <v/>
      </c>
      <c r="AF203" s="5" t="str">
        <f>IFERROR(IF(AE203="","",IF($F203="Total",
SUMPRODUCT(
   INDEX(AF:AF, ROW()-COUNTIF($F$6:INDEX($F:$F, ROW()-1), $F202)) : INDEX(AF:AF, ROW()-1),
   INDEX(AB:AB, ROW()-COUNTIF($F$6:INDEX($F:$F, ROW()-1), $F202)) : INDEX(AB:AB, ROW()-1)
   )
   /SUM(INDEX(AB:AB, ROW()-COUNTIF($F$6:INDEX($F:$F, ROW()-1), $F202)) : INDEX(AB:AB, ROW()-1)),
           _xlfn.MAXIFS(unit_details[Asking Rent],
          unit_details[Active Listing?],TRUE,
          unit_details[Property Name], $F203,
          unit_details[Beds], $L203,
          unit_details[Baths], $M203,
          unit_details[Partial Baths], IF(ISNUMBER($N203),$N203,""),
          unit_details[Sqft],$P203
))),"")</f>
        <v/>
      </c>
      <c r="AG203" s="6" t="str">
        <f>IFERROR(IF($F203="Total",
         SUMPRODUCT(
         INDEX(AG:AG, ROW()-COUNTIF($F$6:INDEX($F:$F, ROW()-1), $F202)) : INDEX(AG:AG, ROW()-1),
         INDEX(AB:AB, ROW()-COUNTIF($F$6:INDEX($F:$F, ROW()-1), $F202)) : INDEX(AB:AB, ROW()-1)
         )
         /SUM(INDEX(AB:AB, ROW()-COUNTIF($F$6:INDEX($F:$F, ROW()-1), $F202)) : INDEX(AB:AB, ROW()-1)),
          AVERAGEIFS(unit_details[Asking PSF],
          unit_details[Active Listing?],TRUE,
          unit_details[Property Name], $F203,
          unit_details[Beds], $L203,
          unit_details[Baths], $M203,
          unit_details[Partial Baths], IF(ISNUMBER($N203),$N203,""),
          unit_details[Sqft],$P203
)),"")</f>
        <v/>
      </c>
      <c r="AH203" s="293" t="str">
        <f>IFERROR(IF($F203="Total",
         SUMPRODUCT(
         INDEX(AH:AH, ROW()-COUNTIF($F$6:INDEX($F:$F, ROW()-1), $F202)) : INDEX(AH:AH, ROW()-1),
         INDEX(AB:AB, ROW()-COUNTIF($F$6:INDEX($F:$F, ROW()-1), $F202)) : INDEX(AB:AB, ROW()-1)
         )
         /SUM(INDEX(AB:AB, ROW()-COUNTIF($F$6:INDEX($F:$F, ROW()-1), $F202)) : INDEX(AB:AB, ROW()-1)),
          AVERAGEIFS(unit_details[Effective Rent],
          unit_details[Active Listing?],TRUE,
          unit_details[Property Name], $F203,
          unit_details[Beds], $L203,
          unit_details[Baths], $M203,
          unit_details[Partial Baths], IF(ISNUMBER($N203),$N203,""),
          unit_details[Sqft],$P203
)),"")</f>
        <v/>
      </c>
      <c r="AI203" s="6" t="str">
        <f>IFERROR(IF($F203="Total",
         SUMPRODUCT(
         INDEX(AI:AI, ROW()-COUNTIF($F$6:INDEX($F:$F, ROW()-1), $F202)) : INDEX(AI:AI, ROW()-1),
         INDEX(AB:AB, ROW()-COUNTIF($F$6:INDEX($F:$F, ROW()-1), $F202)) : INDEX(AB:AB, ROW()-1)
         )
         /SUM(INDEX(AB:AB, ROW()-COUNTIF($F$6:INDEX($F:$F, ROW()-1), $F202)) : INDEX(AB:AB, ROW()-1)),
           AVERAGEIFS(unit_details[Effective PSF],
          unit_details[Active Listing?],TRUE,
          unit_details[Property Name], $F203,
          unit_details[Beds], $L203,
          unit_details[Baths], $M203,
          unit_details[Partial Baths], IF(ISNUMBER($N203),$N203,""),
          unit_details[Sqft],$P203
)),"")</f>
        <v/>
      </c>
      <c r="AJ203" s="824" t="str">
        <f t="shared" si="37"/>
        <v/>
      </c>
      <c r="AK203" s="531" t="str">
        <f t="shared" si="38"/>
        <v/>
      </c>
      <c r="AL203" s="714" t="str">
        <f t="shared" si="39"/>
        <v/>
      </c>
      <c r="AM203" s="531" t="str">
        <f t="shared" si="40"/>
        <v/>
      </c>
      <c r="AN203" s="716" t="str">
        <f t="shared" si="41"/>
        <v/>
      </c>
    </row>
    <row r="204" spans="5:40" x14ac:dyDescent="0.2">
      <c r="F204" s="1" t="str">
        <f t="shared" si="34"/>
        <v/>
      </c>
      <c r="G204" s="713" t="str">
        <f t="shared" si="42"/>
        <v/>
      </c>
      <c r="H204" s="17" t="str">
        <f>IFERROR(VLOOKUP($G204,Table1[[Property]:[Exposure %]],4,0),"")</f>
        <v/>
      </c>
      <c r="I204" s="3" t="str">
        <f>IFERROR(VLOOKUP($G204,Table1[[Property]:[Exposure %]],6,0),"")</f>
        <v/>
      </c>
      <c r="J204" s="3" t="str">
        <f>IFERROR(VLOOKUP($G204,Table1[[Property]:[Exposure %]],7,0),"")</f>
        <v/>
      </c>
      <c r="K204"/>
      <c r="L204"/>
      <c r="M204"/>
      <c r="N204"/>
      <c r="O204"/>
      <c r="P204"/>
      <c r="Q204"/>
      <c r="R204" s="4" t="str">
        <f>IFERROR(VLOOKUP(IF(F204="Total",F203,F204),Table1[[Property]:['# Units]],7,0)*S204,"")</f>
        <v/>
      </c>
      <c r="S204" s="27" t="str">
        <f t="shared" si="35"/>
        <v/>
      </c>
      <c r="T204" s="531" t="str">
        <f>IFERROR(
 IF($F204="Total",
   SUMPRODUCT(
   INDEX(T:T, ROW()-COUNTIF($F$6:INDEX($F:$F, ROW()-1), $F203)) : INDEX(T:T, ROW()-1),
   INDEX(W:W, ROW()-COUNTIF($F$6:INDEX($F:$F, ROW()-1), $F203)) : INDEX(W:W, ROW()-1)
   )
   /SUM(INDEX(W:W, ROW()-COUNTIF($F$6:INDEX($F:$F, ROW()-1), $F203)) : INDEX(W:W, ROW()-1)),
   AVERAGEIFS(
     INDEX((unit_details[Asking Rent],unit_details[Asking PSF]),0,1,IF($U$3="Chunk Rent",1,2)),
     unit_details[Leased Date],"&gt;="&amp;($AM$2-T$5),
     unit_details[Leased Date],"&lt;"&amp;$AM$2,
     unit_details[Beds],$L204,
     unit_details[Baths],$M204,
     unit_details[Partial Baths],IF(ISNUMBER($N204),$N204,""),
     unit_details[Sqft],$P204,
     unit_details[Property Name],$F204)
 ),"")</f>
        <v/>
      </c>
      <c r="U204" s="552" t="str">
        <f>IFERROR(
 IF($F204="Total",
   SUMPRODUCT(
   INDEX(U:U, ROW()-COUNTIF($F$6:INDEX($F:$F, ROW()-1), $F203)) : INDEX(U:U, ROW()-1),
   INDEX(W:W, ROW()-COUNTIF($F$6:INDEX($F:$F, ROW()-1), $F203)) : INDEX(W:W, ROW()-1)
   )
   /SUM(INDEX(W:W, ROW()-COUNTIF($F$6:INDEX($F:$F, ROW()-1), $F203)) : INDEX(W:W, ROW()-1)),
   AVERAGEIFS(
     INDEX((unit_details[Effective Rent],unit_details[Effective PSF]),0,1,IF($U$3="Chunk Rent",1,2)),
     unit_details[Leased Date],"&gt;="&amp;($AM$2-T$5),
     unit_details[Leased Date],"&lt;"&amp;$AM$2,
     unit_details[Beds],$L204,
     unit_details[Baths],$M204,
     unit_details[Partial Baths],IF(ISNUMBER($N204),$N204,""),
     unit_details[Sqft],$P204,
     unit_details[Property Name],$F204)
 ),"")</f>
        <v/>
      </c>
      <c r="V204" s="27" t="str">
        <f t="shared" si="43"/>
        <v/>
      </c>
      <c r="W204" s="526">
        <f>IFERROR(
  IF($F204="Total",
    SUM(INDEX(W:W, ROW()-COUNTIF($F$6:INDEX($F:$F, ROW()-1), $F203)) : INDEX(W:W, ROW()-1)),
    COUNTIFS(
      unit_details[Leased Date], "&gt;="&amp;($AM$2-T$5),
      unit_details[Leased Date], "&lt;"&amp;$AM$2,
      unit_details[Beds], $L204,
      unit_details[Baths], $M204,
      unit_details[Partial Baths], IF(ISNUMBER($N204), $N204, ""),
      unit_details[Sqft],$P204,
      unit_details[Property Name], $F204
    )
  ),
"")</f>
        <v>0</v>
      </c>
      <c r="X204" s="531" t="str">
        <f>IFERROR(
 IF($F204="Total",
   SUMPRODUCT(
   INDEX(X:X, ROW()-COUNTIF($F$6:INDEX($F:$F, ROW()-1), $F203)) : INDEX(X:X, ROW()-1),
   INDEX(AA:AA, ROW()-COUNTIF($F$6:INDEX($F:$F, ROW()-1), $F203)) : INDEX(AA:AA, ROW()-1)
   )
   /SUM(INDEX(AA:AA, ROW()-COUNTIF($F$6:INDEX($F:$F, ROW()-1), $F203)) : INDEX(AA:AA, ROW()-1)),
   AVERAGEIFS(
     INDEX((unit_details[Asking Rent],unit_details[Asking PSF]),0,1,IF($U$3="Chunk Rent",1,2)),
     unit_details[Leased Date],"&gt;="&amp;($AM$2-X$5),
     unit_details[Leased Date],"&lt;"&amp;$AM$2,
     unit_details[Beds],$L204,
     unit_details[Baths],$M204,
     unit_details[Partial Baths],IF(ISNUMBER($N204),$N204,""),
     unit_details[Sqft],$P204,
     unit_details[Property Name],$F204)
 ),"")</f>
        <v/>
      </c>
      <c r="Y204" s="552" t="str">
        <f>IFERROR(
 IF($F204="Total",
   SUMPRODUCT(
   INDEX(Y:Y, ROW()-COUNTIF($F$6:INDEX($F:$F, ROW()-1), $F203)) : INDEX(Y:Y, ROW()-1),
   INDEX(AA:AA, ROW()-COUNTIF($F$6:INDEX($F:$F, ROW()-1), $F203)) : INDEX(AA:AA, ROW()-1)
   )
   /SUM(INDEX(AA:AA, ROW()-COUNTIF($F$6:INDEX($F:$F, ROW()-1), $F203)) : INDEX(AA:AA, ROW()-1)),
   AVERAGEIFS(
     INDEX((unit_details[Effective Rent],unit_details[Effective PSF]),0,1,IF($U$3="Chunk Rent",1,2)),
     unit_details[Leased Date],"&gt;="&amp;($AM$2-X$5),
     unit_details[Leased Date],"&lt;"&amp;$AM$2,
     unit_details[Beds],$L204,
     unit_details[Baths],$M204,
     unit_details[Partial Baths],IF(ISNUMBER($N204),$N204,""),
     unit_details[Sqft],$P204,
     unit_details[Property Name],$F204)
 ),"")</f>
        <v/>
      </c>
      <c r="Z204" s="27" t="str">
        <f t="shared" si="44"/>
        <v/>
      </c>
      <c r="AA204" s="526">
        <f>IFERROR(
  IF($F204="Total",
    SUM(INDEX(AA:AA, ROW()-COUNTIF($F$6:INDEX($F:$F, ROW()-1), $F203)) : INDEX(AA:AA, ROW()-1)),
    COUNTIFS(
      unit_details[Leased Date], "&gt;="&amp;($AM$2-X$5),
      unit_details[Leased Date], "&lt;"&amp;$AM$2,
      unit_details[Beds], $L204,
      unit_details[Baths], $M204,
      unit_details[Partial Baths], IF(ISNUMBER($N204), $N204, ""),
      unit_details[Sqft],$P204,
      unit_details[Property Name], $F204
    )
  ),
"")</f>
        <v>0</v>
      </c>
      <c r="AB204" s="290">
        <f>IF($F204="Total",
SUM(INDEX(AB:AB, ROW()-COUNTIF($F$6:INDEX($F:$F, ROW()-1), $F203)) : INDEX(AB:AB, ROW()-1)),
COUNTIFS(unit_details[Active Listing?],TRUE,
          unit_details[Property Name], $F204,
          unit_details[Beds], $L204,
          unit_details[Baths], $M204,
          unit_details[Partial Baths],IF(ISNUMBER($N204),$N204,""),
          unit_details[Sqft],$P204))</f>
        <v>0</v>
      </c>
      <c r="AC204" s="27" t="str">
        <f t="shared" si="36"/>
        <v/>
      </c>
      <c r="AD204" s="293" t="str">
        <f>IFERROR(IF(AE204="","",IF($F204="Total",
SUMPRODUCT(
   INDEX(AD:AD, ROW()-COUNTIF($F$6:INDEX($F:$F, ROW()-1), $F203)) : INDEX(AD:AD, ROW()-1),
   INDEX(AB:AB, ROW()-COUNTIF($F$6:INDEX($F:$F, ROW()-1), $F203)) : INDEX(AB:AB, ROW()-1)
   )
   /SUM(INDEX(AB:AB, ROW()-COUNTIF($F$6:INDEX($F:$F, ROW()-1), $F203)) : INDEX(AB:AB, ROW()-1)),
          _xlfn.MINIFS(unit_details[Asking Rent],
          unit_details[Active Listing?],TRUE,
          unit_details[Property Name], $F204,
          unit_details[Beds], $L204,
          unit_details[Baths], $M204,
          unit_details[Partial Baths], IF(ISNUMBER($N204),$N204,""),
          unit_details[Sqft],$P204
))),"")</f>
        <v/>
      </c>
      <c r="AE204" s="5" t="str">
        <f>IFERROR(IF($F204="Total",
          SUMPRODUCT(
   INDEX(AE:AE, ROW()-COUNTIF($F$6:INDEX($F:$F, ROW()-1), $F203)) : INDEX(AE:AE, ROW()-1),
   INDEX(AB:AB, ROW()-COUNTIF($F$6:INDEX($F:$F, ROW()-1), $F203)) : INDEX(AB:AB, ROW()-1)
   )
   /SUM(INDEX(AB:AB, ROW()-COUNTIF($F$6:INDEX($F:$F, ROW()-1), $F203)) : INDEX(AB:AB, ROW()-1)),
          AVERAGEIFS(unit_details[Asking Rent],
          unit_details[Active Listing?],TRUE,
          unit_details[Property Name], $F204,
          unit_details[Beds], $L204,
          unit_details[Baths], $M204,
          unit_details[Partial Baths], IF(ISNUMBER($N204),$N204,""),
          unit_details[Sqft],$P204
)),"")</f>
        <v/>
      </c>
      <c r="AF204" s="5" t="str">
        <f>IFERROR(IF(AE204="","",IF($F204="Total",
SUMPRODUCT(
   INDEX(AF:AF, ROW()-COUNTIF($F$6:INDEX($F:$F, ROW()-1), $F203)) : INDEX(AF:AF, ROW()-1),
   INDEX(AB:AB, ROW()-COUNTIF($F$6:INDEX($F:$F, ROW()-1), $F203)) : INDEX(AB:AB, ROW()-1)
   )
   /SUM(INDEX(AB:AB, ROW()-COUNTIF($F$6:INDEX($F:$F, ROW()-1), $F203)) : INDEX(AB:AB, ROW()-1)),
           _xlfn.MAXIFS(unit_details[Asking Rent],
          unit_details[Active Listing?],TRUE,
          unit_details[Property Name], $F204,
          unit_details[Beds], $L204,
          unit_details[Baths], $M204,
          unit_details[Partial Baths], IF(ISNUMBER($N204),$N204,""),
          unit_details[Sqft],$P204
))),"")</f>
        <v/>
      </c>
      <c r="AG204" s="6" t="str">
        <f>IFERROR(IF($F204="Total",
         SUMPRODUCT(
         INDEX(AG:AG, ROW()-COUNTIF($F$6:INDEX($F:$F, ROW()-1), $F203)) : INDEX(AG:AG, ROW()-1),
         INDEX(AB:AB, ROW()-COUNTIF($F$6:INDEX($F:$F, ROW()-1), $F203)) : INDEX(AB:AB, ROW()-1)
         )
         /SUM(INDEX(AB:AB, ROW()-COUNTIF($F$6:INDEX($F:$F, ROW()-1), $F203)) : INDEX(AB:AB, ROW()-1)),
          AVERAGEIFS(unit_details[Asking PSF],
          unit_details[Active Listing?],TRUE,
          unit_details[Property Name], $F204,
          unit_details[Beds], $L204,
          unit_details[Baths], $M204,
          unit_details[Partial Baths], IF(ISNUMBER($N204),$N204,""),
          unit_details[Sqft],$P204
)),"")</f>
        <v/>
      </c>
      <c r="AH204" s="293" t="str">
        <f>IFERROR(IF($F204="Total",
         SUMPRODUCT(
         INDEX(AH:AH, ROW()-COUNTIF($F$6:INDEX($F:$F, ROW()-1), $F203)) : INDEX(AH:AH, ROW()-1),
         INDEX(AB:AB, ROW()-COUNTIF($F$6:INDEX($F:$F, ROW()-1), $F203)) : INDEX(AB:AB, ROW()-1)
         )
         /SUM(INDEX(AB:AB, ROW()-COUNTIF($F$6:INDEX($F:$F, ROW()-1), $F203)) : INDEX(AB:AB, ROW()-1)),
          AVERAGEIFS(unit_details[Effective Rent],
          unit_details[Active Listing?],TRUE,
          unit_details[Property Name], $F204,
          unit_details[Beds], $L204,
          unit_details[Baths], $M204,
          unit_details[Partial Baths], IF(ISNUMBER($N204),$N204,""),
          unit_details[Sqft],$P204
)),"")</f>
        <v/>
      </c>
      <c r="AI204" s="6" t="str">
        <f>IFERROR(IF($F204="Total",
         SUMPRODUCT(
         INDEX(AI:AI, ROW()-COUNTIF($F$6:INDEX($F:$F, ROW()-1), $F203)) : INDEX(AI:AI, ROW()-1),
         INDEX(AB:AB, ROW()-COUNTIF($F$6:INDEX($F:$F, ROW()-1), $F203)) : INDEX(AB:AB, ROW()-1)
         )
         /SUM(INDEX(AB:AB, ROW()-COUNTIF($F$6:INDEX($F:$F, ROW()-1), $F203)) : INDEX(AB:AB, ROW()-1)),
           AVERAGEIFS(unit_details[Effective PSF],
          unit_details[Active Listing?],TRUE,
          unit_details[Property Name], $F204,
          unit_details[Beds], $L204,
          unit_details[Baths], $M204,
          unit_details[Partial Baths], IF(ISNUMBER($N204),$N204,""),
          unit_details[Sqft],$P204
)),"")</f>
        <v/>
      </c>
      <c r="AJ204" s="824" t="str">
        <f t="shared" si="37"/>
        <v/>
      </c>
      <c r="AK204" s="531" t="str">
        <f t="shared" si="38"/>
        <v/>
      </c>
      <c r="AL204" s="714" t="str">
        <f t="shared" si="39"/>
        <v/>
      </c>
      <c r="AM204" s="531" t="str">
        <f t="shared" si="40"/>
        <v/>
      </c>
      <c r="AN204" s="716" t="str">
        <f t="shared" si="41"/>
        <v/>
      </c>
    </row>
    <row r="205" spans="5:40" x14ac:dyDescent="0.2">
      <c r="F205" s="1" t="str">
        <f t="shared" si="34"/>
        <v/>
      </c>
      <c r="G205" s="713" t="str">
        <f t="shared" si="42"/>
        <v/>
      </c>
      <c r="H205" s="17" t="str">
        <f>IFERROR(VLOOKUP($G205,Table1[[Property]:[Exposure %]],4,0),"")</f>
        <v/>
      </c>
      <c r="I205" s="3" t="str">
        <f>IFERROR(VLOOKUP($G205,Table1[[Property]:[Exposure %]],6,0),"")</f>
        <v/>
      </c>
      <c r="J205" s="3" t="str">
        <f>IFERROR(VLOOKUP($G205,Table1[[Property]:[Exposure %]],7,0),"")</f>
        <v/>
      </c>
      <c r="K205"/>
      <c r="L205"/>
      <c r="M205"/>
      <c r="N205"/>
      <c r="O205"/>
      <c r="P205"/>
      <c r="Q205"/>
      <c r="R205" s="4" t="str">
        <f>IFERROR(VLOOKUP(IF(F205="Total",F204,F205),Table1[[Property]:['# Units]],7,0)*S205,"")</f>
        <v/>
      </c>
      <c r="S205" s="27" t="str">
        <f t="shared" si="35"/>
        <v/>
      </c>
      <c r="T205" s="531" t="str">
        <f>IFERROR(
 IF($F205="Total",
   SUMPRODUCT(
   INDEX(T:T, ROW()-COUNTIF($F$6:INDEX($F:$F, ROW()-1), $F204)) : INDEX(T:T, ROW()-1),
   INDEX(W:W, ROW()-COUNTIF($F$6:INDEX($F:$F, ROW()-1), $F204)) : INDEX(W:W, ROW()-1)
   )
   /SUM(INDEX(W:W, ROW()-COUNTIF($F$6:INDEX($F:$F, ROW()-1), $F204)) : INDEX(W:W, ROW()-1)),
   AVERAGEIFS(
     INDEX((unit_details[Asking Rent],unit_details[Asking PSF]),0,1,IF($U$3="Chunk Rent",1,2)),
     unit_details[Leased Date],"&gt;="&amp;($AM$2-T$5),
     unit_details[Leased Date],"&lt;"&amp;$AM$2,
     unit_details[Beds],$L205,
     unit_details[Baths],$M205,
     unit_details[Partial Baths],IF(ISNUMBER($N205),$N205,""),
     unit_details[Sqft],$P205,
     unit_details[Property Name],$F205)
 ),"")</f>
        <v/>
      </c>
      <c r="U205" s="552" t="str">
        <f>IFERROR(
 IF($F205="Total",
   SUMPRODUCT(
   INDEX(U:U, ROW()-COUNTIF($F$6:INDEX($F:$F, ROW()-1), $F204)) : INDEX(U:U, ROW()-1),
   INDEX(W:W, ROW()-COUNTIF($F$6:INDEX($F:$F, ROW()-1), $F204)) : INDEX(W:W, ROW()-1)
   )
   /SUM(INDEX(W:W, ROW()-COUNTIF($F$6:INDEX($F:$F, ROW()-1), $F204)) : INDEX(W:W, ROW()-1)),
   AVERAGEIFS(
     INDEX((unit_details[Effective Rent],unit_details[Effective PSF]),0,1,IF($U$3="Chunk Rent",1,2)),
     unit_details[Leased Date],"&gt;="&amp;($AM$2-T$5),
     unit_details[Leased Date],"&lt;"&amp;$AM$2,
     unit_details[Beds],$L205,
     unit_details[Baths],$M205,
     unit_details[Partial Baths],IF(ISNUMBER($N205),$N205,""),
     unit_details[Sqft],$P205,
     unit_details[Property Name],$F205)
 ),"")</f>
        <v/>
      </c>
      <c r="V205" s="27" t="str">
        <f t="shared" si="43"/>
        <v/>
      </c>
      <c r="W205" s="526">
        <f>IFERROR(
  IF($F205="Total",
    SUM(INDEX(W:W, ROW()-COUNTIF($F$6:INDEX($F:$F, ROW()-1), $F204)) : INDEX(W:W, ROW()-1)),
    COUNTIFS(
      unit_details[Leased Date], "&gt;="&amp;($AM$2-T$5),
      unit_details[Leased Date], "&lt;"&amp;$AM$2,
      unit_details[Beds], $L205,
      unit_details[Baths], $M205,
      unit_details[Partial Baths], IF(ISNUMBER($N205), $N205, ""),
      unit_details[Sqft],$P205,
      unit_details[Property Name], $F205
    )
  ),
"")</f>
        <v>0</v>
      </c>
      <c r="X205" s="531" t="str">
        <f>IFERROR(
 IF($F205="Total",
   SUMPRODUCT(
   INDEX(X:X, ROW()-COUNTIF($F$6:INDEX($F:$F, ROW()-1), $F204)) : INDEX(X:X, ROW()-1),
   INDEX(AA:AA, ROW()-COUNTIF($F$6:INDEX($F:$F, ROW()-1), $F204)) : INDEX(AA:AA, ROW()-1)
   )
   /SUM(INDEX(AA:AA, ROW()-COUNTIF($F$6:INDEX($F:$F, ROW()-1), $F204)) : INDEX(AA:AA, ROW()-1)),
   AVERAGEIFS(
     INDEX((unit_details[Asking Rent],unit_details[Asking PSF]),0,1,IF($U$3="Chunk Rent",1,2)),
     unit_details[Leased Date],"&gt;="&amp;($AM$2-X$5),
     unit_details[Leased Date],"&lt;"&amp;$AM$2,
     unit_details[Beds],$L205,
     unit_details[Baths],$M205,
     unit_details[Partial Baths],IF(ISNUMBER($N205),$N205,""),
     unit_details[Sqft],$P205,
     unit_details[Property Name],$F205)
 ),"")</f>
        <v/>
      </c>
      <c r="Y205" s="552" t="str">
        <f>IFERROR(
 IF($F205="Total",
   SUMPRODUCT(
   INDEX(Y:Y, ROW()-COUNTIF($F$6:INDEX($F:$F, ROW()-1), $F204)) : INDEX(Y:Y, ROW()-1),
   INDEX(AA:AA, ROW()-COUNTIF($F$6:INDEX($F:$F, ROW()-1), $F204)) : INDEX(AA:AA, ROW()-1)
   )
   /SUM(INDEX(AA:AA, ROW()-COUNTIF($F$6:INDEX($F:$F, ROW()-1), $F204)) : INDEX(AA:AA, ROW()-1)),
   AVERAGEIFS(
     INDEX((unit_details[Effective Rent],unit_details[Effective PSF]),0,1,IF($U$3="Chunk Rent",1,2)),
     unit_details[Leased Date],"&gt;="&amp;($AM$2-X$5),
     unit_details[Leased Date],"&lt;"&amp;$AM$2,
     unit_details[Beds],$L205,
     unit_details[Baths],$M205,
     unit_details[Partial Baths],IF(ISNUMBER($N205),$N205,""),
     unit_details[Sqft],$P205,
     unit_details[Property Name],$F205)
 ),"")</f>
        <v/>
      </c>
      <c r="Z205" s="27" t="str">
        <f t="shared" si="44"/>
        <v/>
      </c>
      <c r="AA205" s="526">
        <f>IFERROR(
  IF($F205="Total",
    SUM(INDEX(AA:AA, ROW()-COUNTIF($F$6:INDEX($F:$F, ROW()-1), $F204)) : INDEX(AA:AA, ROW()-1)),
    COUNTIFS(
      unit_details[Leased Date], "&gt;="&amp;($AM$2-X$5),
      unit_details[Leased Date], "&lt;"&amp;$AM$2,
      unit_details[Beds], $L205,
      unit_details[Baths], $M205,
      unit_details[Partial Baths], IF(ISNUMBER($N205), $N205, ""),
      unit_details[Sqft],$P205,
      unit_details[Property Name], $F205
    )
  ),
"")</f>
        <v>0</v>
      </c>
      <c r="AB205" s="290">
        <f>IF($F205="Total",
SUM(INDEX(AB:AB, ROW()-COUNTIF($F$6:INDEX($F:$F, ROW()-1), $F204)) : INDEX(AB:AB, ROW()-1)),
COUNTIFS(unit_details[Active Listing?],TRUE,
          unit_details[Property Name], $F205,
          unit_details[Beds], $L205,
          unit_details[Baths], $M205,
          unit_details[Partial Baths],IF(ISNUMBER($N205),$N205,""),
          unit_details[Sqft],$P205))</f>
        <v>0</v>
      </c>
      <c r="AC205" s="27" t="str">
        <f t="shared" si="36"/>
        <v/>
      </c>
      <c r="AD205" s="293" t="str">
        <f>IFERROR(IF(AE205="","",IF($F205="Total",
SUMPRODUCT(
   INDEX(AD:AD, ROW()-COUNTIF($F$6:INDEX($F:$F, ROW()-1), $F204)) : INDEX(AD:AD, ROW()-1),
   INDEX(AB:AB, ROW()-COUNTIF($F$6:INDEX($F:$F, ROW()-1), $F204)) : INDEX(AB:AB, ROW()-1)
   )
   /SUM(INDEX(AB:AB, ROW()-COUNTIF($F$6:INDEX($F:$F, ROW()-1), $F204)) : INDEX(AB:AB, ROW()-1)),
          _xlfn.MINIFS(unit_details[Asking Rent],
          unit_details[Active Listing?],TRUE,
          unit_details[Property Name], $F205,
          unit_details[Beds], $L205,
          unit_details[Baths], $M205,
          unit_details[Partial Baths], IF(ISNUMBER($N205),$N205,""),
          unit_details[Sqft],$P205
))),"")</f>
        <v/>
      </c>
      <c r="AE205" s="5" t="str">
        <f>IFERROR(IF($F205="Total",
          SUMPRODUCT(
   INDEX(AE:AE, ROW()-COUNTIF($F$6:INDEX($F:$F, ROW()-1), $F204)) : INDEX(AE:AE, ROW()-1),
   INDEX(AB:AB, ROW()-COUNTIF($F$6:INDEX($F:$F, ROW()-1), $F204)) : INDEX(AB:AB, ROW()-1)
   )
   /SUM(INDEX(AB:AB, ROW()-COUNTIF($F$6:INDEX($F:$F, ROW()-1), $F204)) : INDEX(AB:AB, ROW()-1)),
          AVERAGEIFS(unit_details[Asking Rent],
          unit_details[Active Listing?],TRUE,
          unit_details[Property Name], $F205,
          unit_details[Beds], $L205,
          unit_details[Baths], $M205,
          unit_details[Partial Baths], IF(ISNUMBER($N205),$N205,""),
          unit_details[Sqft],$P205
)),"")</f>
        <v/>
      </c>
      <c r="AF205" s="5" t="str">
        <f>IFERROR(IF(AE205="","",IF($F205="Total",
SUMPRODUCT(
   INDEX(AF:AF, ROW()-COUNTIF($F$6:INDEX($F:$F, ROW()-1), $F204)) : INDEX(AF:AF, ROW()-1),
   INDEX(AB:AB, ROW()-COUNTIF($F$6:INDEX($F:$F, ROW()-1), $F204)) : INDEX(AB:AB, ROW()-1)
   )
   /SUM(INDEX(AB:AB, ROW()-COUNTIF($F$6:INDEX($F:$F, ROW()-1), $F204)) : INDEX(AB:AB, ROW()-1)),
           _xlfn.MAXIFS(unit_details[Asking Rent],
          unit_details[Active Listing?],TRUE,
          unit_details[Property Name], $F205,
          unit_details[Beds], $L205,
          unit_details[Baths], $M205,
          unit_details[Partial Baths], IF(ISNUMBER($N205),$N205,""),
          unit_details[Sqft],$P205
))),"")</f>
        <v/>
      </c>
      <c r="AG205" s="6" t="str">
        <f>IFERROR(IF($F205="Total",
         SUMPRODUCT(
         INDEX(AG:AG, ROW()-COUNTIF($F$6:INDEX($F:$F, ROW()-1), $F204)) : INDEX(AG:AG, ROW()-1),
         INDEX(AB:AB, ROW()-COUNTIF($F$6:INDEX($F:$F, ROW()-1), $F204)) : INDEX(AB:AB, ROW()-1)
         )
         /SUM(INDEX(AB:AB, ROW()-COUNTIF($F$6:INDEX($F:$F, ROW()-1), $F204)) : INDEX(AB:AB, ROW()-1)),
          AVERAGEIFS(unit_details[Asking PSF],
          unit_details[Active Listing?],TRUE,
          unit_details[Property Name], $F205,
          unit_details[Beds], $L205,
          unit_details[Baths], $M205,
          unit_details[Partial Baths], IF(ISNUMBER($N205),$N205,""),
          unit_details[Sqft],$P205
)),"")</f>
        <v/>
      </c>
      <c r="AH205" s="293" t="str">
        <f>IFERROR(IF($F205="Total",
         SUMPRODUCT(
         INDEX(AH:AH, ROW()-COUNTIF($F$6:INDEX($F:$F, ROW()-1), $F204)) : INDEX(AH:AH, ROW()-1),
         INDEX(AB:AB, ROW()-COUNTIF($F$6:INDEX($F:$F, ROW()-1), $F204)) : INDEX(AB:AB, ROW()-1)
         )
         /SUM(INDEX(AB:AB, ROW()-COUNTIF($F$6:INDEX($F:$F, ROW()-1), $F204)) : INDEX(AB:AB, ROW()-1)),
          AVERAGEIFS(unit_details[Effective Rent],
          unit_details[Active Listing?],TRUE,
          unit_details[Property Name], $F205,
          unit_details[Beds], $L205,
          unit_details[Baths], $M205,
          unit_details[Partial Baths], IF(ISNUMBER($N205),$N205,""),
          unit_details[Sqft],$P205
)),"")</f>
        <v/>
      </c>
      <c r="AI205" s="6" t="str">
        <f>IFERROR(IF($F205="Total",
         SUMPRODUCT(
         INDEX(AI:AI, ROW()-COUNTIF($F$6:INDEX($F:$F, ROW()-1), $F204)) : INDEX(AI:AI, ROW()-1),
         INDEX(AB:AB, ROW()-COUNTIF($F$6:INDEX($F:$F, ROW()-1), $F204)) : INDEX(AB:AB, ROW()-1)
         )
         /SUM(INDEX(AB:AB, ROW()-COUNTIF($F$6:INDEX($F:$F, ROW()-1), $F204)) : INDEX(AB:AB, ROW()-1)),
           AVERAGEIFS(unit_details[Effective PSF],
          unit_details[Active Listing?],TRUE,
          unit_details[Property Name], $F205,
          unit_details[Beds], $L205,
          unit_details[Baths], $M205,
          unit_details[Partial Baths], IF(ISNUMBER($N205),$N205,""),
          unit_details[Sqft],$P205
)),"")</f>
        <v/>
      </c>
      <c r="AJ205" s="824" t="str">
        <f t="shared" si="37"/>
        <v/>
      </c>
      <c r="AK205" s="531" t="str">
        <f t="shared" si="38"/>
        <v/>
      </c>
      <c r="AL205" s="714" t="str">
        <f t="shared" si="39"/>
        <v/>
      </c>
      <c r="AM205" s="531" t="str">
        <f t="shared" si="40"/>
        <v/>
      </c>
      <c r="AN205" s="716" t="str">
        <f t="shared" si="41"/>
        <v/>
      </c>
    </row>
    <row r="206" spans="5:40" x14ac:dyDescent="0.2">
      <c r="E206" s="540"/>
      <c r="F206" s="1" t="str">
        <f t="shared" si="34"/>
        <v/>
      </c>
      <c r="G206" s="713" t="str">
        <f t="shared" si="42"/>
        <v/>
      </c>
      <c r="H206" s="17" t="str">
        <f>IFERROR(VLOOKUP($G206,Table1[[Property]:[Exposure %]],4,0),"")</f>
        <v/>
      </c>
      <c r="I206" s="3" t="str">
        <f>IFERROR(VLOOKUP($G206,Table1[[Property]:[Exposure %]],6,0),"")</f>
        <v/>
      </c>
      <c r="J206" s="3" t="str">
        <f>IFERROR(VLOOKUP($G206,Table1[[Property]:[Exposure %]],7,0),"")</f>
        <v/>
      </c>
      <c r="K206"/>
      <c r="L206"/>
      <c r="M206"/>
      <c r="N206"/>
      <c r="O206"/>
      <c r="P206"/>
      <c r="Q206"/>
      <c r="R206" s="4" t="str">
        <f>IFERROR(VLOOKUP(IF(F206="Total",F205,F206),Table1[[Property]:['# Units]],7,0)*S206,"")</f>
        <v/>
      </c>
      <c r="S206" s="27" t="str">
        <f t="shared" si="35"/>
        <v/>
      </c>
      <c r="T206" s="531" t="str">
        <f>IFERROR(
 IF($F206="Total",
   SUMPRODUCT(
   INDEX(T:T, ROW()-COUNTIF($F$6:INDEX($F:$F, ROW()-1), $F205)) : INDEX(T:T, ROW()-1),
   INDEX(W:W, ROW()-COUNTIF($F$6:INDEX($F:$F, ROW()-1), $F205)) : INDEX(W:W, ROW()-1)
   )
   /SUM(INDEX(W:W, ROW()-COUNTIF($F$6:INDEX($F:$F, ROW()-1), $F205)) : INDEX(W:W, ROW()-1)),
   AVERAGEIFS(
     INDEX((unit_details[Asking Rent],unit_details[Asking PSF]),0,1,IF($U$3="Chunk Rent",1,2)),
     unit_details[Leased Date],"&gt;="&amp;($AM$2-T$5),
     unit_details[Leased Date],"&lt;"&amp;$AM$2,
     unit_details[Beds],$L206,
     unit_details[Baths],$M206,
     unit_details[Partial Baths],IF(ISNUMBER($N206),$N206,""),
     unit_details[Sqft],$P206,
     unit_details[Property Name],$F206)
 ),"")</f>
        <v/>
      </c>
      <c r="U206" s="552" t="str">
        <f>IFERROR(
 IF($F206="Total",
   SUMPRODUCT(
   INDEX(U:U, ROW()-COUNTIF($F$6:INDEX($F:$F, ROW()-1), $F205)) : INDEX(U:U, ROW()-1),
   INDEX(W:W, ROW()-COUNTIF($F$6:INDEX($F:$F, ROW()-1), $F205)) : INDEX(W:W, ROW()-1)
   )
   /SUM(INDEX(W:W, ROW()-COUNTIF($F$6:INDEX($F:$F, ROW()-1), $F205)) : INDEX(W:W, ROW()-1)),
   AVERAGEIFS(
     INDEX((unit_details[Effective Rent],unit_details[Effective PSF]),0,1,IF($U$3="Chunk Rent",1,2)),
     unit_details[Leased Date],"&gt;="&amp;($AM$2-T$5),
     unit_details[Leased Date],"&lt;"&amp;$AM$2,
     unit_details[Beds],$L206,
     unit_details[Baths],$M206,
     unit_details[Partial Baths],IF(ISNUMBER($N206),$N206,""),
     unit_details[Sqft],$P206,
     unit_details[Property Name],$F206)
 ),"")</f>
        <v/>
      </c>
      <c r="V206" s="27" t="str">
        <f t="shared" si="43"/>
        <v/>
      </c>
      <c r="W206" s="526">
        <f>IFERROR(
  IF($F206="Total",
    SUM(INDEX(W:W, ROW()-COUNTIF($F$6:INDEX($F:$F, ROW()-1), $F205)) : INDEX(W:W, ROW()-1)),
    COUNTIFS(
      unit_details[Leased Date], "&gt;="&amp;($AM$2-T$5),
      unit_details[Leased Date], "&lt;"&amp;$AM$2,
      unit_details[Beds], $L206,
      unit_details[Baths], $M206,
      unit_details[Partial Baths], IF(ISNUMBER($N206), $N206, ""),
      unit_details[Sqft],$P206,
      unit_details[Property Name], $F206
    )
  ),
"")</f>
        <v>0</v>
      </c>
      <c r="X206" s="531" t="str">
        <f>IFERROR(
 IF($F206="Total",
   SUMPRODUCT(
   INDEX(X:X, ROW()-COUNTIF($F$6:INDEX($F:$F, ROW()-1), $F205)) : INDEX(X:X, ROW()-1),
   INDEX(AA:AA, ROW()-COUNTIF($F$6:INDEX($F:$F, ROW()-1), $F205)) : INDEX(AA:AA, ROW()-1)
   )
   /SUM(INDEX(AA:AA, ROW()-COUNTIF($F$6:INDEX($F:$F, ROW()-1), $F205)) : INDEX(AA:AA, ROW()-1)),
   AVERAGEIFS(
     INDEX((unit_details[Asking Rent],unit_details[Asking PSF]),0,1,IF($U$3="Chunk Rent",1,2)),
     unit_details[Leased Date],"&gt;="&amp;($AM$2-X$5),
     unit_details[Leased Date],"&lt;"&amp;$AM$2,
     unit_details[Beds],$L206,
     unit_details[Baths],$M206,
     unit_details[Partial Baths],IF(ISNUMBER($N206),$N206,""),
     unit_details[Sqft],$P206,
     unit_details[Property Name],$F206)
 ),"")</f>
        <v/>
      </c>
      <c r="Y206" s="552" t="str">
        <f>IFERROR(
 IF($F206="Total",
   SUMPRODUCT(
   INDEX(Y:Y, ROW()-COUNTIF($F$6:INDEX($F:$F, ROW()-1), $F205)) : INDEX(Y:Y, ROW()-1),
   INDEX(AA:AA, ROW()-COUNTIF($F$6:INDEX($F:$F, ROW()-1), $F205)) : INDEX(AA:AA, ROW()-1)
   )
   /SUM(INDEX(AA:AA, ROW()-COUNTIF($F$6:INDEX($F:$F, ROW()-1), $F205)) : INDEX(AA:AA, ROW()-1)),
   AVERAGEIFS(
     INDEX((unit_details[Effective Rent],unit_details[Effective PSF]),0,1,IF($U$3="Chunk Rent",1,2)),
     unit_details[Leased Date],"&gt;="&amp;($AM$2-X$5),
     unit_details[Leased Date],"&lt;"&amp;$AM$2,
     unit_details[Beds],$L206,
     unit_details[Baths],$M206,
     unit_details[Partial Baths],IF(ISNUMBER($N206),$N206,""),
     unit_details[Sqft],$P206,
     unit_details[Property Name],$F206)
 ),"")</f>
        <v/>
      </c>
      <c r="Z206" s="27" t="str">
        <f t="shared" si="44"/>
        <v/>
      </c>
      <c r="AA206" s="526">
        <f>IFERROR(
  IF($F206="Total",
    SUM(INDEX(AA:AA, ROW()-COUNTIF($F$6:INDEX($F:$F, ROW()-1), $F205)) : INDEX(AA:AA, ROW()-1)),
    COUNTIFS(
      unit_details[Leased Date], "&gt;="&amp;($AM$2-X$5),
      unit_details[Leased Date], "&lt;"&amp;$AM$2,
      unit_details[Beds], $L206,
      unit_details[Baths], $M206,
      unit_details[Partial Baths], IF(ISNUMBER($N206), $N206, ""),
      unit_details[Sqft],$P206,
      unit_details[Property Name], $F206
    )
  ),
"")</f>
        <v>0</v>
      </c>
      <c r="AB206" s="290">
        <f>IF($F206="Total",
SUM(INDEX(AB:AB, ROW()-COUNTIF($F$6:INDEX($F:$F, ROW()-1), $F205)) : INDEX(AB:AB, ROW()-1)),
COUNTIFS(unit_details[Active Listing?],TRUE,
          unit_details[Property Name], $F206,
          unit_details[Beds], $L206,
          unit_details[Baths], $M206,
          unit_details[Partial Baths],IF(ISNUMBER($N206),$N206,""),
          unit_details[Sqft],$P206))</f>
        <v>0</v>
      </c>
      <c r="AC206" s="27" t="str">
        <f t="shared" si="36"/>
        <v/>
      </c>
      <c r="AD206" s="293" t="str">
        <f>IFERROR(IF(AE206="","",IF($F206="Total",
SUMPRODUCT(
   INDEX(AD:AD, ROW()-COUNTIF($F$6:INDEX($F:$F, ROW()-1), $F205)) : INDEX(AD:AD, ROW()-1),
   INDEX(AB:AB, ROW()-COUNTIF($F$6:INDEX($F:$F, ROW()-1), $F205)) : INDEX(AB:AB, ROW()-1)
   )
   /SUM(INDEX(AB:AB, ROW()-COUNTIF($F$6:INDEX($F:$F, ROW()-1), $F205)) : INDEX(AB:AB, ROW()-1)),
          _xlfn.MINIFS(unit_details[Asking Rent],
          unit_details[Active Listing?],TRUE,
          unit_details[Property Name], $F206,
          unit_details[Beds], $L206,
          unit_details[Baths], $M206,
          unit_details[Partial Baths], IF(ISNUMBER($N206),$N206,""),
          unit_details[Sqft],$P206
))),"")</f>
        <v/>
      </c>
      <c r="AE206" s="5" t="str">
        <f>IFERROR(IF($F206="Total",
          SUMPRODUCT(
   INDEX(AE:AE, ROW()-COUNTIF($F$6:INDEX($F:$F, ROW()-1), $F205)) : INDEX(AE:AE, ROW()-1),
   INDEX(AB:AB, ROW()-COUNTIF($F$6:INDEX($F:$F, ROW()-1), $F205)) : INDEX(AB:AB, ROW()-1)
   )
   /SUM(INDEX(AB:AB, ROW()-COUNTIF($F$6:INDEX($F:$F, ROW()-1), $F205)) : INDEX(AB:AB, ROW()-1)),
          AVERAGEIFS(unit_details[Asking Rent],
          unit_details[Active Listing?],TRUE,
          unit_details[Property Name], $F206,
          unit_details[Beds], $L206,
          unit_details[Baths], $M206,
          unit_details[Partial Baths], IF(ISNUMBER($N206),$N206,""),
          unit_details[Sqft],$P206
)),"")</f>
        <v/>
      </c>
      <c r="AF206" s="5" t="str">
        <f>IFERROR(IF(AE206="","",IF($F206="Total",
SUMPRODUCT(
   INDEX(AF:AF, ROW()-COUNTIF($F$6:INDEX($F:$F, ROW()-1), $F205)) : INDEX(AF:AF, ROW()-1),
   INDEX(AB:AB, ROW()-COUNTIF($F$6:INDEX($F:$F, ROW()-1), $F205)) : INDEX(AB:AB, ROW()-1)
   )
   /SUM(INDEX(AB:AB, ROW()-COUNTIF($F$6:INDEX($F:$F, ROW()-1), $F205)) : INDEX(AB:AB, ROW()-1)),
           _xlfn.MAXIFS(unit_details[Asking Rent],
          unit_details[Active Listing?],TRUE,
          unit_details[Property Name], $F206,
          unit_details[Beds], $L206,
          unit_details[Baths], $M206,
          unit_details[Partial Baths], IF(ISNUMBER($N206),$N206,""),
          unit_details[Sqft],$P206
))),"")</f>
        <v/>
      </c>
      <c r="AG206" s="6" t="str">
        <f>IFERROR(IF($F206="Total",
         SUMPRODUCT(
         INDEX(AG:AG, ROW()-COUNTIF($F$6:INDEX($F:$F, ROW()-1), $F205)) : INDEX(AG:AG, ROW()-1),
         INDEX(AB:AB, ROW()-COUNTIF($F$6:INDEX($F:$F, ROW()-1), $F205)) : INDEX(AB:AB, ROW()-1)
         )
         /SUM(INDEX(AB:AB, ROW()-COUNTIF($F$6:INDEX($F:$F, ROW()-1), $F205)) : INDEX(AB:AB, ROW()-1)),
          AVERAGEIFS(unit_details[Asking PSF],
          unit_details[Active Listing?],TRUE,
          unit_details[Property Name], $F206,
          unit_details[Beds], $L206,
          unit_details[Baths], $M206,
          unit_details[Partial Baths], IF(ISNUMBER($N206),$N206,""),
          unit_details[Sqft],$P206
)),"")</f>
        <v/>
      </c>
      <c r="AH206" s="293" t="str">
        <f>IFERROR(IF($F206="Total",
         SUMPRODUCT(
         INDEX(AH:AH, ROW()-COUNTIF($F$6:INDEX($F:$F, ROW()-1), $F205)) : INDEX(AH:AH, ROW()-1),
         INDEX(AB:AB, ROW()-COUNTIF($F$6:INDEX($F:$F, ROW()-1), $F205)) : INDEX(AB:AB, ROW()-1)
         )
         /SUM(INDEX(AB:AB, ROW()-COUNTIF($F$6:INDEX($F:$F, ROW()-1), $F205)) : INDEX(AB:AB, ROW()-1)),
          AVERAGEIFS(unit_details[Effective Rent],
          unit_details[Active Listing?],TRUE,
          unit_details[Property Name], $F206,
          unit_details[Beds], $L206,
          unit_details[Baths], $M206,
          unit_details[Partial Baths], IF(ISNUMBER($N206),$N206,""),
          unit_details[Sqft],$P206
)),"")</f>
        <v/>
      </c>
      <c r="AI206" s="6" t="str">
        <f>IFERROR(IF($F206="Total",
         SUMPRODUCT(
         INDEX(AI:AI, ROW()-COUNTIF($F$6:INDEX($F:$F, ROW()-1), $F205)) : INDEX(AI:AI, ROW()-1),
         INDEX(AB:AB, ROW()-COUNTIF($F$6:INDEX($F:$F, ROW()-1), $F205)) : INDEX(AB:AB, ROW()-1)
         )
         /SUM(INDEX(AB:AB, ROW()-COUNTIF($F$6:INDEX($F:$F, ROW()-1), $F205)) : INDEX(AB:AB, ROW()-1)),
           AVERAGEIFS(unit_details[Effective PSF],
          unit_details[Active Listing?],TRUE,
          unit_details[Property Name], $F206,
          unit_details[Beds], $L206,
          unit_details[Baths], $M206,
          unit_details[Partial Baths], IF(ISNUMBER($N206),$N206,""),
          unit_details[Sqft],$P206
)),"")</f>
        <v/>
      </c>
      <c r="AJ206" s="824" t="str">
        <f t="shared" si="37"/>
        <v/>
      </c>
      <c r="AK206" s="531" t="str">
        <f t="shared" si="38"/>
        <v/>
      </c>
      <c r="AL206" s="714" t="str">
        <f t="shared" si="39"/>
        <v/>
      </c>
      <c r="AM206" s="531" t="str">
        <f t="shared" si="40"/>
        <v/>
      </c>
      <c r="AN206" s="716" t="str">
        <f t="shared" si="41"/>
        <v/>
      </c>
    </row>
    <row r="207" spans="5:40" x14ac:dyDescent="0.2">
      <c r="F207" s="1" t="str">
        <f t="shared" si="34"/>
        <v/>
      </c>
      <c r="G207" s="713" t="str">
        <f t="shared" si="42"/>
        <v/>
      </c>
      <c r="H207" s="17" t="str">
        <f>IFERROR(VLOOKUP($G207,Table1[[Property]:[Exposure %]],4,0),"")</f>
        <v/>
      </c>
      <c r="I207" s="3" t="str">
        <f>IFERROR(VLOOKUP($G207,Table1[[Property]:[Exposure %]],6,0),"")</f>
        <v/>
      </c>
      <c r="J207" s="3" t="str">
        <f>IFERROR(VLOOKUP($G207,Table1[[Property]:[Exposure %]],7,0),"")</f>
        <v/>
      </c>
      <c r="K207"/>
      <c r="L207"/>
      <c r="M207"/>
      <c r="N207"/>
      <c r="O207"/>
      <c r="P207"/>
      <c r="Q207"/>
      <c r="R207" s="4" t="str">
        <f>IFERROR(VLOOKUP(IF(F207="Total",F206,F207),Table1[[Property]:['# Units]],7,0)*S207,"")</f>
        <v/>
      </c>
      <c r="S207" s="27" t="str">
        <f t="shared" si="35"/>
        <v/>
      </c>
      <c r="T207" s="531" t="str">
        <f>IFERROR(
 IF($F207="Total",
   SUMPRODUCT(
   INDEX(T:T, ROW()-COUNTIF($F$6:INDEX($F:$F, ROW()-1), $F206)) : INDEX(T:T, ROW()-1),
   INDEX(W:W, ROW()-COUNTIF($F$6:INDEX($F:$F, ROW()-1), $F206)) : INDEX(W:W, ROW()-1)
   )
   /SUM(INDEX(W:W, ROW()-COUNTIF($F$6:INDEX($F:$F, ROW()-1), $F206)) : INDEX(W:W, ROW()-1)),
   AVERAGEIFS(
     INDEX((unit_details[Asking Rent],unit_details[Asking PSF]),0,1,IF($U$3="Chunk Rent",1,2)),
     unit_details[Leased Date],"&gt;="&amp;($AM$2-T$5),
     unit_details[Leased Date],"&lt;"&amp;$AM$2,
     unit_details[Beds],$L207,
     unit_details[Baths],$M207,
     unit_details[Partial Baths],IF(ISNUMBER($N207),$N207,""),
     unit_details[Sqft],$P207,
     unit_details[Property Name],$F207)
 ),"")</f>
        <v/>
      </c>
      <c r="U207" s="552" t="str">
        <f>IFERROR(
 IF($F207="Total",
   SUMPRODUCT(
   INDEX(U:U, ROW()-COUNTIF($F$6:INDEX($F:$F, ROW()-1), $F206)) : INDEX(U:U, ROW()-1),
   INDEX(W:W, ROW()-COUNTIF($F$6:INDEX($F:$F, ROW()-1), $F206)) : INDEX(W:W, ROW()-1)
   )
   /SUM(INDEX(W:W, ROW()-COUNTIF($F$6:INDEX($F:$F, ROW()-1), $F206)) : INDEX(W:W, ROW()-1)),
   AVERAGEIFS(
     INDEX((unit_details[Effective Rent],unit_details[Effective PSF]),0,1,IF($U$3="Chunk Rent",1,2)),
     unit_details[Leased Date],"&gt;="&amp;($AM$2-T$5),
     unit_details[Leased Date],"&lt;"&amp;$AM$2,
     unit_details[Beds],$L207,
     unit_details[Baths],$M207,
     unit_details[Partial Baths],IF(ISNUMBER($N207),$N207,""),
     unit_details[Sqft],$P207,
     unit_details[Property Name],$F207)
 ),"")</f>
        <v/>
      </c>
      <c r="V207" s="27" t="str">
        <f t="shared" si="43"/>
        <v/>
      </c>
      <c r="W207" s="526">
        <f>IFERROR(
  IF($F207="Total",
    SUM(INDEX(W:W, ROW()-COUNTIF($F$6:INDEX($F:$F, ROW()-1), $F206)) : INDEX(W:W, ROW()-1)),
    COUNTIFS(
      unit_details[Leased Date], "&gt;="&amp;($AM$2-T$5),
      unit_details[Leased Date], "&lt;"&amp;$AM$2,
      unit_details[Beds], $L207,
      unit_details[Baths], $M207,
      unit_details[Partial Baths], IF(ISNUMBER($N207), $N207, ""),
      unit_details[Sqft],$P207,
      unit_details[Property Name], $F207
    )
  ),
"")</f>
        <v>0</v>
      </c>
      <c r="X207" s="531" t="str">
        <f>IFERROR(
 IF($F207="Total",
   SUMPRODUCT(
   INDEX(X:X, ROW()-COUNTIF($F$6:INDEX($F:$F, ROW()-1), $F206)) : INDEX(X:X, ROW()-1),
   INDEX(AA:AA, ROW()-COUNTIF($F$6:INDEX($F:$F, ROW()-1), $F206)) : INDEX(AA:AA, ROW()-1)
   )
   /SUM(INDEX(AA:AA, ROW()-COUNTIF($F$6:INDEX($F:$F, ROW()-1), $F206)) : INDEX(AA:AA, ROW()-1)),
   AVERAGEIFS(
     INDEX((unit_details[Asking Rent],unit_details[Asking PSF]),0,1,IF($U$3="Chunk Rent",1,2)),
     unit_details[Leased Date],"&gt;="&amp;($AM$2-X$5),
     unit_details[Leased Date],"&lt;"&amp;$AM$2,
     unit_details[Beds],$L207,
     unit_details[Baths],$M207,
     unit_details[Partial Baths],IF(ISNUMBER($N207),$N207,""),
     unit_details[Sqft],$P207,
     unit_details[Property Name],$F207)
 ),"")</f>
        <v/>
      </c>
      <c r="Y207" s="552" t="str">
        <f>IFERROR(
 IF($F207="Total",
   SUMPRODUCT(
   INDEX(Y:Y, ROW()-COUNTIF($F$6:INDEX($F:$F, ROW()-1), $F206)) : INDEX(Y:Y, ROW()-1),
   INDEX(AA:AA, ROW()-COUNTIF($F$6:INDEX($F:$F, ROW()-1), $F206)) : INDEX(AA:AA, ROW()-1)
   )
   /SUM(INDEX(AA:AA, ROW()-COUNTIF($F$6:INDEX($F:$F, ROW()-1), $F206)) : INDEX(AA:AA, ROW()-1)),
   AVERAGEIFS(
     INDEX((unit_details[Effective Rent],unit_details[Effective PSF]),0,1,IF($U$3="Chunk Rent",1,2)),
     unit_details[Leased Date],"&gt;="&amp;($AM$2-X$5),
     unit_details[Leased Date],"&lt;"&amp;$AM$2,
     unit_details[Beds],$L207,
     unit_details[Baths],$M207,
     unit_details[Partial Baths],IF(ISNUMBER($N207),$N207,""),
     unit_details[Sqft],$P207,
     unit_details[Property Name],$F207)
 ),"")</f>
        <v/>
      </c>
      <c r="Z207" s="27" t="str">
        <f t="shared" si="44"/>
        <v/>
      </c>
      <c r="AA207" s="526">
        <f>IFERROR(
  IF($F207="Total",
    SUM(INDEX(AA:AA, ROW()-COUNTIF($F$6:INDEX($F:$F, ROW()-1), $F206)) : INDEX(AA:AA, ROW()-1)),
    COUNTIFS(
      unit_details[Leased Date], "&gt;="&amp;($AM$2-X$5),
      unit_details[Leased Date], "&lt;"&amp;$AM$2,
      unit_details[Beds], $L207,
      unit_details[Baths], $M207,
      unit_details[Partial Baths], IF(ISNUMBER($N207), $N207, ""),
      unit_details[Sqft],$P207,
      unit_details[Property Name], $F207
    )
  ),
"")</f>
        <v>0</v>
      </c>
      <c r="AB207" s="290">
        <f>IF($F207="Total",
SUM(INDEX(AB:AB, ROW()-COUNTIF($F$6:INDEX($F:$F, ROW()-1), $F206)) : INDEX(AB:AB, ROW()-1)),
COUNTIFS(unit_details[Active Listing?],TRUE,
          unit_details[Property Name], $F207,
          unit_details[Beds], $L207,
          unit_details[Baths], $M207,
          unit_details[Partial Baths],IF(ISNUMBER($N207),$N207,""),
          unit_details[Sqft],$P207))</f>
        <v>0</v>
      </c>
      <c r="AC207" s="27" t="str">
        <f t="shared" si="36"/>
        <v/>
      </c>
      <c r="AD207" s="293" t="str">
        <f>IFERROR(IF(AE207="","",IF($F207="Total",
SUMPRODUCT(
   INDEX(AD:AD, ROW()-COUNTIF($F$6:INDEX($F:$F, ROW()-1), $F206)) : INDEX(AD:AD, ROW()-1),
   INDEX(AB:AB, ROW()-COUNTIF($F$6:INDEX($F:$F, ROW()-1), $F206)) : INDEX(AB:AB, ROW()-1)
   )
   /SUM(INDEX(AB:AB, ROW()-COUNTIF($F$6:INDEX($F:$F, ROW()-1), $F206)) : INDEX(AB:AB, ROW()-1)),
          _xlfn.MINIFS(unit_details[Asking Rent],
          unit_details[Active Listing?],TRUE,
          unit_details[Property Name], $F207,
          unit_details[Beds], $L207,
          unit_details[Baths], $M207,
          unit_details[Partial Baths], IF(ISNUMBER($N207),$N207,""),
          unit_details[Sqft],$P207
))),"")</f>
        <v/>
      </c>
      <c r="AE207" s="5" t="str">
        <f>IFERROR(IF($F207="Total",
          SUMPRODUCT(
   INDEX(AE:AE, ROW()-COUNTIF($F$6:INDEX($F:$F, ROW()-1), $F206)) : INDEX(AE:AE, ROW()-1),
   INDEX(AB:AB, ROW()-COUNTIF($F$6:INDEX($F:$F, ROW()-1), $F206)) : INDEX(AB:AB, ROW()-1)
   )
   /SUM(INDEX(AB:AB, ROW()-COUNTIF($F$6:INDEX($F:$F, ROW()-1), $F206)) : INDEX(AB:AB, ROW()-1)),
          AVERAGEIFS(unit_details[Asking Rent],
          unit_details[Active Listing?],TRUE,
          unit_details[Property Name], $F207,
          unit_details[Beds], $L207,
          unit_details[Baths], $M207,
          unit_details[Partial Baths], IF(ISNUMBER($N207),$N207,""),
          unit_details[Sqft],$P207
)),"")</f>
        <v/>
      </c>
      <c r="AF207" s="5" t="str">
        <f>IFERROR(IF(AE207="","",IF($F207="Total",
SUMPRODUCT(
   INDEX(AF:AF, ROW()-COUNTIF($F$6:INDEX($F:$F, ROW()-1), $F206)) : INDEX(AF:AF, ROW()-1),
   INDEX(AB:AB, ROW()-COUNTIF($F$6:INDEX($F:$F, ROW()-1), $F206)) : INDEX(AB:AB, ROW()-1)
   )
   /SUM(INDEX(AB:AB, ROW()-COUNTIF($F$6:INDEX($F:$F, ROW()-1), $F206)) : INDEX(AB:AB, ROW()-1)),
           _xlfn.MAXIFS(unit_details[Asking Rent],
          unit_details[Active Listing?],TRUE,
          unit_details[Property Name], $F207,
          unit_details[Beds], $L207,
          unit_details[Baths], $M207,
          unit_details[Partial Baths], IF(ISNUMBER($N207),$N207,""),
          unit_details[Sqft],$P207
))),"")</f>
        <v/>
      </c>
      <c r="AG207" s="6" t="str">
        <f>IFERROR(IF($F207="Total",
         SUMPRODUCT(
         INDEX(AG:AG, ROW()-COUNTIF($F$6:INDEX($F:$F, ROW()-1), $F206)) : INDEX(AG:AG, ROW()-1),
         INDEX(AB:AB, ROW()-COUNTIF($F$6:INDEX($F:$F, ROW()-1), $F206)) : INDEX(AB:AB, ROW()-1)
         )
         /SUM(INDEX(AB:AB, ROW()-COUNTIF($F$6:INDEX($F:$F, ROW()-1), $F206)) : INDEX(AB:AB, ROW()-1)),
          AVERAGEIFS(unit_details[Asking PSF],
          unit_details[Active Listing?],TRUE,
          unit_details[Property Name], $F207,
          unit_details[Beds], $L207,
          unit_details[Baths], $M207,
          unit_details[Partial Baths], IF(ISNUMBER($N207),$N207,""),
          unit_details[Sqft],$P207
)),"")</f>
        <v/>
      </c>
      <c r="AH207" s="293" t="str">
        <f>IFERROR(IF($F207="Total",
         SUMPRODUCT(
         INDEX(AH:AH, ROW()-COUNTIF($F$6:INDEX($F:$F, ROW()-1), $F206)) : INDEX(AH:AH, ROW()-1),
         INDEX(AB:AB, ROW()-COUNTIF($F$6:INDEX($F:$F, ROW()-1), $F206)) : INDEX(AB:AB, ROW()-1)
         )
         /SUM(INDEX(AB:AB, ROW()-COUNTIF($F$6:INDEX($F:$F, ROW()-1), $F206)) : INDEX(AB:AB, ROW()-1)),
          AVERAGEIFS(unit_details[Effective Rent],
          unit_details[Active Listing?],TRUE,
          unit_details[Property Name], $F207,
          unit_details[Beds], $L207,
          unit_details[Baths], $M207,
          unit_details[Partial Baths], IF(ISNUMBER($N207),$N207,""),
          unit_details[Sqft],$P207
)),"")</f>
        <v/>
      </c>
      <c r="AI207" s="6" t="str">
        <f>IFERROR(IF($F207="Total",
         SUMPRODUCT(
         INDEX(AI:AI, ROW()-COUNTIF($F$6:INDEX($F:$F, ROW()-1), $F206)) : INDEX(AI:AI, ROW()-1),
         INDEX(AB:AB, ROW()-COUNTIF($F$6:INDEX($F:$F, ROW()-1), $F206)) : INDEX(AB:AB, ROW()-1)
         )
         /SUM(INDEX(AB:AB, ROW()-COUNTIF($F$6:INDEX($F:$F, ROW()-1), $F206)) : INDEX(AB:AB, ROW()-1)),
           AVERAGEIFS(unit_details[Effective PSF],
          unit_details[Active Listing?],TRUE,
          unit_details[Property Name], $F207,
          unit_details[Beds], $L207,
          unit_details[Baths], $M207,
          unit_details[Partial Baths], IF(ISNUMBER($N207),$N207,""),
          unit_details[Sqft],$P207
)),"")</f>
        <v/>
      </c>
      <c r="AJ207" s="824" t="str">
        <f t="shared" si="37"/>
        <v/>
      </c>
      <c r="AK207" s="531" t="str">
        <f t="shared" si="38"/>
        <v/>
      </c>
      <c r="AL207" s="714" t="str">
        <f t="shared" si="39"/>
        <v/>
      </c>
      <c r="AM207" s="531" t="str">
        <f t="shared" si="40"/>
        <v/>
      </c>
      <c r="AN207" s="716" t="str">
        <f t="shared" si="41"/>
        <v/>
      </c>
    </row>
    <row r="208" spans="5:40" x14ac:dyDescent="0.2">
      <c r="F208" s="1" t="str">
        <f t="shared" si="34"/>
        <v/>
      </c>
      <c r="G208" s="713" t="str">
        <f t="shared" si="42"/>
        <v/>
      </c>
      <c r="H208" s="17" t="str">
        <f>IFERROR(VLOOKUP($G208,Table1[[Property]:[Exposure %]],4,0),"")</f>
        <v/>
      </c>
      <c r="I208" s="3" t="str">
        <f>IFERROR(VLOOKUP($G208,Table1[[Property]:[Exposure %]],6,0),"")</f>
        <v/>
      </c>
      <c r="J208" s="3" t="str">
        <f>IFERROR(VLOOKUP($G208,Table1[[Property]:[Exposure %]],7,0),"")</f>
        <v/>
      </c>
      <c r="K208"/>
      <c r="L208"/>
      <c r="M208"/>
      <c r="N208"/>
      <c r="O208"/>
      <c r="P208"/>
      <c r="Q208"/>
      <c r="R208" s="4" t="str">
        <f>IFERROR(VLOOKUP(IF(F208="Total",F207,F208),Table1[[Property]:['# Units]],7,0)*S208,"")</f>
        <v/>
      </c>
      <c r="S208" s="27" t="str">
        <f t="shared" si="35"/>
        <v/>
      </c>
      <c r="T208" s="531" t="str">
        <f>IFERROR(
 IF($F208="Total",
   SUMPRODUCT(
   INDEX(T:T, ROW()-COUNTIF($F$6:INDEX($F:$F, ROW()-1), $F207)) : INDEX(T:T, ROW()-1),
   INDEX(W:W, ROW()-COUNTIF($F$6:INDEX($F:$F, ROW()-1), $F207)) : INDEX(W:W, ROW()-1)
   )
   /SUM(INDEX(W:W, ROW()-COUNTIF($F$6:INDEX($F:$F, ROW()-1), $F207)) : INDEX(W:W, ROW()-1)),
   AVERAGEIFS(
     INDEX((unit_details[Asking Rent],unit_details[Asking PSF]),0,1,IF($U$3="Chunk Rent",1,2)),
     unit_details[Leased Date],"&gt;="&amp;($AM$2-T$5),
     unit_details[Leased Date],"&lt;"&amp;$AM$2,
     unit_details[Beds],$L208,
     unit_details[Baths],$M208,
     unit_details[Partial Baths],IF(ISNUMBER($N208),$N208,""),
     unit_details[Sqft],$P208,
     unit_details[Property Name],$F208)
 ),"")</f>
        <v/>
      </c>
      <c r="U208" s="552" t="str">
        <f>IFERROR(
 IF($F208="Total",
   SUMPRODUCT(
   INDEX(U:U, ROW()-COUNTIF($F$6:INDEX($F:$F, ROW()-1), $F207)) : INDEX(U:U, ROW()-1),
   INDEX(W:W, ROW()-COUNTIF($F$6:INDEX($F:$F, ROW()-1), $F207)) : INDEX(W:W, ROW()-1)
   )
   /SUM(INDEX(W:W, ROW()-COUNTIF($F$6:INDEX($F:$F, ROW()-1), $F207)) : INDEX(W:W, ROW()-1)),
   AVERAGEIFS(
     INDEX((unit_details[Effective Rent],unit_details[Effective PSF]),0,1,IF($U$3="Chunk Rent",1,2)),
     unit_details[Leased Date],"&gt;="&amp;($AM$2-T$5),
     unit_details[Leased Date],"&lt;"&amp;$AM$2,
     unit_details[Beds],$L208,
     unit_details[Baths],$M208,
     unit_details[Partial Baths],IF(ISNUMBER($N208),$N208,""),
     unit_details[Sqft],$P208,
     unit_details[Property Name],$F208)
 ),"")</f>
        <v/>
      </c>
      <c r="V208" s="27" t="str">
        <f t="shared" si="43"/>
        <v/>
      </c>
      <c r="W208" s="526">
        <f>IFERROR(
  IF($F208="Total",
    SUM(INDEX(W:W, ROW()-COUNTIF($F$6:INDEX($F:$F, ROW()-1), $F207)) : INDEX(W:W, ROW()-1)),
    COUNTIFS(
      unit_details[Leased Date], "&gt;="&amp;($AM$2-T$5),
      unit_details[Leased Date], "&lt;"&amp;$AM$2,
      unit_details[Beds], $L208,
      unit_details[Baths], $M208,
      unit_details[Partial Baths], IF(ISNUMBER($N208), $N208, ""),
      unit_details[Sqft],$P208,
      unit_details[Property Name], $F208
    )
  ),
"")</f>
        <v>0</v>
      </c>
      <c r="X208" s="531" t="str">
        <f>IFERROR(
 IF($F208="Total",
   SUMPRODUCT(
   INDEX(X:X, ROW()-COUNTIF($F$6:INDEX($F:$F, ROW()-1), $F207)) : INDEX(X:X, ROW()-1),
   INDEX(AA:AA, ROW()-COUNTIF($F$6:INDEX($F:$F, ROW()-1), $F207)) : INDEX(AA:AA, ROW()-1)
   )
   /SUM(INDEX(AA:AA, ROW()-COUNTIF($F$6:INDEX($F:$F, ROW()-1), $F207)) : INDEX(AA:AA, ROW()-1)),
   AVERAGEIFS(
     INDEX((unit_details[Asking Rent],unit_details[Asking PSF]),0,1,IF($U$3="Chunk Rent",1,2)),
     unit_details[Leased Date],"&gt;="&amp;($AM$2-X$5),
     unit_details[Leased Date],"&lt;"&amp;$AM$2,
     unit_details[Beds],$L208,
     unit_details[Baths],$M208,
     unit_details[Partial Baths],IF(ISNUMBER($N208),$N208,""),
     unit_details[Sqft],$P208,
     unit_details[Property Name],$F208)
 ),"")</f>
        <v/>
      </c>
      <c r="Y208" s="552" t="str">
        <f>IFERROR(
 IF($F208="Total",
   SUMPRODUCT(
   INDEX(Y:Y, ROW()-COUNTIF($F$6:INDEX($F:$F, ROW()-1), $F207)) : INDEX(Y:Y, ROW()-1),
   INDEX(AA:AA, ROW()-COUNTIF($F$6:INDEX($F:$F, ROW()-1), $F207)) : INDEX(AA:AA, ROW()-1)
   )
   /SUM(INDEX(AA:AA, ROW()-COUNTIF($F$6:INDEX($F:$F, ROW()-1), $F207)) : INDEX(AA:AA, ROW()-1)),
   AVERAGEIFS(
     INDEX((unit_details[Effective Rent],unit_details[Effective PSF]),0,1,IF($U$3="Chunk Rent",1,2)),
     unit_details[Leased Date],"&gt;="&amp;($AM$2-X$5),
     unit_details[Leased Date],"&lt;"&amp;$AM$2,
     unit_details[Beds],$L208,
     unit_details[Baths],$M208,
     unit_details[Partial Baths],IF(ISNUMBER($N208),$N208,""),
     unit_details[Sqft],$P208,
     unit_details[Property Name],$F208)
 ),"")</f>
        <v/>
      </c>
      <c r="Z208" s="27" t="str">
        <f t="shared" si="44"/>
        <v/>
      </c>
      <c r="AA208" s="526">
        <f>IFERROR(
  IF($F208="Total",
    SUM(INDEX(AA:AA, ROW()-COUNTIF($F$6:INDEX($F:$F, ROW()-1), $F207)) : INDEX(AA:AA, ROW()-1)),
    COUNTIFS(
      unit_details[Leased Date], "&gt;="&amp;($AM$2-X$5),
      unit_details[Leased Date], "&lt;"&amp;$AM$2,
      unit_details[Beds], $L208,
      unit_details[Baths], $M208,
      unit_details[Partial Baths], IF(ISNUMBER($N208), $N208, ""),
      unit_details[Sqft],$P208,
      unit_details[Property Name], $F208
    )
  ),
"")</f>
        <v>0</v>
      </c>
      <c r="AB208" s="290">
        <f>IF($F208="Total",
SUM(INDEX(AB:AB, ROW()-COUNTIF($F$6:INDEX($F:$F, ROW()-1), $F207)) : INDEX(AB:AB, ROW()-1)),
COUNTIFS(unit_details[Active Listing?],TRUE,
          unit_details[Property Name], $F208,
          unit_details[Beds], $L208,
          unit_details[Baths], $M208,
          unit_details[Partial Baths],IF(ISNUMBER($N208),$N208,""),
          unit_details[Sqft],$P208))</f>
        <v>0</v>
      </c>
      <c r="AC208" s="27" t="str">
        <f t="shared" si="36"/>
        <v/>
      </c>
      <c r="AD208" s="293" t="str">
        <f>IFERROR(IF(AE208="","",IF($F208="Total",
SUMPRODUCT(
   INDEX(AD:AD, ROW()-COUNTIF($F$6:INDEX($F:$F, ROW()-1), $F207)) : INDEX(AD:AD, ROW()-1),
   INDEX(AB:AB, ROW()-COUNTIF($F$6:INDEX($F:$F, ROW()-1), $F207)) : INDEX(AB:AB, ROW()-1)
   )
   /SUM(INDEX(AB:AB, ROW()-COUNTIF($F$6:INDEX($F:$F, ROW()-1), $F207)) : INDEX(AB:AB, ROW()-1)),
          _xlfn.MINIFS(unit_details[Asking Rent],
          unit_details[Active Listing?],TRUE,
          unit_details[Property Name], $F208,
          unit_details[Beds], $L208,
          unit_details[Baths], $M208,
          unit_details[Partial Baths], IF(ISNUMBER($N208),$N208,""),
          unit_details[Sqft],$P208
))),"")</f>
        <v/>
      </c>
      <c r="AE208" s="5" t="str">
        <f>IFERROR(IF($F208="Total",
          SUMPRODUCT(
   INDEX(AE:AE, ROW()-COUNTIF($F$6:INDEX($F:$F, ROW()-1), $F207)) : INDEX(AE:AE, ROW()-1),
   INDEX(AB:AB, ROW()-COUNTIF($F$6:INDEX($F:$F, ROW()-1), $F207)) : INDEX(AB:AB, ROW()-1)
   )
   /SUM(INDEX(AB:AB, ROW()-COUNTIF($F$6:INDEX($F:$F, ROW()-1), $F207)) : INDEX(AB:AB, ROW()-1)),
          AVERAGEIFS(unit_details[Asking Rent],
          unit_details[Active Listing?],TRUE,
          unit_details[Property Name], $F208,
          unit_details[Beds], $L208,
          unit_details[Baths], $M208,
          unit_details[Partial Baths], IF(ISNUMBER($N208),$N208,""),
          unit_details[Sqft],$P208
)),"")</f>
        <v/>
      </c>
      <c r="AF208" s="5" t="str">
        <f>IFERROR(IF(AE208="","",IF($F208="Total",
SUMPRODUCT(
   INDEX(AF:AF, ROW()-COUNTIF($F$6:INDEX($F:$F, ROW()-1), $F207)) : INDEX(AF:AF, ROW()-1),
   INDEX(AB:AB, ROW()-COUNTIF($F$6:INDEX($F:$F, ROW()-1), $F207)) : INDEX(AB:AB, ROW()-1)
   )
   /SUM(INDEX(AB:AB, ROW()-COUNTIF($F$6:INDEX($F:$F, ROW()-1), $F207)) : INDEX(AB:AB, ROW()-1)),
           _xlfn.MAXIFS(unit_details[Asking Rent],
          unit_details[Active Listing?],TRUE,
          unit_details[Property Name], $F208,
          unit_details[Beds], $L208,
          unit_details[Baths], $M208,
          unit_details[Partial Baths], IF(ISNUMBER($N208),$N208,""),
          unit_details[Sqft],$P208
))),"")</f>
        <v/>
      </c>
      <c r="AG208" s="6" t="str">
        <f>IFERROR(IF($F208="Total",
         SUMPRODUCT(
         INDEX(AG:AG, ROW()-COUNTIF($F$6:INDEX($F:$F, ROW()-1), $F207)) : INDEX(AG:AG, ROW()-1),
         INDEX(AB:AB, ROW()-COUNTIF($F$6:INDEX($F:$F, ROW()-1), $F207)) : INDEX(AB:AB, ROW()-1)
         )
         /SUM(INDEX(AB:AB, ROW()-COUNTIF($F$6:INDEX($F:$F, ROW()-1), $F207)) : INDEX(AB:AB, ROW()-1)),
          AVERAGEIFS(unit_details[Asking PSF],
          unit_details[Active Listing?],TRUE,
          unit_details[Property Name], $F208,
          unit_details[Beds], $L208,
          unit_details[Baths], $M208,
          unit_details[Partial Baths], IF(ISNUMBER($N208),$N208,""),
          unit_details[Sqft],$P208
)),"")</f>
        <v/>
      </c>
      <c r="AH208" s="293" t="str">
        <f>IFERROR(IF($F208="Total",
         SUMPRODUCT(
         INDEX(AH:AH, ROW()-COUNTIF($F$6:INDEX($F:$F, ROW()-1), $F207)) : INDEX(AH:AH, ROW()-1),
         INDEX(AB:AB, ROW()-COUNTIF($F$6:INDEX($F:$F, ROW()-1), $F207)) : INDEX(AB:AB, ROW()-1)
         )
         /SUM(INDEX(AB:AB, ROW()-COUNTIF($F$6:INDEX($F:$F, ROW()-1), $F207)) : INDEX(AB:AB, ROW()-1)),
          AVERAGEIFS(unit_details[Effective Rent],
          unit_details[Active Listing?],TRUE,
          unit_details[Property Name], $F208,
          unit_details[Beds], $L208,
          unit_details[Baths], $M208,
          unit_details[Partial Baths], IF(ISNUMBER($N208),$N208,""),
          unit_details[Sqft],$P208
)),"")</f>
        <v/>
      </c>
      <c r="AI208" s="6" t="str">
        <f>IFERROR(IF($F208="Total",
         SUMPRODUCT(
         INDEX(AI:AI, ROW()-COUNTIF($F$6:INDEX($F:$F, ROW()-1), $F207)) : INDEX(AI:AI, ROW()-1),
         INDEX(AB:AB, ROW()-COUNTIF($F$6:INDEX($F:$F, ROW()-1), $F207)) : INDEX(AB:AB, ROW()-1)
         )
         /SUM(INDEX(AB:AB, ROW()-COUNTIF($F$6:INDEX($F:$F, ROW()-1), $F207)) : INDEX(AB:AB, ROW()-1)),
           AVERAGEIFS(unit_details[Effective PSF],
          unit_details[Active Listing?],TRUE,
          unit_details[Property Name], $F208,
          unit_details[Beds], $L208,
          unit_details[Baths], $M208,
          unit_details[Partial Baths], IF(ISNUMBER($N208),$N208,""),
          unit_details[Sqft],$P208
)),"")</f>
        <v/>
      </c>
      <c r="AJ208" s="824" t="str">
        <f t="shared" si="37"/>
        <v/>
      </c>
      <c r="AK208" s="531" t="str">
        <f t="shared" si="38"/>
        <v/>
      </c>
      <c r="AL208" s="714" t="str">
        <f t="shared" si="39"/>
        <v/>
      </c>
      <c r="AM208" s="531" t="str">
        <f t="shared" si="40"/>
        <v/>
      </c>
      <c r="AN208" s="716" t="str">
        <f t="shared" si="41"/>
        <v/>
      </c>
    </row>
    <row r="209" spans="6:40" x14ac:dyDescent="0.2">
      <c r="F209" s="1" t="str">
        <f t="shared" si="34"/>
        <v/>
      </c>
      <c r="G209" s="713" t="str">
        <f t="shared" si="42"/>
        <v/>
      </c>
      <c r="H209" s="17" t="str">
        <f>IFERROR(VLOOKUP($G209,Table1[[Property]:[Exposure %]],4,0),"")</f>
        <v/>
      </c>
      <c r="I209" s="3" t="str">
        <f>IFERROR(VLOOKUP($G209,Table1[[Property]:[Exposure %]],6,0),"")</f>
        <v/>
      </c>
      <c r="J209" s="3" t="str">
        <f>IFERROR(VLOOKUP($G209,Table1[[Property]:[Exposure %]],7,0),"")</f>
        <v/>
      </c>
      <c r="K209"/>
      <c r="L209"/>
      <c r="M209"/>
      <c r="N209"/>
      <c r="O209"/>
      <c r="P209"/>
      <c r="Q209"/>
      <c r="R209" s="4" t="str">
        <f>IFERROR(VLOOKUP(IF(F209="Total",F208,F209),Table1[[Property]:['# Units]],7,0)*S209,"")</f>
        <v/>
      </c>
      <c r="S209" s="27" t="str">
        <f t="shared" si="35"/>
        <v/>
      </c>
      <c r="T209" s="531" t="str">
        <f>IFERROR(
 IF($F209="Total",
   SUMPRODUCT(
   INDEX(T:T, ROW()-COUNTIF($F$6:INDEX($F:$F, ROW()-1), $F208)) : INDEX(T:T, ROW()-1),
   INDEX(W:W, ROW()-COUNTIF($F$6:INDEX($F:$F, ROW()-1), $F208)) : INDEX(W:W, ROW()-1)
   )
   /SUM(INDEX(W:W, ROW()-COUNTIF($F$6:INDEX($F:$F, ROW()-1), $F208)) : INDEX(W:W, ROW()-1)),
   AVERAGEIFS(
     INDEX((unit_details[Asking Rent],unit_details[Asking PSF]),0,1,IF($U$3="Chunk Rent",1,2)),
     unit_details[Leased Date],"&gt;="&amp;($AM$2-T$5),
     unit_details[Leased Date],"&lt;"&amp;$AM$2,
     unit_details[Beds],$L209,
     unit_details[Baths],$M209,
     unit_details[Partial Baths],IF(ISNUMBER($N209),$N209,""),
     unit_details[Sqft],$P209,
     unit_details[Property Name],$F209)
 ),"")</f>
        <v/>
      </c>
      <c r="U209" s="552" t="str">
        <f>IFERROR(
 IF($F209="Total",
   SUMPRODUCT(
   INDEX(U:U, ROW()-COUNTIF($F$6:INDEX($F:$F, ROW()-1), $F208)) : INDEX(U:U, ROW()-1),
   INDEX(W:W, ROW()-COUNTIF($F$6:INDEX($F:$F, ROW()-1), $F208)) : INDEX(W:W, ROW()-1)
   )
   /SUM(INDEX(W:W, ROW()-COUNTIF($F$6:INDEX($F:$F, ROW()-1), $F208)) : INDEX(W:W, ROW()-1)),
   AVERAGEIFS(
     INDEX((unit_details[Effective Rent],unit_details[Effective PSF]),0,1,IF($U$3="Chunk Rent",1,2)),
     unit_details[Leased Date],"&gt;="&amp;($AM$2-T$5),
     unit_details[Leased Date],"&lt;"&amp;$AM$2,
     unit_details[Beds],$L209,
     unit_details[Baths],$M209,
     unit_details[Partial Baths],IF(ISNUMBER($N209),$N209,""),
     unit_details[Sqft],$P209,
     unit_details[Property Name],$F209)
 ),"")</f>
        <v/>
      </c>
      <c r="V209" s="27" t="str">
        <f t="shared" si="43"/>
        <v/>
      </c>
      <c r="W209" s="526">
        <f>IFERROR(
  IF($F209="Total",
    SUM(INDEX(W:W, ROW()-COUNTIF($F$6:INDEX($F:$F, ROW()-1), $F208)) : INDEX(W:W, ROW()-1)),
    COUNTIFS(
      unit_details[Leased Date], "&gt;="&amp;($AM$2-T$5),
      unit_details[Leased Date], "&lt;"&amp;$AM$2,
      unit_details[Beds], $L209,
      unit_details[Baths], $M209,
      unit_details[Partial Baths], IF(ISNUMBER($N209), $N209, ""),
      unit_details[Sqft],$P209,
      unit_details[Property Name], $F209
    )
  ),
"")</f>
        <v>0</v>
      </c>
      <c r="X209" s="531" t="str">
        <f>IFERROR(
 IF($F209="Total",
   SUMPRODUCT(
   INDEX(X:X, ROW()-COUNTIF($F$6:INDEX($F:$F, ROW()-1), $F208)) : INDEX(X:X, ROW()-1),
   INDEX(AA:AA, ROW()-COUNTIF($F$6:INDEX($F:$F, ROW()-1), $F208)) : INDEX(AA:AA, ROW()-1)
   )
   /SUM(INDEX(AA:AA, ROW()-COUNTIF($F$6:INDEX($F:$F, ROW()-1), $F208)) : INDEX(AA:AA, ROW()-1)),
   AVERAGEIFS(
     INDEX((unit_details[Asking Rent],unit_details[Asking PSF]),0,1,IF($U$3="Chunk Rent",1,2)),
     unit_details[Leased Date],"&gt;="&amp;($AM$2-X$5),
     unit_details[Leased Date],"&lt;"&amp;$AM$2,
     unit_details[Beds],$L209,
     unit_details[Baths],$M209,
     unit_details[Partial Baths],IF(ISNUMBER($N209),$N209,""),
     unit_details[Sqft],$P209,
     unit_details[Property Name],$F209)
 ),"")</f>
        <v/>
      </c>
      <c r="Y209" s="552" t="str">
        <f>IFERROR(
 IF($F209="Total",
   SUMPRODUCT(
   INDEX(Y:Y, ROW()-COUNTIF($F$6:INDEX($F:$F, ROW()-1), $F208)) : INDEX(Y:Y, ROW()-1),
   INDEX(AA:AA, ROW()-COUNTIF($F$6:INDEX($F:$F, ROW()-1), $F208)) : INDEX(AA:AA, ROW()-1)
   )
   /SUM(INDEX(AA:AA, ROW()-COUNTIF($F$6:INDEX($F:$F, ROW()-1), $F208)) : INDEX(AA:AA, ROW()-1)),
   AVERAGEIFS(
     INDEX((unit_details[Effective Rent],unit_details[Effective PSF]),0,1,IF($U$3="Chunk Rent",1,2)),
     unit_details[Leased Date],"&gt;="&amp;($AM$2-X$5),
     unit_details[Leased Date],"&lt;"&amp;$AM$2,
     unit_details[Beds],$L209,
     unit_details[Baths],$M209,
     unit_details[Partial Baths],IF(ISNUMBER($N209),$N209,""),
     unit_details[Sqft],$P209,
     unit_details[Property Name],$F209)
 ),"")</f>
        <v/>
      </c>
      <c r="Z209" s="27" t="str">
        <f t="shared" si="44"/>
        <v/>
      </c>
      <c r="AA209" s="526">
        <f>IFERROR(
  IF($F209="Total",
    SUM(INDEX(AA:AA, ROW()-COUNTIF($F$6:INDEX($F:$F, ROW()-1), $F208)) : INDEX(AA:AA, ROW()-1)),
    COUNTIFS(
      unit_details[Leased Date], "&gt;="&amp;($AM$2-X$5),
      unit_details[Leased Date], "&lt;"&amp;$AM$2,
      unit_details[Beds], $L209,
      unit_details[Baths], $M209,
      unit_details[Partial Baths], IF(ISNUMBER($N209), $N209, ""),
      unit_details[Sqft],$P209,
      unit_details[Property Name], $F209
    )
  ),
"")</f>
        <v>0</v>
      </c>
      <c r="AB209" s="290">
        <f>IF($F209="Total",
SUM(INDEX(AB:AB, ROW()-COUNTIF($F$6:INDEX($F:$F, ROW()-1), $F208)) : INDEX(AB:AB, ROW()-1)),
COUNTIFS(unit_details[Active Listing?],TRUE,
          unit_details[Property Name], $F209,
          unit_details[Beds], $L209,
          unit_details[Baths], $M209,
          unit_details[Partial Baths],IF(ISNUMBER($N209),$N209,""),
          unit_details[Sqft],$P209))</f>
        <v>0</v>
      </c>
      <c r="AC209" s="27" t="str">
        <f t="shared" si="36"/>
        <v/>
      </c>
      <c r="AD209" s="293" t="str">
        <f>IFERROR(IF(AE209="","",IF($F209="Total",
SUMPRODUCT(
   INDEX(AD:AD, ROW()-COUNTIF($F$6:INDEX($F:$F, ROW()-1), $F208)) : INDEX(AD:AD, ROW()-1),
   INDEX(AB:AB, ROW()-COUNTIF($F$6:INDEX($F:$F, ROW()-1), $F208)) : INDEX(AB:AB, ROW()-1)
   )
   /SUM(INDEX(AB:AB, ROW()-COUNTIF($F$6:INDEX($F:$F, ROW()-1), $F208)) : INDEX(AB:AB, ROW()-1)),
          _xlfn.MINIFS(unit_details[Asking Rent],
          unit_details[Active Listing?],TRUE,
          unit_details[Property Name], $F209,
          unit_details[Beds], $L209,
          unit_details[Baths], $M209,
          unit_details[Partial Baths], IF(ISNUMBER($N209),$N209,""),
          unit_details[Sqft],$P209
))),"")</f>
        <v/>
      </c>
      <c r="AE209" s="5" t="str">
        <f>IFERROR(IF($F209="Total",
          SUMPRODUCT(
   INDEX(AE:AE, ROW()-COUNTIF($F$6:INDEX($F:$F, ROW()-1), $F208)) : INDEX(AE:AE, ROW()-1),
   INDEX(AB:AB, ROW()-COUNTIF($F$6:INDEX($F:$F, ROW()-1), $F208)) : INDEX(AB:AB, ROW()-1)
   )
   /SUM(INDEX(AB:AB, ROW()-COUNTIF($F$6:INDEX($F:$F, ROW()-1), $F208)) : INDEX(AB:AB, ROW()-1)),
          AVERAGEIFS(unit_details[Asking Rent],
          unit_details[Active Listing?],TRUE,
          unit_details[Property Name], $F209,
          unit_details[Beds], $L209,
          unit_details[Baths], $M209,
          unit_details[Partial Baths], IF(ISNUMBER($N209),$N209,""),
          unit_details[Sqft],$P209
)),"")</f>
        <v/>
      </c>
      <c r="AF209" s="5" t="str">
        <f>IFERROR(IF(AE209="","",IF($F209="Total",
SUMPRODUCT(
   INDEX(AF:AF, ROW()-COUNTIF($F$6:INDEX($F:$F, ROW()-1), $F208)) : INDEX(AF:AF, ROW()-1),
   INDEX(AB:AB, ROW()-COUNTIF($F$6:INDEX($F:$F, ROW()-1), $F208)) : INDEX(AB:AB, ROW()-1)
   )
   /SUM(INDEX(AB:AB, ROW()-COUNTIF($F$6:INDEX($F:$F, ROW()-1), $F208)) : INDEX(AB:AB, ROW()-1)),
           _xlfn.MAXIFS(unit_details[Asking Rent],
          unit_details[Active Listing?],TRUE,
          unit_details[Property Name], $F209,
          unit_details[Beds], $L209,
          unit_details[Baths], $M209,
          unit_details[Partial Baths], IF(ISNUMBER($N209),$N209,""),
          unit_details[Sqft],$P209
))),"")</f>
        <v/>
      </c>
      <c r="AG209" s="6" t="str">
        <f>IFERROR(IF($F209="Total",
         SUMPRODUCT(
         INDEX(AG:AG, ROW()-COUNTIF($F$6:INDEX($F:$F, ROW()-1), $F208)) : INDEX(AG:AG, ROW()-1),
         INDEX(AB:AB, ROW()-COUNTIF($F$6:INDEX($F:$F, ROW()-1), $F208)) : INDEX(AB:AB, ROW()-1)
         )
         /SUM(INDEX(AB:AB, ROW()-COUNTIF($F$6:INDEX($F:$F, ROW()-1), $F208)) : INDEX(AB:AB, ROW()-1)),
          AVERAGEIFS(unit_details[Asking PSF],
          unit_details[Active Listing?],TRUE,
          unit_details[Property Name], $F209,
          unit_details[Beds], $L209,
          unit_details[Baths], $M209,
          unit_details[Partial Baths], IF(ISNUMBER($N209),$N209,""),
          unit_details[Sqft],$P209
)),"")</f>
        <v/>
      </c>
      <c r="AH209" s="293" t="str">
        <f>IFERROR(IF($F209="Total",
         SUMPRODUCT(
         INDEX(AH:AH, ROW()-COUNTIF($F$6:INDEX($F:$F, ROW()-1), $F208)) : INDEX(AH:AH, ROW()-1),
         INDEX(AB:AB, ROW()-COUNTIF($F$6:INDEX($F:$F, ROW()-1), $F208)) : INDEX(AB:AB, ROW()-1)
         )
         /SUM(INDEX(AB:AB, ROW()-COUNTIF($F$6:INDEX($F:$F, ROW()-1), $F208)) : INDEX(AB:AB, ROW()-1)),
          AVERAGEIFS(unit_details[Effective Rent],
          unit_details[Active Listing?],TRUE,
          unit_details[Property Name], $F209,
          unit_details[Beds], $L209,
          unit_details[Baths], $M209,
          unit_details[Partial Baths], IF(ISNUMBER($N209),$N209,""),
          unit_details[Sqft],$P209
)),"")</f>
        <v/>
      </c>
      <c r="AI209" s="6" t="str">
        <f>IFERROR(IF($F209="Total",
         SUMPRODUCT(
         INDEX(AI:AI, ROW()-COUNTIF($F$6:INDEX($F:$F, ROW()-1), $F208)) : INDEX(AI:AI, ROW()-1),
         INDEX(AB:AB, ROW()-COUNTIF($F$6:INDEX($F:$F, ROW()-1), $F208)) : INDEX(AB:AB, ROW()-1)
         )
         /SUM(INDEX(AB:AB, ROW()-COUNTIF($F$6:INDEX($F:$F, ROW()-1), $F208)) : INDEX(AB:AB, ROW()-1)),
           AVERAGEIFS(unit_details[Effective PSF],
          unit_details[Active Listing?],TRUE,
          unit_details[Property Name], $F209,
          unit_details[Beds], $L209,
          unit_details[Baths], $M209,
          unit_details[Partial Baths], IF(ISNUMBER($N209),$N209,""),
          unit_details[Sqft],$P209
)),"")</f>
        <v/>
      </c>
      <c r="AJ209" s="824" t="str">
        <f t="shared" si="37"/>
        <v/>
      </c>
      <c r="AK209" s="531" t="str">
        <f t="shared" si="38"/>
        <v/>
      </c>
      <c r="AL209" s="714" t="str">
        <f t="shared" si="39"/>
        <v/>
      </c>
      <c r="AM209" s="531" t="str">
        <f t="shared" si="40"/>
        <v/>
      </c>
      <c r="AN209" s="716" t="str">
        <f t="shared" si="41"/>
        <v/>
      </c>
    </row>
    <row r="210" spans="6:40" x14ac:dyDescent="0.2">
      <c r="F210" s="1" t="str">
        <f t="shared" si="34"/>
        <v/>
      </c>
      <c r="G210" s="713" t="str">
        <f t="shared" si="42"/>
        <v/>
      </c>
      <c r="H210" s="17" t="str">
        <f>IFERROR(VLOOKUP($G210,Table1[[Property]:[Exposure %]],4,0),"")</f>
        <v/>
      </c>
      <c r="I210" s="3" t="str">
        <f>IFERROR(VLOOKUP($G210,Table1[[Property]:[Exposure %]],6,0),"")</f>
        <v/>
      </c>
      <c r="J210" s="3" t="str">
        <f>IFERROR(VLOOKUP($G210,Table1[[Property]:[Exposure %]],7,0),"")</f>
        <v/>
      </c>
      <c r="K210"/>
      <c r="L210"/>
      <c r="M210"/>
      <c r="N210"/>
      <c r="O210"/>
      <c r="P210"/>
      <c r="Q210"/>
      <c r="R210" s="4" t="str">
        <f>IFERROR(VLOOKUP(IF(F210="Total",F209,F210),Table1[[Property]:['# Units]],7,0)*S210,"")</f>
        <v/>
      </c>
      <c r="S210" s="27" t="str">
        <f t="shared" si="35"/>
        <v/>
      </c>
      <c r="T210" s="531" t="str">
        <f>IFERROR(
 IF($F210="Total",
   SUMPRODUCT(
   INDEX(T:T, ROW()-COUNTIF($F$6:INDEX($F:$F, ROW()-1), $F209)) : INDEX(T:T, ROW()-1),
   INDEX(W:W, ROW()-COUNTIF($F$6:INDEX($F:$F, ROW()-1), $F209)) : INDEX(W:W, ROW()-1)
   )
   /SUM(INDEX(W:W, ROW()-COUNTIF($F$6:INDEX($F:$F, ROW()-1), $F209)) : INDEX(W:W, ROW()-1)),
   AVERAGEIFS(
     INDEX((unit_details[Asking Rent],unit_details[Asking PSF]),0,1,IF($U$3="Chunk Rent",1,2)),
     unit_details[Leased Date],"&gt;="&amp;($AM$2-T$5),
     unit_details[Leased Date],"&lt;"&amp;$AM$2,
     unit_details[Beds],$L210,
     unit_details[Baths],$M210,
     unit_details[Partial Baths],IF(ISNUMBER($N210),$N210,""),
     unit_details[Sqft],$P210,
     unit_details[Property Name],$F210)
 ),"")</f>
        <v/>
      </c>
      <c r="U210" s="552" t="str">
        <f>IFERROR(
 IF($F210="Total",
   SUMPRODUCT(
   INDEX(U:U, ROW()-COUNTIF($F$6:INDEX($F:$F, ROW()-1), $F209)) : INDEX(U:U, ROW()-1),
   INDEX(W:W, ROW()-COUNTIF($F$6:INDEX($F:$F, ROW()-1), $F209)) : INDEX(W:W, ROW()-1)
   )
   /SUM(INDEX(W:W, ROW()-COUNTIF($F$6:INDEX($F:$F, ROW()-1), $F209)) : INDEX(W:W, ROW()-1)),
   AVERAGEIFS(
     INDEX((unit_details[Effective Rent],unit_details[Effective PSF]),0,1,IF($U$3="Chunk Rent",1,2)),
     unit_details[Leased Date],"&gt;="&amp;($AM$2-T$5),
     unit_details[Leased Date],"&lt;"&amp;$AM$2,
     unit_details[Beds],$L210,
     unit_details[Baths],$M210,
     unit_details[Partial Baths],IF(ISNUMBER($N210),$N210,""),
     unit_details[Sqft],$P210,
     unit_details[Property Name],$F210)
 ),"")</f>
        <v/>
      </c>
      <c r="V210" s="27" t="str">
        <f t="shared" si="43"/>
        <v/>
      </c>
      <c r="W210" s="526">
        <f>IFERROR(
  IF($F210="Total",
    SUM(INDEX(W:W, ROW()-COUNTIF($F$6:INDEX($F:$F, ROW()-1), $F209)) : INDEX(W:W, ROW()-1)),
    COUNTIFS(
      unit_details[Leased Date], "&gt;="&amp;($AM$2-T$5),
      unit_details[Leased Date], "&lt;"&amp;$AM$2,
      unit_details[Beds], $L210,
      unit_details[Baths], $M210,
      unit_details[Partial Baths], IF(ISNUMBER($N210), $N210, ""),
      unit_details[Sqft],$P210,
      unit_details[Property Name], $F210
    )
  ),
"")</f>
        <v>0</v>
      </c>
      <c r="X210" s="531" t="str">
        <f>IFERROR(
 IF($F210="Total",
   SUMPRODUCT(
   INDEX(X:X, ROW()-COUNTIF($F$6:INDEX($F:$F, ROW()-1), $F209)) : INDEX(X:X, ROW()-1),
   INDEX(AA:AA, ROW()-COUNTIF($F$6:INDEX($F:$F, ROW()-1), $F209)) : INDEX(AA:AA, ROW()-1)
   )
   /SUM(INDEX(AA:AA, ROW()-COUNTIF($F$6:INDEX($F:$F, ROW()-1), $F209)) : INDEX(AA:AA, ROW()-1)),
   AVERAGEIFS(
     INDEX((unit_details[Asking Rent],unit_details[Asking PSF]),0,1,IF($U$3="Chunk Rent",1,2)),
     unit_details[Leased Date],"&gt;="&amp;($AM$2-X$5),
     unit_details[Leased Date],"&lt;"&amp;$AM$2,
     unit_details[Beds],$L210,
     unit_details[Baths],$M210,
     unit_details[Partial Baths],IF(ISNUMBER($N210),$N210,""),
     unit_details[Sqft],$P210,
     unit_details[Property Name],$F210)
 ),"")</f>
        <v/>
      </c>
      <c r="Y210" s="552" t="str">
        <f>IFERROR(
 IF($F210="Total",
   SUMPRODUCT(
   INDEX(Y:Y, ROW()-COUNTIF($F$6:INDEX($F:$F, ROW()-1), $F209)) : INDEX(Y:Y, ROW()-1),
   INDEX(AA:AA, ROW()-COUNTIF($F$6:INDEX($F:$F, ROW()-1), $F209)) : INDEX(AA:AA, ROW()-1)
   )
   /SUM(INDEX(AA:AA, ROW()-COUNTIF($F$6:INDEX($F:$F, ROW()-1), $F209)) : INDEX(AA:AA, ROW()-1)),
   AVERAGEIFS(
     INDEX((unit_details[Effective Rent],unit_details[Effective PSF]),0,1,IF($U$3="Chunk Rent",1,2)),
     unit_details[Leased Date],"&gt;="&amp;($AM$2-X$5),
     unit_details[Leased Date],"&lt;"&amp;$AM$2,
     unit_details[Beds],$L210,
     unit_details[Baths],$M210,
     unit_details[Partial Baths],IF(ISNUMBER($N210),$N210,""),
     unit_details[Sqft],$P210,
     unit_details[Property Name],$F210)
 ),"")</f>
        <v/>
      </c>
      <c r="Z210" s="27" t="str">
        <f t="shared" si="44"/>
        <v/>
      </c>
      <c r="AA210" s="526">
        <f>IFERROR(
  IF($F210="Total",
    SUM(INDEX(AA:AA, ROW()-COUNTIF($F$6:INDEX($F:$F, ROW()-1), $F209)) : INDEX(AA:AA, ROW()-1)),
    COUNTIFS(
      unit_details[Leased Date], "&gt;="&amp;($AM$2-X$5),
      unit_details[Leased Date], "&lt;"&amp;$AM$2,
      unit_details[Beds], $L210,
      unit_details[Baths], $M210,
      unit_details[Partial Baths], IF(ISNUMBER($N210), $N210, ""),
      unit_details[Sqft],$P210,
      unit_details[Property Name], $F210
    )
  ),
"")</f>
        <v>0</v>
      </c>
      <c r="AB210" s="290">
        <f>IF($F210="Total",
SUM(INDEX(AB:AB, ROW()-COUNTIF($F$6:INDEX($F:$F, ROW()-1), $F209)) : INDEX(AB:AB, ROW()-1)),
COUNTIFS(unit_details[Active Listing?],TRUE,
          unit_details[Property Name], $F210,
          unit_details[Beds], $L210,
          unit_details[Baths], $M210,
          unit_details[Partial Baths],IF(ISNUMBER($N210),$N210,""),
          unit_details[Sqft],$P210))</f>
        <v>0</v>
      </c>
      <c r="AC210" s="27" t="str">
        <f t="shared" si="36"/>
        <v/>
      </c>
      <c r="AD210" s="293" t="str">
        <f>IFERROR(IF(AE210="","",IF($F210="Total",
SUMPRODUCT(
   INDEX(AD:AD, ROW()-COUNTIF($F$6:INDEX($F:$F, ROW()-1), $F209)) : INDEX(AD:AD, ROW()-1),
   INDEX(AB:AB, ROW()-COUNTIF($F$6:INDEX($F:$F, ROW()-1), $F209)) : INDEX(AB:AB, ROW()-1)
   )
   /SUM(INDEX(AB:AB, ROW()-COUNTIF($F$6:INDEX($F:$F, ROW()-1), $F209)) : INDEX(AB:AB, ROW()-1)),
          _xlfn.MINIFS(unit_details[Asking Rent],
          unit_details[Active Listing?],TRUE,
          unit_details[Property Name], $F210,
          unit_details[Beds], $L210,
          unit_details[Baths], $M210,
          unit_details[Partial Baths], IF(ISNUMBER($N210),$N210,""),
          unit_details[Sqft],$P210
))),"")</f>
        <v/>
      </c>
      <c r="AE210" s="5" t="str">
        <f>IFERROR(IF($F210="Total",
          SUMPRODUCT(
   INDEX(AE:AE, ROW()-COUNTIF($F$6:INDEX($F:$F, ROW()-1), $F209)) : INDEX(AE:AE, ROW()-1),
   INDEX(AB:AB, ROW()-COUNTIF($F$6:INDEX($F:$F, ROW()-1), $F209)) : INDEX(AB:AB, ROW()-1)
   )
   /SUM(INDEX(AB:AB, ROW()-COUNTIF($F$6:INDEX($F:$F, ROW()-1), $F209)) : INDEX(AB:AB, ROW()-1)),
          AVERAGEIFS(unit_details[Asking Rent],
          unit_details[Active Listing?],TRUE,
          unit_details[Property Name], $F210,
          unit_details[Beds], $L210,
          unit_details[Baths], $M210,
          unit_details[Partial Baths], IF(ISNUMBER($N210),$N210,""),
          unit_details[Sqft],$P210
)),"")</f>
        <v/>
      </c>
      <c r="AF210" s="5" t="str">
        <f>IFERROR(IF(AE210="","",IF($F210="Total",
SUMPRODUCT(
   INDEX(AF:AF, ROW()-COUNTIF($F$6:INDEX($F:$F, ROW()-1), $F209)) : INDEX(AF:AF, ROW()-1),
   INDEX(AB:AB, ROW()-COUNTIF($F$6:INDEX($F:$F, ROW()-1), $F209)) : INDEX(AB:AB, ROW()-1)
   )
   /SUM(INDEX(AB:AB, ROW()-COUNTIF($F$6:INDEX($F:$F, ROW()-1), $F209)) : INDEX(AB:AB, ROW()-1)),
           _xlfn.MAXIFS(unit_details[Asking Rent],
          unit_details[Active Listing?],TRUE,
          unit_details[Property Name], $F210,
          unit_details[Beds], $L210,
          unit_details[Baths], $M210,
          unit_details[Partial Baths], IF(ISNUMBER($N210),$N210,""),
          unit_details[Sqft],$P210
))),"")</f>
        <v/>
      </c>
      <c r="AG210" s="6" t="str">
        <f>IFERROR(IF($F210="Total",
         SUMPRODUCT(
         INDEX(AG:AG, ROW()-COUNTIF($F$6:INDEX($F:$F, ROW()-1), $F209)) : INDEX(AG:AG, ROW()-1),
         INDEX(AB:AB, ROW()-COUNTIF($F$6:INDEX($F:$F, ROW()-1), $F209)) : INDEX(AB:AB, ROW()-1)
         )
         /SUM(INDEX(AB:AB, ROW()-COUNTIF($F$6:INDEX($F:$F, ROW()-1), $F209)) : INDEX(AB:AB, ROW()-1)),
          AVERAGEIFS(unit_details[Asking PSF],
          unit_details[Active Listing?],TRUE,
          unit_details[Property Name], $F210,
          unit_details[Beds], $L210,
          unit_details[Baths], $M210,
          unit_details[Partial Baths], IF(ISNUMBER($N210),$N210,""),
          unit_details[Sqft],$P210
)),"")</f>
        <v/>
      </c>
      <c r="AH210" s="293" t="str">
        <f>IFERROR(IF($F210="Total",
         SUMPRODUCT(
         INDEX(AH:AH, ROW()-COUNTIF($F$6:INDEX($F:$F, ROW()-1), $F209)) : INDEX(AH:AH, ROW()-1),
         INDEX(AB:AB, ROW()-COUNTIF($F$6:INDEX($F:$F, ROW()-1), $F209)) : INDEX(AB:AB, ROW()-1)
         )
         /SUM(INDEX(AB:AB, ROW()-COUNTIF($F$6:INDEX($F:$F, ROW()-1), $F209)) : INDEX(AB:AB, ROW()-1)),
          AVERAGEIFS(unit_details[Effective Rent],
          unit_details[Active Listing?],TRUE,
          unit_details[Property Name], $F210,
          unit_details[Beds], $L210,
          unit_details[Baths], $M210,
          unit_details[Partial Baths], IF(ISNUMBER($N210),$N210,""),
          unit_details[Sqft],$P210
)),"")</f>
        <v/>
      </c>
      <c r="AI210" s="6" t="str">
        <f>IFERROR(IF($F210="Total",
         SUMPRODUCT(
         INDEX(AI:AI, ROW()-COUNTIF($F$6:INDEX($F:$F, ROW()-1), $F209)) : INDEX(AI:AI, ROW()-1),
         INDEX(AB:AB, ROW()-COUNTIF($F$6:INDEX($F:$F, ROW()-1), $F209)) : INDEX(AB:AB, ROW()-1)
         )
         /SUM(INDEX(AB:AB, ROW()-COUNTIF($F$6:INDEX($F:$F, ROW()-1), $F209)) : INDEX(AB:AB, ROW()-1)),
           AVERAGEIFS(unit_details[Effective PSF],
          unit_details[Active Listing?],TRUE,
          unit_details[Property Name], $F210,
          unit_details[Beds], $L210,
          unit_details[Baths], $M210,
          unit_details[Partial Baths], IF(ISNUMBER($N210),$N210,""),
          unit_details[Sqft],$P210
)),"")</f>
        <v/>
      </c>
      <c r="AJ210" s="824" t="str">
        <f t="shared" si="37"/>
        <v/>
      </c>
      <c r="AK210" s="531" t="str">
        <f t="shared" si="38"/>
        <v/>
      </c>
      <c r="AL210" s="714" t="str">
        <f t="shared" si="39"/>
        <v/>
      </c>
      <c r="AM210" s="531" t="str">
        <f t="shared" si="40"/>
        <v/>
      </c>
      <c r="AN210" s="716" t="str">
        <f t="shared" si="41"/>
        <v/>
      </c>
    </row>
    <row r="211" spans="6:40" x14ac:dyDescent="0.2">
      <c r="F211" s="1" t="str">
        <f t="shared" si="34"/>
        <v/>
      </c>
      <c r="G211" s="713" t="str">
        <f t="shared" si="42"/>
        <v/>
      </c>
      <c r="H211" s="17" t="str">
        <f>IFERROR(VLOOKUP($G211,Table1[[Property]:[Exposure %]],4,0),"")</f>
        <v/>
      </c>
      <c r="I211" s="3" t="str">
        <f>IFERROR(VLOOKUP($G211,Table1[[Property]:[Exposure %]],6,0),"")</f>
        <v/>
      </c>
      <c r="J211" s="3" t="str">
        <f>IFERROR(VLOOKUP($G211,Table1[[Property]:[Exposure %]],7,0),"")</f>
        <v/>
      </c>
      <c r="K211"/>
      <c r="L211"/>
      <c r="M211"/>
      <c r="N211"/>
      <c r="O211"/>
      <c r="P211"/>
      <c r="Q211"/>
      <c r="R211" s="4" t="str">
        <f>IFERROR(VLOOKUP(IF(F211="Total",F210,F211),Table1[[Property]:['# Units]],7,0)*S211,"")</f>
        <v/>
      </c>
      <c r="S211" s="27" t="str">
        <f t="shared" si="35"/>
        <v/>
      </c>
      <c r="T211" s="531" t="str">
        <f>IFERROR(
 IF($F211="Total",
   SUMPRODUCT(
   INDEX(T:T, ROW()-COUNTIF($F$6:INDEX($F:$F, ROW()-1), $F210)) : INDEX(T:T, ROW()-1),
   INDEX(W:W, ROW()-COUNTIF($F$6:INDEX($F:$F, ROW()-1), $F210)) : INDEX(W:W, ROW()-1)
   )
   /SUM(INDEX(W:W, ROW()-COUNTIF($F$6:INDEX($F:$F, ROW()-1), $F210)) : INDEX(W:W, ROW()-1)),
   AVERAGEIFS(
     INDEX((unit_details[Asking Rent],unit_details[Asking PSF]),0,1,IF($U$3="Chunk Rent",1,2)),
     unit_details[Leased Date],"&gt;="&amp;($AM$2-T$5),
     unit_details[Leased Date],"&lt;"&amp;$AM$2,
     unit_details[Beds],$L211,
     unit_details[Baths],$M211,
     unit_details[Partial Baths],IF(ISNUMBER($N211),$N211,""),
     unit_details[Sqft],$P211,
     unit_details[Property Name],$F211)
 ),"")</f>
        <v/>
      </c>
      <c r="U211" s="552" t="str">
        <f>IFERROR(
 IF($F211="Total",
   SUMPRODUCT(
   INDEX(U:U, ROW()-COUNTIF($F$6:INDEX($F:$F, ROW()-1), $F210)) : INDEX(U:U, ROW()-1),
   INDEX(W:W, ROW()-COUNTIF($F$6:INDEX($F:$F, ROW()-1), $F210)) : INDEX(W:W, ROW()-1)
   )
   /SUM(INDEX(W:W, ROW()-COUNTIF($F$6:INDEX($F:$F, ROW()-1), $F210)) : INDEX(W:W, ROW()-1)),
   AVERAGEIFS(
     INDEX((unit_details[Effective Rent],unit_details[Effective PSF]),0,1,IF($U$3="Chunk Rent",1,2)),
     unit_details[Leased Date],"&gt;="&amp;($AM$2-T$5),
     unit_details[Leased Date],"&lt;"&amp;$AM$2,
     unit_details[Beds],$L211,
     unit_details[Baths],$M211,
     unit_details[Partial Baths],IF(ISNUMBER($N211),$N211,""),
     unit_details[Sqft],$P211,
     unit_details[Property Name],$F211)
 ),"")</f>
        <v/>
      </c>
      <c r="V211" s="27" t="str">
        <f t="shared" si="43"/>
        <v/>
      </c>
      <c r="W211" s="526">
        <f>IFERROR(
  IF($F211="Total",
    SUM(INDEX(W:W, ROW()-COUNTIF($F$6:INDEX($F:$F, ROW()-1), $F210)) : INDEX(W:W, ROW()-1)),
    COUNTIFS(
      unit_details[Leased Date], "&gt;="&amp;($AM$2-T$5),
      unit_details[Leased Date], "&lt;"&amp;$AM$2,
      unit_details[Beds], $L211,
      unit_details[Baths], $M211,
      unit_details[Partial Baths], IF(ISNUMBER($N211), $N211, ""),
      unit_details[Sqft],$P211,
      unit_details[Property Name], $F211
    )
  ),
"")</f>
        <v>0</v>
      </c>
      <c r="X211" s="531" t="str">
        <f>IFERROR(
 IF($F211="Total",
   SUMPRODUCT(
   INDEX(X:X, ROW()-COUNTIF($F$6:INDEX($F:$F, ROW()-1), $F210)) : INDEX(X:X, ROW()-1),
   INDEX(AA:AA, ROW()-COUNTIF($F$6:INDEX($F:$F, ROW()-1), $F210)) : INDEX(AA:AA, ROW()-1)
   )
   /SUM(INDEX(AA:AA, ROW()-COUNTIF($F$6:INDEX($F:$F, ROW()-1), $F210)) : INDEX(AA:AA, ROW()-1)),
   AVERAGEIFS(
     INDEX((unit_details[Asking Rent],unit_details[Asking PSF]),0,1,IF($U$3="Chunk Rent",1,2)),
     unit_details[Leased Date],"&gt;="&amp;($AM$2-X$5),
     unit_details[Leased Date],"&lt;"&amp;$AM$2,
     unit_details[Beds],$L211,
     unit_details[Baths],$M211,
     unit_details[Partial Baths],IF(ISNUMBER($N211),$N211,""),
     unit_details[Sqft],$P211,
     unit_details[Property Name],$F211)
 ),"")</f>
        <v/>
      </c>
      <c r="Y211" s="552" t="str">
        <f>IFERROR(
 IF($F211="Total",
   SUMPRODUCT(
   INDEX(Y:Y, ROW()-COUNTIF($F$6:INDEX($F:$F, ROW()-1), $F210)) : INDEX(Y:Y, ROW()-1),
   INDEX(AA:AA, ROW()-COUNTIF($F$6:INDEX($F:$F, ROW()-1), $F210)) : INDEX(AA:AA, ROW()-1)
   )
   /SUM(INDEX(AA:AA, ROW()-COUNTIF($F$6:INDEX($F:$F, ROW()-1), $F210)) : INDEX(AA:AA, ROW()-1)),
   AVERAGEIFS(
     INDEX((unit_details[Effective Rent],unit_details[Effective PSF]),0,1,IF($U$3="Chunk Rent",1,2)),
     unit_details[Leased Date],"&gt;="&amp;($AM$2-X$5),
     unit_details[Leased Date],"&lt;"&amp;$AM$2,
     unit_details[Beds],$L211,
     unit_details[Baths],$M211,
     unit_details[Partial Baths],IF(ISNUMBER($N211),$N211,""),
     unit_details[Sqft],$P211,
     unit_details[Property Name],$F211)
 ),"")</f>
        <v/>
      </c>
      <c r="Z211" s="27" t="str">
        <f t="shared" si="44"/>
        <v/>
      </c>
      <c r="AA211" s="526">
        <f>IFERROR(
  IF($F211="Total",
    SUM(INDEX(AA:AA, ROW()-COUNTIF($F$6:INDEX($F:$F, ROW()-1), $F210)) : INDEX(AA:AA, ROW()-1)),
    COUNTIFS(
      unit_details[Leased Date], "&gt;="&amp;($AM$2-X$5),
      unit_details[Leased Date], "&lt;"&amp;$AM$2,
      unit_details[Beds], $L211,
      unit_details[Baths], $M211,
      unit_details[Partial Baths], IF(ISNUMBER($N211), $N211, ""),
      unit_details[Sqft],$P211,
      unit_details[Property Name], $F211
    )
  ),
"")</f>
        <v>0</v>
      </c>
      <c r="AB211" s="290">
        <f>IF($F211="Total",
SUM(INDEX(AB:AB, ROW()-COUNTIF($F$6:INDEX($F:$F, ROW()-1), $F210)) : INDEX(AB:AB, ROW()-1)),
COUNTIFS(unit_details[Active Listing?],TRUE,
          unit_details[Property Name], $F211,
          unit_details[Beds], $L211,
          unit_details[Baths], $M211,
          unit_details[Partial Baths],IF(ISNUMBER($N211),$N211,""),
          unit_details[Sqft],$P211))</f>
        <v>0</v>
      </c>
      <c r="AC211" s="27" t="str">
        <f t="shared" si="36"/>
        <v/>
      </c>
      <c r="AD211" s="293" t="str">
        <f>IFERROR(IF(AE211="","",IF($F211="Total",
SUMPRODUCT(
   INDEX(AD:AD, ROW()-COUNTIF($F$6:INDEX($F:$F, ROW()-1), $F210)) : INDEX(AD:AD, ROW()-1),
   INDEX(AB:AB, ROW()-COUNTIF($F$6:INDEX($F:$F, ROW()-1), $F210)) : INDEX(AB:AB, ROW()-1)
   )
   /SUM(INDEX(AB:AB, ROW()-COUNTIF($F$6:INDEX($F:$F, ROW()-1), $F210)) : INDEX(AB:AB, ROW()-1)),
          _xlfn.MINIFS(unit_details[Asking Rent],
          unit_details[Active Listing?],TRUE,
          unit_details[Property Name], $F211,
          unit_details[Beds], $L211,
          unit_details[Baths], $M211,
          unit_details[Partial Baths], IF(ISNUMBER($N211),$N211,""),
          unit_details[Sqft],$P211
))),"")</f>
        <v/>
      </c>
      <c r="AE211" s="5" t="str">
        <f>IFERROR(IF($F211="Total",
          SUMPRODUCT(
   INDEX(AE:AE, ROW()-COUNTIF($F$6:INDEX($F:$F, ROW()-1), $F210)) : INDEX(AE:AE, ROW()-1),
   INDEX(AB:AB, ROW()-COUNTIF($F$6:INDEX($F:$F, ROW()-1), $F210)) : INDEX(AB:AB, ROW()-1)
   )
   /SUM(INDEX(AB:AB, ROW()-COUNTIF($F$6:INDEX($F:$F, ROW()-1), $F210)) : INDEX(AB:AB, ROW()-1)),
          AVERAGEIFS(unit_details[Asking Rent],
          unit_details[Active Listing?],TRUE,
          unit_details[Property Name], $F211,
          unit_details[Beds], $L211,
          unit_details[Baths], $M211,
          unit_details[Partial Baths], IF(ISNUMBER($N211),$N211,""),
          unit_details[Sqft],$P211
)),"")</f>
        <v/>
      </c>
      <c r="AF211" s="5" t="str">
        <f>IFERROR(IF(AE211="","",IF($F211="Total",
SUMPRODUCT(
   INDEX(AF:AF, ROW()-COUNTIF($F$6:INDEX($F:$F, ROW()-1), $F210)) : INDEX(AF:AF, ROW()-1),
   INDEX(AB:AB, ROW()-COUNTIF($F$6:INDEX($F:$F, ROW()-1), $F210)) : INDEX(AB:AB, ROW()-1)
   )
   /SUM(INDEX(AB:AB, ROW()-COUNTIF($F$6:INDEX($F:$F, ROW()-1), $F210)) : INDEX(AB:AB, ROW()-1)),
           _xlfn.MAXIFS(unit_details[Asking Rent],
          unit_details[Active Listing?],TRUE,
          unit_details[Property Name], $F211,
          unit_details[Beds], $L211,
          unit_details[Baths], $M211,
          unit_details[Partial Baths], IF(ISNUMBER($N211),$N211,""),
          unit_details[Sqft],$P211
))),"")</f>
        <v/>
      </c>
      <c r="AG211" s="6" t="str">
        <f>IFERROR(IF($F211="Total",
         SUMPRODUCT(
         INDEX(AG:AG, ROW()-COUNTIF($F$6:INDEX($F:$F, ROW()-1), $F210)) : INDEX(AG:AG, ROW()-1),
         INDEX(AB:AB, ROW()-COUNTIF($F$6:INDEX($F:$F, ROW()-1), $F210)) : INDEX(AB:AB, ROW()-1)
         )
         /SUM(INDEX(AB:AB, ROW()-COUNTIF($F$6:INDEX($F:$F, ROW()-1), $F210)) : INDEX(AB:AB, ROW()-1)),
          AVERAGEIFS(unit_details[Asking PSF],
          unit_details[Active Listing?],TRUE,
          unit_details[Property Name], $F211,
          unit_details[Beds], $L211,
          unit_details[Baths], $M211,
          unit_details[Partial Baths], IF(ISNUMBER($N211),$N211,""),
          unit_details[Sqft],$P211
)),"")</f>
        <v/>
      </c>
      <c r="AH211" s="293" t="str">
        <f>IFERROR(IF($F211="Total",
         SUMPRODUCT(
         INDEX(AH:AH, ROW()-COUNTIF($F$6:INDEX($F:$F, ROW()-1), $F210)) : INDEX(AH:AH, ROW()-1),
         INDEX(AB:AB, ROW()-COUNTIF($F$6:INDEX($F:$F, ROW()-1), $F210)) : INDEX(AB:AB, ROW()-1)
         )
         /SUM(INDEX(AB:AB, ROW()-COUNTIF($F$6:INDEX($F:$F, ROW()-1), $F210)) : INDEX(AB:AB, ROW()-1)),
          AVERAGEIFS(unit_details[Effective Rent],
          unit_details[Active Listing?],TRUE,
          unit_details[Property Name], $F211,
          unit_details[Beds], $L211,
          unit_details[Baths], $M211,
          unit_details[Partial Baths], IF(ISNUMBER($N211),$N211,""),
          unit_details[Sqft],$P211
)),"")</f>
        <v/>
      </c>
      <c r="AI211" s="6" t="str">
        <f>IFERROR(IF($F211="Total",
         SUMPRODUCT(
         INDEX(AI:AI, ROW()-COUNTIF($F$6:INDEX($F:$F, ROW()-1), $F210)) : INDEX(AI:AI, ROW()-1),
         INDEX(AB:AB, ROW()-COUNTIF($F$6:INDEX($F:$F, ROW()-1), $F210)) : INDEX(AB:AB, ROW()-1)
         )
         /SUM(INDEX(AB:AB, ROW()-COUNTIF($F$6:INDEX($F:$F, ROW()-1), $F210)) : INDEX(AB:AB, ROW()-1)),
           AVERAGEIFS(unit_details[Effective PSF],
          unit_details[Active Listing?],TRUE,
          unit_details[Property Name], $F211,
          unit_details[Beds], $L211,
          unit_details[Baths], $M211,
          unit_details[Partial Baths], IF(ISNUMBER($N211),$N211,""),
          unit_details[Sqft],$P211
)),"")</f>
        <v/>
      </c>
      <c r="AJ211" s="824" t="str">
        <f t="shared" si="37"/>
        <v/>
      </c>
      <c r="AK211" s="531" t="str">
        <f t="shared" si="38"/>
        <v/>
      </c>
      <c r="AL211" s="714" t="str">
        <f t="shared" si="39"/>
        <v/>
      </c>
      <c r="AM211" s="531" t="str">
        <f t="shared" si="40"/>
        <v/>
      </c>
      <c r="AN211" s="716" t="str">
        <f t="shared" si="41"/>
        <v/>
      </c>
    </row>
    <row r="212" spans="6:40" x14ac:dyDescent="0.2">
      <c r="F212" s="1" t="str">
        <f t="shared" si="34"/>
        <v/>
      </c>
      <c r="G212" s="713" t="str">
        <f t="shared" si="42"/>
        <v/>
      </c>
      <c r="H212" s="17" t="str">
        <f>IFERROR(VLOOKUP($G212,Table1[[Property]:[Exposure %]],4,0),"")</f>
        <v/>
      </c>
      <c r="I212" s="3" t="str">
        <f>IFERROR(VLOOKUP($G212,Table1[[Property]:[Exposure %]],6,0),"")</f>
        <v/>
      </c>
      <c r="J212" s="3" t="str">
        <f>IFERROR(VLOOKUP($G212,Table1[[Property]:[Exposure %]],7,0),"")</f>
        <v/>
      </c>
      <c r="K212"/>
      <c r="L212"/>
      <c r="M212"/>
      <c r="N212"/>
      <c r="O212"/>
      <c r="P212"/>
      <c r="Q212"/>
      <c r="R212" s="4" t="str">
        <f>IFERROR(VLOOKUP(IF(F212="Total",F211,F212),Table1[[Property]:['# Units]],7,0)*S212,"")</f>
        <v/>
      </c>
      <c r="S212" s="27" t="str">
        <f t="shared" si="35"/>
        <v/>
      </c>
      <c r="T212" s="531" t="str">
        <f>IFERROR(
 IF($F212="Total",
   SUMPRODUCT(
   INDEX(T:T, ROW()-COUNTIF($F$6:INDEX($F:$F, ROW()-1), $F211)) : INDEX(T:T, ROW()-1),
   INDEX(W:W, ROW()-COUNTIF($F$6:INDEX($F:$F, ROW()-1), $F211)) : INDEX(W:W, ROW()-1)
   )
   /SUM(INDEX(W:W, ROW()-COUNTIF($F$6:INDEX($F:$F, ROW()-1), $F211)) : INDEX(W:W, ROW()-1)),
   AVERAGEIFS(
     INDEX((unit_details[Asking Rent],unit_details[Asking PSF]),0,1,IF($U$3="Chunk Rent",1,2)),
     unit_details[Leased Date],"&gt;="&amp;($AM$2-T$5),
     unit_details[Leased Date],"&lt;"&amp;$AM$2,
     unit_details[Beds],$L212,
     unit_details[Baths],$M212,
     unit_details[Partial Baths],IF(ISNUMBER($N212),$N212,""),
     unit_details[Sqft],$P212,
     unit_details[Property Name],$F212)
 ),"")</f>
        <v/>
      </c>
      <c r="U212" s="552" t="str">
        <f>IFERROR(
 IF($F212="Total",
   SUMPRODUCT(
   INDEX(U:U, ROW()-COUNTIF($F$6:INDEX($F:$F, ROW()-1), $F211)) : INDEX(U:U, ROW()-1),
   INDEX(W:W, ROW()-COUNTIF($F$6:INDEX($F:$F, ROW()-1), $F211)) : INDEX(W:W, ROW()-1)
   )
   /SUM(INDEX(W:W, ROW()-COUNTIF($F$6:INDEX($F:$F, ROW()-1), $F211)) : INDEX(W:W, ROW()-1)),
   AVERAGEIFS(
     INDEX((unit_details[Effective Rent],unit_details[Effective PSF]),0,1,IF($U$3="Chunk Rent",1,2)),
     unit_details[Leased Date],"&gt;="&amp;($AM$2-T$5),
     unit_details[Leased Date],"&lt;"&amp;$AM$2,
     unit_details[Beds],$L212,
     unit_details[Baths],$M212,
     unit_details[Partial Baths],IF(ISNUMBER($N212),$N212,""),
     unit_details[Sqft],$P212,
     unit_details[Property Name],$F212)
 ),"")</f>
        <v/>
      </c>
      <c r="V212" s="27" t="str">
        <f t="shared" si="43"/>
        <v/>
      </c>
      <c r="W212" s="526">
        <f>IFERROR(
  IF($F212="Total",
    SUM(INDEX(W:W, ROW()-COUNTIF($F$6:INDEX($F:$F, ROW()-1), $F211)) : INDEX(W:W, ROW()-1)),
    COUNTIFS(
      unit_details[Leased Date], "&gt;="&amp;($AM$2-T$5),
      unit_details[Leased Date], "&lt;"&amp;$AM$2,
      unit_details[Beds], $L212,
      unit_details[Baths], $M212,
      unit_details[Partial Baths], IF(ISNUMBER($N212), $N212, ""),
      unit_details[Sqft],$P212,
      unit_details[Property Name], $F212
    )
  ),
"")</f>
        <v>0</v>
      </c>
      <c r="X212" s="531" t="str">
        <f>IFERROR(
 IF($F212="Total",
   SUMPRODUCT(
   INDEX(X:X, ROW()-COUNTIF($F$6:INDEX($F:$F, ROW()-1), $F211)) : INDEX(X:X, ROW()-1),
   INDEX(AA:AA, ROW()-COUNTIF($F$6:INDEX($F:$F, ROW()-1), $F211)) : INDEX(AA:AA, ROW()-1)
   )
   /SUM(INDEX(AA:AA, ROW()-COUNTIF($F$6:INDEX($F:$F, ROW()-1), $F211)) : INDEX(AA:AA, ROW()-1)),
   AVERAGEIFS(
     INDEX((unit_details[Asking Rent],unit_details[Asking PSF]),0,1,IF($U$3="Chunk Rent",1,2)),
     unit_details[Leased Date],"&gt;="&amp;($AM$2-X$5),
     unit_details[Leased Date],"&lt;"&amp;$AM$2,
     unit_details[Beds],$L212,
     unit_details[Baths],$M212,
     unit_details[Partial Baths],IF(ISNUMBER($N212),$N212,""),
     unit_details[Sqft],$P212,
     unit_details[Property Name],$F212)
 ),"")</f>
        <v/>
      </c>
      <c r="Y212" s="552" t="str">
        <f>IFERROR(
 IF($F212="Total",
   SUMPRODUCT(
   INDEX(Y:Y, ROW()-COUNTIF($F$6:INDEX($F:$F, ROW()-1), $F211)) : INDEX(Y:Y, ROW()-1),
   INDEX(AA:AA, ROW()-COUNTIF($F$6:INDEX($F:$F, ROW()-1), $F211)) : INDEX(AA:AA, ROW()-1)
   )
   /SUM(INDEX(AA:AA, ROW()-COUNTIF($F$6:INDEX($F:$F, ROW()-1), $F211)) : INDEX(AA:AA, ROW()-1)),
   AVERAGEIFS(
     INDEX((unit_details[Effective Rent],unit_details[Effective PSF]),0,1,IF($U$3="Chunk Rent",1,2)),
     unit_details[Leased Date],"&gt;="&amp;($AM$2-X$5),
     unit_details[Leased Date],"&lt;"&amp;$AM$2,
     unit_details[Beds],$L212,
     unit_details[Baths],$M212,
     unit_details[Partial Baths],IF(ISNUMBER($N212),$N212,""),
     unit_details[Sqft],$P212,
     unit_details[Property Name],$F212)
 ),"")</f>
        <v/>
      </c>
      <c r="Z212" s="27" t="str">
        <f t="shared" si="44"/>
        <v/>
      </c>
      <c r="AA212" s="526">
        <f>IFERROR(
  IF($F212="Total",
    SUM(INDEX(AA:AA, ROW()-COUNTIF($F$6:INDEX($F:$F, ROW()-1), $F211)) : INDEX(AA:AA, ROW()-1)),
    COUNTIFS(
      unit_details[Leased Date], "&gt;="&amp;($AM$2-X$5),
      unit_details[Leased Date], "&lt;"&amp;$AM$2,
      unit_details[Beds], $L212,
      unit_details[Baths], $M212,
      unit_details[Partial Baths], IF(ISNUMBER($N212), $N212, ""),
      unit_details[Sqft],$P212,
      unit_details[Property Name], $F212
    )
  ),
"")</f>
        <v>0</v>
      </c>
      <c r="AB212" s="290">
        <f>IF($F212="Total",
SUM(INDEX(AB:AB, ROW()-COUNTIF($F$6:INDEX($F:$F, ROW()-1), $F211)) : INDEX(AB:AB, ROW()-1)),
COUNTIFS(unit_details[Active Listing?],TRUE,
          unit_details[Property Name], $F212,
          unit_details[Beds], $L212,
          unit_details[Baths], $M212,
          unit_details[Partial Baths],IF(ISNUMBER($N212),$N212,""),
          unit_details[Sqft],$P212))</f>
        <v>0</v>
      </c>
      <c r="AC212" s="27" t="str">
        <f t="shared" si="36"/>
        <v/>
      </c>
      <c r="AD212" s="293" t="str">
        <f>IFERROR(IF(AE212="","",IF($F212="Total",
SUMPRODUCT(
   INDEX(AD:AD, ROW()-COUNTIF($F$6:INDEX($F:$F, ROW()-1), $F211)) : INDEX(AD:AD, ROW()-1),
   INDEX(AB:AB, ROW()-COUNTIF($F$6:INDEX($F:$F, ROW()-1), $F211)) : INDEX(AB:AB, ROW()-1)
   )
   /SUM(INDEX(AB:AB, ROW()-COUNTIF($F$6:INDEX($F:$F, ROW()-1), $F211)) : INDEX(AB:AB, ROW()-1)),
          _xlfn.MINIFS(unit_details[Asking Rent],
          unit_details[Active Listing?],TRUE,
          unit_details[Property Name], $F212,
          unit_details[Beds], $L212,
          unit_details[Baths], $M212,
          unit_details[Partial Baths], IF(ISNUMBER($N212),$N212,""),
          unit_details[Sqft],$P212
))),"")</f>
        <v/>
      </c>
      <c r="AE212" s="5" t="str">
        <f>IFERROR(IF($F212="Total",
          SUMPRODUCT(
   INDEX(AE:AE, ROW()-COUNTIF($F$6:INDEX($F:$F, ROW()-1), $F211)) : INDEX(AE:AE, ROW()-1),
   INDEX(AB:AB, ROW()-COUNTIF($F$6:INDEX($F:$F, ROW()-1), $F211)) : INDEX(AB:AB, ROW()-1)
   )
   /SUM(INDEX(AB:AB, ROW()-COUNTIF($F$6:INDEX($F:$F, ROW()-1), $F211)) : INDEX(AB:AB, ROW()-1)),
          AVERAGEIFS(unit_details[Asking Rent],
          unit_details[Active Listing?],TRUE,
          unit_details[Property Name], $F212,
          unit_details[Beds], $L212,
          unit_details[Baths], $M212,
          unit_details[Partial Baths], IF(ISNUMBER($N212),$N212,""),
          unit_details[Sqft],$P212
)),"")</f>
        <v/>
      </c>
      <c r="AF212" s="5" t="str">
        <f>IFERROR(IF(AE212="","",IF($F212="Total",
SUMPRODUCT(
   INDEX(AF:AF, ROW()-COUNTIF($F$6:INDEX($F:$F, ROW()-1), $F211)) : INDEX(AF:AF, ROW()-1),
   INDEX(AB:AB, ROW()-COUNTIF($F$6:INDEX($F:$F, ROW()-1), $F211)) : INDEX(AB:AB, ROW()-1)
   )
   /SUM(INDEX(AB:AB, ROW()-COUNTIF($F$6:INDEX($F:$F, ROW()-1), $F211)) : INDEX(AB:AB, ROW()-1)),
           _xlfn.MAXIFS(unit_details[Asking Rent],
          unit_details[Active Listing?],TRUE,
          unit_details[Property Name], $F212,
          unit_details[Beds], $L212,
          unit_details[Baths], $M212,
          unit_details[Partial Baths], IF(ISNUMBER($N212),$N212,""),
          unit_details[Sqft],$P212
))),"")</f>
        <v/>
      </c>
      <c r="AG212" s="6" t="str">
        <f>IFERROR(IF($F212="Total",
         SUMPRODUCT(
         INDEX(AG:AG, ROW()-COUNTIF($F$6:INDEX($F:$F, ROW()-1), $F211)) : INDEX(AG:AG, ROW()-1),
         INDEX(AB:AB, ROW()-COUNTIF($F$6:INDEX($F:$F, ROW()-1), $F211)) : INDEX(AB:AB, ROW()-1)
         )
         /SUM(INDEX(AB:AB, ROW()-COUNTIF($F$6:INDEX($F:$F, ROW()-1), $F211)) : INDEX(AB:AB, ROW()-1)),
          AVERAGEIFS(unit_details[Asking PSF],
          unit_details[Active Listing?],TRUE,
          unit_details[Property Name], $F212,
          unit_details[Beds], $L212,
          unit_details[Baths], $M212,
          unit_details[Partial Baths], IF(ISNUMBER($N212),$N212,""),
          unit_details[Sqft],$P212
)),"")</f>
        <v/>
      </c>
      <c r="AH212" s="293" t="str">
        <f>IFERROR(IF($F212="Total",
         SUMPRODUCT(
         INDEX(AH:AH, ROW()-COUNTIF($F$6:INDEX($F:$F, ROW()-1), $F211)) : INDEX(AH:AH, ROW()-1),
         INDEX(AB:AB, ROW()-COUNTIF($F$6:INDEX($F:$F, ROW()-1), $F211)) : INDEX(AB:AB, ROW()-1)
         )
         /SUM(INDEX(AB:AB, ROW()-COUNTIF($F$6:INDEX($F:$F, ROW()-1), $F211)) : INDEX(AB:AB, ROW()-1)),
          AVERAGEIFS(unit_details[Effective Rent],
          unit_details[Active Listing?],TRUE,
          unit_details[Property Name], $F212,
          unit_details[Beds], $L212,
          unit_details[Baths], $M212,
          unit_details[Partial Baths], IF(ISNUMBER($N212),$N212,""),
          unit_details[Sqft],$P212
)),"")</f>
        <v/>
      </c>
      <c r="AI212" s="6" t="str">
        <f>IFERROR(IF($F212="Total",
         SUMPRODUCT(
         INDEX(AI:AI, ROW()-COUNTIF($F$6:INDEX($F:$F, ROW()-1), $F211)) : INDEX(AI:AI, ROW()-1),
         INDEX(AB:AB, ROW()-COUNTIF($F$6:INDEX($F:$F, ROW()-1), $F211)) : INDEX(AB:AB, ROW()-1)
         )
         /SUM(INDEX(AB:AB, ROW()-COUNTIF($F$6:INDEX($F:$F, ROW()-1), $F211)) : INDEX(AB:AB, ROW()-1)),
           AVERAGEIFS(unit_details[Effective PSF],
          unit_details[Active Listing?],TRUE,
          unit_details[Property Name], $F212,
          unit_details[Beds], $L212,
          unit_details[Baths], $M212,
          unit_details[Partial Baths], IF(ISNUMBER($N212),$N212,""),
          unit_details[Sqft],$P212
)),"")</f>
        <v/>
      </c>
      <c r="AJ212" s="824" t="str">
        <f t="shared" si="37"/>
        <v/>
      </c>
      <c r="AK212" s="531" t="str">
        <f t="shared" si="38"/>
        <v/>
      </c>
      <c r="AL212" s="714" t="str">
        <f t="shared" si="39"/>
        <v/>
      </c>
      <c r="AM212" s="531" t="str">
        <f t="shared" si="40"/>
        <v/>
      </c>
      <c r="AN212" s="716" t="str">
        <f t="shared" si="41"/>
        <v/>
      </c>
    </row>
    <row r="213" spans="6:40" x14ac:dyDescent="0.2">
      <c r="F213" s="1" t="str">
        <f t="shared" si="34"/>
        <v/>
      </c>
      <c r="G213" s="713" t="str">
        <f t="shared" si="42"/>
        <v/>
      </c>
      <c r="H213" s="17" t="str">
        <f>IFERROR(VLOOKUP($G213,Table1[[Property]:[Exposure %]],4,0),"")</f>
        <v/>
      </c>
      <c r="I213" s="3" t="str">
        <f>IFERROR(VLOOKUP($G213,Table1[[Property]:[Exposure %]],6,0),"")</f>
        <v/>
      </c>
      <c r="J213" s="3" t="str">
        <f>IFERROR(VLOOKUP($G213,Table1[[Property]:[Exposure %]],7,0),"")</f>
        <v/>
      </c>
      <c r="K213"/>
      <c r="L213"/>
      <c r="M213"/>
      <c r="N213"/>
      <c r="O213"/>
      <c r="P213"/>
      <c r="Q213"/>
      <c r="R213" s="4" t="str">
        <f>IFERROR(VLOOKUP(IF(F213="Total",F212,F213),Table1[[Property]:['# Units]],7,0)*S213,"")</f>
        <v/>
      </c>
      <c r="S213" s="27" t="str">
        <f t="shared" si="35"/>
        <v/>
      </c>
      <c r="T213" s="531" t="str">
        <f>IFERROR(
 IF($F213="Total",
   SUMPRODUCT(
   INDEX(T:T, ROW()-COUNTIF($F$6:INDEX($F:$F, ROW()-1), $F212)) : INDEX(T:T, ROW()-1),
   INDEX(W:W, ROW()-COUNTIF($F$6:INDEX($F:$F, ROW()-1), $F212)) : INDEX(W:W, ROW()-1)
   )
   /SUM(INDEX(W:W, ROW()-COUNTIF($F$6:INDEX($F:$F, ROW()-1), $F212)) : INDEX(W:W, ROW()-1)),
   AVERAGEIFS(
     INDEX((unit_details[Asking Rent],unit_details[Asking PSF]),0,1,IF($U$3="Chunk Rent",1,2)),
     unit_details[Leased Date],"&gt;="&amp;($AM$2-T$5),
     unit_details[Leased Date],"&lt;"&amp;$AM$2,
     unit_details[Beds],$L213,
     unit_details[Baths],$M213,
     unit_details[Partial Baths],IF(ISNUMBER($N213),$N213,""),
     unit_details[Sqft],$P213,
     unit_details[Property Name],$F213)
 ),"")</f>
        <v/>
      </c>
      <c r="U213" s="552" t="str">
        <f>IFERROR(
 IF($F213="Total",
   SUMPRODUCT(
   INDEX(U:U, ROW()-COUNTIF($F$6:INDEX($F:$F, ROW()-1), $F212)) : INDEX(U:U, ROW()-1),
   INDEX(W:W, ROW()-COUNTIF($F$6:INDEX($F:$F, ROW()-1), $F212)) : INDEX(W:W, ROW()-1)
   )
   /SUM(INDEX(W:W, ROW()-COUNTIF($F$6:INDEX($F:$F, ROW()-1), $F212)) : INDEX(W:W, ROW()-1)),
   AVERAGEIFS(
     INDEX((unit_details[Effective Rent],unit_details[Effective PSF]),0,1,IF($U$3="Chunk Rent",1,2)),
     unit_details[Leased Date],"&gt;="&amp;($AM$2-T$5),
     unit_details[Leased Date],"&lt;"&amp;$AM$2,
     unit_details[Beds],$L213,
     unit_details[Baths],$M213,
     unit_details[Partial Baths],IF(ISNUMBER($N213),$N213,""),
     unit_details[Sqft],$P213,
     unit_details[Property Name],$F213)
 ),"")</f>
        <v/>
      </c>
      <c r="V213" s="27" t="str">
        <f t="shared" si="43"/>
        <v/>
      </c>
      <c r="W213" s="526">
        <f>IFERROR(
  IF($F213="Total",
    SUM(INDEX(W:W, ROW()-COUNTIF($F$6:INDEX($F:$F, ROW()-1), $F212)) : INDEX(W:W, ROW()-1)),
    COUNTIFS(
      unit_details[Leased Date], "&gt;="&amp;($AM$2-T$5),
      unit_details[Leased Date], "&lt;"&amp;$AM$2,
      unit_details[Beds], $L213,
      unit_details[Baths], $M213,
      unit_details[Partial Baths], IF(ISNUMBER($N213), $N213, ""),
      unit_details[Sqft],$P213,
      unit_details[Property Name], $F213
    )
  ),
"")</f>
        <v>0</v>
      </c>
      <c r="X213" s="531" t="str">
        <f>IFERROR(
 IF($F213="Total",
   SUMPRODUCT(
   INDEX(X:X, ROW()-COUNTIF($F$6:INDEX($F:$F, ROW()-1), $F212)) : INDEX(X:X, ROW()-1),
   INDEX(AA:AA, ROW()-COUNTIF($F$6:INDEX($F:$F, ROW()-1), $F212)) : INDEX(AA:AA, ROW()-1)
   )
   /SUM(INDEX(AA:AA, ROW()-COUNTIF($F$6:INDEX($F:$F, ROW()-1), $F212)) : INDEX(AA:AA, ROW()-1)),
   AVERAGEIFS(
     INDEX((unit_details[Asking Rent],unit_details[Asking PSF]),0,1,IF($U$3="Chunk Rent",1,2)),
     unit_details[Leased Date],"&gt;="&amp;($AM$2-X$5),
     unit_details[Leased Date],"&lt;"&amp;$AM$2,
     unit_details[Beds],$L213,
     unit_details[Baths],$M213,
     unit_details[Partial Baths],IF(ISNUMBER($N213),$N213,""),
     unit_details[Sqft],$P213,
     unit_details[Property Name],$F213)
 ),"")</f>
        <v/>
      </c>
      <c r="Y213" s="552" t="str">
        <f>IFERROR(
 IF($F213="Total",
   SUMPRODUCT(
   INDEX(Y:Y, ROW()-COUNTIF($F$6:INDEX($F:$F, ROW()-1), $F212)) : INDEX(Y:Y, ROW()-1),
   INDEX(AA:AA, ROW()-COUNTIF($F$6:INDEX($F:$F, ROW()-1), $F212)) : INDEX(AA:AA, ROW()-1)
   )
   /SUM(INDEX(AA:AA, ROW()-COUNTIF($F$6:INDEX($F:$F, ROW()-1), $F212)) : INDEX(AA:AA, ROW()-1)),
   AVERAGEIFS(
     INDEX((unit_details[Effective Rent],unit_details[Effective PSF]),0,1,IF($U$3="Chunk Rent",1,2)),
     unit_details[Leased Date],"&gt;="&amp;($AM$2-X$5),
     unit_details[Leased Date],"&lt;"&amp;$AM$2,
     unit_details[Beds],$L213,
     unit_details[Baths],$M213,
     unit_details[Partial Baths],IF(ISNUMBER($N213),$N213,""),
     unit_details[Sqft],$P213,
     unit_details[Property Name],$F213)
 ),"")</f>
        <v/>
      </c>
      <c r="Z213" s="27" t="str">
        <f t="shared" si="44"/>
        <v/>
      </c>
      <c r="AA213" s="526">
        <f>IFERROR(
  IF($F213="Total",
    SUM(INDEX(AA:AA, ROW()-COUNTIF($F$6:INDEX($F:$F, ROW()-1), $F212)) : INDEX(AA:AA, ROW()-1)),
    COUNTIFS(
      unit_details[Leased Date], "&gt;="&amp;($AM$2-X$5),
      unit_details[Leased Date], "&lt;"&amp;$AM$2,
      unit_details[Beds], $L213,
      unit_details[Baths], $M213,
      unit_details[Partial Baths], IF(ISNUMBER($N213), $N213, ""),
      unit_details[Sqft],$P213,
      unit_details[Property Name], $F213
    )
  ),
"")</f>
        <v>0</v>
      </c>
      <c r="AB213" s="290">
        <f>IF($F213="Total",
SUM(INDEX(AB:AB, ROW()-COUNTIF($F$6:INDEX($F:$F, ROW()-1), $F212)) : INDEX(AB:AB, ROW()-1)),
COUNTIFS(unit_details[Active Listing?],TRUE,
          unit_details[Property Name], $F213,
          unit_details[Beds], $L213,
          unit_details[Baths], $M213,
          unit_details[Partial Baths],IF(ISNUMBER($N213),$N213,""),
          unit_details[Sqft],$P213))</f>
        <v>0</v>
      </c>
      <c r="AC213" s="27" t="str">
        <f t="shared" si="36"/>
        <v/>
      </c>
      <c r="AD213" s="293" t="str">
        <f>IFERROR(IF(AE213="","",IF($F213="Total",
SUMPRODUCT(
   INDEX(AD:AD, ROW()-COUNTIF($F$6:INDEX($F:$F, ROW()-1), $F212)) : INDEX(AD:AD, ROW()-1),
   INDEX(AB:AB, ROW()-COUNTIF($F$6:INDEX($F:$F, ROW()-1), $F212)) : INDEX(AB:AB, ROW()-1)
   )
   /SUM(INDEX(AB:AB, ROW()-COUNTIF($F$6:INDEX($F:$F, ROW()-1), $F212)) : INDEX(AB:AB, ROW()-1)),
          _xlfn.MINIFS(unit_details[Asking Rent],
          unit_details[Active Listing?],TRUE,
          unit_details[Property Name], $F213,
          unit_details[Beds], $L213,
          unit_details[Baths], $M213,
          unit_details[Partial Baths], IF(ISNUMBER($N213),$N213,""),
          unit_details[Sqft],$P213
))),"")</f>
        <v/>
      </c>
      <c r="AE213" s="5" t="str">
        <f>IFERROR(IF($F213="Total",
          SUMPRODUCT(
   INDEX(AE:AE, ROW()-COUNTIF($F$6:INDEX($F:$F, ROW()-1), $F212)) : INDEX(AE:AE, ROW()-1),
   INDEX(AB:AB, ROW()-COUNTIF($F$6:INDEX($F:$F, ROW()-1), $F212)) : INDEX(AB:AB, ROW()-1)
   )
   /SUM(INDEX(AB:AB, ROW()-COUNTIF($F$6:INDEX($F:$F, ROW()-1), $F212)) : INDEX(AB:AB, ROW()-1)),
          AVERAGEIFS(unit_details[Asking Rent],
          unit_details[Active Listing?],TRUE,
          unit_details[Property Name], $F213,
          unit_details[Beds], $L213,
          unit_details[Baths], $M213,
          unit_details[Partial Baths], IF(ISNUMBER($N213),$N213,""),
          unit_details[Sqft],$P213
)),"")</f>
        <v/>
      </c>
      <c r="AF213" s="5" t="str">
        <f>IFERROR(IF(AE213="","",IF($F213="Total",
SUMPRODUCT(
   INDEX(AF:AF, ROW()-COUNTIF($F$6:INDEX($F:$F, ROW()-1), $F212)) : INDEX(AF:AF, ROW()-1),
   INDEX(AB:AB, ROW()-COUNTIF($F$6:INDEX($F:$F, ROW()-1), $F212)) : INDEX(AB:AB, ROW()-1)
   )
   /SUM(INDEX(AB:AB, ROW()-COUNTIF($F$6:INDEX($F:$F, ROW()-1), $F212)) : INDEX(AB:AB, ROW()-1)),
           _xlfn.MAXIFS(unit_details[Asking Rent],
          unit_details[Active Listing?],TRUE,
          unit_details[Property Name], $F213,
          unit_details[Beds], $L213,
          unit_details[Baths], $M213,
          unit_details[Partial Baths], IF(ISNUMBER($N213),$N213,""),
          unit_details[Sqft],$P213
))),"")</f>
        <v/>
      </c>
      <c r="AG213" s="6" t="str">
        <f>IFERROR(IF($F213="Total",
         SUMPRODUCT(
         INDEX(AG:AG, ROW()-COUNTIF($F$6:INDEX($F:$F, ROW()-1), $F212)) : INDEX(AG:AG, ROW()-1),
         INDEX(AB:AB, ROW()-COUNTIF($F$6:INDEX($F:$F, ROW()-1), $F212)) : INDEX(AB:AB, ROW()-1)
         )
         /SUM(INDEX(AB:AB, ROW()-COUNTIF($F$6:INDEX($F:$F, ROW()-1), $F212)) : INDEX(AB:AB, ROW()-1)),
          AVERAGEIFS(unit_details[Asking PSF],
          unit_details[Active Listing?],TRUE,
          unit_details[Property Name], $F213,
          unit_details[Beds], $L213,
          unit_details[Baths], $M213,
          unit_details[Partial Baths], IF(ISNUMBER($N213),$N213,""),
          unit_details[Sqft],$P213
)),"")</f>
        <v/>
      </c>
      <c r="AH213" s="293" t="str">
        <f>IFERROR(IF($F213="Total",
         SUMPRODUCT(
         INDEX(AH:AH, ROW()-COUNTIF($F$6:INDEX($F:$F, ROW()-1), $F212)) : INDEX(AH:AH, ROW()-1),
         INDEX(AB:AB, ROW()-COUNTIF($F$6:INDEX($F:$F, ROW()-1), $F212)) : INDEX(AB:AB, ROW()-1)
         )
         /SUM(INDEX(AB:AB, ROW()-COUNTIF($F$6:INDEX($F:$F, ROW()-1), $F212)) : INDEX(AB:AB, ROW()-1)),
          AVERAGEIFS(unit_details[Effective Rent],
          unit_details[Active Listing?],TRUE,
          unit_details[Property Name], $F213,
          unit_details[Beds], $L213,
          unit_details[Baths], $M213,
          unit_details[Partial Baths], IF(ISNUMBER($N213),$N213,""),
          unit_details[Sqft],$P213
)),"")</f>
        <v/>
      </c>
      <c r="AI213" s="6" t="str">
        <f>IFERROR(IF($F213="Total",
         SUMPRODUCT(
         INDEX(AI:AI, ROW()-COUNTIF($F$6:INDEX($F:$F, ROW()-1), $F212)) : INDEX(AI:AI, ROW()-1),
         INDEX(AB:AB, ROW()-COUNTIF($F$6:INDEX($F:$F, ROW()-1), $F212)) : INDEX(AB:AB, ROW()-1)
         )
         /SUM(INDEX(AB:AB, ROW()-COUNTIF($F$6:INDEX($F:$F, ROW()-1), $F212)) : INDEX(AB:AB, ROW()-1)),
           AVERAGEIFS(unit_details[Effective PSF],
          unit_details[Active Listing?],TRUE,
          unit_details[Property Name], $F213,
          unit_details[Beds], $L213,
          unit_details[Baths], $M213,
          unit_details[Partial Baths], IF(ISNUMBER($N213),$N213,""),
          unit_details[Sqft],$P213
)),"")</f>
        <v/>
      </c>
      <c r="AJ213" s="824" t="str">
        <f t="shared" si="37"/>
        <v/>
      </c>
      <c r="AK213" s="531" t="str">
        <f t="shared" si="38"/>
        <v/>
      </c>
      <c r="AL213" s="714" t="str">
        <f t="shared" si="39"/>
        <v/>
      </c>
      <c r="AM213" s="531" t="str">
        <f t="shared" si="40"/>
        <v/>
      </c>
      <c r="AN213" s="716" t="str">
        <f t="shared" si="41"/>
        <v/>
      </c>
    </row>
    <row r="214" spans="6:40" x14ac:dyDescent="0.2">
      <c r="F214" s="1" t="str">
        <f t="shared" si="34"/>
        <v/>
      </c>
      <c r="G214" s="713" t="str">
        <f t="shared" si="42"/>
        <v/>
      </c>
      <c r="H214" s="17" t="str">
        <f>IFERROR(VLOOKUP($G214,Table1[[Property]:[Exposure %]],4,0),"")</f>
        <v/>
      </c>
      <c r="I214" s="3" t="str">
        <f>IFERROR(VLOOKUP($G214,Table1[[Property]:[Exposure %]],6,0),"")</f>
        <v/>
      </c>
      <c r="J214" s="3" t="str">
        <f>IFERROR(VLOOKUP($G214,Table1[[Property]:[Exposure %]],7,0),"")</f>
        <v/>
      </c>
      <c r="K214"/>
      <c r="L214"/>
      <c r="M214"/>
      <c r="N214"/>
      <c r="O214"/>
      <c r="P214"/>
      <c r="Q214"/>
      <c r="R214" s="4" t="str">
        <f>IFERROR(VLOOKUP(IF(F214="Total",F213,F214),Table1[[Property]:['# Units]],7,0)*S214,"")</f>
        <v/>
      </c>
      <c r="S214" s="27" t="str">
        <f t="shared" si="35"/>
        <v/>
      </c>
      <c r="T214" s="531" t="str">
        <f>IFERROR(
 IF($F214="Total",
   SUMPRODUCT(
   INDEX(T:T, ROW()-COUNTIF($F$6:INDEX($F:$F, ROW()-1), $F213)) : INDEX(T:T, ROW()-1),
   INDEX(W:W, ROW()-COUNTIF($F$6:INDEX($F:$F, ROW()-1), $F213)) : INDEX(W:W, ROW()-1)
   )
   /SUM(INDEX(W:W, ROW()-COUNTIF($F$6:INDEX($F:$F, ROW()-1), $F213)) : INDEX(W:W, ROW()-1)),
   AVERAGEIFS(
     INDEX((unit_details[Asking Rent],unit_details[Asking PSF]),0,1,IF($U$3="Chunk Rent",1,2)),
     unit_details[Leased Date],"&gt;="&amp;($AM$2-T$5),
     unit_details[Leased Date],"&lt;"&amp;$AM$2,
     unit_details[Beds],$L214,
     unit_details[Baths],$M214,
     unit_details[Partial Baths],IF(ISNUMBER($N214),$N214,""),
     unit_details[Sqft],$P214,
     unit_details[Property Name],$F214)
 ),"")</f>
        <v/>
      </c>
      <c r="U214" s="552" t="str">
        <f>IFERROR(
 IF($F214="Total",
   SUMPRODUCT(
   INDEX(U:U, ROW()-COUNTIF($F$6:INDEX($F:$F, ROW()-1), $F213)) : INDEX(U:U, ROW()-1),
   INDEX(W:W, ROW()-COUNTIF($F$6:INDEX($F:$F, ROW()-1), $F213)) : INDEX(W:W, ROW()-1)
   )
   /SUM(INDEX(W:W, ROW()-COUNTIF($F$6:INDEX($F:$F, ROW()-1), $F213)) : INDEX(W:W, ROW()-1)),
   AVERAGEIFS(
     INDEX((unit_details[Effective Rent],unit_details[Effective PSF]),0,1,IF($U$3="Chunk Rent",1,2)),
     unit_details[Leased Date],"&gt;="&amp;($AM$2-T$5),
     unit_details[Leased Date],"&lt;"&amp;$AM$2,
     unit_details[Beds],$L214,
     unit_details[Baths],$M214,
     unit_details[Partial Baths],IF(ISNUMBER($N214),$N214,""),
     unit_details[Sqft],$P214,
     unit_details[Property Name],$F214)
 ),"")</f>
        <v/>
      </c>
      <c r="V214" s="27" t="str">
        <f t="shared" si="43"/>
        <v/>
      </c>
      <c r="W214" s="526">
        <f>IFERROR(
  IF($F214="Total",
    SUM(INDEX(W:W, ROW()-COUNTIF($F$6:INDEX($F:$F, ROW()-1), $F213)) : INDEX(W:W, ROW()-1)),
    COUNTIFS(
      unit_details[Leased Date], "&gt;="&amp;($AM$2-T$5),
      unit_details[Leased Date], "&lt;"&amp;$AM$2,
      unit_details[Beds], $L214,
      unit_details[Baths], $M214,
      unit_details[Partial Baths], IF(ISNUMBER($N214), $N214, ""),
      unit_details[Sqft],$P214,
      unit_details[Property Name], $F214
    )
  ),
"")</f>
        <v>0</v>
      </c>
      <c r="X214" s="531" t="str">
        <f>IFERROR(
 IF($F214="Total",
   SUMPRODUCT(
   INDEX(X:X, ROW()-COUNTIF($F$6:INDEX($F:$F, ROW()-1), $F213)) : INDEX(X:X, ROW()-1),
   INDEX(AA:AA, ROW()-COUNTIF($F$6:INDEX($F:$F, ROW()-1), $F213)) : INDEX(AA:AA, ROW()-1)
   )
   /SUM(INDEX(AA:AA, ROW()-COUNTIF($F$6:INDEX($F:$F, ROW()-1), $F213)) : INDEX(AA:AA, ROW()-1)),
   AVERAGEIFS(
     INDEX((unit_details[Asking Rent],unit_details[Asking PSF]),0,1,IF($U$3="Chunk Rent",1,2)),
     unit_details[Leased Date],"&gt;="&amp;($AM$2-X$5),
     unit_details[Leased Date],"&lt;"&amp;$AM$2,
     unit_details[Beds],$L214,
     unit_details[Baths],$M214,
     unit_details[Partial Baths],IF(ISNUMBER($N214),$N214,""),
     unit_details[Sqft],$P214,
     unit_details[Property Name],$F214)
 ),"")</f>
        <v/>
      </c>
      <c r="Y214" s="552" t="str">
        <f>IFERROR(
 IF($F214="Total",
   SUMPRODUCT(
   INDEX(Y:Y, ROW()-COUNTIF($F$6:INDEX($F:$F, ROW()-1), $F213)) : INDEX(Y:Y, ROW()-1),
   INDEX(AA:AA, ROW()-COUNTIF($F$6:INDEX($F:$F, ROW()-1), $F213)) : INDEX(AA:AA, ROW()-1)
   )
   /SUM(INDEX(AA:AA, ROW()-COUNTIF($F$6:INDEX($F:$F, ROW()-1), $F213)) : INDEX(AA:AA, ROW()-1)),
   AVERAGEIFS(
     INDEX((unit_details[Effective Rent],unit_details[Effective PSF]),0,1,IF($U$3="Chunk Rent",1,2)),
     unit_details[Leased Date],"&gt;="&amp;($AM$2-X$5),
     unit_details[Leased Date],"&lt;"&amp;$AM$2,
     unit_details[Beds],$L214,
     unit_details[Baths],$M214,
     unit_details[Partial Baths],IF(ISNUMBER($N214),$N214,""),
     unit_details[Sqft],$P214,
     unit_details[Property Name],$F214)
 ),"")</f>
        <v/>
      </c>
      <c r="Z214" s="27" t="str">
        <f t="shared" si="44"/>
        <v/>
      </c>
      <c r="AA214" s="526">
        <f>IFERROR(
  IF($F214="Total",
    SUM(INDEX(AA:AA, ROW()-COUNTIF($F$6:INDEX($F:$F, ROW()-1), $F213)) : INDEX(AA:AA, ROW()-1)),
    COUNTIFS(
      unit_details[Leased Date], "&gt;="&amp;($AM$2-X$5),
      unit_details[Leased Date], "&lt;"&amp;$AM$2,
      unit_details[Beds], $L214,
      unit_details[Baths], $M214,
      unit_details[Partial Baths], IF(ISNUMBER($N214), $N214, ""),
      unit_details[Sqft],$P214,
      unit_details[Property Name], $F214
    )
  ),
"")</f>
        <v>0</v>
      </c>
      <c r="AB214" s="290">
        <f>IF($F214="Total",
SUM(INDEX(AB:AB, ROW()-COUNTIF($F$6:INDEX($F:$F, ROW()-1), $F213)) : INDEX(AB:AB, ROW()-1)),
COUNTIFS(unit_details[Active Listing?],TRUE,
          unit_details[Property Name], $F214,
          unit_details[Beds], $L214,
          unit_details[Baths], $M214,
          unit_details[Partial Baths],IF(ISNUMBER($N214),$N214,""),
          unit_details[Sqft],$P214))</f>
        <v>0</v>
      </c>
      <c r="AC214" s="27" t="str">
        <f t="shared" si="36"/>
        <v/>
      </c>
      <c r="AD214" s="293" t="str">
        <f>IFERROR(IF(AE214="","",IF($F214="Total",
SUMPRODUCT(
   INDEX(AD:AD, ROW()-COUNTIF($F$6:INDEX($F:$F, ROW()-1), $F213)) : INDEX(AD:AD, ROW()-1),
   INDEX(AB:AB, ROW()-COUNTIF($F$6:INDEX($F:$F, ROW()-1), $F213)) : INDEX(AB:AB, ROW()-1)
   )
   /SUM(INDEX(AB:AB, ROW()-COUNTIF($F$6:INDEX($F:$F, ROW()-1), $F213)) : INDEX(AB:AB, ROW()-1)),
          _xlfn.MINIFS(unit_details[Asking Rent],
          unit_details[Active Listing?],TRUE,
          unit_details[Property Name], $F214,
          unit_details[Beds], $L214,
          unit_details[Baths], $M214,
          unit_details[Partial Baths], IF(ISNUMBER($N214),$N214,""),
          unit_details[Sqft],$P214
))),"")</f>
        <v/>
      </c>
      <c r="AE214" s="5" t="str">
        <f>IFERROR(IF($F214="Total",
          SUMPRODUCT(
   INDEX(AE:AE, ROW()-COUNTIF($F$6:INDEX($F:$F, ROW()-1), $F213)) : INDEX(AE:AE, ROW()-1),
   INDEX(AB:AB, ROW()-COUNTIF($F$6:INDEX($F:$F, ROW()-1), $F213)) : INDEX(AB:AB, ROW()-1)
   )
   /SUM(INDEX(AB:AB, ROW()-COUNTIF($F$6:INDEX($F:$F, ROW()-1), $F213)) : INDEX(AB:AB, ROW()-1)),
          AVERAGEIFS(unit_details[Asking Rent],
          unit_details[Active Listing?],TRUE,
          unit_details[Property Name], $F214,
          unit_details[Beds], $L214,
          unit_details[Baths], $M214,
          unit_details[Partial Baths], IF(ISNUMBER($N214),$N214,""),
          unit_details[Sqft],$P214
)),"")</f>
        <v/>
      </c>
      <c r="AF214" s="5" t="str">
        <f>IFERROR(IF(AE214="","",IF($F214="Total",
SUMPRODUCT(
   INDEX(AF:AF, ROW()-COUNTIF($F$6:INDEX($F:$F, ROW()-1), $F213)) : INDEX(AF:AF, ROW()-1),
   INDEX(AB:AB, ROW()-COUNTIF($F$6:INDEX($F:$F, ROW()-1), $F213)) : INDEX(AB:AB, ROW()-1)
   )
   /SUM(INDEX(AB:AB, ROW()-COUNTIF($F$6:INDEX($F:$F, ROW()-1), $F213)) : INDEX(AB:AB, ROW()-1)),
           _xlfn.MAXIFS(unit_details[Asking Rent],
          unit_details[Active Listing?],TRUE,
          unit_details[Property Name], $F214,
          unit_details[Beds], $L214,
          unit_details[Baths], $M214,
          unit_details[Partial Baths], IF(ISNUMBER($N214),$N214,""),
          unit_details[Sqft],$P214
))),"")</f>
        <v/>
      </c>
      <c r="AG214" s="6" t="str">
        <f>IFERROR(IF($F214="Total",
         SUMPRODUCT(
         INDEX(AG:AG, ROW()-COUNTIF($F$6:INDEX($F:$F, ROW()-1), $F213)) : INDEX(AG:AG, ROW()-1),
         INDEX(AB:AB, ROW()-COUNTIF($F$6:INDEX($F:$F, ROW()-1), $F213)) : INDEX(AB:AB, ROW()-1)
         )
         /SUM(INDEX(AB:AB, ROW()-COUNTIF($F$6:INDEX($F:$F, ROW()-1), $F213)) : INDEX(AB:AB, ROW()-1)),
          AVERAGEIFS(unit_details[Asking PSF],
          unit_details[Active Listing?],TRUE,
          unit_details[Property Name], $F214,
          unit_details[Beds], $L214,
          unit_details[Baths], $M214,
          unit_details[Partial Baths], IF(ISNUMBER($N214),$N214,""),
          unit_details[Sqft],$P214
)),"")</f>
        <v/>
      </c>
      <c r="AH214" s="293" t="str">
        <f>IFERROR(IF($F214="Total",
         SUMPRODUCT(
         INDEX(AH:AH, ROW()-COUNTIF($F$6:INDEX($F:$F, ROW()-1), $F213)) : INDEX(AH:AH, ROW()-1),
         INDEX(AB:AB, ROW()-COUNTIF($F$6:INDEX($F:$F, ROW()-1), $F213)) : INDEX(AB:AB, ROW()-1)
         )
         /SUM(INDEX(AB:AB, ROW()-COUNTIF($F$6:INDEX($F:$F, ROW()-1), $F213)) : INDEX(AB:AB, ROW()-1)),
          AVERAGEIFS(unit_details[Effective Rent],
          unit_details[Active Listing?],TRUE,
          unit_details[Property Name], $F214,
          unit_details[Beds], $L214,
          unit_details[Baths], $M214,
          unit_details[Partial Baths], IF(ISNUMBER($N214),$N214,""),
          unit_details[Sqft],$P214
)),"")</f>
        <v/>
      </c>
      <c r="AI214" s="6" t="str">
        <f>IFERROR(IF($F214="Total",
         SUMPRODUCT(
         INDEX(AI:AI, ROW()-COUNTIF($F$6:INDEX($F:$F, ROW()-1), $F213)) : INDEX(AI:AI, ROW()-1),
         INDEX(AB:AB, ROW()-COUNTIF($F$6:INDEX($F:$F, ROW()-1), $F213)) : INDEX(AB:AB, ROW()-1)
         )
         /SUM(INDEX(AB:AB, ROW()-COUNTIF($F$6:INDEX($F:$F, ROW()-1), $F213)) : INDEX(AB:AB, ROW()-1)),
           AVERAGEIFS(unit_details[Effective PSF],
          unit_details[Active Listing?],TRUE,
          unit_details[Property Name], $F214,
          unit_details[Beds], $L214,
          unit_details[Baths], $M214,
          unit_details[Partial Baths], IF(ISNUMBER($N214),$N214,""),
          unit_details[Sqft],$P214
)),"")</f>
        <v/>
      </c>
      <c r="AJ214" s="824" t="str">
        <f t="shared" si="37"/>
        <v/>
      </c>
      <c r="AK214" s="531" t="str">
        <f t="shared" si="38"/>
        <v/>
      </c>
      <c r="AL214" s="714" t="str">
        <f t="shared" si="39"/>
        <v/>
      </c>
      <c r="AM214" s="531" t="str">
        <f t="shared" si="40"/>
        <v/>
      </c>
      <c r="AN214" s="716" t="str">
        <f t="shared" si="41"/>
        <v/>
      </c>
    </row>
    <row r="215" spans="6:40" x14ac:dyDescent="0.2">
      <c r="F215" s="1" t="str">
        <f t="shared" si="34"/>
        <v/>
      </c>
      <c r="G215" s="713" t="str">
        <f t="shared" si="42"/>
        <v/>
      </c>
      <c r="H215" s="17" t="str">
        <f>IFERROR(VLOOKUP($G215,Table1[[Property]:[Exposure %]],4,0),"")</f>
        <v/>
      </c>
      <c r="I215" s="3" t="str">
        <f>IFERROR(VLOOKUP($G215,Table1[[Property]:[Exposure %]],6,0),"")</f>
        <v/>
      </c>
      <c r="J215" s="3" t="str">
        <f>IFERROR(VLOOKUP($G215,Table1[[Property]:[Exposure %]],7,0),"")</f>
        <v/>
      </c>
      <c r="K215"/>
      <c r="L215"/>
      <c r="M215"/>
      <c r="N215"/>
      <c r="O215"/>
      <c r="P215"/>
      <c r="Q215"/>
      <c r="R215" s="4" t="str">
        <f>IFERROR(VLOOKUP(IF(F215="Total",F214,F215),Table1[[Property]:['# Units]],7,0)*S215,"")</f>
        <v/>
      </c>
      <c r="S215" s="27" t="str">
        <f t="shared" si="35"/>
        <v/>
      </c>
      <c r="T215" s="531" t="str">
        <f>IFERROR(
 IF($F215="Total",
   SUMPRODUCT(
   INDEX(T:T, ROW()-COUNTIF($F$6:INDEX($F:$F, ROW()-1), $F214)) : INDEX(T:T, ROW()-1),
   INDEX(W:W, ROW()-COUNTIF($F$6:INDEX($F:$F, ROW()-1), $F214)) : INDEX(W:W, ROW()-1)
   )
   /SUM(INDEX(W:W, ROW()-COUNTIF($F$6:INDEX($F:$F, ROW()-1), $F214)) : INDEX(W:W, ROW()-1)),
   AVERAGEIFS(
     INDEX((unit_details[Asking Rent],unit_details[Asking PSF]),0,1,IF($U$3="Chunk Rent",1,2)),
     unit_details[Leased Date],"&gt;="&amp;($AM$2-T$5),
     unit_details[Leased Date],"&lt;"&amp;$AM$2,
     unit_details[Beds],$L215,
     unit_details[Baths],$M215,
     unit_details[Partial Baths],IF(ISNUMBER($N215),$N215,""),
     unit_details[Sqft],$P215,
     unit_details[Property Name],$F215)
 ),"")</f>
        <v/>
      </c>
      <c r="U215" s="552" t="str">
        <f>IFERROR(
 IF($F215="Total",
   SUMPRODUCT(
   INDEX(U:U, ROW()-COUNTIF($F$6:INDEX($F:$F, ROW()-1), $F214)) : INDEX(U:U, ROW()-1),
   INDEX(W:W, ROW()-COUNTIF($F$6:INDEX($F:$F, ROW()-1), $F214)) : INDEX(W:W, ROW()-1)
   )
   /SUM(INDEX(W:W, ROW()-COUNTIF($F$6:INDEX($F:$F, ROW()-1), $F214)) : INDEX(W:W, ROW()-1)),
   AVERAGEIFS(
     INDEX((unit_details[Effective Rent],unit_details[Effective PSF]),0,1,IF($U$3="Chunk Rent",1,2)),
     unit_details[Leased Date],"&gt;="&amp;($AM$2-T$5),
     unit_details[Leased Date],"&lt;"&amp;$AM$2,
     unit_details[Beds],$L215,
     unit_details[Baths],$M215,
     unit_details[Partial Baths],IF(ISNUMBER($N215),$N215,""),
     unit_details[Sqft],$P215,
     unit_details[Property Name],$F215)
 ),"")</f>
        <v/>
      </c>
      <c r="V215" s="27" t="str">
        <f t="shared" si="43"/>
        <v/>
      </c>
      <c r="W215" s="526">
        <f>IFERROR(
  IF($F215="Total",
    SUM(INDEX(W:W, ROW()-COUNTIF($F$6:INDEX($F:$F, ROW()-1), $F214)) : INDEX(W:W, ROW()-1)),
    COUNTIFS(
      unit_details[Leased Date], "&gt;="&amp;($AM$2-T$5),
      unit_details[Leased Date], "&lt;"&amp;$AM$2,
      unit_details[Beds], $L215,
      unit_details[Baths], $M215,
      unit_details[Partial Baths], IF(ISNUMBER($N215), $N215, ""),
      unit_details[Sqft],$P215,
      unit_details[Property Name], $F215
    )
  ),
"")</f>
        <v>0</v>
      </c>
      <c r="X215" s="531" t="str">
        <f>IFERROR(
 IF($F215="Total",
   SUMPRODUCT(
   INDEX(X:X, ROW()-COUNTIF($F$6:INDEX($F:$F, ROW()-1), $F214)) : INDEX(X:X, ROW()-1),
   INDEX(AA:AA, ROW()-COUNTIF($F$6:INDEX($F:$F, ROW()-1), $F214)) : INDEX(AA:AA, ROW()-1)
   )
   /SUM(INDEX(AA:AA, ROW()-COUNTIF($F$6:INDEX($F:$F, ROW()-1), $F214)) : INDEX(AA:AA, ROW()-1)),
   AVERAGEIFS(
     INDEX((unit_details[Asking Rent],unit_details[Asking PSF]),0,1,IF($U$3="Chunk Rent",1,2)),
     unit_details[Leased Date],"&gt;="&amp;($AM$2-X$5),
     unit_details[Leased Date],"&lt;"&amp;$AM$2,
     unit_details[Beds],$L215,
     unit_details[Baths],$M215,
     unit_details[Partial Baths],IF(ISNUMBER($N215),$N215,""),
     unit_details[Sqft],$P215,
     unit_details[Property Name],$F215)
 ),"")</f>
        <v/>
      </c>
      <c r="Y215" s="552" t="str">
        <f>IFERROR(
 IF($F215="Total",
   SUMPRODUCT(
   INDEX(Y:Y, ROW()-COUNTIF($F$6:INDEX($F:$F, ROW()-1), $F214)) : INDEX(Y:Y, ROW()-1),
   INDEX(AA:AA, ROW()-COUNTIF($F$6:INDEX($F:$F, ROW()-1), $F214)) : INDEX(AA:AA, ROW()-1)
   )
   /SUM(INDEX(AA:AA, ROW()-COUNTIF($F$6:INDEX($F:$F, ROW()-1), $F214)) : INDEX(AA:AA, ROW()-1)),
   AVERAGEIFS(
     INDEX((unit_details[Effective Rent],unit_details[Effective PSF]),0,1,IF($U$3="Chunk Rent",1,2)),
     unit_details[Leased Date],"&gt;="&amp;($AM$2-X$5),
     unit_details[Leased Date],"&lt;"&amp;$AM$2,
     unit_details[Beds],$L215,
     unit_details[Baths],$M215,
     unit_details[Partial Baths],IF(ISNUMBER($N215),$N215,""),
     unit_details[Sqft],$P215,
     unit_details[Property Name],$F215)
 ),"")</f>
        <v/>
      </c>
      <c r="Z215" s="27" t="str">
        <f t="shared" si="44"/>
        <v/>
      </c>
      <c r="AA215" s="526">
        <f>IFERROR(
  IF($F215="Total",
    SUM(INDEX(AA:AA, ROW()-COUNTIF($F$6:INDEX($F:$F, ROW()-1), $F214)) : INDEX(AA:AA, ROW()-1)),
    COUNTIFS(
      unit_details[Leased Date], "&gt;="&amp;($AM$2-X$5),
      unit_details[Leased Date], "&lt;"&amp;$AM$2,
      unit_details[Beds], $L215,
      unit_details[Baths], $M215,
      unit_details[Partial Baths], IF(ISNUMBER($N215), $N215, ""),
      unit_details[Sqft],$P215,
      unit_details[Property Name], $F215
    )
  ),
"")</f>
        <v>0</v>
      </c>
      <c r="AB215" s="290">
        <f>IF($F215="Total",
SUM(INDEX(AB:AB, ROW()-COUNTIF($F$6:INDEX($F:$F, ROW()-1), $F214)) : INDEX(AB:AB, ROW()-1)),
COUNTIFS(unit_details[Active Listing?],TRUE,
          unit_details[Property Name], $F215,
          unit_details[Beds], $L215,
          unit_details[Baths], $M215,
          unit_details[Partial Baths],IF(ISNUMBER($N215),$N215,""),
          unit_details[Sqft],$P215))</f>
        <v>0</v>
      </c>
      <c r="AC215" s="27" t="str">
        <f t="shared" si="36"/>
        <v/>
      </c>
      <c r="AD215" s="293" t="str">
        <f>IFERROR(IF(AE215="","",IF($F215="Total",
SUMPRODUCT(
   INDEX(AD:AD, ROW()-COUNTIF($F$6:INDEX($F:$F, ROW()-1), $F214)) : INDEX(AD:AD, ROW()-1),
   INDEX(AB:AB, ROW()-COUNTIF($F$6:INDEX($F:$F, ROW()-1), $F214)) : INDEX(AB:AB, ROW()-1)
   )
   /SUM(INDEX(AB:AB, ROW()-COUNTIF($F$6:INDEX($F:$F, ROW()-1), $F214)) : INDEX(AB:AB, ROW()-1)),
          _xlfn.MINIFS(unit_details[Asking Rent],
          unit_details[Active Listing?],TRUE,
          unit_details[Property Name], $F215,
          unit_details[Beds], $L215,
          unit_details[Baths], $M215,
          unit_details[Partial Baths], IF(ISNUMBER($N215),$N215,""),
          unit_details[Sqft],$P215
))),"")</f>
        <v/>
      </c>
      <c r="AE215" s="5" t="str">
        <f>IFERROR(IF($F215="Total",
          SUMPRODUCT(
   INDEX(AE:AE, ROW()-COUNTIF($F$6:INDEX($F:$F, ROW()-1), $F214)) : INDEX(AE:AE, ROW()-1),
   INDEX(AB:AB, ROW()-COUNTIF($F$6:INDEX($F:$F, ROW()-1), $F214)) : INDEX(AB:AB, ROW()-1)
   )
   /SUM(INDEX(AB:AB, ROW()-COUNTIF($F$6:INDEX($F:$F, ROW()-1), $F214)) : INDEX(AB:AB, ROW()-1)),
          AVERAGEIFS(unit_details[Asking Rent],
          unit_details[Active Listing?],TRUE,
          unit_details[Property Name], $F215,
          unit_details[Beds], $L215,
          unit_details[Baths], $M215,
          unit_details[Partial Baths], IF(ISNUMBER($N215),$N215,""),
          unit_details[Sqft],$P215
)),"")</f>
        <v/>
      </c>
      <c r="AF215" s="5" t="str">
        <f>IFERROR(IF(AE215="","",IF($F215="Total",
SUMPRODUCT(
   INDEX(AF:AF, ROW()-COUNTIF($F$6:INDEX($F:$F, ROW()-1), $F214)) : INDEX(AF:AF, ROW()-1),
   INDEX(AB:AB, ROW()-COUNTIF($F$6:INDEX($F:$F, ROW()-1), $F214)) : INDEX(AB:AB, ROW()-1)
   )
   /SUM(INDEX(AB:AB, ROW()-COUNTIF($F$6:INDEX($F:$F, ROW()-1), $F214)) : INDEX(AB:AB, ROW()-1)),
           _xlfn.MAXIFS(unit_details[Asking Rent],
          unit_details[Active Listing?],TRUE,
          unit_details[Property Name], $F215,
          unit_details[Beds], $L215,
          unit_details[Baths], $M215,
          unit_details[Partial Baths], IF(ISNUMBER($N215),$N215,""),
          unit_details[Sqft],$P215
))),"")</f>
        <v/>
      </c>
      <c r="AG215" s="6" t="str">
        <f>IFERROR(IF($F215="Total",
         SUMPRODUCT(
         INDEX(AG:AG, ROW()-COUNTIF($F$6:INDEX($F:$F, ROW()-1), $F214)) : INDEX(AG:AG, ROW()-1),
         INDEX(AB:AB, ROW()-COUNTIF($F$6:INDEX($F:$F, ROW()-1), $F214)) : INDEX(AB:AB, ROW()-1)
         )
         /SUM(INDEX(AB:AB, ROW()-COUNTIF($F$6:INDEX($F:$F, ROW()-1), $F214)) : INDEX(AB:AB, ROW()-1)),
          AVERAGEIFS(unit_details[Asking PSF],
          unit_details[Active Listing?],TRUE,
          unit_details[Property Name], $F215,
          unit_details[Beds], $L215,
          unit_details[Baths], $M215,
          unit_details[Partial Baths], IF(ISNUMBER($N215),$N215,""),
          unit_details[Sqft],$P215
)),"")</f>
        <v/>
      </c>
      <c r="AH215" s="293" t="str">
        <f>IFERROR(IF($F215="Total",
         SUMPRODUCT(
         INDEX(AH:AH, ROW()-COUNTIF($F$6:INDEX($F:$F, ROW()-1), $F214)) : INDEX(AH:AH, ROW()-1),
         INDEX(AB:AB, ROW()-COUNTIF($F$6:INDEX($F:$F, ROW()-1), $F214)) : INDEX(AB:AB, ROW()-1)
         )
         /SUM(INDEX(AB:AB, ROW()-COUNTIF($F$6:INDEX($F:$F, ROW()-1), $F214)) : INDEX(AB:AB, ROW()-1)),
          AVERAGEIFS(unit_details[Effective Rent],
          unit_details[Active Listing?],TRUE,
          unit_details[Property Name], $F215,
          unit_details[Beds], $L215,
          unit_details[Baths], $M215,
          unit_details[Partial Baths], IF(ISNUMBER($N215),$N215,""),
          unit_details[Sqft],$P215
)),"")</f>
        <v/>
      </c>
      <c r="AI215" s="6" t="str">
        <f>IFERROR(IF($F215="Total",
         SUMPRODUCT(
         INDEX(AI:AI, ROW()-COUNTIF($F$6:INDEX($F:$F, ROW()-1), $F214)) : INDEX(AI:AI, ROW()-1),
         INDEX(AB:AB, ROW()-COUNTIF($F$6:INDEX($F:$F, ROW()-1), $F214)) : INDEX(AB:AB, ROW()-1)
         )
         /SUM(INDEX(AB:AB, ROW()-COUNTIF($F$6:INDEX($F:$F, ROW()-1), $F214)) : INDEX(AB:AB, ROW()-1)),
           AVERAGEIFS(unit_details[Effective PSF],
          unit_details[Active Listing?],TRUE,
          unit_details[Property Name], $F215,
          unit_details[Beds], $L215,
          unit_details[Baths], $M215,
          unit_details[Partial Baths], IF(ISNUMBER($N215),$N215,""),
          unit_details[Sqft],$P215
)),"")</f>
        <v/>
      </c>
      <c r="AJ215" s="824" t="str">
        <f t="shared" si="37"/>
        <v/>
      </c>
      <c r="AK215" s="531" t="str">
        <f t="shared" si="38"/>
        <v/>
      </c>
      <c r="AL215" s="714" t="str">
        <f t="shared" si="39"/>
        <v/>
      </c>
      <c r="AM215" s="531" t="str">
        <f t="shared" si="40"/>
        <v/>
      </c>
      <c r="AN215" s="716" t="str">
        <f t="shared" si="41"/>
        <v/>
      </c>
    </row>
    <row r="216" spans="6:40" x14ac:dyDescent="0.2">
      <c r="F216" s="1" t="str">
        <f t="shared" si="34"/>
        <v/>
      </c>
      <c r="G216" s="713" t="str">
        <f t="shared" si="42"/>
        <v/>
      </c>
      <c r="H216" s="17" t="str">
        <f>IFERROR(VLOOKUP($G216,Table1[[Property]:[Exposure %]],4,0),"")</f>
        <v/>
      </c>
      <c r="I216" s="3" t="str">
        <f>IFERROR(VLOOKUP($G216,Table1[[Property]:[Exposure %]],6,0),"")</f>
        <v/>
      </c>
      <c r="J216" s="3" t="str">
        <f>IFERROR(VLOOKUP($G216,Table1[[Property]:[Exposure %]],7,0),"")</f>
        <v/>
      </c>
      <c r="K216"/>
      <c r="L216"/>
      <c r="M216"/>
      <c r="N216"/>
      <c r="O216"/>
      <c r="P216"/>
      <c r="Q216"/>
      <c r="R216" s="4" t="str">
        <f>IFERROR(VLOOKUP(IF(F216="Total",F215,F216),Table1[[Property]:['# Units]],7,0)*S216,"")</f>
        <v/>
      </c>
      <c r="S216" s="27" t="str">
        <f t="shared" si="35"/>
        <v/>
      </c>
      <c r="T216" s="531" t="str">
        <f>IFERROR(
 IF($F216="Total",
   SUMPRODUCT(
   INDEX(T:T, ROW()-COUNTIF($F$6:INDEX($F:$F, ROW()-1), $F215)) : INDEX(T:T, ROW()-1),
   INDEX(W:W, ROW()-COUNTIF($F$6:INDEX($F:$F, ROW()-1), $F215)) : INDEX(W:W, ROW()-1)
   )
   /SUM(INDEX(W:W, ROW()-COUNTIF($F$6:INDEX($F:$F, ROW()-1), $F215)) : INDEX(W:W, ROW()-1)),
   AVERAGEIFS(
     INDEX((unit_details[Asking Rent],unit_details[Asking PSF]),0,1,IF($U$3="Chunk Rent",1,2)),
     unit_details[Leased Date],"&gt;="&amp;($AM$2-T$5),
     unit_details[Leased Date],"&lt;"&amp;$AM$2,
     unit_details[Beds],$L216,
     unit_details[Baths],$M216,
     unit_details[Partial Baths],IF(ISNUMBER($N216),$N216,""),
     unit_details[Sqft],$P216,
     unit_details[Property Name],$F216)
 ),"")</f>
        <v/>
      </c>
      <c r="U216" s="552" t="str">
        <f>IFERROR(
 IF($F216="Total",
   SUMPRODUCT(
   INDEX(U:U, ROW()-COUNTIF($F$6:INDEX($F:$F, ROW()-1), $F215)) : INDEX(U:U, ROW()-1),
   INDEX(W:W, ROW()-COUNTIF($F$6:INDEX($F:$F, ROW()-1), $F215)) : INDEX(W:W, ROW()-1)
   )
   /SUM(INDEX(W:W, ROW()-COUNTIF($F$6:INDEX($F:$F, ROW()-1), $F215)) : INDEX(W:W, ROW()-1)),
   AVERAGEIFS(
     INDEX((unit_details[Effective Rent],unit_details[Effective PSF]),0,1,IF($U$3="Chunk Rent",1,2)),
     unit_details[Leased Date],"&gt;="&amp;($AM$2-T$5),
     unit_details[Leased Date],"&lt;"&amp;$AM$2,
     unit_details[Beds],$L216,
     unit_details[Baths],$M216,
     unit_details[Partial Baths],IF(ISNUMBER($N216),$N216,""),
     unit_details[Sqft],$P216,
     unit_details[Property Name],$F216)
 ),"")</f>
        <v/>
      </c>
      <c r="V216" s="27" t="str">
        <f t="shared" si="43"/>
        <v/>
      </c>
      <c r="W216" s="526">
        <f>IFERROR(
  IF($F216="Total",
    SUM(INDEX(W:W, ROW()-COUNTIF($F$6:INDEX($F:$F, ROW()-1), $F215)) : INDEX(W:W, ROW()-1)),
    COUNTIFS(
      unit_details[Leased Date], "&gt;="&amp;($AM$2-T$5),
      unit_details[Leased Date], "&lt;"&amp;$AM$2,
      unit_details[Beds], $L216,
      unit_details[Baths], $M216,
      unit_details[Partial Baths], IF(ISNUMBER($N216), $N216, ""),
      unit_details[Sqft],$P216,
      unit_details[Property Name], $F216
    )
  ),
"")</f>
        <v>0</v>
      </c>
      <c r="X216" s="531" t="str">
        <f>IFERROR(
 IF($F216="Total",
   SUMPRODUCT(
   INDEX(X:X, ROW()-COUNTIF($F$6:INDEX($F:$F, ROW()-1), $F215)) : INDEX(X:X, ROW()-1),
   INDEX(AA:AA, ROW()-COUNTIF($F$6:INDEX($F:$F, ROW()-1), $F215)) : INDEX(AA:AA, ROW()-1)
   )
   /SUM(INDEX(AA:AA, ROW()-COUNTIF($F$6:INDEX($F:$F, ROW()-1), $F215)) : INDEX(AA:AA, ROW()-1)),
   AVERAGEIFS(
     INDEX((unit_details[Asking Rent],unit_details[Asking PSF]),0,1,IF($U$3="Chunk Rent",1,2)),
     unit_details[Leased Date],"&gt;="&amp;($AM$2-X$5),
     unit_details[Leased Date],"&lt;"&amp;$AM$2,
     unit_details[Beds],$L216,
     unit_details[Baths],$M216,
     unit_details[Partial Baths],IF(ISNUMBER($N216),$N216,""),
     unit_details[Sqft],$P216,
     unit_details[Property Name],$F216)
 ),"")</f>
        <v/>
      </c>
      <c r="Y216" s="552" t="str">
        <f>IFERROR(
 IF($F216="Total",
   SUMPRODUCT(
   INDEX(Y:Y, ROW()-COUNTIF($F$6:INDEX($F:$F, ROW()-1), $F215)) : INDEX(Y:Y, ROW()-1),
   INDEX(AA:AA, ROW()-COUNTIF($F$6:INDEX($F:$F, ROW()-1), $F215)) : INDEX(AA:AA, ROW()-1)
   )
   /SUM(INDEX(AA:AA, ROW()-COUNTIF($F$6:INDEX($F:$F, ROW()-1), $F215)) : INDEX(AA:AA, ROW()-1)),
   AVERAGEIFS(
     INDEX((unit_details[Effective Rent],unit_details[Effective PSF]),0,1,IF($U$3="Chunk Rent",1,2)),
     unit_details[Leased Date],"&gt;="&amp;($AM$2-X$5),
     unit_details[Leased Date],"&lt;"&amp;$AM$2,
     unit_details[Beds],$L216,
     unit_details[Baths],$M216,
     unit_details[Partial Baths],IF(ISNUMBER($N216),$N216,""),
     unit_details[Sqft],$P216,
     unit_details[Property Name],$F216)
 ),"")</f>
        <v/>
      </c>
      <c r="Z216" s="27" t="str">
        <f t="shared" si="44"/>
        <v/>
      </c>
      <c r="AA216" s="526">
        <f>IFERROR(
  IF($F216="Total",
    SUM(INDEX(AA:AA, ROW()-COUNTIF($F$6:INDEX($F:$F, ROW()-1), $F215)) : INDEX(AA:AA, ROW()-1)),
    COUNTIFS(
      unit_details[Leased Date], "&gt;="&amp;($AM$2-X$5),
      unit_details[Leased Date], "&lt;"&amp;$AM$2,
      unit_details[Beds], $L216,
      unit_details[Baths], $M216,
      unit_details[Partial Baths], IF(ISNUMBER($N216), $N216, ""),
      unit_details[Sqft],$P216,
      unit_details[Property Name], $F216
    )
  ),
"")</f>
        <v>0</v>
      </c>
      <c r="AB216" s="290">
        <f>IF($F216="Total",
SUM(INDEX(AB:AB, ROW()-COUNTIF($F$6:INDEX($F:$F, ROW()-1), $F215)) : INDEX(AB:AB, ROW()-1)),
COUNTIFS(unit_details[Active Listing?],TRUE,
          unit_details[Property Name], $F216,
          unit_details[Beds], $L216,
          unit_details[Baths], $M216,
          unit_details[Partial Baths],IF(ISNUMBER($N216),$N216,""),
          unit_details[Sqft],$P216))</f>
        <v>0</v>
      </c>
      <c r="AC216" s="27" t="str">
        <f t="shared" si="36"/>
        <v/>
      </c>
      <c r="AD216" s="293" t="str">
        <f>IFERROR(IF(AE216="","",IF($F216="Total",
SUMPRODUCT(
   INDEX(AD:AD, ROW()-COUNTIF($F$6:INDEX($F:$F, ROW()-1), $F215)) : INDEX(AD:AD, ROW()-1),
   INDEX(AB:AB, ROW()-COUNTIF($F$6:INDEX($F:$F, ROW()-1), $F215)) : INDEX(AB:AB, ROW()-1)
   )
   /SUM(INDEX(AB:AB, ROW()-COUNTIF($F$6:INDEX($F:$F, ROW()-1), $F215)) : INDEX(AB:AB, ROW()-1)),
          _xlfn.MINIFS(unit_details[Asking Rent],
          unit_details[Active Listing?],TRUE,
          unit_details[Property Name], $F216,
          unit_details[Beds], $L216,
          unit_details[Baths], $M216,
          unit_details[Partial Baths], IF(ISNUMBER($N216),$N216,""),
          unit_details[Sqft],$P216
))),"")</f>
        <v/>
      </c>
      <c r="AE216" s="5" t="str">
        <f>IFERROR(IF($F216="Total",
          SUMPRODUCT(
   INDEX(AE:AE, ROW()-COUNTIF($F$6:INDEX($F:$F, ROW()-1), $F215)) : INDEX(AE:AE, ROW()-1),
   INDEX(AB:AB, ROW()-COUNTIF($F$6:INDEX($F:$F, ROW()-1), $F215)) : INDEX(AB:AB, ROW()-1)
   )
   /SUM(INDEX(AB:AB, ROW()-COUNTIF($F$6:INDEX($F:$F, ROW()-1), $F215)) : INDEX(AB:AB, ROW()-1)),
          AVERAGEIFS(unit_details[Asking Rent],
          unit_details[Active Listing?],TRUE,
          unit_details[Property Name], $F216,
          unit_details[Beds], $L216,
          unit_details[Baths], $M216,
          unit_details[Partial Baths], IF(ISNUMBER($N216),$N216,""),
          unit_details[Sqft],$P216
)),"")</f>
        <v/>
      </c>
      <c r="AF216" s="5" t="str">
        <f>IFERROR(IF(AE216="","",IF($F216="Total",
SUMPRODUCT(
   INDEX(AF:AF, ROW()-COUNTIF($F$6:INDEX($F:$F, ROW()-1), $F215)) : INDEX(AF:AF, ROW()-1),
   INDEX(AB:AB, ROW()-COUNTIF($F$6:INDEX($F:$F, ROW()-1), $F215)) : INDEX(AB:AB, ROW()-1)
   )
   /SUM(INDEX(AB:AB, ROW()-COUNTIF($F$6:INDEX($F:$F, ROW()-1), $F215)) : INDEX(AB:AB, ROW()-1)),
           _xlfn.MAXIFS(unit_details[Asking Rent],
          unit_details[Active Listing?],TRUE,
          unit_details[Property Name], $F216,
          unit_details[Beds], $L216,
          unit_details[Baths], $M216,
          unit_details[Partial Baths], IF(ISNUMBER($N216),$N216,""),
          unit_details[Sqft],$P216
))),"")</f>
        <v/>
      </c>
      <c r="AG216" s="6" t="str">
        <f>IFERROR(IF($F216="Total",
         SUMPRODUCT(
         INDEX(AG:AG, ROW()-COUNTIF($F$6:INDEX($F:$F, ROW()-1), $F215)) : INDEX(AG:AG, ROW()-1),
         INDEX(AB:AB, ROW()-COUNTIF($F$6:INDEX($F:$F, ROW()-1), $F215)) : INDEX(AB:AB, ROW()-1)
         )
         /SUM(INDEX(AB:AB, ROW()-COUNTIF($F$6:INDEX($F:$F, ROW()-1), $F215)) : INDEX(AB:AB, ROW()-1)),
          AVERAGEIFS(unit_details[Asking PSF],
          unit_details[Active Listing?],TRUE,
          unit_details[Property Name], $F216,
          unit_details[Beds], $L216,
          unit_details[Baths], $M216,
          unit_details[Partial Baths], IF(ISNUMBER($N216),$N216,""),
          unit_details[Sqft],$P216
)),"")</f>
        <v/>
      </c>
      <c r="AH216" s="293" t="str">
        <f>IFERROR(IF($F216="Total",
         SUMPRODUCT(
         INDEX(AH:AH, ROW()-COUNTIF($F$6:INDEX($F:$F, ROW()-1), $F215)) : INDEX(AH:AH, ROW()-1),
         INDEX(AB:AB, ROW()-COUNTIF($F$6:INDEX($F:$F, ROW()-1), $F215)) : INDEX(AB:AB, ROW()-1)
         )
         /SUM(INDEX(AB:AB, ROW()-COUNTIF($F$6:INDEX($F:$F, ROW()-1), $F215)) : INDEX(AB:AB, ROW()-1)),
          AVERAGEIFS(unit_details[Effective Rent],
          unit_details[Active Listing?],TRUE,
          unit_details[Property Name], $F216,
          unit_details[Beds], $L216,
          unit_details[Baths], $M216,
          unit_details[Partial Baths], IF(ISNUMBER($N216),$N216,""),
          unit_details[Sqft],$P216
)),"")</f>
        <v/>
      </c>
      <c r="AI216" s="6" t="str">
        <f>IFERROR(IF($F216="Total",
         SUMPRODUCT(
         INDEX(AI:AI, ROW()-COUNTIF($F$6:INDEX($F:$F, ROW()-1), $F215)) : INDEX(AI:AI, ROW()-1),
         INDEX(AB:AB, ROW()-COUNTIF($F$6:INDEX($F:$F, ROW()-1), $F215)) : INDEX(AB:AB, ROW()-1)
         )
         /SUM(INDEX(AB:AB, ROW()-COUNTIF($F$6:INDEX($F:$F, ROW()-1), $F215)) : INDEX(AB:AB, ROW()-1)),
           AVERAGEIFS(unit_details[Effective PSF],
          unit_details[Active Listing?],TRUE,
          unit_details[Property Name], $F216,
          unit_details[Beds], $L216,
          unit_details[Baths], $M216,
          unit_details[Partial Baths], IF(ISNUMBER($N216),$N216,""),
          unit_details[Sqft],$P216
)),"")</f>
        <v/>
      </c>
      <c r="AJ216" s="824" t="str">
        <f t="shared" si="37"/>
        <v/>
      </c>
      <c r="AK216" s="531" t="str">
        <f t="shared" si="38"/>
        <v/>
      </c>
      <c r="AL216" s="714" t="str">
        <f t="shared" si="39"/>
        <v/>
      </c>
      <c r="AM216" s="531" t="str">
        <f t="shared" si="40"/>
        <v/>
      </c>
      <c r="AN216" s="716" t="str">
        <f t="shared" si="41"/>
        <v/>
      </c>
    </row>
    <row r="217" spans="6:40" x14ac:dyDescent="0.2">
      <c r="F217" s="1" t="str">
        <f t="shared" si="34"/>
        <v/>
      </c>
      <c r="G217" s="713" t="str">
        <f t="shared" si="42"/>
        <v/>
      </c>
      <c r="H217" s="17" t="str">
        <f>IFERROR(VLOOKUP($G217,Table1[[Property]:[Exposure %]],4,0),"")</f>
        <v/>
      </c>
      <c r="I217" s="3" t="str">
        <f>IFERROR(VLOOKUP($G217,Table1[[Property]:[Exposure %]],6,0),"")</f>
        <v/>
      </c>
      <c r="J217" s="3" t="str">
        <f>IFERROR(VLOOKUP($G217,Table1[[Property]:[Exposure %]],7,0),"")</f>
        <v/>
      </c>
      <c r="K217"/>
      <c r="L217"/>
      <c r="M217"/>
      <c r="N217"/>
      <c r="O217"/>
      <c r="P217"/>
      <c r="Q217"/>
      <c r="R217" s="4" t="str">
        <f>IFERROR(VLOOKUP(IF(F217="Total",F216,F217),Table1[[Property]:['# Units]],7,0)*S217,"")</f>
        <v/>
      </c>
      <c r="S217" s="27" t="str">
        <f t="shared" si="35"/>
        <v/>
      </c>
      <c r="T217" s="531" t="str">
        <f>IFERROR(
 IF($F217="Total",
   SUMPRODUCT(
   INDEX(T:T, ROW()-COUNTIF($F$6:INDEX($F:$F, ROW()-1), $F216)) : INDEX(T:T, ROW()-1),
   INDEX(W:W, ROW()-COUNTIF($F$6:INDEX($F:$F, ROW()-1), $F216)) : INDEX(W:W, ROW()-1)
   )
   /SUM(INDEX(W:W, ROW()-COUNTIF($F$6:INDEX($F:$F, ROW()-1), $F216)) : INDEX(W:W, ROW()-1)),
   AVERAGEIFS(
     INDEX((unit_details[Asking Rent],unit_details[Asking PSF]),0,1,IF($U$3="Chunk Rent",1,2)),
     unit_details[Leased Date],"&gt;="&amp;($AM$2-T$5),
     unit_details[Leased Date],"&lt;"&amp;$AM$2,
     unit_details[Beds],$L217,
     unit_details[Baths],$M217,
     unit_details[Partial Baths],IF(ISNUMBER($N217),$N217,""),
     unit_details[Sqft],$P217,
     unit_details[Property Name],$F217)
 ),"")</f>
        <v/>
      </c>
      <c r="U217" s="552" t="str">
        <f>IFERROR(
 IF($F217="Total",
   SUMPRODUCT(
   INDEX(U:U, ROW()-COUNTIF($F$6:INDEX($F:$F, ROW()-1), $F216)) : INDEX(U:U, ROW()-1),
   INDEX(W:W, ROW()-COUNTIF($F$6:INDEX($F:$F, ROW()-1), $F216)) : INDEX(W:W, ROW()-1)
   )
   /SUM(INDEX(W:W, ROW()-COUNTIF($F$6:INDEX($F:$F, ROW()-1), $F216)) : INDEX(W:W, ROW()-1)),
   AVERAGEIFS(
     INDEX((unit_details[Effective Rent],unit_details[Effective PSF]),0,1,IF($U$3="Chunk Rent",1,2)),
     unit_details[Leased Date],"&gt;="&amp;($AM$2-T$5),
     unit_details[Leased Date],"&lt;"&amp;$AM$2,
     unit_details[Beds],$L217,
     unit_details[Baths],$M217,
     unit_details[Partial Baths],IF(ISNUMBER($N217),$N217,""),
     unit_details[Sqft],$P217,
     unit_details[Property Name],$F217)
 ),"")</f>
        <v/>
      </c>
      <c r="V217" s="27" t="str">
        <f t="shared" si="43"/>
        <v/>
      </c>
      <c r="W217" s="526">
        <f>IFERROR(
  IF($F217="Total",
    SUM(INDEX(W:W, ROW()-COUNTIF($F$6:INDEX($F:$F, ROW()-1), $F216)) : INDEX(W:W, ROW()-1)),
    COUNTIFS(
      unit_details[Leased Date], "&gt;="&amp;($AM$2-T$5),
      unit_details[Leased Date], "&lt;"&amp;$AM$2,
      unit_details[Beds], $L217,
      unit_details[Baths], $M217,
      unit_details[Partial Baths], IF(ISNUMBER($N217), $N217, ""),
      unit_details[Sqft],$P217,
      unit_details[Property Name], $F217
    )
  ),
"")</f>
        <v>0</v>
      </c>
      <c r="X217" s="531" t="str">
        <f>IFERROR(
 IF($F217="Total",
   SUMPRODUCT(
   INDEX(X:X, ROW()-COUNTIF($F$6:INDEX($F:$F, ROW()-1), $F216)) : INDEX(X:X, ROW()-1),
   INDEX(AA:AA, ROW()-COUNTIF($F$6:INDEX($F:$F, ROW()-1), $F216)) : INDEX(AA:AA, ROW()-1)
   )
   /SUM(INDEX(AA:AA, ROW()-COUNTIF($F$6:INDEX($F:$F, ROW()-1), $F216)) : INDEX(AA:AA, ROW()-1)),
   AVERAGEIFS(
     INDEX((unit_details[Asking Rent],unit_details[Asking PSF]),0,1,IF($U$3="Chunk Rent",1,2)),
     unit_details[Leased Date],"&gt;="&amp;($AM$2-X$5),
     unit_details[Leased Date],"&lt;"&amp;$AM$2,
     unit_details[Beds],$L217,
     unit_details[Baths],$M217,
     unit_details[Partial Baths],IF(ISNUMBER($N217),$N217,""),
     unit_details[Sqft],$P217,
     unit_details[Property Name],$F217)
 ),"")</f>
        <v/>
      </c>
      <c r="Y217" s="552" t="str">
        <f>IFERROR(
 IF($F217="Total",
   SUMPRODUCT(
   INDEX(Y:Y, ROW()-COUNTIF($F$6:INDEX($F:$F, ROW()-1), $F216)) : INDEX(Y:Y, ROW()-1),
   INDEX(AA:AA, ROW()-COUNTIF($F$6:INDEX($F:$F, ROW()-1), $F216)) : INDEX(AA:AA, ROW()-1)
   )
   /SUM(INDEX(AA:AA, ROW()-COUNTIF($F$6:INDEX($F:$F, ROW()-1), $F216)) : INDEX(AA:AA, ROW()-1)),
   AVERAGEIFS(
     INDEX((unit_details[Effective Rent],unit_details[Effective PSF]),0,1,IF($U$3="Chunk Rent",1,2)),
     unit_details[Leased Date],"&gt;="&amp;($AM$2-X$5),
     unit_details[Leased Date],"&lt;"&amp;$AM$2,
     unit_details[Beds],$L217,
     unit_details[Baths],$M217,
     unit_details[Partial Baths],IF(ISNUMBER($N217),$N217,""),
     unit_details[Sqft],$P217,
     unit_details[Property Name],$F217)
 ),"")</f>
        <v/>
      </c>
      <c r="Z217" s="27" t="str">
        <f t="shared" si="44"/>
        <v/>
      </c>
      <c r="AA217" s="526">
        <f>IFERROR(
  IF($F217="Total",
    SUM(INDEX(AA:AA, ROW()-COUNTIF($F$6:INDEX($F:$F, ROW()-1), $F216)) : INDEX(AA:AA, ROW()-1)),
    COUNTIFS(
      unit_details[Leased Date], "&gt;="&amp;($AM$2-X$5),
      unit_details[Leased Date], "&lt;"&amp;$AM$2,
      unit_details[Beds], $L217,
      unit_details[Baths], $M217,
      unit_details[Partial Baths], IF(ISNUMBER($N217), $N217, ""),
      unit_details[Sqft],$P217,
      unit_details[Property Name], $F217
    )
  ),
"")</f>
        <v>0</v>
      </c>
      <c r="AB217" s="290">
        <f>IF($F217="Total",
SUM(INDEX(AB:AB, ROW()-COUNTIF($F$6:INDEX($F:$F, ROW()-1), $F216)) : INDEX(AB:AB, ROW()-1)),
COUNTIFS(unit_details[Active Listing?],TRUE,
          unit_details[Property Name], $F217,
          unit_details[Beds], $L217,
          unit_details[Baths], $M217,
          unit_details[Partial Baths],IF(ISNUMBER($N217),$N217,""),
          unit_details[Sqft],$P217))</f>
        <v>0</v>
      </c>
      <c r="AC217" s="27" t="str">
        <f t="shared" si="36"/>
        <v/>
      </c>
      <c r="AD217" s="293" t="str">
        <f>IFERROR(IF(AE217="","",IF($F217="Total",
SUMPRODUCT(
   INDEX(AD:AD, ROW()-COUNTIF($F$6:INDEX($F:$F, ROW()-1), $F216)) : INDEX(AD:AD, ROW()-1),
   INDEX(AB:AB, ROW()-COUNTIF($F$6:INDEX($F:$F, ROW()-1), $F216)) : INDEX(AB:AB, ROW()-1)
   )
   /SUM(INDEX(AB:AB, ROW()-COUNTIF($F$6:INDEX($F:$F, ROW()-1), $F216)) : INDEX(AB:AB, ROW()-1)),
          _xlfn.MINIFS(unit_details[Asking Rent],
          unit_details[Active Listing?],TRUE,
          unit_details[Property Name], $F217,
          unit_details[Beds], $L217,
          unit_details[Baths], $M217,
          unit_details[Partial Baths], IF(ISNUMBER($N217),$N217,""),
          unit_details[Sqft],$P217
))),"")</f>
        <v/>
      </c>
      <c r="AE217" s="5" t="str">
        <f>IFERROR(IF($F217="Total",
          SUMPRODUCT(
   INDEX(AE:AE, ROW()-COUNTIF($F$6:INDEX($F:$F, ROW()-1), $F216)) : INDEX(AE:AE, ROW()-1),
   INDEX(AB:AB, ROW()-COUNTIF($F$6:INDEX($F:$F, ROW()-1), $F216)) : INDEX(AB:AB, ROW()-1)
   )
   /SUM(INDEX(AB:AB, ROW()-COUNTIF($F$6:INDEX($F:$F, ROW()-1), $F216)) : INDEX(AB:AB, ROW()-1)),
          AVERAGEIFS(unit_details[Asking Rent],
          unit_details[Active Listing?],TRUE,
          unit_details[Property Name], $F217,
          unit_details[Beds], $L217,
          unit_details[Baths], $M217,
          unit_details[Partial Baths], IF(ISNUMBER($N217),$N217,""),
          unit_details[Sqft],$P217
)),"")</f>
        <v/>
      </c>
      <c r="AF217" s="5" t="str">
        <f>IFERROR(IF(AE217="","",IF($F217="Total",
SUMPRODUCT(
   INDEX(AF:AF, ROW()-COUNTIF($F$6:INDEX($F:$F, ROW()-1), $F216)) : INDEX(AF:AF, ROW()-1),
   INDEX(AB:AB, ROW()-COUNTIF($F$6:INDEX($F:$F, ROW()-1), $F216)) : INDEX(AB:AB, ROW()-1)
   )
   /SUM(INDEX(AB:AB, ROW()-COUNTIF($F$6:INDEX($F:$F, ROW()-1), $F216)) : INDEX(AB:AB, ROW()-1)),
           _xlfn.MAXIFS(unit_details[Asking Rent],
          unit_details[Active Listing?],TRUE,
          unit_details[Property Name], $F217,
          unit_details[Beds], $L217,
          unit_details[Baths], $M217,
          unit_details[Partial Baths], IF(ISNUMBER($N217),$N217,""),
          unit_details[Sqft],$P217
))),"")</f>
        <v/>
      </c>
      <c r="AG217" s="6" t="str">
        <f>IFERROR(IF($F217="Total",
         SUMPRODUCT(
         INDEX(AG:AG, ROW()-COUNTIF($F$6:INDEX($F:$F, ROW()-1), $F216)) : INDEX(AG:AG, ROW()-1),
         INDEX(AB:AB, ROW()-COUNTIF($F$6:INDEX($F:$F, ROW()-1), $F216)) : INDEX(AB:AB, ROW()-1)
         )
         /SUM(INDEX(AB:AB, ROW()-COUNTIF($F$6:INDEX($F:$F, ROW()-1), $F216)) : INDEX(AB:AB, ROW()-1)),
          AVERAGEIFS(unit_details[Asking PSF],
          unit_details[Active Listing?],TRUE,
          unit_details[Property Name], $F217,
          unit_details[Beds], $L217,
          unit_details[Baths], $M217,
          unit_details[Partial Baths], IF(ISNUMBER($N217),$N217,""),
          unit_details[Sqft],$P217
)),"")</f>
        <v/>
      </c>
      <c r="AH217" s="293" t="str">
        <f>IFERROR(IF($F217="Total",
         SUMPRODUCT(
         INDEX(AH:AH, ROW()-COUNTIF($F$6:INDEX($F:$F, ROW()-1), $F216)) : INDEX(AH:AH, ROW()-1),
         INDEX(AB:AB, ROW()-COUNTIF($F$6:INDEX($F:$F, ROW()-1), $F216)) : INDEX(AB:AB, ROW()-1)
         )
         /SUM(INDEX(AB:AB, ROW()-COUNTIF($F$6:INDEX($F:$F, ROW()-1), $F216)) : INDEX(AB:AB, ROW()-1)),
          AVERAGEIFS(unit_details[Effective Rent],
          unit_details[Active Listing?],TRUE,
          unit_details[Property Name], $F217,
          unit_details[Beds], $L217,
          unit_details[Baths], $M217,
          unit_details[Partial Baths], IF(ISNUMBER($N217),$N217,""),
          unit_details[Sqft],$P217
)),"")</f>
        <v/>
      </c>
      <c r="AI217" s="6" t="str">
        <f>IFERROR(IF($F217="Total",
         SUMPRODUCT(
         INDEX(AI:AI, ROW()-COUNTIF($F$6:INDEX($F:$F, ROW()-1), $F216)) : INDEX(AI:AI, ROW()-1),
         INDEX(AB:AB, ROW()-COUNTIF($F$6:INDEX($F:$F, ROW()-1), $F216)) : INDEX(AB:AB, ROW()-1)
         )
         /SUM(INDEX(AB:AB, ROW()-COUNTIF($F$6:INDEX($F:$F, ROW()-1), $F216)) : INDEX(AB:AB, ROW()-1)),
           AVERAGEIFS(unit_details[Effective PSF],
          unit_details[Active Listing?],TRUE,
          unit_details[Property Name], $F217,
          unit_details[Beds], $L217,
          unit_details[Baths], $M217,
          unit_details[Partial Baths], IF(ISNUMBER($N217),$N217,""),
          unit_details[Sqft],$P217
)),"")</f>
        <v/>
      </c>
      <c r="AJ217" s="824" t="str">
        <f t="shared" si="37"/>
        <v/>
      </c>
      <c r="AK217" s="531" t="str">
        <f t="shared" si="38"/>
        <v/>
      </c>
      <c r="AL217" s="714" t="str">
        <f t="shared" si="39"/>
        <v/>
      </c>
      <c r="AM217" s="531" t="str">
        <f t="shared" si="40"/>
        <v/>
      </c>
      <c r="AN217" s="716" t="str">
        <f t="shared" si="41"/>
        <v/>
      </c>
    </row>
    <row r="218" spans="6:40" x14ac:dyDescent="0.2">
      <c r="F218" s="1" t="str">
        <f t="shared" si="34"/>
        <v/>
      </c>
      <c r="G218" s="713" t="str">
        <f t="shared" si="42"/>
        <v/>
      </c>
      <c r="H218" s="17" t="str">
        <f>IFERROR(VLOOKUP($G218,Table1[[Property]:[Exposure %]],4,0),"")</f>
        <v/>
      </c>
      <c r="I218" s="3" t="str">
        <f>IFERROR(VLOOKUP($G218,Table1[[Property]:[Exposure %]],6,0),"")</f>
        <v/>
      </c>
      <c r="J218" s="3" t="str">
        <f>IFERROR(VLOOKUP($G218,Table1[[Property]:[Exposure %]],7,0),"")</f>
        <v/>
      </c>
      <c r="K218"/>
      <c r="L218"/>
      <c r="M218"/>
      <c r="N218"/>
      <c r="O218"/>
      <c r="P218"/>
      <c r="Q218"/>
      <c r="R218" s="4" t="str">
        <f>IFERROR(VLOOKUP(IF(F218="Total",F217,F218),Table1[[Property]:['# Units]],7,0)*S218,"")</f>
        <v/>
      </c>
      <c r="S218" s="27" t="str">
        <f t="shared" si="35"/>
        <v/>
      </c>
      <c r="T218" s="531" t="str">
        <f>IFERROR(
 IF($F218="Total",
   SUMPRODUCT(
   INDEX(T:T, ROW()-COUNTIF($F$6:INDEX($F:$F, ROW()-1), $F217)) : INDEX(T:T, ROW()-1),
   INDEX(W:W, ROW()-COUNTIF($F$6:INDEX($F:$F, ROW()-1), $F217)) : INDEX(W:W, ROW()-1)
   )
   /SUM(INDEX(W:W, ROW()-COUNTIF($F$6:INDEX($F:$F, ROW()-1), $F217)) : INDEX(W:W, ROW()-1)),
   AVERAGEIFS(
     INDEX((unit_details[Asking Rent],unit_details[Asking PSF]),0,1,IF($U$3="Chunk Rent",1,2)),
     unit_details[Leased Date],"&gt;="&amp;($AM$2-T$5),
     unit_details[Leased Date],"&lt;"&amp;$AM$2,
     unit_details[Beds],$L218,
     unit_details[Baths],$M218,
     unit_details[Partial Baths],IF(ISNUMBER($N218),$N218,""),
     unit_details[Sqft],$P218,
     unit_details[Property Name],$F218)
 ),"")</f>
        <v/>
      </c>
      <c r="U218" s="552" t="str">
        <f>IFERROR(
 IF($F218="Total",
   SUMPRODUCT(
   INDEX(U:U, ROW()-COUNTIF($F$6:INDEX($F:$F, ROW()-1), $F217)) : INDEX(U:U, ROW()-1),
   INDEX(W:W, ROW()-COUNTIF($F$6:INDEX($F:$F, ROW()-1), $F217)) : INDEX(W:W, ROW()-1)
   )
   /SUM(INDEX(W:W, ROW()-COUNTIF($F$6:INDEX($F:$F, ROW()-1), $F217)) : INDEX(W:W, ROW()-1)),
   AVERAGEIFS(
     INDEX((unit_details[Effective Rent],unit_details[Effective PSF]),0,1,IF($U$3="Chunk Rent",1,2)),
     unit_details[Leased Date],"&gt;="&amp;($AM$2-T$5),
     unit_details[Leased Date],"&lt;"&amp;$AM$2,
     unit_details[Beds],$L218,
     unit_details[Baths],$M218,
     unit_details[Partial Baths],IF(ISNUMBER($N218),$N218,""),
     unit_details[Sqft],$P218,
     unit_details[Property Name],$F218)
 ),"")</f>
        <v/>
      </c>
      <c r="V218" s="27" t="str">
        <f t="shared" si="43"/>
        <v/>
      </c>
      <c r="W218" s="526">
        <f>IFERROR(
  IF($F218="Total",
    SUM(INDEX(W:W, ROW()-COUNTIF($F$6:INDEX($F:$F, ROW()-1), $F217)) : INDEX(W:W, ROW()-1)),
    COUNTIFS(
      unit_details[Leased Date], "&gt;="&amp;($AM$2-T$5),
      unit_details[Leased Date], "&lt;"&amp;$AM$2,
      unit_details[Beds], $L218,
      unit_details[Baths], $M218,
      unit_details[Partial Baths], IF(ISNUMBER($N218), $N218, ""),
      unit_details[Sqft],$P218,
      unit_details[Property Name], $F218
    )
  ),
"")</f>
        <v>0</v>
      </c>
      <c r="X218" s="531" t="str">
        <f>IFERROR(
 IF($F218="Total",
   SUMPRODUCT(
   INDEX(X:X, ROW()-COUNTIF($F$6:INDEX($F:$F, ROW()-1), $F217)) : INDEX(X:X, ROW()-1),
   INDEX(AA:AA, ROW()-COUNTIF($F$6:INDEX($F:$F, ROW()-1), $F217)) : INDEX(AA:AA, ROW()-1)
   )
   /SUM(INDEX(AA:AA, ROW()-COUNTIF($F$6:INDEX($F:$F, ROW()-1), $F217)) : INDEX(AA:AA, ROW()-1)),
   AVERAGEIFS(
     INDEX((unit_details[Asking Rent],unit_details[Asking PSF]),0,1,IF($U$3="Chunk Rent",1,2)),
     unit_details[Leased Date],"&gt;="&amp;($AM$2-X$5),
     unit_details[Leased Date],"&lt;"&amp;$AM$2,
     unit_details[Beds],$L218,
     unit_details[Baths],$M218,
     unit_details[Partial Baths],IF(ISNUMBER($N218),$N218,""),
     unit_details[Sqft],$P218,
     unit_details[Property Name],$F218)
 ),"")</f>
        <v/>
      </c>
      <c r="Y218" s="552" t="str">
        <f>IFERROR(
 IF($F218="Total",
   SUMPRODUCT(
   INDEX(Y:Y, ROW()-COUNTIF($F$6:INDEX($F:$F, ROW()-1), $F217)) : INDEX(Y:Y, ROW()-1),
   INDEX(AA:AA, ROW()-COUNTIF($F$6:INDEX($F:$F, ROW()-1), $F217)) : INDEX(AA:AA, ROW()-1)
   )
   /SUM(INDEX(AA:AA, ROW()-COUNTIF($F$6:INDEX($F:$F, ROW()-1), $F217)) : INDEX(AA:AA, ROW()-1)),
   AVERAGEIFS(
     INDEX((unit_details[Effective Rent],unit_details[Effective PSF]),0,1,IF($U$3="Chunk Rent",1,2)),
     unit_details[Leased Date],"&gt;="&amp;($AM$2-X$5),
     unit_details[Leased Date],"&lt;"&amp;$AM$2,
     unit_details[Beds],$L218,
     unit_details[Baths],$M218,
     unit_details[Partial Baths],IF(ISNUMBER($N218),$N218,""),
     unit_details[Sqft],$P218,
     unit_details[Property Name],$F218)
 ),"")</f>
        <v/>
      </c>
      <c r="Z218" s="27" t="str">
        <f t="shared" si="44"/>
        <v/>
      </c>
      <c r="AA218" s="526">
        <f>IFERROR(
  IF($F218="Total",
    SUM(INDEX(AA:AA, ROW()-COUNTIF($F$6:INDEX($F:$F, ROW()-1), $F217)) : INDEX(AA:AA, ROW()-1)),
    COUNTIFS(
      unit_details[Leased Date], "&gt;="&amp;($AM$2-X$5),
      unit_details[Leased Date], "&lt;"&amp;$AM$2,
      unit_details[Beds], $L218,
      unit_details[Baths], $M218,
      unit_details[Partial Baths], IF(ISNUMBER($N218), $N218, ""),
      unit_details[Sqft],$P218,
      unit_details[Property Name], $F218
    )
  ),
"")</f>
        <v>0</v>
      </c>
      <c r="AB218" s="290">
        <f>IF($F218="Total",
SUM(INDEX(AB:AB, ROW()-COUNTIF($F$6:INDEX($F:$F, ROW()-1), $F217)) : INDEX(AB:AB, ROW()-1)),
COUNTIFS(unit_details[Active Listing?],TRUE,
          unit_details[Property Name], $F218,
          unit_details[Beds], $L218,
          unit_details[Baths], $M218,
          unit_details[Partial Baths],IF(ISNUMBER($N218),$N218,""),
          unit_details[Sqft],$P218))</f>
        <v>0</v>
      </c>
      <c r="AC218" s="27" t="str">
        <f t="shared" si="36"/>
        <v/>
      </c>
      <c r="AD218" s="293" t="str">
        <f>IFERROR(IF(AE218="","",IF($F218="Total",
SUMPRODUCT(
   INDEX(AD:AD, ROW()-COUNTIF($F$6:INDEX($F:$F, ROW()-1), $F217)) : INDEX(AD:AD, ROW()-1),
   INDEX(AB:AB, ROW()-COUNTIF($F$6:INDEX($F:$F, ROW()-1), $F217)) : INDEX(AB:AB, ROW()-1)
   )
   /SUM(INDEX(AB:AB, ROW()-COUNTIF($F$6:INDEX($F:$F, ROW()-1), $F217)) : INDEX(AB:AB, ROW()-1)),
          _xlfn.MINIFS(unit_details[Asking Rent],
          unit_details[Active Listing?],TRUE,
          unit_details[Property Name], $F218,
          unit_details[Beds], $L218,
          unit_details[Baths], $M218,
          unit_details[Partial Baths], IF(ISNUMBER($N218),$N218,""),
          unit_details[Sqft],$P218
))),"")</f>
        <v/>
      </c>
      <c r="AE218" s="5" t="str">
        <f>IFERROR(IF($F218="Total",
          SUMPRODUCT(
   INDEX(AE:AE, ROW()-COUNTIF($F$6:INDEX($F:$F, ROW()-1), $F217)) : INDEX(AE:AE, ROW()-1),
   INDEX(AB:AB, ROW()-COUNTIF($F$6:INDEX($F:$F, ROW()-1), $F217)) : INDEX(AB:AB, ROW()-1)
   )
   /SUM(INDEX(AB:AB, ROW()-COUNTIF($F$6:INDEX($F:$F, ROW()-1), $F217)) : INDEX(AB:AB, ROW()-1)),
          AVERAGEIFS(unit_details[Asking Rent],
          unit_details[Active Listing?],TRUE,
          unit_details[Property Name], $F218,
          unit_details[Beds], $L218,
          unit_details[Baths], $M218,
          unit_details[Partial Baths], IF(ISNUMBER($N218),$N218,""),
          unit_details[Sqft],$P218
)),"")</f>
        <v/>
      </c>
      <c r="AF218" s="5" t="str">
        <f>IFERROR(IF(AE218="","",IF($F218="Total",
SUMPRODUCT(
   INDEX(AF:AF, ROW()-COUNTIF($F$6:INDEX($F:$F, ROW()-1), $F217)) : INDEX(AF:AF, ROW()-1),
   INDEX(AB:AB, ROW()-COUNTIF($F$6:INDEX($F:$F, ROW()-1), $F217)) : INDEX(AB:AB, ROW()-1)
   )
   /SUM(INDEX(AB:AB, ROW()-COUNTIF($F$6:INDEX($F:$F, ROW()-1), $F217)) : INDEX(AB:AB, ROW()-1)),
           _xlfn.MAXIFS(unit_details[Asking Rent],
          unit_details[Active Listing?],TRUE,
          unit_details[Property Name], $F218,
          unit_details[Beds], $L218,
          unit_details[Baths], $M218,
          unit_details[Partial Baths], IF(ISNUMBER($N218),$N218,""),
          unit_details[Sqft],$P218
))),"")</f>
        <v/>
      </c>
      <c r="AG218" s="6" t="str">
        <f>IFERROR(IF($F218="Total",
         SUMPRODUCT(
         INDEX(AG:AG, ROW()-COUNTIF($F$6:INDEX($F:$F, ROW()-1), $F217)) : INDEX(AG:AG, ROW()-1),
         INDEX(AB:AB, ROW()-COUNTIF($F$6:INDEX($F:$F, ROW()-1), $F217)) : INDEX(AB:AB, ROW()-1)
         )
         /SUM(INDEX(AB:AB, ROW()-COUNTIF($F$6:INDEX($F:$F, ROW()-1), $F217)) : INDEX(AB:AB, ROW()-1)),
          AVERAGEIFS(unit_details[Asking PSF],
          unit_details[Active Listing?],TRUE,
          unit_details[Property Name], $F218,
          unit_details[Beds], $L218,
          unit_details[Baths], $M218,
          unit_details[Partial Baths], IF(ISNUMBER($N218),$N218,""),
          unit_details[Sqft],$P218
)),"")</f>
        <v/>
      </c>
      <c r="AH218" s="293" t="str">
        <f>IFERROR(IF($F218="Total",
         SUMPRODUCT(
         INDEX(AH:AH, ROW()-COUNTIF($F$6:INDEX($F:$F, ROW()-1), $F217)) : INDEX(AH:AH, ROW()-1),
         INDEX(AB:AB, ROW()-COUNTIF($F$6:INDEX($F:$F, ROW()-1), $F217)) : INDEX(AB:AB, ROW()-1)
         )
         /SUM(INDEX(AB:AB, ROW()-COUNTIF($F$6:INDEX($F:$F, ROW()-1), $F217)) : INDEX(AB:AB, ROW()-1)),
          AVERAGEIFS(unit_details[Effective Rent],
          unit_details[Active Listing?],TRUE,
          unit_details[Property Name], $F218,
          unit_details[Beds], $L218,
          unit_details[Baths], $M218,
          unit_details[Partial Baths], IF(ISNUMBER($N218),$N218,""),
          unit_details[Sqft],$P218
)),"")</f>
        <v/>
      </c>
      <c r="AI218" s="6" t="str">
        <f>IFERROR(IF($F218="Total",
         SUMPRODUCT(
         INDEX(AI:AI, ROW()-COUNTIF($F$6:INDEX($F:$F, ROW()-1), $F217)) : INDEX(AI:AI, ROW()-1),
         INDEX(AB:AB, ROW()-COUNTIF($F$6:INDEX($F:$F, ROW()-1), $F217)) : INDEX(AB:AB, ROW()-1)
         )
         /SUM(INDEX(AB:AB, ROW()-COUNTIF($F$6:INDEX($F:$F, ROW()-1), $F217)) : INDEX(AB:AB, ROW()-1)),
           AVERAGEIFS(unit_details[Effective PSF],
          unit_details[Active Listing?],TRUE,
          unit_details[Property Name], $F218,
          unit_details[Beds], $L218,
          unit_details[Baths], $M218,
          unit_details[Partial Baths], IF(ISNUMBER($N218),$N218,""),
          unit_details[Sqft],$P218
)),"")</f>
        <v/>
      </c>
      <c r="AJ218" s="824" t="str">
        <f t="shared" si="37"/>
        <v/>
      </c>
      <c r="AK218" s="531" t="str">
        <f t="shared" si="38"/>
        <v/>
      </c>
      <c r="AL218" s="714" t="str">
        <f t="shared" si="39"/>
        <v/>
      </c>
      <c r="AM218" s="531" t="str">
        <f t="shared" si="40"/>
        <v/>
      </c>
      <c r="AN218" s="716" t="str">
        <f t="shared" si="41"/>
        <v/>
      </c>
    </row>
    <row r="219" spans="6:40" x14ac:dyDescent="0.2">
      <c r="F219" s="1" t="str">
        <f t="shared" si="34"/>
        <v/>
      </c>
      <c r="G219" s="713" t="str">
        <f t="shared" si="42"/>
        <v/>
      </c>
      <c r="H219" s="17" t="str">
        <f>IFERROR(VLOOKUP($G219,Table1[[Property]:[Exposure %]],4,0),"")</f>
        <v/>
      </c>
      <c r="I219" s="3" t="str">
        <f>IFERROR(VLOOKUP($G219,Table1[[Property]:[Exposure %]],6,0),"")</f>
        <v/>
      </c>
      <c r="J219" s="3" t="str">
        <f>IFERROR(VLOOKUP($G219,Table1[[Property]:[Exposure %]],7,0),"")</f>
        <v/>
      </c>
      <c r="K219"/>
      <c r="L219"/>
      <c r="M219"/>
      <c r="N219"/>
      <c r="O219"/>
      <c r="P219"/>
      <c r="Q219"/>
      <c r="R219" s="4" t="str">
        <f>IFERROR(VLOOKUP(IF(F219="Total",F218,F219),Table1[[Property]:['# Units]],7,0)*S219,"")</f>
        <v/>
      </c>
      <c r="S219" s="27" t="str">
        <f t="shared" si="35"/>
        <v/>
      </c>
      <c r="T219" s="531" t="str">
        <f>IFERROR(
 IF($F219="Total",
   SUMPRODUCT(
   INDEX(T:T, ROW()-COUNTIF($F$6:INDEX($F:$F, ROW()-1), $F218)) : INDEX(T:T, ROW()-1),
   INDEX(W:W, ROW()-COUNTIF($F$6:INDEX($F:$F, ROW()-1), $F218)) : INDEX(W:W, ROW()-1)
   )
   /SUM(INDEX(W:W, ROW()-COUNTIF($F$6:INDEX($F:$F, ROW()-1), $F218)) : INDEX(W:W, ROW()-1)),
   AVERAGEIFS(
     INDEX((unit_details[Asking Rent],unit_details[Asking PSF]),0,1,IF($U$3="Chunk Rent",1,2)),
     unit_details[Leased Date],"&gt;="&amp;($AM$2-T$5),
     unit_details[Leased Date],"&lt;"&amp;$AM$2,
     unit_details[Beds],$L219,
     unit_details[Baths],$M219,
     unit_details[Partial Baths],IF(ISNUMBER($N219),$N219,""),
     unit_details[Sqft],$P219,
     unit_details[Property Name],$F219)
 ),"")</f>
        <v/>
      </c>
      <c r="U219" s="552" t="str">
        <f>IFERROR(
 IF($F219="Total",
   SUMPRODUCT(
   INDEX(U:U, ROW()-COUNTIF($F$6:INDEX($F:$F, ROW()-1), $F218)) : INDEX(U:U, ROW()-1),
   INDEX(W:W, ROW()-COUNTIF($F$6:INDEX($F:$F, ROW()-1), $F218)) : INDEX(W:W, ROW()-1)
   )
   /SUM(INDEX(W:W, ROW()-COUNTIF($F$6:INDEX($F:$F, ROW()-1), $F218)) : INDEX(W:W, ROW()-1)),
   AVERAGEIFS(
     INDEX((unit_details[Effective Rent],unit_details[Effective PSF]),0,1,IF($U$3="Chunk Rent",1,2)),
     unit_details[Leased Date],"&gt;="&amp;($AM$2-T$5),
     unit_details[Leased Date],"&lt;"&amp;$AM$2,
     unit_details[Beds],$L219,
     unit_details[Baths],$M219,
     unit_details[Partial Baths],IF(ISNUMBER($N219),$N219,""),
     unit_details[Sqft],$P219,
     unit_details[Property Name],$F219)
 ),"")</f>
        <v/>
      </c>
      <c r="V219" s="27" t="str">
        <f t="shared" si="43"/>
        <v/>
      </c>
      <c r="W219" s="526">
        <f>IFERROR(
  IF($F219="Total",
    SUM(INDEX(W:W, ROW()-COUNTIF($F$6:INDEX($F:$F, ROW()-1), $F218)) : INDEX(W:W, ROW()-1)),
    COUNTIFS(
      unit_details[Leased Date], "&gt;="&amp;($AM$2-T$5),
      unit_details[Leased Date], "&lt;"&amp;$AM$2,
      unit_details[Beds], $L219,
      unit_details[Baths], $M219,
      unit_details[Partial Baths], IF(ISNUMBER($N219), $N219, ""),
      unit_details[Sqft],$P219,
      unit_details[Property Name], $F219
    )
  ),
"")</f>
        <v>0</v>
      </c>
      <c r="X219" s="531" t="str">
        <f>IFERROR(
 IF($F219="Total",
   SUMPRODUCT(
   INDEX(X:X, ROW()-COUNTIF($F$6:INDEX($F:$F, ROW()-1), $F218)) : INDEX(X:X, ROW()-1),
   INDEX(AA:AA, ROW()-COUNTIF($F$6:INDEX($F:$F, ROW()-1), $F218)) : INDEX(AA:AA, ROW()-1)
   )
   /SUM(INDEX(AA:AA, ROW()-COUNTIF($F$6:INDEX($F:$F, ROW()-1), $F218)) : INDEX(AA:AA, ROW()-1)),
   AVERAGEIFS(
     INDEX((unit_details[Asking Rent],unit_details[Asking PSF]),0,1,IF($U$3="Chunk Rent",1,2)),
     unit_details[Leased Date],"&gt;="&amp;($AM$2-X$5),
     unit_details[Leased Date],"&lt;"&amp;$AM$2,
     unit_details[Beds],$L219,
     unit_details[Baths],$M219,
     unit_details[Partial Baths],IF(ISNUMBER($N219),$N219,""),
     unit_details[Sqft],$P219,
     unit_details[Property Name],$F219)
 ),"")</f>
        <v/>
      </c>
      <c r="Y219" s="552" t="str">
        <f>IFERROR(
 IF($F219="Total",
   SUMPRODUCT(
   INDEX(Y:Y, ROW()-COUNTIF($F$6:INDEX($F:$F, ROW()-1), $F218)) : INDEX(Y:Y, ROW()-1),
   INDEX(AA:AA, ROW()-COUNTIF($F$6:INDEX($F:$F, ROW()-1), $F218)) : INDEX(AA:AA, ROW()-1)
   )
   /SUM(INDEX(AA:AA, ROW()-COUNTIF($F$6:INDEX($F:$F, ROW()-1), $F218)) : INDEX(AA:AA, ROW()-1)),
   AVERAGEIFS(
     INDEX((unit_details[Effective Rent],unit_details[Effective PSF]),0,1,IF($U$3="Chunk Rent",1,2)),
     unit_details[Leased Date],"&gt;="&amp;($AM$2-X$5),
     unit_details[Leased Date],"&lt;"&amp;$AM$2,
     unit_details[Beds],$L219,
     unit_details[Baths],$M219,
     unit_details[Partial Baths],IF(ISNUMBER($N219),$N219,""),
     unit_details[Sqft],$P219,
     unit_details[Property Name],$F219)
 ),"")</f>
        <v/>
      </c>
      <c r="Z219" s="27" t="str">
        <f t="shared" si="44"/>
        <v/>
      </c>
      <c r="AA219" s="526">
        <f>IFERROR(
  IF($F219="Total",
    SUM(INDEX(AA:AA, ROW()-COUNTIF($F$6:INDEX($F:$F, ROW()-1), $F218)) : INDEX(AA:AA, ROW()-1)),
    COUNTIFS(
      unit_details[Leased Date], "&gt;="&amp;($AM$2-X$5),
      unit_details[Leased Date], "&lt;"&amp;$AM$2,
      unit_details[Beds], $L219,
      unit_details[Baths], $M219,
      unit_details[Partial Baths], IF(ISNUMBER($N219), $N219, ""),
      unit_details[Sqft],$P219,
      unit_details[Property Name], $F219
    )
  ),
"")</f>
        <v>0</v>
      </c>
      <c r="AB219" s="290">
        <f>IF($F219="Total",
SUM(INDEX(AB:AB, ROW()-COUNTIF($F$6:INDEX($F:$F, ROW()-1), $F218)) : INDEX(AB:AB, ROW()-1)),
COUNTIFS(unit_details[Active Listing?],TRUE,
          unit_details[Property Name], $F219,
          unit_details[Beds], $L219,
          unit_details[Baths], $M219,
          unit_details[Partial Baths],IF(ISNUMBER($N219),$N219,""),
          unit_details[Sqft],$P219))</f>
        <v>0</v>
      </c>
      <c r="AC219" s="27" t="str">
        <f t="shared" si="36"/>
        <v/>
      </c>
      <c r="AD219" s="293" t="str">
        <f>IFERROR(IF(AE219="","",IF($F219="Total",
SUMPRODUCT(
   INDEX(AD:AD, ROW()-COUNTIF($F$6:INDEX($F:$F, ROW()-1), $F218)) : INDEX(AD:AD, ROW()-1),
   INDEX(AB:AB, ROW()-COUNTIF($F$6:INDEX($F:$F, ROW()-1), $F218)) : INDEX(AB:AB, ROW()-1)
   )
   /SUM(INDEX(AB:AB, ROW()-COUNTIF($F$6:INDEX($F:$F, ROW()-1), $F218)) : INDEX(AB:AB, ROW()-1)),
          _xlfn.MINIFS(unit_details[Asking Rent],
          unit_details[Active Listing?],TRUE,
          unit_details[Property Name], $F219,
          unit_details[Beds], $L219,
          unit_details[Baths], $M219,
          unit_details[Partial Baths], IF(ISNUMBER($N219),$N219,""),
          unit_details[Sqft],$P219
))),"")</f>
        <v/>
      </c>
      <c r="AE219" s="5" t="str">
        <f>IFERROR(IF($F219="Total",
          SUMPRODUCT(
   INDEX(AE:AE, ROW()-COUNTIF($F$6:INDEX($F:$F, ROW()-1), $F218)) : INDEX(AE:AE, ROW()-1),
   INDEX(AB:AB, ROW()-COUNTIF($F$6:INDEX($F:$F, ROW()-1), $F218)) : INDEX(AB:AB, ROW()-1)
   )
   /SUM(INDEX(AB:AB, ROW()-COUNTIF($F$6:INDEX($F:$F, ROW()-1), $F218)) : INDEX(AB:AB, ROW()-1)),
          AVERAGEIFS(unit_details[Asking Rent],
          unit_details[Active Listing?],TRUE,
          unit_details[Property Name], $F219,
          unit_details[Beds], $L219,
          unit_details[Baths], $M219,
          unit_details[Partial Baths], IF(ISNUMBER($N219),$N219,""),
          unit_details[Sqft],$P219
)),"")</f>
        <v/>
      </c>
      <c r="AF219" s="5" t="str">
        <f>IFERROR(IF(AE219="","",IF($F219="Total",
SUMPRODUCT(
   INDEX(AF:AF, ROW()-COUNTIF($F$6:INDEX($F:$F, ROW()-1), $F218)) : INDEX(AF:AF, ROW()-1),
   INDEX(AB:AB, ROW()-COUNTIF($F$6:INDEX($F:$F, ROW()-1), $F218)) : INDEX(AB:AB, ROW()-1)
   )
   /SUM(INDEX(AB:AB, ROW()-COUNTIF($F$6:INDEX($F:$F, ROW()-1), $F218)) : INDEX(AB:AB, ROW()-1)),
           _xlfn.MAXIFS(unit_details[Asking Rent],
          unit_details[Active Listing?],TRUE,
          unit_details[Property Name], $F219,
          unit_details[Beds], $L219,
          unit_details[Baths], $M219,
          unit_details[Partial Baths], IF(ISNUMBER($N219),$N219,""),
          unit_details[Sqft],$P219
))),"")</f>
        <v/>
      </c>
      <c r="AG219" s="6" t="str">
        <f>IFERROR(IF($F219="Total",
         SUMPRODUCT(
         INDEX(AG:AG, ROW()-COUNTIF($F$6:INDEX($F:$F, ROW()-1), $F218)) : INDEX(AG:AG, ROW()-1),
         INDEX(AB:AB, ROW()-COUNTIF($F$6:INDEX($F:$F, ROW()-1), $F218)) : INDEX(AB:AB, ROW()-1)
         )
         /SUM(INDEX(AB:AB, ROW()-COUNTIF($F$6:INDEX($F:$F, ROW()-1), $F218)) : INDEX(AB:AB, ROW()-1)),
          AVERAGEIFS(unit_details[Asking PSF],
          unit_details[Active Listing?],TRUE,
          unit_details[Property Name], $F219,
          unit_details[Beds], $L219,
          unit_details[Baths], $M219,
          unit_details[Partial Baths], IF(ISNUMBER($N219),$N219,""),
          unit_details[Sqft],$P219
)),"")</f>
        <v/>
      </c>
      <c r="AH219" s="293" t="str">
        <f>IFERROR(IF($F219="Total",
         SUMPRODUCT(
         INDEX(AH:AH, ROW()-COUNTIF($F$6:INDEX($F:$F, ROW()-1), $F218)) : INDEX(AH:AH, ROW()-1),
         INDEX(AB:AB, ROW()-COUNTIF($F$6:INDEX($F:$F, ROW()-1), $F218)) : INDEX(AB:AB, ROW()-1)
         )
         /SUM(INDEX(AB:AB, ROW()-COUNTIF($F$6:INDEX($F:$F, ROW()-1), $F218)) : INDEX(AB:AB, ROW()-1)),
          AVERAGEIFS(unit_details[Effective Rent],
          unit_details[Active Listing?],TRUE,
          unit_details[Property Name], $F219,
          unit_details[Beds], $L219,
          unit_details[Baths], $M219,
          unit_details[Partial Baths], IF(ISNUMBER($N219),$N219,""),
          unit_details[Sqft],$P219
)),"")</f>
        <v/>
      </c>
      <c r="AI219" s="6" t="str">
        <f>IFERROR(IF($F219="Total",
         SUMPRODUCT(
         INDEX(AI:AI, ROW()-COUNTIF($F$6:INDEX($F:$F, ROW()-1), $F218)) : INDEX(AI:AI, ROW()-1),
         INDEX(AB:AB, ROW()-COUNTIF($F$6:INDEX($F:$F, ROW()-1), $F218)) : INDEX(AB:AB, ROW()-1)
         )
         /SUM(INDEX(AB:AB, ROW()-COUNTIF($F$6:INDEX($F:$F, ROW()-1), $F218)) : INDEX(AB:AB, ROW()-1)),
           AVERAGEIFS(unit_details[Effective PSF],
          unit_details[Active Listing?],TRUE,
          unit_details[Property Name], $F219,
          unit_details[Beds], $L219,
          unit_details[Baths], $M219,
          unit_details[Partial Baths], IF(ISNUMBER($N219),$N219,""),
          unit_details[Sqft],$P219
)),"")</f>
        <v/>
      </c>
      <c r="AJ219" s="824" t="str">
        <f t="shared" si="37"/>
        <v/>
      </c>
      <c r="AK219" s="531" t="str">
        <f t="shared" si="38"/>
        <v/>
      </c>
      <c r="AL219" s="714" t="str">
        <f t="shared" si="39"/>
        <v/>
      </c>
      <c r="AM219" s="531" t="str">
        <f t="shared" si="40"/>
        <v/>
      </c>
      <c r="AN219" s="716" t="str">
        <f t="shared" si="41"/>
        <v/>
      </c>
    </row>
    <row r="220" spans="6:40" x14ac:dyDescent="0.2">
      <c r="F220" s="1" t="str">
        <f t="shared" si="34"/>
        <v/>
      </c>
      <c r="G220" s="713" t="str">
        <f t="shared" si="42"/>
        <v/>
      </c>
      <c r="H220" s="17" t="str">
        <f>IFERROR(VLOOKUP($G220,Table1[[Property]:[Exposure %]],4,0),"")</f>
        <v/>
      </c>
      <c r="I220" s="3" t="str">
        <f>IFERROR(VLOOKUP($G220,Table1[[Property]:[Exposure %]],6,0),"")</f>
        <v/>
      </c>
      <c r="J220" s="3" t="str">
        <f>IFERROR(VLOOKUP($G220,Table1[[Property]:[Exposure %]],7,0),"")</f>
        <v/>
      </c>
      <c r="K220"/>
      <c r="L220"/>
      <c r="M220"/>
      <c r="N220"/>
      <c r="O220"/>
      <c r="P220"/>
      <c r="Q220"/>
      <c r="R220" s="4" t="str">
        <f>IFERROR(VLOOKUP(IF(F220="Total",F219,F220),Table1[[Property]:['# Units]],7,0)*S220,"")</f>
        <v/>
      </c>
      <c r="S220" s="27" t="str">
        <f t="shared" si="35"/>
        <v/>
      </c>
      <c r="T220" s="531" t="str">
        <f>IFERROR(
 IF($F220="Total",
   SUMPRODUCT(
   INDEX(T:T, ROW()-COUNTIF($F$6:INDEX($F:$F, ROW()-1), $F219)) : INDEX(T:T, ROW()-1),
   INDEX(W:W, ROW()-COUNTIF($F$6:INDEX($F:$F, ROW()-1), $F219)) : INDEX(W:W, ROW()-1)
   )
   /SUM(INDEX(W:W, ROW()-COUNTIF($F$6:INDEX($F:$F, ROW()-1), $F219)) : INDEX(W:W, ROW()-1)),
   AVERAGEIFS(
     INDEX((unit_details[Asking Rent],unit_details[Asking PSF]),0,1,IF($U$3="Chunk Rent",1,2)),
     unit_details[Leased Date],"&gt;="&amp;($AM$2-T$5),
     unit_details[Leased Date],"&lt;"&amp;$AM$2,
     unit_details[Beds],$L220,
     unit_details[Baths],$M220,
     unit_details[Partial Baths],IF(ISNUMBER($N220),$N220,""),
     unit_details[Sqft],$P220,
     unit_details[Property Name],$F220)
 ),"")</f>
        <v/>
      </c>
      <c r="U220" s="552" t="str">
        <f>IFERROR(
 IF($F220="Total",
   SUMPRODUCT(
   INDEX(U:U, ROW()-COUNTIF($F$6:INDEX($F:$F, ROW()-1), $F219)) : INDEX(U:U, ROW()-1),
   INDEX(W:W, ROW()-COUNTIF($F$6:INDEX($F:$F, ROW()-1), $F219)) : INDEX(W:W, ROW()-1)
   )
   /SUM(INDEX(W:W, ROW()-COUNTIF($F$6:INDEX($F:$F, ROW()-1), $F219)) : INDEX(W:W, ROW()-1)),
   AVERAGEIFS(
     INDEX((unit_details[Effective Rent],unit_details[Effective PSF]),0,1,IF($U$3="Chunk Rent",1,2)),
     unit_details[Leased Date],"&gt;="&amp;($AM$2-T$5),
     unit_details[Leased Date],"&lt;"&amp;$AM$2,
     unit_details[Beds],$L220,
     unit_details[Baths],$M220,
     unit_details[Partial Baths],IF(ISNUMBER($N220),$N220,""),
     unit_details[Sqft],$P220,
     unit_details[Property Name],$F220)
 ),"")</f>
        <v/>
      </c>
      <c r="V220" s="27" t="str">
        <f t="shared" si="43"/>
        <v/>
      </c>
      <c r="W220" s="526">
        <f>IFERROR(
  IF($F220="Total",
    SUM(INDEX(W:W, ROW()-COUNTIF($F$6:INDEX($F:$F, ROW()-1), $F219)) : INDEX(W:W, ROW()-1)),
    COUNTIFS(
      unit_details[Leased Date], "&gt;="&amp;($AM$2-T$5),
      unit_details[Leased Date], "&lt;"&amp;$AM$2,
      unit_details[Beds], $L220,
      unit_details[Baths], $M220,
      unit_details[Partial Baths], IF(ISNUMBER($N220), $N220, ""),
      unit_details[Sqft],$P220,
      unit_details[Property Name], $F220
    )
  ),
"")</f>
        <v>0</v>
      </c>
      <c r="X220" s="531" t="str">
        <f>IFERROR(
 IF($F220="Total",
   SUMPRODUCT(
   INDEX(X:X, ROW()-COUNTIF($F$6:INDEX($F:$F, ROW()-1), $F219)) : INDEX(X:X, ROW()-1),
   INDEX(AA:AA, ROW()-COUNTIF($F$6:INDEX($F:$F, ROW()-1), $F219)) : INDEX(AA:AA, ROW()-1)
   )
   /SUM(INDEX(AA:AA, ROW()-COUNTIF($F$6:INDEX($F:$F, ROW()-1), $F219)) : INDEX(AA:AA, ROW()-1)),
   AVERAGEIFS(
     INDEX((unit_details[Asking Rent],unit_details[Asking PSF]),0,1,IF($U$3="Chunk Rent",1,2)),
     unit_details[Leased Date],"&gt;="&amp;($AM$2-X$5),
     unit_details[Leased Date],"&lt;"&amp;$AM$2,
     unit_details[Beds],$L220,
     unit_details[Baths],$M220,
     unit_details[Partial Baths],IF(ISNUMBER($N220),$N220,""),
     unit_details[Sqft],$P220,
     unit_details[Property Name],$F220)
 ),"")</f>
        <v/>
      </c>
      <c r="Y220" s="552" t="str">
        <f>IFERROR(
 IF($F220="Total",
   SUMPRODUCT(
   INDEX(Y:Y, ROW()-COUNTIF($F$6:INDEX($F:$F, ROW()-1), $F219)) : INDEX(Y:Y, ROW()-1),
   INDEX(AA:AA, ROW()-COUNTIF($F$6:INDEX($F:$F, ROW()-1), $F219)) : INDEX(AA:AA, ROW()-1)
   )
   /SUM(INDEX(AA:AA, ROW()-COUNTIF($F$6:INDEX($F:$F, ROW()-1), $F219)) : INDEX(AA:AA, ROW()-1)),
   AVERAGEIFS(
     INDEX((unit_details[Effective Rent],unit_details[Effective PSF]),0,1,IF($U$3="Chunk Rent",1,2)),
     unit_details[Leased Date],"&gt;="&amp;($AM$2-X$5),
     unit_details[Leased Date],"&lt;"&amp;$AM$2,
     unit_details[Beds],$L220,
     unit_details[Baths],$M220,
     unit_details[Partial Baths],IF(ISNUMBER($N220),$N220,""),
     unit_details[Sqft],$P220,
     unit_details[Property Name],$F220)
 ),"")</f>
        <v/>
      </c>
      <c r="Z220" s="27" t="str">
        <f t="shared" si="44"/>
        <v/>
      </c>
      <c r="AA220" s="526">
        <f>IFERROR(
  IF($F220="Total",
    SUM(INDEX(AA:AA, ROW()-COUNTIF($F$6:INDEX($F:$F, ROW()-1), $F219)) : INDEX(AA:AA, ROW()-1)),
    COUNTIFS(
      unit_details[Leased Date], "&gt;="&amp;($AM$2-X$5),
      unit_details[Leased Date], "&lt;"&amp;$AM$2,
      unit_details[Beds], $L220,
      unit_details[Baths], $M220,
      unit_details[Partial Baths], IF(ISNUMBER($N220), $N220, ""),
      unit_details[Sqft],$P220,
      unit_details[Property Name], $F220
    )
  ),
"")</f>
        <v>0</v>
      </c>
      <c r="AB220" s="290">
        <f>IF($F220="Total",
SUM(INDEX(AB:AB, ROW()-COUNTIF($F$6:INDEX($F:$F, ROW()-1), $F219)) : INDEX(AB:AB, ROW()-1)),
COUNTIFS(unit_details[Active Listing?],TRUE,
          unit_details[Property Name], $F220,
          unit_details[Beds], $L220,
          unit_details[Baths], $M220,
          unit_details[Partial Baths],IF(ISNUMBER($N220),$N220,""),
          unit_details[Sqft],$P220))</f>
        <v>0</v>
      </c>
      <c r="AC220" s="27" t="str">
        <f t="shared" si="36"/>
        <v/>
      </c>
      <c r="AD220" s="293" t="str">
        <f>IFERROR(IF(AE220="","",IF($F220="Total",
SUMPRODUCT(
   INDEX(AD:AD, ROW()-COUNTIF($F$6:INDEX($F:$F, ROW()-1), $F219)) : INDEX(AD:AD, ROW()-1),
   INDEX(AB:AB, ROW()-COUNTIF($F$6:INDEX($F:$F, ROW()-1), $F219)) : INDEX(AB:AB, ROW()-1)
   )
   /SUM(INDEX(AB:AB, ROW()-COUNTIF($F$6:INDEX($F:$F, ROW()-1), $F219)) : INDEX(AB:AB, ROW()-1)),
          _xlfn.MINIFS(unit_details[Asking Rent],
          unit_details[Active Listing?],TRUE,
          unit_details[Property Name], $F220,
          unit_details[Beds], $L220,
          unit_details[Baths], $M220,
          unit_details[Partial Baths], IF(ISNUMBER($N220),$N220,""),
          unit_details[Sqft],$P220
))),"")</f>
        <v/>
      </c>
      <c r="AE220" s="5" t="str">
        <f>IFERROR(IF($F220="Total",
          SUMPRODUCT(
   INDEX(AE:AE, ROW()-COUNTIF($F$6:INDEX($F:$F, ROW()-1), $F219)) : INDEX(AE:AE, ROW()-1),
   INDEX(AB:AB, ROW()-COUNTIF($F$6:INDEX($F:$F, ROW()-1), $F219)) : INDEX(AB:AB, ROW()-1)
   )
   /SUM(INDEX(AB:AB, ROW()-COUNTIF($F$6:INDEX($F:$F, ROW()-1), $F219)) : INDEX(AB:AB, ROW()-1)),
          AVERAGEIFS(unit_details[Asking Rent],
          unit_details[Active Listing?],TRUE,
          unit_details[Property Name], $F220,
          unit_details[Beds], $L220,
          unit_details[Baths], $M220,
          unit_details[Partial Baths], IF(ISNUMBER($N220),$N220,""),
          unit_details[Sqft],$P220
)),"")</f>
        <v/>
      </c>
      <c r="AF220" s="5" t="str">
        <f>IFERROR(IF(AE220="","",IF($F220="Total",
SUMPRODUCT(
   INDEX(AF:AF, ROW()-COUNTIF($F$6:INDEX($F:$F, ROW()-1), $F219)) : INDEX(AF:AF, ROW()-1),
   INDEX(AB:AB, ROW()-COUNTIF($F$6:INDEX($F:$F, ROW()-1), $F219)) : INDEX(AB:AB, ROW()-1)
   )
   /SUM(INDEX(AB:AB, ROW()-COUNTIF($F$6:INDEX($F:$F, ROW()-1), $F219)) : INDEX(AB:AB, ROW()-1)),
           _xlfn.MAXIFS(unit_details[Asking Rent],
          unit_details[Active Listing?],TRUE,
          unit_details[Property Name], $F220,
          unit_details[Beds], $L220,
          unit_details[Baths], $M220,
          unit_details[Partial Baths], IF(ISNUMBER($N220),$N220,""),
          unit_details[Sqft],$P220
))),"")</f>
        <v/>
      </c>
      <c r="AG220" s="6" t="str">
        <f>IFERROR(IF($F220="Total",
         SUMPRODUCT(
         INDEX(AG:AG, ROW()-COUNTIF($F$6:INDEX($F:$F, ROW()-1), $F219)) : INDEX(AG:AG, ROW()-1),
         INDEX(AB:AB, ROW()-COUNTIF($F$6:INDEX($F:$F, ROW()-1), $F219)) : INDEX(AB:AB, ROW()-1)
         )
         /SUM(INDEX(AB:AB, ROW()-COUNTIF($F$6:INDEX($F:$F, ROW()-1), $F219)) : INDEX(AB:AB, ROW()-1)),
          AVERAGEIFS(unit_details[Asking PSF],
          unit_details[Active Listing?],TRUE,
          unit_details[Property Name], $F220,
          unit_details[Beds], $L220,
          unit_details[Baths], $M220,
          unit_details[Partial Baths], IF(ISNUMBER($N220),$N220,""),
          unit_details[Sqft],$P220
)),"")</f>
        <v/>
      </c>
      <c r="AH220" s="293" t="str">
        <f>IFERROR(IF($F220="Total",
         SUMPRODUCT(
         INDEX(AH:AH, ROW()-COUNTIF($F$6:INDEX($F:$F, ROW()-1), $F219)) : INDEX(AH:AH, ROW()-1),
         INDEX(AB:AB, ROW()-COUNTIF($F$6:INDEX($F:$F, ROW()-1), $F219)) : INDEX(AB:AB, ROW()-1)
         )
         /SUM(INDEX(AB:AB, ROW()-COUNTIF($F$6:INDEX($F:$F, ROW()-1), $F219)) : INDEX(AB:AB, ROW()-1)),
          AVERAGEIFS(unit_details[Effective Rent],
          unit_details[Active Listing?],TRUE,
          unit_details[Property Name], $F220,
          unit_details[Beds], $L220,
          unit_details[Baths], $M220,
          unit_details[Partial Baths], IF(ISNUMBER($N220),$N220,""),
          unit_details[Sqft],$P220
)),"")</f>
        <v/>
      </c>
      <c r="AI220" s="6" t="str">
        <f>IFERROR(IF($F220="Total",
         SUMPRODUCT(
         INDEX(AI:AI, ROW()-COUNTIF($F$6:INDEX($F:$F, ROW()-1), $F219)) : INDEX(AI:AI, ROW()-1),
         INDEX(AB:AB, ROW()-COUNTIF($F$6:INDEX($F:$F, ROW()-1), $F219)) : INDEX(AB:AB, ROW()-1)
         )
         /SUM(INDEX(AB:AB, ROW()-COUNTIF($F$6:INDEX($F:$F, ROW()-1), $F219)) : INDEX(AB:AB, ROW()-1)),
           AVERAGEIFS(unit_details[Effective PSF],
          unit_details[Active Listing?],TRUE,
          unit_details[Property Name], $F220,
          unit_details[Beds], $L220,
          unit_details[Baths], $M220,
          unit_details[Partial Baths], IF(ISNUMBER($N220),$N220,""),
          unit_details[Sqft],$P220
)),"")</f>
        <v/>
      </c>
      <c r="AJ220" s="824" t="str">
        <f t="shared" si="37"/>
        <v/>
      </c>
      <c r="AK220" s="531" t="str">
        <f t="shared" si="38"/>
        <v/>
      </c>
      <c r="AL220" s="714" t="str">
        <f t="shared" si="39"/>
        <v/>
      </c>
      <c r="AM220" s="531" t="str">
        <f t="shared" si="40"/>
        <v/>
      </c>
      <c r="AN220" s="716" t="str">
        <f t="shared" si="41"/>
        <v/>
      </c>
    </row>
    <row r="221" spans="6:40" x14ac:dyDescent="0.2">
      <c r="F221" s="1" t="str">
        <f t="shared" si="34"/>
        <v/>
      </c>
      <c r="G221" s="713" t="str">
        <f t="shared" si="42"/>
        <v/>
      </c>
      <c r="H221" s="17" t="str">
        <f>IFERROR(VLOOKUP($G221,Table1[[Property]:[Exposure %]],4,0),"")</f>
        <v/>
      </c>
      <c r="I221" s="3" t="str">
        <f>IFERROR(VLOOKUP($G221,Table1[[Property]:[Exposure %]],6,0),"")</f>
        <v/>
      </c>
      <c r="J221" s="3" t="str">
        <f>IFERROR(VLOOKUP($G221,Table1[[Property]:[Exposure %]],7,0),"")</f>
        <v/>
      </c>
      <c r="K221"/>
      <c r="L221"/>
      <c r="M221"/>
      <c r="N221"/>
      <c r="O221"/>
      <c r="P221"/>
      <c r="Q221"/>
      <c r="R221" s="4" t="str">
        <f>IFERROR(VLOOKUP(IF(F221="Total",F220,F221),Table1[[Property]:['# Units]],7,0)*S221,"")</f>
        <v/>
      </c>
      <c r="S221" s="27" t="str">
        <f t="shared" si="35"/>
        <v/>
      </c>
      <c r="T221" s="531" t="str">
        <f>IFERROR(
 IF($F221="Total",
   SUMPRODUCT(
   INDEX(T:T, ROW()-COUNTIF($F$6:INDEX($F:$F, ROW()-1), $F220)) : INDEX(T:T, ROW()-1),
   INDEX(W:W, ROW()-COUNTIF($F$6:INDEX($F:$F, ROW()-1), $F220)) : INDEX(W:W, ROW()-1)
   )
   /SUM(INDEX(W:W, ROW()-COUNTIF($F$6:INDEX($F:$F, ROW()-1), $F220)) : INDEX(W:W, ROW()-1)),
   AVERAGEIFS(
     INDEX((unit_details[Asking Rent],unit_details[Asking PSF]),0,1,IF($U$3="Chunk Rent",1,2)),
     unit_details[Leased Date],"&gt;="&amp;($AM$2-T$5),
     unit_details[Leased Date],"&lt;"&amp;$AM$2,
     unit_details[Beds],$L221,
     unit_details[Baths],$M221,
     unit_details[Partial Baths],IF(ISNUMBER($N221),$N221,""),
     unit_details[Sqft],$P221,
     unit_details[Property Name],$F221)
 ),"")</f>
        <v/>
      </c>
      <c r="U221" s="552" t="str">
        <f>IFERROR(
 IF($F221="Total",
   SUMPRODUCT(
   INDEX(U:U, ROW()-COUNTIF($F$6:INDEX($F:$F, ROW()-1), $F220)) : INDEX(U:U, ROW()-1),
   INDEX(W:W, ROW()-COUNTIF($F$6:INDEX($F:$F, ROW()-1), $F220)) : INDEX(W:W, ROW()-1)
   )
   /SUM(INDEX(W:W, ROW()-COUNTIF($F$6:INDEX($F:$F, ROW()-1), $F220)) : INDEX(W:W, ROW()-1)),
   AVERAGEIFS(
     INDEX((unit_details[Effective Rent],unit_details[Effective PSF]),0,1,IF($U$3="Chunk Rent",1,2)),
     unit_details[Leased Date],"&gt;="&amp;($AM$2-T$5),
     unit_details[Leased Date],"&lt;"&amp;$AM$2,
     unit_details[Beds],$L221,
     unit_details[Baths],$M221,
     unit_details[Partial Baths],IF(ISNUMBER($N221),$N221,""),
     unit_details[Sqft],$P221,
     unit_details[Property Name],$F221)
 ),"")</f>
        <v/>
      </c>
      <c r="V221" s="27" t="str">
        <f t="shared" si="43"/>
        <v/>
      </c>
      <c r="W221" s="526">
        <f>IFERROR(
  IF($F221="Total",
    SUM(INDEX(W:W, ROW()-COUNTIF($F$6:INDEX($F:$F, ROW()-1), $F220)) : INDEX(W:W, ROW()-1)),
    COUNTIFS(
      unit_details[Leased Date], "&gt;="&amp;($AM$2-T$5),
      unit_details[Leased Date], "&lt;"&amp;$AM$2,
      unit_details[Beds], $L221,
      unit_details[Baths], $M221,
      unit_details[Partial Baths], IF(ISNUMBER($N221), $N221, ""),
      unit_details[Sqft],$P221,
      unit_details[Property Name], $F221
    )
  ),
"")</f>
        <v>0</v>
      </c>
      <c r="X221" s="531" t="str">
        <f>IFERROR(
 IF($F221="Total",
   SUMPRODUCT(
   INDEX(X:X, ROW()-COUNTIF($F$6:INDEX($F:$F, ROW()-1), $F220)) : INDEX(X:X, ROW()-1),
   INDEX(AA:AA, ROW()-COUNTIF($F$6:INDEX($F:$F, ROW()-1), $F220)) : INDEX(AA:AA, ROW()-1)
   )
   /SUM(INDEX(AA:AA, ROW()-COUNTIF($F$6:INDEX($F:$F, ROW()-1), $F220)) : INDEX(AA:AA, ROW()-1)),
   AVERAGEIFS(
     INDEX((unit_details[Asking Rent],unit_details[Asking PSF]),0,1,IF($U$3="Chunk Rent",1,2)),
     unit_details[Leased Date],"&gt;="&amp;($AM$2-X$5),
     unit_details[Leased Date],"&lt;"&amp;$AM$2,
     unit_details[Beds],$L221,
     unit_details[Baths],$M221,
     unit_details[Partial Baths],IF(ISNUMBER($N221),$N221,""),
     unit_details[Sqft],$P221,
     unit_details[Property Name],$F221)
 ),"")</f>
        <v/>
      </c>
      <c r="Y221" s="552" t="str">
        <f>IFERROR(
 IF($F221="Total",
   SUMPRODUCT(
   INDEX(Y:Y, ROW()-COUNTIF($F$6:INDEX($F:$F, ROW()-1), $F220)) : INDEX(Y:Y, ROW()-1),
   INDEX(AA:AA, ROW()-COUNTIF($F$6:INDEX($F:$F, ROW()-1), $F220)) : INDEX(AA:AA, ROW()-1)
   )
   /SUM(INDEX(AA:AA, ROW()-COUNTIF($F$6:INDEX($F:$F, ROW()-1), $F220)) : INDEX(AA:AA, ROW()-1)),
   AVERAGEIFS(
     INDEX((unit_details[Effective Rent],unit_details[Effective PSF]),0,1,IF($U$3="Chunk Rent",1,2)),
     unit_details[Leased Date],"&gt;="&amp;($AM$2-X$5),
     unit_details[Leased Date],"&lt;"&amp;$AM$2,
     unit_details[Beds],$L221,
     unit_details[Baths],$M221,
     unit_details[Partial Baths],IF(ISNUMBER($N221),$N221,""),
     unit_details[Sqft],$P221,
     unit_details[Property Name],$F221)
 ),"")</f>
        <v/>
      </c>
      <c r="Z221" s="27" t="str">
        <f t="shared" si="44"/>
        <v/>
      </c>
      <c r="AA221" s="526">
        <f>IFERROR(
  IF($F221="Total",
    SUM(INDEX(AA:AA, ROW()-COUNTIF($F$6:INDEX($F:$F, ROW()-1), $F220)) : INDEX(AA:AA, ROW()-1)),
    COUNTIFS(
      unit_details[Leased Date], "&gt;="&amp;($AM$2-X$5),
      unit_details[Leased Date], "&lt;"&amp;$AM$2,
      unit_details[Beds], $L221,
      unit_details[Baths], $M221,
      unit_details[Partial Baths], IF(ISNUMBER($N221), $N221, ""),
      unit_details[Sqft],$P221,
      unit_details[Property Name], $F221
    )
  ),
"")</f>
        <v>0</v>
      </c>
      <c r="AB221" s="290">
        <f>IF($F221="Total",
SUM(INDEX(AB:AB, ROW()-COUNTIF($F$6:INDEX($F:$F, ROW()-1), $F220)) : INDEX(AB:AB, ROW()-1)),
COUNTIFS(unit_details[Active Listing?],TRUE,
          unit_details[Property Name], $F221,
          unit_details[Beds], $L221,
          unit_details[Baths], $M221,
          unit_details[Partial Baths],IF(ISNUMBER($N221),$N221,""),
          unit_details[Sqft],$P221))</f>
        <v>0</v>
      </c>
      <c r="AC221" s="27" t="str">
        <f t="shared" si="36"/>
        <v/>
      </c>
      <c r="AD221" s="293" t="str">
        <f>IFERROR(IF(AE221="","",IF($F221="Total",
SUMPRODUCT(
   INDEX(AD:AD, ROW()-COUNTIF($F$6:INDEX($F:$F, ROW()-1), $F220)) : INDEX(AD:AD, ROW()-1),
   INDEX(AB:AB, ROW()-COUNTIF($F$6:INDEX($F:$F, ROW()-1), $F220)) : INDEX(AB:AB, ROW()-1)
   )
   /SUM(INDEX(AB:AB, ROW()-COUNTIF($F$6:INDEX($F:$F, ROW()-1), $F220)) : INDEX(AB:AB, ROW()-1)),
          _xlfn.MINIFS(unit_details[Asking Rent],
          unit_details[Active Listing?],TRUE,
          unit_details[Property Name], $F221,
          unit_details[Beds], $L221,
          unit_details[Baths], $M221,
          unit_details[Partial Baths], IF(ISNUMBER($N221),$N221,""),
          unit_details[Sqft],$P221
))),"")</f>
        <v/>
      </c>
      <c r="AE221" s="5" t="str">
        <f>IFERROR(IF($F221="Total",
          SUMPRODUCT(
   INDEX(AE:AE, ROW()-COUNTIF($F$6:INDEX($F:$F, ROW()-1), $F220)) : INDEX(AE:AE, ROW()-1),
   INDEX(AB:AB, ROW()-COUNTIF($F$6:INDEX($F:$F, ROW()-1), $F220)) : INDEX(AB:AB, ROW()-1)
   )
   /SUM(INDEX(AB:AB, ROW()-COUNTIF($F$6:INDEX($F:$F, ROW()-1), $F220)) : INDEX(AB:AB, ROW()-1)),
          AVERAGEIFS(unit_details[Asking Rent],
          unit_details[Active Listing?],TRUE,
          unit_details[Property Name], $F221,
          unit_details[Beds], $L221,
          unit_details[Baths], $M221,
          unit_details[Partial Baths], IF(ISNUMBER($N221),$N221,""),
          unit_details[Sqft],$P221
)),"")</f>
        <v/>
      </c>
      <c r="AF221" s="5" t="str">
        <f>IFERROR(IF(AE221="","",IF($F221="Total",
SUMPRODUCT(
   INDEX(AF:AF, ROW()-COUNTIF($F$6:INDEX($F:$F, ROW()-1), $F220)) : INDEX(AF:AF, ROW()-1),
   INDEX(AB:AB, ROW()-COUNTIF($F$6:INDEX($F:$F, ROW()-1), $F220)) : INDEX(AB:AB, ROW()-1)
   )
   /SUM(INDEX(AB:AB, ROW()-COUNTIF($F$6:INDEX($F:$F, ROW()-1), $F220)) : INDEX(AB:AB, ROW()-1)),
           _xlfn.MAXIFS(unit_details[Asking Rent],
          unit_details[Active Listing?],TRUE,
          unit_details[Property Name], $F221,
          unit_details[Beds], $L221,
          unit_details[Baths], $M221,
          unit_details[Partial Baths], IF(ISNUMBER($N221),$N221,""),
          unit_details[Sqft],$P221
))),"")</f>
        <v/>
      </c>
      <c r="AG221" s="6" t="str">
        <f>IFERROR(IF($F221="Total",
         SUMPRODUCT(
         INDEX(AG:AG, ROW()-COUNTIF($F$6:INDEX($F:$F, ROW()-1), $F220)) : INDEX(AG:AG, ROW()-1),
         INDEX(AB:AB, ROW()-COUNTIF($F$6:INDEX($F:$F, ROW()-1), $F220)) : INDEX(AB:AB, ROW()-1)
         )
         /SUM(INDEX(AB:AB, ROW()-COUNTIF($F$6:INDEX($F:$F, ROW()-1), $F220)) : INDEX(AB:AB, ROW()-1)),
          AVERAGEIFS(unit_details[Asking PSF],
          unit_details[Active Listing?],TRUE,
          unit_details[Property Name], $F221,
          unit_details[Beds], $L221,
          unit_details[Baths], $M221,
          unit_details[Partial Baths], IF(ISNUMBER($N221),$N221,""),
          unit_details[Sqft],$P221
)),"")</f>
        <v/>
      </c>
      <c r="AH221" s="293" t="str">
        <f>IFERROR(IF($F221="Total",
         SUMPRODUCT(
         INDEX(AH:AH, ROW()-COUNTIF($F$6:INDEX($F:$F, ROW()-1), $F220)) : INDEX(AH:AH, ROW()-1),
         INDEX(AB:AB, ROW()-COUNTIF($F$6:INDEX($F:$F, ROW()-1), $F220)) : INDEX(AB:AB, ROW()-1)
         )
         /SUM(INDEX(AB:AB, ROW()-COUNTIF($F$6:INDEX($F:$F, ROW()-1), $F220)) : INDEX(AB:AB, ROW()-1)),
          AVERAGEIFS(unit_details[Effective Rent],
          unit_details[Active Listing?],TRUE,
          unit_details[Property Name], $F221,
          unit_details[Beds], $L221,
          unit_details[Baths], $M221,
          unit_details[Partial Baths], IF(ISNUMBER($N221),$N221,""),
          unit_details[Sqft],$P221
)),"")</f>
        <v/>
      </c>
      <c r="AI221" s="6" t="str">
        <f>IFERROR(IF($F221="Total",
         SUMPRODUCT(
         INDEX(AI:AI, ROW()-COUNTIF($F$6:INDEX($F:$F, ROW()-1), $F220)) : INDEX(AI:AI, ROW()-1),
         INDEX(AB:AB, ROW()-COUNTIF($F$6:INDEX($F:$F, ROW()-1), $F220)) : INDEX(AB:AB, ROW()-1)
         )
         /SUM(INDEX(AB:AB, ROW()-COUNTIF($F$6:INDEX($F:$F, ROW()-1), $F220)) : INDEX(AB:AB, ROW()-1)),
           AVERAGEIFS(unit_details[Effective PSF],
          unit_details[Active Listing?],TRUE,
          unit_details[Property Name], $F221,
          unit_details[Beds], $L221,
          unit_details[Baths], $M221,
          unit_details[Partial Baths], IF(ISNUMBER($N221),$N221,""),
          unit_details[Sqft],$P221
)),"")</f>
        <v/>
      </c>
      <c r="AJ221" s="824" t="str">
        <f t="shared" si="37"/>
        <v/>
      </c>
      <c r="AK221" s="531" t="str">
        <f t="shared" si="38"/>
        <v/>
      </c>
      <c r="AL221" s="714" t="str">
        <f t="shared" si="39"/>
        <v/>
      </c>
      <c r="AM221" s="531" t="str">
        <f t="shared" si="40"/>
        <v/>
      </c>
      <c r="AN221" s="716" t="str">
        <f t="shared" si="41"/>
        <v/>
      </c>
    </row>
    <row r="222" spans="6:40" x14ac:dyDescent="0.2">
      <c r="F222" s="1" t="str">
        <f t="shared" si="34"/>
        <v/>
      </c>
      <c r="G222" s="713" t="str">
        <f t="shared" si="42"/>
        <v/>
      </c>
      <c r="H222" s="17" t="str">
        <f>IFERROR(VLOOKUP($G222,Table1[[Property]:[Exposure %]],4,0),"")</f>
        <v/>
      </c>
      <c r="I222" s="3" t="str">
        <f>IFERROR(VLOOKUP($G222,Table1[[Property]:[Exposure %]],6,0),"")</f>
        <v/>
      </c>
      <c r="J222" s="3" t="str">
        <f>IFERROR(VLOOKUP($G222,Table1[[Property]:[Exposure %]],7,0),"")</f>
        <v/>
      </c>
      <c r="K222"/>
      <c r="L222"/>
      <c r="M222"/>
      <c r="N222"/>
      <c r="O222"/>
      <c r="P222"/>
      <c r="Q222"/>
      <c r="R222" s="4" t="str">
        <f>IFERROR(VLOOKUP(IF(F222="Total",F221,F222),Table1[[Property]:['# Units]],7,0)*S222,"")</f>
        <v/>
      </c>
      <c r="S222" s="27" t="str">
        <f t="shared" si="35"/>
        <v/>
      </c>
      <c r="T222" s="531" t="str">
        <f>IFERROR(
 IF($F222="Total",
   SUMPRODUCT(
   INDEX(T:T, ROW()-COUNTIF($F$6:INDEX($F:$F, ROW()-1), $F221)) : INDEX(T:T, ROW()-1),
   INDEX(W:W, ROW()-COUNTIF($F$6:INDEX($F:$F, ROW()-1), $F221)) : INDEX(W:W, ROW()-1)
   )
   /SUM(INDEX(W:W, ROW()-COUNTIF($F$6:INDEX($F:$F, ROW()-1), $F221)) : INDEX(W:W, ROW()-1)),
   AVERAGEIFS(
     INDEX((unit_details[Asking Rent],unit_details[Asking PSF]),0,1,IF($U$3="Chunk Rent",1,2)),
     unit_details[Leased Date],"&gt;="&amp;($AM$2-T$5),
     unit_details[Leased Date],"&lt;"&amp;$AM$2,
     unit_details[Beds],$L222,
     unit_details[Baths],$M222,
     unit_details[Partial Baths],IF(ISNUMBER($N222),$N222,""),
     unit_details[Sqft],$P222,
     unit_details[Property Name],$F222)
 ),"")</f>
        <v/>
      </c>
      <c r="U222" s="552" t="str">
        <f>IFERROR(
 IF($F222="Total",
   SUMPRODUCT(
   INDEX(U:U, ROW()-COUNTIF($F$6:INDEX($F:$F, ROW()-1), $F221)) : INDEX(U:U, ROW()-1),
   INDEX(W:W, ROW()-COUNTIF($F$6:INDEX($F:$F, ROW()-1), $F221)) : INDEX(W:W, ROW()-1)
   )
   /SUM(INDEX(W:W, ROW()-COUNTIF($F$6:INDEX($F:$F, ROW()-1), $F221)) : INDEX(W:W, ROW()-1)),
   AVERAGEIFS(
     INDEX((unit_details[Effective Rent],unit_details[Effective PSF]),0,1,IF($U$3="Chunk Rent",1,2)),
     unit_details[Leased Date],"&gt;="&amp;($AM$2-T$5),
     unit_details[Leased Date],"&lt;"&amp;$AM$2,
     unit_details[Beds],$L222,
     unit_details[Baths],$M222,
     unit_details[Partial Baths],IF(ISNUMBER($N222),$N222,""),
     unit_details[Sqft],$P222,
     unit_details[Property Name],$F222)
 ),"")</f>
        <v/>
      </c>
      <c r="V222" s="27" t="str">
        <f t="shared" si="43"/>
        <v/>
      </c>
      <c r="W222" s="526">
        <f>IFERROR(
  IF($F222="Total",
    SUM(INDEX(W:W, ROW()-COUNTIF($F$6:INDEX($F:$F, ROW()-1), $F221)) : INDEX(W:W, ROW()-1)),
    COUNTIFS(
      unit_details[Leased Date], "&gt;="&amp;($AM$2-T$5),
      unit_details[Leased Date], "&lt;"&amp;$AM$2,
      unit_details[Beds], $L222,
      unit_details[Baths], $M222,
      unit_details[Partial Baths], IF(ISNUMBER($N222), $N222, ""),
      unit_details[Sqft],$P222,
      unit_details[Property Name], $F222
    )
  ),
"")</f>
        <v>0</v>
      </c>
      <c r="X222" s="531" t="str">
        <f>IFERROR(
 IF($F222="Total",
   SUMPRODUCT(
   INDEX(X:X, ROW()-COUNTIF($F$6:INDEX($F:$F, ROW()-1), $F221)) : INDEX(X:X, ROW()-1),
   INDEX(AA:AA, ROW()-COUNTIF($F$6:INDEX($F:$F, ROW()-1), $F221)) : INDEX(AA:AA, ROW()-1)
   )
   /SUM(INDEX(AA:AA, ROW()-COUNTIF($F$6:INDEX($F:$F, ROW()-1), $F221)) : INDEX(AA:AA, ROW()-1)),
   AVERAGEIFS(
     INDEX((unit_details[Asking Rent],unit_details[Asking PSF]),0,1,IF($U$3="Chunk Rent",1,2)),
     unit_details[Leased Date],"&gt;="&amp;($AM$2-X$5),
     unit_details[Leased Date],"&lt;"&amp;$AM$2,
     unit_details[Beds],$L222,
     unit_details[Baths],$M222,
     unit_details[Partial Baths],IF(ISNUMBER($N222),$N222,""),
     unit_details[Sqft],$P222,
     unit_details[Property Name],$F222)
 ),"")</f>
        <v/>
      </c>
      <c r="Y222" s="552" t="str">
        <f>IFERROR(
 IF($F222="Total",
   SUMPRODUCT(
   INDEX(Y:Y, ROW()-COUNTIF($F$6:INDEX($F:$F, ROW()-1), $F221)) : INDEX(Y:Y, ROW()-1),
   INDEX(AA:AA, ROW()-COUNTIF($F$6:INDEX($F:$F, ROW()-1), $F221)) : INDEX(AA:AA, ROW()-1)
   )
   /SUM(INDEX(AA:AA, ROW()-COUNTIF($F$6:INDEX($F:$F, ROW()-1), $F221)) : INDEX(AA:AA, ROW()-1)),
   AVERAGEIFS(
     INDEX((unit_details[Effective Rent],unit_details[Effective PSF]),0,1,IF($U$3="Chunk Rent",1,2)),
     unit_details[Leased Date],"&gt;="&amp;($AM$2-X$5),
     unit_details[Leased Date],"&lt;"&amp;$AM$2,
     unit_details[Beds],$L222,
     unit_details[Baths],$M222,
     unit_details[Partial Baths],IF(ISNUMBER($N222),$N222,""),
     unit_details[Sqft],$P222,
     unit_details[Property Name],$F222)
 ),"")</f>
        <v/>
      </c>
      <c r="Z222" s="27" t="str">
        <f t="shared" si="44"/>
        <v/>
      </c>
      <c r="AA222" s="526">
        <f>IFERROR(
  IF($F222="Total",
    SUM(INDEX(AA:AA, ROW()-COUNTIF($F$6:INDEX($F:$F, ROW()-1), $F221)) : INDEX(AA:AA, ROW()-1)),
    COUNTIFS(
      unit_details[Leased Date], "&gt;="&amp;($AM$2-X$5),
      unit_details[Leased Date], "&lt;"&amp;$AM$2,
      unit_details[Beds], $L222,
      unit_details[Baths], $M222,
      unit_details[Partial Baths], IF(ISNUMBER($N222), $N222, ""),
      unit_details[Sqft],$P222,
      unit_details[Property Name], $F222
    )
  ),
"")</f>
        <v>0</v>
      </c>
      <c r="AB222" s="290">
        <f>IF($F222="Total",
SUM(INDEX(AB:AB, ROW()-COUNTIF($F$6:INDEX($F:$F, ROW()-1), $F221)) : INDEX(AB:AB, ROW()-1)),
COUNTIFS(unit_details[Active Listing?],TRUE,
          unit_details[Property Name], $F222,
          unit_details[Beds], $L222,
          unit_details[Baths], $M222,
          unit_details[Partial Baths],IF(ISNUMBER($N222),$N222,""),
          unit_details[Sqft],$P222))</f>
        <v>0</v>
      </c>
      <c r="AC222" s="27" t="str">
        <f t="shared" si="36"/>
        <v/>
      </c>
      <c r="AD222" s="293" t="str">
        <f>IFERROR(IF(AE222="","",IF($F222="Total",
SUMPRODUCT(
   INDEX(AD:AD, ROW()-COUNTIF($F$6:INDEX($F:$F, ROW()-1), $F221)) : INDEX(AD:AD, ROW()-1),
   INDEX(AB:AB, ROW()-COUNTIF($F$6:INDEX($F:$F, ROW()-1), $F221)) : INDEX(AB:AB, ROW()-1)
   )
   /SUM(INDEX(AB:AB, ROW()-COUNTIF($F$6:INDEX($F:$F, ROW()-1), $F221)) : INDEX(AB:AB, ROW()-1)),
          _xlfn.MINIFS(unit_details[Asking Rent],
          unit_details[Active Listing?],TRUE,
          unit_details[Property Name], $F222,
          unit_details[Beds], $L222,
          unit_details[Baths], $M222,
          unit_details[Partial Baths], IF(ISNUMBER($N222),$N222,""),
          unit_details[Sqft],$P222
))),"")</f>
        <v/>
      </c>
      <c r="AE222" s="5" t="str">
        <f>IFERROR(IF($F222="Total",
          SUMPRODUCT(
   INDEX(AE:AE, ROW()-COUNTIF($F$6:INDEX($F:$F, ROW()-1), $F221)) : INDEX(AE:AE, ROW()-1),
   INDEX(AB:AB, ROW()-COUNTIF($F$6:INDEX($F:$F, ROW()-1), $F221)) : INDEX(AB:AB, ROW()-1)
   )
   /SUM(INDEX(AB:AB, ROW()-COUNTIF($F$6:INDEX($F:$F, ROW()-1), $F221)) : INDEX(AB:AB, ROW()-1)),
          AVERAGEIFS(unit_details[Asking Rent],
          unit_details[Active Listing?],TRUE,
          unit_details[Property Name], $F222,
          unit_details[Beds], $L222,
          unit_details[Baths], $M222,
          unit_details[Partial Baths], IF(ISNUMBER($N222),$N222,""),
          unit_details[Sqft],$P222
)),"")</f>
        <v/>
      </c>
      <c r="AF222" s="5" t="str">
        <f>IFERROR(IF(AE222="","",IF($F222="Total",
SUMPRODUCT(
   INDEX(AF:AF, ROW()-COUNTIF($F$6:INDEX($F:$F, ROW()-1), $F221)) : INDEX(AF:AF, ROW()-1),
   INDEX(AB:AB, ROW()-COUNTIF($F$6:INDEX($F:$F, ROW()-1), $F221)) : INDEX(AB:AB, ROW()-1)
   )
   /SUM(INDEX(AB:AB, ROW()-COUNTIF($F$6:INDEX($F:$F, ROW()-1), $F221)) : INDEX(AB:AB, ROW()-1)),
           _xlfn.MAXIFS(unit_details[Asking Rent],
          unit_details[Active Listing?],TRUE,
          unit_details[Property Name], $F222,
          unit_details[Beds], $L222,
          unit_details[Baths], $M222,
          unit_details[Partial Baths], IF(ISNUMBER($N222),$N222,""),
          unit_details[Sqft],$P222
))),"")</f>
        <v/>
      </c>
      <c r="AG222" s="6" t="str">
        <f>IFERROR(IF($F222="Total",
         SUMPRODUCT(
         INDEX(AG:AG, ROW()-COUNTIF($F$6:INDEX($F:$F, ROW()-1), $F221)) : INDEX(AG:AG, ROW()-1),
         INDEX(AB:AB, ROW()-COUNTIF($F$6:INDEX($F:$F, ROW()-1), $F221)) : INDEX(AB:AB, ROW()-1)
         )
         /SUM(INDEX(AB:AB, ROW()-COUNTIF($F$6:INDEX($F:$F, ROW()-1), $F221)) : INDEX(AB:AB, ROW()-1)),
          AVERAGEIFS(unit_details[Asking PSF],
          unit_details[Active Listing?],TRUE,
          unit_details[Property Name], $F222,
          unit_details[Beds], $L222,
          unit_details[Baths], $M222,
          unit_details[Partial Baths], IF(ISNUMBER($N222),$N222,""),
          unit_details[Sqft],$P222
)),"")</f>
        <v/>
      </c>
      <c r="AH222" s="293" t="str">
        <f>IFERROR(IF($F222="Total",
         SUMPRODUCT(
         INDEX(AH:AH, ROW()-COUNTIF($F$6:INDEX($F:$F, ROW()-1), $F221)) : INDEX(AH:AH, ROW()-1),
         INDEX(AB:AB, ROW()-COUNTIF($F$6:INDEX($F:$F, ROW()-1), $F221)) : INDEX(AB:AB, ROW()-1)
         )
         /SUM(INDEX(AB:AB, ROW()-COUNTIF($F$6:INDEX($F:$F, ROW()-1), $F221)) : INDEX(AB:AB, ROW()-1)),
          AVERAGEIFS(unit_details[Effective Rent],
          unit_details[Active Listing?],TRUE,
          unit_details[Property Name], $F222,
          unit_details[Beds], $L222,
          unit_details[Baths], $M222,
          unit_details[Partial Baths], IF(ISNUMBER($N222),$N222,""),
          unit_details[Sqft],$P222
)),"")</f>
        <v/>
      </c>
      <c r="AI222" s="6" t="str">
        <f>IFERROR(IF($F222="Total",
         SUMPRODUCT(
         INDEX(AI:AI, ROW()-COUNTIF($F$6:INDEX($F:$F, ROW()-1), $F221)) : INDEX(AI:AI, ROW()-1),
         INDEX(AB:AB, ROW()-COUNTIF($F$6:INDEX($F:$F, ROW()-1), $F221)) : INDEX(AB:AB, ROW()-1)
         )
         /SUM(INDEX(AB:AB, ROW()-COUNTIF($F$6:INDEX($F:$F, ROW()-1), $F221)) : INDEX(AB:AB, ROW()-1)),
           AVERAGEIFS(unit_details[Effective PSF],
          unit_details[Active Listing?],TRUE,
          unit_details[Property Name], $F222,
          unit_details[Beds], $L222,
          unit_details[Baths], $M222,
          unit_details[Partial Baths], IF(ISNUMBER($N222),$N222,""),
          unit_details[Sqft],$P222
)),"")</f>
        <v/>
      </c>
      <c r="AJ222" s="824" t="str">
        <f t="shared" si="37"/>
        <v/>
      </c>
      <c r="AK222" s="531" t="str">
        <f t="shared" si="38"/>
        <v/>
      </c>
      <c r="AL222" s="714" t="str">
        <f t="shared" si="39"/>
        <v/>
      </c>
      <c r="AM222" s="531" t="str">
        <f t="shared" si="40"/>
        <v/>
      </c>
      <c r="AN222" s="716" t="str">
        <f t="shared" si="41"/>
        <v/>
      </c>
    </row>
    <row r="223" spans="6:40" x14ac:dyDescent="0.2">
      <c r="F223" s="1" t="str">
        <f t="shared" si="34"/>
        <v/>
      </c>
      <c r="G223" s="713" t="str">
        <f t="shared" si="42"/>
        <v/>
      </c>
      <c r="H223" s="17" t="str">
        <f>IFERROR(VLOOKUP($G223,Table1[[Property]:[Exposure %]],4,0),"")</f>
        <v/>
      </c>
      <c r="I223" s="3" t="str">
        <f>IFERROR(VLOOKUP($G223,Table1[[Property]:[Exposure %]],6,0),"")</f>
        <v/>
      </c>
      <c r="J223" s="3" t="str">
        <f>IFERROR(VLOOKUP($G223,Table1[[Property]:[Exposure %]],7,0),"")</f>
        <v/>
      </c>
      <c r="K223"/>
      <c r="L223"/>
      <c r="M223"/>
      <c r="N223"/>
      <c r="O223"/>
      <c r="P223"/>
      <c r="Q223"/>
      <c r="R223" s="4" t="str">
        <f>IFERROR(VLOOKUP(IF(F223="Total",F222,F223),Table1[[Property]:['# Units]],7,0)*S223,"")</f>
        <v/>
      </c>
      <c r="S223" s="27" t="str">
        <f t="shared" si="35"/>
        <v/>
      </c>
      <c r="T223" s="531" t="str">
        <f>IFERROR(
 IF($F223="Total",
   SUMPRODUCT(
   INDEX(T:T, ROW()-COUNTIF($F$6:INDEX($F:$F, ROW()-1), $F222)) : INDEX(T:T, ROW()-1),
   INDEX(W:W, ROW()-COUNTIF($F$6:INDEX($F:$F, ROW()-1), $F222)) : INDEX(W:W, ROW()-1)
   )
   /SUM(INDEX(W:W, ROW()-COUNTIF($F$6:INDEX($F:$F, ROW()-1), $F222)) : INDEX(W:W, ROW()-1)),
   AVERAGEIFS(
     INDEX((unit_details[Asking Rent],unit_details[Asking PSF]),0,1,IF($U$3="Chunk Rent",1,2)),
     unit_details[Leased Date],"&gt;="&amp;($AM$2-T$5),
     unit_details[Leased Date],"&lt;"&amp;$AM$2,
     unit_details[Beds],$L223,
     unit_details[Baths],$M223,
     unit_details[Partial Baths],IF(ISNUMBER($N223),$N223,""),
     unit_details[Sqft],$P223,
     unit_details[Property Name],$F223)
 ),"")</f>
        <v/>
      </c>
      <c r="U223" s="552" t="str">
        <f>IFERROR(
 IF($F223="Total",
   SUMPRODUCT(
   INDEX(U:U, ROW()-COUNTIF($F$6:INDEX($F:$F, ROW()-1), $F222)) : INDEX(U:U, ROW()-1),
   INDEX(W:W, ROW()-COUNTIF($F$6:INDEX($F:$F, ROW()-1), $F222)) : INDEX(W:W, ROW()-1)
   )
   /SUM(INDEX(W:W, ROW()-COUNTIF($F$6:INDEX($F:$F, ROW()-1), $F222)) : INDEX(W:W, ROW()-1)),
   AVERAGEIFS(
     INDEX((unit_details[Effective Rent],unit_details[Effective PSF]),0,1,IF($U$3="Chunk Rent",1,2)),
     unit_details[Leased Date],"&gt;="&amp;($AM$2-T$5),
     unit_details[Leased Date],"&lt;"&amp;$AM$2,
     unit_details[Beds],$L223,
     unit_details[Baths],$M223,
     unit_details[Partial Baths],IF(ISNUMBER($N223),$N223,""),
     unit_details[Sqft],$P223,
     unit_details[Property Name],$F223)
 ),"")</f>
        <v/>
      </c>
      <c r="V223" s="27" t="str">
        <f t="shared" si="43"/>
        <v/>
      </c>
      <c r="W223" s="526">
        <f>IFERROR(
  IF($F223="Total",
    SUM(INDEX(W:W, ROW()-COUNTIF($F$6:INDEX($F:$F, ROW()-1), $F222)) : INDEX(W:W, ROW()-1)),
    COUNTIFS(
      unit_details[Leased Date], "&gt;="&amp;($AM$2-T$5),
      unit_details[Leased Date], "&lt;"&amp;$AM$2,
      unit_details[Beds], $L223,
      unit_details[Baths], $M223,
      unit_details[Partial Baths], IF(ISNUMBER($N223), $N223, ""),
      unit_details[Sqft],$P223,
      unit_details[Property Name], $F223
    )
  ),
"")</f>
        <v>0</v>
      </c>
      <c r="X223" s="531" t="str">
        <f>IFERROR(
 IF($F223="Total",
   SUMPRODUCT(
   INDEX(X:X, ROW()-COUNTIF($F$6:INDEX($F:$F, ROW()-1), $F222)) : INDEX(X:X, ROW()-1),
   INDEX(AA:AA, ROW()-COUNTIF($F$6:INDEX($F:$F, ROW()-1), $F222)) : INDEX(AA:AA, ROW()-1)
   )
   /SUM(INDEX(AA:AA, ROW()-COUNTIF($F$6:INDEX($F:$F, ROW()-1), $F222)) : INDEX(AA:AA, ROW()-1)),
   AVERAGEIFS(
     INDEX((unit_details[Asking Rent],unit_details[Asking PSF]),0,1,IF($U$3="Chunk Rent",1,2)),
     unit_details[Leased Date],"&gt;="&amp;($AM$2-X$5),
     unit_details[Leased Date],"&lt;"&amp;$AM$2,
     unit_details[Beds],$L223,
     unit_details[Baths],$M223,
     unit_details[Partial Baths],IF(ISNUMBER($N223),$N223,""),
     unit_details[Sqft],$P223,
     unit_details[Property Name],$F223)
 ),"")</f>
        <v/>
      </c>
      <c r="Y223" s="552" t="str">
        <f>IFERROR(
 IF($F223="Total",
   SUMPRODUCT(
   INDEX(Y:Y, ROW()-COUNTIF($F$6:INDEX($F:$F, ROW()-1), $F222)) : INDEX(Y:Y, ROW()-1),
   INDEX(AA:AA, ROW()-COUNTIF($F$6:INDEX($F:$F, ROW()-1), $F222)) : INDEX(AA:AA, ROW()-1)
   )
   /SUM(INDEX(AA:AA, ROW()-COUNTIF($F$6:INDEX($F:$F, ROW()-1), $F222)) : INDEX(AA:AA, ROW()-1)),
   AVERAGEIFS(
     INDEX((unit_details[Effective Rent],unit_details[Effective PSF]),0,1,IF($U$3="Chunk Rent",1,2)),
     unit_details[Leased Date],"&gt;="&amp;($AM$2-X$5),
     unit_details[Leased Date],"&lt;"&amp;$AM$2,
     unit_details[Beds],$L223,
     unit_details[Baths],$M223,
     unit_details[Partial Baths],IF(ISNUMBER($N223),$N223,""),
     unit_details[Sqft],$P223,
     unit_details[Property Name],$F223)
 ),"")</f>
        <v/>
      </c>
      <c r="Z223" s="27" t="str">
        <f t="shared" si="44"/>
        <v/>
      </c>
      <c r="AA223" s="526">
        <f>IFERROR(
  IF($F223="Total",
    SUM(INDEX(AA:AA, ROW()-COUNTIF($F$6:INDEX($F:$F, ROW()-1), $F222)) : INDEX(AA:AA, ROW()-1)),
    COUNTIFS(
      unit_details[Leased Date], "&gt;="&amp;($AM$2-X$5),
      unit_details[Leased Date], "&lt;"&amp;$AM$2,
      unit_details[Beds], $L223,
      unit_details[Baths], $M223,
      unit_details[Partial Baths], IF(ISNUMBER($N223), $N223, ""),
      unit_details[Sqft],$P223,
      unit_details[Property Name], $F223
    )
  ),
"")</f>
        <v>0</v>
      </c>
      <c r="AB223" s="290">
        <f>IF($F223="Total",
SUM(INDEX(AB:AB, ROW()-COUNTIF($F$6:INDEX($F:$F, ROW()-1), $F222)) : INDEX(AB:AB, ROW()-1)),
COUNTIFS(unit_details[Active Listing?],TRUE,
          unit_details[Property Name], $F223,
          unit_details[Beds], $L223,
          unit_details[Baths], $M223,
          unit_details[Partial Baths],IF(ISNUMBER($N223),$N223,""),
          unit_details[Sqft],$P223))</f>
        <v>0</v>
      </c>
      <c r="AC223" s="27" t="str">
        <f t="shared" si="36"/>
        <v/>
      </c>
      <c r="AD223" s="293" t="str">
        <f>IFERROR(IF(AE223="","",IF($F223="Total",
SUMPRODUCT(
   INDEX(AD:AD, ROW()-COUNTIF($F$6:INDEX($F:$F, ROW()-1), $F222)) : INDEX(AD:AD, ROW()-1),
   INDEX(AB:AB, ROW()-COUNTIF($F$6:INDEX($F:$F, ROW()-1), $F222)) : INDEX(AB:AB, ROW()-1)
   )
   /SUM(INDEX(AB:AB, ROW()-COUNTIF($F$6:INDEX($F:$F, ROW()-1), $F222)) : INDEX(AB:AB, ROW()-1)),
          _xlfn.MINIFS(unit_details[Asking Rent],
          unit_details[Active Listing?],TRUE,
          unit_details[Property Name], $F223,
          unit_details[Beds], $L223,
          unit_details[Baths], $M223,
          unit_details[Partial Baths], IF(ISNUMBER($N223),$N223,""),
          unit_details[Sqft],$P223
))),"")</f>
        <v/>
      </c>
      <c r="AE223" s="5" t="str">
        <f>IFERROR(IF($F223="Total",
          SUMPRODUCT(
   INDEX(AE:AE, ROW()-COUNTIF($F$6:INDEX($F:$F, ROW()-1), $F222)) : INDEX(AE:AE, ROW()-1),
   INDEX(AB:AB, ROW()-COUNTIF($F$6:INDEX($F:$F, ROW()-1), $F222)) : INDEX(AB:AB, ROW()-1)
   )
   /SUM(INDEX(AB:AB, ROW()-COUNTIF($F$6:INDEX($F:$F, ROW()-1), $F222)) : INDEX(AB:AB, ROW()-1)),
          AVERAGEIFS(unit_details[Asking Rent],
          unit_details[Active Listing?],TRUE,
          unit_details[Property Name], $F223,
          unit_details[Beds], $L223,
          unit_details[Baths], $M223,
          unit_details[Partial Baths], IF(ISNUMBER($N223),$N223,""),
          unit_details[Sqft],$P223
)),"")</f>
        <v/>
      </c>
      <c r="AF223" s="5" t="str">
        <f>IFERROR(IF(AE223="","",IF($F223="Total",
SUMPRODUCT(
   INDEX(AF:AF, ROW()-COUNTIF($F$6:INDEX($F:$F, ROW()-1), $F222)) : INDEX(AF:AF, ROW()-1),
   INDEX(AB:AB, ROW()-COUNTIF($F$6:INDEX($F:$F, ROW()-1), $F222)) : INDEX(AB:AB, ROW()-1)
   )
   /SUM(INDEX(AB:AB, ROW()-COUNTIF($F$6:INDEX($F:$F, ROW()-1), $F222)) : INDEX(AB:AB, ROW()-1)),
           _xlfn.MAXIFS(unit_details[Asking Rent],
          unit_details[Active Listing?],TRUE,
          unit_details[Property Name], $F223,
          unit_details[Beds], $L223,
          unit_details[Baths], $M223,
          unit_details[Partial Baths], IF(ISNUMBER($N223),$N223,""),
          unit_details[Sqft],$P223
))),"")</f>
        <v/>
      </c>
      <c r="AG223" s="6" t="str">
        <f>IFERROR(IF($F223="Total",
         SUMPRODUCT(
         INDEX(AG:AG, ROW()-COUNTIF($F$6:INDEX($F:$F, ROW()-1), $F222)) : INDEX(AG:AG, ROW()-1),
         INDEX(AB:AB, ROW()-COUNTIF($F$6:INDEX($F:$F, ROW()-1), $F222)) : INDEX(AB:AB, ROW()-1)
         )
         /SUM(INDEX(AB:AB, ROW()-COUNTIF($F$6:INDEX($F:$F, ROW()-1), $F222)) : INDEX(AB:AB, ROW()-1)),
          AVERAGEIFS(unit_details[Asking PSF],
          unit_details[Active Listing?],TRUE,
          unit_details[Property Name], $F223,
          unit_details[Beds], $L223,
          unit_details[Baths], $M223,
          unit_details[Partial Baths], IF(ISNUMBER($N223),$N223,""),
          unit_details[Sqft],$P223
)),"")</f>
        <v/>
      </c>
      <c r="AH223" s="293" t="str">
        <f>IFERROR(IF($F223="Total",
         SUMPRODUCT(
         INDEX(AH:AH, ROW()-COUNTIF($F$6:INDEX($F:$F, ROW()-1), $F222)) : INDEX(AH:AH, ROW()-1),
         INDEX(AB:AB, ROW()-COUNTIF($F$6:INDEX($F:$F, ROW()-1), $F222)) : INDEX(AB:AB, ROW()-1)
         )
         /SUM(INDEX(AB:AB, ROW()-COUNTIF($F$6:INDEX($F:$F, ROW()-1), $F222)) : INDEX(AB:AB, ROW()-1)),
          AVERAGEIFS(unit_details[Effective Rent],
          unit_details[Active Listing?],TRUE,
          unit_details[Property Name], $F223,
          unit_details[Beds], $L223,
          unit_details[Baths], $M223,
          unit_details[Partial Baths], IF(ISNUMBER($N223),$N223,""),
          unit_details[Sqft],$P223
)),"")</f>
        <v/>
      </c>
      <c r="AI223" s="6" t="str">
        <f>IFERROR(IF($F223="Total",
         SUMPRODUCT(
         INDEX(AI:AI, ROW()-COUNTIF($F$6:INDEX($F:$F, ROW()-1), $F222)) : INDEX(AI:AI, ROW()-1),
         INDEX(AB:AB, ROW()-COUNTIF($F$6:INDEX($F:$F, ROW()-1), $F222)) : INDEX(AB:AB, ROW()-1)
         )
         /SUM(INDEX(AB:AB, ROW()-COUNTIF($F$6:INDEX($F:$F, ROW()-1), $F222)) : INDEX(AB:AB, ROW()-1)),
           AVERAGEIFS(unit_details[Effective PSF],
          unit_details[Active Listing?],TRUE,
          unit_details[Property Name], $F223,
          unit_details[Beds], $L223,
          unit_details[Baths], $M223,
          unit_details[Partial Baths], IF(ISNUMBER($N223),$N223,""),
          unit_details[Sqft],$P223
)),"")</f>
        <v/>
      </c>
      <c r="AJ223" s="824" t="str">
        <f t="shared" si="37"/>
        <v/>
      </c>
      <c r="AK223" s="531" t="str">
        <f t="shared" si="38"/>
        <v/>
      </c>
      <c r="AL223" s="714" t="str">
        <f t="shared" si="39"/>
        <v/>
      </c>
      <c r="AM223" s="531" t="str">
        <f t="shared" si="40"/>
        <v/>
      </c>
      <c r="AN223" s="716" t="str">
        <f t="shared" si="41"/>
        <v/>
      </c>
    </row>
    <row r="224" spans="6:40" x14ac:dyDescent="0.2">
      <c r="F224" s="1" t="str">
        <f t="shared" si="34"/>
        <v/>
      </c>
      <c r="G224" s="713" t="str">
        <f t="shared" si="42"/>
        <v/>
      </c>
      <c r="H224" s="17" t="str">
        <f>IFERROR(VLOOKUP($G224,Table1[[Property]:[Exposure %]],4,0),"")</f>
        <v/>
      </c>
      <c r="I224" s="3" t="str">
        <f>IFERROR(VLOOKUP($G224,Table1[[Property]:[Exposure %]],6,0),"")</f>
        <v/>
      </c>
      <c r="J224" s="3" t="str">
        <f>IFERROR(VLOOKUP($G224,Table1[[Property]:[Exposure %]],7,0),"")</f>
        <v/>
      </c>
      <c r="K224"/>
      <c r="L224"/>
      <c r="M224"/>
      <c r="N224"/>
      <c r="O224"/>
      <c r="P224"/>
      <c r="Q224"/>
      <c r="R224" s="4" t="str">
        <f>IFERROR(VLOOKUP(IF(F224="Total",F223,F224),Table1[[Property]:['# Units]],7,0)*S224,"")</f>
        <v/>
      </c>
      <c r="S224" s="27" t="str">
        <f t="shared" si="35"/>
        <v/>
      </c>
      <c r="T224" s="531" t="str">
        <f>IFERROR(
 IF($F224="Total",
   SUMPRODUCT(
   INDEX(T:T, ROW()-COUNTIF($F$6:INDEX($F:$F, ROW()-1), $F223)) : INDEX(T:T, ROW()-1),
   INDEX(W:W, ROW()-COUNTIF($F$6:INDEX($F:$F, ROW()-1), $F223)) : INDEX(W:W, ROW()-1)
   )
   /SUM(INDEX(W:W, ROW()-COUNTIF($F$6:INDEX($F:$F, ROW()-1), $F223)) : INDEX(W:W, ROW()-1)),
   AVERAGEIFS(
     INDEX((unit_details[Asking Rent],unit_details[Asking PSF]),0,1,IF($U$3="Chunk Rent",1,2)),
     unit_details[Leased Date],"&gt;="&amp;($AM$2-T$5),
     unit_details[Leased Date],"&lt;"&amp;$AM$2,
     unit_details[Beds],$L224,
     unit_details[Baths],$M224,
     unit_details[Partial Baths],IF(ISNUMBER($N224),$N224,""),
     unit_details[Sqft],$P224,
     unit_details[Property Name],$F224)
 ),"")</f>
        <v/>
      </c>
      <c r="U224" s="552" t="str">
        <f>IFERROR(
 IF($F224="Total",
   SUMPRODUCT(
   INDEX(U:U, ROW()-COUNTIF($F$6:INDEX($F:$F, ROW()-1), $F223)) : INDEX(U:U, ROW()-1),
   INDEX(W:W, ROW()-COUNTIF($F$6:INDEX($F:$F, ROW()-1), $F223)) : INDEX(W:W, ROW()-1)
   )
   /SUM(INDEX(W:W, ROW()-COUNTIF($F$6:INDEX($F:$F, ROW()-1), $F223)) : INDEX(W:W, ROW()-1)),
   AVERAGEIFS(
     INDEX((unit_details[Effective Rent],unit_details[Effective PSF]),0,1,IF($U$3="Chunk Rent",1,2)),
     unit_details[Leased Date],"&gt;="&amp;($AM$2-T$5),
     unit_details[Leased Date],"&lt;"&amp;$AM$2,
     unit_details[Beds],$L224,
     unit_details[Baths],$M224,
     unit_details[Partial Baths],IF(ISNUMBER($N224),$N224,""),
     unit_details[Sqft],$P224,
     unit_details[Property Name],$F224)
 ),"")</f>
        <v/>
      </c>
      <c r="V224" s="27" t="str">
        <f t="shared" si="43"/>
        <v/>
      </c>
      <c r="W224" s="526">
        <f>IFERROR(
  IF($F224="Total",
    SUM(INDEX(W:W, ROW()-COUNTIF($F$6:INDEX($F:$F, ROW()-1), $F223)) : INDEX(W:W, ROW()-1)),
    COUNTIFS(
      unit_details[Leased Date], "&gt;="&amp;($AM$2-T$5),
      unit_details[Leased Date], "&lt;"&amp;$AM$2,
      unit_details[Beds], $L224,
      unit_details[Baths], $M224,
      unit_details[Partial Baths], IF(ISNUMBER($N224), $N224, ""),
      unit_details[Sqft],$P224,
      unit_details[Property Name], $F224
    )
  ),
"")</f>
        <v>0</v>
      </c>
      <c r="X224" s="531" t="str">
        <f>IFERROR(
 IF($F224="Total",
   SUMPRODUCT(
   INDEX(X:X, ROW()-COUNTIF($F$6:INDEX($F:$F, ROW()-1), $F223)) : INDEX(X:X, ROW()-1),
   INDEX(AA:AA, ROW()-COUNTIF($F$6:INDEX($F:$F, ROW()-1), $F223)) : INDEX(AA:AA, ROW()-1)
   )
   /SUM(INDEX(AA:AA, ROW()-COUNTIF($F$6:INDEX($F:$F, ROW()-1), $F223)) : INDEX(AA:AA, ROW()-1)),
   AVERAGEIFS(
     INDEX((unit_details[Asking Rent],unit_details[Asking PSF]),0,1,IF($U$3="Chunk Rent",1,2)),
     unit_details[Leased Date],"&gt;="&amp;($AM$2-X$5),
     unit_details[Leased Date],"&lt;"&amp;$AM$2,
     unit_details[Beds],$L224,
     unit_details[Baths],$M224,
     unit_details[Partial Baths],IF(ISNUMBER($N224),$N224,""),
     unit_details[Sqft],$P224,
     unit_details[Property Name],$F224)
 ),"")</f>
        <v/>
      </c>
      <c r="Y224" s="552" t="str">
        <f>IFERROR(
 IF($F224="Total",
   SUMPRODUCT(
   INDEX(Y:Y, ROW()-COUNTIF($F$6:INDEX($F:$F, ROW()-1), $F223)) : INDEX(Y:Y, ROW()-1),
   INDEX(AA:AA, ROW()-COUNTIF($F$6:INDEX($F:$F, ROW()-1), $F223)) : INDEX(AA:AA, ROW()-1)
   )
   /SUM(INDEX(AA:AA, ROW()-COUNTIF($F$6:INDEX($F:$F, ROW()-1), $F223)) : INDEX(AA:AA, ROW()-1)),
   AVERAGEIFS(
     INDEX((unit_details[Effective Rent],unit_details[Effective PSF]),0,1,IF($U$3="Chunk Rent",1,2)),
     unit_details[Leased Date],"&gt;="&amp;($AM$2-X$5),
     unit_details[Leased Date],"&lt;"&amp;$AM$2,
     unit_details[Beds],$L224,
     unit_details[Baths],$M224,
     unit_details[Partial Baths],IF(ISNUMBER($N224),$N224,""),
     unit_details[Sqft],$P224,
     unit_details[Property Name],$F224)
 ),"")</f>
        <v/>
      </c>
      <c r="Z224" s="27" t="str">
        <f t="shared" si="44"/>
        <v/>
      </c>
      <c r="AA224" s="526">
        <f>IFERROR(
  IF($F224="Total",
    SUM(INDEX(AA:AA, ROW()-COUNTIF($F$6:INDEX($F:$F, ROW()-1), $F223)) : INDEX(AA:AA, ROW()-1)),
    COUNTIFS(
      unit_details[Leased Date], "&gt;="&amp;($AM$2-X$5),
      unit_details[Leased Date], "&lt;"&amp;$AM$2,
      unit_details[Beds], $L224,
      unit_details[Baths], $M224,
      unit_details[Partial Baths], IF(ISNUMBER($N224), $N224, ""),
      unit_details[Sqft],$P224,
      unit_details[Property Name], $F224
    )
  ),
"")</f>
        <v>0</v>
      </c>
      <c r="AB224" s="290">
        <f>IF($F224="Total",
SUM(INDEX(AB:AB, ROW()-COUNTIF($F$6:INDEX($F:$F, ROW()-1), $F223)) : INDEX(AB:AB, ROW()-1)),
COUNTIFS(unit_details[Active Listing?],TRUE,
          unit_details[Property Name], $F224,
          unit_details[Beds], $L224,
          unit_details[Baths], $M224,
          unit_details[Partial Baths],IF(ISNUMBER($N224),$N224,""),
          unit_details[Sqft],$P224))</f>
        <v>0</v>
      </c>
      <c r="AC224" s="27" t="str">
        <f t="shared" si="36"/>
        <v/>
      </c>
      <c r="AD224" s="293" t="str">
        <f>IFERROR(IF(AE224="","",IF($F224="Total",
SUMPRODUCT(
   INDEX(AD:AD, ROW()-COUNTIF($F$6:INDEX($F:$F, ROW()-1), $F223)) : INDEX(AD:AD, ROW()-1),
   INDEX(AB:AB, ROW()-COUNTIF($F$6:INDEX($F:$F, ROW()-1), $F223)) : INDEX(AB:AB, ROW()-1)
   )
   /SUM(INDEX(AB:AB, ROW()-COUNTIF($F$6:INDEX($F:$F, ROW()-1), $F223)) : INDEX(AB:AB, ROW()-1)),
          _xlfn.MINIFS(unit_details[Asking Rent],
          unit_details[Active Listing?],TRUE,
          unit_details[Property Name], $F224,
          unit_details[Beds], $L224,
          unit_details[Baths], $M224,
          unit_details[Partial Baths], IF(ISNUMBER($N224),$N224,""),
          unit_details[Sqft],$P224
))),"")</f>
        <v/>
      </c>
      <c r="AE224" s="5" t="str">
        <f>IFERROR(IF($F224="Total",
          SUMPRODUCT(
   INDEX(AE:AE, ROW()-COUNTIF($F$6:INDEX($F:$F, ROW()-1), $F223)) : INDEX(AE:AE, ROW()-1),
   INDEX(AB:AB, ROW()-COUNTIF($F$6:INDEX($F:$F, ROW()-1), $F223)) : INDEX(AB:AB, ROW()-1)
   )
   /SUM(INDEX(AB:AB, ROW()-COUNTIF($F$6:INDEX($F:$F, ROW()-1), $F223)) : INDEX(AB:AB, ROW()-1)),
          AVERAGEIFS(unit_details[Asking Rent],
          unit_details[Active Listing?],TRUE,
          unit_details[Property Name], $F224,
          unit_details[Beds], $L224,
          unit_details[Baths], $M224,
          unit_details[Partial Baths], IF(ISNUMBER($N224),$N224,""),
          unit_details[Sqft],$P224
)),"")</f>
        <v/>
      </c>
      <c r="AF224" s="5" t="str">
        <f>IFERROR(IF(AE224="","",IF($F224="Total",
SUMPRODUCT(
   INDEX(AF:AF, ROW()-COUNTIF($F$6:INDEX($F:$F, ROW()-1), $F223)) : INDEX(AF:AF, ROW()-1),
   INDEX(AB:AB, ROW()-COUNTIF($F$6:INDEX($F:$F, ROW()-1), $F223)) : INDEX(AB:AB, ROW()-1)
   )
   /SUM(INDEX(AB:AB, ROW()-COUNTIF($F$6:INDEX($F:$F, ROW()-1), $F223)) : INDEX(AB:AB, ROW()-1)),
           _xlfn.MAXIFS(unit_details[Asking Rent],
          unit_details[Active Listing?],TRUE,
          unit_details[Property Name], $F224,
          unit_details[Beds], $L224,
          unit_details[Baths], $M224,
          unit_details[Partial Baths], IF(ISNUMBER($N224),$N224,""),
          unit_details[Sqft],$P224
))),"")</f>
        <v/>
      </c>
      <c r="AG224" s="6" t="str">
        <f>IFERROR(IF($F224="Total",
         SUMPRODUCT(
         INDEX(AG:AG, ROW()-COUNTIF($F$6:INDEX($F:$F, ROW()-1), $F223)) : INDEX(AG:AG, ROW()-1),
         INDEX(AB:AB, ROW()-COUNTIF($F$6:INDEX($F:$F, ROW()-1), $F223)) : INDEX(AB:AB, ROW()-1)
         )
         /SUM(INDEX(AB:AB, ROW()-COUNTIF($F$6:INDEX($F:$F, ROW()-1), $F223)) : INDEX(AB:AB, ROW()-1)),
          AVERAGEIFS(unit_details[Asking PSF],
          unit_details[Active Listing?],TRUE,
          unit_details[Property Name], $F224,
          unit_details[Beds], $L224,
          unit_details[Baths], $M224,
          unit_details[Partial Baths], IF(ISNUMBER($N224),$N224,""),
          unit_details[Sqft],$P224
)),"")</f>
        <v/>
      </c>
      <c r="AH224" s="293" t="str">
        <f>IFERROR(IF($F224="Total",
         SUMPRODUCT(
         INDEX(AH:AH, ROW()-COUNTIF($F$6:INDEX($F:$F, ROW()-1), $F223)) : INDEX(AH:AH, ROW()-1),
         INDEX(AB:AB, ROW()-COUNTIF($F$6:INDEX($F:$F, ROW()-1), $F223)) : INDEX(AB:AB, ROW()-1)
         )
         /SUM(INDEX(AB:AB, ROW()-COUNTIF($F$6:INDEX($F:$F, ROW()-1), $F223)) : INDEX(AB:AB, ROW()-1)),
          AVERAGEIFS(unit_details[Effective Rent],
          unit_details[Active Listing?],TRUE,
          unit_details[Property Name], $F224,
          unit_details[Beds], $L224,
          unit_details[Baths], $M224,
          unit_details[Partial Baths], IF(ISNUMBER($N224),$N224,""),
          unit_details[Sqft],$P224
)),"")</f>
        <v/>
      </c>
      <c r="AI224" s="6" t="str">
        <f>IFERROR(IF($F224="Total",
         SUMPRODUCT(
         INDEX(AI:AI, ROW()-COUNTIF($F$6:INDEX($F:$F, ROW()-1), $F223)) : INDEX(AI:AI, ROW()-1),
         INDEX(AB:AB, ROW()-COUNTIF($F$6:INDEX($F:$F, ROW()-1), $F223)) : INDEX(AB:AB, ROW()-1)
         )
         /SUM(INDEX(AB:AB, ROW()-COUNTIF($F$6:INDEX($F:$F, ROW()-1), $F223)) : INDEX(AB:AB, ROW()-1)),
           AVERAGEIFS(unit_details[Effective PSF],
          unit_details[Active Listing?],TRUE,
          unit_details[Property Name], $F224,
          unit_details[Beds], $L224,
          unit_details[Baths], $M224,
          unit_details[Partial Baths], IF(ISNUMBER($N224),$N224,""),
          unit_details[Sqft],$P224
)),"")</f>
        <v/>
      </c>
      <c r="AJ224" s="824" t="str">
        <f t="shared" si="37"/>
        <v/>
      </c>
      <c r="AK224" s="531" t="str">
        <f t="shared" si="38"/>
        <v/>
      </c>
      <c r="AL224" s="714" t="str">
        <f t="shared" si="39"/>
        <v/>
      </c>
      <c r="AM224" s="531" t="str">
        <f t="shared" si="40"/>
        <v/>
      </c>
      <c r="AN224" s="716" t="str">
        <f t="shared" si="41"/>
        <v/>
      </c>
    </row>
    <row r="225" spans="6:40" x14ac:dyDescent="0.2">
      <c r="F225" s="1" t="str">
        <f t="shared" si="34"/>
        <v/>
      </c>
      <c r="G225" s="713" t="str">
        <f t="shared" si="42"/>
        <v/>
      </c>
      <c r="H225" s="17" t="str">
        <f>IFERROR(VLOOKUP($G225,Table1[[Property]:[Exposure %]],4,0),"")</f>
        <v/>
      </c>
      <c r="I225" s="3" t="str">
        <f>IFERROR(VLOOKUP($G225,Table1[[Property]:[Exposure %]],6,0),"")</f>
        <v/>
      </c>
      <c r="J225" s="3" t="str">
        <f>IFERROR(VLOOKUP($G225,Table1[[Property]:[Exposure %]],7,0),"")</f>
        <v/>
      </c>
      <c r="K225"/>
      <c r="L225"/>
      <c r="M225"/>
      <c r="N225"/>
      <c r="O225"/>
      <c r="P225"/>
      <c r="Q225"/>
      <c r="R225" s="4" t="str">
        <f>IFERROR(VLOOKUP(IF(F225="Total",F224,F225),Table1[[Property]:['# Units]],7,0)*S225,"")</f>
        <v/>
      </c>
      <c r="S225" s="27" t="str">
        <f t="shared" si="35"/>
        <v/>
      </c>
      <c r="T225" s="531" t="str">
        <f>IFERROR(
 IF($F225="Total",
   SUMPRODUCT(
   INDEX(T:T, ROW()-COUNTIF($F$6:INDEX($F:$F, ROW()-1), $F224)) : INDEX(T:T, ROW()-1),
   INDEX(W:W, ROW()-COUNTIF($F$6:INDEX($F:$F, ROW()-1), $F224)) : INDEX(W:W, ROW()-1)
   )
   /SUM(INDEX(W:W, ROW()-COUNTIF($F$6:INDEX($F:$F, ROW()-1), $F224)) : INDEX(W:W, ROW()-1)),
   AVERAGEIFS(
     INDEX((unit_details[Asking Rent],unit_details[Asking PSF]),0,1,IF($U$3="Chunk Rent",1,2)),
     unit_details[Leased Date],"&gt;="&amp;($AM$2-T$5),
     unit_details[Leased Date],"&lt;"&amp;$AM$2,
     unit_details[Beds],$L225,
     unit_details[Baths],$M225,
     unit_details[Partial Baths],IF(ISNUMBER($N225),$N225,""),
     unit_details[Sqft],$P225,
     unit_details[Property Name],$F225)
 ),"")</f>
        <v/>
      </c>
      <c r="U225" s="552" t="str">
        <f>IFERROR(
 IF($F225="Total",
   SUMPRODUCT(
   INDEX(U:U, ROW()-COUNTIF($F$6:INDEX($F:$F, ROW()-1), $F224)) : INDEX(U:U, ROW()-1),
   INDEX(W:W, ROW()-COUNTIF($F$6:INDEX($F:$F, ROW()-1), $F224)) : INDEX(W:W, ROW()-1)
   )
   /SUM(INDEX(W:W, ROW()-COUNTIF($F$6:INDEX($F:$F, ROW()-1), $F224)) : INDEX(W:W, ROW()-1)),
   AVERAGEIFS(
     INDEX((unit_details[Effective Rent],unit_details[Effective PSF]),0,1,IF($U$3="Chunk Rent",1,2)),
     unit_details[Leased Date],"&gt;="&amp;($AM$2-T$5),
     unit_details[Leased Date],"&lt;"&amp;$AM$2,
     unit_details[Beds],$L225,
     unit_details[Baths],$M225,
     unit_details[Partial Baths],IF(ISNUMBER($N225),$N225,""),
     unit_details[Sqft],$P225,
     unit_details[Property Name],$F225)
 ),"")</f>
        <v/>
      </c>
      <c r="V225" s="27" t="str">
        <f t="shared" si="43"/>
        <v/>
      </c>
      <c r="W225" s="526">
        <f>IFERROR(
  IF($F225="Total",
    SUM(INDEX(W:W, ROW()-COUNTIF($F$6:INDEX($F:$F, ROW()-1), $F224)) : INDEX(W:W, ROW()-1)),
    COUNTIFS(
      unit_details[Leased Date], "&gt;="&amp;($AM$2-T$5),
      unit_details[Leased Date], "&lt;"&amp;$AM$2,
      unit_details[Beds], $L225,
      unit_details[Baths], $M225,
      unit_details[Partial Baths], IF(ISNUMBER($N225), $N225, ""),
      unit_details[Sqft],$P225,
      unit_details[Property Name], $F225
    )
  ),
"")</f>
        <v>0</v>
      </c>
      <c r="X225" s="531" t="str">
        <f>IFERROR(
 IF($F225="Total",
   SUMPRODUCT(
   INDEX(X:X, ROW()-COUNTIF($F$6:INDEX($F:$F, ROW()-1), $F224)) : INDEX(X:X, ROW()-1),
   INDEX(AA:AA, ROW()-COUNTIF($F$6:INDEX($F:$F, ROW()-1), $F224)) : INDEX(AA:AA, ROW()-1)
   )
   /SUM(INDEX(AA:AA, ROW()-COUNTIF($F$6:INDEX($F:$F, ROW()-1), $F224)) : INDEX(AA:AA, ROW()-1)),
   AVERAGEIFS(
     INDEX((unit_details[Asking Rent],unit_details[Asking PSF]),0,1,IF($U$3="Chunk Rent",1,2)),
     unit_details[Leased Date],"&gt;="&amp;($AM$2-X$5),
     unit_details[Leased Date],"&lt;"&amp;$AM$2,
     unit_details[Beds],$L225,
     unit_details[Baths],$M225,
     unit_details[Partial Baths],IF(ISNUMBER($N225),$N225,""),
     unit_details[Sqft],$P225,
     unit_details[Property Name],$F225)
 ),"")</f>
        <v/>
      </c>
      <c r="Y225" s="552" t="str">
        <f>IFERROR(
 IF($F225="Total",
   SUMPRODUCT(
   INDEX(Y:Y, ROW()-COUNTIF($F$6:INDEX($F:$F, ROW()-1), $F224)) : INDEX(Y:Y, ROW()-1),
   INDEX(AA:AA, ROW()-COUNTIF($F$6:INDEX($F:$F, ROW()-1), $F224)) : INDEX(AA:AA, ROW()-1)
   )
   /SUM(INDEX(AA:AA, ROW()-COUNTIF($F$6:INDEX($F:$F, ROW()-1), $F224)) : INDEX(AA:AA, ROW()-1)),
   AVERAGEIFS(
     INDEX((unit_details[Effective Rent],unit_details[Effective PSF]),0,1,IF($U$3="Chunk Rent",1,2)),
     unit_details[Leased Date],"&gt;="&amp;($AM$2-X$5),
     unit_details[Leased Date],"&lt;"&amp;$AM$2,
     unit_details[Beds],$L225,
     unit_details[Baths],$M225,
     unit_details[Partial Baths],IF(ISNUMBER($N225),$N225,""),
     unit_details[Sqft],$P225,
     unit_details[Property Name],$F225)
 ),"")</f>
        <v/>
      </c>
      <c r="Z225" s="27" t="str">
        <f t="shared" si="44"/>
        <v/>
      </c>
      <c r="AA225" s="526">
        <f>IFERROR(
  IF($F225="Total",
    SUM(INDEX(AA:AA, ROW()-COUNTIF($F$6:INDEX($F:$F, ROW()-1), $F224)) : INDEX(AA:AA, ROW()-1)),
    COUNTIFS(
      unit_details[Leased Date], "&gt;="&amp;($AM$2-X$5),
      unit_details[Leased Date], "&lt;"&amp;$AM$2,
      unit_details[Beds], $L225,
      unit_details[Baths], $M225,
      unit_details[Partial Baths], IF(ISNUMBER($N225), $N225, ""),
      unit_details[Sqft],$P225,
      unit_details[Property Name], $F225
    )
  ),
"")</f>
        <v>0</v>
      </c>
      <c r="AB225" s="290">
        <f>IF($F225="Total",
SUM(INDEX(AB:AB, ROW()-COUNTIF($F$6:INDEX($F:$F, ROW()-1), $F224)) : INDEX(AB:AB, ROW()-1)),
COUNTIFS(unit_details[Active Listing?],TRUE,
          unit_details[Property Name], $F225,
          unit_details[Beds], $L225,
          unit_details[Baths], $M225,
          unit_details[Partial Baths],IF(ISNUMBER($N225),$N225,""),
          unit_details[Sqft],$P225))</f>
        <v>0</v>
      </c>
      <c r="AC225" s="27" t="str">
        <f t="shared" si="36"/>
        <v/>
      </c>
      <c r="AD225" s="293" t="str">
        <f>IFERROR(IF(AE225="","",IF($F225="Total",
SUMPRODUCT(
   INDEX(AD:AD, ROW()-COUNTIF($F$6:INDEX($F:$F, ROW()-1), $F224)) : INDEX(AD:AD, ROW()-1),
   INDEX(AB:AB, ROW()-COUNTIF($F$6:INDEX($F:$F, ROW()-1), $F224)) : INDEX(AB:AB, ROW()-1)
   )
   /SUM(INDEX(AB:AB, ROW()-COUNTIF($F$6:INDEX($F:$F, ROW()-1), $F224)) : INDEX(AB:AB, ROW()-1)),
          _xlfn.MINIFS(unit_details[Asking Rent],
          unit_details[Active Listing?],TRUE,
          unit_details[Property Name], $F225,
          unit_details[Beds], $L225,
          unit_details[Baths], $M225,
          unit_details[Partial Baths], IF(ISNUMBER($N225),$N225,""),
          unit_details[Sqft],$P225
))),"")</f>
        <v/>
      </c>
      <c r="AE225" s="5" t="str">
        <f>IFERROR(IF($F225="Total",
          SUMPRODUCT(
   INDEX(AE:AE, ROW()-COUNTIF($F$6:INDEX($F:$F, ROW()-1), $F224)) : INDEX(AE:AE, ROW()-1),
   INDEX(AB:AB, ROW()-COUNTIF($F$6:INDEX($F:$F, ROW()-1), $F224)) : INDEX(AB:AB, ROW()-1)
   )
   /SUM(INDEX(AB:AB, ROW()-COUNTIF($F$6:INDEX($F:$F, ROW()-1), $F224)) : INDEX(AB:AB, ROW()-1)),
          AVERAGEIFS(unit_details[Asking Rent],
          unit_details[Active Listing?],TRUE,
          unit_details[Property Name], $F225,
          unit_details[Beds], $L225,
          unit_details[Baths], $M225,
          unit_details[Partial Baths], IF(ISNUMBER($N225),$N225,""),
          unit_details[Sqft],$P225
)),"")</f>
        <v/>
      </c>
      <c r="AF225" s="5" t="str">
        <f>IFERROR(IF(AE225="","",IF($F225="Total",
SUMPRODUCT(
   INDEX(AF:AF, ROW()-COUNTIF($F$6:INDEX($F:$F, ROW()-1), $F224)) : INDEX(AF:AF, ROW()-1),
   INDEX(AB:AB, ROW()-COUNTIF($F$6:INDEX($F:$F, ROW()-1), $F224)) : INDEX(AB:AB, ROW()-1)
   )
   /SUM(INDEX(AB:AB, ROW()-COUNTIF($F$6:INDEX($F:$F, ROW()-1), $F224)) : INDEX(AB:AB, ROW()-1)),
           _xlfn.MAXIFS(unit_details[Asking Rent],
          unit_details[Active Listing?],TRUE,
          unit_details[Property Name], $F225,
          unit_details[Beds], $L225,
          unit_details[Baths], $M225,
          unit_details[Partial Baths], IF(ISNUMBER($N225),$N225,""),
          unit_details[Sqft],$P225
))),"")</f>
        <v/>
      </c>
      <c r="AG225" s="6" t="str">
        <f>IFERROR(IF($F225="Total",
         SUMPRODUCT(
         INDEX(AG:AG, ROW()-COUNTIF($F$6:INDEX($F:$F, ROW()-1), $F224)) : INDEX(AG:AG, ROW()-1),
         INDEX(AB:AB, ROW()-COUNTIF($F$6:INDEX($F:$F, ROW()-1), $F224)) : INDEX(AB:AB, ROW()-1)
         )
         /SUM(INDEX(AB:AB, ROW()-COUNTIF($F$6:INDEX($F:$F, ROW()-1), $F224)) : INDEX(AB:AB, ROW()-1)),
          AVERAGEIFS(unit_details[Asking PSF],
          unit_details[Active Listing?],TRUE,
          unit_details[Property Name], $F225,
          unit_details[Beds], $L225,
          unit_details[Baths], $M225,
          unit_details[Partial Baths], IF(ISNUMBER($N225),$N225,""),
          unit_details[Sqft],$P225
)),"")</f>
        <v/>
      </c>
      <c r="AH225" s="293" t="str">
        <f>IFERROR(IF($F225="Total",
         SUMPRODUCT(
         INDEX(AH:AH, ROW()-COUNTIF($F$6:INDEX($F:$F, ROW()-1), $F224)) : INDEX(AH:AH, ROW()-1),
         INDEX(AB:AB, ROW()-COUNTIF($F$6:INDEX($F:$F, ROW()-1), $F224)) : INDEX(AB:AB, ROW()-1)
         )
         /SUM(INDEX(AB:AB, ROW()-COUNTIF($F$6:INDEX($F:$F, ROW()-1), $F224)) : INDEX(AB:AB, ROW()-1)),
          AVERAGEIFS(unit_details[Effective Rent],
          unit_details[Active Listing?],TRUE,
          unit_details[Property Name], $F225,
          unit_details[Beds], $L225,
          unit_details[Baths], $M225,
          unit_details[Partial Baths], IF(ISNUMBER($N225),$N225,""),
          unit_details[Sqft],$P225
)),"")</f>
        <v/>
      </c>
      <c r="AI225" s="6" t="str">
        <f>IFERROR(IF($F225="Total",
         SUMPRODUCT(
         INDEX(AI:AI, ROW()-COUNTIF($F$6:INDEX($F:$F, ROW()-1), $F224)) : INDEX(AI:AI, ROW()-1),
         INDEX(AB:AB, ROW()-COUNTIF($F$6:INDEX($F:$F, ROW()-1), $F224)) : INDEX(AB:AB, ROW()-1)
         )
         /SUM(INDEX(AB:AB, ROW()-COUNTIF($F$6:INDEX($F:$F, ROW()-1), $F224)) : INDEX(AB:AB, ROW()-1)),
           AVERAGEIFS(unit_details[Effective PSF],
          unit_details[Active Listing?],TRUE,
          unit_details[Property Name], $F225,
          unit_details[Beds], $L225,
          unit_details[Baths], $M225,
          unit_details[Partial Baths], IF(ISNUMBER($N225),$N225,""),
          unit_details[Sqft],$P225
)),"")</f>
        <v/>
      </c>
      <c r="AJ225" s="824" t="str">
        <f t="shared" si="37"/>
        <v/>
      </c>
      <c r="AK225" s="531" t="str">
        <f t="shared" si="38"/>
        <v/>
      </c>
      <c r="AL225" s="714" t="str">
        <f t="shared" si="39"/>
        <v/>
      </c>
      <c r="AM225" s="531" t="str">
        <f t="shared" si="40"/>
        <v/>
      </c>
      <c r="AN225" s="716" t="str">
        <f t="shared" si="41"/>
        <v/>
      </c>
    </row>
    <row r="226" spans="6:40" x14ac:dyDescent="0.2">
      <c r="F226" s="1" t="str">
        <f t="shared" si="34"/>
        <v/>
      </c>
      <c r="G226" s="713" t="str">
        <f t="shared" si="42"/>
        <v/>
      </c>
      <c r="H226" s="17" t="str">
        <f>IFERROR(VLOOKUP($G226,Table1[[Property]:[Exposure %]],4,0),"")</f>
        <v/>
      </c>
      <c r="I226" s="3" t="str">
        <f>IFERROR(VLOOKUP($G226,Table1[[Property]:[Exposure %]],6,0),"")</f>
        <v/>
      </c>
      <c r="J226" s="3" t="str">
        <f>IFERROR(VLOOKUP($G226,Table1[[Property]:[Exposure %]],7,0),"")</f>
        <v/>
      </c>
      <c r="K226"/>
      <c r="L226"/>
      <c r="M226"/>
      <c r="N226"/>
      <c r="O226"/>
      <c r="P226"/>
      <c r="Q226"/>
      <c r="R226" s="4" t="str">
        <f>IFERROR(VLOOKUP(IF(F226="Total",F225,F226),Table1[[Property]:['# Units]],7,0)*S226,"")</f>
        <v/>
      </c>
      <c r="S226" s="27" t="str">
        <f t="shared" si="35"/>
        <v/>
      </c>
      <c r="T226" s="531" t="str">
        <f>IFERROR(
 IF($F226="Total",
   SUMPRODUCT(
   INDEX(T:T, ROW()-COUNTIF($F$6:INDEX($F:$F, ROW()-1), $F225)) : INDEX(T:T, ROW()-1),
   INDEX(W:W, ROW()-COUNTIF($F$6:INDEX($F:$F, ROW()-1), $F225)) : INDEX(W:W, ROW()-1)
   )
   /SUM(INDEX(W:W, ROW()-COUNTIF($F$6:INDEX($F:$F, ROW()-1), $F225)) : INDEX(W:W, ROW()-1)),
   AVERAGEIFS(
     INDEX((unit_details[Asking Rent],unit_details[Asking PSF]),0,1,IF($U$3="Chunk Rent",1,2)),
     unit_details[Leased Date],"&gt;="&amp;($AM$2-T$5),
     unit_details[Leased Date],"&lt;"&amp;$AM$2,
     unit_details[Beds],$L226,
     unit_details[Baths],$M226,
     unit_details[Partial Baths],IF(ISNUMBER($N226),$N226,""),
     unit_details[Sqft],$P226,
     unit_details[Property Name],$F226)
 ),"")</f>
        <v/>
      </c>
      <c r="U226" s="552" t="str">
        <f>IFERROR(
 IF($F226="Total",
   SUMPRODUCT(
   INDEX(U:U, ROW()-COUNTIF($F$6:INDEX($F:$F, ROW()-1), $F225)) : INDEX(U:U, ROW()-1),
   INDEX(W:W, ROW()-COUNTIF($F$6:INDEX($F:$F, ROW()-1), $F225)) : INDEX(W:W, ROW()-1)
   )
   /SUM(INDEX(W:W, ROW()-COUNTIF($F$6:INDEX($F:$F, ROW()-1), $F225)) : INDEX(W:W, ROW()-1)),
   AVERAGEIFS(
     INDEX((unit_details[Effective Rent],unit_details[Effective PSF]),0,1,IF($U$3="Chunk Rent",1,2)),
     unit_details[Leased Date],"&gt;="&amp;($AM$2-T$5),
     unit_details[Leased Date],"&lt;"&amp;$AM$2,
     unit_details[Beds],$L226,
     unit_details[Baths],$M226,
     unit_details[Partial Baths],IF(ISNUMBER($N226),$N226,""),
     unit_details[Sqft],$P226,
     unit_details[Property Name],$F226)
 ),"")</f>
        <v/>
      </c>
      <c r="V226" s="27" t="str">
        <f t="shared" si="43"/>
        <v/>
      </c>
      <c r="W226" s="526">
        <f>IFERROR(
  IF($F226="Total",
    SUM(INDEX(W:W, ROW()-COUNTIF($F$6:INDEX($F:$F, ROW()-1), $F225)) : INDEX(W:W, ROW()-1)),
    COUNTIFS(
      unit_details[Leased Date], "&gt;="&amp;($AM$2-T$5),
      unit_details[Leased Date], "&lt;"&amp;$AM$2,
      unit_details[Beds], $L226,
      unit_details[Baths], $M226,
      unit_details[Partial Baths], IF(ISNUMBER($N226), $N226, ""),
      unit_details[Sqft],$P226,
      unit_details[Property Name], $F226
    )
  ),
"")</f>
        <v>0</v>
      </c>
      <c r="X226" s="531" t="str">
        <f>IFERROR(
 IF($F226="Total",
   SUMPRODUCT(
   INDEX(X:X, ROW()-COUNTIF($F$6:INDEX($F:$F, ROW()-1), $F225)) : INDEX(X:X, ROW()-1),
   INDEX(AA:AA, ROW()-COUNTIF($F$6:INDEX($F:$F, ROW()-1), $F225)) : INDEX(AA:AA, ROW()-1)
   )
   /SUM(INDEX(AA:AA, ROW()-COUNTIF($F$6:INDEX($F:$F, ROW()-1), $F225)) : INDEX(AA:AA, ROW()-1)),
   AVERAGEIFS(
     INDEX((unit_details[Asking Rent],unit_details[Asking PSF]),0,1,IF($U$3="Chunk Rent",1,2)),
     unit_details[Leased Date],"&gt;="&amp;($AM$2-X$5),
     unit_details[Leased Date],"&lt;"&amp;$AM$2,
     unit_details[Beds],$L226,
     unit_details[Baths],$M226,
     unit_details[Partial Baths],IF(ISNUMBER($N226),$N226,""),
     unit_details[Sqft],$P226,
     unit_details[Property Name],$F226)
 ),"")</f>
        <v/>
      </c>
      <c r="Y226" s="552" t="str">
        <f>IFERROR(
 IF($F226="Total",
   SUMPRODUCT(
   INDEX(Y:Y, ROW()-COUNTIF($F$6:INDEX($F:$F, ROW()-1), $F225)) : INDEX(Y:Y, ROW()-1),
   INDEX(AA:AA, ROW()-COUNTIF($F$6:INDEX($F:$F, ROW()-1), $F225)) : INDEX(AA:AA, ROW()-1)
   )
   /SUM(INDEX(AA:AA, ROW()-COUNTIF($F$6:INDEX($F:$F, ROW()-1), $F225)) : INDEX(AA:AA, ROW()-1)),
   AVERAGEIFS(
     INDEX((unit_details[Effective Rent],unit_details[Effective PSF]),0,1,IF($U$3="Chunk Rent",1,2)),
     unit_details[Leased Date],"&gt;="&amp;($AM$2-X$5),
     unit_details[Leased Date],"&lt;"&amp;$AM$2,
     unit_details[Beds],$L226,
     unit_details[Baths],$M226,
     unit_details[Partial Baths],IF(ISNUMBER($N226),$N226,""),
     unit_details[Sqft],$P226,
     unit_details[Property Name],$F226)
 ),"")</f>
        <v/>
      </c>
      <c r="Z226" s="27" t="str">
        <f t="shared" si="44"/>
        <v/>
      </c>
      <c r="AA226" s="526">
        <f>IFERROR(
  IF($F226="Total",
    SUM(INDEX(AA:AA, ROW()-COUNTIF($F$6:INDEX($F:$F, ROW()-1), $F225)) : INDEX(AA:AA, ROW()-1)),
    COUNTIFS(
      unit_details[Leased Date], "&gt;="&amp;($AM$2-X$5),
      unit_details[Leased Date], "&lt;"&amp;$AM$2,
      unit_details[Beds], $L226,
      unit_details[Baths], $M226,
      unit_details[Partial Baths], IF(ISNUMBER($N226), $N226, ""),
      unit_details[Sqft],$P226,
      unit_details[Property Name], $F226
    )
  ),
"")</f>
        <v>0</v>
      </c>
      <c r="AB226" s="290">
        <f>IF($F226="Total",
SUM(INDEX(AB:AB, ROW()-COUNTIF($F$6:INDEX($F:$F, ROW()-1), $F225)) : INDEX(AB:AB, ROW()-1)),
COUNTIFS(unit_details[Active Listing?],TRUE,
          unit_details[Property Name], $F226,
          unit_details[Beds], $L226,
          unit_details[Baths], $M226,
          unit_details[Partial Baths],IF(ISNUMBER($N226),$N226,""),
          unit_details[Sqft],$P226))</f>
        <v>0</v>
      </c>
      <c r="AC226" s="27" t="str">
        <f t="shared" si="36"/>
        <v/>
      </c>
      <c r="AD226" s="293" t="str">
        <f>IFERROR(IF(AE226="","",IF($F226="Total",
SUMPRODUCT(
   INDEX(AD:AD, ROW()-COUNTIF($F$6:INDEX($F:$F, ROW()-1), $F225)) : INDEX(AD:AD, ROW()-1),
   INDEX(AB:AB, ROW()-COUNTIF($F$6:INDEX($F:$F, ROW()-1), $F225)) : INDEX(AB:AB, ROW()-1)
   )
   /SUM(INDEX(AB:AB, ROW()-COUNTIF($F$6:INDEX($F:$F, ROW()-1), $F225)) : INDEX(AB:AB, ROW()-1)),
          _xlfn.MINIFS(unit_details[Asking Rent],
          unit_details[Active Listing?],TRUE,
          unit_details[Property Name], $F226,
          unit_details[Beds], $L226,
          unit_details[Baths], $M226,
          unit_details[Partial Baths], IF(ISNUMBER($N226),$N226,""),
          unit_details[Sqft],$P226
))),"")</f>
        <v/>
      </c>
      <c r="AE226" s="5" t="str">
        <f>IFERROR(IF($F226="Total",
          SUMPRODUCT(
   INDEX(AE:AE, ROW()-COUNTIF($F$6:INDEX($F:$F, ROW()-1), $F225)) : INDEX(AE:AE, ROW()-1),
   INDEX(AB:AB, ROW()-COUNTIF($F$6:INDEX($F:$F, ROW()-1), $F225)) : INDEX(AB:AB, ROW()-1)
   )
   /SUM(INDEX(AB:AB, ROW()-COUNTIF($F$6:INDEX($F:$F, ROW()-1), $F225)) : INDEX(AB:AB, ROW()-1)),
          AVERAGEIFS(unit_details[Asking Rent],
          unit_details[Active Listing?],TRUE,
          unit_details[Property Name], $F226,
          unit_details[Beds], $L226,
          unit_details[Baths], $M226,
          unit_details[Partial Baths], IF(ISNUMBER($N226),$N226,""),
          unit_details[Sqft],$P226
)),"")</f>
        <v/>
      </c>
      <c r="AF226" s="5" t="str">
        <f>IFERROR(IF(AE226="","",IF($F226="Total",
SUMPRODUCT(
   INDEX(AF:AF, ROW()-COUNTIF($F$6:INDEX($F:$F, ROW()-1), $F225)) : INDEX(AF:AF, ROW()-1),
   INDEX(AB:AB, ROW()-COUNTIF($F$6:INDEX($F:$F, ROW()-1), $F225)) : INDEX(AB:AB, ROW()-1)
   )
   /SUM(INDEX(AB:AB, ROW()-COUNTIF($F$6:INDEX($F:$F, ROW()-1), $F225)) : INDEX(AB:AB, ROW()-1)),
           _xlfn.MAXIFS(unit_details[Asking Rent],
          unit_details[Active Listing?],TRUE,
          unit_details[Property Name], $F226,
          unit_details[Beds], $L226,
          unit_details[Baths], $M226,
          unit_details[Partial Baths], IF(ISNUMBER($N226),$N226,""),
          unit_details[Sqft],$P226
))),"")</f>
        <v/>
      </c>
      <c r="AG226" s="6" t="str">
        <f>IFERROR(IF($F226="Total",
         SUMPRODUCT(
         INDEX(AG:AG, ROW()-COUNTIF($F$6:INDEX($F:$F, ROW()-1), $F225)) : INDEX(AG:AG, ROW()-1),
         INDEX(AB:AB, ROW()-COUNTIF($F$6:INDEX($F:$F, ROW()-1), $F225)) : INDEX(AB:AB, ROW()-1)
         )
         /SUM(INDEX(AB:AB, ROW()-COUNTIF($F$6:INDEX($F:$F, ROW()-1), $F225)) : INDEX(AB:AB, ROW()-1)),
          AVERAGEIFS(unit_details[Asking PSF],
          unit_details[Active Listing?],TRUE,
          unit_details[Property Name], $F226,
          unit_details[Beds], $L226,
          unit_details[Baths], $M226,
          unit_details[Partial Baths], IF(ISNUMBER($N226),$N226,""),
          unit_details[Sqft],$P226
)),"")</f>
        <v/>
      </c>
      <c r="AH226" s="293" t="str">
        <f>IFERROR(IF($F226="Total",
         SUMPRODUCT(
         INDEX(AH:AH, ROW()-COUNTIF($F$6:INDEX($F:$F, ROW()-1), $F225)) : INDEX(AH:AH, ROW()-1),
         INDEX(AB:AB, ROW()-COUNTIF($F$6:INDEX($F:$F, ROW()-1), $F225)) : INDEX(AB:AB, ROW()-1)
         )
         /SUM(INDEX(AB:AB, ROW()-COUNTIF($F$6:INDEX($F:$F, ROW()-1), $F225)) : INDEX(AB:AB, ROW()-1)),
          AVERAGEIFS(unit_details[Effective Rent],
          unit_details[Active Listing?],TRUE,
          unit_details[Property Name], $F226,
          unit_details[Beds], $L226,
          unit_details[Baths], $M226,
          unit_details[Partial Baths], IF(ISNUMBER($N226),$N226,""),
          unit_details[Sqft],$P226
)),"")</f>
        <v/>
      </c>
      <c r="AI226" s="6" t="str">
        <f>IFERROR(IF($F226="Total",
         SUMPRODUCT(
         INDEX(AI:AI, ROW()-COUNTIF($F$6:INDEX($F:$F, ROW()-1), $F225)) : INDEX(AI:AI, ROW()-1),
         INDEX(AB:AB, ROW()-COUNTIF($F$6:INDEX($F:$F, ROW()-1), $F225)) : INDEX(AB:AB, ROW()-1)
         )
         /SUM(INDEX(AB:AB, ROW()-COUNTIF($F$6:INDEX($F:$F, ROW()-1), $F225)) : INDEX(AB:AB, ROW()-1)),
           AVERAGEIFS(unit_details[Effective PSF],
          unit_details[Active Listing?],TRUE,
          unit_details[Property Name], $F226,
          unit_details[Beds], $L226,
          unit_details[Baths], $M226,
          unit_details[Partial Baths], IF(ISNUMBER($N226),$N226,""),
          unit_details[Sqft],$P226
)),"")</f>
        <v/>
      </c>
      <c r="AJ226" s="824" t="str">
        <f t="shared" si="37"/>
        <v/>
      </c>
      <c r="AK226" s="531" t="str">
        <f t="shared" si="38"/>
        <v/>
      </c>
      <c r="AL226" s="714" t="str">
        <f t="shared" si="39"/>
        <v/>
      </c>
      <c r="AM226" s="531" t="str">
        <f t="shared" si="40"/>
        <v/>
      </c>
      <c r="AN226" s="716" t="str">
        <f t="shared" si="41"/>
        <v/>
      </c>
    </row>
    <row r="227" spans="6:40" x14ac:dyDescent="0.2">
      <c r="F227" s="1" t="str">
        <f t="shared" si="34"/>
        <v/>
      </c>
      <c r="G227" s="713" t="str">
        <f t="shared" si="42"/>
        <v/>
      </c>
      <c r="H227" s="17" t="str">
        <f>IFERROR(VLOOKUP($G227,Table1[[Property]:[Exposure %]],4,0),"")</f>
        <v/>
      </c>
      <c r="I227" s="3" t="str">
        <f>IFERROR(VLOOKUP($G227,Table1[[Property]:[Exposure %]],6,0),"")</f>
        <v/>
      </c>
      <c r="J227" s="3" t="str">
        <f>IFERROR(VLOOKUP($G227,Table1[[Property]:[Exposure %]],7,0),"")</f>
        <v/>
      </c>
      <c r="K227"/>
      <c r="L227"/>
      <c r="M227"/>
      <c r="N227"/>
      <c r="O227"/>
      <c r="P227"/>
      <c r="Q227"/>
      <c r="R227" s="4" t="str">
        <f>IFERROR(VLOOKUP(IF(F227="Total",F226,F227),Table1[[Property]:['# Units]],7,0)*S227,"")</f>
        <v/>
      </c>
      <c r="S227" s="27" t="str">
        <f t="shared" si="35"/>
        <v/>
      </c>
      <c r="T227" s="531" t="str">
        <f>IFERROR(
 IF($F227="Total",
   SUMPRODUCT(
   INDEX(T:T, ROW()-COUNTIF($F$6:INDEX($F:$F, ROW()-1), $F226)) : INDEX(T:T, ROW()-1),
   INDEX(W:W, ROW()-COUNTIF($F$6:INDEX($F:$F, ROW()-1), $F226)) : INDEX(W:W, ROW()-1)
   )
   /SUM(INDEX(W:W, ROW()-COUNTIF($F$6:INDEX($F:$F, ROW()-1), $F226)) : INDEX(W:W, ROW()-1)),
   AVERAGEIFS(
     INDEX((unit_details[Asking Rent],unit_details[Asking PSF]),0,1,IF($U$3="Chunk Rent",1,2)),
     unit_details[Leased Date],"&gt;="&amp;($AM$2-T$5),
     unit_details[Leased Date],"&lt;"&amp;$AM$2,
     unit_details[Beds],$L227,
     unit_details[Baths],$M227,
     unit_details[Partial Baths],IF(ISNUMBER($N227),$N227,""),
     unit_details[Sqft],$P227,
     unit_details[Property Name],$F227)
 ),"")</f>
        <v/>
      </c>
      <c r="U227" s="552" t="str">
        <f>IFERROR(
 IF($F227="Total",
   SUMPRODUCT(
   INDEX(U:U, ROW()-COUNTIF($F$6:INDEX($F:$F, ROW()-1), $F226)) : INDEX(U:U, ROW()-1),
   INDEX(W:W, ROW()-COUNTIF($F$6:INDEX($F:$F, ROW()-1), $F226)) : INDEX(W:W, ROW()-1)
   )
   /SUM(INDEX(W:W, ROW()-COUNTIF($F$6:INDEX($F:$F, ROW()-1), $F226)) : INDEX(W:W, ROW()-1)),
   AVERAGEIFS(
     INDEX((unit_details[Effective Rent],unit_details[Effective PSF]),0,1,IF($U$3="Chunk Rent",1,2)),
     unit_details[Leased Date],"&gt;="&amp;($AM$2-T$5),
     unit_details[Leased Date],"&lt;"&amp;$AM$2,
     unit_details[Beds],$L227,
     unit_details[Baths],$M227,
     unit_details[Partial Baths],IF(ISNUMBER($N227),$N227,""),
     unit_details[Sqft],$P227,
     unit_details[Property Name],$F227)
 ),"")</f>
        <v/>
      </c>
      <c r="V227" s="27" t="str">
        <f t="shared" si="43"/>
        <v/>
      </c>
      <c r="W227" s="526">
        <f>IFERROR(
  IF($F227="Total",
    SUM(INDEX(W:W, ROW()-COUNTIF($F$6:INDEX($F:$F, ROW()-1), $F226)) : INDEX(W:W, ROW()-1)),
    COUNTIFS(
      unit_details[Leased Date], "&gt;="&amp;($AM$2-T$5),
      unit_details[Leased Date], "&lt;"&amp;$AM$2,
      unit_details[Beds], $L227,
      unit_details[Baths], $M227,
      unit_details[Partial Baths], IF(ISNUMBER($N227), $N227, ""),
      unit_details[Sqft],$P227,
      unit_details[Property Name], $F227
    )
  ),
"")</f>
        <v>0</v>
      </c>
      <c r="X227" s="531" t="str">
        <f>IFERROR(
 IF($F227="Total",
   SUMPRODUCT(
   INDEX(X:X, ROW()-COUNTIF($F$6:INDEX($F:$F, ROW()-1), $F226)) : INDEX(X:X, ROW()-1),
   INDEX(AA:AA, ROW()-COUNTIF($F$6:INDEX($F:$F, ROW()-1), $F226)) : INDEX(AA:AA, ROW()-1)
   )
   /SUM(INDEX(AA:AA, ROW()-COUNTIF($F$6:INDEX($F:$F, ROW()-1), $F226)) : INDEX(AA:AA, ROW()-1)),
   AVERAGEIFS(
     INDEX((unit_details[Asking Rent],unit_details[Asking PSF]),0,1,IF($U$3="Chunk Rent",1,2)),
     unit_details[Leased Date],"&gt;="&amp;($AM$2-X$5),
     unit_details[Leased Date],"&lt;"&amp;$AM$2,
     unit_details[Beds],$L227,
     unit_details[Baths],$M227,
     unit_details[Partial Baths],IF(ISNUMBER($N227),$N227,""),
     unit_details[Sqft],$P227,
     unit_details[Property Name],$F227)
 ),"")</f>
        <v/>
      </c>
      <c r="Y227" s="552" t="str">
        <f>IFERROR(
 IF($F227="Total",
   SUMPRODUCT(
   INDEX(Y:Y, ROW()-COUNTIF($F$6:INDEX($F:$F, ROW()-1), $F226)) : INDEX(Y:Y, ROW()-1),
   INDEX(AA:AA, ROW()-COUNTIF($F$6:INDEX($F:$F, ROW()-1), $F226)) : INDEX(AA:AA, ROW()-1)
   )
   /SUM(INDEX(AA:AA, ROW()-COUNTIF($F$6:INDEX($F:$F, ROW()-1), $F226)) : INDEX(AA:AA, ROW()-1)),
   AVERAGEIFS(
     INDEX((unit_details[Effective Rent],unit_details[Effective PSF]),0,1,IF($U$3="Chunk Rent",1,2)),
     unit_details[Leased Date],"&gt;="&amp;($AM$2-X$5),
     unit_details[Leased Date],"&lt;"&amp;$AM$2,
     unit_details[Beds],$L227,
     unit_details[Baths],$M227,
     unit_details[Partial Baths],IF(ISNUMBER($N227),$N227,""),
     unit_details[Sqft],$P227,
     unit_details[Property Name],$F227)
 ),"")</f>
        <v/>
      </c>
      <c r="Z227" s="27" t="str">
        <f t="shared" si="44"/>
        <v/>
      </c>
      <c r="AA227" s="526">
        <f>IFERROR(
  IF($F227="Total",
    SUM(INDEX(AA:AA, ROW()-COUNTIF($F$6:INDEX($F:$F, ROW()-1), $F226)) : INDEX(AA:AA, ROW()-1)),
    COUNTIFS(
      unit_details[Leased Date], "&gt;="&amp;($AM$2-X$5),
      unit_details[Leased Date], "&lt;"&amp;$AM$2,
      unit_details[Beds], $L227,
      unit_details[Baths], $M227,
      unit_details[Partial Baths], IF(ISNUMBER($N227), $N227, ""),
      unit_details[Sqft],$P227,
      unit_details[Property Name], $F227
    )
  ),
"")</f>
        <v>0</v>
      </c>
      <c r="AB227" s="290">
        <f>IF($F227="Total",
SUM(INDEX(AB:AB, ROW()-COUNTIF($F$6:INDEX($F:$F, ROW()-1), $F226)) : INDEX(AB:AB, ROW()-1)),
COUNTIFS(unit_details[Active Listing?],TRUE,
          unit_details[Property Name], $F227,
          unit_details[Beds], $L227,
          unit_details[Baths], $M227,
          unit_details[Partial Baths],IF(ISNUMBER($N227),$N227,""),
          unit_details[Sqft],$P227))</f>
        <v>0</v>
      </c>
      <c r="AC227" s="27" t="str">
        <f t="shared" si="36"/>
        <v/>
      </c>
      <c r="AD227" s="293" t="str">
        <f>IFERROR(IF(AE227="","",IF($F227="Total",
SUMPRODUCT(
   INDEX(AD:AD, ROW()-COUNTIF($F$6:INDEX($F:$F, ROW()-1), $F226)) : INDEX(AD:AD, ROW()-1),
   INDEX(AB:AB, ROW()-COUNTIF($F$6:INDEX($F:$F, ROW()-1), $F226)) : INDEX(AB:AB, ROW()-1)
   )
   /SUM(INDEX(AB:AB, ROW()-COUNTIF($F$6:INDEX($F:$F, ROW()-1), $F226)) : INDEX(AB:AB, ROW()-1)),
          _xlfn.MINIFS(unit_details[Asking Rent],
          unit_details[Active Listing?],TRUE,
          unit_details[Property Name], $F227,
          unit_details[Beds], $L227,
          unit_details[Baths], $M227,
          unit_details[Partial Baths], IF(ISNUMBER($N227),$N227,""),
          unit_details[Sqft],$P227
))),"")</f>
        <v/>
      </c>
      <c r="AE227" s="5" t="str">
        <f>IFERROR(IF($F227="Total",
          SUMPRODUCT(
   INDEX(AE:AE, ROW()-COUNTIF($F$6:INDEX($F:$F, ROW()-1), $F226)) : INDEX(AE:AE, ROW()-1),
   INDEX(AB:AB, ROW()-COUNTIF($F$6:INDEX($F:$F, ROW()-1), $F226)) : INDEX(AB:AB, ROW()-1)
   )
   /SUM(INDEX(AB:AB, ROW()-COUNTIF($F$6:INDEX($F:$F, ROW()-1), $F226)) : INDEX(AB:AB, ROW()-1)),
          AVERAGEIFS(unit_details[Asking Rent],
          unit_details[Active Listing?],TRUE,
          unit_details[Property Name], $F227,
          unit_details[Beds], $L227,
          unit_details[Baths], $M227,
          unit_details[Partial Baths], IF(ISNUMBER($N227),$N227,""),
          unit_details[Sqft],$P227
)),"")</f>
        <v/>
      </c>
      <c r="AF227" s="5" t="str">
        <f>IFERROR(IF(AE227="","",IF($F227="Total",
SUMPRODUCT(
   INDEX(AF:AF, ROW()-COUNTIF($F$6:INDEX($F:$F, ROW()-1), $F226)) : INDEX(AF:AF, ROW()-1),
   INDEX(AB:AB, ROW()-COUNTIF($F$6:INDEX($F:$F, ROW()-1), $F226)) : INDEX(AB:AB, ROW()-1)
   )
   /SUM(INDEX(AB:AB, ROW()-COUNTIF($F$6:INDEX($F:$F, ROW()-1), $F226)) : INDEX(AB:AB, ROW()-1)),
           _xlfn.MAXIFS(unit_details[Asking Rent],
          unit_details[Active Listing?],TRUE,
          unit_details[Property Name], $F227,
          unit_details[Beds], $L227,
          unit_details[Baths], $M227,
          unit_details[Partial Baths], IF(ISNUMBER($N227),$N227,""),
          unit_details[Sqft],$P227
))),"")</f>
        <v/>
      </c>
      <c r="AG227" s="6" t="str">
        <f>IFERROR(IF($F227="Total",
         SUMPRODUCT(
         INDEX(AG:AG, ROW()-COUNTIF($F$6:INDEX($F:$F, ROW()-1), $F226)) : INDEX(AG:AG, ROW()-1),
         INDEX(AB:AB, ROW()-COUNTIF($F$6:INDEX($F:$F, ROW()-1), $F226)) : INDEX(AB:AB, ROW()-1)
         )
         /SUM(INDEX(AB:AB, ROW()-COUNTIF($F$6:INDEX($F:$F, ROW()-1), $F226)) : INDEX(AB:AB, ROW()-1)),
          AVERAGEIFS(unit_details[Asking PSF],
          unit_details[Active Listing?],TRUE,
          unit_details[Property Name], $F227,
          unit_details[Beds], $L227,
          unit_details[Baths], $M227,
          unit_details[Partial Baths], IF(ISNUMBER($N227),$N227,""),
          unit_details[Sqft],$P227
)),"")</f>
        <v/>
      </c>
      <c r="AH227" s="293" t="str">
        <f>IFERROR(IF($F227="Total",
         SUMPRODUCT(
         INDEX(AH:AH, ROW()-COUNTIF($F$6:INDEX($F:$F, ROW()-1), $F226)) : INDEX(AH:AH, ROW()-1),
         INDEX(AB:AB, ROW()-COUNTIF($F$6:INDEX($F:$F, ROW()-1), $F226)) : INDEX(AB:AB, ROW()-1)
         )
         /SUM(INDEX(AB:AB, ROW()-COUNTIF($F$6:INDEX($F:$F, ROW()-1), $F226)) : INDEX(AB:AB, ROW()-1)),
          AVERAGEIFS(unit_details[Effective Rent],
          unit_details[Active Listing?],TRUE,
          unit_details[Property Name], $F227,
          unit_details[Beds], $L227,
          unit_details[Baths], $M227,
          unit_details[Partial Baths], IF(ISNUMBER($N227),$N227,""),
          unit_details[Sqft],$P227
)),"")</f>
        <v/>
      </c>
      <c r="AI227" s="6" t="str">
        <f>IFERROR(IF($F227="Total",
         SUMPRODUCT(
         INDEX(AI:AI, ROW()-COUNTIF($F$6:INDEX($F:$F, ROW()-1), $F226)) : INDEX(AI:AI, ROW()-1),
         INDEX(AB:AB, ROW()-COUNTIF($F$6:INDEX($F:$F, ROW()-1), $F226)) : INDEX(AB:AB, ROW()-1)
         )
         /SUM(INDEX(AB:AB, ROW()-COUNTIF($F$6:INDEX($F:$F, ROW()-1), $F226)) : INDEX(AB:AB, ROW()-1)),
           AVERAGEIFS(unit_details[Effective PSF],
          unit_details[Active Listing?],TRUE,
          unit_details[Property Name], $F227,
          unit_details[Beds], $L227,
          unit_details[Baths], $M227,
          unit_details[Partial Baths], IF(ISNUMBER($N227),$N227,""),
          unit_details[Sqft],$P227
)),"")</f>
        <v/>
      </c>
      <c r="AJ227" s="824" t="str">
        <f t="shared" si="37"/>
        <v/>
      </c>
      <c r="AK227" s="531" t="str">
        <f t="shared" si="38"/>
        <v/>
      </c>
      <c r="AL227" s="714" t="str">
        <f t="shared" si="39"/>
        <v/>
      </c>
      <c r="AM227" s="531" t="str">
        <f t="shared" si="40"/>
        <v/>
      </c>
      <c r="AN227" s="716" t="str">
        <f t="shared" si="41"/>
        <v/>
      </c>
    </row>
    <row r="228" spans="6:40" x14ac:dyDescent="0.2">
      <c r="F228" s="1" t="str">
        <f t="shared" si="34"/>
        <v/>
      </c>
      <c r="G228" s="713" t="str">
        <f t="shared" si="42"/>
        <v/>
      </c>
      <c r="H228" s="17" t="str">
        <f>IFERROR(VLOOKUP($G228,Table1[[Property]:[Exposure %]],4,0),"")</f>
        <v/>
      </c>
      <c r="I228" s="3" t="str">
        <f>IFERROR(VLOOKUP($G228,Table1[[Property]:[Exposure %]],6,0),"")</f>
        <v/>
      </c>
      <c r="J228" s="3" t="str">
        <f>IFERROR(VLOOKUP($G228,Table1[[Property]:[Exposure %]],7,0),"")</f>
        <v/>
      </c>
      <c r="K228"/>
      <c r="L228"/>
      <c r="M228"/>
      <c r="N228"/>
      <c r="O228"/>
      <c r="P228"/>
      <c r="Q228"/>
      <c r="R228" s="4" t="str">
        <f>IFERROR(VLOOKUP(IF(F228="Total",F227,F228),Table1[[Property]:['# Units]],7,0)*S228,"")</f>
        <v/>
      </c>
      <c r="S228" s="27" t="str">
        <f t="shared" si="35"/>
        <v/>
      </c>
      <c r="T228" s="531" t="str">
        <f>IFERROR(
 IF($F228="Total",
   SUMPRODUCT(
   INDEX(T:T, ROW()-COUNTIF($F$6:INDEX($F:$F, ROW()-1), $F227)) : INDEX(T:T, ROW()-1),
   INDEX(W:W, ROW()-COUNTIF($F$6:INDEX($F:$F, ROW()-1), $F227)) : INDEX(W:W, ROW()-1)
   )
   /SUM(INDEX(W:W, ROW()-COUNTIF($F$6:INDEX($F:$F, ROW()-1), $F227)) : INDEX(W:W, ROW()-1)),
   AVERAGEIFS(
     INDEX((unit_details[Asking Rent],unit_details[Asking PSF]),0,1,IF($U$3="Chunk Rent",1,2)),
     unit_details[Leased Date],"&gt;="&amp;($AM$2-T$5),
     unit_details[Leased Date],"&lt;"&amp;$AM$2,
     unit_details[Beds],$L228,
     unit_details[Baths],$M228,
     unit_details[Partial Baths],IF(ISNUMBER($N228),$N228,""),
     unit_details[Sqft],$P228,
     unit_details[Property Name],$F228)
 ),"")</f>
        <v/>
      </c>
      <c r="U228" s="552" t="str">
        <f>IFERROR(
 IF($F228="Total",
   SUMPRODUCT(
   INDEX(U:U, ROW()-COUNTIF($F$6:INDEX($F:$F, ROW()-1), $F227)) : INDEX(U:U, ROW()-1),
   INDEX(W:W, ROW()-COUNTIF($F$6:INDEX($F:$F, ROW()-1), $F227)) : INDEX(W:W, ROW()-1)
   )
   /SUM(INDEX(W:W, ROW()-COUNTIF($F$6:INDEX($F:$F, ROW()-1), $F227)) : INDEX(W:W, ROW()-1)),
   AVERAGEIFS(
     INDEX((unit_details[Effective Rent],unit_details[Effective PSF]),0,1,IF($U$3="Chunk Rent",1,2)),
     unit_details[Leased Date],"&gt;="&amp;($AM$2-T$5),
     unit_details[Leased Date],"&lt;"&amp;$AM$2,
     unit_details[Beds],$L228,
     unit_details[Baths],$M228,
     unit_details[Partial Baths],IF(ISNUMBER($N228),$N228,""),
     unit_details[Sqft],$P228,
     unit_details[Property Name],$F228)
 ),"")</f>
        <v/>
      </c>
      <c r="V228" s="27" t="str">
        <f t="shared" si="43"/>
        <v/>
      </c>
      <c r="W228" s="526">
        <f>IFERROR(
  IF($F228="Total",
    SUM(INDEX(W:W, ROW()-COUNTIF($F$6:INDEX($F:$F, ROW()-1), $F227)) : INDEX(W:W, ROW()-1)),
    COUNTIFS(
      unit_details[Leased Date], "&gt;="&amp;($AM$2-T$5),
      unit_details[Leased Date], "&lt;"&amp;$AM$2,
      unit_details[Beds], $L228,
      unit_details[Baths], $M228,
      unit_details[Partial Baths], IF(ISNUMBER($N228), $N228, ""),
      unit_details[Sqft],$P228,
      unit_details[Property Name], $F228
    )
  ),
"")</f>
        <v>0</v>
      </c>
      <c r="X228" s="531" t="str">
        <f>IFERROR(
 IF($F228="Total",
   SUMPRODUCT(
   INDEX(X:X, ROW()-COUNTIF($F$6:INDEX($F:$F, ROW()-1), $F227)) : INDEX(X:X, ROW()-1),
   INDEX(AA:AA, ROW()-COUNTIF($F$6:INDEX($F:$F, ROW()-1), $F227)) : INDEX(AA:AA, ROW()-1)
   )
   /SUM(INDEX(AA:AA, ROW()-COUNTIF($F$6:INDEX($F:$F, ROW()-1), $F227)) : INDEX(AA:AA, ROW()-1)),
   AVERAGEIFS(
     INDEX((unit_details[Asking Rent],unit_details[Asking PSF]),0,1,IF($U$3="Chunk Rent",1,2)),
     unit_details[Leased Date],"&gt;="&amp;($AM$2-X$5),
     unit_details[Leased Date],"&lt;"&amp;$AM$2,
     unit_details[Beds],$L228,
     unit_details[Baths],$M228,
     unit_details[Partial Baths],IF(ISNUMBER($N228),$N228,""),
     unit_details[Sqft],$P228,
     unit_details[Property Name],$F228)
 ),"")</f>
        <v/>
      </c>
      <c r="Y228" s="552" t="str">
        <f>IFERROR(
 IF($F228="Total",
   SUMPRODUCT(
   INDEX(Y:Y, ROW()-COUNTIF($F$6:INDEX($F:$F, ROW()-1), $F227)) : INDEX(Y:Y, ROW()-1),
   INDEX(AA:AA, ROW()-COUNTIF($F$6:INDEX($F:$F, ROW()-1), $F227)) : INDEX(AA:AA, ROW()-1)
   )
   /SUM(INDEX(AA:AA, ROW()-COUNTIF($F$6:INDEX($F:$F, ROW()-1), $F227)) : INDEX(AA:AA, ROW()-1)),
   AVERAGEIFS(
     INDEX((unit_details[Effective Rent],unit_details[Effective PSF]),0,1,IF($U$3="Chunk Rent",1,2)),
     unit_details[Leased Date],"&gt;="&amp;($AM$2-X$5),
     unit_details[Leased Date],"&lt;"&amp;$AM$2,
     unit_details[Beds],$L228,
     unit_details[Baths],$M228,
     unit_details[Partial Baths],IF(ISNUMBER($N228),$N228,""),
     unit_details[Sqft],$P228,
     unit_details[Property Name],$F228)
 ),"")</f>
        <v/>
      </c>
      <c r="Z228" s="27" t="str">
        <f t="shared" si="44"/>
        <v/>
      </c>
      <c r="AA228" s="526">
        <f>IFERROR(
  IF($F228="Total",
    SUM(INDEX(AA:AA, ROW()-COUNTIF($F$6:INDEX($F:$F, ROW()-1), $F227)) : INDEX(AA:AA, ROW()-1)),
    COUNTIFS(
      unit_details[Leased Date], "&gt;="&amp;($AM$2-X$5),
      unit_details[Leased Date], "&lt;"&amp;$AM$2,
      unit_details[Beds], $L228,
      unit_details[Baths], $M228,
      unit_details[Partial Baths], IF(ISNUMBER($N228), $N228, ""),
      unit_details[Sqft],$P228,
      unit_details[Property Name], $F228
    )
  ),
"")</f>
        <v>0</v>
      </c>
      <c r="AB228" s="290">
        <f>IF($F228="Total",
SUM(INDEX(AB:AB, ROW()-COUNTIF($F$6:INDEX($F:$F, ROW()-1), $F227)) : INDEX(AB:AB, ROW()-1)),
COUNTIFS(unit_details[Active Listing?],TRUE,
          unit_details[Property Name], $F228,
          unit_details[Beds], $L228,
          unit_details[Baths], $M228,
          unit_details[Partial Baths],IF(ISNUMBER($N228),$N228,""),
          unit_details[Sqft],$P228))</f>
        <v>0</v>
      </c>
      <c r="AC228" s="27" t="str">
        <f t="shared" si="36"/>
        <v/>
      </c>
      <c r="AD228" s="293" t="str">
        <f>IFERROR(IF(AE228="","",IF($F228="Total",
SUMPRODUCT(
   INDEX(AD:AD, ROW()-COUNTIF($F$6:INDEX($F:$F, ROW()-1), $F227)) : INDEX(AD:AD, ROW()-1),
   INDEX(AB:AB, ROW()-COUNTIF($F$6:INDEX($F:$F, ROW()-1), $F227)) : INDEX(AB:AB, ROW()-1)
   )
   /SUM(INDEX(AB:AB, ROW()-COUNTIF($F$6:INDEX($F:$F, ROW()-1), $F227)) : INDEX(AB:AB, ROW()-1)),
          _xlfn.MINIFS(unit_details[Asking Rent],
          unit_details[Active Listing?],TRUE,
          unit_details[Property Name], $F228,
          unit_details[Beds], $L228,
          unit_details[Baths], $M228,
          unit_details[Partial Baths], IF(ISNUMBER($N228),$N228,""),
          unit_details[Sqft],$P228
))),"")</f>
        <v/>
      </c>
      <c r="AE228" s="5" t="str">
        <f>IFERROR(IF($F228="Total",
          SUMPRODUCT(
   INDEX(AE:AE, ROW()-COUNTIF($F$6:INDEX($F:$F, ROW()-1), $F227)) : INDEX(AE:AE, ROW()-1),
   INDEX(AB:AB, ROW()-COUNTIF($F$6:INDEX($F:$F, ROW()-1), $F227)) : INDEX(AB:AB, ROW()-1)
   )
   /SUM(INDEX(AB:AB, ROW()-COUNTIF($F$6:INDEX($F:$F, ROW()-1), $F227)) : INDEX(AB:AB, ROW()-1)),
          AVERAGEIFS(unit_details[Asking Rent],
          unit_details[Active Listing?],TRUE,
          unit_details[Property Name], $F228,
          unit_details[Beds], $L228,
          unit_details[Baths], $M228,
          unit_details[Partial Baths], IF(ISNUMBER($N228),$N228,""),
          unit_details[Sqft],$P228
)),"")</f>
        <v/>
      </c>
      <c r="AF228" s="5" t="str">
        <f>IFERROR(IF(AE228="","",IF($F228="Total",
SUMPRODUCT(
   INDEX(AF:AF, ROW()-COUNTIF($F$6:INDEX($F:$F, ROW()-1), $F227)) : INDEX(AF:AF, ROW()-1),
   INDEX(AB:AB, ROW()-COUNTIF($F$6:INDEX($F:$F, ROW()-1), $F227)) : INDEX(AB:AB, ROW()-1)
   )
   /SUM(INDEX(AB:AB, ROW()-COUNTIF($F$6:INDEX($F:$F, ROW()-1), $F227)) : INDEX(AB:AB, ROW()-1)),
           _xlfn.MAXIFS(unit_details[Asking Rent],
          unit_details[Active Listing?],TRUE,
          unit_details[Property Name], $F228,
          unit_details[Beds], $L228,
          unit_details[Baths], $M228,
          unit_details[Partial Baths], IF(ISNUMBER($N228),$N228,""),
          unit_details[Sqft],$P228
))),"")</f>
        <v/>
      </c>
      <c r="AG228" s="6" t="str">
        <f>IFERROR(IF($F228="Total",
         SUMPRODUCT(
         INDEX(AG:AG, ROW()-COUNTIF($F$6:INDEX($F:$F, ROW()-1), $F227)) : INDEX(AG:AG, ROW()-1),
         INDEX(AB:AB, ROW()-COUNTIF($F$6:INDEX($F:$F, ROW()-1), $F227)) : INDEX(AB:AB, ROW()-1)
         )
         /SUM(INDEX(AB:AB, ROW()-COUNTIF($F$6:INDEX($F:$F, ROW()-1), $F227)) : INDEX(AB:AB, ROW()-1)),
          AVERAGEIFS(unit_details[Asking PSF],
          unit_details[Active Listing?],TRUE,
          unit_details[Property Name], $F228,
          unit_details[Beds], $L228,
          unit_details[Baths], $M228,
          unit_details[Partial Baths], IF(ISNUMBER($N228),$N228,""),
          unit_details[Sqft],$P228
)),"")</f>
        <v/>
      </c>
      <c r="AH228" s="293" t="str">
        <f>IFERROR(IF($F228="Total",
         SUMPRODUCT(
         INDEX(AH:AH, ROW()-COUNTIF($F$6:INDEX($F:$F, ROW()-1), $F227)) : INDEX(AH:AH, ROW()-1),
         INDEX(AB:AB, ROW()-COUNTIF($F$6:INDEX($F:$F, ROW()-1), $F227)) : INDEX(AB:AB, ROW()-1)
         )
         /SUM(INDEX(AB:AB, ROW()-COUNTIF($F$6:INDEX($F:$F, ROW()-1), $F227)) : INDEX(AB:AB, ROW()-1)),
          AVERAGEIFS(unit_details[Effective Rent],
          unit_details[Active Listing?],TRUE,
          unit_details[Property Name], $F228,
          unit_details[Beds], $L228,
          unit_details[Baths], $M228,
          unit_details[Partial Baths], IF(ISNUMBER($N228),$N228,""),
          unit_details[Sqft],$P228
)),"")</f>
        <v/>
      </c>
      <c r="AI228" s="6" t="str">
        <f>IFERROR(IF($F228="Total",
         SUMPRODUCT(
         INDEX(AI:AI, ROW()-COUNTIF($F$6:INDEX($F:$F, ROW()-1), $F227)) : INDEX(AI:AI, ROW()-1),
         INDEX(AB:AB, ROW()-COUNTIF($F$6:INDEX($F:$F, ROW()-1), $F227)) : INDEX(AB:AB, ROW()-1)
         )
         /SUM(INDEX(AB:AB, ROW()-COUNTIF($F$6:INDEX($F:$F, ROW()-1), $F227)) : INDEX(AB:AB, ROW()-1)),
           AVERAGEIFS(unit_details[Effective PSF],
          unit_details[Active Listing?],TRUE,
          unit_details[Property Name], $F228,
          unit_details[Beds], $L228,
          unit_details[Baths], $M228,
          unit_details[Partial Baths], IF(ISNUMBER($N228),$N228,""),
          unit_details[Sqft],$P228
)),"")</f>
        <v/>
      </c>
      <c r="AJ228" s="824" t="str">
        <f t="shared" si="37"/>
        <v/>
      </c>
      <c r="AK228" s="531" t="str">
        <f t="shared" si="38"/>
        <v/>
      </c>
      <c r="AL228" s="714" t="str">
        <f t="shared" si="39"/>
        <v/>
      </c>
      <c r="AM228" s="531" t="str">
        <f t="shared" si="40"/>
        <v/>
      </c>
      <c r="AN228" s="716" t="str">
        <f t="shared" si="41"/>
        <v/>
      </c>
    </row>
    <row r="229" spans="6:40" x14ac:dyDescent="0.2">
      <c r="F229" s="1" t="str">
        <f t="shared" si="34"/>
        <v/>
      </c>
      <c r="G229" s="713" t="str">
        <f t="shared" si="42"/>
        <v/>
      </c>
      <c r="H229" s="17" t="str">
        <f>IFERROR(VLOOKUP($G229,Table1[[Property]:[Exposure %]],4,0),"")</f>
        <v/>
      </c>
      <c r="I229" s="3" t="str">
        <f>IFERROR(VLOOKUP($G229,Table1[[Property]:[Exposure %]],6,0),"")</f>
        <v/>
      </c>
      <c r="J229" s="3" t="str">
        <f>IFERROR(VLOOKUP($G229,Table1[[Property]:[Exposure %]],7,0),"")</f>
        <v/>
      </c>
      <c r="K229"/>
      <c r="L229"/>
      <c r="M229"/>
      <c r="N229"/>
      <c r="O229"/>
      <c r="P229"/>
      <c r="Q229"/>
      <c r="R229" s="4" t="str">
        <f>IFERROR(VLOOKUP(IF(F229="Total",F228,F229),Table1[[Property]:['# Units]],7,0)*S229,"")</f>
        <v/>
      </c>
      <c r="S229" s="27" t="str">
        <f t="shared" si="35"/>
        <v/>
      </c>
      <c r="T229" s="531" t="str">
        <f>IFERROR(
 IF($F229="Total",
   SUMPRODUCT(
   INDEX(T:T, ROW()-COUNTIF($F$6:INDEX($F:$F, ROW()-1), $F228)) : INDEX(T:T, ROW()-1),
   INDEX(W:W, ROW()-COUNTIF($F$6:INDEX($F:$F, ROW()-1), $F228)) : INDEX(W:W, ROW()-1)
   )
   /SUM(INDEX(W:W, ROW()-COUNTIF($F$6:INDEX($F:$F, ROW()-1), $F228)) : INDEX(W:W, ROW()-1)),
   AVERAGEIFS(
     INDEX((unit_details[Asking Rent],unit_details[Asking PSF]),0,1,IF($U$3="Chunk Rent",1,2)),
     unit_details[Leased Date],"&gt;="&amp;($AM$2-T$5),
     unit_details[Leased Date],"&lt;"&amp;$AM$2,
     unit_details[Beds],$L229,
     unit_details[Baths],$M229,
     unit_details[Partial Baths],IF(ISNUMBER($N229),$N229,""),
     unit_details[Sqft],$P229,
     unit_details[Property Name],$F229)
 ),"")</f>
        <v/>
      </c>
      <c r="U229" s="552" t="str">
        <f>IFERROR(
 IF($F229="Total",
   SUMPRODUCT(
   INDEX(U:U, ROW()-COUNTIF($F$6:INDEX($F:$F, ROW()-1), $F228)) : INDEX(U:U, ROW()-1),
   INDEX(W:W, ROW()-COUNTIF($F$6:INDEX($F:$F, ROW()-1), $F228)) : INDEX(W:W, ROW()-1)
   )
   /SUM(INDEX(W:W, ROW()-COUNTIF($F$6:INDEX($F:$F, ROW()-1), $F228)) : INDEX(W:W, ROW()-1)),
   AVERAGEIFS(
     INDEX((unit_details[Effective Rent],unit_details[Effective PSF]),0,1,IF($U$3="Chunk Rent",1,2)),
     unit_details[Leased Date],"&gt;="&amp;($AM$2-T$5),
     unit_details[Leased Date],"&lt;"&amp;$AM$2,
     unit_details[Beds],$L229,
     unit_details[Baths],$M229,
     unit_details[Partial Baths],IF(ISNUMBER($N229),$N229,""),
     unit_details[Sqft],$P229,
     unit_details[Property Name],$F229)
 ),"")</f>
        <v/>
      </c>
      <c r="V229" s="27" t="str">
        <f t="shared" si="43"/>
        <v/>
      </c>
      <c r="W229" s="526">
        <f>IFERROR(
  IF($F229="Total",
    SUM(INDEX(W:W, ROW()-COUNTIF($F$6:INDEX($F:$F, ROW()-1), $F228)) : INDEX(W:W, ROW()-1)),
    COUNTIFS(
      unit_details[Leased Date], "&gt;="&amp;($AM$2-T$5),
      unit_details[Leased Date], "&lt;"&amp;$AM$2,
      unit_details[Beds], $L229,
      unit_details[Baths], $M229,
      unit_details[Partial Baths], IF(ISNUMBER($N229), $N229, ""),
      unit_details[Sqft],$P229,
      unit_details[Property Name], $F229
    )
  ),
"")</f>
        <v>0</v>
      </c>
      <c r="X229" s="531" t="str">
        <f>IFERROR(
 IF($F229="Total",
   SUMPRODUCT(
   INDEX(X:X, ROW()-COUNTIF($F$6:INDEX($F:$F, ROW()-1), $F228)) : INDEX(X:X, ROW()-1),
   INDEX(AA:AA, ROW()-COUNTIF($F$6:INDEX($F:$F, ROW()-1), $F228)) : INDEX(AA:AA, ROW()-1)
   )
   /SUM(INDEX(AA:AA, ROW()-COUNTIF($F$6:INDEX($F:$F, ROW()-1), $F228)) : INDEX(AA:AA, ROW()-1)),
   AVERAGEIFS(
     INDEX((unit_details[Asking Rent],unit_details[Asking PSF]),0,1,IF($U$3="Chunk Rent",1,2)),
     unit_details[Leased Date],"&gt;="&amp;($AM$2-X$5),
     unit_details[Leased Date],"&lt;"&amp;$AM$2,
     unit_details[Beds],$L229,
     unit_details[Baths],$M229,
     unit_details[Partial Baths],IF(ISNUMBER($N229),$N229,""),
     unit_details[Sqft],$P229,
     unit_details[Property Name],$F229)
 ),"")</f>
        <v/>
      </c>
      <c r="Y229" s="552" t="str">
        <f>IFERROR(
 IF($F229="Total",
   SUMPRODUCT(
   INDEX(Y:Y, ROW()-COUNTIF($F$6:INDEX($F:$F, ROW()-1), $F228)) : INDEX(Y:Y, ROW()-1),
   INDEX(AA:AA, ROW()-COUNTIF($F$6:INDEX($F:$F, ROW()-1), $F228)) : INDEX(AA:AA, ROW()-1)
   )
   /SUM(INDEX(AA:AA, ROW()-COUNTIF($F$6:INDEX($F:$F, ROW()-1), $F228)) : INDEX(AA:AA, ROW()-1)),
   AVERAGEIFS(
     INDEX((unit_details[Effective Rent],unit_details[Effective PSF]),0,1,IF($U$3="Chunk Rent",1,2)),
     unit_details[Leased Date],"&gt;="&amp;($AM$2-X$5),
     unit_details[Leased Date],"&lt;"&amp;$AM$2,
     unit_details[Beds],$L229,
     unit_details[Baths],$M229,
     unit_details[Partial Baths],IF(ISNUMBER($N229),$N229,""),
     unit_details[Sqft],$P229,
     unit_details[Property Name],$F229)
 ),"")</f>
        <v/>
      </c>
      <c r="Z229" s="27" t="str">
        <f t="shared" si="44"/>
        <v/>
      </c>
      <c r="AA229" s="526">
        <f>IFERROR(
  IF($F229="Total",
    SUM(INDEX(AA:AA, ROW()-COUNTIF($F$6:INDEX($F:$F, ROW()-1), $F228)) : INDEX(AA:AA, ROW()-1)),
    COUNTIFS(
      unit_details[Leased Date], "&gt;="&amp;($AM$2-X$5),
      unit_details[Leased Date], "&lt;"&amp;$AM$2,
      unit_details[Beds], $L229,
      unit_details[Baths], $M229,
      unit_details[Partial Baths], IF(ISNUMBER($N229), $N229, ""),
      unit_details[Sqft],$P229,
      unit_details[Property Name], $F229
    )
  ),
"")</f>
        <v>0</v>
      </c>
      <c r="AB229" s="290">
        <f>IF($F229="Total",
SUM(INDEX(AB:AB, ROW()-COUNTIF($F$6:INDEX($F:$F, ROW()-1), $F228)) : INDEX(AB:AB, ROW()-1)),
COUNTIFS(unit_details[Active Listing?],TRUE,
          unit_details[Property Name], $F229,
          unit_details[Beds], $L229,
          unit_details[Baths], $M229,
          unit_details[Partial Baths],IF(ISNUMBER($N229),$N229,""),
          unit_details[Sqft],$P229))</f>
        <v>0</v>
      </c>
      <c r="AC229" s="27" t="str">
        <f t="shared" si="36"/>
        <v/>
      </c>
      <c r="AD229" s="293" t="str">
        <f>IFERROR(IF(AE229="","",IF($F229="Total",
SUMPRODUCT(
   INDEX(AD:AD, ROW()-COUNTIF($F$6:INDEX($F:$F, ROW()-1), $F228)) : INDEX(AD:AD, ROW()-1),
   INDEX(AB:AB, ROW()-COUNTIF($F$6:INDEX($F:$F, ROW()-1), $F228)) : INDEX(AB:AB, ROW()-1)
   )
   /SUM(INDEX(AB:AB, ROW()-COUNTIF($F$6:INDEX($F:$F, ROW()-1), $F228)) : INDEX(AB:AB, ROW()-1)),
          _xlfn.MINIFS(unit_details[Asking Rent],
          unit_details[Active Listing?],TRUE,
          unit_details[Property Name], $F229,
          unit_details[Beds], $L229,
          unit_details[Baths], $M229,
          unit_details[Partial Baths], IF(ISNUMBER($N229),$N229,""),
          unit_details[Sqft],$P229
))),"")</f>
        <v/>
      </c>
      <c r="AE229" s="5" t="str">
        <f>IFERROR(IF($F229="Total",
          SUMPRODUCT(
   INDEX(AE:AE, ROW()-COUNTIF($F$6:INDEX($F:$F, ROW()-1), $F228)) : INDEX(AE:AE, ROW()-1),
   INDEX(AB:AB, ROW()-COUNTIF($F$6:INDEX($F:$F, ROW()-1), $F228)) : INDEX(AB:AB, ROW()-1)
   )
   /SUM(INDEX(AB:AB, ROW()-COUNTIF($F$6:INDEX($F:$F, ROW()-1), $F228)) : INDEX(AB:AB, ROW()-1)),
          AVERAGEIFS(unit_details[Asking Rent],
          unit_details[Active Listing?],TRUE,
          unit_details[Property Name], $F229,
          unit_details[Beds], $L229,
          unit_details[Baths], $M229,
          unit_details[Partial Baths], IF(ISNUMBER($N229),$N229,""),
          unit_details[Sqft],$P229
)),"")</f>
        <v/>
      </c>
      <c r="AF229" s="5" t="str">
        <f>IFERROR(IF(AE229="","",IF($F229="Total",
SUMPRODUCT(
   INDEX(AF:AF, ROW()-COUNTIF($F$6:INDEX($F:$F, ROW()-1), $F228)) : INDEX(AF:AF, ROW()-1),
   INDEX(AB:AB, ROW()-COUNTIF($F$6:INDEX($F:$F, ROW()-1), $F228)) : INDEX(AB:AB, ROW()-1)
   )
   /SUM(INDEX(AB:AB, ROW()-COUNTIF($F$6:INDEX($F:$F, ROW()-1), $F228)) : INDEX(AB:AB, ROW()-1)),
           _xlfn.MAXIFS(unit_details[Asking Rent],
          unit_details[Active Listing?],TRUE,
          unit_details[Property Name], $F229,
          unit_details[Beds], $L229,
          unit_details[Baths], $M229,
          unit_details[Partial Baths], IF(ISNUMBER($N229),$N229,""),
          unit_details[Sqft],$P229
))),"")</f>
        <v/>
      </c>
      <c r="AG229" s="6" t="str">
        <f>IFERROR(IF($F229="Total",
         SUMPRODUCT(
         INDEX(AG:AG, ROW()-COUNTIF($F$6:INDEX($F:$F, ROW()-1), $F228)) : INDEX(AG:AG, ROW()-1),
         INDEX(AB:AB, ROW()-COUNTIF($F$6:INDEX($F:$F, ROW()-1), $F228)) : INDEX(AB:AB, ROW()-1)
         )
         /SUM(INDEX(AB:AB, ROW()-COUNTIF($F$6:INDEX($F:$F, ROW()-1), $F228)) : INDEX(AB:AB, ROW()-1)),
          AVERAGEIFS(unit_details[Asking PSF],
          unit_details[Active Listing?],TRUE,
          unit_details[Property Name], $F229,
          unit_details[Beds], $L229,
          unit_details[Baths], $M229,
          unit_details[Partial Baths], IF(ISNUMBER($N229),$N229,""),
          unit_details[Sqft],$P229
)),"")</f>
        <v/>
      </c>
      <c r="AH229" s="293" t="str">
        <f>IFERROR(IF($F229="Total",
         SUMPRODUCT(
         INDEX(AH:AH, ROW()-COUNTIF($F$6:INDEX($F:$F, ROW()-1), $F228)) : INDEX(AH:AH, ROW()-1),
         INDEX(AB:AB, ROW()-COUNTIF($F$6:INDEX($F:$F, ROW()-1), $F228)) : INDEX(AB:AB, ROW()-1)
         )
         /SUM(INDEX(AB:AB, ROW()-COUNTIF($F$6:INDEX($F:$F, ROW()-1), $F228)) : INDEX(AB:AB, ROW()-1)),
          AVERAGEIFS(unit_details[Effective Rent],
          unit_details[Active Listing?],TRUE,
          unit_details[Property Name], $F229,
          unit_details[Beds], $L229,
          unit_details[Baths], $M229,
          unit_details[Partial Baths], IF(ISNUMBER($N229),$N229,""),
          unit_details[Sqft],$P229
)),"")</f>
        <v/>
      </c>
      <c r="AI229" s="6" t="str">
        <f>IFERROR(IF($F229="Total",
         SUMPRODUCT(
         INDEX(AI:AI, ROW()-COUNTIF($F$6:INDEX($F:$F, ROW()-1), $F228)) : INDEX(AI:AI, ROW()-1),
         INDEX(AB:AB, ROW()-COUNTIF($F$6:INDEX($F:$F, ROW()-1), $F228)) : INDEX(AB:AB, ROW()-1)
         )
         /SUM(INDEX(AB:AB, ROW()-COUNTIF($F$6:INDEX($F:$F, ROW()-1), $F228)) : INDEX(AB:AB, ROW()-1)),
           AVERAGEIFS(unit_details[Effective PSF],
          unit_details[Active Listing?],TRUE,
          unit_details[Property Name], $F229,
          unit_details[Beds], $L229,
          unit_details[Baths], $M229,
          unit_details[Partial Baths], IF(ISNUMBER($N229),$N229,""),
          unit_details[Sqft],$P229
)),"")</f>
        <v/>
      </c>
      <c r="AJ229" s="824" t="str">
        <f t="shared" si="37"/>
        <v/>
      </c>
      <c r="AK229" s="531" t="str">
        <f t="shared" si="38"/>
        <v/>
      </c>
      <c r="AL229" s="714" t="str">
        <f t="shared" si="39"/>
        <v/>
      </c>
      <c r="AM229" s="531" t="str">
        <f t="shared" si="40"/>
        <v/>
      </c>
      <c r="AN229" s="716" t="str">
        <f t="shared" si="41"/>
        <v/>
      </c>
    </row>
    <row r="230" spans="6:40" x14ac:dyDescent="0.2">
      <c r="F230" s="1" t="str">
        <f t="shared" si="34"/>
        <v/>
      </c>
      <c r="G230" s="713" t="str">
        <f t="shared" si="42"/>
        <v/>
      </c>
      <c r="H230" s="17" t="str">
        <f>IFERROR(VLOOKUP($G230,Table1[[Property]:[Exposure %]],4,0),"")</f>
        <v/>
      </c>
      <c r="I230" s="3" t="str">
        <f>IFERROR(VLOOKUP($G230,Table1[[Property]:[Exposure %]],6,0),"")</f>
        <v/>
      </c>
      <c r="J230" s="3" t="str">
        <f>IFERROR(VLOOKUP($G230,Table1[[Property]:[Exposure %]],7,0),"")</f>
        <v/>
      </c>
      <c r="K230"/>
      <c r="L230"/>
      <c r="M230"/>
      <c r="N230"/>
      <c r="O230"/>
      <c r="P230"/>
      <c r="Q230"/>
      <c r="R230" s="4" t="str">
        <f>IFERROR(VLOOKUP(IF(F230="Total",F229,F230),Table1[[Property]:['# Units]],7,0)*S230,"")</f>
        <v/>
      </c>
      <c r="S230" s="27" t="str">
        <f t="shared" si="35"/>
        <v/>
      </c>
      <c r="T230" s="531" t="str">
        <f>IFERROR(
 IF($F230="Total",
   SUMPRODUCT(
   INDEX(T:T, ROW()-COUNTIF($F$6:INDEX($F:$F, ROW()-1), $F229)) : INDEX(T:T, ROW()-1),
   INDEX(W:W, ROW()-COUNTIF($F$6:INDEX($F:$F, ROW()-1), $F229)) : INDEX(W:W, ROW()-1)
   )
   /SUM(INDEX(W:W, ROW()-COUNTIF($F$6:INDEX($F:$F, ROW()-1), $F229)) : INDEX(W:W, ROW()-1)),
   AVERAGEIFS(
     INDEX((unit_details[Asking Rent],unit_details[Asking PSF]),0,1,IF($U$3="Chunk Rent",1,2)),
     unit_details[Leased Date],"&gt;="&amp;($AM$2-T$5),
     unit_details[Leased Date],"&lt;"&amp;$AM$2,
     unit_details[Beds],$L230,
     unit_details[Baths],$M230,
     unit_details[Partial Baths],IF(ISNUMBER($N230),$N230,""),
     unit_details[Sqft],$P230,
     unit_details[Property Name],$F230)
 ),"")</f>
        <v/>
      </c>
      <c r="U230" s="552" t="str">
        <f>IFERROR(
 IF($F230="Total",
   SUMPRODUCT(
   INDEX(U:U, ROW()-COUNTIF($F$6:INDEX($F:$F, ROW()-1), $F229)) : INDEX(U:U, ROW()-1),
   INDEX(W:W, ROW()-COUNTIF($F$6:INDEX($F:$F, ROW()-1), $F229)) : INDEX(W:W, ROW()-1)
   )
   /SUM(INDEX(W:W, ROW()-COUNTIF($F$6:INDEX($F:$F, ROW()-1), $F229)) : INDEX(W:W, ROW()-1)),
   AVERAGEIFS(
     INDEX((unit_details[Effective Rent],unit_details[Effective PSF]),0,1,IF($U$3="Chunk Rent",1,2)),
     unit_details[Leased Date],"&gt;="&amp;($AM$2-T$5),
     unit_details[Leased Date],"&lt;"&amp;$AM$2,
     unit_details[Beds],$L230,
     unit_details[Baths],$M230,
     unit_details[Partial Baths],IF(ISNUMBER($N230),$N230,""),
     unit_details[Sqft],$P230,
     unit_details[Property Name],$F230)
 ),"")</f>
        <v/>
      </c>
      <c r="V230" s="27" t="str">
        <f t="shared" si="43"/>
        <v/>
      </c>
      <c r="W230" s="526">
        <f>IFERROR(
  IF($F230="Total",
    SUM(INDEX(W:W, ROW()-COUNTIF($F$6:INDEX($F:$F, ROW()-1), $F229)) : INDEX(W:W, ROW()-1)),
    COUNTIFS(
      unit_details[Leased Date], "&gt;="&amp;($AM$2-T$5),
      unit_details[Leased Date], "&lt;"&amp;$AM$2,
      unit_details[Beds], $L230,
      unit_details[Baths], $M230,
      unit_details[Partial Baths], IF(ISNUMBER($N230), $N230, ""),
      unit_details[Sqft],$P230,
      unit_details[Property Name], $F230
    )
  ),
"")</f>
        <v>0</v>
      </c>
      <c r="X230" s="531" t="str">
        <f>IFERROR(
 IF($F230="Total",
   SUMPRODUCT(
   INDEX(X:X, ROW()-COUNTIF($F$6:INDEX($F:$F, ROW()-1), $F229)) : INDEX(X:X, ROW()-1),
   INDEX(AA:AA, ROW()-COUNTIF($F$6:INDEX($F:$F, ROW()-1), $F229)) : INDEX(AA:AA, ROW()-1)
   )
   /SUM(INDEX(AA:AA, ROW()-COUNTIF($F$6:INDEX($F:$F, ROW()-1), $F229)) : INDEX(AA:AA, ROW()-1)),
   AVERAGEIFS(
     INDEX((unit_details[Asking Rent],unit_details[Asking PSF]),0,1,IF($U$3="Chunk Rent",1,2)),
     unit_details[Leased Date],"&gt;="&amp;($AM$2-X$5),
     unit_details[Leased Date],"&lt;"&amp;$AM$2,
     unit_details[Beds],$L230,
     unit_details[Baths],$M230,
     unit_details[Partial Baths],IF(ISNUMBER($N230),$N230,""),
     unit_details[Sqft],$P230,
     unit_details[Property Name],$F230)
 ),"")</f>
        <v/>
      </c>
      <c r="Y230" s="552" t="str">
        <f>IFERROR(
 IF($F230="Total",
   SUMPRODUCT(
   INDEX(Y:Y, ROW()-COUNTIF($F$6:INDEX($F:$F, ROW()-1), $F229)) : INDEX(Y:Y, ROW()-1),
   INDEX(AA:AA, ROW()-COUNTIF($F$6:INDEX($F:$F, ROW()-1), $F229)) : INDEX(AA:AA, ROW()-1)
   )
   /SUM(INDEX(AA:AA, ROW()-COUNTIF($F$6:INDEX($F:$F, ROW()-1), $F229)) : INDEX(AA:AA, ROW()-1)),
   AVERAGEIFS(
     INDEX((unit_details[Effective Rent],unit_details[Effective PSF]),0,1,IF($U$3="Chunk Rent",1,2)),
     unit_details[Leased Date],"&gt;="&amp;($AM$2-X$5),
     unit_details[Leased Date],"&lt;"&amp;$AM$2,
     unit_details[Beds],$L230,
     unit_details[Baths],$M230,
     unit_details[Partial Baths],IF(ISNUMBER($N230),$N230,""),
     unit_details[Sqft],$P230,
     unit_details[Property Name],$F230)
 ),"")</f>
        <v/>
      </c>
      <c r="Z230" s="27" t="str">
        <f t="shared" si="44"/>
        <v/>
      </c>
      <c r="AA230" s="526">
        <f>IFERROR(
  IF($F230="Total",
    SUM(INDEX(AA:AA, ROW()-COUNTIF($F$6:INDEX($F:$F, ROW()-1), $F229)) : INDEX(AA:AA, ROW()-1)),
    COUNTIFS(
      unit_details[Leased Date], "&gt;="&amp;($AM$2-X$5),
      unit_details[Leased Date], "&lt;"&amp;$AM$2,
      unit_details[Beds], $L230,
      unit_details[Baths], $M230,
      unit_details[Partial Baths], IF(ISNUMBER($N230), $N230, ""),
      unit_details[Sqft],$P230,
      unit_details[Property Name], $F230
    )
  ),
"")</f>
        <v>0</v>
      </c>
      <c r="AB230" s="290">
        <f>IF($F230="Total",
SUM(INDEX(AB:AB, ROW()-COUNTIF($F$6:INDEX($F:$F, ROW()-1), $F229)) : INDEX(AB:AB, ROW()-1)),
COUNTIFS(unit_details[Active Listing?],TRUE,
          unit_details[Property Name], $F230,
          unit_details[Beds], $L230,
          unit_details[Baths], $M230,
          unit_details[Partial Baths],IF(ISNUMBER($N230),$N230,""),
          unit_details[Sqft],$P230))</f>
        <v>0</v>
      </c>
      <c r="AC230" s="27" t="str">
        <f t="shared" si="36"/>
        <v/>
      </c>
      <c r="AD230" s="293" t="str">
        <f>IFERROR(IF(AE230="","",IF($F230="Total",
SUMPRODUCT(
   INDEX(AD:AD, ROW()-COUNTIF($F$6:INDEX($F:$F, ROW()-1), $F229)) : INDEX(AD:AD, ROW()-1),
   INDEX(AB:AB, ROW()-COUNTIF($F$6:INDEX($F:$F, ROW()-1), $F229)) : INDEX(AB:AB, ROW()-1)
   )
   /SUM(INDEX(AB:AB, ROW()-COUNTIF($F$6:INDEX($F:$F, ROW()-1), $F229)) : INDEX(AB:AB, ROW()-1)),
          _xlfn.MINIFS(unit_details[Asking Rent],
          unit_details[Active Listing?],TRUE,
          unit_details[Property Name], $F230,
          unit_details[Beds], $L230,
          unit_details[Baths], $M230,
          unit_details[Partial Baths], IF(ISNUMBER($N230),$N230,""),
          unit_details[Sqft],$P230
))),"")</f>
        <v/>
      </c>
      <c r="AE230" s="5" t="str">
        <f>IFERROR(IF($F230="Total",
          SUMPRODUCT(
   INDEX(AE:AE, ROW()-COUNTIF($F$6:INDEX($F:$F, ROW()-1), $F229)) : INDEX(AE:AE, ROW()-1),
   INDEX(AB:AB, ROW()-COUNTIF($F$6:INDEX($F:$F, ROW()-1), $F229)) : INDEX(AB:AB, ROW()-1)
   )
   /SUM(INDEX(AB:AB, ROW()-COUNTIF($F$6:INDEX($F:$F, ROW()-1), $F229)) : INDEX(AB:AB, ROW()-1)),
          AVERAGEIFS(unit_details[Asking Rent],
          unit_details[Active Listing?],TRUE,
          unit_details[Property Name], $F230,
          unit_details[Beds], $L230,
          unit_details[Baths], $M230,
          unit_details[Partial Baths], IF(ISNUMBER($N230),$N230,""),
          unit_details[Sqft],$P230
)),"")</f>
        <v/>
      </c>
      <c r="AF230" s="5" t="str">
        <f>IFERROR(IF(AE230="","",IF($F230="Total",
SUMPRODUCT(
   INDEX(AF:AF, ROW()-COUNTIF($F$6:INDEX($F:$F, ROW()-1), $F229)) : INDEX(AF:AF, ROW()-1),
   INDEX(AB:AB, ROW()-COUNTIF($F$6:INDEX($F:$F, ROW()-1), $F229)) : INDEX(AB:AB, ROW()-1)
   )
   /SUM(INDEX(AB:AB, ROW()-COUNTIF($F$6:INDEX($F:$F, ROW()-1), $F229)) : INDEX(AB:AB, ROW()-1)),
           _xlfn.MAXIFS(unit_details[Asking Rent],
          unit_details[Active Listing?],TRUE,
          unit_details[Property Name], $F230,
          unit_details[Beds], $L230,
          unit_details[Baths], $M230,
          unit_details[Partial Baths], IF(ISNUMBER($N230),$N230,""),
          unit_details[Sqft],$P230
))),"")</f>
        <v/>
      </c>
      <c r="AG230" s="6" t="str">
        <f>IFERROR(IF($F230="Total",
         SUMPRODUCT(
         INDEX(AG:AG, ROW()-COUNTIF($F$6:INDEX($F:$F, ROW()-1), $F229)) : INDEX(AG:AG, ROW()-1),
         INDEX(AB:AB, ROW()-COUNTIF($F$6:INDEX($F:$F, ROW()-1), $F229)) : INDEX(AB:AB, ROW()-1)
         )
         /SUM(INDEX(AB:AB, ROW()-COUNTIF($F$6:INDEX($F:$F, ROW()-1), $F229)) : INDEX(AB:AB, ROW()-1)),
          AVERAGEIFS(unit_details[Asking PSF],
          unit_details[Active Listing?],TRUE,
          unit_details[Property Name], $F230,
          unit_details[Beds], $L230,
          unit_details[Baths], $M230,
          unit_details[Partial Baths], IF(ISNUMBER($N230),$N230,""),
          unit_details[Sqft],$P230
)),"")</f>
        <v/>
      </c>
      <c r="AH230" s="293" t="str">
        <f>IFERROR(IF($F230="Total",
         SUMPRODUCT(
         INDEX(AH:AH, ROW()-COUNTIF($F$6:INDEX($F:$F, ROW()-1), $F229)) : INDEX(AH:AH, ROW()-1),
         INDEX(AB:AB, ROW()-COUNTIF($F$6:INDEX($F:$F, ROW()-1), $F229)) : INDEX(AB:AB, ROW()-1)
         )
         /SUM(INDEX(AB:AB, ROW()-COUNTIF($F$6:INDEX($F:$F, ROW()-1), $F229)) : INDEX(AB:AB, ROW()-1)),
          AVERAGEIFS(unit_details[Effective Rent],
          unit_details[Active Listing?],TRUE,
          unit_details[Property Name], $F230,
          unit_details[Beds], $L230,
          unit_details[Baths], $M230,
          unit_details[Partial Baths], IF(ISNUMBER($N230),$N230,""),
          unit_details[Sqft],$P230
)),"")</f>
        <v/>
      </c>
      <c r="AI230" s="6" t="str">
        <f>IFERROR(IF($F230="Total",
         SUMPRODUCT(
         INDEX(AI:AI, ROW()-COUNTIF($F$6:INDEX($F:$F, ROW()-1), $F229)) : INDEX(AI:AI, ROW()-1),
         INDEX(AB:AB, ROW()-COUNTIF($F$6:INDEX($F:$F, ROW()-1), $F229)) : INDEX(AB:AB, ROW()-1)
         )
         /SUM(INDEX(AB:AB, ROW()-COUNTIF($F$6:INDEX($F:$F, ROW()-1), $F229)) : INDEX(AB:AB, ROW()-1)),
           AVERAGEIFS(unit_details[Effective PSF],
          unit_details[Active Listing?],TRUE,
          unit_details[Property Name], $F230,
          unit_details[Beds], $L230,
          unit_details[Baths], $M230,
          unit_details[Partial Baths], IF(ISNUMBER($N230),$N230,""),
          unit_details[Sqft],$P230
)),"")</f>
        <v/>
      </c>
      <c r="AJ230" s="824" t="str">
        <f t="shared" si="37"/>
        <v/>
      </c>
      <c r="AK230" s="531" t="str">
        <f t="shared" si="38"/>
        <v/>
      </c>
      <c r="AL230" s="714" t="str">
        <f t="shared" si="39"/>
        <v/>
      </c>
      <c r="AM230" s="531" t="str">
        <f t="shared" si="40"/>
        <v/>
      </c>
      <c r="AN230" s="716" t="str">
        <f t="shared" si="41"/>
        <v/>
      </c>
    </row>
    <row r="231" spans="6:40" x14ac:dyDescent="0.2">
      <c r="F231" s="1" t="str">
        <f t="shared" si="34"/>
        <v/>
      </c>
      <c r="G231" s="713" t="str">
        <f t="shared" si="42"/>
        <v/>
      </c>
      <c r="H231" s="17" t="str">
        <f>IFERROR(VLOOKUP($G231,Table1[[Property]:[Exposure %]],4,0),"")</f>
        <v/>
      </c>
      <c r="I231" s="3" t="str">
        <f>IFERROR(VLOOKUP($G231,Table1[[Property]:[Exposure %]],6,0),"")</f>
        <v/>
      </c>
      <c r="J231" s="3" t="str">
        <f>IFERROR(VLOOKUP($G231,Table1[[Property]:[Exposure %]],7,0),"")</f>
        <v/>
      </c>
      <c r="K231"/>
      <c r="L231"/>
      <c r="M231"/>
      <c r="N231"/>
      <c r="O231"/>
      <c r="P231"/>
      <c r="Q231"/>
      <c r="R231" s="4" t="str">
        <f>IFERROR(VLOOKUP(IF(F231="Total",F230,F231),Table1[[Property]:['# Units]],7,0)*S231,"")</f>
        <v/>
      </c>
      <c r="S231" s="27" t="str">
        <f t="shared" si="35"/>
        <v/>
      </c>
      <c r="T231" s="531" t="str">
        <f>IFERROR(
 IF($F231="Total",
   SUMPRODUCT(
   INDEX(T:T, ROW()-COUNTIF($F$6:INDEX($F:$F, ROW()-1), $F230)) : INDEX(T:T, ROW()-1),
   INDEX(W:W, ROW()-COUNTIF($F$6:INDEX($F:$F, ROW()-1), $F230)) : INDEX(W:W, ROW()-1)
   )
   /SUM(INDEX(W:W, ROW()-COUNTIF($F$6:INDEX($F:$F, ROW()-1), $F230)) : INDEX(W:W, ROW()-1)),
   AVERAGEIFS(
     INDEX((unit_details[Asking Rent],unit_details[Asking PSF]),0,1,IF($U$3="Chunk Rent",1,2)),
     unit_details[Leased Date],"&gt;="&amp;($AM$2-T$5),
     unit_details[Leased Date],"&lt;"&amp;$AM$2,
     unit_details[Beds],$L231,
     unit_details[Baths],$M231,
     unit_details[Partial Baths],IF(ISNUMBER($N231),$N231,""),
     unit_details[Sqft],$P231,
     unit_details[Property Name],$F231)
 ),"")</f>
        <v/>
      </c>
      <c r="U231" s="552" t="str">
        <f>IFERROR(
 IF($F231="Total",
   SUMPRODUCT(
   INDEX(U:U, ROW()-COUNTIF($F$6:INDEX($F:$F, ROW()-1), $F230)) : INDEX(U:U, ROW()-1),
   INDEX(W:W, ROW()-COUNTIF($F$6:INDEX($F:$F, ROW()-1), $F230)) : INDEX(W:W, ROW()-1)
   )
   /SUM(INDEX(W:W, ROW()-COUNTIF($F$6:INDEX($F:$F, ROW()-1), $F230)) : INDEX(W:W, ROW()-1)),
   AVERAGEIFS(
     INDEX((unit_details[Effective Rent],unit_details[Effective PSF]),0,1,IF($U$3="Chunk Rent",1,2)),
     unit_details[Leased Date],"&gt;="&amp;($AM$2-T$5),
     unit_details[Leased Date],"&lt;"&amp;$AM$2,
     unit_details[Beds],$L231,
     unit_details[Baths],$M231,
     unit_details[Partial Baths],IF(ISNUMBER($N231),$N231,""),
     unit_details[Sqft],$P231,
     unit_details[Property Name],$F231)
 ),"")</f>
        <v/>
      </c>
      <c r="V231" s="27" t="str">
        <f t="shared" si="43"/>
        <v/>
      </c>
      <c r="W231" s="526">
        <f>IFERROR(
  IF($F231="Total",
    SUM(INDEX(W:W, ROW()-COUNTIF($F$6:INDEX($F:$F, ROW()-1), $F230)) : INDEX(W:W, ROW()-1)),
    COUNTIFS(
      unit_details[Leased Date], "&gt;="&amp;($AM$2-T$5),
      unit_details[Leased Date], "&lt;"&amp;$AM$2,
      unit_details[Beds], $L231,
      unit_details[Baths], $M231,
      unit_details[Partial Baths], IF(ISNUMBER($N231), $N231, ""),
      unit_details[Sqft],$P231,
      unit_details[Property Name], $F231
    )
  ),
"")</f>
        <v>0</v>
      </c>
      <c r="X231" s="531" t="str">
        <f>IFERROR(
 IF($F231="Total",
   SUMPRODUCT(
   INDEX(X:X, ROW()-COUNTIF($F$6:INDEX($F:$F, ROW()-1), $F230)) : INDEX(X:X, ROW()-1),
   INDEX(AA:AA, ROW()-COUNTIF($F$6:INDEX($F:$F, ROW()-1), $F230)) : INDEX(AA:AA, ROW()-1)
   )
   /SUM(INDEX(AA:AA, ROW()-COUNTIF($F$6:INDEX($F:$F, ROW()-1), $F230)) : INDEX(AA:AA, ROW()-1)),
   AVERAGEIFS(
     INDEX((unit_details[Asking Rent],unit_details[Asking PSF]),0,1,IF($U$3="Chunk Rent",1,2)),
     unit_details[Leased Date],"&gt;="&amp;($AM$2-X$5),
     unit_details[Leased Date],"&lt;"&amp;$AM$2,
     unit_details[Beds],$L231,
     unit_details[Baths],$M231,
     unit_details[Partial Baths],IF(ISNUMBER($N231),$N231,""),
     unit_details[Sqft],$P231,
     unit_details[Property Name],$F231)
 ),"")</f>
        <v/>
      </c>
      <c r="Y231" s="552" t="str">
        <f>IFERROR(
 IF($F231="Total",
   SUMPRODUCT(
   INDEX(Y:Y, ROW()-COUNTIF($F$6:INDEX($F:$F, ROW()-1), $F230)) : INDEX(Y:Y, ROW()-1),
   INDEX(AA:AA, ROW()-COUNTIF($F$6:INDEX($F:$F, ROW()-1), $F230)) : INDEX(AA:AA, ROW()-1)
   )
   /SUM(INDEX(AA:AA, ROW()-COUNTIF($F$6:INDEX($F:$F, ROW()-1), $F230)) : INDEX(AA:AA, ROW()-1)),
   AVERAGEIFS(
     INDEX((unit_details[Effective Rent],unit_details[Effective PSF]),0,1,IF($U$3="Chunk Rent",1,2)),
     unit_details[Leased Date],"&gt;="&amp;($AM$2-X$5),
     unit_details[Leased Date],"&lt;"&amp;$AM$2,
     unit_details[Beds],$L231,
     unit_details[Baths],$M231,
     unit_details[Partial Baths],IF(ISNUMBER($N231),$N231,""),
     unit_details[Sqft],$P231,
     unit_details[Property Name],$F231)
 ),"")</f>
        <v/>
      </c>
      <c r="Z231" s="27" t="str">
        <f t="shared" si="44"/>
        <v/>
      </c>
      <c r="AA231" s="526">
        <f>IFERROR(
  IF($F231="Total",
    SUM(INDEX(AA:AA, ROW()-COUNTIF($F$6:INDEX($F:$F, ROW()-1), $F230)) : INDEX(AA:AA, ROW()-1)),
    COUNTIFS(
      unit_details[Leased Date], "&gt;="&amp;($AM$2-X$5),
      unit_details[Leased Date], "&lt;"&amp;$AM$2,
      unit_details[Beds], $L231,
      unit_details[Baths], $M231,
      unit_details[Partial Baths], IF(ISNUMBER($N231), $N231, ""),
      unit_details[Sqft],$P231,
      unit_details[Property Name], $F231
    )
  ),
"")</f>
        <v>0</v>
      </c>
      <c r="AB231" s="290">
        <f>IF($F231="Total",
SUM(INDEX(AB:AB, ROW()-COUNTIF($F$6:INDEX($F:$F, ROW()-1), $F230)) : INDEX(AB:AB, ROW()-1)),
COUNTIFS(unit_details[Active Listing?],TRUE,
          unit_details[Property Name], $F231,
          unit_details[Beds], $L231,
          unit_details[Baths], $M231,
          unit_details[Partial Baths],IF(ISNUMBER($N231),$N231,""),
          unit_details[Sqft],$P231))</f>
        <v>0</v>
      </c>
      <c r="AC231" s="27" t="str">
        <f t="shared" si="36"/>
        <v/>
      </c>
      <c r="AD231" s="293" t="str">
        <f>IFERROR(IF(AE231="","",IF($F231="Total",
SUMPRODUCT(
   INDEX(AD:AD, ROW()-COUNTIF($F$6:INDEX($F:$F, ROW()-1), $F230)) : INDEX(AD:AD, ROW()-1),
   INDEX(AB:AB, ROW()-COUNTIF($F$6:INDEX($F:$F, ROW()-1), $F230)) : INDEX(AB:AB, ROW()-1)
   )
   /SUM(INDEX(AB:AB, ROW()-COUNTIF($F$6:INDEX($F:$F, ROW()-1), $F230)) : INDEX(AB:AB, ROW()-1)),
          _xlfn.MINIFS(unit_details[Asking Rent],
          unit_details[Active Listing?],TRUE,
          unit_details[Property Name], $F231,
          unit_details[Beds], $L231,
          unit_details[Baths], $M231,
          unit_details[Partial Baths], IF(ISNUMBER($N231),$N231,""),
          unit_details[Sqft],$P231
))),"")</f>
        <v/>
      </c>
      <c r="AE231" s="5" t="str">
        <f>IFERROR(IF($F231="Total",
          SUMPRODUCT(
   INDEX(AE:AE, ROW()-COUNTIF($F$6:INDEX($F:$F, ROW()-1), $F230)) : INDEX(AE:AE, ROW()-1),
   INDEX(AB:AB, ROW()-COUNTIF($F$6:INDEX($F:$F, ROW()-1), $F230)) : INDEX(AB:AB, ROW()-1)
   )
   /SUM(INDEX(AB:AB, ROW()-COUNTIF($F$6:INDEX($F:$F, ROW()-1), $F230)) : INDEX(AB:AB, ROW()-1)),
          AVERAGEIFS(unit_details[Asking Rent],
          unit_details[Active Listing?],TRUE,
          unit_details[Property Name], $F231,
          unit_details[Beds], $L231,
          unit_details[Baths], $M231,
          unit_details[Partial Baths], IF(ISNUMBER($N231),$N231,""),
          unit_details[Sqft],$P231
)),"")</f>
        <v/>
      </c>
      <c r="AF231" s="5" t="str">
        <f>IFERROR(IF(AE231="","",IF($F231="Total",
SUMPRODUCT(
   INDEX(AF:AF, ROW()-COUNTIF($F$6:INDEX($F:$F, ROW()-1), $F230)) : INDEX(AF:AF, ROW()-1),
   INDEX(AB:AB, ROW()-COUNTIF($F$6:INDEX($F:$F, ROW()-1), $F230)) : INDEX(AB:AB, ROW()-1)
   )
   /SUM(INDEX(AB:AB, ROW()-COUNTIF($F$6:INDEX($F:$F, ROW()-1), $F230)) : INDEX(AB:AB, ROW()-1)),
           _xlfn.MAXIFS(unit_details[Asking Rent],
          unit_details[Active Listing?],TRUE,
          unit_details[Property Name], $F231,
          unit_details[Beds], $L231,
          unit_details[Baths], $M231,
          unit_details[Partial Baths], IF(ISNUMBER($N231),$N231,""),
          unit_details[Sqft],$P231
))),"")</f>
        <v/>
      </c>
      <c r="AG231" s="6" t="str">
        <f>IFERROR(IF($F231="Total",
         SUMPRODUCT(
         INDEX(AG:AG, ROW()-COUNTIF($F$6:INDEX($F:$F, ROW()-1), $F230)) : INDEX(AG:AG, ROW()-1),
         INDEX(AB:AB, ROW()-COUNTIF($F$6:INDEX($F:$F, ROW()-1), $F230)) : INDEX(AB:AB, ROW()-1)
         )
         /SUM(INDEX(AB:AB, ROW()-COUNTIF($F$6:INDEX($F:$F, ROW()-1), $F230)) : INDEX(AB:AB, ROW()-1)),
          AVERAGEIFS(unit_details[Asking PSF],
          unit_details[Active Listing?],TRUE,
          unit_details[Property Name], $F231,
          unit_details[Beds], $L231,
          unit_details[Baths], $M231,
          unit_details[Partial Baths], IF(ISNUMBER($N231),$N231,""),
          unit_details[Sqft],$P231
)),"")</f>
        <v/>
      </c>
      <c r="AH231" s="293" t="str">
        <f>IFERROR(IF($F231="Total",
         SUMPRODUCT(
         INDEX(AH:AH, ROW()-COUNTIF($F$6:INDEX($F:$F, ROW()-1), $F230)) : INDEX(AH:AH, ROW()-1),
         INDEX(AB:AB, ROW()-COUNTIF($F$6:INDEX($F:$F, ROW()-1), $F230)) : INDEX(AB:AB, ROW()-1)
         )
         /SUM(INDEX(AB:AB, ROW()-COUNTIF($F$6:INDEX($F:$F, ROW()-1), $F230)) : INDEX(AB:AB, ROW()-1)),
          AVERAGEIFS(unit_details[Effective Rent],
          unit_details[Active Listing?],TRUE,
          unit_details[Property Name], $F231,
          unit_details[Beds], $L231,
          unit_details[Baths], $M231,
          unit_details[Partial Baths], IF(ISNUMBER($N231),$N231,""),
          unit_details[Sqft],$P231
)),"")</f>
        <v/>
      </c>
      <c r="AI231" s="6" t="str">
        <f>IFERROR(IF($F231="Total",
         SUMPRODUCT(
         INDEX(AI:AI, ROW()-COUNTIF($F$6:INDEX($F:$F, ROW()-1), $F230)) : INDEX(AI:AI, ROW()-1),
         INDEX(AB:AB, ROW()-COUNTIF($F$6:INDEX($F:$F, ROW()-1), $F230)) : INDEX(AB:AB, ROW()-1)
         )
         /SUM(INDEX(AB:AB, ROW()-COUNTIF($F$6:INDEX($F:$F, ROW()-1), $F230)) : INDEX(AB:AB, ROW()-1)),
           AVERAGEIFS(unit_details[Effective PSF],
          unit_details[Active Listing?],TRUE,
          unit_details[Property Name], $F231,
          unit_details[Beds], $L231,
          unit_details[Baths], $M231,
          unit_details[Partial Baths], IF(ISNUMBER($N231),$N231,""),
          unit_details[Sqft],$P231
)),"")</f>
        <v/>
      </c>
      <c r="AJ231" s="824" t="str">
        <f t="shared" si="37"/>
        <v/>
      </c>
      <c r="AK231" s="531" t="str">
        <f t="shared" si="38"/>
        <v/>
      </c>
      <c r="AL231" s="714" t="str">
        <f t="shared" si="39"/>
        <v/>
      </c>
      <c r="AM231" s="531" t="str">
        <f t="shared" si="40"/>
        <v/>
      </c>
      <c r="AN231" s="716" t="str">
        <f t="shared" si="41"/>
        <v/>
      </c>
    </row>
    <row r="232" spans="6:40" x14ac:dyDescent="0.2">
      <c r="F232" s="1" t="str">
        <f t="shared" si="34"/>
        <v/>
      </c>
      <c r="G232" s="713" t="str">
        <f t="shared" si="42"/>
        <v/>
      </c>
      <c r="H232" s="17" t="str">
        <f>IFERROR(VLOOKUP($G232,Table1[[Property]:[Exposure %]],4,0),"")</f>
        <v/>
      </c>
      <c r="I232" s="3" t="str">
        <f>IFERROR(VLOOKUP($G232,Table1[[Property]:[Exposure %]],6,0),"")</f>
        <v/>
      </c>
      <c r="J232" s="3" t="str">
        <f>IFERROR(VLOOKUP($G232,Table1[[Property]:[Exposure %]],7,0),"")</f>
        <v/>
      </c>
      <c r="K232"/>
      <c r="L232"/>
      <c r="M232"/>
      <c r="N232"/>
      <c r="O232"/>
      <c r="P232"/>
      <c r="Q232"/>
      <c r="R232" s="4" t="str">
        <f>IFERROR(VLOOKUP(IF(F232="Total",F231,F232),Table1[[Property]:['# Units]],7,0)*S232,"")</f>
        <v/>
      </c>
      <c r="S232" s="27" t="str">
        <f t="shared" si="35"/>
        <v/>
      </c>
      <c r="T232" s="531" t="str">
        <f>IFERROR(
 IF($F232="Total",
   SUMPRODUCT(
   INDEX(T:T, ROW()-COUNTIF($F$6:INDEX($F:$F, ROW()-1), $F231)) : INDEX(T:T, ROW()-1),
   INDEX(W:W, ROW()-COUNTIF($F$6:INDEX($F:$F, ROW()-1), $F231)) : INDEX(W:W, ROW()-1)
   )
   /SUM(INDEX(W:W, ROW()-COUNTIF($F$6:INDEX($F:$F, ROW()-1), $F231)) : INDEX(W:W, ROW()-1)),
   AVERAGEIFS(
     INDEX((unit_details[Asking Rent],unit_details[Asking PSF]),0,1,IF($U$3="Chunk Rent",1,2)),
     unit_details[Leased Date],"&gt;="&amp;($AM$2-T$5),
     unit_details[Leased Date],"&lt;"&amp;$AM$2,
     unit_details[Beds],$L232,
     unit_details[Baths],$M232,
     unit_details[Partial Baths],IF(ISNUMBER($N232),$N232,""),
     unit_details[Sqft],$P232,
     unit_details[Property Name],$F232)
 ),"")</f>
        <v/>
      </c>
      <c r="U232" s="552" t="str">
        <f>IFERROR(
 IF($F232="Total",
   SUMPRODUCT(
   INDEX(U:U, ROW()-COUNTIF($F$6:INDEX($F:$F, ROW()-1), $F231)) : INDEX(U:U, ROW()-1),
   INDEX(W:W, ROW()-COUNTIF($F$6:INDEX($F:$F, ROW()-1), $F231)) : INDEX(W:W, ROW()-1)
   )
   /SUM(INDEX(W:W, ROW()-COUNTIF($F$6:INDEX($F:$F, ROW()-1), $F231)) : INDEX(W:W, ROW()-1)),
   AVERAGEIFS(
     INDEX((unit_details[Effective Rent],unit_details[Effective PSF]),0,1,IF($U$3="Chunk Rent",1,2)),
     unit_details[Leased Date],"&gt;="&amp;($AM$2-T$5),
     unit_details[Leased Date],"&lt;"&amp;$AM$2,
     unit_details[Beds],$L232,
     unit_details[Baths],$M232,
     unit_details[Partial Baths],IF(ISNUMBER($N232),$N232,""),
     unit_details[Sqft],$P232,
     unit_details[Property Name],$F232)
 ),"")</f>
        <v/>
      </c>
      <c r="V232" s="27" t="str">
        <f t="shared" si="43"/>
        <v/>
      </c>
      <c r="W232" s="526">
        <f>IFERROR(
  IF($F232="Total",
    SUM(INDEX(W:W, ROW()-COUNTIF($F$6:INDEX($F:$F, ROW()-1), $F231)) : INDEX(W:W, ROW()-1)),
    COUNTIFS(
      unit_details[Leased Date], "&gt;="&amp;($AM$2-T$5),
      unit_details[Leased Date], "&lt;"&amp;$AM$2,
      unit_details[Beds], $L232,
      unit_details[Baths], $M232,
      unit_details[Partial Baths], IF(ISNUMBER($N232), $N232, ""),
      unit_details[Sqft],$P232,
      unit_details[Property Name], $F232
    )
  ),
"")</f>
        <v>0</v>
      </c>
      <c r="X232" s="531" t="str">
        <f>IFERROR(
 IF($F232="Total",
   SUMPRODUCT(
   INDEX(X:X, ROW()-COUNTIF($F$6:INDEX($F:$F, ROW()-1), $F231)) : INDEX(X:X, ROW()-1),
   INDEX(AA:AA, ROW()-COUNTIF($F$6:INDEX($F:$F, ROW()-1), $F231)) : INDEX(AA:AA, ROW()-1)
   )
   /SUM(INDEX(AA:AA, ROW()-COUNTIF($F$6:INDEX($F:$F, ROW()-1), $F231)) : INDEX(AA:AA, ROW()-1)),
   AVERAGEIFS(
     INDEX((unit_details[Asking Rent],unit_details[Asking PSF]),0,1,IF($U$3="Chunk Rent",1,2)),
     unit_details[Leased Date],"&gt;="&amp;($AM$2-X$5),
     unit_details[Leased Date],"&lt;"&amp;$AM$2,
     unit_details[Beds],$L232,
     unit_details[Baths],$M232,
     unit_details[Partial Baths],IF(ISNUMBER($N232),$N232,""),
     unit_details[Sqft],$P232,
     unit_details[Property Name],$F232)
 ),"")</f>
        <v/>
      </c>
      <c r="Y232" s="552" t="str">
        <f>IFERROR(
 IF($F232="Total",
   SUMPRODUCT(
   INDEX(Y:Y, ROW()-COUNTIF($F$6:INDEX($F:$F, ROW()-1), $F231)) : INDEX(Y:Y, ROW()-1),
   INDEX(AA:AA, ROW()-COUNTIF($F$6:INDEX($F:$F, ROW()-1), $F231)) : INDEX(AA:AA, ROW()-1)
   )
   /SUM(INDEX(AA:AA, ROW()-COUNTIF($F$6:INDEX($F:$F, ROW()-1), $F231)) : INDEX(AA:AA, ROW()-1)),
   AVERAGEIFS(
     INDEX((unit_details[Effective Rent],unit_details[Effective PSF]),0,1,IF($U$3="Chunk Rent",1,2)),
     unit_details[Leased Date],"&gt;="&amp;($AM$2-X$5),
     unit_details[Leased Date],"&lt;"&amp;$AM$2,
     unit_details[Beds],$L232,
     unit_details[Baths],$M232,
     unit_details[Partial Baths],IF(ISNUMBER($N232),$N232,""),
     unit_details[Sqft],$P232,
     unit_details[Property Name],$F232)
 ),"")</f>
        <v/>
      </c>
      <c r="Z232" s="27" t="str">
        <f t="shared" si="44"/>
        <v/>
      </c>
      <c r="AA232" s="526">
        <f>IFERROR(
  IF($F232="Total",
    SUM(INDEX(AA:AA, ROW()-COUNTIF($F$6:INDEX($F:$F, ROW()-1), $F231)) : INDEX(AA:AA, ROW()-1)),
    COUNTIFS(
      unit_details[Leased Date], "&gt;="&amp;($AM$2-X$5),
      unit_details[Leased Date], "&lt;"&amp;$AM$2,
      unit_details[Beds], $L232,
      unit_details[Baths], $M232,
      unit_details[Partial Baths], IF(ISNUMBER($N232), $N232, ""),
      unit_details[Sqft],$P232,
      unit_details[Property Name], $F232
    )
  ),
"")</f>
        <v>0</v>
      </c>
      <c r="AB232" s="290">
        <f>IF($F232="Total",
SUM(INDEX(AB:AB, ROW()-COUNTIF($F$6:INDEX($F:$F, ROW()-1), $F231)) : INDEX(AB:AB, ROW()-1)),
COUNTIFS(unit_details[Active Listing?],TRUE,
          unit_details[Property Name], $F232,
          unit_details[Beds], $L232,
          unit_details[Baths], $M232,
          unit_details[Partial Baths],IF(ISNUMBER($N232),$N232,""),
          unit_details[Sqft],$P232))</f>
        <v>0</v>
      </c>
      <c r="AC232" s="27" t="str">
        <f t="shared" si="36"/>
        <v/>
      </c>
      <c r="AD232" s="293" t="str">
        <f>IFERROR(IF(AE232="","",IF($F232="Total",
SUMPRODUCT(
   INDEX(AD:AD, ROW()-COUNTIF($F$6:INDEX($F:$F, ROW()-1), $F231)) : INDEX(AD:AD, ROW()-1),
   INDEX(AB:AB, ROW()-COUNTIF($F$6:INDEX($F:$F, ROW()-1), $F231)) : INDEX(AB:AB, ROW()-1)
   )
   /SUM(INDEX(AB:AB, ROW()-COUNTIF($F$6:INDEX($F:$F, ROW()-1), $F231)) : INDEX(AB:AB, ROW()-1)),
          _xlfn.MINIFS(unit_details[Asking Rent],
          unit_details[Active Listing?],TRUE,
          unit_details[Property Name], $F232,
          unit_details[Beds], $L232,
          unit_details[Baths], $M232,
          unit_details[Partial Baths], IF(ISNUMBER($N232),$N232,""),
          unit_details[Sqft],$P232
))),"")</f>
        <v/>
      </c>
      <c r="AE232" s="5" t="str">
        <f>IFERROR(IF($F232="Total",
          SUMPRODUCT(
   INDEX(AE:AE, ROW()-COUNTIF($F$6:INDEX($F:$F, ROW()-1), $F231)) : INDEX(AE:AE, ROW()-1),
   INDEX(AB:AB, ROW()-COUNTIF($F$6:INDEX($F:$F, ROW()-1), $F231)) : INDEX(AB:AB, ROW()-1)
   )
   /SUM(INDEX(AB:AB, ROW()-COUNTIF($F$6:INDEX($F:$F, ROW()-1), $F231)) : INDEX(AB:AB, ROW()-1)),
          AVERAGEIFS(unit_details[Asking Rent],
          unit_details[Active Listing?],TRUE,
          unit_details[Property Name], $F232,
          unit_details[Beds], $L232,
          unit_details[Baths], $M232,
          unit_details[Partial Baths], IF(ISNUMBER($N232),$N232,""),
          unit_details[Sqft],$P232
)),"")</f>
        <v/>
      </c>
      <c r="AF232" s="5" t="str">
        <f>IFERROR(IF(AE232="","",IF($F232="Total",
SUMPRODUCT(
   INDEX(AF:AF, ROW()-COUNTIF($F$6:INDEX($F:$F, ROW()-1), $F231)) : INDEX(AF:AF, ROW()-1),
   INDEX(AB:AB, ROW()-COUNTIF($F$6:INDEX($F:$F, ROW()-1), $F231)) : INDEX(AB:AB, ROW()-1)
   )
   /SUM(INDEX(AB:AB, ROW()-COUNTIF($F$6:INDEX($F:$F, ROW()-1), $F231)) : INDEX(AB:AB, ROW()-1)),
           _xlfn.MAXIFS(unit_details[Asking Rent],
          unit_details[Active Listing?],TRUE,
          unit_details[Property Name], $F232,
          unit_details[Beds], $L232,
          unit_details[Baths], $M232,
          unit_details[Partial Baths], IF(ISNUMBER($N232),$N232,""),
          unit_details[Sqft],$P232
))),"")</f>
        <v/>
      </c>
      <c r="AG232" s="6" t="str">
        <f>IFERROR(IF($F232="Total",
         SUMPRODUCT(
         INDEX(AG:AG, ROW()-COUNTIF($F$6:INDEX($F:$F, ROW()-1), $F231)) : INDEX(AG:AG, ROW()-1),
         INDEX(AB:AB, ROW()-COUNTIF($F$6:INDEX($F:$F, ROW()-1), $F231)) : INDEX(AB:AB, ROW()-1)
         )
         /SUM(INDEX(AB:AB, ROW()-COUNTIF($F$6:INDEX($F:$F, ROW()-1), $F231)) : INDEX(AB:AB, ROW()-1)),
          AVERAGEIFS(unit_details[Asking PSF],
          unit_details[Active Listing?],TRUE,
          unit_details[Property Name], $F232,
          unit_details[Beds], $L232,
          unit_details[Baths], $M232,
          unit_details[Partial Baths], IF(ISNUMBER($N232),$N232,""),
          unit_details[Sqft],$P232
)),"")</f>
        <v/>
      </c>
      <c r="AH232" s="293" t="str">
        <f>IFERROR(IF($F232="Total",
         SUMPRODUCT(
         INDEX(AH:AH, ROW()-COUNTIF($F$6:INDEX($F:$F, ROW()-1), $F231)) : INDEX(AH:AH, ROW()-1),
         INDEX(AB:AB, ROW()-COUNTIF($F$6:INDEX($F:$F, ROW()-1), $F231)) : INDEX(AB:AB, ROW()-1)
         )
         /SUM(INDEX(AB:AB, ROW()-COUNTIF($F$6:INDEX($F:$F, ROW()-1), $F231)) : INDEX(AB:AB, ROW()-1)),
          AVERAGEIFS(unit_details[Effective Rent],
          unit_details[Active Listing?],TRUE,
          unit_details[Property Name], $F232,
          unit_details[Beds], $L232,
          unit_details[Baths], $M232,
          unit_details[Partial Baths], IF(ISNUMBER($N232),$N232,""),
          unit_details[Sqft],$P232
)),"")</f>
        <v/>
      </c>
      <c r="AI232" s="6" t="str">
        <f>IFERROR(IF($F232="Total",
         SUMPRODUCT(
         INDEX(AI:AI, ROW()-COUNTIF($F$6:INDEX($F:$F, ROW()-1), $F231)) : INDEX(AI:AI, ROW()-1),
         INDEX(AB:AB, ROW()-COUNTIF($F$6:INDEX($F:$F, ROW()-1), $F231)) : INDEX(AB:AB, ROW()-1)
         )
         /SUM(INDEX(AB:AB, ROW()-COUNTIF($F$6:INDEX($F:$F, ROW()-1), $F231)) : INDEX(AB:AB, ROW()-1)),
           AVERAGEIFS(unit_details[Effective PSF],
          unit_details[Active Listing?],TRUE,
          unit_details[Property Name], $F232,
          unit_details[Beds], $L232,
          unit_details[Baths], $M232,
          unit_details[Partial Baths], IF(ISNUMBER($N232),$N232,""),
          unit_details[Sqft],$P232
)),"")</f>
        <v/>
      </c>
      <c r="AJ232" s="824" t="str">
        <f t="shared" si="37"/>
        <v/>
      </c>
      <c r="AK232" s="531" t="str">
        <f t="shared" si="38"/>
        <v/>
      </c>
      <c r="AL232" s="714" t="str">
        <f t="shared" si="39"/>
        <v/>
      </c>
      <c r="AM232" s="531" t="str">
        <f t="shared" si="40"/>
        <v/>
      </c>
      <c r="AN232" s="716" t="str">
        <f t="shared" si="41"/>
        <v/>
      </c>
    </row>
    <row r="233" spans="6:40" x14ac:dyDescent="0.2">
      <c r="F233" s="1" t="str">
        <f t="shared" si="34"/>
        <v/>
      </c>
      <c r="G233" s="713" t="str">
        <f t="shared" si="42"/>
        <v/>
      </c>
      <c r="H233" s="17" t="str">
        <f>IFERROR(VLOOKUP($G233,Table1[[Property]:[Exposure %]],4,0),"")</f>
        <v/>
      </c>
      <c r="I233" s="3" t="str">
        <f>IFERROR(VLOOKUP($G233,Table1[[Property]:[Exposure %]],6,0),"")</f>
        <v/>
      </c>
      <c r="J233" s="3" t="str">
        <f>IFERROR(VLOOKUP($G233,Table1[[Property]:[Exposure %]],7,0),"")</f>
        <v/>
      </c>
      <c r="K233"/>
      <c r="L233"/>
      <c r="M233"/>
      <c r="N233"/>
      <c r="O233"/>
      <c r="P233"/>
      <c r="Q233"/>
      <c r="R233" s="4" t="str">
        <f>IFERROR(VLOOKUP(IF(F233="Total",F232,F233),Table1[[Property]:['# Units]],7,0)*S233,"")</f>
        <v/>
      </c>
      <c r="S233" s="27" t="str">
        <f t="shared" si="35"/>
        <v/>
      </c>
      <c r="T233" s="531" t="str">
        <f>IFERROR(
 IF($F233="Total",
   SUMPRODUCT(
   INDEX(T:T, ROW()-COUNTIF($F$6:INDEX($F:$F, ROW()-1), $F232)) : INDEX(T:T, ROW()-1),
   INDEX(W:W, ROW()-COUNTIF($F$6:INDEX($F:$F, ROW()-1), $F232)) : INDEX(W:W, ROW()-1)
   )
   /SUM(INDEX(W:W, ROW()-COUNTIF($F$6:INDEX($F:$F, ROW()-1), $F232)) : INDEX(W:W, ROW()-1)),
   AVERAGEIFS(
     INDEX((unit_details[Asking Rent],unit_details[Asking PSF]),0,1,IF($U$3="Chunk Rent",1,2)),
     unit_details[Leased Date],"&gt;="&amp;($AM$2-T$5),
     unit_details[Leased Date],"&lt;"&amp;$AM$2,
     unit_details[Beds],$L233,
     unit_details[Baths],$M233,
     unit_details[Partial Baths],IF(ISNUMBER($N233),$N233,""),
     unit_details[Sqft],$P233,
     unit_details[Property Name],$F233)
 ),"")</f>
        <v/>
      </c>
      <c r="U233" s="552" t="str">
        <f>IFERROR(
 IF($F233="Total",
   SUMPRODUCT(
   INDEX(U:U, ROW()-COUNTIF($F$6:INDEX($F:$F, ROW()-1), $F232)) : INDEX(U:U, ROW()-1),
   INDEX(W:W, ROW()-COUNTIF($F$6:INDEX($F:$F, ROW()-1), $F232)) : INDEX(W:W, ROW()-1)
   )
   /SUM(INDEX(W:W, ROW()-COUNTIF($F$6:INDEX($F:$F, ROW()-1), $F232)) : INDEX(W:W, ROW()-1)),
   AVERAGEIFS(
     INDEX((unit_details[Effective Rent],unit_details[Effective PSF]),0,1,IF($U$3="Chunk Rent",1,2)),
     unit_details[Leased Date],"&gt;="&amp;($AM$2-T$5),
     unit_details[Leased Date],"&lt;"&amp;$AM$2,
     unit_details[Beds],$L233,
     unit_details[Baths],$M233,
     unit_details[Partial Baths],IF(ISNUMBER($N233),$N233,""),
     unit_details[Sqft],$P233,
     unit_details[Property Name],$F233)
 ),"")</f>
        <v/>
      </c>
      <c r="V233" s="27" t="str">
        <f t="shared" si="43"/>
        <v/>
      </c>
      <c r="W233" s="526">
        <f>IFERROR(
  IF($F233="Total",
    SUM(INDEX(W:W, ROW()-COUNTIF($F$6:INDEX($F:$F, ROW()-1), $F232)) : INDEX(W:W, ROW()-1)),
    COUNTIFS(
      unit_details[Leased Date], "&gt;="&amp;($AM$2-T$5),
      unit_details[Leased Date], "&lt;"&amp;$AM$2,
      unit_details[Beds], $L233,
      unit_details[Baths], $M233,
      unit_details[Partial Baths], IF(ISNUMBER($N233), $N233, ""),
      unit_details[Sqft],$P233,
      unit_details[Property Name], $F233
    )
  ),
"")</f>
        <v>0</v>
      </c>
      <c r="X233" s="531" t="str">
        <f>IFERROR(
 IF($F233="Total",
   SUMPRODUCT(
   INDEX(X:X, ROW()-COUNTIF($F$6:INDEX($F:$F, ROW()-1), $F232)) : INDEX(X:X, ROW()-1),
   INDEX(AA:AA, ROW()-COUNTIF($F$6:INDEX($F:$F, ROW()-1), $F232)) : INDEX(AA:AA, ROW()-1)
   )
   /SUM(INDEX(AA:AA, ROW()-COUNTIF($F$6:INDEX($F:$F, ROW()-1), $F232)) : INDEX(AA:AA, ROW()-1)),
   AVERAGEIFS(
     INDEX((unit_details[Asking Rent],unit_details[Asking PSF]),0,1,IF($U$3="Chunk Rent",1,2)),
     unit_details[Leased Date],"&gt;="&amp;($AM$2-X$5),
     unit_details[Leased Date],"&lt;"&amp;$AM$2,
     unit_details[Beds],$L233,
     unit_details[Baths],$M233,
     unit_details[Partial Baths],IF(ISNUMBER($N233),$N233,""),
     unit_details[Sqft],$P233,
     unit_details[Property Name],$F233)
 ),"")</f>
        <v/>
      </c>
      <c r="Y233" s="552" t="str">
        <f>IFERROR(
 IF($F233="Total",
   SUMPRODUCT(
   INDEX(Y:Y, ROW()-COUNTIF($F$6:INDEX($F:$F, ROW()-1), $F232)) : INDEX(Y:Y, ROW()-1),
   INDEX(AA:AA, ROW()-COUNTIF($F$6:INDEX($F:$F, ROW()-1), $F232)) : INDEX(AA:AA, ROW()-1)
   )
   /SUM(INDEX(AA:AA, ROW()-COUNTIF($F$6:INDEX($F:$F, ROW()-1), $F232)) : INDEX(AA:AA, ROW()-1)),
   AVERAGEIFS(
     INDEX((unit_details[Effective Rent],unit_details[Effective PSF]),0,1,IF($U$3="Chunk Rent",1,2)),
     unit_details[Leased Date],"&gt;="&amp;($AM$2-X$5),
     unit_details[Leased Date],"&lt;"&amp;$AM$2,
     unit_details[Beds],$L233,
     unit_details[Baths],$M233,
     unit_details[Partial Baths],IF(ISNUMBER($N233),$N233,""),
     unit_details[Sqft],$P233,
     unit_details[Property Name],$F233)
 ),"")</f>
        <v/>
      </c>
      <c r="Z233" s="27" t="str">
        <f t="shared" si="44"/>
        <v/>
      </c>
      <c r="AA233" s="526">
        <f>IFERROR(
  IF($F233="Total",
    SUM(INDEX(AA:AA, ROW()-COUNTIF($F$6:INDEX($F:$F, ROW()-1), $F232)) : INDEX(AA:AA, ROW()-1)),
    COUNTIFS(
      unit_details[Leased Date], "&gt;="&amp;($AM$2-X$5),
      unit_details[Leased Date], "&lt;"&amp;$AM$2,
      unit_details[Beds], $L233,
      unit_details[Baths], $M233,
      unit_details[Partial Baths], IF(ISNUMBER($N233), $N233, ""),
      unit_details[Sqft],$P233,
      unit_details[Property Name], $F233
    )
  ),
"")</f>
        <v>0</v>
      </c>
      <c r="AB233" s="290">
        <f>IF($F233="Total",
SUM(INDEX(AB:AB, ROW()-COUNTIF($F$6:INDEX($F:$F, ROW()-1), $F232)) : INDEX(AB:AB, ROW()-1)),
COUNTIFS(unit_details[Active Listing?],TRUE,
          unit_details[Property Name], $F233,
          unit_details[Beds], $L233,
          unit_details[Baths], $M233,
          unit_details[Partial Baths],IF(ISNUMBER($N233),$N233,""),
          unit_details[Sqft],$P233))</f>
        <v>0</v>
      </c>
      <c r="AC233" s="27" t="str">
        <f t="shared" si="36"/>
        <v/>
      </c>
      <c r="AD233" s="293" t="str">
        <f>IFERROR(IF(AE233="","",IF($F233="Total",
SUMPRODUCT(
   INDEX(AD:AD, ROW()-COUNTIF($F$6:INDEX($F:$F, ROW()-1), $F232)) : INDEX(AD:AD, ROW()-1),
   INDEX(AB:AB, ROW()-COUNTIF($F$6:INDEX($F:$F, ROW()-1), $F232)) : INDEX(AB:AB, ROW()-1)
   )
   /SUM(INDEX(AB:AB, ROW()-COUNTIF($F$6:INDEX($F:$F, ROW()-1), $F232)) : INDEX(AB:AB, ROW()-1)),
          _xlfn.MINIFS(unit_details[Asking Rent],
          unit_details[Active Listing?],TRUE,
          unit_details[Property Name], $F233,
          unit_details[Beds], $L233,
          unit_details[Baths], $M233,
          unit_details[Partial Baths], IF(ISNUMBER($N233),$N233,""),
          unit_details[Sqft],$P233
))),"")</f>
        <v/>
      </c>
      <c r="AE233" s="5" t="str">
        <f>IFERROR(IF($F233="Total",
          SUMPRODUCT(
   INDEX(AE:AE, ROW()-COUNTIF($F$6:INDEX($F:$F, ROW()-1), $F232)) : INDEX(AE:AE, ROW()-1),
   INDEX(AB:AB, ROW()-COUNTIF($F$6:INDEX($F:$F, ROW()-1), $F232)) : INDEX(AB:AB, ROW()-1)
   )
   /SUM(INDEX(AB:AB, ROW()-COUNTIF($F$6:INDEX($F:$F, ROW()-1), $F232)) : INDEX(AB:AB, ROW()-1)),
          AVERAGEIFS(unit_details[Asking Rent],
          unit_details[Active Listing?],TRUE,
          unit_details[Property Name], $F233,
          unit_details[Beds], $L233,
          unit_details[Baths], $M233,
          unit_details[Partial Baths], IF(ISNUMBER($N233),$N233,""),
          unit_details[Sqft],$P233
)),"")</f>
        <v/>
      </c>
      <c r="AF233" s="5" t="str">
        <f>IFERROR(IF(AE233="","",IF($F233="Total",
SUMPRODUCT(
   INDEX(AF:AF, ROW()-COUNTIF($F$6:INDEX($F:$F, ROW()-1), $F232)) : INDEX(AF:AF, ROW()-1),
   INDEX(AB:AB, ROW()-COUNTIF($F$6:INDEX($F:$F, ROW()-1), $F232)) : INDEX(AB:AB, ROW()-1)
   )
   /SUM(INDEX(AB:AB, ROW()-COUNTIF($F$6:INDEX($F:$F, ROW()-1), $F232)) : INDEX(AB:AB, ROW()-1)),
           _xlfn.MAXIFS(unit_details[Asking Rent],
          unit_details[Active Listing?],TRUE,
          unit_details[Property Name], $F233,
          unit_details[Beds], $L233,
          unit_details[Baths], $M233,
          unit_details[Partial Baths], IF(ISNUMBER($N233),$N233,""),
          unit_details[Sqft],$P233
))),"")</f>
        <v/>
      </c>
      <c r="AG233" s="6" t="str">
        <f>IFERROR(IF($F233="Total",
         SUMPRODUCT(
         INDEX(AG:AG, ROW()-COUNTIF($F$6:INDEX($F:$F, ROW()-1), $F232)) : INDEX(AG:AG, ROW()-1),
         INDEX(AB:AB, ROW()-COUNTIF($F$6:INDEX($F:$F, ROW()-1), $F232)) : INDEX(AB:AB, ROW()-1)
         )
         /SUM(INDEX(AB:AB, ROW()-COUNTIF($F$6:INDEX($F:$F, ROW()-1), $F232)) : INDEX(AB:AB, ROW()-1)),
          AVERAGEIFS(unit_details[Asking PSF],
          unit_details[Active Listing?],TRUE,
          unit_details[Property Name], $F233,
          unit_details[Beds], $L233,
          unit_details[Baths], $M233,
          unit_details[Partial Baths], IF(ISNUMBER($N233),$N233,""),
          unit_details[Sqft],$P233
)),"")</f>
        <v/>
      </c>
      <c r="AH233" s="293" t="str">
        <f>IFERROR(IF($F233="Total",
         SUMPRODUCT(
         INDEX(AH:AH, ROW()-COUNTIF($F$6:INDEX($F:$F, ROW()-1), $F232)) : INDEX(AH:AH, ROW()-1),
         INDEX(AB:AB, ROW()-COUNTIF($F$6:INDEX($F:$F, ROW()-1), $F232)) : INDEX(AB:AB, ROW()-1)
         )
         /SUM(INDEX(AB:AB, ROW()-COUNTIF($F$6:INDEX($F:$F, ROW()-1), $F232)) : INDEX(AB:AB, ROW()-1)),
          AVERAGEIFS(unit_details[Effective Rent],
          unit_details[Active Listing?],TRUE,
          unit_details[Property Name], $F233,
          unit_details[Beds], $L233,
          unit_details[Baths], $M233,
          unit_details[Partial Baths], IF(ISNUMBER($N233),$N233,""),
          unit_details[Sqft],$P233
)),"")</f>
        <v/>
      </c>
      <c r="AI233" s="6" t="str">
        <f>IFERROR(IF($F233="Total",
         SUMPRODUCT(
         INDEX(AI:AI, ROW()-COUNTIF($F$6:INDEX($F:$F, ROW()-1), $F232)) : INDEX(AI:AI, ROW()-1),
         INDEX(AB:AB, ROW()-COUNTIF($F$6:INDEX($F:$F, ROW()-1), $F232)) : INDEX(AB:AB, ROW()-1)
         )
         /SUM(INDEX(AB:AB, ROW()-COUNTIF($F$6:INDEX($F:$F, ROW()-1), $F232)) : INDEX(AB:AB, ROW()-1)),
           AVERAGEIFS(unit_details[Effective PSF],
          unit_details[Active Listing?],TRUE,
          unit_details[Property Name], $F233,
          unit_details[Beds], $L233,
          unit_details[Baths], $M233,
          unit_details[Partial Baths], IF(ISNUMBER($N233),$N233,""),
          unit_details[Sqft],$P233
)),"")</f>
        <v/>
      </c>
      <c r="AJ233" s="824" t="str">
        <f t="shared" si="37"/>
        <v/>
      </c>
      <c r="AK233" s="531" t="str">
        <f t="shared" si="38"/>
        <v/>
      </c>
      <c r="AL233" s="714" t="str">
        <f t="shared" si="39"/>
        <v/>
      </c>
      <c r="AM233" s="531" t="str">
        <f t="shared" si="40"/>
        <v/>
      </c>
      <c r="AN233" s="716" t="str">
        <f t="shared" si="41"/>
        <v/>
      </c>
    </row>
    <row r="234" spans="6:40" x14ac:dyDescent="0.2">
      <c r="F234" s="1" t="str">
        <f t="shared" si="34"/>
        <v/>
      </c>
      <c r="G234" s="713" t="str">
        <f t="shared" si="42"/>
        <v/>
      </c>
      <c r="H234" s="17" t="str">
        <f>IFERROR(VLOOKUP($G234,Table1[[Property]:[Exposure %]],4,0),"")</f>
        <v/>
      </c>
      <c r="I234" s="3" t="str">
        <f>IFERROR(VLOOKUP($G234,Table1[[Property]:[Exposure %]],6,0),"")</f>
        <v/>
      </c>
      <c r="J234" s="3" t="str">
        <f>IFERROR(VLOOKUP($G234,Table1[[Property]:[Exposure %]],7,0),"")</f>
        <v/>
      </c>
      <c r="K234"/>
      <c r="L234"/>
      <c r="M234"/>
      <c r="N234"/>
      <c r="O234"/>
      <c r="P234"/>
      <c r="Q234"/>
      <c r="R234" s="4" t="str">
        <f>IFERROR(VLOOKUP(IF(F234="Total",F233,F234),Table1[[Property]:['# Units]],7,0)*S234,"")</f>
        <v/>
      </c>
      <c r="S234" s="27" t="str">
        <f t="shared" si="35"/>
        <v/>
      </c>
      <c r="T234" s="531" t="str">
        <f>IFERROR(
 IF($F234="Total",
   SUMPRODUCT(
   INDEX(T:T, ROW()-COUNTIF($F$6:INDEX($F:$F, ROW()-1), $F233)) : INDEX(T:T, ROW()-1),
   INDEX(W:W, ROW()-COUNTIF($F$6:INDEX($F:$F, ROW()-1), $F233)) : INDEX(W:W, ROW()-1)
   )
   /SUM(INDEX(W:W, ROW()-COUNTIF($F$6:INDEX($F:$F, ROW()-1), $F233)) : INDEX(W:W, ROW()-1)),
   AVERAGEIFS(
     INDEX((unit_details[Asking Rent],unit_details[Asking PSF]),0,1,IF($U$3="Chunk Rent",1,2)),
     unit_details[Leased Date],"&gt;="&amp;($AM$2-T$5),
     unit_details[Leased Date],"&lt;"&amp;$AM$2,
     unit_details[Beds],$L234,
     unit_details[Baths],$M234,
     unit_details[Partial Baths],IF(ISNUMBER($N234),$N234,""),
     unit_details[Sqft],$P234,
     unit_details[Property Name],$F234)
 ),"")</f>
        <v/>
      </c>
      <c r="U234" s="552" t="str">
        <f>IFERROR(
 IF($F234="Total",
   SUMPRODUCT(
   INDEX(U:U, ROW()-COUNTIF($F$6:INDEX($F:$F, ROW()-1), $F233)) : INDEX(U:U, ROW()-1),
   INDEX(W:W, ROW()-COUNTIF($F$6:INDEX($F:$F, ROW()-1), $F233)) : INDEX(W:W, ROW()-1)
   )
   /SUM(INDEX(W:W, ROW()-COUNTIF($F$6:INDEX($F:$F, ROW()-1), $F233)) : INDEX(W:W, ROW()-1)),
   AVERAGEIFS(
     INDEX((unit_details[Effective Rent],unit_details[Effective PSF]),0,1,IF($U$3="Chunk Rent",1,2)),
     unit_details[Leased Date],"&gt;="&amp;($AM$2-T$5),
     unit_details[Leased Date],"&lt;"&amp;$AM$2,
     unit_details[Beds],$L234,
     unit_details[Baths],$M234,
     unit_details[Partial Baths],IF(ISNUMBER($N234),$N234,""),
     unit_details[Sqft],$P234,
     unit_details[Property Name],$F234)
 ),"")</f>
        <v/>
      </c>
      <c r="V234" s="27" t="str">
        <f t="shared" si="43"/>
        <v/>
      </c>
      <c r="W234" s="526">
        <f>IFERROR(
  IF($F234="Total",
    SUM(INDEX(W:W, ROW()-COUNTIF($F$6:INDEX($F:$F, ROW()-1), $F233)) : INDEX(W:W, ROW()-1)),
    COUNTIFS(
      unit_details[Leased Date], "&gt;="&amp;($AM$2-T$5),
      unit_details[Leased Date], "&lt;"&amp;$AM$2,
      unit_details[Beds], $L234,
      unit_details[Baths], $M234,
      unit_details[Partial Baths], IF(ISNUMBER($N234), $N234, ""),
      unit_details[Sqft],$P234,
      unit_details[Property Name], $F234
    )
  ),
"")</f>
        <v>0</v>
      </c>
      <c r="X234" s="531" t="str">
        <f>IFERROR(
 IF($F234="Total",
   SUMPRODUCT(
   INDEX(X:X, ROW()-COUNTIF($F$6:INDEX($F:$F, ROW()-1), $F233)) : INDEX(X:X, ROW()-1),
   INDEX(AA:AA, ROW()-COUNTIF($F$6:INDEX($F:$F, ROW()-1), $F233)) : INDEX(AA:AA, ROW()-1)
   )
   /SUM(INDEX(AA:AA, ROW()-COUNTIF($F$6:INDEX($F:$F, ROW()-1), $F233)) : INDEX(AA:AA, ROW()-1)),
   AVERAGEIFS(
     INDEX((unit_details[Asking Rent],unit_details[Asking PSF]),0,1,IF($U$3="Chunk Rent",1,2)),
     unit_details[Leased Date],"&gt;="&amp;($AM$2-X$5),
     unit_details[Leased Date],"&lt;"&amp;$AM$2,
     unit_details[Beds],$L234,
     unit_details[Baths],$M234,
     unit_details[Partial Baths],IF(ISNUMBER($N234),$N234,""),
     unit_details[Sqft],$P234,
     unit_details[Property Name],$F234)
 ),"")</f>
        <v/>
      </c>
      <c r="Y234" s="552" t="str">
        <f>IFERROR(
 IF($F234="Total",
   SUMPRODUCT(
   INDEX(Y:Y, ROW()-COUNTIF($F$6:INDEX($F:$F, ROW()-1), $F233)) : INDEX(Y:Y, ROW()-1),
   INDEX(AA:AA, ROW()-COUNTIF($F$6:INDEX($F:$F, ROW()-1), $F233)) : INDEX(AA:AA, ROW()-1)
   )
   /SUM(INDEX(AA:AA, ROW()-COUNTIF($F$6:INDEX($F:$F, ROW()-1), $F233)) : INDEX(AA:AA, ROW()-1)),
   AVERAGEIFS(
     INDEX((unit_details[Effective Rent],unit_details[Effective PSF]),0,1,IF($U$3="Chunk Rent",1,2)),
     unit_details[Leased Date],"&gt;="&amp;($AM$2-X$5),
     unit_details[Leased Date],"&lt;"&amp;$AM$2,
     unit_details[Beds],$L234,
     unit_details[Baths],$M234,
     unit_details[Partial Baths],IF(ISNUMBER($N234),$N234,""),
     unit_details[Sqft],$P234,
     unit_details[Property Name],$F234)
 ),"")</f>
        <v/>
      </c>
      <c r="Z234" s="27" t="str">
        <f t="shared" si="44"/>
        <v/>
      </c>
      <c r="AA234" s="526">
        <f>IFERROR(
  IF($F234="Total",
    SUM(INDEX(AA:AA, ROW()-COUNTIF($F$6:INDEX($F:$F, ROW()-1), $F233)) : INDEX(AA:AA, ROW()-1)),
    COUNTIFS(
      unit_details[Leased Date], "&gt;="&amp;($AM$2-X$5),
      unit_details[Leased Date], "&lt;"&amp;$AM$2,
      unit_details[Beds], $L234,
      unit_details[Baths], $M234,
      unit_details[Partial Baths], IF(ISNUMBER($N234), $N234, ""),
      unit_details[Sqft],$P234,
      unit_details[Property Name], $F234
    )
  ),
"")</f>
        <v>0</v>
      </c>
      <c r="AB234" s="290">
        <f>IF($F234="Total",
SUM(INDEX(AB:AB, ROW()-COUNTIF($F$6:INDEX($F:$F, ROW()-1), $F233)) : INDEX(AB:AB, ROW()-1)),
COUNTIFS(unit_details[Active Listing?],TRUE,
          unit_details[Property Name], $F234,
          unit_details[Beds], $L234,
          unit_details[Baths], $M234,
          unit_details[Partial Baths],IF(ISNUMBER($N234),$N234,""),
          unit_details[Sqft],$P234))</f>
        <v>0</v>
      </c>
      <c r="AC234" s="27" t="str">
        <f t="shared" si="36"/>
        <v/>
      </c>
      <c r="AD234" s="293" t="str">
        <f>IFERROR(IF(AE234="","",IF($F234="Total",
SUMPRODUCT(
   INDEX(AD:AD, ROW()-COUNTIF($F$6:INDEX($F:$F, ROW()-1), $F233)) : INDEX(AD:AD, ROW()-1),
   INDEX(AB:AB, ROW()-COUNTIF($F$6:INDEX($F:$F, ROW()-1), $F233)) : INDEX(AB:AB, ROW()-1)
   )
   /SUM(INDEX(AB:AB, ROW()-COUNTIF($F$6:INDEX($F:$F, ROW()-1), $F233)) : INDEX(AB:AB, ROW()-1)),
          _xlfn.MINIFS(unit_details[Asking Rent],
          unit_details[Active Listing?],TRUE,
          unit_details[Property Name], $F234,
          unit_details[Beds], $L234,
          unit_details[Baths], $M234,
          unit_details[Partial Baths], IF(ISNUMBER($N234),$N234,""),
          unit_details[Sqft],$P234
))),"")</f>
        <v/>
      </c>
      <c r="AE234" s="5" t="str">
        <f>IFERROR(IF($F234="Total",
          SUMPRODUCT(
   INDEX(AE:AE, ROW()-COUNTIF($F$6:INDEX($F:$F, ROW()-1), $F233)) : INDEX(AE:AE, ROW()-1),
   INDEX(AB:AB, ROW()-COUNTIF($F$6:INDEX($F:$F, ROW()-1), $F233)) : INDEX(AB:AB, ROW()-1)
   )
   /SUM(INDEX(AB:AB, ROW()-COUNTIF($F$6:INDEX($F:$F, ROW()-1), $F233)) : INDEX(AB:AB, ROW()-1)),
          AVERAGEIFS(unit_details[Asking Rent],
          unit_details[Active Listing?],TRUE,
          unit_details[Property Name], $F234,
          unit_details[Beds], $L234,
          unit_details[Baths], $M234,
          unit_details[Partial Baths], IF(ISNUMBER($N234),$N234,""),
          unit_details[Sqft],$P234
)),"")</f>
        <v/>
      </c>
      <c r="AF234" s="5" t="str">
        <f>IFERROR(IF(AE234="","",IF($F234="Total",
SUMPRODUCT(
   INDEX(AF:AF, ROW()-COUNTIF($F$6:INDEX($F:$F, ROW()-1), $F233)) : INDEX(AF:AF, ROW()-1),
   INDEX(AB:AB, ROW()-COUNTIF($F$6:INDEX($F:$F, ROW()-1), $F233)) : INDEX(AB:AB, ROW()-1)
   )
   /SUM(INDEX(AB:AB, ROW()-COUNTIF($F$6:INDEX($F:$F, ROW()-1), $F233)) : INDEX(AB:AB, ROW()-1)),
           _xlfn.MAXIFS(unit_details[Asking Rent],
          unit_details[Active Listing?],TRUE,
          unit_details[Property Name], $F234,
          unit_details[Beds], $L234,
          unit_details[Baths], $M234,
          unit_details[Partial Baths], IF(ISNUMBER($N234),$N234,""),
          unit_details[Sqft],$P234
))),"")</f>
        <v/>
      </c>
      <c r="AG234" s="6" t="str">
        <f>IFERROR(IF($F234="Total",
         SUMPRODUCT(
         INDEX(AG:AG, ROW()-COUNTIF($F$6:INDEX($F:$F, ROW()-1), $F233)) : INDEX(AG:AG, ROW()-1),
         INDEX(AB:AB, ROW()-COUNTIF($F$6:INDEX($F:$F, ROW()-1), $F233)) : INDEX(AB:AB, ROW()-1)
         )
         /SUM(INDEX(AB:AB, ROW()-COUNTIF($F$6:INDEX($F:$F, ROW()-1), $F233)) : INDEX(AB:AB, ROW()-1)),
          AVERAGEIFS(unit_details[Asking PSF],
          unit_details[Active Listing?],TRUE,
          unit_details[Property Name], $F234,
          unit_details[Beds], $L234,
          unit_details[Baths], $M234,
          unit_details[Partial Baths], IF(ISNUMBER($N234),$N234,""),
          unit_details[Sqft],$P234
)),"")</f>
        <v/>
      </c>
      <c r="AH234" s="293" t="str">
        <f>IFERROR(IF($F234="Total",
         SUMPRODUCT(
         INDEX(AH:AH, ROW()-COUNTIF($F$6:INDEX($F:$F, ROW()-1), $F233)) : INDEX(AH:AH, ROW()-1),
         INDEX(AB:AB, ROW()-COUNTIF($F$6:INDEX($F:$F, ROW()-1), $F233)) : INDEX(AB:AB, ROW()-1)
         )
         /SUM(INDEX(AB:AB, ROW()-COUNTIF($F$6:INDEX($F:$F, ROW()-1), $F233)) : INDEX(AB:AB, ROW()-1)),
          AVERAGEIFS(unit_details[Effective Rent],
          unit_details[Active Listing?],TRUE,
          unit_details[Property Name], $F234,
          unit_details[Beds], $L234,
          unit_details[Baths], $M234,
          unit_details[Partial Baths], IF(ISNUMBER($N234),$N234,""),
          unit_details[Sqft],$P234
)),"")</f>
        <v/>
      </c>
      <c r="AI234" s="6" t="str">
        <f>IFERROR(IF($F234="Total",
         SUMPRODUCT(
         INDEX(AI:AI, ROW()-COUNTIF($F$6:INDEX($F:$F, ROW()-1), $F233)) : INDEX(AI:AI, ROW()-1),
         INDEX(AB:AB, ROW()-COUNTIF($F$6:INDEX($F:$F, ROW()-1), $F233)) : INDEX(AB:AB, ROW()-1)
         )
         /SUM(INDEX(AB:AB, ROW()-COUNTIF($F$6:INDEX($F:$F, ROW()-1), $F233)) : INDEX(AB:AB, ROW()-1)),
           AVERAGEIFS(unit_details[Effective PSF],
          unit_details[Active Listing?],TRUE,
          unit_details[Property Name], $F234,
          unit_details[Beds], $L234,
          unit_details[Baths], $M234,
          unit_details[Partial Baths], IF(ISNUMBER($N234),$N234,""),
          unit_details[Sqft],$P234
)),"")</f>
        <v/>
      </c>
      <c r="AJ234" s="824" t="str">
        <f t="shared" si="37"/>
        <v/>
      </c>
      <c r="AK234" s="531" t="str">
        <f t="shared" si="38"/>
        <v/>
      </c>
      <c r="AL234" s="714" t="str">
        <f t="shared" si="39"/>
        <v/>
      </c>
      <c r="AM234" s="531" t="str">
        <f t="shared" si="40"/>
        <v/>
      </c>
      <c r="AN234" s="716" t="str">
        <f t="shared" si="41"/>
        <v/>
      </c>
    </row>
    <row r="235" spans="6:40" x14ac:dyDescent="0.2">
      <c r="F235" s="1" t="str">
        <f t="shared" si="34"/>
        <v/>
      </c>
      <c r="G235" s="713" t="str">
        <f t="shared" si="42"/>
        <v/>
      </c>
      <c r="H235" s="17" t="str">
        <f>IFERROR(VLOOKUP($G235,Table1[[Property]:[Exposure %]],4,0),"")</f>
        <v/>
      </c>
      <c r="I235" s="3" t="str">
        <f>IFERROR(VLOOKUP($G235,Table1[[Property]:[Exposure %]],6,0),"")</f>
        <v/>
      </c>
      <c r="J235" s="3" t="str">
        <f>IFERROR(VLOOKUP($G235,Table1[[Property]:[Exposure %]],7,0),"")</f>
        <v/>
      </c>
      <c r="K235"/>
      <c r="L235"/>
      <c r="M235"/>
      <c r="N235"/>
      <c r="O235"/>
      <c r="P235"/>
      <c r="Q235"/>
      <c r="R235" s="4" t="str">
        <f>IFERROR(VLOOKUP(IF(F235="Total",F234,F235),Table1[[Property]:['# Units]],7,0)*S235,"")</f>
        <v/>
      </c>
      <c r="S235" s="27" t="str">
        <f t="shared" si="35"/>
        <v/>
      </c>
      <c r="T235" s="531" t="str">
        <f>IFERROR(
 IF($F235="Total",
   SUMPRODUCT(
   INDEX(T:T, ROW()-COUNTIF($F$6:INDEX($F:$F, ROW()-1), $F234)) : INDEX(T:T, ROW()-1),
   INDEX(W:W, ROW()-COUNTIF($F$6:INDEX($F:$F, ROW()-1), $F234)) : INDEX(W:W, ROW()-1)
   )
   /SUM(INDEX(W:W, ROW()-COUNTIF($F$6:INDEX($F:$F, ROW()-1), $F234)) : INDEX(W:W, ROW()-1)),
   AVERAGEIFS(
     INDEX((unit_details[Asking Rent],unit_details[Asking PSF]),0,1,IF($U$3="Chunk Rent",1,2)),
     unit_details[Leased Date],"&gt;="&amp;($AM$2-T$5),
     unit_details[Leased Date],"&lt;"&amp;$AM$2,
     unit_details[Beds],$L235,
     unit_details[Baths],$M235,
     unit_details[Partial Baths],IF(ISNUMBER($N235),$N235,""),
     unit_details[Sqft],$P235,
     unit_details[Property Name],$F235)
 ),"")</f>
        <v/>
      </c>
      <c r="U235" s="552" t="str">
        <f>IFERROR(
 IF($F235="Total",
   SUMPRODUCT(
   INDEX(U:U, ROW()-COUNTIF($F$6:INDEX($F:$F, ROW()-1), $F234)) : INDEX(U:U, ROW()-1),
   INDEX(W:W, ROW()-COUNTIF($F$6:INDEX($F:$F, ROW()-1), $F234)) : INDEX(W:W, ROW()-1)
   )
   /SUM(INDEX(W:W, ROW()-COUNTIF($F$6:INDEX($F:$F, ROW()-1), $F234)) : INDEX(W:W, ROW()-1)),
   AVERAGEIFS(
     INDEX((unit_details[Effective Rent],unit_details[Effective PSF]),0,1,IF($U$3="Chunk Rent",1,2)),
     unit_details[Leased Date],"&gt;="&amp;($AM$2-T$5),
     unit_details[Leased Date],"&lt;"&amp;$AM$2,
     unit_details[Beds],$L235,
     unit_details[Baths],$M235,
     unit_details[Partial Baths],IF(ISNUMBER($N235),$N235,""),
     unit_details[Sqft],$P235,
     unit_details[Property Name],$F235)
 ),"")</f>
        <v/>
      </c>
      <c r="V235" s="27" t="str">
        <f t="shared" si="43"/>
        <v/>
      </c>
      <c r="W235" s="526">
        <f>IFERROR(
  IF($F235="Total",
    SUM(INDEX(W:W, ROW()-COUNTIF($F$6:INDEX($F:$F, ROW()-1), $F234)) : INDEX(W:W, ROW()-1)),
    COUNTIFS(
      unit_details[Leased Date], "&gt;="&amp;($AM$2-T$5),
      unit_details[Leased Date], "&lt;"&amp;$AM$2,
      unit_details[Beds], $L235,
      unit_details[Baths], $M235,
      unit_details[Partial Baths], IF(ISNUMBER($N235), $N235, ""),
      unit_details[Sqft],$P235,
      unit_details[Property Name], $F235
    )
  ),
"")</f>
        <v>0</v>
      </c>
      <c r="X235" s="531" t="str">
        <f>IFERROR(
 IF($F235="Total",
   SUMPRODUCT(
   INDEX(X:X, ROW()-COUNTIF($F$6:INDEX($F:$F, ROW()-1), $F234)) : INDEX(X:X, ROW()-1),
   INDEX(AA:AA, ROW()-COUNTIF($F$6:INDEX($F:$F, ROW()-1), $F234)) : INDEX(AA:AA, ROW()-1)
   )
   /SUM(INDEX(AA:AA, ROW()-COUNTIF($F$6:INDEX($F:$F, ROW()-1), $F234)) : INDEX(AA:AA, ROW()-1)),
   AVERAGEIFS(
     INDEX((unit_details[Asking Rent],unit_details[Asking PSF]),0,1,IF($U$3="Chunk Rent",1,2)),
     unit_details[Leased Date],"&gt;="&amp;($AM$2-X$5),
     unit_details[Leased Date],"&lt;"&amp;$AM$2,
     unit_details[Beds],$L235,
     unit_details[Baths],$M235,
     unit_details[Partial Baths],IF(ISNUMBER($N235),$N235,""),
     unit_details[Sqft],$P235,
     unit_details[Property Name],$F235)
 ),"")</f>
        <v/>
      </c>
      <c r="Y235" s="552" t="str">
        <f>IFERROR(
 IF($F235="Total",
   SUMPRODUCT(
   INDEX(Y:Y, ROW()-COUNTIF($F$6:INDEX($F:$F, ROW()-1), $F234)) : INDEX(Y:Y, ROW()-1),
   INDEX(AA:AA, ROW()-COUNTIF($F$6:INDEX($F:$F, ROW()-1), $F234)) : INDEX(AA:AA, ROW()-1)
   )
   /SUM(INDEX(AA:AA, ROW()-COUNTIF($F$6:INDEX($F:$F, ROW()-1), $F234)) : INDEX(AA:AA, ROW()-1)),
   AVERAGEIFS(
     INDEX((unit_details[Effective Rent],unit_details[Effective PSF]),0,1,IF($U$3="Chunk Rent",1,2)),
     unit_details[Leased Date],"&gt;="&amp;($AM$2-X$5),
     unit_details[Leased Date],"&lt;"&amp;$AM$2,
     unit_details[Beds],$L235,
     unit_details[Baths],$M235,
     unit_details[Partial Baths],IF(ISNUMBER($N235),$N235,""),
     unit_details[Sqft],$P235,
     unit_details[Property Name],$F235)
 ),"")</f>
        <v/>
      </c>
      <c r="Z235" s="27" t="str">
        <f t="shared" si="44"/>
        <v/>
      </c>
      <c r="AA235" s="526">
        <f>IFERROR(
  IF($F235="Total",
    SUM(INDEX(AA:AA, ROW()-COUNTIF($F$6:INDEX($F:$F, ROW()-1), $F234)) : INDEX(AA:AA, ROW()-1)),
    COUNTIFS(
      unit_details[Leased Date], "&gt;="&amp;($AM$2-X$5),
      unit_details[Leased Date], "&lt;"&amp;$AM$2,
      unit_details[Beds], $L235,
      unit_details[Baths], $M235,
      unit_details[Partial Baths], IF(ISNUMBER($N235), $N235, ""),
      unit_details[Sqft],$P235,
      unit_details[Property Name], $F235
    )
  ),
"")</f>
        <v>0</v>
      </c>
      <c r="AB235" s="290">
        <f>IF($F235="Total",
SUM(INDEX(AB:AB, ROW()-COUNTIF($F$6:INDEX($F:$F, ROW()-1), $F234)) : INDEX(AB:AB, ROW()-1)),
COUNTIFS(unit_details[Active Listing?],TRUE,
          unit_details[Property Name], $F235,
          unit_details[Beds], $L235,
          unit_details[Baths], $M235,
          unit_details[Partial Baths],IF(ISNUMBER($N235),$N235,""),
          unit_details[Sqft],$P235))</f>
        <v>0</v>
      </c>
      <c r="AC235" s="27" t="str">
        <f t="shared" si="36"/>
        <v/>
      </c>
      <c r="AD235" s="293" t="str">
        <f>IFERROR(IF(AE235="","",IF($F235="Total",
SUMPRODUCT(
   INDEX(AD:AD, ROW()-COUNTIF($F$6:INDEX($F:$F, ROW()-1), $F234)) : INDEX(AD:AD, ROW()-1),
   INDEX(AB:AB, ROW()-COUNTIF($F$6:INDEX($F:$F, ROW()-1), $F234)) : INDEX(AB:AB, ROW()-1)
   )
   /SUM(INDEX(AB:AB, ROW()-COUNTIF($F$6:INDEX($F:$F, ROW()-1), $F234)) : INDEX(AB:AB, ROW()-1)),
          _xlfn.MINIFS(unit_details[Asking Rent],
          unit_details[Active Listing?],TRUE,
          unit_details[Property Name], $F235,
          unit_details[Beds], $L235,
          unit_details[Baths], $M235,
          unit_details[Partial Baths], IF(ISNUMBER($N235),$N235,""),
          unit_details[Sqft],$P235
))),"")</f>
        <v/>
      </c>
      <c r="AE235" s="5" t="str">
        <f>IFERROR(IF($F235="Total",
          SUMPRODUCT(
   INDEX(AE:AE, ROW()-COUNTIF($F$6:INDEX($F:$F, ROW()-1), $F234)) : INDEX(AE:AE, ROW()-1),
   INDEX(AB:AB, ROW()-COUNTIF($F$6:INDEX($F:$F, ROW()-1), $F234)) : INDEX(AB:AB, ROW()-1)
   )
   /SUM(INDEX(AB:AB, ROW()-COUNTIF($F$6:INDEX($F:$F, ROW()-1), $F234)) : INDEX(AB:AB, ROW()-1)),
          AVERAGEIFS(unit_details[Asking Rent],
          unit_details[Active Listing?],TRUE,
          unit_details[Property Name], $F235,
          unit_details[Beds], $L235,
          unit_details[Baths], $M235,
          unit_details[Partial Baths], IF(ISNUMBER($N235),$N235,""),
          unit_details[Sqft],$P235
)),"")</f>
        <v/>
      </c>
      <c r="AF235" s="5" t="str">
        <f>IFERROR(IF(AE235="","",IF($F235="Total",
SUMPRODUCT(
   INDEX(AF:AF, ROW()-COUNTIF($F$6:INDEX($F:$F, ROW()-1), $F234)) : INDEX(AF:AF, ROW()-1),
   INDEX(AB:AB, ROW()-COUNTIF($F$6:INDEX($F:$F, ROW()-1), $F234)) : INDEX(AB:AB, ROW()-1)
   )
   /SUM(INDEX(AB:AB, ROW()-COUNTIF($F$6:INDEX($F:$F, ROW()-1), $F234)) : INDEX(AB:AB, ROW()-1)),
           _xlfn.MAXIFS(unit_details[Asking Rent],
          unit_details[Active Listing?],TRUE,
          unit_details[Property Name], $F235,
          unit_details[Beds], $L235,
          unit_details[Baths], $M235,
          unit_details[Partial Baths], IF(ISNUMBER($N235),$N235,""),
          unit_details[Sqft],$P235
))),"")</f>
        <v/>
      </c>
      <c r="AG235" s="6" t="str">
        <f>IFERROR(IF($F235="Total",
         SUMPRODUCT(
         INDEX(AG:AG, ROW()-COUNTIF($F$6:INDEX($F:$F, ROW()-1), $F234)) : INDEX(AG:AG, ROW()-1),
         INDEX(AB:AB, ROW()-COUNTIF($F$6:INDEX($F:$F, ROW()-1), $F234)) : INDEX(AB:AB, ROW()-1)
         )
         /SUM(INDEX(AB:AB, ROW()-COUNTIF($F$6:INDEX($F:$F, ROW()-1), $F234)) : INDEX(AB:AB, ROW()-1)),
          AVERAGEIFS(unit_details[Asking PSF],
          unit_details[Active Listing?],TRUE,
          unit_details[Property Name], $F235,
          unit_details[Beds], $L235,
          unit_details[Baths], $M235,
          unit_details[Partial Baths], IF(ISNUMBER($N235),$N235,""),
          unit_details[Sqft],$P235
)),"")</f>
        <v/>
      </c>
      <c r="AH235" s="293" t="str">
        <f>IFERROR(IF($F235="Total",
         SUMPRODUCT(
         INDEX(AH:AH, ROW()-COUNTIF($F$6:INDEX($F:$F, ROW()-1), $F234)) : INDEX(AH:AH, ROW()-1),
         INDEX(AB:AB, ROW()-COUNTIF($F$6:INDEX($F:$F, ROW()-1), $F234)) : INDEX(AB:AB, ROW()-1)
         )
         /SUM(INDEX(AB:AB, ROW()-COUNTIF($F$6:INDEX($F:$F, ROW()-1), $F234)) : INDEX(AB:AB, ROW()-1)),
          AVERAGEIFS(unit_details[Effective Rent],
          unit_details[Active Listing?],TRUE,
          unit_details[Property Name], $F235,
          unit_details[Beds], $L235,
          unit_details[Baths], $M235,
          unit_details[Partial Baths], IF(ISNUMBER($N235),$N235,""),
          unit_details[Sqft],$P235
)),"")</f>
        <v/>
      </c>
      <c r="AI235" s="6" t="str">
        <f>IFERROR(IF($F235="Total",
         SUMPRODUCT(
         INDEX(AI:AI, ROW()-COUNTIF($F$6:INDEX($F:$F, ROW()-1), $F234)) : INDEX(AI:AI, ROW()-1),
         INDEX(AB:AB, ROW()-COUNTIF($F$6:INDEX($F:$F, ROW()-1), $F234)) : INDEX(AB:AB, ROW()-1)
         )
         /SUM(INDEX(AB:AB, ROW()-COUNTIF($F$6:INDEX($F:$F, ROW()-1), $F234)) : INDEX(AB:AB, ROW()-1)),
           AVERAGEIFS(unit_details[Effective PSF],
          unit_details[Active Listing?],TRUE,
          unit_details[Property Name], $F235,
          unit_details[Beds], $L235,
          unit_details[Baths], $M235,
          unit_details[Partial Baths], IF(ISNUMBER($N235),$N235,""),
          unit_details[Sqft],$P235
)),"")</f>
        <v/>
      </c>
      <c r="AJ235" s="824" t="str">
        <f t="shared" si="37"/>
        <v/>
      </c>
      <c r="AK235" s="531" t="str">
        <f t="shared" si="38"/>
        <v/>
      </c>
      <c r="AL235" s="714" t="str">
        <f t="shared" si="39"/>
        <v/>
      </c>
      <c r="AM235" s="531" t="str">
        <f t="shared" si="40"/>
        <v/>
      </c>
      <c r="AN235" s="716" t="str">
        <f t="shared" si="41"/>
        <v/>
      </c>
    </row>
    <row r="236" spans="6:40" x14ac:dyDescent="0.2">
      <c r="F236" s="1" t="str">
        <f t="shared" si="34"/>
        <v/>
      </c>
      <c r="G236" s="713" t="str">
        <f t="shared" si="42"/>
        <v/>
      </c>
      <c r="H236" s="17" t="str">
        <f>IFERROR(VLOOKUP($G236,Table1[[Property]:[Exposure %]],4,0),"")</f>
        <v/>
      </c>
      <c r="I236" s="3" t="str">
        <f>IFERROR(VLOOKUP($G236,Table1[[Property]:[Exposure %]],6,0),"")</f>
        <v/>
      </c>
      <c r="J236" s="3" t="str">
        <f>IFERROR(VLOOKUP($G236,Table1[[Property]:[Exposure %]],7,0),"")</f>
        <v/>
      </c>
      <c r="K236"/>
      <c r="L236"/>
      <c r="M236"/>
      <c r="N236"/>
      <c r="O236"/>
      <c r="P236"/>
      <c r="Q236"/>
      <c r="R236" s="4" t="str">
        <f>IFERROR(VLOOKUP(IF(F236="Total",F235,F236),Table1[[Property]:['# Units]],7,0)*S236,"")</f>
        <v/>
      </c>
      <c r="S236" s="27" t="str">
        <f t="shared" si="35"/>
        <v/>
      </c>
      <c r="T236" s="531" t="str">
        <f>IFERROR(
 IF($F236="Total",
   SUMPRODUCT(
   INDEX(T:T, ROW()-COUNTIF($F$6:INDEX($F:$F, ROW()-1), $F235)) : INDEX(T:T, ROW()-1),
   INDEX(W:W, ROW()-COUNTIF($F$6:INDEX($F:$F, ROW()-1), $F235)) : INDEX(W:W, ROW()-1)
   )
   /SUM(INDEX(W:W, ROW()-COUNTIF($F$6:INDEX($F:$F, ROW()-1), $F235)) : INDEX(W:W, ROW()-1)),
   AVERAGEIFS(
     INDEX((unit_details[Asking Rent],unit_details[Asking PSF]),0,1,IF($U$3="Chunk Rent",1,2)),
     unit_details[Leased Date],"&gt;="&amp;($AM$2-T$5),
     unit_details[Leased Date],"&lt;"&amp;$AM$2,
     unit_details[Beds],$L236,
     unit_details[Baths],$M236,
     unit_details[Partial Baths],IF(ISNUMBER($N236),$N236,""),
     unit_details[Sqft],$P236,
     unit_details[Property Name],$F236)
 ),"")</f>
        <v/>
      </c>
      <c r="U236" s="552" t="str">
        <f>IFERROR(
 IF($F236="Total",
   SUMPRODUCT(
   INDEX(U:U, ROW()-COUNTIF($F$6:INDEX($F:$F, ROW()-1), $F235)) : INDEX(U:U, ROW()-1),
   INDEX(W:W, ROW()-COUNTIF($F$6:INDEX($F:$F, ROW()-1), $F235)) : INDEX(W:W, ROW()-1)
   )
   /SUM(INDEX(W:W, ROW()-COUNTIF($F$6:INDEX($F:$F, ROW()-1), $F235)) : INDEX(W:W, ROW()-1)),
   AVERAGEIFS(
     INDEX((unit_details[Effective Rent],unit_details[Effective PSF]),0,1,IF($U$3="Chunk Rent",1,2)),
     unit_details[Leased Date],"&gt;="&amp;($AM$2-T$5),
     unit_details[Leased Date],"&lt;"&amp;$AM$2,
     unit_details[Beds],$L236,
     unit_details[Baths],$M236,
     unit_details[Partial Baths],IF(ISNUMBER($N236),$N236,""),
     unit_details[Sqft],$P236,
     unit_details[Property Name],$F236)
 ),"")</f>
        <v/>
      </c>
      <c r="V236" s="27" t="str">
        <f t="shared" si="43"/>
        <v/>
      </c>
      <c r="W236" s="526">
        <f>IFERROR(
  IF($F236="Total",
    SUM(INDEX(W:W, ROW()-COUNTIF($F$6:INDEX($F:$F, ROW()-1), $F235)) : INDEX(W:W, ROW()-1)),
    COUNTIFS(
      unit_details[Leased Date], "&gt;="&amp;($AM$2-T$5),
      unit_details[Leased Date], "&lt;"&amp;$AM$2,
      unit_details[Beds], $L236,
      unit_details[Baths], $M236,
      unit_details[Partial Baths], IF(ISNUMBER($N236), $N236, ""),
      unit_details[Sqft],$P236,
      unit_details[Property Name], $F236
    )
  ),
"")</f>
        <v>0</v>
      </c>
      <c r="X236" s="531" t="str">
        <f>IFERROR(
 IF($F236="Total",
   SUMPRODUCT(
   INDEX(X:X, ROW()-COUNTIF($F$6:INDEX($F:$F, ROW()-1), $F235)) : INDEX(X:X, ROW()-1),
   INDEX(AA:AA, ROW()-COUNTIF($F$6:INDEX($F:$F, ROW()-1), $F235)) : INDEX(AA:AA, ROW()-1)
   )
   /SUM(INDEX(AA:AA, ROW()-COUNTIF($F$6:INDEX($F:$F, ROW()-1), $F235)) : INDEX(AA:AA, ROW()-1)),
   AVERAGEIFS(
     INDEX((unit_details[Asking Rent],unit_details[Asking PSF]),0,1,IF($U$3="Chunk Rent",1,2)),
     unit_details[Leased Date],"&gt;="&amp;($AM$2-X$5),
     unit_details[Leased Date],"&lt;"&amp;$AM$2,
     unit_details[Beds],$L236,
     unit_details[Baths],$M236,
     unit_details[Partial Baths],IF(ISNUMBER($N236),$N236,""),
     unit_details[Sqft],$P236,
     unit_details[Property Name],$F236)
 ),"")</f>
        <v/>
      </c>
      <c r="Y236" s="552" t="str">
        <f>IFERROR(
 IF($F236="Total",
   SUMPRODUCT(
   INDEX(Y:Y, ROW()-COUNTIF($F$6:INDEX($F:$F, ROW()-1), $F235)) : INDEX(Y:Y, ROW()-1),
   INDEX(AA:AA, ROW()-COUNTIF($F$6:INDEX($F:$F, ROW()-1), $F235)) : INDEX(AA:AA, ROW()-1)
   )
   /SUM(INDEX(AA:AA, ROW()-COUNTIF($F$6:INDEX($F:$F, ROW()-1), $F235)) : INDEX(AA:AA, ROW()-1)),
   AVERAGEIFS(
     INDEX((unit_details[Effective Rent],unit_details[Effective PSF]),0,1,IF($U$3="Chunk Rent",1,2)),
     unit_details[Leased Date],"&gt;="&amp;($AM$2-X$5),
     unit_details[Leased Date],"&lt;"&amp;$AM$2,
     unit_details[Beds],$L236,
     unit_details[Baths],$M236,
     unit_details[Partial Baths],IF(ISNUMBER($N236),$N236,""),
     unit_details[Sqft],$P236,
     unit_details[Property Name],$F236)
 ),"")</f>
        <v/>
      </c>
      <c r="Z236" s="27" t="str">
        <f t="shared" si="44"/>
        <v/>
      </c>
      <c r="AA236" s="526">
        <f>IFERROR(
  IF($F236="Total",
    SUM(INDEX(AA:AA, ROW()-COUNTIF($F$6:INDEX($F:$F, ROW()-1), $F235)) : INDEX(AA:AA, ROW()-1)),
    COUNTIFS(
      unit_details[Leased Date], "&gt;="&amp;($AM$2-X$5),
      unit_details[Leased Date], "&lt;"&amp;$AM$2,
      unit_details[Beds], $L236,
      unit_details[Baths], $M236,
      unit_details[Partial Baths], IF(ISNUMBER($N236), $N236, ""),
      unit_details[Sqft],$P236,
      unit_details[Property Name], $F236
    )
  ),
"")</f>
        <v>0</v>
      </c>
      <c r="AB236" s="290">
        <f>IF($F236="Total",
SUM(INDEX(AB:AB, ROW()-COUNTIF($F$6:INDEX($F:$F, ROW()-1), $F235)) : INDEX(AB:AB, ROW()-1)),
COUNTIFS(unit_details[Active Listing?],TRUE,
          unit_details[Property Name], $F236,
          unit_details[Beds], $L236,
          unit_details[Baths], $M236,
          unit_details[Partial Baths],IF(ISNUMBER($N236),$N236,""),
          unit_details[Sqft],$P236))</f>
        <v>0</v>
      </c>
      <c r="AC236" s="27" t="str">
        <f t="shared" si="36"/>
        <v/>
      </c>
      <c r="AD236" s="293" t="str">
        <f>IFERROR(IF(AE236="","",IF($F236="Total",
SUMPRODUCT(
   INDEX(AD:AD, ROW()-COUNTIF($F$6:INDEX($F:$F, ROW()-1), $F235)) : INDEX(AD:AD, ROW()-1),
   INDEX(AB:AB, ROW()-COUNTIF($F$6:INDEX($F:$F, ROW()-1), $F235)) : INDEX(AB:AB, ROW()-1)
   )
   /SUM(INDEX(AB:AB, ROW()-COUNTIF($F$6:INDEX($F:$F, ROW()-1), $F235)) : INDEX(AB:AB, ROW()-1)),
          _xlfn.MINIFS(unit_details[Asking Rent],
          unit_details[Active Listing?],TRUE,
          unit_details[Property Name], $F236,
          unit_details[Beds], $L236,
          unit_details[Baths], $M236,
          unit_details[Partial Baths], IF(ISNUMBER($N236),$N236,""),
          unit_details[Sqft],$P236
))),"")</f>
        <v/>
      </c>
      <c r="AE236" s="5" t="str">
        <f>IFERROR(IF($F236="Total",
          SUMPRODUCT(
   INDEX(AE:AE, ROW()-COUNTIF($F$6:INDEX($F:$F, ROW()-1), $F235)) : INDEX(AE:AE, ROW()-1),
   INDEX(AB:AB, ROW()-COUNTIF($F$6:INDEX($F:$F, ROW()-1), $F235)) : INDEX(AB:AB, ROW()-1)
   )
   /SUM(INDEX(AB:AB, ROW()-COUNTIF($F$6:INDEX($F:$F, ROW()-1), $F235)) : INDEX(AB:AB, ROW()-1)),
          AVERAGEIFS(unit_details[Asking Rent],
          unit_details[Active Listing?],TRUE,
          unit_details[Property Name], $F236,
          unit_details[Beds], $L236,
          unit_details[Baths], $M236,
          unit_details[Partial Baths], IF(ISNUMBER($N236),$N236,""),
          unit_details[Sqft],$P236
)),"")</f>
        <v/>
      </c>
      <c r="AF236" s="5" t="str">
        <f>IFERROR(IF(AE236="","",IF($F236="Total",
SUMPRODUCT(
   INDEX(AF:AF, ROW()-COUNTIF($F$6:INDEX($F:$F, ROW()-1), $F235)) : INDEX(AF:AF, ROW()-1),
   INDEX(AB:AB, ROW()-COUNTIF($F$6:INDEX($F:$F, ROW()-1), $F235)) : INDEX(AB:AB, ROW()-1)
   )
   /SUM(INDEX(AB:AB, ROW()-COUNTIF($F$6:INDEX($F:$F, ROW()-1), $F235)) : INDEX(AB:AB, ROW()-1)),
           _xlfn.MAXIFS(unit_details[Asking Rent],
          unit_details[Active Listing?],TRUE,
          unit_details[Property Name], $F236,
          unit_details[Beds], $L236,
          unit_details[Baths], $M236,
          unit_details[Partial Baths], IF(ISNUMBER($N236),$N236,""),
          unit_details[Sqft],$P236
))),"")</f>
        <v/>
      </c>
      <c r="AG236" s="6" t="str">
        <f>IFERROR(IF($F236="Total",
         SUMPRODUCT(
         INDEX(AG:AG, ROW()-COUNTIF($F$6:INDEX($F:$F, ROW()-1), $F235)) : INDEX(AG:AG, ROW()-1),
         INDEX(AB:AB, ROW()-COUNTIF($F$6:INDEX($F:$F, ROW()-1), $F235)) : INDEX(AB:AB, ROW()-1)
         )
         /SUM(INDEX(AB:AB, ROW()-COUNTIF($F$6:INDEX($F:$F, ROW()-1), $F235)) : INDEX(AB:AB, ROW()-1)),
          AVERAGEIFS(unit_details[Asking PSF],
          unit_details[Active Listing?],TRUE,
          unit_details[Property Name], $F236,
          unit_details[Beds], $L236,
          unit_details[Baths], $M236,
          unit_details[Partial Baths], IF(ISNUMBER($N236),$N236,""),
          unit_details[Sqft],$P236
)),"")</f>
        <v/>
      </c>
      <c r="AH236" s="293" t="str">
        <f>IFERROR(IF($F236="Total",
         SUMPRODUCT(
         INDEX(AH:AH, ROW()-COUNTIF($F$6:INDEX($F:$F, ROW()-1), $F235)) : INDEX(AH:AH, ROW()-1),
         INDEX(AB:AB, ROW()-COUNTIF($F$6:INDEX($F:$F, ROW()-1), $F235)) : INDEX(AB:AB, ROW()-1)
         )
         /SUM(INDEX(AB:AB, ROW()-COUNTIF($F$6:INDEX($F:$F, ROW()-1), $F235)) : INDEX(AB:AB, ROW()-1)),
          AVERAGEIFS(unit_details[Effective Rent],
          unit_details[Active Listing?],TRUE,
          unit_details[Property Name], $F236,
          unit_details[Beds], $L236,
          unit_details[Baths], $M236,
          unit_details[Partial Baths], IF(ISNUMBER($N236),$N236,""),
          unit_details[Sqft],$P236
)),"")</f>
        <v/>
      </c>
      <c r="AI236" s="6" t="str">
        <f>IFERROR(IF($F236="Total",
         SUMPRODUCT(
         INDEX(AI:AI, ROW()-COUNTIF($F$6:INDEX($F:$F, ROW()-1), $F235)) : INDEX(AI:AI, ROW()-1),
         INDEX(AB:AB, ROW()-COUNTIF($F$6:INDEX($F:$F, ROW()-1), $F235)) : INDEX(AB:AB, ROW()-1)
         )
         /SUM(INDEX(AB:AB, ROW()-COUNTIF($F$6:INDEX($F:$F, ROW()-1), $F235)) : INDEX(AB:AB, ROW()-1)),
           AVERAGEIFS(unit_details[Effective PSF],
          unit_details[Active Listing?],TRUE,
          unit_details[Property Name], $F236,
          unit_details[Beds], $L236,
          unit_details[Baths], $M236,
          unit_details[Partial Baths], IF(ISNUMBER($N236),$N236,""),
          unit_details[Sqft],$P236
)),"")</f>
        <v/>
      </c>
      <c r="AJ236" s="824" t="str">
        <f t="shared" si="37"/>
        <v/>
      </c>
      <c r="AK236" s="531" t="str">
        <f t="shared" si="38"/>
        <v/>
      </c>
      <c r="AL236" s="714" t="str">
        <f t="shared" si="39"/>
        <v/>
      </c>
      <c r="AM236" s="531" t="str">
        <f t="shared" si="40"/>
        <v/>
      </c>
      <c r="AN236" s="716" t="str">
        <f t="shared" si="41"/>
        <v/>
      </c>
    </row>
    <row r="237" spans="6:40" x14ac:dyDescent="0.2">
      <c r="F237" s="1" t="str">
        <f t="shared" si="34"/>
        <v/>
      </c>
      <c r="G237" s="713" t="str">
        <f t="shared" si="42"/>
        <v/>
      </c>
      <c r="H237" s="17" t="str">
        <f>IFERROR(VLOOKUP($G237,Table1[[Property]:[Exposure %]],4,0),"")</f>
        <v/>
      </c>
      <c r="I237" s="3" t="str">
        <f>IFERROR(VLOOKUP($G237,Table1[[Property]:[Exposure %]],6,0),"")</f>
        <v/>
      </c>
      <c r="J237" s="3" t="str">
        <f>IFERROR(VLOOKUP($G237,Table1[[Property]:[Exposure %]],7,0),"")</f>
        <v/>
      </c>
      <c r="K237"/>
      <c r="L237"/>
      <c r="M237"/>
      <c r="N237"/>
      <c r="O237"/>
      <c r="P237"/>
      <c r="Q237"/>
      <c r="R237" s="4" t="str">
        <f>IFERROR(VLOOKUP(IF(F237="Total",F236,F237),Table1[[Property]:['# Units]],7,0)*S237,"")</f>
        <v/>
      </c>
      <c r="S237" s="27" t="str">
        <f t="shared" si="35"/>
        <v/>
      </c>
      <c r="T237" s="531" t="str">
        <f>IFERROR(
 IF($F237="Total",
   SUMPRODUCT(
   INDEX(T:T, ROW()-COUNTIF($F$6:INDEX($F:$F, ROW()-1), $F236)) : INDEX(T:T, ROW()-1),
   INDEX(W:W, ROW()-COUNTIF($F$6:INDEX($F:$F, ROW()-1), $F236)) : INDEX(W:W, ROW()-1)
   )
   /SUM(INDEX(W:W, ROW()-COUNTIF($F$6:INDEX($F:$F, ROW()-1), $F236)) : INDEX(W:W, ROW()-1)),
   AVERAGEIFS(
     INDEX((unit_details[Asking Rent],unit_details[Asking PSF]),0,1,IF($U$3="Chunk Rent",1,2)),
     unit_details[Leased Date],"&gt;="&amp;($AM$2-T$5),
     unit_details[Leased Date],"&lt;"&amp;$AM$2,
     unit_details[Beds],$L237,
     unit_details[Baths],$M237,
     unit_details[Partial Baths],IF(ISNUMBER($N237),$N237,""),
     unit_details[Sqft],$P237,
     unit_details[Property Name],$F237)
 ),"")</f>
        <v/>
      </c>
      <c r="U237" s="552" t="str">
        <f>IFERROR(
 IF($F237="Total",
   SUMPRODUCT(
   INDEX(U:U, ROW()-COUNTIF($F$6:INDEX($F:$F, ROW()-1), $F236)) : INDEX(U:U, ROW()-1),
   INDEX(W:W, ROW()-COUNTIF($F$6:INDEX($F:$F, ROW()-1), $F236)) : INDEX(W:W, ROW()-1)
   )
   /SUM(INDEX(W:W, ROW()-COUNTIF($F$6:INDEX($F:$F, ROW()-1), $F236)) : INDEX(W:W, ROW()-1)),
   AVERAGEIFS(
     INDEX((unit_details[Effective Rent],unit_details[Effective PSF]),0,1,IF($U$3="Chunk Rent",1,2)),
     unit_details[Leased Date],"&gt;="&amp;($AM$2-T$5),
     unit_details[Leased Date],"&lt;"&amp;$AM$2,
     unit_details[Beds],$L237,
     unit_details[Baths],$M237,
     unit_details[Partial Baths],IF(ISNUMBER($N237),$N237,""),
     unit_details[Sqft],$P237,
     unit_details[Property Name],$F237)
 ),"")</f>
        <v/>
      </c>
      <c r="V237" s="27" t="str">
        <f t="shared" si="43"/>
        <v/>
      </c>
      <c r="W237" s="526">
        <f>IFERROR(
  IF($F237="Total",
    SUM(INDEX(W:W, ROW()-COUNTIF($F$6:INDEX($F:$F, ROW()-1), $F236)) : INDEX(W:W, ROW()-1)),
    COUNTIFS(
      unit_details[Leased Date], "&gt;="&amp;($AM$2-T$5),
      unit_details[Leased Date], "&lt;"&amp;$AM$2,
      unit_details[Beds], $L237,
      unit_details[Baths], $M237,
      unit_details[Partial Baths], IF(ISNUMBER($N237), $N237, ""),
      unit_details[Sqft],$P237,
      unit_details[Property Name], $F237
    )
  ),
"")</f>
        <v>0</v>
      </c>
      <c r="X237" s="531" t="str">
        <f>IFERROR(
 IF($F237="Total",
   SUMPRODUCT(
   INDEX(X:X, ROW()-COUNTIF($F$6:INDEX($F:$F, ROW()-1), $F236)) : INDEX(X:X, ROW()-1),
   INDEX(AA:AA, ROW()-COUNTIF($F$6:INDEX($F:$F, ROW()-1), $F236)) : INDEX(AA:AA, ROW()-1)
   )
   /SUM(INDEX(AA:AA, ROW()-COUNTIF($F$6:INDEX($F:$F, ROW()-1), $F236)) : INDEX(AA:AA, ROW()-1)),
   AVERAGEIFS(
     INDEX((unit_details[Asking Rent],unit_details[Asking PSF]),0,1,IF($U$3="Chunk Rent",1,2)),
     unit_details[Leased Date],"&gt;="&amp;($AM$2-X$5),
     unit_details[Leased Date],"&lt;"&amp;$AM$2,
     unit_details[Beds],$L237,
     unit_details[Baths],$M237,
     unit_details[Partial Baths],IF(ISNUMBER($N237),$N237,""),
     unit_details[Sqft],$P237,
     unit_details[Property Name],$F237)
 ),"")</f>
        <v/>
      </c>
      <c r="Y237" s="552" t="str">
        <f>IFERROR(
 IF($F237="Total",
   SUMPRODUCT(
   INDEX(Y:Y, ROW()-COUNTIF($F$6:INDEX($F:$F, ROW()-1), $F236)) : INDEX(Y:Y, ROW()-1),
   INDEX(AA:AA, ROW()-COUNTIF($F$6:INDEX($F:$F, ROW()-1), $F236)) : INDEX(AA:AA, ROW()-1)
   )
   /SUM(INDEX(AA:AA, ROW()-COUNTIF($F$6:INDEX($F:$F, ROW()-1), $F236)) : INDEX(AA:AA, ROW()-1)),
   AVERAGEIFS(
     INDEX((unit_details[Effective Rent],unit_details[Effective PSF]),0,1,IF($U$3="Chunk Rent",1,2)),
     unit_details[Leased Date],"&gt;="&amp;($AM$2-X$5),
     unit_details[Leased Date],"&lt;"&amp;$AM$2,
     unit_details[Beds],$L237,
     unit_details[Baths],$M237,
     unit_details[Partial Baths],IF(ISNUMBER($N237),$N237,""),
     unit_details[Sqft],$P237,
     unit_details[Property Name],$F237)
 ),"")</f>
        <v/>
      </c>
      <c r="Z237" s="27" t="str">
        <f t="shared" si="44"/>
        <v/>
      </c>
      <c r="AA237" s="526">
        <f>IFERROR(
  IF($F237="Total",
    SUM(INDEX(AA:AA, ROW()-COUNTIF($F$6:INDEX($F:$F, ROW()-1), $F236)) : INDEX(AA:AA, ROW()-1)),
    COUNTIFS(
      unit_details[Leased Date], "&gt;="&amp;($AM$2-X$5),
      unit_details[Leased Date], "&lt;"&amp;$AM$2,
      unit_details[Beds], $L237,
      unit_details[Baths], $M237,
      unit_details[Partial Baths], IF(ISNUMBER($N237), $N237, ""),
      unit_details[Sqft],$P237,
      unit_details[Property Name], $F237
    )
  ),
"")</f>
        <v>0</v>
      </c>
      <c r="AB237" s="290">
        <f>IF($F237="Total",
SUM(INDEX(AB:AB, ROW()-COUNTIF($F$6:INDEX($F:$F, ROW()-1), $F236)) : INDEX(AB:AB, ROW()-1)),
COUNTIFS(unit_details[Active Listing?],TRUE,
          unit_details[Property Name], $F237,
          unit_details[Beds], $L237,
          unit_details[Baths], $M237,
          unit_details[Partial Baths],IF(ISNUMBER($N237),$N237,""),
          unit_details[Sqft],$P237))</f>
        <v>0</v>
      </c>
      <c r="AC237" s="27" t="str">
        <f t="shared" si="36"/>
        <v/>
      </c>
      <c r="AD237" s="293" t="str">
        <f>IFERROR(IF(AE237="","",IF($F237="Total",
SUMPRODUCT(
   INDEX(AD:AD, ROW()-COUNTIF($F$6:INDEX($F:$F, ROW()-1), $F236)) : INDEX(AD:AD, ROW()-1),
   INDEX(AB:AB, ROW()-COUNTIF($F$6:INDEX($F:$F, ROW()-1), $F236)) : INDEX(AB:AB, ROW()-1)
   )
   /SUM(INDEX(AB:AB, ROW()-COUNTIF($F$6:INDEX($F:$F, ROW()-1), $F236)) : INDEX(AB:AB, ROW()-1)),
          _xlfn.MINIFS(unit_details[Asking Rent],
          unit_details[Active Listing?],TRUE,
          unit_details[Property Name], $F237,
          unit_details[Beds], $L237,
          unit_details[Baths], $M237,
          unit_details[Partial Baths], IF(ISNUMBER($N237),$N237,""),
          unit_details[Sqft],$P237
))),"")</f>
        <v/>
      </c>
      <c r="AE237" s="5" t="str">
        <f>IFERROR(IF($F237="Total",
          SUMPRODUCT(
   INDEX(AE:AE, ROW()-COUNTIF($F$6:INDEX($F:$F, ROW()-1), $F236)) : INDEX(AE:AE, ROW()-1),
   INDEX(AB:AB, ROW()-COUNTIF($F$6:INDEX($F:$F, ROW()-1), $F236)) : INDEX(AB:AB, ROW()-1)
   )
   /SUM(INDEX(AB:AB, ROW()-COUNTIF($F$6:INDEX($F:$F, ROW()-1), $F236)) : INDEX(AB:AB, ROW()-1)),
          AVERAGEIFS(unit_details[Asking Rent],
          unit_details[Active Listing?],TRUE,
          unit_details[Property Name], $F237,
          unit_details[Beds], $L237,
          unit_details[Baths], $M237,
          unit_details[Partial Baths], IF(ISNUMBER($N237),$N237,""),
          unit_details[Sqft],$P237
)),"")</f>
        <v/>
      </c>
      <c r="AF237" s="5" t="str">
        <f>IFERROR(IF(AE237="","",IF($F237="Total",
SUMPRODUCT(
   INDEX(AF:AF, ROW()-COUNTIF($F$6:INDEX($F:$F, ROW()-1), $F236)) : INDEX(AF:AF, ROW()-1),
   INDEX(AB:AB, ROW()-COUNTIF($F$6:INDEX($F:$F, ROW()-1), $F236)) : INDEX(AB:AB, ROW()-1)
   )
   /SUM(INDEX(AB:AB, ROW()-COUNTIF($F$6:INDEX($F:$F, ROW()-1), $F236)) : INDEX(AB:AB, ROW()-1)),
           _xlfn.MAXIFS(unit_details[Asking Rent],
          unit_details[Active Listing?],TRUE,
          unit_details[Property Name], $F237,
          unit_details[Beds], $L237,
          unit_details[Baths], $M237,
          unit_details[Partial Baths], IF(ISNUMBER($N237),$N237,""),
          unit_details[Sqft],$P237
))),"")</f>
        <v/>
      </c>
      <c r="AG237" s="6" t="str">
        <f>IFERROR(IF($F237="Total",
         SUMPRODUCT(
         INDEX(AG:AG, ROW()-COUNTIF($F$6:INDEX($F:$F, ROW()-1), $F236)) : INDEX(AG:AG, ROW()-1),
         INDEX(AB:AB, ROW()-COUNTIF($F$6:INDEX($F:$F, ROW()-1), $F236)) : INDEX(AB:AB, ROW()-1)
         )
         /SUM(INDEX(AB:AB, ROW()-COUNTIF($F$6:INDEX($F:$F, ROW()-1), $F236)) : INDEX(AB:AB, ROW()-1)),
          AVERAGEIFS(unit_details[Asking PSF],
          unit_details[Active Listing?],TRUE,
          unit_details[Property Name], $F237,
          unit_details[Beds], $L237,
          unit_details[Baths], $M237,
          unit_details[Partial Baths], IF(ISNUMBER($N237),$N237,""),
          unit_details[Sqft],$P237
)),"")</f>
        <v/>
      </c>
      <c r="AH237" s="293" t="str">
        <f>IFERROR(IF($F237="Total",
         SUMPRODUCT(
         INDEX(AH:AH, ROW()-COUNTIF($F$6:INDEX($F:$F, ROW()-1), $F236)) : INDEX(AH:AH, ROW()-1),
         INDEX(AB:AB, ROW()-COUNTIF($F$6:INDEX($F:$F, ROW()-1), $F236)) : INDEX(AB:AB, ROW()-1)
         )
         /SUM(INDEX(AB:AB, ROW()-COUNTIF($F$6:INDEX($F:$F, ROW()-1), $F236)) : INDEX(AB:AB, ROW()-1)),
          AVERAGEIFS(unit_details[Effective Rent],
          unit_details[Active Listing?],TRUE,
          unit_details[Property Name], $F237,
          unit_details[Beds], $L237,
          unit_details[Baths], $M237,
          unit_details[Partial Baths], IF(ISNUMBER($N237),$N237,""),
          unit_details[Sqft],$P237
)),"")</f>
        <v/>
      </c>
      <c r="AI237" s="6" t="str">
        <f>IFERROR(IF($F237="Total",
         SUMPRODUCT(
         INDEX(AI:AI, ROW()-COUNTIF($F$6:INDEX($F:$F, ROW()-1), $F236)) : INDEX(AI:AI, ROW()-1),
         INDEX(AB:AB, ROW()-COUNTIF($F$6:INDEX($F:$F, ROW()-1), $F236)) : INDEX(AB:AB, ROW()-1)
         )
         /SUM(INDEX(AB:AB, ROW()-COUNTIF($F$6:INDEX($F:$F, ROW()-1), $F236)) : INDEX(AB:AB, ROW()-1)),
           AVERAGEIFS(unit_details[Effective PSF],
          unit_details[Active Listing?],TRUE,
          unit_details[Property Name], $F237,
          unit_details[Beds], $L237,
          unit_details[Baths], $M237,
          unit_details[Partial Baths], IF(ISNUMBER($N237),$N237,""),
          unit_details[Sqft],$P237
)),"")</f>
        <v/>
      </c>
      <c r="AJ237" s="824" t="str">
        <f t="shared" si="37"/>
        <v/>
      </c>
      <c r="AK237" s="531" t="str">
        <f t="shared" si="38"/>
        <v/>
      </c>
      <c r="AL237" s="714" t="str">
        <f t="shared" si="39"/>
        <v/>
      </c>
      <c r="AM237" s="531" t="str">
        <f t="shared" si="40"/>
        <v/>
      </c>
      <c r="AN237" s="716" t="str">
        <f t="shared" si="41"/>
        <v/>
      </c>
    </row>
    <row r="238" spans="6:40" x14ac:dyDescent="0.2">
      <c r="F238" s="1" t="str">
        <f t="shared" si="34"/>
        <v/>
      </c>
      <c r="G238" s="713" t="str">
        <f t="shared" si="42"/>
        <v/>
      </c>
      <c r="H238" s="17" t="str">
        <f>IFERROR(VLOOKUP($G238,Table1[[Property]:[Exposure %]],4,0),"")</f>
        <v/>
      </c>
      <c r="I238" s="3" t="str">
        <f>IFERROR(VLOOKUP($G238,Table1[[Property]:[Exposure %]],6,0),"")</f>
        <v/>
      </c>
      <c r="J238" s="3" t="str">
        <f>IFERROR(VLOOKUP($G238,Table1[[Property]:[Exposure %]],7,0),"")</f>
        <v/>
      </c>
      <c r="K238"/>
      <c r="L238"/>
      <c r="M238"/>
      <c r="N238"/>
      <c r="O238"/>
      <c r="P238"/>
      <c r="Q238"/>
      <c r="R238" s="4" t="str">
        <f>IFERROR(VLOOKUP(IF(F238="Total",F237,F238),Table1[[Property]:['# Units]],7,0)*S238,"")</f>
        <v/>
      </c>
      <c r="S238" s="27" t="str">
        <f t="shared" si="35"/>
        <v/>
      </c>
      <c r="T238" s="531" t="str">
        <f>IFERROR(
 IF($F238="Total",
   SUMPRODUCT(
   INDEX(T:T, ROW()-COUNTIF($F$6:INDEX($F:$F, ROW()-1), $F237)) : INDEX(T:T, ROW()-1),
   INDEX(W:W, ROW()-COUNTIF($F$6:INDEX($F:$F, ROW()-1), $F237)) : INDEX(W:W, ROW()-1)
   )
   /SUM(INDEX(W:W, ROW()-COUNTIF($F$6:INDEX($F:$F, ROW()-1), $F237)) : INDEX(W:W, ROW()-1)),
   AVERAGEIFS(
     INDEX((unit_details[Asking Rent],unit_details[Asking PSF]),0,1,IF($U$3="Chunk Rent",1,2)),
     unit_details[Leased Date],"&gt;="&amp;($AM$2-T$5),
     unit_details[Leased Date],"&lt;"&amp;$AM$2,
     unit_details[Beds],$L238,
     unit_details[Baths],$M238,
     unit_details[Partial Baths],IF(ISNUMBER($N238),$N238,""),
     unit_details[Sqft],$P238,
     unit_details[Property Name],$F238)
 ),"")</f>
        <v/>
      </c>
      <c r="U238" s="552" t="str">
        <f>IFERROR(
 IF($F238="Total",
   SUMPRODUCT(
   INDEX(U:U, ROW()-COUNTIF($F$6:INDEX($F:$F, ROW()-1), $F237)) : INDEX(U:U, ROW()-1),
   INDEX(W:W, ROW()-COUNTIF($F$6:INDEX($F:$F, ROW()-1), $F237)) : INDEX(W:W, ROW()-1)
   )
   /SUM(INDEX(W:W, ROW()-COUNTIF($F$6:INDEX($F:$F, ROW()-1), $F237)) : INDEX(W:W, ROW()-1)),
   AVERAGEIFS(
     INDEX((unit_details[Effective Rent],unit_details[Effective PSF]),0,1,IF($U$3="Chunk Rent",1,2)),
     unit_details[Leased Date],"&gt;="&amp;($AM$2-T$5),
     unit_details[Leased Date],"&lt;"&amp;$AM$2,
     unit_details[Beds],$L238,
     unit_details[Baths],$M238,
     unit_details[Partial Baths],IF(ISNUMBER($N238),$N238,""),
     unit_details[Sqft],$P238,
     unit_details[Property Name],$F238)
 ),"")</f>
        <v/>
      </c>
      <c r="V238" s="27" t="str">
        <f t="shared" si="43"/>
        <v/>
      </c>
      <c r="W238" s="526">
        <f>IFERROR(
  IF($F238="Total",
    SUM(INDEX(W:W, ROW()-COUNTIF($F$6:INDEX($F:$F, ROW()-1), $F237)) : INDEX(W:W, ROW()-1)),
    COUNTIFS(
      unit_details[Leased Date], "&gt;="&amp;($AM$2-T$5),
      unit_details[Leased Date], "&lt;"&amp;$AM$2,
      unit_details[Beds], $L238,
      unit_details[Baths], $M238,
      unit_details[Partial Baths], IF(ISNUMBER($N238), $N238, ""),
      unit_details[Sqft],$P238,
      unit_details[Property Name], $F238
    )
  ),
"")</f>
        <v>0</v>
      </c>
      <c r="X238" s="531" t="str">
        <f>IFERROR(
 IF($F238="Total",
   SUMPRODUCT(
   INDEX(X:X, ROW()-COUNTIF($F$6:INDEX($F:$F, ROW()-1), $F237)) : INDEX(X:X, ROW()-1),
   INDEX(AA:AA, ROW()-COUNTIF($F$6:INDEX($F:$F, ROW()-1), $F237)) : INDEX(AA:AA, ROW()-1)
   )
   /SUM(INDEX(AA:AA, ROW()-COUNTIF($F$6:INDEX($F:$F, ROW()-1), $F237)) : INDEX(AA:AA, ROW()-1)),
   AVERAGEIFS(
     INDEX((unit_details[Asking Rent],unit_details[Asking PSF]),0,1,IF($U$3="Chunk Rent",1,2)),
     unit_details[Leased Date],"&gt;="&amp;($AM$2-X$5),
     unit_details[Leased Date],"&lt;"&amp;$AM$2,
     unit_details[Beds],$L238,
     unit_details[Baths],$M238,
     unit_details[Partial Baths],IF(ISNUMBER($N238),$N238,""),
     unit_details[Sqft],$P238,
     unit_details[Property Name],$F238)
 ),"")</f>
        <v/>
      </c>
      <c r="Y238" s="552" t="str">
        <f>IFERROR(
 IF($F238="Total",
   SUMPRODUCT(
   INDEX(Y:Y, ROW()-COUNTIF($F$6:INDEX($F:$F, ROW()-1), $F237)) : INDEX(Y:Y, ROW()-1),
   INDEX(AA:AA, ROW()-COUNTIF($F$6:INDEX($F:$F, ROW()-1), $F237)) : INDEX(AA:AA, ROW()-1)
   )
   /SUM(INDEX(AA:AA, ROW()-COUNTIF($F$6:INDEX($F:$F, ROW()-1), $F237)) : INDEX(AA:AA, ROW()-1)),
   AVERAGEIFS(
     INDEX((unit_details[Effective Rent],unit_details[Effective PSF]),0,1,IF($U$3="Chunk Rent",1,2)),
     unit_details[Leased Date],"&gt;="&amp;($AM$2-X$5),
     unit_details[Leased Date],"&lt;"&amp;$AM$2,
     unit_details[Beds],$L238,
     unit_details[Baths],$M238,
     unit_details[Partial Baths],IF(ISNUMBER($N238),$N238,""),
     unit_details[Sqft],$P238,
     unit_details[Property Name],$F238)
 ),"")</f>
        <v/>
      </c>
      <c r="Z238" s="27" t="str">
        <f t="shared" si="44"/>
        <v/>
      </c>
      <c r="AA238" s="526">
        <f>IFERROR(
  IF($F238="Total",
    SUM(INDEX(AA:AA, ROW()-COUNTIF($F$6:INDEX($F:$F, ROW()-1), $F237)) : INDEX(AA:AA, ROW()-1)),
    COUNTIFS(
      unit_details[Leased Date], "&gt;="&amp;($AM$2-X$5),
      unit_details[Leased Date], "&lt;"&amp;$AM$2,
      unit_details[Beds], $L238,
      unit_details[Baths], $M238,
      unit_details[Partial Baths], IF(ISNUMBER($N238), $N238, ""),
      unit_details[Sqft],$P238,
      unit_details[Property Name], $F238
    )
  ),
"")</f>
        <v>0</v>
      </c>
      <c r="AB238" s="290">
        <f>IF($F238="Total",
SUM(INDEX(AB:AB, ROW()-COUNTIF($F$6:INDEX($F:$F, ROW()-1), $F237)) : INDEX(AB:AB, ROW()-1)),
COUNTIFS(unit_details[Active Listing?],TRUE,
          unit_details[Property Name], $F238,
          unit_details[Beds], $L238,
          unit_details[Baths], $M238,
          unit_details[Partial Baths],IF(ISNUMBER($N238),$N238,""),
          unit_details[Sqft],$P238))</f>
        <v>0</v>
      </c>
      <c r="AC238" s="27" t="str">
        <f t="shared" si="36"/>
        <v/>
      </c>
      <c r="AD238" s="293" t="str">
        <f>IFERROR(IF(AE238="","",IF($F238="Total",
SUMPRODUCT(
   INDEX(AD:AD, ROW()-COUNTIF($F$6:INDEX($F:$F, ROW()-1), $F237)) : INDEX(AD:AD, ROW()-1),
   INDEX(AB:AB, ROW()-COUNTIF($F$6:INDEX($F:$F, ROW()-1), $F237)) : INDEX(AB:AB, ROW()-1)
   )
   /SUM(INDEX(AB:AB, ROW()-COUNTIF($F$6:INDEX($F:$F, ROW()-1), $F237)) : INDEX(AB:AB, ROW()-1)),
          _xlfn.MINIFS(unit_details[Asking Rent],
          unit_details[Active Listing?],TRUE,
          unit_details[Property Name], $F238,
          unit_details[Beds], $L238,
          unit_details[Baths], $M238,
          unit_details[Partial Baths], IF(ISNUMBER($N238),$N238,""),
          unit_details[Sqft],$P238
))),"")</f>
        <v/>
      </c>
      <c r="AE238" s="5" t="str">
        <f>IFERROR(IF($F238="Total",
          SUMPRODUCT(
   INDEX(AE:AE, ROW()-COUNTIF($F$6:INDEX($F:$F, ROW()-1), $F237)) : INDEX(AE:AE, ROW()-1),
   INDEX(AB:AB, ROW()-COUNTIF($F$6:INDEX($F:$F, ROW()-1), $F237)) : INDEX(AB:AB, ROW()-1)
   )
   /SUM(INDEX(AB:AB, ROW()-COUNTIF($F$6:INDEX($F:$F, ROW()-1), $F237)) : INDEX(AB:AB, ROW()-1)),
          AVERAGEIFS(unit_details[Asking Rent],
          unit_details[Active Listing?],TRUE,
          unit_details[Property Name], $F238,
          unit_details[Beds], $L238,
          unit_details[Baths], $M238,
          unit_details[Partial Baths], IF(ISNUMBER($N238),$N238,""),
          unit_details[Sqft],$P238
)),"")</f>
        <v/>
      </c>
      <c r="AF238" s="5" t="str">
        <f>IFERROR(IF(AE238="","",IF($F238="Total",
SUMPRODUCT(
   INDEX(AF:AF, ROW()-COUNTIF($F$6:INDEX($F:$F, ROW()-1), $F237)) : INDEX(AF:AF, ROW()-1),
   INDEX(AB:AB, ROW()-COUNTIF($F$6:INDEX($F:$F, ROW()-1), $F237)) : INDEX(AB:AB, ROW()-1)
   )
   /SUM(INDEX(AB:AB, ROW()-COUNTIF($F$6:INDEX($F:$F, ROW()-1), $F237)) : INDEX(AB:AB, ROW()-1)),
           _xlfn.MAXIFS(unit_details[Asking Rent],
          unit_details[Active Listing?],TRUE,
          unit_details[Property Name], $F238,
          unit_details[Beds], $L238,
          unit_details[Baths], $M238,
          unit_details[Partial Baths], IF(ISNUMBER($N238),$N238,""),
          unit_details[Sqft],$P238
))),"")</f>
        <v/>
      </c>
      <c r="AG238" s="6" t="str">
        <f>IFERROR(IF($F238="Total",
         SUMPRODUCT(
         INDEX(AG:AG, ROW()-COUNTIF($F$6:INDEX($F:$F, ROW()-1), $F237)) : INDEX(AG:AG, ROW()-1),
         INDEX(AB:AB, ROW()-COUNTIF($F$6:INDEX($F:$F, ROW()-1), $F237)) : INDEX(AB:AB, ROW()-1)
         )
         /SUM(INDEX(AB:AB, ROW()-COUNTIF($F$6:INDEX($F:$F, ROW()-1), $F237)) : INDEX(AB:AB, ROW()-1)),
          AVERAGEIFS(unit_details[Asking PSF],
          unit_details[Active Listing?],TRUE,
          unit_details[Property Name], $F238,
          unit_details[Beds], $L238,
          unit_details[Baths], $M238,
          unit_details[Partial Baths], IF(ISNUMBER($N238),$N238,""),
          unit_details[Sqft],$P238
)),"")</f>
        <v/>
      </c>
      <c r="AH238" s="293" t="str">
        <f>IFERROR(IF($F238="Total",
         SUMPRODUCT(
         INDEX(AH:AH, ROW()-COUNTIF($F$6:INDEX($F:$F, ROW()-1), $F237)) : INDEX(AH:AH, ROW()-1),
         INDEX(AB:AB, ROW()-COUNTIF($F$6:INDEX($F:$F, ROW()-1), $F237)) : INDEX(AB:AB, ROW()-1)
         )
         /SUM(INDEX(AB:AB, ROW()-COUNTIF($F$6:INDEX($F:$F, ROW()-1), $F237)) : INDEX(AB:AB, ROW()-1)),
          AVERAGEIFS(unit_details[Effective Rent],
          unit_details[Active Listing?],TRUE,
          unit_details[Property Name], $F238,
          unit_details[Beds], $L238,
          unit_details[Baths], $M238,
          unit_details[Partial Baths], IF(ISNUMBER($N238),$N238,""),
          unit_details[Sqft],$P238
)),"")</f>
        <v/>
      </c>
      <c r="AI238" s="6" t="str">
        <f>IFERROR(IF($F238="Total",
         SUMPRODUCT(
         INDEX(AI:AI, ROW()-COUNTIF($F$6:INDEX($F:$F, ROW()-1), $F237)) : INDEX(AI:AI, ROW()-1),
         INDEX(AB:AB, ROW()-COUNTIF($F$6:INDEX($F:$F, ROW()-1), $F237)) : INDEX(AB:AB, ROW()-1)
         )
         /SUM(INDEX(AB:AB, ROW()-COUNTIF($F$6:INDEX($F:$F, ROW()-1), $F237)) : INDEX(AB:AB, ROW()-1)),
           AVERAGEIFS(unit_details[Effective PSF],
          unit_details[Active Listing?],TRUE,
          unit_details[Property Name], $F238,
          unit_details[Beds], $L238,
          unit_details[Baths], $M238,
          unit_details[Partial Baths], IF(ISNUMBER($N238),$N238,""),
          unit_details[Sqft],$P238
)),"")</f>
        <v/>
      </c>
      <c r="AJ238" s="824" t="str">
        <f t="shared" si="37"/>
        <v/>
      </c>
      <c r="AK238" s="531" t="str">
        <f t="shared" si="38"/>
        <v/>
      </c>
      <c r="AL238" s="714" t="str">
        <f t="shared" si="39"/>
        <v/>
      </c>
      <c r="AM238" s="531" t="str">
        <f t="shared" si="40"/>
        <v/>
      </c>
      <c r="AN238" s="716" t="str">
        <f t="shared" si="41"/>
        <v/>
      </c>
    </row>
    <row r="239" spans="6:40" x14ac:dyDescent="0.2">
      <c r="F239" s="1" t="str">
        <f t="shared" si="34"/>
        <v/>
      </c>
      <c r="G239" s="713" t="str">
        <f t="shared" si="42"/>
        <v/>
      </c>
      <c r="H239" s="17" t="str">
        <f>IFERROR(VLOOKUP($G239,Table1[[Property]:[Exposure %]],4,0),"")</f>
        <v/>
      </c>
      <c r="I239" s="3" t="str">
        <f>IFERROR(VLOOKUP($G239,Table1[[Property]:[Exposure %]],6,0),"")</f>
        <v/>
      </c>
      <c r="J239" s="3" t="str">
        <f>IFERROR(VLOOKUP($G239,Table1[[Property]:[Exposure %]],7,0),"")</f>
        <v/>
      </c>
      <c r="K239"/>
      <c r="L239"/>
      <c r="M239"/>
      <c r="N239"/>
      <c r="O239"/>
      <c r="P239"/>
      <c r="Q239"/>
      <c r="R239" s="4" t="str">
        <f>IFERROR(VLOOKUP(IF(F239="Total",F238,F239),Table1[[Property]:['# Units]],7,0)*S239,"")</f>
        <v/>
      </c>
      <c r="S239" s="27" t="str">
        <f t="shared" si="35"/>
        <v/>
      </c>
      <c r="T239" s="531" t="str">
        <f>IFERROR(
 IF($F239="Total",
   SUMPRODUCT(
   INDEX(T:T, ROW()-COUNTIF($F$6:INDEX($F:$F, ROW()-1), $F238)) : INDEX(T:T, ROW()-1),
   INDEX(W:W, ROW()-COUNTIF($F$6:INDEX($F:$F, ROW()-1), $F238)) : INDEX(W:W, ROW()-1)
   )
   /SUM(INDEX(W:W, ROW()-COUNTIF($F$6:INDEX($F:$F, ROW()-1), $F238)) : INDEX(W:W, ROW()-1)),
   AVERAGEIFS(
     INDEX((unit_details[Asking Rent],unit_details[Asking PSF]),0,1,IF($U$3="Chunk Rent",1,2)),
     unit_details[Leased Date],"&gt;="&amp;($AM$2-T$5),
     unit_details[Leased Date],"&lt;"&amp;$AM$2,
     unit_details[Beds],$L239,
     unit_details[Baths],$M239,
     unit_details[Partial Baths],IF(ISNUMBER($N239),$N239,""),
     unit_details[Sqft],$P239,
     unit_details[Property Name],$F239)
 ),"")</f>
        <v/>
      </c>
      <c r="U239" s="552" t="str">
        <f>IFERROR(
 IF($F239="Total",
   SUMPRODUCT(
   INDEX(U:U, ROW()-COUNTIF($F$6:INDEX($F:$F, ROW()-1), $F238)) : INDEX(U:U, ROW()-1),
   INDEX(W:W, ROW()-COUNTIF($F$6:INDEX($F:$F, ROW()-1), $F238)) : INDEX(W:W, ROW()-1)
   )
   /SUM(INDEX(W:W, ROW()-COUNTIF($F$6:INDEX($F:$F, ROW()-1), $F238)) : INDEX(W:W, ROW()-1)),
   AVERAGEIFS(
     INDEX((unit_details[Effective Rent],unit_details[Effective PSF]),0,1,IF($U$3="Chunk Rent",1,2)),
     unit_details[Leased Date],"&gt;="&amp;($AM$2-T$5),
     unit_details[Leased Date],"&lt;"&amp;$AM$2,
     unit_details[Beds],$L239,
     unit_details[Baths],$M239,
     unit_details[Partial Baths],IF(ISNUMBER($N239),$N239,""),
     unit_details[Sqft],$P239,
     unit_details[Property Name],$F239)
 ),"")</f>
        <v/>
      </c>
      <c r="V239" s="27" t="str">
        <f t="shared" si="43"/>
        <v/>
      </c>
      <c r="W239" s="526">
        <f>IFERROR(
  IF($F239="Total",
    SUM(INDEX(W:W, ROW()-COUNTIF($F$6:INDEX($F:$F, ROW()-1), $F238)) : INDEX(W:W, ROW()-1)),
    COUNTIFS(
      unit_details[Leased Date], "&gt;="&amp;($AM$2-T$5),
      unit_details[Leased Date], "&lt;"&amp;$AM$2,
      unit_details[Beds], $L239,
      unit_details[Baths], $M239,
      unit_details[Partial Baths], IF(ISNUMBER($N239), $N239, ""),
      unit_details[Sqft],$P239,
      unit_details[Property Name], $F239
    )
  ),
"")</f>
        <v>0</v>
      </c>
      <c r="X239" s="531" t="str">
        <f>IFERROR(
 IF($F239="Total",
   SUMPRODUCT(
   INDEX(X:X, ROW()-COUNTIF($F$6:INDEX($F:$F, ROW()-1), $F238)) : INDEX(X:X, ROW()-1),
   INDEX(AA:AA, ROW()-COUNTIF($F$6:INDEX($F:$F, ROW()-1), $F238)) : INDEX(AA:AA, ROW()-1)
   )
   /SUM(INDEX(AA:AA, ROW()-COUNTIF($F$6:INDEX($F:$F, ROW()-1), $F238)) : INDEX(AA:AA, ROW()-1)),
   AVERAGEIFS(
     INDEX((unit_details[Asking Rent],unit_details[Asking PSF]),0,1,IF($U$3="Chunk Rent",1,2)),
     unit_details[Leased Date],"&gt;="&amp;($AM$2-X$5),
     unit_details[Leased Date],"&lt;"&amp;$AM$2,
     unit_details[Beds],$L239,
     unit_details[Baths],$M239,
     unit_details[Partial Baths],IF(ISNUMBER($N239),$N239,""),
     unit_details[Sqft],$P239,
     unit_details[Property Name],$F239)
 ),"")</f>
        <v/>
      </c>
      <c r="Y239" s="552" t="str">
        <f>IFERROR(
 IF($F239="Total",
   SUMPRODUCT(
   INDEX(Y:Y, ROW()-COUNTIF($F$6:INDEX($F:$F, ROW()-1), $F238)) : INDEX(Y:Y, ROW()-1),
   INDEX(AA:AA, ROW()-COUNTIF($F$6:INDEX($F:$F, ROW()-1), $F238)) : INDEX(AA:AA, ROW()-1)
   )
   /SUM(INDEX(AA:AA, ROW()-COUNTIF($F$6:INDEX($F:$F, ROW()-1), $F238)) : INDEX(AA:AA, ROW()-1)),
   AVERAGEIFS(
     INDEX((unit_details[Effective Rent],unit_details[Effective PSF]),0,1,IF($U$3="Chunk Rent",1,2)),
     unit_details[Leased Date],"&gt;="&amp;($AM$2-X$5),
     unit_details[Leased Date],"&lt;"&amp;$AM$2,
     unit_details[Beds],$L239,
     unit_details[Baths],$M239,
     unit_details[Partial Baths],IF(ISNUMBER($N239),$N239,""),
     unit_details[Sqft],$P239,
     unit_details[Property Name],$F239)
 ),"")</f>
        <v/>
      </c>
      <c r="Z239" s="27" t="str">
        <f t="shared" si="44"/>
        <v/>
      </c>
      <c r="AA239" s="526">
        <f>IFERROR(
  IF($F239="Total",
    SUM(INDEX(AA:AA, ROW()-COUNTIF($F$6:INDEX($F:$F, ROW()-1), $F238)) : INDEX(AA:AA, ROW()-1)),
    COUNTIFS(
      unit_details[Leased Date], "&gt;="&amp;($AM$2-X$5),
      unit_details[Leased Date], "&lt;"&amp;$AM$2,
      unit_details[Beds], $L239,
      unit_details[Baths], $M239,
      unit_details[Partial Baths], IF(ISNUMBER($N239), $N239, ""),
      unit_details[Sqft],$P239,
      unit_details[Property Name], $F239
    )
  ),
"")</f>
        <v>0</v>
      </c>
      <c r="AB239" s="290">
        <f>IF($F239="Total",
SUM(INDEX(AB:AB, ROW()-COUNTIF($F$6:INDEX($F:$F, ROW()-1), $F238)) : INDEX(AB:AB, ROW()-1)),
COUNTIFS(unit_details[Active Listing?],TRUE,
          unit_details[Property Name], $F239,
          unit_details[Beds], $L239,
          unit_details[Baths], $M239,
          unit_details[Partial Baths],IF(ISNUMBER($N239),$N239,""),
          unit_details[Sqft],$P239))</f>
        <v>0</v>
      </c>
      <c r="AC239" s="27" t="str">
        <f t="shared" si="36"/>
        <v/>
      </c>
      <c r="AD239" s="293" t="str">
        <f>IFERROR(IF(AE239="","",IF($F239="Total",
SUMPRODUCT(
   INDEX(AD:AD, ROW()-COUNTIF($F$6:INDEX($F:$F, ROW()-1), $F238)) : INDEX(AD:AD, ROW()-1),
   INDEX(AB:AB, ROW()-COUNTIF($F$6:INDEX($F:$F, ROW()-1), $F238)) : INDEX(AB:AB, ROW()-1)
   )
   /SUM(INDEX(AB:AB, ROW()-COUNTIF($F$6:INDEX($F:$F, ROW()-1), $F238)) : INDEX(AB:AB, ROW()-1)),
          _xlfn.MINIFS(unit_details[Asking Rent],
          unit_details[Active Listing?],TRUE,
          unit_details[Property Name], $F239,
          unit_details[Beds], $L239,
          unit_details[Baths], $M239,
          unit_details[Partial Baths], IF(ISNUMBER($N239),$N239,""),
          unit_details[Sqft],$P239
))),"")</f>
        <v/>
      </c>
      <c r="AE239" s="5" t="str">
        <f>IFERROR(IF($F239="Total",
          SUMPRODUCT(
   INDEX(AE:AE, ROW()-COUNTIF($F$6:INDEX($F:$F, ROW()-1), $F238)) : INDEX(AE:AE, ROW()-1),
   INDEX(AB:AB, ROW()-COUNTIF($F$6:INDEX($F:$F, ROW()-1), $F238)) : INDEX(AB:AB, ROW()-1)
   )
   /SUM(INDEX(AB:AB, ROW()-COUNTIF($F$6:INDEX($F:$F, ROW()-1), $F238)) : INDEX(AB:AB, ROW()-1)),
          AVERAGEIFS(unit_details[Asking Rent],
          unit_details[Active Listing?],TRUE,
          unit_details[Property Name], $F239,
          unit_details[Beds], $L239,
          unit_details[Baths], $M239,
          unit_details[Partial Baths], IF(ISNUMBER($N239),$N239,""),
          unit_details[Sqft],$P239
)),"")</f>
        <v/>
      </c>
      <c r="AF239" s="5" t="str">
        <f>IFERROR(IF(AE239="","",IF($F239="Total",
SUMPRODUCT(
   INDEX(AF:AF, ROW()-COUNTIF($F$6:INDEX($F:$F, ROW()-1), $F238)) : INDEX(AF:AF, ROW()-1),
   INDEX(AB:AB, ROW()-COUNTIF($F$6:INDEX($F:$F, ROW()-1), $F238)) : INDEX(AB:AB, ROW()-1)
   )
   /SUM(INDEX(AB:AB, ROW()-COUNTIF($F$6:INDEX($F:$F, ROW()-1), $F238)) : INDEX(AB:AB, ROW()-1)),
           _xlfn.MAXIFS(unit_details[Asking Rent],
          unit_details[Active Listing?],TRUE,
          unit_details[Property Name], $F239,
          unit_details[Beds], $L239,
          unit_details[Baths], $M239,
          unit_details[Partial Baths], IF(ISNUMBER($N239),$N239,""),
          unit_details[Sqft],$P239
))),"")</f>
        <v/>
      </c>
      <c r="AG239" s="6" t="str">
        <f>IFERROR(IF($F239="Total",
         SUMPRODUCT(
         INDEX(AG:AG, ROW()-COUNTIF($F$6:INDEX($F:$F, ROW()-1), $F238)) : INDEX(AG:AG, ROW()-1),
         INDEX(AB:AB, ROW()-COUNTIF($F$6:INDEX($F:$F, ROW()-1), $F238)) : INDEX(AB:AB, ROW()-1)
         )
         /SUM(INDEX(AB:AB, ROW()-COUNTIF($F$6:INDEX($F:$F, ROW()-1), $F238)) : INDEX(AB:AB, ROW()-1)),
          AVERAGEIFS(unit_details[Asking PSF],
          unit_details[Active Listing?],TRUE,
          unit_details[Property Name], $F239,
          unit_details[Beds], $L239,
          unit_details[Baths], $M239,
          unit_details[Partial Baths], IF(ISNUMBER($N239),$N239,""),
          unit_details[Sqft],$P239
)),"")</f>
        <v/>
      </c>
      <c r="AH239" s="293" t="str">
        <f>IFERROR(IF($F239="Total",
         SUMPRODUCT(
         INDEX(AH:AH, ROW()-COUNTIF($F$6:INDEX($F:$F, ROW()-1), $F238)) : INDEX(AH:AH, ROW()-1),
         INDEX(AB:AB, ROW()-COUNTIF($F$6:INDEX($F:$F, ROW()-1), $F238)) : INDEX(AB:AB, ROW()-1)
         )
         /SUM(INDEX(AB:AB, ROW()-COUNTIF($F$6:INDEX($F:$F, ROW()-1), $F238)) : INDEX(AB:AB, ROW()-1)),
          AVERAGEIFS(unit_details[Effective Rent],
          unit_details[Active Listing?],TRUE,
          unit_details[Property Name], $F239,
          unit_details[Beds], $L239,
          unit_details[Baths], $M239,
          unit_details[Partial Baths], IF(ISNUMBER($N239),$N239,""),
          unit_details[Sqft],$P239
)),"")</f>
        <v/>
      </c>
      <c r="AI239" s="6" t="str">
        <f>IFERROR(IF($F239="Total",
         SUMPRODUCT(
         INDEX(AI:AI, ROW()-COUNTIF($F$6:INDEX($F:$F, ROW()-1), $F238)) : INDEX(AI:AI, ROW()-1),
         INDEX(AB:AB, ROW()-COUNTIF($F$6:INDEX($F:$F, ROW()-1), $F238)) : INDEX(AB:AB, ROW()-1)
         )
         /SUM(INDEX(AB:AB, ROW()-COUNTIF($F$6:INDEX($F:$F, ROW()-1), $F238)) : INDEX(AB:AB, ROW()-1)),
           AVERAGEIFS(unit_details[Effective PSF],
          unit_details[Active Listing?],TRUE,
          unit_details[Property Name], $F239,
          unit_details[Beds], $L239,
          unit_details[Baths], $M239,
          unit_details[Partial Baths], IF(ISNUMBER($N239),$N239,""),
          unit_details[Sqft],$P239
)),"")</f>
        <v/>
      </c>
      <c r="AJ239" s="824" t="str">
        <f t="shared" si="37"/>
        <v/>
      </c>
      <c r="AK239" s="531" t="str">
        <f t="shared" si="38"/>
        <v/>
      </c>
      <c r="AL239" s="714" t="str">
        <f t="shared" si="39"/>
        <v/>
      </c>
      <c r="AM239" s="531" t="str">
        <f t="shared" si="40"/>
        <v/>
      </c>
      <c r="AN239" s="716" t="str">
        <f t="shared" si="41"/>
        <v/>
      </c>
    </row>
    <row r="240" spans="6:40" x14ac:dyDescent="0.2">
      <c r="F240" s="1" t="str">
        <f t="shared" si="34"/>
        <v/>
      </c>
      <c r="G240" s="713" t="str">
        <f t="shared" si="42"/>
        <v/>
      </c>
      <c r="H240" s="17" t="str">
        <f>IFERROR(VLOOKUP($G240,Table1[[Property]:[Exposure %]],4,0),"")</f>
        <v/>
      </c>
      <c r="I240" s="3" t="str">
        <f>IFERROR(VLOOKUP($G240,Table1[[Property]:[Exposure %]],6,0),"")</f>
        <v/>
      </c>
      <c r="J240" s="3" t="str">
        <f>IFERROR(VLOOKUP($G240,Table1[[Property]:[Exposure %]],7,0),"")</f>
        <v/>
      </c>
      <c r="K240"/>
      <c r="L240"/>
      <c r="M240"/>
      <c r="N240"/>
      <c r="O240"/>
      <c r="P240"/>
      <c r="Q240"/>
      <c r="R240" s="4" t="str">
        <f>IFERROR(VLOOKUP(IF(F240="Total",F239,F240),Table1[[Property]:['# Units]],7,0)*S240,"")</f>
        <v/>
      </c>
      <c r="S240" s="27" t="str">
        <f t="shared" si="35"/>
        <v/>
      </c>
      <c r="T240" s="531" t="str">
        <f>IFERROR(
 IF($F240="Total",
   SUMPRODUCT(
   INDEX(T:T, ROW()-COUNTIF($F$6:INDEX($F:$F, ROW()-1), $F239)) : INDEX(T:T, ROW()-1),
   INDEX(W:W, ROW()-COUNTIF($F$6:INDEX($F:$F, ROW()-1), $F239)) : INDEX(W:W, ROW()-1)
   )
   /SUM(INDEX(W:W, ROW()-COUNTIF($F$6:INDEX($F:$F, ROW()-1), $F239)) : INDEX(W:W, ROW()-1)),
   AVERAGEIFS(
     INDEX((unit_details[Asking Rent],unit_details[Asking PSF]),0,1,IF($U$3="Chunk Rent",1,2)),
     unit_details[Leased Date],"&gt;="&amp;($AM$2-T$5),
     unit_details[Leased Date],"&lt;"&amp;$AM$2,
     unit_details[Beds],$L240,
     unit_details[Baths],$M240,
     unit_details[Partial Baths],IF(ISNUMBER($N240),$N240,""),
     unit_details[Sqft],$P240,
     unit_details[Property Name],$F240)
 ),"")</f>
        <v/>
      </c>
      <c r="U240" s="552" t="str">
        <f>IFERROR(
 IF($F240="Total",
   SUMPRODUCT(
   INDEX(U:U, ROW()-COUNTIF($F$6:INDEX($F:$F, ROW()-1), $F239)) : INDEX(U:U, ROW()-1),
   INDEX(W:W, ROW()-COUNTIF($F$6:INDEX($F:$F, ROW()-1), $F239)) : INDEX(W:W, ROW()-1)
   )
   /SUM(INDEX(W:W, ROW()-COUNTIF($F$6:INDEX($F:$F, ROW()-1), $F239)) : INDEX(W:W, ROW()-1)),
   AVERAGEIFS(
     INDEX((unit_details[Effective Rent],unit_details[Effective PSF]),0,1,IF($U$3="Chunk Rent",1,2)),
     unit_details[Leased Date],"&gt;="&amp;($AM$2-T$5),
     unit_details[Leased Date],"&lt;"&amp;$AM$2,
     unit_details[Beds],$L240,
     unit_details[Baths],$M240,
     unit_details[Partial Baths],IF(ISNUMBER($N240),$N240,""),
     unit_details[Sqft],$P240,
     unit_details[Property Name],$F240)
 ),"")</f>
        <v/>
      </c>
      <c r="V240" s="27" t="str">
        <f t="shared" si="43"/>
        <v/>
      </c>
      <c r="W240" s="526">
        <f>IFERROR(
  IF($F240="Total",
    SUM(INDEX(W:W, ROW()-COUNTIF($F$6:INDEX($F:$F, ROW()-1), $F239)) : INDEX(W:W, ROW()-1)),
    COUNTIFS(
      unit_details[Leased Date], "&gt;="&amp;($AM$2-T$5),
      unit_details[Leased Date], "&lt;"&amp;$AM$2,
      unit_details[Beds], $L240,
      unit_details[Baths], $M240,
      unit_details[Partial Baths], IF(ISNUMBER($N240), $N240, ""),
      unit_details[Sqft],$P240,
      unit_details[Property Name], $F240
    )
  ),
"")</f>
        <v>0</v>
      </c>
      <c r="X240" s="531" t="str">
        <f>IFERROR(
 IF($F240="Total",
   SUMPRODUCT(
   INDEX(X:X, ROW()-COUNTIF($F$6:INDEX($F:$F, ROW()-1), $F239)) : INDEX(X:X, ROW()-1),
   INDEX(AA:AA, ROW()-COUNTIF($F$6:INDEX($F:$F, ROW()-1), $F239)) : INDEX(AA:AA, ROW()-1)
   )
   /SUM(INDEX(AA:AA, ROW()-COUNTIF($F$6:INDEX($F:$F, ROW()-1), $F239)) : INDEX(AA:AA, ROW()-1)),
   AVERAGEIFS(
     INDEX((unit_details[Asking Rent],unit_details[Asking PSF]),0,1,IF($U$3="Chunk Rent",1,2)),
     unit_details[Leased Date],"&gt;="&amp;($AM$2-X$5),
     unit_details[Leased Date],"&lt;"&amp;$AM$2,
     unit_details[Beds],$L240,
     unit_details[Baths],$M240,
     unit_details[Partial Baths],IF(ISNUMBER($N240),$N240,""),
     unit_details[Sqft],$P240,
     unit_details[Property Name],$F240)
 ),"")</f>
        <v/>
      </c>
      <c r="Y240" s="552" t="str">
        <f>IFERROR(
 IF($F240="Total",
   SUMPRODUCT(
   INDEX(Y:Y, ROW()-COUNTIF($F$6:INDEX($F:$F, ROW()-1), $F239)) : INDEX(Y:Y, ROW()-1),
   INDEX(AA:AA, ROW()-COUNTIF($F$6:INDEX($F:$F, ROW()-1), $F239)) : INDEX(AA:AA, ROW()-1)
   )
   /SUM(INDEX(AA:AA, ROW()-COUNTIF($F$6:INDEX($F:$F, ROW()-1), $F239)) : INDEX(AA:AA, ROW()-1)),
   AVERAGEIFS(
     INDEX((unit_details[Effective Rent],unit_details[Effective PSF]),0,1,IF($U$3="Chunk Rent",1,2)),
     unit_details[Leased Date],"&gt;="&amp;($AM$2-X$5),
     unit_details[Leased Date],"&lt;"&amp;$AM$2,
     unit_details[Beds],$L240,
     unit_details[Baths],$M240,
     unit_details[Partial Baths],IF(ISNUMBER($N240),$N240,""),
     unit_details[Sqft],$P240,
     unit_details[Property Name],$F240)
 ),"")</f>
        <v/>
      </c>
      <c r="Z240" s="27" t="str">
        <f t="shared" si="44"/>
        <v/>
      </c>
      <c r="AA240" s="526">
        <f>IFERROR(
  IF($F240="Total",
    SUM(INDEX(AA:AA, ROW()-COUNTIF($F$6:INDEX($F:$F, ROW()-1), $F239)) : INDEX(AA:AA, ROW()-1)),
    COUNTIFS(
      unit_details[Leased Date], "&gt;="&amp;($AM$2-X$5),
      unit_details[Leased Date], "&lt;"&amp;$AM$2,
      unit_details[Beds], $L240,
      unit_details[Baths], $M240,
      unit_details[Partial Baths], IF(ISNUMBER($N240), $N240, ""),
      unit_details[Sqft],$P240,
      unit_details[Property Name], $F240
    )
  ),
"")</f>
        <v>0</v>
      </c>
      <c r="AB240" s="290">
        <f>IF($F240="Total",
SUM(INDEX(AB:AB, ROW()-COUNTIF($F$6:INDEX($F:$F, ROW()-1), $F239)) : INDEX(AB:AB, ROW()-1)),
COUNTIFS(unit_details[Active Listing?],TRUE,
          unit_details[Property Name], $F240,
          unit_details[Beds], $L240,
          unit_details[Baths], $M240,
          unit_details[Partial Baths],IF(ISNUMBER($N240),$N240,""),
          unit_details[Sqft],$P240))</f>
        <v>0</v>
      </c>
      <c r="AC240" s="27" t="str">
        <f t="shared" si="36"/>
        <v/>
      </c>
      <c r="AD240" s="293" t="str">
        <f>IFERROR(IF(AE240="","",IF($F240="Total",
SUMPRODUCT(
   INDEX(AD:AD, ROW()-COUNTIF($F$6:INDEX($F:$F, ROW()-1), $F239)) : INDEX(AD:AD, ROW()-1),
   INDEX(AB:AB, ROW()-COUNTIF($F$6:INDEX($F:$F, ROW()-1), $F239)) : INDEX(AB:AB, ROW()-1)
   )
   /SUM(INDEX(AB:AB, ROW()-COUNTIF($F$6:INDEX($F:$F, ROW()-1), $F239)) : INDEX(AB:AB, ROW()-1)),
          _xlfn.MINIFS(unit_details[Asking Rent],
          unit_details[Active Listing?],TRUE,
          unit_details[Property Name], $F240,
          unit_details[Beds], $L240,
          unit_details[Baths], $M240,
          unit_details[Partial Baths], IF(ISNUMBER($N240),$N240,""),
          unit_details[Sqft],$P240
))),"")</f>
        <v/>
      </c>
      <c r="AE240" s="5" t="str">
        <f>IFERROR(IF($F240="Total",
          SUMPRODUCT(
   INDEX(AE:AE, ROW()-COUNTIF($F$6:INDEX($F:$F, ROW()-1), $F239)) : INDEX(AE:AE, ROW()-1),
   INDEX(AB:AB, ROW()-COUNTIF($F$6:INDEX($F:$F, ROW()-1), $F239)) : INDEX(AB:AB, ROW()-1)
   )
   /SUM(INDEX(AB:AB, ROW()-COUNTIF($F$6:INDEX($F:$F, ROW()-1), $F239)) : INDEX(AB:AB, ROW()-1)),
          AVERAGEIFS(unit_details[Asking Rent],
          unit_details[Active Listing?],TRUE,
          unit_details[Property Name], $F240,
          unit_details[Beds], $L240,
          unit_details[Baths], $M240,
          unit_details[Partial Baths], IF(ISNUMBER($N240),$N240,""),
          unit_details[Sqft],$P240
)),"")</f>
        <v/>
      </c>
      <c r="AF240" s="5" t="str">
        <f>IFERROR(IF(AE240="","",IF($F240="Total",
SUMPRODUCT(
   INDEX(AF:AF, ROW()-COUNTIF($F$6:INDEX($F:$F, ROW()-1), $F239)) : INDEX(AF:AF, ROW()-1),
   INDEX(AB:AB, ROW()-COUNTIF($F$6:INDEX($F:$F, ROW()-1), $F239)) : INDEX(AB:AB, ROW()-1)
   )
   /SUM(INDEX(AB:AB, ROW()-COUNTIF($F$6:INDEX($F:$F, ROW()-1), $F239)) : INDEX(AB:AB, ROW()-1)),
           _xlfn.MAXIFS(unit_details[Asking Rent],
          unit_details[Active Listing?],TRUE,
          unit_details[Property Name], $F240,
          unit_details[Beds], $L240,
          unit_details[Baths], $M240,
          unit_details[Partial Baths], IF(ISNUMBER($N240),$N240,""),
          unit_details[Sqft],$P240
))),"")</f>
        <v/>
      </c>
      <c r="AG240" s="6" t="str">
        <f>IFERROR(IF($F240="Total",
         SUMPRODUCT(
         INDEX(AG:AG, ROW()-COUNTIF($F$6:INDEX($F:$F, ROW()-1), $F239)) : INDEX(AG:AG, ROW()-1),
         INDEX(AB:AB, ROW()-COUNTIF($F$6:INDEX($F:$F, ROW()-1), $F239)) : INDEX(AB:AB, ROW()-1)
         )
         /SUM(INDEX(AB:AB, ROW()-COUNTIF($F$6:INDEX($F:$F, ROW()-1), $F239)) : INDEX(AB:AB, ROW()-1)),
          AVERAGEIFS(unit_details[Asking PSF],
          unit_details[Active Listing?],TRUE,
          unit_details[Property Name], $F240,
          unit_details[Beds], $L240,
          unit_details[Baths], $M240,
          unit_details[Partial Baths], IF(ISNUMBER($N240),$N240,""),
          unit_details[Sqft],$P240
)),"")</f>
        <v/>
      </c>
      <c r="AH240" s="293" t="str">
        <f>IFERROR(IF($F240="Total",
         SUMPRODUCT(
         INDEX(AH:AH, ROW()-COUNTIF($F$6:INDEX($F:$F, ROW()-1), $F239)) : INDEX(AH:AH, ROW()-1),
         INDEX(AB:AB, ROW()-COUNTIF($F$6:INDEX($F:$F, ROW()-1), $F239)) : INDEX(AB:AB, ROW()-1)
         )
         /SUM(INDEX(AB:AB, ROW()-COUNTIF($F$6:INDEX($F:$F, ROW()-1), $F239)) : INDEX(AB:AB, ROW()-1)),
          AVERAGEIFS(unit_details[Effective Rent],
          unit_details[Active Listing?],TRUE,
          unit_details[Property Name], $F240,
          unit_details[Beds], $L240,
          unit_details[Baths], $M240,
          unit_details[Partial Baths], IF(ISNUMBER($N240),$N240,""),
          unit_details[Sqft],$P240
)),"")</f>
        <v/>
      </c>
      <c r="AI240" s="6" t="str">
        <f>IFERROR(IF($F240="Total",
         SUMPRODUCT(
         INDEX(AI:AI, ROW()-COUNTIF($F$6:INDEX($F:$F, ROW()-1), $F239)) : INDEX(AI:AI, ROW()-1),
         INDEX(AB:AB, ROW()-COUNTIF($F$6:INDEX($F:$F, ROW()-1), $F239)) : INDEX(AB:AB, ROW()-1)
         )
         /SUM(INDEX(AB:AB, ROW()-COUNTIF($F$6:INDEX($F:$F, ROW()-1), $F239)) : INDEX(AB:AB, ROW()-1)),
           AVERAGEIFS(unit_details[Effective PSF],
          unit_details[Active Listing?],TRUE,
          unit_details[Property Name], $F240,
          unit_details[Beds], $L240,
          unit_details[Baths], $M240,
          unit_details[Partial Baths], IF(ISNUMBER($N240),$N240,""),
          unit_details[Sqft],$P240
)),"")</f>
        <v/>
      </c>
      <c r="AJ240" s="824" t="str">
        <f t="shared" si="37"/>
        <v/>
      </c>
      <c r="AK240" s="531" t="str">
        <f t="shared" si="38"/>
        <v/>
      </c>
      <c r="AL240" s="714" t="str">
        <f t="shared" si="39"/>
        <v/>
      </c>
      <c r="AM240" s="531" t="str">
        <f t="shared" si="40"/>
        <v/>
      </c>
      <c r="AN240" s="716" t="str">
        <f t="shared" si="41"/>
        <v/>
      </c>
    </row>
    <row r="241" spans="6:40" x14ac:dyDescent="0.2">
      <c r="F241" s="1" t="str">
        <f t="shared" si="34"/>
        <v/>
      </c>
      <c r="G241" s="713" t="str">
        <f t="shared" si="42"/>
        <v/>
      </c>
      <c r="H241" s="17" t="str">
        <f>IFERROR(VLOOKUP($G241,Table1[[Property]:[Exposure %]],4,0),"")</f>
        <v/>
      </c>
      <c r="I241" s="3" t="str">
        <f>IFERROR(VLOOKUP($G241,Table1[[Property]:[Exposure %]],6,0),"")</f>
        <v/>
      </c>
      <c r="J241" s="3" t="str">
        <f>IFERROR(VLOOKUP($G241,Table1[[Property]:[Exposure %]],7,0),"")</f>
        <v/>
      </c>
      <c r="K241"/>
      <c r="L241"/>
      <c r="M241"/>
      <c r="N241"/>
      <c r="O241"/>
      <c r="P241"/>
      <c r="Q241"/>
      <c r="R241" s="4" t="str">
        <f>IFERROR(VLOOKUP(IF(F241="Total",F240,F241),Table1[[Property]:['# Units]],7,0)*S241,"")</f>
        <v/>
      </c>
      <c r="S241" s="27" t="str">
        <f t="shared" si="35"/>
        <v/>
      </c>
      <c r="T241" s="531" t="str">
        <f>IFERROR(
 IF($F241="Total",
   SUMPRODUCT(
   INDEX(T:T, ROW()-COUNTIF($F$6:INDEX($F:$F, ROW()-1), $F240)) : INDEX(T:T, ROW()-1),
   INDEX(W:W, ROW()-COUNTIF($F$6:INDEX($F:$F, ROW()-1), $F240)) : INDEX(W:W, ROW()-1)
   )
   /SUM(INDEX(W:W, ROW()-COUNTIF($F$6:INDEX($F:$F, ROW()-1), $F240)) : INDEX(W:W, ROW()-1)),
   AVERAGEIFS(
     INDEX((unit_details[Asking Rent],unit_details[Asking PSF]),0,1,IF($U$3="Chunk Rent",1,2)),
     unit_details[Leased Date],"&gt;="&amp;($AM$2-T$5),
     unit_details[Leased Date],"&lt;"&amp;$AM$2,
     unit_details[Beds],$L241,
     unit_details[Baths],$M241,
     unit_details[Partial Baths],IF(ISNUMBER($N241),$N241,""),
     unit_details[Sqft],$P241,
     unit_details[Property Name],$F241)
 ),"")</f>
        <v/>
      </c>
      <c r="U241" s="552" t="str">
        <f>IFERROR(
 IF($F241="Total",
   SUMPRODUCT(
   INDEX(U:U, ROW()-COUNTIF($F$6:INDEX($F:$F, ROW()-1), $F240)) : INDEX(U:U, ROW()-1),
   INDEX(W:W, ROW()-COUNTIF($F$6:INDEX($F:$F, ROW()-1), $F240)) : INDEX(W:W, ROW()-1)
   )
   /SUM(INDEX(W:W, ROW()-COUNTIF($F$6:INDEX($F:$F, ROW()-1), $F240)) : INDEX(W:W, ROW()-1)),
   AVERAGEIFS(
     INDEX((unit_details[Effective Rent],unit_details[Effective PSF]),0,1,IF($U$3="Chunk Rent",1,2)),
     unit_details[Leased Date],"&gt;="&amp;($AM$2-T$5),
     unit_details[Leased Date],"&lt;"&amp;$AM$2,
     unit_details[Beds],$L241,
     unit_details[Baths],$M241,
     unit_details[Partial Baths],IF(ISNUMBER($N241),$N241,""),
     unit_details[Sqft],$P241,
     unit_details[Property Name],$F241)
 ),"")</f>
        <v/>
      </c>
      <c r="V241" s="27" t="str">
        <f t="shared" si="43"/>
        <v/>
      </c>
      <c r="W241" s="526">
        <f>IFERROR(
  IF($F241="Total",
    SUM(INDEX(W:W, ROW()-COUNTIF($F$6:INDEX($F:$F, ROW()-1), $F240)) : INDEX(W:W, ROW()-1)),
    COUNTIFS(
      unit_details[Leased Date], "&gt;="&amp;($AM$2-T$5),
      unit_details[Leased Date], "&lt;"&amp;$AM$2,
      unit_details[Beds], $L241,
      unit_details[Baths], $M241,
      unit_details[Partial Baths], IF(ISNUMBER($N241), $N241, ""),
      unit_details[Sqft],$P241,
      unit_details[Property Name], $F241
    )
  ),
"")</f>
        <v>0</v>
      </c>
      <c r="X241" s="531" t="str">
        <f>IFERROR(
 IF($F241="Total",
   SUMPRODUCT(
   INDEX(X:X, ROW()-COUNTIF($F$6:INDEX($F:$F, ROW()-1), $F240)) : INDEX(X:X, ROW()-1),
   INDEX(AA:AA, ROW()-COUNTIF($F$6:INDEX($F:$F, ROW()-1), $F240)) : INDEX(AA:AA, ROW()-1)
   )
   /SUM(INDEX(AA:AA, ROW()-COUNTIF($F$6:INDEX($F:$F, ROW()-1), $F240)) : INDEX(AA:AA, ROW()-1)),
   AVERAGEIFS(
     INDEX((unit_details[Asking Rent],unit_details[Asking PSF]),0,1,IF($U$3="Chunk Rent",1,2)),
     unit_details[Leased Date],"&gt;="&amp;($AM$2-X$5),
     unit_details[Leased Date],"&lt;"&amp;$AM$2,
     unit_details[Beds],$L241,
     unit_details[Baths],$M241,
     unit_details[Partial Baths],IF(ISNUMBER($N241),$N241,""),
     unit_details[Sqft],$P241,
     unit_details[Property Name],$F241)
 ),"")</f>
        <v/>
      </c>
      <c r="Y241" s="552" t="str">
        <f>IFERROR(
 IF($F241="Total",
   SUMPRODUCT(
   INDEX(Y:Y, ROW()-COUNTIF($F$6:INDEX($F:$F, ROW()-1), $F240)) : INDEX(Y:Y, ROW()-1),
   INDEX(AA:AA, ROW()-COUNTIF($F$6:INDEX($F:$F, ROW()-1), $F240)) : INDEX(AA:AA, ROW()-1)
   )
   /SUM(INDEX(AA:AA, ROW()-COUNTIF($F$6:INDEX($F:$F, ROW()-1), $F240)) : INDEX(AA:AA, ROW()-1)),
   AVERAGEIFS(
     INDEX((unit_details[Effective Rent],unit_details[Effective PSF]),0,1,IF($U$3="Chunk Rent",1,2)),
     unit_details[Leased Date],"&gt;="&amp;($AM$2-X$5),
     unit_details[Leased Date],"&lt;"&amp;$AM$2,
     unit_details[Beds],$L241,
     unit_details[Baths],$M241,
     unit_details[Partial Baths],IF(ISNUMBER($N241),$N241,""),
     unit_details[Sqft],$P241,
     unit_details[Property Name],$F241)
 ),"")</f>
        <v/>
      </c>
      <c r="Z241" s="27" t="str">
        <f t="shared" si="44"/>
        <v/>
      </c>
      <c r="AA241" s="526">
        <f>IFERROR(
  IF($F241="Total",
    SUM(INDEX(AA:AA, ROW()-COUNTIF($F$6:INDEX($F:$F, ROW()-1), $F240)) : INDEX(AA:AA, ROW()-1)),
    COUNTIFS(
      unit_details[Leased Date], "&gt;="&amp;($AM$2-X$5),
      unit_details[Leased Date], "&lt;"&amp;$AM$2,
      unit_details[Beds], $L241,
      unit_details[Baths], $M241,
      unit_details[Partial Baths], IF(ISNUMBER($N241), $N241, ""),
      unit_details[Sqft],$P241,
      unit_details[Property Name], $F241
    )
  ),
"")</f>
        <v>0</v>
      </c>
      <c r="AB241" s="290">
        <f>IF($F241="Total",
SUM(INDEX(AB:AB, ROW()-COUNTIF($F$6:INDEX($F:$F, ROW()-1), $F240)) : INDEX(AB:AB, ROW()-1)),
COUNTIFS(unit_details[Active Listing?],TRUE,
          unit_details[Property Name], $F241,
          unit_details[Beds], $L241,
          unit_details[Baths], $M241,
          unit_details[Partial Baths],IF(ISNUMBER($N241),$N241,""),
          unit_details[Sqft],$P241))</f>
        <v>0</v>
      </c>
      <c r="AC241" s="27" t="str">
        <f t="shared" si="36"/>
        <v/>
      </c>
      <c r="AD241" s="293" t="str">
        <f>IFERROR(IF(AE241="","",IF($F241="Total",
SUMPRODUCT(
   INDEX(AD:AD, ROW()-COUNTIF($F$6:INDEX($F:$F, ROW()-1), $F240)) : INDEX(AD:AD, ROW()-1),
   INDEX(AB:AB, ROW()-COUNTIF($F$6:INDEX($F:$F, ROW()-1), $F240)) : INDEX(AB:AB, ROW()-1)
   )
   /SUM(INDEX(AB:AB, ROW()-COUNTIF($F$6:INDEX($F:$F, ROW()-1), $F240)) : INDEX(AB:AB, ROW()-1)),
          _xlfn.MINIFS(unit_details[Asking Rent],
          unit_details[Active Listing?],TRUE,
          unit_details[Property Name], $F241,
          unit_details[Beds], $L241,
          unit_details[Baths], $M241,
          unit_details[Partial Baths], IF(ISNUMBER($N241),$N241,""),
          unit_details[Sqft],$P241
))),"")</f>
        <v/>
      </c>
      <c r="AE241" s="5" t="str">
        <f>IFERROR(IF($F241="Total",
          SUMPRODUCT(
   INDEX(AE:AE, ROW()-COUNTIF($F$6:INDEX($F:$F, ROW()-1), $F240)) : INDEX(AE:AE, ROW()-1),
   INDEX(AB:AB, ROW()-COUNTIF($F$6:INDEX($F:$F, ROW()-1), $F240)) : INDEX(AB:AB, ROW()-1)
   )
   /SUM(INDEX(AB:AB, ROW()-COUNTIF($F$6:INDEX($F:$F, ROW()-1), $F240)) : INDEX(AB:AB, ROW()-1)),
          AVERAGEIFS(unit_details[Asking Rent],
          unit_details[Active Listing?],TRUE,
          unit_details[Property Name], $F241,
          unit_details[Beds], $L241,
          unit_details[Baths], $M241,
          unit_details[Partial Baths], IF(ISNUMBER($N241),$N241,""),
          unit_details[Sqft],$P241
)),"")</f>
        <v/>
      </c>
      <c r="AF241" s="5" t="str">
        <f>IFERROR(IF(AE241="","",IF($F241="Total",
SUMPRODUCT(
   INDEX(AF:AF, ROW()-COUNTIF($F$6:INDEX($F:$F, ROW()-1), $F240)) : INDEX(AF:AF, ROW()-1),
   INDEX(AB:AB, ROW()-COUNTIF($F$6:INDEX($F:$F, ROW()-1), $F240)) : INDEX(AB:AB, ROW()-1)
   )
   /SUM(INDEX(AB:AB, ROW()-COUNTIF($F$6:INDEX($F:$F, ROW()-1), $F240)) : INDEX(AB:AB, ROW()-1)),
           _xlfn.MAXIFS(unit_details[Asking Rent],
          unit_details[Active Listing?],TRUE,
          unit_details[Property Name], $F241,
          unit_details[Beds], $L241,
          unit_details[Baths], $M241,
          unit_details[Partial Baths], IF(ISNUMBER($N241),$N241,""),
          unit_details[Sqft],$P241
))),"")</f>
        <v/>
      </c>
      <c r="AG241" s="6" t="str">
        <f>IFERROR(IF($F241="Total",
         SUMPRODUCT(
         INDEX(AG:AG, ROW()-COUNTIF($F$6:INDEX($F:$F, ROW()-1), $F240)) : INDEX(AG:AG, ROW()-1),
         INDEX(AB:AB, ROW()-COUNTIF($F$6:INDEX($F:$F, ROW()-1), $F240)) : INDEX(AB:AB, ROW()-1)
         )
         /SUM(INDEX(AB:AB, ROW()-COUNTIF($F$6:INDEX($F:$F, ROW()-1), $F240)) : INDEX(AB:AB, ROW()-1)),
          AVERAGEIFS(unit_details[Asking PSF],
          unit_details[Active Listing?],TRUE,
          unit_details[Property Name], $F241,
          unit_details[Beds], $L241,
          unit_details[Baths], $M241,
          unit_details[Partial Baths], IF(ISNUMBER($N241),$N241,""),
          unit_details[Sqft],$P241
)),"")</f>
        <v/>
      </c>
      <c r="AH241" s="293" t="str">
        <f>IFERROR(IF($F241="Total",
         SUMPRODUCT(
         INDEX(AH:AH, ROW()-COUNTIF($F$6:INDEX($F:$F, ROW()-1), $F240)) : INDEX(AH:AH, ROW()-1),
         INDEX(AB:AB, ROW()-COUNTIF($F$6:INDEX($F:$F, ROW()-1), $F240)) : INDEX(AB:AB, ROW()-1)
         )
         /SUM(INDEX(AB:AB, ROW()-COUNTIF($F$6:INDEX($F:$F, ROW()-1), $F240)) : INDEX(AB:AB, ROW()-1)),
          AVERAGEIFS(unit_details[Effective Rent],
          unit_details[Active Listing?],TRUE,
          unit_details[Property Name], $F241,
          unit_details[Beds], $L241,
          unit_details[Baths], $M241,
          unit_details[Partial Baths], IF(ISNUMBER($N241),$N241,""),
          unit_details[Sqft],$P241
)),"")</f>
        <v/>
      </c>
      <c r="AI241" s="6" t="str">
        <f>IFERROR(IF($F241="Total",
         SUMPRODUCT(
         INDEX(AI:AI, ROW()-COUNTIF($F$6:INDEX($F:$F, ROW()-1), $F240)) : INDEX(AI:AI, ROW()-1),
         INDEX(AB:AB, ROW()-COUNTIF($F$6:INDEX($F:$F, ROW()-1), $F240)) : INDEX(AB:AB, ROW()-1)
         )
         /SUM(INDEX(AB:AB, ROW()-COUNTIF($F$6:INDEX($F:$F, ROW()-1), $F240)) : INDEX(AB:AB, ROW()-1)),
           AVERAGEIFS(unit_details[Effective PSF],
          unit_details[Active Listing?],TRUE,
          unit_details[Property Name], $F241,
          unit_details[Beds], $L241,
          unit_details[Baths], $M241,
          unit_details[Partial Baths], IF(ISNUMBER($N241),$N241,""),
          unit_details[Sqft],$P241
)),"")</f>
        <v/>
      </c>
      <c r="AJ241" s="824" t="str">
        <f t="shared" si="37"/>
        <v/>
      </c>
      <c r="AK241" s="531" t="str">
        <f t="shared" si="38"/>
        <v/>
      </c>
      <c r="AL241" s="714" t="str">
        <f t="shared" si="39"/>
        <v/>
      </c>
      <c r="AM241" s="531" t="str">
        <f t="shared" si="40"/>
        <v/>
      </c>
      <c r="AN241" s="716" t="str">
        <f t="shared" si="41"/>
        <v/>
      </c>
    </row>
    <row r="242" spans="6:40" x14ac:dyDescent="0.2">
      <c r="F242" s="1" t="str">
        <f t="shared" si="34"/>
        <v/>
      </c>
      <c r="G242" s="713" t="str">
        <f t="shared" si="42"/>
        <v/>
      </c>
      <c r="H242" s="17" t="str">
        <f>IFERROR(VLOOKUP($G242,Table1[[Property]:[Exposure %]],4,0),"")</f>
        <v/>
      </c>
      <c r="I242" s="3" t="str">
        <f>IFERROR(VLOOKUP($G242,Table1[[Property]:[Exposure %]],6,0),"")</f>
        <v/>
      </c>
      <c r="J242" s="3" t="str">
        <f>IFERROR(VLOOKUP($G242,Table1[[Property]:[Exposure %]],7,0),"")</f>
        <v/>
      </c>
      <c r="K242"/>
      <c r="L242"/>
      <c r="M242"/>
      <c r="N242"/>
      <c r="O242"/>
      <c r="P242"/>
      <c r="Q242"/>
      <c r="R242" s="4" t="str">
        <f>IFERROR(VLOOKUP(IF(F242="Total",F241,F242),Table1[[Property]:['# Units]],7,0)*S242,"")</f>
        <v/>
      </c>
      <c r="S242" s="27" t="str">
        <f t="shared" si="35"/>
        <v/>
      </c>
      <c r="T242" s="531" t="str">
        <f>IFERROR(
 IF($F242="Total",
   SUMPRODUCT(
   INDEX(T:T, ROW()-COUNTIF($F$6:INDEX($F:$F, ROW()-1), $F241)) : INDEX(T:T, ROW()-1),
   INDEX(W:W, ROW()-COUNTIF($F$6:INDEX($F:$F, ROW()-1), $F241)) : INDEX(W:W, ROW()-1)
   )
   /SUM(INDEX(W:W, ROW()-COUNTIF($F$6:INDEX($F:$F, ROW()-1), $F241)) : INDEX(W:W, ROW()-1)),
   AVERAGEIFS(
     INDEX((unit_details[Asking Rent],unit_details[Asking PSF]),0,1,IF($U$3="Chunk Rent",1,2)),
     unit_details[Leased Date],"&gt;="&amp;($AM$2-T$5),
     unit_details[Leased Date],"&lt;"&amp;$AM$2,
     unit_details[Beds],$L242,
     unit_details[Baths],$M242,
     unit_details[Partial Baths],IF(ISNUMBER($N242),$N242,""),
     unit_details[Sqft],$P242,
     unit_details[Property Name],$F242)
 ),"")</f>
        <v/>
      </c>
      <c r="U242" s="552" t="str">
        <f>IFERROR(
 IF($F242="Total",
   SUMPRODUCT(
   INDEX(U:U, ROW()-COUNTIF($F$6:INDEX($F:$F, ROW()-1), $F241)) : INDEX(U:U, ROW()-1),
   INDEX(W:W, ROW()-COUNTIF($F$6:INDEX($F:$F, ROW()-1), $F241)) : INDEX(W:W, ROW()-1)
   )
   /SUM(INDEX(W:W, ROW()-COUNTIF($F$6:INDEX($F:$F, ROW()-1), $F241)) : INDEX(W:W, ROW()-1)),
   AVERAGEIFS(
     INDEX((unit_details[Effective Rent],unit_details[Effective PSF]),0,1,IF($U$3="Chunk Rent",1,2)),
     unit_details[Leased Date],"&gt;="&amp;($AM$2-T$5),
     unit_details[Leased Date],"&lt;"&amp;$AM$2,
     unit_details[Beds],$L242,
     unit_details[Baths],$M242,
     unit_details[Partial Baths],IF(ISNUMBER($N242),$N242,""),
     unit_details[Sqft],$P242,
     unit_details[Property Name],$F242)
 ),"")</f>
        <v/>
      </c>
      <c r="V242" s="27" t="str">
        <f t="shared" si="43"/>
        <v/>
      </c>
      <c r="W242" s="526">
        <f>IFERROR(
  IF($F242="Total",
    SUM(INDEX(W:W, ROW()-COUNTIF($F$6:INDEX($F:$F, ROW()-1), $F241)) : INDEX(W:W, ROW()-1)),
    COUNTIFS(
      unit_details[Leased Date], "&gt;="&amp;($AM$2-T$5),
      unit_details[Leased Date], "&lt;"&amp;$AM$2,
      unit_details[Beds], $L242,
      unit_details[Baths], $M242,
      unit_details[Partial Baths], IF(ISNUMBER($N242), $N242, ""),
      unit_details[Sqft],$P242,
      unit_details[Property Name], $F242
    )
  ),
"")</f>
        <v>0</v>
      </c>
      <c r="X242" s="531" t="str">
        <f>IFERROR(
 IF($F242="Total",
   SUMPRODUCT(
   INDEX(X:X, ROW()-COUNTIF($F$6:INDEX($F:$F, ROW()-1), $F241)) : INDEX(X:X, ROW()-1),
   INDEX(AA:AA, ROW()-COUNTIF($F$6:INDEX($F:$F, ROW()-1), $F241)) : INDEX(AA:AA, ROW()-1)
   )
   /SUM(INDEX(AA:AA, ROW()-COUNTIF($F$6:INDEX($F:$F, ROW()-1), $F241)) : INDEX(AA:AA, ROW()-1)),
   AVERAGEIFS(
     INDEX((unit_details[Asking Rent],unit_details[Asking PSF]),0,1,IF($U$3="Chunk Rent",1,2)),
     unit_details[Leased Date],"&gt;="&amp;($AM$2-X$5),
     unit_details[Leased Date],"&lt;"&amp;$AM$2,
     unit_details[Beds],$L242,
     unit_details[Baths],$M242,
     unit_details[Partial Baths],IF(ISNUMBER($N242),$N242,""),
     unit_details[Sqft],$P242,
     unit_details[Property Name],$F242)
 ),"")</f>
        <v/>
      </c>
      <c r="Y242" s="552" t="str">
        <f>IFERROR(
 IF($F242="Total",
   SUMPRODUCT(
   INDEX(Y:Y, ROW()-COUNTIF($F$6:INDEX($F:$F, ROW()-1), $F241)) : INDEX(Y:Y, ROW()-1),
   INDEX(AA:AA, ROW()-COUNTIF($F$6:INDEX($F:$F, ROW()-1), $F241)) : INDEX(AA:AA, ROW()-1)
   )
   /SUM(INDEX(AA:AA, ROW()-COUNTIF($F$6:INDEX($F:$F, ROW()-1), $F241)) : INDEX(AA:AA, ROW()-1)),
   AVERAGEIFS(
     INDEX((unit_details[Effective Rent],unit_details[Effective PSF]),0,1,IF($U$3="Chunk Rent",1,2)),
     unit_details[Leased Date],"&gt;="&amp;($AM$2-X$5),
     unit_details[Leased Date],"&lt;"&amp;$AM$2,
     unit_details[Beds],$L242,
     unit_details[Baths],$M242,
     unit_details[Partial Baths],IF(ISNUMBER($N242),$N242,""),
     unit_details[Sqft],$P242,
     unit_details[Property Name],$F242)
 ),"")</f>
        <v/>
      </c>
      <c r="Z242" s="27" t="str">
        <f t="shared" si="44"/>
        <v/>
      </c>
      <c r="AA242" s="526">
        <f>IFERROR(
  IF($F242="Total",
    SUM(INDEX(AA:AA, ROW()-COUNTIF($F$6:INDEX($F:$F, ROW()-1), $F241)) : INDEX(AA:AA, ROW()-1)),
    COUNTIFS(
      unit_details[Leased Date], "&gt;="&amp;($AM$2-X$5),
      unit_details[Leased Date], "&lt;"&amp;$AM$2,
      unit_details[Beds], $L242,
      unit_details[Baths], $M242,
      unit_details[Partial Baths], IF(ISNUMBER($N242), $N242, ""),
      unit_details[Sqft],$P242,
      unit_details[Property Name], $F242
    )
  ),
"")</f>
        <v>0</v>
      </c>
      <c r="AB242" s="290">
        <f>IF($F242="Total",
SUM(INDEX(AB:AB, ROW()-COUNTIF($F$6:INDEX($F:$F, ROW()-1), $F241)) : INDEX(AB:AB, ROW()-1)),
COUNTIFS(unit_details[Active Listing?],TRUE,
          unit_details[Property Name], $F242,
          unit_details[Beds], $L242,
          unit_details[Baths], $M242,
          unit_details[Partial Baths],IF(ISNUMBER($N242),$N242,""),
          unit_details[Sqft],$P242))</f>
        <v>0</v>
      </c>
      <c r="AC242" s="27" t="str">
        <f t="shared" si="36"/>
        <v/>
      </c>
      <c r="AD242" s="293" t="str">
        <f>IFERROR(IF(AE242="","",IF($F242="Total",
SUMPRODUCT(
   INDEX(AD:AD, ROW()-COUNTIF($F$6:INDEX($F:$F, ROW()-1), $F241)) : INDEX(AD:AD, ROW()-1),
   INDEX(AB:AB, ROW()-COUNTIF($F$6:INDEX($F:$F, ROW()-1), $F241)) : INDEX(AB:AB, ROW()-1)
   )
   /SUM(INDEX(AB:AB, ROW()-COUNTIF($F$6:INDEX($F:$F, ROW()-1), $F241)) : INDEX(AB:AB, ROW()-1)),
          _xlfn.MINIFS(unit_details[Asking Rent],
          unit_details[Active Listing?],TRUE,
          unit_details[Property Name], $F242,
          unit_details[Beds], $L242,
          unit_details[Baths], $M242,
          unit_details[Partial Baths], IF(ISNUMBER($N242),$N242,""),
          unit_details[Sqft],$P242
))),"")</f>
        <v/>
      </c>
      <c r="AE242" s="5" t="str">
        <f>IFERROR(IF($F242="Total",
          SUMPRODUCT(
   INDEX(AE:AE, ROW()-COUNTIF($F$6:INDEX($F:$F, ROW()-1), $F241)) : INDEX(AE:AE, ROW()-1),
   INDEX(AB:AB, ROW()-COUNTIF($F$6:INDEX($F:$F, ROW()-1), $F241)) : INDEX(AB:AB, ROW()-1)
   )
   /SUM(INDEX(AB:AB, ROW()-COUNTIF($F$6:INDEX($F:$F, ROW()-1), $F241)) : INDEX(AB:AB, ROW()-1)),
          AVERAGEIFS(unit_details[Asking Rent],
          unit_details[Active Listing?],TRUE,
          unit_details[Property Name], $F242,
          unit_details[Beds], $L242,
          unit_details[Baths], $M242,
          unit_details[Partial Baths], IF(ISNUMBER($N242),$N242,""),
          unit_details[Sqft],$P242
)),"")</f>
        <v/>
      </c>
      <c r="AF242" s="5" t="str">
        <f>IFERROR(IF(AE242="","",IF($F242="Total",
SUMPRODUCT(
   INDEX(AF:AF, ROW()-COUNTIF($F$6:INDEX($F:$F, ROW()-1), $F241)) : INDEX(AF:AF, ROW()-1),
   INDEX(AB:AB, ROW()-COUNTIF($F$6:INDEX($F:$F, ROW()-1), $F241)) : INDEX(AB:AB, ROW()-1)
   )
   /SUM(INDEX(AB:AB, ROW()-COUNTIF($F$6:INDEX($F:$F, ROW()-1), $F241)) : INDEX(AB:AB, ROW()-1)),
           _xlfn.MAXIFS(unit_details[Asking Rent],
          unit_details[Active Listing?],TRUE,
          unit_details[Property Name], $F242,
          unit_details[Beds], $L242,
          unit_details[Baths], $M242,
          unit_details[Partial Baths], IF(ISNUMBER($N242),$N242,""),
          unit_details[Sqft],$P242
))),"")</f>
        <v/>
      </c>
      <c r="AG242" s="6" t="str">
        <f>IFERROR(IF($F242="Total",
         SUMPRODUCT(
         INDEX(AG:AG, ROW()-COUNTIF($F$6:INDEX($F:$F, ROW()-1), $F241)) : INDEX(AG:AG, ROW()-1),
         INDEX(AB:AB, ROW()-COUNTIF($F$6:INDEX($F:$F, ROW()-1), $F241)) : INDEX(AB:AB, ROW()-1)
         )
         /SUM(INDEX(AB:AB, ROW()-COUNTIF($F$6:INDEX($F:$F, ROW()-1), $F241)) : INDEX(AB:AB, ROW()-1)),
          AVERAGEIFS(unit_details[Asking PSF],
          unit_details[Active Listing?],TRUE,
          unit_details[Property Name], $F242,
          unit_details[Beds], $L242,
          unit_details[Baths], $M242,
          unit_details[Partial Baths], IF(ISNUMBER($N242),$N242,""),
          unit_details[Sqft],$P242
)),"")</f>
        <v/>
      </c>
      <c r="AH242" s="293" t="str">
        <f>IFERROR(IF($F242="Total",
         SUMPRODUCT(
         INDEX(AH:AH, ROW()-COUNTIF($F$6:INDEX($F:$F, ROW()-1), $F241)) : INDEX(AH:AH, ROW()-1),
         INDEX(AB:AB, ROW()-COUNTIF($F$6:INDEX($F:$F, ROW()-1), $F241)) : INDEX(AB:AB, ROW()-1)
         )
         /SUM(INDEX(AB:AB, ROW()-COUNTIF($F$6:INDEX($F:$F, ROW()-1), $F241)) : INDEX(AB:AB, ROW()-1)),
          AVERAGEIFS(unit_details[Effective Rent],
          unit_details[Active Listing?],TRUE,
          unit_details[Property Name], $F242,
          unit_details[Beds], $L242,
          unit_details[Baths], $M242,
          unit_details[Partial Baths], IF(ISNUMBER($N242),$N242,""),
          unit_details[Sqft],$P242
)),"")</f>
        <v/>
      </c>
      <c r="AI242" s="6" t="str">
        <f>IFERROR(IF($F242="Total",
         SUMPRODUCT(
         INDEX(AI:AI, ROW()-COUNTIF($F$6:INDEX($F:$F, ROW()-1), $F241)) : INDEX(AI:AI, ROW()-1),
         INDEX(AB:AB, ROW()-COUNTIF($F$6:INDEX($F:$F, ROW()-1), $F241)) : INDEX(AB:AB, ROW()-1)
         )
         /SUM(INDEX(AB:AB, ROW()-COUNTIF($F$6:INDEX($F:$F, ROW()-1), $F241)) : INDEX(AB:AB, ROW()-1)),
           AVERAGEIFS(unit_details[Effective PSF],
          unit_details[Active Listing?],TRUE,
          unit_details[Property Name], $F242,
          unit_details[Beds], $L242,
          unit_details[Baths], $M242,
          unit_details[Partial Baths], IF(ISNUMBER($N242),$N242,""),
          unit_details[Sqft],$P242
)),"")</f>
        <v/>
      </c>
      <c r="AJ242" s="824" t="str">
        <f t="shared" si="37"/>
        <v/>
      </c>
      <c r="AK242" s="531" t="str">
        <f t="shared" si="38"/>
        <v/>
      </c>
      <c r="AL242" s="714" t="str">
        <f t="shared" si="39"/>
        <v/>
      </c>
      <c r="AM242" s="531" t="str">
        <f t="shared" si="40"/>
        <v/>
      </c>
      <c r="AN242" s="716" t="str">
        <f t="shared" si="41"/>
        <v/>
      </c>
    </row>
    <row r="243" spans="6:40" x14ac:dyDescent="0.2">
      <c r="F243" s="1" t="str">
        <f t="shared" si="34"/>
        <v/>
      </c>
      <c r="G243" s="713" t="str">
        <f t="shared" si="42"/>
        <v/>
      </c>
      <c r="H243" s="17" t="str">
        <f>IFERROR(VLOOKUP($G243,Table1[[Property]:[Exposure %]],4,0),"")</f>
        <v/>
      </c>
      <c r="I243" s="3" t="str">
        <f>IFERROR(VLOOKUP($G243,Table1[[Property]:[Exposure %]],6,0),"")</f>
        <v/>
      </c>
      <c r="J243" s="3" t="str">
        <f>IFERROR(VLOOKUP($G243,Table1[[Property]:[Exposure %]],7,0),"")</f>
        <v/>
      </c>
      <c r="K243"/>
      <c r="L243"/>
      <c r="M243"/>
      <c r="N243"/>
      <c r="O243"/>
      <c r="P243"/>
      <c r="Q243"/>
      <c r="R243" s="4" t="str">
        <f>IFERROR(VLOOKUP(IF(F243="Total",F242,F243),Table1[[Property]:['# Units]],7,0)*S243,"")</f>
        <v/>
      </c>
      <c r="S243" s="27" t="str">
        <f t="shared" si="35"/>
        <v/>
      </c>
      <c r="T243" s="531" t="str">
        <f>IFERROR(
 IF($F243="Total",
   SUMPRODUCT(
   INDEX(T:T, ROW()-COUNTIF($F$6:INDEX($F:$F, ROW()-1), $F242)) : INDEX(T:T, ROW()-1),
   INDEX(W:W, ROW()-COUNTIF($F$6:INDEX($F:$F, ROW()-1), $F242)) : INDEX(W:W, ROW()-1)
   )
   /SUM(INDEX(W:W, ROW()-COUNTIF($F$6:INDEX($F:$F, ROW()-1), $F242)) : INDEX(W:W, ROW()-1)),
   AVERAGEIFS(
     INDEX((unit_details[Asking Rent],unit_details[Asking PSF]),0,1,IF($U$3="Chunk Rent",1,2)),
     unit_details[Leased Date],"&gt;="&amp;($AM$2-T$5),
     unit_details[Leased Date],"&lt;"&amp;$AM$2,
     unit_details[Beds],$L243,
     unit_details[Baths],$M243,
     unit_details[Partial Baths],IF(ISNUMBER($N243),$N243,""),
     unit_details[Sqft],$P243,
     unit_details[Property Name],$F243)
 ),"")</f>
        <v/>
      </c>
      <c r="U243" s="552" t="str">
        <f>IFERROR(
 IF($F243="Total",
   SUMPRODUCT(
   INDEX(U:U, ROW()-COUNTIF($F$6:INDEX($F:$F, ROW()-1), $F242)) : INDEX(U:U, ROW()-1),
   INDEX(W:W, ROW()-COUNTIF($F$6:INDEX($F:$F, ROW()-1), $F242)) : INDEX(W:W, ROW()-1)
   )
   /SUM(INDEX(W:W, ROW()-COUNTIF($F$6:INDEX($F:$F, ROW()-1), $F242)) : INDEX(W:W, ROW()-1)),
   AVERAGEIFS(
     INDEX((unit_details[Effective Rent],unit_details[Effective PSF]),0,1,IF($U$3="Chunk Rent",1,2)),
     unit_details[Leased Date],"&gt;="&amp;($AM$2-T$5),
     unit_details[Leased Date],"&lt;"&amp;$AM$2,
     unit_details[Beds],$L243,
     unit_details[Baths],$M243,
     unit_details[Partial Baths],IF(ISNUMBER($N243),$N243,""),
     unit_details[Sqft],$P243,
     unit_details[Property Name],$F243)
 ),"")</f>
        <v/>
      </c>
      <c r="V243" s="27" t="str">
        <f t="shared" si="43"/>
        <v/>
      </c>
      <c r="W243" s="526">
        <f>IFERROR(
  IF($F243="Total",
    SUM(INDEX(W:W, ROW()-COUNTIF($F$6:INDEX($F:$F, ROW()-1), $F242)) : INDEX(W:W, ROW()-1)),
    COUNTIFS(
      unit_details[Leased Date], "&gt;="&amp;($AM$2-T$5),
      unit_details[Leased Date], "&lt;"&amp;$AM$2,
      unit_details[Beds], $L243,
      unit_details[Baths], $M243,
      unit_details[Partial Baths], IF(ISNUMBER($N243), $N243, ""),
      unit_details[Sqft],$P243,
      unit_details[Property Name], $F243
    )
  ),
"")</f>
        <v>0</v>
      </c>
      <c r="X243" s="531" t="str">
        <f>IFERROR(
 IF($F243="Total",
   SUMPRODUCT(
   INDEX(X:X, ROW()-COUNTIF($F$6:INDEX($F:$F, ROW()-1), $F242)) : INDEX(X:X, ROW()-1),
   INDEX(AA:AA, ROW()-COUNTIF($F$6:INDEX($F:$F, ROW()-1), $F242)) : INDEX(AA:AA, ROW()-1)
   )
   /SUM(INDEX(AA:AA, ROW()-COUNTIF($F$6:INDEX($F:$F, ROW()-1), $F242)) : INDEX(AA:AA, ROW()-1)),
   AVERAGEIFS(
     INDEX((unit_details[Asking Rent],unit_details[Asking PSF]),0,1,IF($U$3="Chunk Rent",1,2)),
     unit_details[Leased Date],"&gt;="&amp;($AM$2-X$5),
     unit_details[Leased Date],"&lt;"&amp;$AM$2,
     unit_details[Beds],$L243,
     unit_details[Baths],$M243,
     unit_details[Partial Baths],IF(ISNUMBER($N243),$N243,""),
     unit_details[Sqft],$P243,
     unit_details[Property Name],$F243)
 ),"")</f>
        <v/>
      </c>
      <c r="Y243" s="552" t="str">
        <f>IFERROR(
 IF($F243="Total",
   SUMPRODUCT(
   INDEX(Y:Y, ROW()-COUNTIF($F$6:INDEX($F:$F, ROW()-1), $F242)) : INDEX(Y:Y, ROW()-1),
   INDEX(AA:AA, ROW()-COUNTIF($F$6:INDEX($F:$F, ROW()-1), $F242)) : INDEX(AA:AA, ROW()-1)
   )
   /SUM(INDEX(AA:AA, ROW()-COUNTIF($F$6:INDEX($F:$F, ROW()-1), $F242)) : INDEX(AA:AA, ROW()-1)),
   AVERAGEIFS(
     INDEX((unit_details[Effective Rent],unit_details[Effective PSF]),0,1,IF($U$3="Chunk Rent",1,2)),
     unit_details[Leased Date],"&gt;="&amp;($AM$2-X$5),
     unit_details[Leased Date],"&lt;"&amp;$AM$2,
     unit_details[Beds],$L243,
     unit_details[Baths],$M243,
     unit_details[Partial Baths],IF(ISNUMBER($N243),$N243,""),
     unit_details[Sqft],$P243,
     unit_details[Property Name],$F243)
 ),"")</f>
        <v/>
      </c>
      <c r="Z243" s="27" t="str">
        <f t="shared" si="44"/>
        <v/>
      </c>
      <c r="AA243" s="526">
        <f>IFERROR(
  IF($F243="Total",
    SUM(INDEX(AA:AA, ROW()-COUNTIF($F$6:INDEX($F:$F, ROW()-1), $F242)) : INDEX(AA:AA, ROW()-1)),
    COUNTIFS(
      unit_details[Leased Date], "&gt;="&amp;($AM$2-X$5),
      unit_details[Leased Date], "&lt;"&amp;$AM$2,
      unit_details[Beds], $L243,
      unit_details[Baths], $M243,
      unit_details[Partial Baths], IF(ISNUMBER($N243), $N243, ""),
      unit_details[Sqft],$P243,
      unit_details[Property Name], $F243
    )
  ),
"")</f>
        <v>0</v>
      </c>
      <c r="AB243" s="290">
        <f>IF($F243="Total",
SUM(INDEX(AB:AB, ROW()-COUNTIF($F$6:INDEX($F:$F, ROW()-1), $F242)) : INDEX(AB:AB, ROW()-1)),
COUNTIFS(unit_details[Active Listing?],TRUE,
          unit_details[Property Name], $F243,
          unit_details[Beds], $L243,
          unit_details[Baths], $M243,
          unit_details[Partial Baths],IF(ISNUMBER($N243),$N243,""),
          unit_details[Sqft],$P243))</f>
        <v>0</v>
      </c>
      <c r="AC243" s="27" t="str">
        <f t="shared" si="36"/>
        <v/>
      </c>
      <c r="AD243" s="293" t="str">
        <f>IFERROR(IF(AE243="","",IF($F243="Total",
SUMPRODUCT(
   INDEX(AD:AD, ROW()-COUNTIF($F$6:INDEX($F:$F, ROW()-1), $F242)) : INDEX(AD:AD, ROW()-1),
   INDEX(AB:AB, ROW()-COUNTIF($F$6:INDEX($F:$F, ROW()-1), $F242)) : INDEX(AB:AB, ROW()-1)
   )
   /SUM(INDEX(AB:AB, ROW()-COUNTIF($F$6:INDEX($F:$F, ROW()-1), $F242)) : INDEX(AB:AB, ROW()-1)),
          _xlfn.MINIFS(unit_details[Asking Rent],
          unit_details[Active Listing?],TRUE,
          unit_details[Property Name], $F243,
          unit_details[Beds], $L243,
          unit_details[Baths], $M243,
          unit_details[Partial Baths], IF(ISNUMBER($N243),$N243,""),
          unit_details[Sqft],$P243
))),"")</f>
        <v/>
      </c>
      <c r="AE243" s="5" t="str">
        <f>IFERROR(IF($F243="Total",
          SUMPRODUCT(
   INDEX(AE:AE, ROW()-COUNTIF($F$6:INDEX($F:$F, ROW()-1), $F242)) : INDEX(AE:AE, ROW()-1),
   INDEX(AB:AB, ROW()-COUNTIF($F$6:INDEX($F:$F, ROW()-1), $F242)) : INDEX(AB:AB, ROW()-1)
   )
   /SUM(INDEX(AB:AB, ROW()-COUNTIF($F$6:INDEX($F:$F, ROW()-1), $F242)) : INDEX(AB:AB, ROW()-1)),
          AVERAGEIFS(unit_details[Asking Rent],
          unit_details[Active Listing?],TRUE,
          unit_details[Property Name], $F243,
          unit_details[Beds], $L243,
          unit_details[Baths], $M243,
          unit_details[Partial Baths], IF(ISNUMBER($N243),$N243,""),
          unit_details[Sqft],$P243
)),"")</f>
        <v/>
      </c>
      <c r="AF243" s="5" t="str">
        <f>IFERROR(IF(AE243="","",IF($F243="Total",
SUMPRODUCT(
   INDEX(AF:AF, ROW()-COUNTIF($F$6:INDEX($F:$F, ROW()-1), $F242)) : INDEX(AF:AF, ROW()-1),
   INDEX(AB:AB, ROW()-COUNTIF($F$6:INDEX($F:$F, ROW()-1), $F242)) : INDEX(AB:AB, ROW()-1)
   )
   /SUM(INDEX(AB:AB, ROW()-COUNTIF($F$6:INDEX($F:$F, ROW()-1), $F242)) : INDEX(AB:AB, ROW()-1)),
           _xlfn.MAXIFS(unit_details[Asking Rent],
          unit_details[Active Listing?],TRUE,
          unit_details[Property Name], $F243,
          unit_details[Beds], $L243,
          unit_details[Baths], $M243,
          unit_details[Partial Baths], IF(ISNUMBER($N243),$N243,""),
          unit_details[Sqft],$P243
))),"")</f>
        <v/>
      </c>
      <c r="AG243" s="6" t="str">
        <f>IFERROR(IF($F243="Total",
         SUMPRODUCT(
         INDEX(AG:AG, ROW()-COUNTIF($F$6:INDEX($F:$F, ROW()-1), $F242)) : INDEX(AG:AG, ROW()-1),
         INDEX(AB:AB, ROW()-COUNTIF($F$6:INDEX($F:$F, ROW()-1), $F242)) : INDEX(AB:AB, ROW()-1)
         )
         /SUM(INDEX(AB:AB, ROW()-COUNTIF($F$6:INDEX($F:$F, ROW()-1), $F242)) : INDEX(AB:AB, ROW()-1)),
          AVERAGEIFS(unit_details[Asking PSF],
          unit_details[Active Listing?],TRUE,
          unit_details[Property Name], $F243,
          unit_details[Beds], $L243,
          unit_details[Baths], $M243,
          unit_details[Partial Baths], IF(ISNUMBER($N243),$N243,""),
          unit_details[Sqft],$P243
)),"")</f>
        <v/>
      </c>
      <c r="AH243" s="293" t="str">
        <f>IFERROR(IF($F243="Total",
         SUMPRODUCT(
         INDEX(AH:AH, ROW()-COUNTIF($F$6:INDEX($F:$F, ROW()-1), $F242)) : INDEX(AH:AH, ROW()-1),
         INDEX(AB:AB, ROW()-COUNTIF($F$6:INDEX($F:$F, ROW()-1), $F242)) : INDEX(AB:AB, ROW()-1)
         )
         /SUM(INDEX(AB:AB, ROW()-COUNTIF($F$6:INDEX($F:$F, ROW()-1), $F242)) : INDEX(AB:AB, ROW()-1)),
          AVERAGEIFS(unit_details[Effective Rent],
          unit_details[Active Listing?],TRUE,
          unit_details[Property Name], $F243,
          unit_details[Beds], $L243,
          unit_details[Baths], $M243,
          unit_details[Partial Baths], IF(ISNUMBER($N243),$N243,""),
          unit_details[Sqft],$P243
)),"")</f>
        <v/>
      </c>
      <c r="AI243" s="6" t="str">
        <f>IFERROR(IF($F243="Total",
         SUMPRODUCT(
         INDEX(AI:AI, ROW()-COUNTIF($F$6:INDEX($F:$F, ROW()-1), $F242)) : INDEX(AI:AI, ROW()-1),
         INDEX(AB:AB, ROW()-COUNTIF($F$6:INDEX($F:$F, ROW()-1), $F242)) : INDEX(AB:AB, ROW()-1)
         )
         /SUM(INDEX(AB:AB, ROW()-COUNTIF($F$6:INDEX($F:$F, ROW()-1), $F242)) : INDEX(AB:AB, ROW()-1)),
           AVERAGEIFS(unit_details[Effective PSF],
          unit_details[Active Listing?],TRUE,
          unit_details[Property Name], $F243,
          unit_details[Beds], $L243,
          unit_details[Baths], $M243,
          unit_details[Partial Baths], IF(ISNUMBER($N243),$N243,""),
          unit_details[Sqft],$P243
)),"")</f>
        <v/>
      </c>
      <c r="AJ243" s="824" t="str">
        <f t="shared" si="37"/>
        <v/>
      </c>
      <c r="AK243" s="531" t="str">
        <f t="shared" si="38"/>
        <v/>
      </c>
      <c r="AL243" s="714" t="str">
        <f t="shared" si="39"/>
        <v/>
      </c>
      <c r="AM243" s="531" t="str">
        <f t="shared" si="40"/>
        <v/>
      </c>
      <c r="AN243" s="716" t="str">
        <f t="shared" si="41"/>
        <v/>
      </c>
    </row>
    <row r="244" spans="6:40" x14ac:dyDescent="0.2">
      <c r="F244" s="1" t="str">
        <f t="shared" si="34"/>
        <v/>
      </c>
      <c r="G244" s="713" t="str">
        <f t="shared" si="42"/>
        <v/>
      </c>
      <c r="H244" s="17" t="str">
        <f>IFERROR(VLOOKUP($G244,Table1[[Property]:[Exposure %]],4,0),"")</f>
        <v/>
      </c>
      <c r="I244" s="3" t="str">
        <f>IFERROR(VLOOKUP($G244,Table1[[Property]:[Exposure %]],6,0),"")</f>
        <v/>
      </c>
      <c r="J244" s="3" t="str">
        <f>IFERROR(VLOOKUP($G244,Table1[[Property]:[Exposure %]],7,0),"")</f>
        <v/>
      </c>
      <c r="K244"/>
      <c r="L244"/>
      <c r="M244"/>
      <c r="N244"/>
      <c r="O244"/>
      <c r="P244"/>
      <c r="Q244"/>
      <c r="R244" s="4" t="str">
        <f>IFERROR(VLOOKUP(IF(F244="Total",F243,F244),Table1[[Property]:['# Units]],7,0)*S244,"")</f>
        <v/>
      </c>
      <c r="S244" s="27" t="str">
        <f t="shared" si="35"/>
        <v/>
      </c>
      <c r="T244" s="531" t="str">
        <f>IFERROR(
 IF($F244="Total",
   SUMPRODUCT(
   INDEX(T:T, ROW()-COUNTIF($F$6:INDEX($F:$F, ROW()-1), $F243)) : INDEX(T:T, ROW()-1),
   INDEX(W:W, ROW()-COUNTIF($F$6:INDEX($F:$F, ROW()-1), $F243)) : INDEX(W:W, ROW()-1)
   )
   /SUM(INDEX(W:W, ROW()-COUNTIF($F$6:INDEX($F:$F, ROW()-1), $F243)) : INDEX(W:W, ROW()-1)),
   AVERAGEIFS(
     INDEX((unit_details[Asking Rent],unit_details[Asking PSF]),0,1,IF($U$3="Chunk Rent",1,2)),
     unit_details[Leased Date],"&gt;="&amp;($AM$2-T$5),
     unit_details[Leased Date],"&lt;"&amp;$AM$2,
     unit_details[Beds],$L244,
     unit_details[Baths],$M244,
     unit_details[Partial Baths],IF(ISNUMBER($N244),$N244,""),
     unit_details[Sqft],$P244,
     unit_details[Property Name],$F244)
 ),"")</f>
        <v/>
      </c>
      <c r="U244" s="552" t="str">
        <f>IFERROR(
 IF($F244="Total",
   SUMPRODUCT(
   INDEX(U:U, ROW()-COUNTIF($F$6:INDEX($F:$F, ROW()-1), $F243)) : INDEX(U:U, ROW()-1),
   INDEX(W:W, ROW()-COUNTIF($F$6:INDEX($F:$F, ROW()-1), $F243)) : INDEX(W:W, ROW()-1)
   )
   /SUM(INDEX(W:W, ROW()-COUNTIF($F$6:INDEX($F:$F, ROW()-1), $F243)) : INDEX(W:W, ROW()-1)),
   AVERAGEIFS(
     INDEX((unit_details[Effective Rent],unit_details[Effective PSF]),0,1,IF($U$3="Chunk Rent",1,2)),
     unit_details[Leased Date],"&gt;="&amp;($AM$2-T$5),
     unit_details[Leased Date],"&lt;"&amp;$AM$2,
     unit_details[Beds],$L244,
     unit_details[Baths],$M244,
     unit_details[Partial Baths],IF(ISNUMBER($N244),$N244,""),
     unit_details[Sqft],$P244,
     unit_details[Property Name],$F244)
 ),"")</f>
        <v/>
      </c>
      <c r="V244" s="27" t="str">
        <f t="shared" si="43"/>
        <v/>
      </c>
      <c r="W244" s="526">
        <f>IFERROR(
  IF($F244="Total",
    SUM(INDEX(W:W, ROW()-COUNTIF($F$6:INDEX($F:$F, ROW()-1), $F243)) : INDEX(W:W, ROW()-1)),
    COUNTIFS(
      unit_details[Leased Date], "&gt;="&amp;($AM$2-T$5),
      unit_details[Leased Date], "&lt;"&amp;$AM$2,
      unit_details[Beds], $L244,
      unit_details[Baths], $M244,
      unit_details[Partial Baths], IF(ISNUMBER($N244), $N244, ""),
      unit_details[Sqft],$P244,
      unit_details[Property Name], $F244
    )
  ),
"")</f>
        <v>0</v>
      </c>
      <c r="X244" s="531" t="str">
        <f>IFERROR(
 IF($F244="Total",
   SUMPRODUCT(
   INDEX(X:X, ROW()-COUNTIF($F$6:INDEX($F:$F, ROW()-1), $F243)) : INDEX(X:X, ROW()-1),
   INDEX(AA:AA, ROW()-COUNTIF($F$6:INDEX($F:$F, ROW()-1), $F243)) : INDEX(AA:AA, ROW()-1)
   )
   /SUM(INDEX(AA:AA, ROW()-COUNTIF($F$6:INDEX($F:$F, ROW()-1), $F243)) : INDEX(AA:AA, ROW()-1)),
   AVERAGEIFS(
     INDEX((unit_details[Asking Rent],unit_details[Asking PSF]),0,1,IF($U$3="Chunk Rent",1,2)),
     unit_details[Leased Date],"&gt;="&amp;($AM$2-X$5),
     unit_details[Leased Date],"&lt;"&amp;$AM$2,
     unit_details[Beds],$L244,
     unit_details[Baths],$M244,
     unit_details[Partial Baths],IF(ISNUMBER($N244),$N244,""),
     unit_details[Sqft],$P244,
     unit_details[Property Name],$F244)
 ),"")</f>
        <v/>
      </c>
      <c r="Y244" s="552" t="str">
        <f>IFERROR(
 IF($F244="Total",
   SUMPRODUCT(
   INDEX(Y:Y, ROW()-COUNTIF($F$6:INDEX($F:$F, ROW()-1), $F243)) : INDEX(Y:Y, ROW()-1),
   INDEX(AA:AA, ROW()-COUNTIF($F$6:INDEX($F:$F, ROW()-1), $F243)) : INDEX(AA:AA, ROW()-1)
   )
   /SUM(INDEX(AA:AA, ROW()-COUNTIF($F$6:INDEX($F:$F, ROW()-1), $F243)) : INDEX(AA:AA, ROW()-1)),
   AVERAGEIFS(
     INDEX((unit_details[Effective Rent],unit_details[Effective PSF]),0,1,IF($U$3="Chunk Rent",1,2)),
     unit_details[Leased Date],"&gt;="&amp;($AM$2-X$5),
     unit_details[Leased Date],"&lt;"&amp;$AM$2,
     unit_details[Beds],$L244,
     unit_details[Baths],$M244,
     unit_details[Partial Baths],IF(ISNUMBER($N244),$N244,""),
     unit_details[Sqft],$P244,
     unit_details[Property Name],$F244)
 ),"")</f>
        <v/>
      </c>
      <c r="Z244" s="27" t="str">
        <f t="shared" si="44"/>
        <v/>
      </c>
      <c r="AA244" s="526">
        <f>IFERROR(
  IF($F244="Total",
    SUM(INDEX(AA:AA, ROW()-COUNTIF($F$6:INDEX($F:$F, ROW()-1), $F243)) : INDEX(AA:AA, ROW()-1)),
    COUNTIFS(
      unit_details[Leased Date], "&gt;="&amp;($AM$2-X$5),
      unit_details[Leased Date], "&lt;"&amp;$AM$2,
      unit_details[Beds], $L244,
      unit_details[Baths], $M244,
      unit_details[Partial Baths], IF(ISNUMBER($N244), $N244, ""),
      unit_details[Sqft],$P244,
      unit_details[Property Name], $F244
    )
  ),
"")</f>
        <v>0</v>
      </c>
      <c r="AB244" s="290">
        <f>IF($F244="Total",
SUM(INDEX(AB:AB, ROW()-COUNTIF($F$6:INDEX($F:$F, ROW()-1), $F243)) : INDEX(AB:AB, ROW()-1)),
COUNTIFS(unit_details[Active Listing?],TRUE,
          unit_details[Property Name], $F244,
          unit_details[Beds], $L244,
          unit_details[Baths], $M244,
          unit_details[Partial Baths],IF(ISNUMBER($N244),$N244,""),
          unit_details[Sqft],$P244))</f>
        <v>0</v>
      </c>
      <c r="AC244" s="27" t="str">
        <f t="shared" si="36"/>
        <v/>
      </c>
      <c r="AD244" s="293" t="str">
        <f>IFERROR(IF(AE244="","",IF($F244="Total",
SUMPRODUCT(
   INDEX(AD:AD, ROW()-COUNTIF($F$6:INDEX($F:$F, ROW()-1), $F243)) : INDEX(AD:AD, ROW()-1),
   INDEX(AB:AB, ROW()-COUNTIF($F$6:INDEX($F:$F, ROW()-1), $F243)) : INDEX(AB:AB, ROW()-1)
   )
   /SUM(INDEX(AB:AB, ROW()-COUNTIF($F$6:INDEX($F:$F, ROW()-1), $F243)) : INDEX(AB:AB, ROW()-1)),
          _xlfn.MINIFS(unit_details[Asking Rent],
          unit_details[Active Listing?],TRUE,
          unit_details[Property Name], $F244,
          unit_details[Beds], $L244,
          unit_details[Baths], $M244,
          unit_details[Partial Baths], IF(ISNUMBER($N244),$N244,""),
          unit_details[Sqft],$P244
))),"")</f>
        <v/>
      </c>
      <c r="AE244" s="5" t="str">
        <f>IFERROR(IF($F244="Total",
          SUMPRODUCT(
   INDEX(AE:AE, ROW()-COUNTIF($F$6:INDEX($F:$F, ROW()-1), $F243)) : INDEX(AE:AE, ROW()-1),
   INDEX(AB:AB, ROW()-COUNTIF($F$6:INDEX($F:$F, ROW()-1), $F243)) : INDEX(AB:AB, ROW()-1)
   )
   /SUM(INDEX(AB:AB, ROW()-COUNTIF($F$6:INDEX($F:$F, ROW()-1), $F243)) : INDEX(AB:AB, ROW()-1)),
          AVERAGEIFS(unit_details[Asking Rent],
          unit_details[Active Listing?],TRUE,
          unit_details[Property Name], $F244,
          unit_details[Beds], $L244,
          unit_details[Baths], $M244,
          unit_details[Partial Baths], IF(ISNUMBER($N244),$N244,""),
          unit_details[Sqft],$P244
)),"")</f>
        <v/>
      </c>
      <c r="AF244" s="5" t="str">
        <f>IFERROR(IF(AE244="","",IF($F244="Total",
SUMPRODUCT(
   INDEX(AF:AF, ROW()-COUNTIF($F$6:INDEX($F:$F, ROW()-1), $F243)) : INDEX(AF:AF, ROW()-1),
   INDEX(AB:AB, ROW()-COUNTIF($F$6:INDEX($F:$F, ROW()-1), $F243)) : INDEX(AB:AB, ROW()-1)
   )
   /SUM(INDEX(AB:AB, ROW()-COUNTIF($F$6:INDEX($F:$F, ROW()-1), $F243)) : INDEX(AB:AB, ROW()-1)),
           _xlfn.MAXIFS(unit_details[Asking Rent],
          unit_details[Active Listing?],TRUE,
          unit_details[Property Name], $F244,
          unit_details[Beds], $L244,
          unit_details[Baths], $M244,
          unit_details[Partial Baths], IF(ISNUMBER($N244),$N244,""),
          unit_details[Sqft],$P244
))),"")</f>
        <v/>
      </c>
      <c r="AG244" s="6" t="str">
        <f>IFERROR(IF($F244="Total",
         SUMPRODUCT(
         INDEX(AG:AG, ROW()-COUNTIF($F$6:INDEX($F:$F, ROW()-1), $F243)) : INDEX(AG:AG, ROW()-1),
         INDEX(AB:AB, ROW()-COUNTIF($F$6:INDEX($F:$F, ROW()-1), $F243)) : INDEX(AB:AB, ROW()-1)
         )
         /SUM(INDEX(AB:AB, ROW()-COUNTIF($F$6:INDEX($F:$F, ROW()-1), $F243)) : INDEX(AB:AB, ROW()-1)),
          AVERAGEIFS(unit_details[Asking PSF],
          unit_details[Active Listing?],TRUE,
          unit_details[Property Name], $F244,
          unit_details[Beds], $L244,
          unit_details[Baths], $M244,
          unit_details[Partial Baths], IF(ISNUMBER($N244),$N244,""),
          unit_details[Sqft],$P244
)),"")</f>
        <v/>
      </c>
      <c r="AH244" s="293" t="str">
        <f>IFERROR(IF($F244="Total",
         SUMPRODUCT(
         INDEX(AH:AH, ROW()-COUNTIF($F$6:INDEX($F:$F, ROW()-1), $F243)) : INDEX(AH:AH, ROW()-1),
         INDEX(AB:AB, ROW()-COUNTIF($F$6:INDEX($F:$F, ROW()-1), $F243)) : INDEX(AB:AB, ROW()-1)
         )
         /SUM(INDEX(AB:AB, ROW()-COUNTIF($F$6:INDEX($F:$F, ROW()-1), $F243)) : INDEX(AB:AB, ROW()-1)),
          AVERAGEIFS(unit_details[Effective Rent],
          unit_details[Active Listing?],TRUE,
          unit_details[Property Name], $F244,
          unit_details[Beds], $L244,
          unit_details[Baths], $M244,
          unit_details[Partial Baths], IF(ISNUMBER($N244),$N244,""),
          unit_details[Sqft],$P244
)),"")</f>
        <v/>
      </c>
      <c r="AI244" s="6" t="str">
        <f>IFERROR(IF($F244="Total",
         SUMPRODUCT(
         INDEX(AI:AI, ROW()-COUNTIF($F$6:INDEX($F:$F, ROW()-1), $F243)) : INDEX(AI:AI, ROW()-1),
         INDEX(AB:AB, ROW()-COUNTIF($F$6:INDEX($F:$F, ROW()-1), $F243)) : INDEX(AB:AB, ROW()-1)
         )
         /SUM(INDEX(AB:AB, ROW()-COUNTIF($F$6:INDEX($F:$F, ROW()-1), $F243)) : INDEX(AB:AB, ROW()-1)),
           AVERAGEIFS(unit_details[Effective PSF],
          unit_details[Active Listing?],TRUE,
          unit_details[Property Name], $F244,
          unit_details[Beds], $L244,
          unit_details[Baths], $M244,
          unit_details[Partial Baths], IF(ISNUMBER($N244),$N244,""),
          unit_details[Sqft],$P244
)),"")</f>
        <v/>
      </c>
      <c r="AJ244" s="824" t="str">
        <f t="shared" si="37"/>
        <v/>
      </c>
      <c r="AK244" s="531" t="str">
        <f t="shared" si="38"/>
        <v/>
      </c>
      <c r="AL244" s="714" t="str">
        <f t="shared" si="39"/>
        <v/>
      </c>
      <c r="AM244" s="531" t="str">
        <f t="shared" si="40"/>
        <v/>
      </c>
      <c r="AN244" s="716" t="str">
        <f t="shared" si="41"/>
        <v/>
      </c>
    </row>
    <row r="245" spans="6:40" x14ac:dyDescent="0.2">
      <c r="F245" s="1" t="str">
        <f t="shared" si="34"/>
        <v/>
      </c>
      <c r="G245" s="713" t="str">
        <f t="shared" si="42"/>
        <v/>
      </c>
      <c r="H245" s="17" t="str">
        <f>IFERROR(VLOOKUP($G245,Table1[[Property]:[Exposure %]],4,0),"")</f>
        <v/>
      </c>
      <c r="I245" s="3" t="str">
        <f>IFERROR(VLOOKUP($G245,Table1[[Property]:[Exposure %]],6,0),"")</f>
        <v/>
      </c>
      <c r="J245" s="3" t="str">
        <f>IFERROR(VLOOKUP($G245,Table1[[Property]:[Exposure %]],7,0),"")</f>
        <v/>
      </c>
      <c r="K245"/>
      <c r="L245"/>
      <c r="M245"/>
      <c r="N245"/>
      <c r="O245"/>
      <c r="P245"/>
      <c r="Q245"/>
      <c r="R245" s="4" t="str">
        <f>IFERROR(VLOOKUP(IF(F245="Total",F244,F245),Table1[[Property]:['# Units]],7,0)*S245,"")</f>
        <v/>
      </c>
      <c r="S245" s="27" t="str">
        <f t="shared" si="35"/>
        <v/>
      </c>
      <c r="T245" s="531" t="str">
        <f>IFERROR(
 IF($F245="Total",
   SUMPRODUCT(
   INDEX(T:T, ROW()-COUNTIF($F$6:INDEX($F:$F, ROW()-1), $F244)) : INDEX(T:T, ROW()-1),
   INDEX(W:W, ROW()-COUNTIF($F$6:INDEX($F:$F, ROW()-1), $F244)) : INDEX(W:W, ROW()-1)
   )
   /SUM(INDEX(W:W, ROW()-COUNTIF($F$6:INDEX($F:$F, ROW()-1), $F244)) : INDEX(W:W, ROW()-1)),
   AVERAGEIFS(
     INDEX((unit_details[Asking Rent],unit_details[Asking PSF]),0,1,IF($U$3="Chunk Rent",1,2)),
     unit_details[Leased Date],"&gt;="&amp;($AM$2-T$5),
     unit_details[Leased Date],"&lt;"&amp;$AM$2,
     unit_details[Beds],$L245,
     unit_details[Baths],$M245,
     unit_details[Partial Baths],IF(ISNUMBER($N245),$N245,""),
     unit_details[Sqft],$P245,
     unit_details[Property Name],$F245)
 ),"")</f>
        <v/>
      </c>
      <c r="U245" s="552" t="str">
        <f>IFERROR(
 IF($F245="Total",
   SUMPRODUCT(
   INDEX(U:U, ROW()-COUNTIF($F$6:INDEX($F:$F, ROW()-1), $F244)) : INDEX(U:U, ROW()-1),
   INDEX(W:W, ROW()-COUNTIF($F$6:INDEX($F:$F, ROW()-1), $F244)) : INDEX(W:W, ROW()-1)
   )
   /SUM(INDEX(W:W, ROW()-COUNTIF($F$6:INDEX($F:$F, ROW()-1), $F244)) : INDEX(W:W, ROW()-1)),
   AVERAGEIFS(
     INDEX((unit_details[Effective Rent],unit_details[Effective PSF]),0,1,IF($U$3="Chunk Rent",1,2)),
     unit_details[Leased Date],"&gt;="&amp;($AM$2-T$5),
     unit_details[Leased Date],"&lt;"&amp;$AM$2,
     unit_details[Beds],$L245,
     unit_details[Baths],$M245,
     unit_details[Partial Baths],IF(ISNUMBER($N245),$N245,""),
     unit_details[Sqft],$P245,
     unit_details[Property Name],$F245)
 ),"")</f>
        <v/>
      </c>
      <c r="V245" s="27" t="str">
        <f t="shared" si="43"/>
        <v/>
      </c>
      <c r="W245" s="526">
        <f>IFERROR(
  IF($F245="Total",
    SUM(INDEX(W:W, ROW()-COUNTIF($F$6:INDEX($F:$F, ROW()-1), $F244)) : INDEX(W:W, ROW()-1)),
    COUNTIFS(
      unit_details[Leased Date], "&gt;="&amp;($AM$2-T$5),
      unit_details[Leased Date], "&lt;"&amp;$AM$2,
      unit_details[Beds], $L245,
      unit_details[Baths], $M245,
      unit_details[Partial Baths], IF(ISNUMBER($N245), $N245, ""),
      unit_details[Sqft],$P245,
      unit_details[Property Name], $F245
    )
  ),
"")</f>
        <v>0</v>
      </c>
      <c r="X245" s="531" t="str">
        <f>IFERROR(
 IF($F245="Total",
   SUMPRODUCT(
   INDEX(X:X, ROW()-COUNTIF($F$6:INDEX($F:$F, ROW()-1), $F244)) : INDEX(X:X, ROW()-1),
   INDEX(AA:AA, ROW()-COUNTIF($F$6:INDEX($F:$F, ROW()-1), $F244)) : INDEX(AA:AA, ROW()-1)
   )
   /SUM(INDEX(AA:AA, ROW()-COUNTIF($F$6:INDEX($F:$F, ROW()-1), $F244)) : INDEX(AA:AA, ROW()-1)),
   AVERAGEIFS(
     INDEX((unit_details[Asking Rent],unit_details[Asking PSF]),0,1,IF($U$3="Chunk Rent",1,2)),
     unit_details[Leased Date],"&gt;="&amp;($AM$2-X$5),
     unit_details[Leased Date],"&lt;"&amp;$AM$2,
     unit_details[Beds],$L245,
     unit_details[Baths],$M245,
     unit_details[Partial Baths],IF(ISNUMBER($N245),$N245,""),
     unit_details[Sqft],$P245,
     unit_details[Property Name],$F245)
 ),"")</f>
        <v/>
      </c>
      <c r="Y245" s="552" t="str">
        <f>IFERROR(
 IF($F245="Total",
   SUMPRODUCT(
   INDEX(Y:Y, ROW()-COUNTIF($F$6:INDEX($F:$F, ROW()-1), $F244)) : INDEX(Y:Y, ROW()-1),
   INDEX(AA:AA, ROW()-COUNTIF($F$6:INDEX($F:$F, ROW()-1), $F244)) : INDEX(AA:AA, ROW()-1)
   )
   /SUM(INDEX(AA:AA, ROW()-COUNTIF($F$6:INDEX($F:$F, ROW()-1), $F244)) : INDEX(AA:AA, ROW()-1)),
   AVERAGEIFS(
     INDEX((unit_details[Effective Rent],unit_details[Effective PSF]),0,1,IF($U$3="Chunk Rent",1,2)),
     unit_details[Leased Date],"&gt;="&amp;($AM$2-X$5),
     unit_details[Leased Date],"&lt;"&amp;$AM$2,
     unit_details[Beds],$L245,
     unit_details[Baths],$M245,
     unit_details[Partial Baths],IF(ISNUMBER($N245),$N245,""),
     unit_details[Sqft],$P245,
     unit_details[Property Name],$F245)
 ),"")</f>
        <v/>
      </c>
      <c r="Z245" s="27" t="str">
        <f t="shared" si="44"/>
        <v/>
      </c>
      <c r="AA245" s="526">
        <f>IFERROR(
  IF($F245="Total",
    SUM(INDEX(AA:AA, ROW()-COUNTIF($F$6:INDEX($F:$F, ROW()-1), $F244)) : INDEX(AA:AA, ROW()-1)),
    COUNTIFS(
      unit_details[Leased Date], "&gt;="&amp;($AM$2-X$5),
      unit_details[Leased Date], "&lt;"&amp;$AM$2,
      unit_details[Beds], $L245,
      unit_details[Baths], $M245,
      unit_details[Partial Baths], IF(ISNUMBER($N245), $N245, ""),
      unit_details[Sqft],$P245,
      unit_details[Property Name], $F245
    )
  ),
"")</f>
        <v>0</v>
      </c>
      <c r="AB245" s="290">
        <f>IF($F245="Total",
SUM(INDEX(AB:AB, ROW()-COUNTIF($F$6:INDEX($F:$F, ROW()-1), $F244)) : INDEX(AB:AB, ROW()-1)),
COUNTIFS(unit_details[Active Listing?],TRUE,
          unit_details[Property Name], $F245,
          unit_details[Beds], $L245,
          unit_details[Baths], $M245,
          unit_details[Partial Baths],IF(ISNUMBER($N245),$N245,""),
          unit_details[Sqft],$P245))</f>
        <v>0</v>
      </c>
      <c r="AC245" s="27" t="str">
        <f t="shared" si="36"/>
        <v/>
      </c>
      <c r="AD245" s="293" t="str">
        <f>IFERROR(IF(AE245="","",IF($F245="Total",
SUMPRODUCT(
   INDEX(AD:AD, ROW()-COUNTIF($F$6:INDEX($F:$F, ROW()-1), $F244)) : INDEX(AD:AD, ROW()-1),
   INDEX(AB:AB, ROW()-COUNTIF($F$6:INDEX($F:$F, ROW()-1), $F244)) : INDEX(AB:AB, ROW()-1)
   )
   /SUM(INDEX(AB:AB, ROW()-COUNTIF($F$6:INDEX($F:$F, ROW()-1), $F244)) : INDEX(AB:AB, ROW()-1)),
          _xlfn.MINIFS(unit_details[Asking Rent],
          unit_details[Active Listing?],TRUE,
          unit_details[Property Name], $F245,
          unit_details[Beds], $L245,
          unit_details[Baths], $M245,
          unit_details[Partial Baths], IF(ISNUMBER($N245),$N245,""),
          unit_details[Sqft],$P245
))),"")</f>
        <v/>
      </c>
      <c r="AE245" s="5" t="str">
        <f>IFERROR(IF($F245="Total",
          SUMPRODUCT(
   INDEX(AE:AE, ROW()-COUNTIF($F$6:INDEX($F:$F, ROW()-1), $F244)) : INDEX(AE:AE, ROW()-1),
   INDEX(AB:AB, ROW()-COUNTIF($F$6:INDEX($F:$F, ROW()-1), $F244)) : INDEX(AB:AB, ROW()-1)
   )
   /SUM(INDEX(AB:AB, ROW()-COUNTIF($F$6:INDEX($F:$F, ROW()-1), $F244)) : INDEX(AB:AB, ROW()-1)),
          AVERAGEIFS(unit_details[Asking Rent],
          unit_details[Active Listing?],TRUE,
          unit_details[Property Name], $F245,
          unit_details[Beds], $L245,
          unit_details[Baths], $M245,
          unit_details[Partial Baths], IF(ISNUMBER($N245),$N245,""),
          unit_details[Sqft],$P245
)),"")</f>
        <v/>
      </c>
      <c r="AF245" s="5" t="str">
        <f>IFERROR(IF(AE245="","",IF($F245="Total",
SUMPRODUCT(
   INDEX(AF:AF, ROW()-COUNTIF($F$6:INDEX($F:$F, ROW()-1), $F244)) : INDEX(AF:AF, ROW()-1),
   INDEX(AB:AB, ROW()-COUNTIF($F$6:INDEX($F:$F, ROW()-1), $F244)) : INDEX(AB:AB, ROW()-1)
   )
   /SUM(INDEX(AB:AB, ROW()-COUNTIF($F$6:INDEX($F:$F, ROW()-1), $F244)) : INDEX(AB:AB, ROW()-1)),
           _xlfn.MAXIFS(unit_details[Asking Rent],
          unit_details[Active Listing?],TRUE,
          unit_details[Property Name], $F245,
          unit_details[Beds], $L245,
          unit_details[Baths], $M245,
          unit_details[Partial Baths], IF(ISNUMBER($N245),$N245,""),
          unit_details[Sqft],$P245
))),"")</f>
        <v/>
      </c>
      <c r="AG245" s="6" t="str">
        <f>IFERROR(IF($F245="Total",
         SUMPRODUCT(
         INDEX(AG:AG, ROW()-COUNTIF($F$6:INDEX($F:$F, ROW()-1), $F244)) : INDEX(AG:AG, ROW()-1),
         INDEX(AB:AB, ROW()-COUNTIF($F$6:INDEX($F:$F, ROW()-1), $F244)) : INDEX(AB:AB, ROW()-1)
         )
         /SUM(INDEX(AB:AB, ROW()-COUNTIF($F$6:INDEX($F:$F, ROW()-1), $F244)) : INDEX(AB:AB, ROW()-1)),
          AVERAGEIFS(unit_details[Asking PSF],
          unit_details[Active Listing?],TRUE,
          unit_details[Property Name], $F245,
          unit_details[Beds], $L245,
          unit_details[Baths], $M245,
          unit_details[Partial Baths], IF(ISNUMBER($N245),$N245,""),
          unit_details[Sqft],$P245
)),"")</f>
        <v/>
      </c>
      <c r="AH245" s="293" t="str">
        <f>IFERROR(IF($F245="Total",
         SUMPRODUCT(
         INDEX(AH:AH, ROW()-COUNTIF($F$6:INDEX($F:$F, ROW()-1), $F244)) : INDEX(AH:AH, ROW()-1),
         INDEX(AB:AB, ROW()-COUNTIF($F$6:INDEX($F:$F, ROW()-1), $F244)) : INDEX(AB:AB, ROW()-1)
         )
         /SUM(INDEX(AB:AB, ROW()-COUNTIF($F$6:INDEX($F:$F, ROW()-1), $F244)) : INDEX(AB:AB, ROW()-1)),
          AVERAGEIFS(unit_details[Effective Rent],
          unit_details[Active Listing?],TRUE,
          unit_details[Property Name], $F245,
          unit_details[Beds], $L245,
          unit_details[Baths], $M245,
          unit_details[Partial Baths], IF(ISNUMBER($N245),$N245,""),
          unit_details[Sqft],$P245
)),"")</f>
        <v/>
      </c>
      <c r="AI245" s="6" t="str">
        <f>IFERROR(IF($F245="Total",
         SUMPRODUCT(
         INDEX(AI:AI, ROW()-COUNTIF($F$6:INDEX($F:$F, ROW()-1), $F244)) : INDEX(AI:AI, ROW()-1),
         INDEX(AB:AB, ROW()-COUNTIF($F$6:INDEX($F:$F, ROW()-1), $F244)) : INDEX(AB:AB, ROW()-1)
         )
         /SUM(INDEX(AB:AB, ROW()-COUNTIF($F$6:INDEX($F:$F, ROW()-1), $F244)) : INDEX(AB:AB, ROW()-1)),
           AVERAGEIFS(unit_details[Effective PSF],
          unit_details[Active Listing?],TRUE,
          unit_details[Property Name], $F245,
          unit_details[Beds], $L245,
          unit_details[Baths], $M245,
          unit_details[Partial Baths], IF(ISNUMBER($N245),$N245,""),
          unit_details[Sqft],$P245
)),"")</f>
        <v/>
      </c>
      <c r="AJ245" s="824" t="str">
        <f t="shared" si="37"/>
        <v/>
      </c>
      <c r="AK245" s="531" t="str">
        <f t="shared" si="38"/>
        <v/>
      </c>
      <c r="AL245" s="714" t="str">
        <f t="shared" si="39"/>
        <v/>
      </c>
      <c r="AM245" s="531" t="str">
        <f t="shared" si="40"/>
        <v/>
      </c>
      <c r="AN245" s="716" t="str">
        <f t="shared" si="41"/>
        <v/>
      </c>
    </row>
    <row r="246" spans="6:40" x14ac:dyDescent="0.2">
      <c r="F246" s="1" t="str">
        <f t="shared" si="34"/>
        <v/>
      </c>
      <c r="G246" s="713" t="str">
        <f t="shared" si="42"/>
        <v/>
      </c>
      <c r="H246" s="17" t="str">
        <f>IFERROR(VLOOKUP($G246,Table1[[Property]:[Exposure %]],4,0),"")</f>
        <v/>
      </c>
      <c r="I246" s="3" t="str">
        <f>IFERROR(VLOOKUP($G246,Table1[[Property]:[Exposure %]],6,0),"")</f>
        <v/>
      </c>
      <c r="J246" s="3" t="str">
        <f>IFERROR(VLOOKUP($G246,Table1[[Property]:[Exposure %]],7,0),"")</f>
        <v/>
      </c>
      <c r="K246"/>
      <c r="L246"/>
      <c r="M246"/>
      <c r="N246"/>
      <c r="O246"/>
      <c r="P246"/>
      <c r="Q246"/>
      <c r="R246" s="4" t="str">
        <f>IFERROR(VLOOKUP(IF(F246="Total",F245,F246),Table1[[Property]:['# Units]],7,0)*S246,"")</f>
        <v/>
      </c>
      <c r="S246" s="27" t="str">
        <f t="shared" si="35"/>
        <v/>
      </c>
      <c r="T246" s="531" t="str">
        <f>IFERROR(
 IF($F246="Total",
   SUMPRODUCT(
   INDEX(T:T, ROW()-COUNTIF($F$6:INDEX($F:$F, ROW()-1), $F245)) : INDEX(T:T, ROW()-1),
   INDEX(W:W, ROW()-COUNTIF($F$6:INDEX($F:$F, ROW()-1), $F245)) : INDEX(W:W, ROW()-1)
   )
   /SUM(INDEX(W:W, ROW()-COUNTIF($F$6:INDEX($F:$F, ROW()-1), $F245)) : INDEX(W:W, ROW()-1)),
   AVERAGEIFS(
     INDEX((unit_details[Asking Rent],unit_details[Asking PSF]),0,1,IF($U$3="Chunk Rent",1,2)),
     unit_details[Leased Date],"&gt;="&amp;($AM$2-T$5),
     unit_details[Leased Date],"&lt;"&amp;$AM$2,
     unit_details[Beds],$L246,
     unit_details[Baths],$M246,
     unit_details[Partial Baths],IF(ISNUMBER($N246),$N246,""),
     unit_details[Sqft],$P246,
     unit_details[Property Name],$F246)
 ),"")</f>
        <v/>
      </c>
      <c r="U246" s="552" t="str">
        <f>IFERROR(
 IF($F246="Total",
   SUMPRODUCT(
   INDEX(U:U, ROW()-COUNTIF($F$6:INDEX($F:$F, ROW()-1), $F245)) : INDEX(U:U, ROW()-1),
   INDEX(W:W, ROW()-COUNTIF($F$6:INDEX($F:$F, ROW()-1), $F245)) : INDEX(W:W, ROW()-1)
   )
   /SUM(INDEX(W:W, ROW()-COUNTIF($F$6:INDEX($F:$F, ROW()-1), $F245)) : INDEX(W:W, ROW()-1)),
   AVERAGEIFS(
     INDEX((unit_details[Effective Rent],unit_details[Effective PSF]),0,1,IF($U$3="Chunk Rent",1,2)),
     unit_details[Leased Date],"&gt;="&amp;($AM$2-T$5),
     unit_details[Leased Date],"&lt;"&amp;$AM$2,
     unit_details[Beds],$L246,
     unit_details[Baths],$M246,
     unit_details[Partial Baths],IF(ISNUMBER($N246),$N246,""),
     unit_details[Sqft],$P246,
     unit_details[Property Name],$F246)
 ),"")</f>
        <v/>
      </c>
      <c r="V246" s="27" t="str">
        <f t="shared" si="43"/>
        <v/>
      </c>
      <c r="W246" s="526">
        <f>IFERROR(
  IF($F246="Total",
    SUM(INDEX(W:W, ROW()-COUNTIF($F$6:INDEX($F:$F, ROW()-1), $F245)) : INDEX(W:W, ROW()-1)),
    COUNTIFS(
      unit_details[Leased Date], "&gt;="&amp;($AM$2-T$5),
      unit_details[Leased Date], "&lt;"&amp;$AM$2,
      unit_details[Beds], $L246,
      unit_details[Baths], $M246,
      unit_details[Partial Baths], IF(ISNUMBER($N246), $N246, ""),
      unit_details[Sqft],$P246,
      unit_details[Property Name], $F246
    )
  ),
"")</f>
        <v>0</v>
      </c>
      <c r="X246" s="531" t="str">
        <f>IFERROR(
 IF($F246="Total",
   SUMPRODUCT(
   INDEX(X:X, ROW()-COUNTIF($F$6:INDEX($F:$F, ROW()-1), $F245)) : INDEX(X:X, ROW()-1),
   INDEX(AA:AA, ROW()-COUNTIF($F$6:INDEX($F:$F, ROW()-1), $F245)) : INDEX(AA:AA, ROW()-1)
   )
   /SUM(INDEX(AA:AA, ROW()-COUNTIF($F$6:INDEX($F:$F, ROW()-1), $F245)) : INDEX(AA:AA, ROW()-1)),
   AVERAGEIFS(
     INDEX((unit_details[Asking Rent],unit_details[Asking PSF]),0,1,IF($U$3="Chunk Rent",1,2)),
     unit_details[Leased Date],"&gt;="&amp;($AM$2-X$5),
     unit_details[Leased Date],"&lt;"&amp;$AM$2,
     unit_details[Beds],$L246,
     unit_details[Baths],$M246,
     unit_details[Partial Baths],IF(ISNUMBER($N246),$N246,""),
     unit_details[Sqft],$P246,
     unit_details[Property Name],$F246)
 ),"")</f>
        <v/>
      </c>
      <c r="Y246" s="552" t="str">
        <f>IFERROR(
 IF($F246="Total",
   SUMPRODUCT(
   INDEX(Y:Y, ROW()-COUNTIF($F$6:INDEX($F:$F, ROW()-1), $F245)) : INDEX(Y:Y, ROW()-1),
   INDEX(AA:AA, ROW()-COUNTIF($F$6:INDEX($F:$F, ROW()-1), $F245)) : INDEX(AA:AA, ROW()-1)
   )
   /SUM(INDEX(AA:AA, ROW()-COUNTIF($F$6:INDEX($F:$F, ROW()-1), $F245)) : INDEX(AA:AA, ROW()-1)),
   AVERAGEIFS(
     INDEX((unit_details[Effective Rent],unit_details[Effective PSF]),0,1,IF($U$3="Chunk Rent",1,2)),
     unit_details[Leased Date],"&gt;="&amp;($AM$2-X$5),
     unit_details[Leased Date],"&lt;"&amp;$AM$2,
     unit_details[Beds],$L246,
     unit_details[Baths],$M246,
     unit_details[Partial Baths],IF(ISNUMBER($N246),$N246,""),
     unit_details[Sqft],$P246,
     unit_details[Property Name],$F246)
 ),"")</f>
        <v/>
      </c>
      <c r="Z246" s="27" t="str">
        <f t="shared" si="44"/>
        <v/>
      </c>
      <c r="AA246" s="526">
        <f>IFERROR(
  IF($F246="Total",
    SUM(INDEX(AA:AA, ROW()-COUNTIF($F$6:INDEX($F:$F, ROW()-1), $F245)) : INDEX(AA:AA, ROW()-1)),
    COUNTIFS(
      unit_details[Leased Date], "&gt;="&amp;($AM$2-X$5),
      unit_details[Leased Date], "&lt;"&amp;$AM$2,
      unit_details[Beds], $L246,
      unit_details[Baths], $M246,
      unit_details[Partial Baths], IF(ISNUMBER($N246), $N246, ""),
      unit_details[Sqft],$P246,
      unit_details[Property Name], $F246
    )
  ),
"")</f>
        <v>0</v>
      </c>
      <c r="AB246" s="290">
        <f>IF($F246="Total",
SUM(INDEX(AB:AB, ROW()-COUNTIF($F$6:INDEX($F:$F, ROW()-1), $F245)) : INDEX(AB:AB, ROW()-1)),
COUNTIFS(unit_details[Active Listing?],TRUE,
          unit_details[Property Name], $F246,
          unit_details[Beds], $L246,
          unit_details[Baths], $M246,
          unit_details[Partial Baths],IF(ISNUMBER($N246),$N246,""),
          unit_details[Sqft],$P246))</f>
        <v>0</v>
      </c>
      <c r="AC246" s="27" t="str">
        <f t="shared" si="36"/>
        <v/>
      </c>
      <c r="AD246" s="293" t="str">
        <f>IFERROR(IF(AE246="","",IF($F246="Total",
SUMPRODUCT(
   INDEX(AD:AD, ROW()-COUNTIF($F$6:INDEX($F:$F, ROW()-1), $F245)) : INDEX(AD:AD, ROW()-1),
   INDEX(AB:AB, ROW()-COUNTIF($F$6:INDEX($F:$F, ROW()-1), $F245)) : INDEX(AB:AB, ROW()-1)
   )
   /SUM(INDEX(AB:AB, ROW()-COUNTIF($F$6:INDEX($F:$F, ROW()-1), $F245)) : INDEX(AB:AB, ROW()-1)),
          _xlfn.MINIFS(unit_details[Asking Rent],
          unit_details[Active Listing?],TRUE,
          unit_details[Property Name], $F246,
          unit_details[Beds], $L246,
          unit_details[Baths], $M246,
          unit_details[Partial Baths], IF(ISNUMBER($N246),$N246,""),
          unit_details[Sqft],$P246
))),"")</f>
        <v/>
      </c>
      <c r="AE246" s="5" t="str">
        <f>IFERROR(IF($F246="Total",
          SUMPRODUCT(
   INDEX(AE:AE, ROW()-COUNTIF($F$6:INDEX($F:$F, ROW()-1), $F245)) : INDEX(AE:AE, ROW()-1),
   INDEX(AB:AB, ROW()-COUNTIF($F$6:INDEX($F:$F, ROW()-1), $F245)) : INDEX(AB:AB, ROW()-1)
   )
   /SUM(INDEX(AB:AB, ROW()-COUNTIF($F$6:INDEX($F:$F, ROW()-1), $F245)) : INDEX(AB:AB, ROW()-1)),
          AVERAGEIFS(unit_details[Asking Rent],
          unit_details[Active Listing?],TRUE,
          unit_details[Property Name], $F246,
          unit_details[Beds], $L246,
          unit_details[Baths], $M246,
          unit_details[Partial Baths], IF(ISNUMBER($N246),$N246,""),
          unit_details[Sqft],$P246
)),"")</f>
        <v/>
      </c>
      <c r="AF246" s="5" t="str">
        <f>IFERROR(IF(AE246="","",IF($F246="Total",
SUMPRODUCT(
   INDEX(AF:AF, ROW()-COUNTIF($F$6:INDEX($F:$F, ROW()-1), $F245)) : INDEX(AF:AF, ROW()-1),
   INDEX(AB:AB, ROW()-COUNTIF($F$6:INDEX($F:$F, ROW()-1), $F245)) : INDEX(AB:AB, ROW()-1)
   )
   /SUM(INDEX(AB:AB, ROW()-COUNTIF($F$6:INDEX($F:$F, ROW()-1), $F245)) : INDEX(AB:AB, ROW()-1)),
           _xlfn.MAXIFS(unit_details[Asking Rent],
          unit_details[Active Listing?],TRUE,
          unit_details[Property Name], $F246,
          unit_details[Beds], $L246,
          unit_details[Baths], $M246,
          unit_details[Partial Baths], IF(ISNUMBER($N246),$N246,""),
          unit_details[Sqft],$P246
))),"")</f>
        <v/>
      </c>
      <c r="AG246" s="6" t="str">
        <f>IFERROR(IF($F246="Total",
         SUMPRODUCT(
         INDEX(AG:AG, ROW()-COUNTIF($F$6:INDEX($F:$F, ROW()-1), $F245)) : INDEX(AG:AG, ROW()-1),
         INDEX(AB:AB, ROW()-COUNTIF($F$6:INDEX($F:$F, ROW()-1), $F245)) : INDEX(AB:AB, ROW()-1)
         )
         /SUM(INDEX(AB:AB, ROW()-COUNTIF($F$6:INDEX($F:$F, ROW()-1), $F245)) : INDEX(AB:AB, ROW()-1)),
          AVERAGEIFS(unit_details[Asking PSF],
          unit_details[Active Listing?],TRUE,
          unit_details[Property Name], $F246,
          unit_details[Beds], $L246,
          unit_details[Baths], $M246,
          unit_details[Partial Baths], IF(ISNUMBER($N246),$N246,""),
          unit_details[Sqft],$P246
)),"")</f>
        <v/>
      </c>
      <c r="AH246" s="293" t="str">
        <f>IFERROR(IF($F246="Total",
         SUMPRODUCT(
         INDEX(AH:AH, ROW()-COUNTIF($F$6:INDEX($F:$F, ROW()-1), $F245)) : INDEX(AH:AH, ROW()-1),
         INDEX(AB:AB, ROW()-COUNTIF($F$6:INDEX($F:$F, ROW()-1), $F245)) : INDEX(AB:AB, ROW()-1)
         )
         /SUM(INDEX(AB:AB, ROW()-COUNTIF($F$6:INDEX($F:$F, ROW()-1), $F245)) : INDEX(AB:AB, ROW()-1)),
          AVERAGEIFS(unit_details[Effective Rent],
          unit_details[Active Listing?],TRUE,
          unit_details[Property Name], $F246,
          unit_details[Beds], $L246,
          unit_details[Baths], $M246,
          unit_details[Partial Baths], IF(ISNUMBER($N246),$N246,""),
          unit_details[Sqft],$P246
)),"")</f>
        <v/>
      </c>
      <c r="AI246" s="6" t="str">
        <f>IFERROR(IF($F246="Total",
         SUMPRODUCT(
         INDEX(AI:AI, ROW()-COUNTIF($F$6:INDEX($F:$F, ROW()-1), $F245)) : INDEX(AI:AI, ROW()-1),
         INDEX(AB:AB, ROW()-COUNTIF($F$6:INDEX($F:$F, ROW()-1), $F245)) : INDEX(AB:AB, ROW()-1)
         )
         /SUM(INDEX(AB:AB, ROW()-COUNTIF($F$6:INDEX($F:$F, ROW()-1), $F245)) : INDEX(AB:AB, ROW()-1)),
           AVERAGEIFS(unit_details[Effective PSF],
          unit_details[Active Listing?],TRUE,
          unit_details[Property Name], $F246,
          unit_details[Beds], $L246,
          unit_details[Baths], $M246,
          unit_details[Partial Baths], IF(ISNUMBER($N246),$N246,""),
          unit_details[Sqft],$P246
)),"")</f>
        <v/>
      </c>
      <c r="AJ246" s="824" t="str">
        <f t="shared" si="37"/>
        <v/>
      </c>
      <c r="AK246" s="531" t="str">
        <f t="shared" si="38"/>
        <v/>
      </c>
      <c r="AL246" s="714" t="str">
        <f t="shared" si="39"/>
        <v/>
      </c>
      <c r="AM246" s="531" t="str">
        <f t="shared" si="40"/>
        <v/>
      </c>
      <c r="AN246" s="716" t="str">
        <f t="shared" si="41"/>
        <v/>
      </c>
    </row>
    <row r="247" spans="6:40" x14ac:dyDescent="0.2">
      <c r="F247" s="1" t="str">
        <f t="shared" si="34"/>
        <v/>
      </c>
      <c r="G247" s="713" t="str">
        <f t="shared" si="42"/>
        <v/>
      </c>
      <c r="H247" s="17" t="str">
        <f>IFERROR(VLOOKUP($G247,Table1[[Property]:[Exposure %]],4,0),"")</f>
        <v/>
      </c>
      <c r="I247" s="3" t="str">
        <f>IFERROR(VLOOKUP($G247,Table1[[Property]:[Exposure %]],6,0),"")</f>
        <v/>
      </c>
      <c r="J247" s="3" t="str">
        <f>IFERROR(VLOOKUP($G247,Table1[[Property]:[Exposure %]],7,0),"")</f>
        <v/>
      </c>
      <c r="K247"/>
      <c r="L247"/>
      <c r="M247"/>
      <c r="N247"/>
      <c r="O247"/>
      <c r="P247"/>
      <c r="Q247"/>
      <c r="R247" s="4" t="str">
        <f>IFERROR(VLOOKUP(IF(F247="Total",F246,F247),Table1[[Property]:['# Units]],7,0)*S247,"")</f>
        <v/>
      </c>
      <c r="S247" s="27" t="str">
        <f t="shared" si="35"/>
        <v/>
      </c>
      <c r="T247" s="531" t="str">
        <f>IFERROR(
 IF($F247="Total",
   SUMPRODUCT(
   INDEX(T:T, ROW()-COUNTIF($F$6:INDEX($F:$F, ROW()-1), $F246)) : INDEX(T:T, ROW()-1),
   INDEX(W:W, ROW()-COUNTIF($F$6:INDEX($F:$F, ROW()-1), $F246)) : INDEX(W:W, ROW()-1)
   )
   /SUM(INDEX(W:W, ROW()-COUNTIF($F$6:INDEX($F:$F, ROW()-1), $F246)) : INDEX(W:W, ROW()-1)),
   AVERAGEIFS(
     INDEX((unit_details[Asking Rent],unit_details[Asking PSF]),0,1,IF($U$3="Chunk Rent",1,2)),
     unit_details[Leased Date],"&gt;="&amp;($AM$2-T$5),
     unit_details[Leased Date],"&lt;"&amp;$AM$2,
     unit_details[Beds],$L247,
     unit_details[Baths],$M247,
     unit_details[Partial Baths],IF(ISNUMBER($N247),$N247,""),
     unit_details[Sqft],$P247,
     unit_details[Property Name],$F247)
 ),"")</f>
        <v/>
      </c>
      <c r="U247" s="552" t="str">
        <f>IFERROR(
 IF($F247="Total",
   SUMPRODUCT(
   INDEX(U:U, ROW()-COUNTIF($F$6:INDEX($F:$F, ROW()-1), $F246)) : INDEX(U:U, ROW()-1),
   INDEX(W:W, ROW()-COUNTIF($F$6:INDEX($F:$F, ROW()-1), $F246)) : INDEX(W:W, ROW()-1)
   )
   /SUM(INDEX(W:W, ROW()-COUNTIF($F$6:INDEX($F:$F, ROW()-1), $F246)) : INDEX(W:W, ROW()-1)),
   AVERAGEIFS(
     INDEX((unit_details[Effective Rent],unit_details[Effective PSF]),0,1,IF($U$3="Chunk Rent",1,2)),
     unit_details[Leased Date],"&gt;="&amp;($AM$2-T$5),
     unit_details[Leased Date],"&lt;"&amp;$AM$2,
     unit_details[Beds],$L247,
     unit_details[Baths],$M247,
     unit_details[Partial Baths],IF(ISNUMBER($N247),$N247,""),
     unit_details[Sqft],$P247,
     unit_details[Property Name],$F247)
 ),"")</f>
        <v/>
      </c>
      <c r="V247" s="27" t="str">
        <f t="shared" si="43"/>
        <v/>
      </c>
      <c r="W247" s="526">
        <f>IFERROR(
  IF($F247="Total",
    SUM(INDEX(W:W, ROW()-COUNTIF($F$6:INDEX($F:$F, ROW()-1), $F246)) : INDEX(W:W, ROW()-1)),
    COUNTIFS(
      unit_details[Leased Date], "&gt;="&amp;($AM$2-T$5),
      unit_details[Leased Date], "&lt;"&amp;$AM$2,
      unit_details[Beds], $L247,
      unit_details[Baths], $M247,
      unit_details[Partial Baths], IF(ISNUMBER($N247), $N247, ""),
      unit_details[Sqft],$P247,
      unit_details[Property Name], $F247
    )
  ),
"")</f>
        <v>0</v>
      </c>
      <c r="X247" s="531" t="str">
        <f>IFERROR(
 IF($F247="Total",
   SUMPRODUCT(
   INDEX(X:X, ROW()-COUNTIF($F$6:INDEX($F:$F, ROW()-1), $F246)) : INDEX(X:X, ROW()-1),
   INDEX(AA:AA, ROW()-COUNTIF($F$6:INDEX($F:$F, ROW()-1), $F246)) : INDEX(AA:AA, ROW()-1)
   )
   /SUM(INDEX(AA:AA, ROW()-COUNTIF($F$6:INDEX($F:$F, ROW()-1), $F246)) : INDEX(AA:AA, ROW()-1)),
   AVERAGEIFS(
     INDEX((unit_details[Asking Rent],unit_details[Asking PSF]),0,1,IF($U$3="Chunk Rent",1,2)),
     unit_details[Leased Date],"&gt;="&amp;($AM$2-X$5),
     unit_details[Leased Date],"&lt;"&amp;$AM$2,
     unit_details[Beds],$L247,
     unit_details[Baths],$M247,
     unit_details[Partial Baths],IF(ISNUMBER($N247),$N247,""),
     unit_details[Sqft],$P247,
     unit_details[Property Name],$F247)
 ),"")</f>
        <v/>
      </c>
      <c r="Y247" s="552" t="str">
        <f>IFERROR(
 IF($F247="Total",
   SUMPRODUCT(
   INDEX(Y:Y, ROW()-COUNTIF($F$6:INDEX($F:$F, ROW()-1), $F246)) : INDEX(Y:Y, ROW()-1),
   INDEX(AA:AA, ROW()-COUNTIF($F$6:INDEX($F:$F, ROW()-1), $F246)) : INDEX(AA:AA, ROW()-1)
   )
   /SUM(INDEX(AA:AA, ROW()-COUNTIF($F$6:INDEX($F:$F, ROW()-1), $F246)) : INDEX(AA:AA, ROW()-1)),
   AVERAGEIFS(
     INDEX((unit_details[Effective Rent],unit_details[Effective PSF]),0,1,IF($U$3="Chunk Rent",1,2)),
     unit_details[Leased Date],"&gt;="&amp;($AM$2-X$5),
     unit_details[Leased Date],"&lt;"&amp;$AM$2,
     unit_details[Beds],$L247,
     unit_details[Baths],$M247,
     unit_details[Partial Baths],IF(ISNUMBER($N247),$N247,""),
     unit_details[Sqft],$P247,
     unit_details[Property Name],$F247)
 ),"")</f>
        <v/>
      </c>
      <c r="Z247" s="27" t="str">
        <f t="shared" si="44"/>
        <v/>
      </c>
      <c r="AA247" s="526">
        <f>IFERROR(
  IF($F247="Total",
    SUM(INDEX(AA:AA, ROW()-COUNTIF($F$6:INDEX($F:$F, ROW()-1), $F246)) : INDEX(AA:AA, ROW()-1)),
    COUNTIFS(
      unit_details[Leased Date], "&gt;="&amp;($AM$2-X$5),
      unit_details[Leased Date], "&lt;"&amp;$AM$2,
      unit_details[Beds], $L247,
      unit_details[Baths], $M247,
      unit_details[Partial Baths], IF(ISNUMBER($N247), $N247, ""),
      unit_details[Sqft],$P247,
      unit_details[Property Name], $F247
    )
  ),
"")</f>
        <v>0</v>
      </c>
      <c r="AB247" s="290">
        <f>IF($F247="Total",
SUM(INDEX(AB:AB, ROW()-COUNTIF($F$6:INDEX($F:$F, ROW()-1), $F246)) : INDEX(AB:AB, ROW()-1)),
COUNTIFS(unit_details[Active Listing?],TRUE,
          unit_details[Property Name], $F247,
          unit_details[Beds], $L247,
          unit_details[Baths], $M247,
          unit_details[Partial Baths],IF(ISNUMBER($N247),$N247,""),
          unit_details[Sqft],$P247))</f>
        <v>0</v>
      </c>
      <c r="AC247" s="27" t="str">
        <f t="shared" si="36"/>
        <v/>
      </c>
      <c r="AD247" s="293" t="str">
        <f>IFERROR(IF(AE247="","",IF($F247="Total",
SUMPRODUCT(
   INDEX(AD:AD, ROW()-COUNTIF($F$6:INDEX($F:$F, ROW()-1), $F246)) : INDEX(AD:AD, ROW()-1),
   INDEX(AB:AB, ROW()-COUNTIF($F$6:INDEX($F:$F, ROW()-1), $F246)) : INDEX(AB:AB, ROW()-1)
   )
   /SUM(INDEX(AB:AB, ROW()-COUNTIF($F$6:INDEX($F:$F, ROW()-1), $F246)) : INDEX(AB:AB, ROW()-1)),
          _xlfn.MINIFS(unit_details[Asking Rent],
          unit_details[Active Listing?],TRUE,
          unit_details[Property Name], $F247,
          unit_details[Beds], $L247,
          unit_details[Baths], $M247,
          unit_details[Partial Baths], IF(ISNUMBER($N247),$N247,""),
          unit_details[Sqft],$P247
))),"")</f>
        <v/>
      </c>
      <c r="AE247" s="5" t="str">
        <f>IFERROR(IF($F247="Total",
          SUMPRODUCT(
   INDEX(AE:AE, ROW()-COUNTIF($F$6:INDEX($F:$F, ROW()-1), $F246)) : INDEX(AE:AE, ROW()-1),
   INDEX(AB:AB, ROW()-COUNTIF($F$6:INDEX($F:$F, ROW()-1), $F246)) : INDEX(AB:AB, ROW()-1)
   )
   /SUM(INDEX(AB:AB, ROW()-COUNTIF($F$6:INDEX($F:$F, ROW()-1), $F246)) : INDEX(AB:AB, ROW()-1)),
          AVERAGEIFS(unit_details[Asking Rent],
          unit_details[Active Listing?],TRUE,
          unit_details[Property Name], $F247,
          unit_details[Beds], $L247,
          unit_details[Baths], $M247,
          unit_details[Partial Baths], IF(ISNUMBER($N247),$N247,""),
          unit_details[Sqft],$P247
)),"")</f>
        <v/>
      </c>
      <c r="AF247" s="5" t="str">
        <f>IFERROR(IF(AE247="","",IF($F247="Total",
SUMPRODUCT(
   INDEX(AF:AF, ROW()-COUNTIF($F$6:INDEX($F:$F, ROW()-1), $F246)) : INDEX(AF:AF, ROW()-1),
   INDEX(AB:AB, ROW()-COUNTIF($F$6:INDEX($F:$F, ROW()-1), $F246)) : INDEX(AB:AB, ROW()-1)
   )
   /SUM(INDEX(AB:AB, ROW()-COUNTIF($F$6:INDEX($F:$F, ROW()-1), $F246)) : INDEX(AB:AB, ROW()-1)),
           _xlfn.MAXIFS(unit_details[Asking Rent],
          unit_details[Active Listing?],TRUE,
          unit_details[Property Name], $F247,
          unit_details[Beds], $L247,
          unit_details[Baths], $M247,
          unit_details[Partial Baths], IF(ISNUMBER($N247),$N247,""),
          unit_details[Sqft],$P247
))),"")</f>
        <v/>
      </c>
      <c r="AG247" s="6" t="str">
        <f>IFERROR(IF($F247="Total",
         SUMPRODUCT(
         INDEX(AG:AG, ROW()-COUNTIF($F$6:INDEX($F:$F, ROW()-1), $F246)) : INDEX(AG:AG, ROW()-1),
         INDEX(AB:AB, ROW()-COUNTIF($F$6:INDEX($F:$F, ROW()-1), $F246)) : INDEX(AB:AB, ROW()-1)
         )
         /SUM(INDEX(AB:AB, ROW()-COUNTIF($F$6:INDEX($F:$F, ROW()-1), $F246)) : INDEX(AB:AB, ROW()-1)),
          AVERAGEIFS(unit_details[Asking PSF],
          unit_details[Active Listing?],TRUE,
          unit_details[Property Name], $F247,
          unit_details[Beds], $L247,
          unit_details[Baths], $M247,
          unit_details[Partial Baths], IF(ISNUMBER($N247),$N247,""),
          unit_details[Sqft],$P247
)),"")</f>
        <v/>
      </c>
      <c r="AH247" s="293" t="str">
        <f>IFERROR(IF($F247="Total",
         SUMPRODUCT(
         INDEX(AH:AH, ROW()-COUNTIF($F$6:INDEX($F:$F, ROW()-1), $F246)) : INDEX(AH:AH, ROW()-1),
         INDEX(AB:AB, ROW()-COUNTIF($F$6:INDEX($F:$F, ROW()-1), $F246)) : INDEX(AB:AB, ROW()-1)
         )
         /SUM(INDEX(AB:AB, ROW()-COUNTIF($F$6:INDEX($F:$F, ROW()-1), $F246)) : INDEX(AB:AB, ROW()-1)),
          AVERAGEIFS(unit_details[Effective Rent],
          unit_details[Active Listing?],TRUE,
          unit_details[Property Name], $F247,
          unit_details[Beds], $L247,
          unit_details[Baths], $M247,
          unit_details[Partial Baths], IF(ISNUMBER($N247),$N247,""),
          unit_details[Sqft],$P247
)),"")</f>
        <v/>
      </c>
      <c r="AI247" s="6" t="str">
        <f>IFERROR(IF($F247="Total",
         SUMPRODUCT(
         INDEX(AI:AI, ROW()-COUNTIF($F$6:INDEX($F:$F, ROW()-1), $F246)) : INDEX(AI:AI, ROW()-1),
         INDEX(AB:AB, ROW()-COUNTIF($F$6:INDEX($F:$F, ROW()-1), $F246)) : INDEX(AB:AB, ROW()-1)
         )
         /SUM(INDEX(AB:AB, ROW()-COUNTIF($F$6:INDEX($F:$F, ROW()-1), $F246)) : INDEX(AB:AB, ROW()-1)),
           AVERAGEIFS(unit_details[Effective PSF],
          unit_details[Active Listing?],TRUE,
          unit_details[Property Name], $F247,
          unit_details[Beds], $L247,
          unit_details[Baths], $M247,
          unit_details[Partial Baths], IF(ISNUMBER($N247),$N247,""),
          unit_details[Sqft],$P247
)),"")</f>
        <v/>
      </c>
      <c r="AJ247" s="824" t="str">
        <f t="shared" si="37"/>
        <v/>
      </c>
      <c r="AK247" s="531" t="str">
        <f t="shared" si="38"/>
        <v/>
      </c>
      <c r="AL247" s="714" t="str">
        <f t="shared" si="39"/>
        <v/>
      </c>
      <c r="AM247" s="531" t="str">
        <f t="shared" si="40"/>
        <v/>
      </c>
      <c r="AN247" s="716" t="str">
        <f t="shared" si="41"/>
        <v/>
      </c>
    </row>
    <row r="248" spans="6:40" x14ac:dyDescent="0.2">
      <c r="F248" s="1" t="str">
        <f t="shared" si="34"/>
        <v/>
      </c>
      <c r="G248" s="713" t="str">
        <f t="shared" si="42"/>
        <v/>
      </c>
      <c r="H248" s="17" t="str">
        <f>IFERROR(VLOOKUP($G248,Table1[[Property]:[Exposure %]],4,0),"")</f>
        <v/>
      </c>
      <c r="I248" s="3" t="str">
        <f>IFERROR(VLOOKUP($G248,Table1[[Property]:[Exposure %]],6,0),"")</f>
        <v/>
      </c>
      <c r="J248" s="3" t="str">
        <f>IFERROR(VLOOKUP($G248,Table1[[Property]:[Exposure %]],7,0),"")</f>
        <v/>
      </c>
      <c r="K248"/>
      <c r="L248"/>
      <c r="M248"/>
      <c r="N248"/>
      <c r="O248"/>
      <c r="P248"/>
      <c r="Q248"/>
      <c r="R248" s="4" t="str">
        <f>IFERROR(VLOOKUP(IF(F248="Total",F247,F248),Table1[[Property]:['# Units]],7,0)*S248,"")</f>
        <v/>
      </c>
      <c r="S248" s="27" t="str">
        <f t="shared" si="35"/>
        <v/>
      </c>
      <c r="T248" s="531" t="str">
        <f>IFERROR(
 IF($F248="Total",
   SUMPRODUCT(
   INDEX(T:T, ROW()-COUNTIF($F$6:INDEX($F:$F, ROW()-1), $F247)) : INDEX(T:T, ROW()-1),
   INDEX(W:W, ROW()-COUNTIF($F$6:INDEX($F:$F, ROW()-1), $F247)) : INDEX(W:W, ROW()-1)
   )
   /SUM(INDEX(W:W, ROW()-COUNTIF($F$6:INDEX($F:$F, ROW()-1), $F247)) : INDEX(W:W, ROW()-1)),
   AVERAGEIFS(
     INDEX((unit_details[Asking Rent],unit_details[Asking PSF]),0,1,IF($U$3="Chunk Rent",1,2)),
     unit_details[Leased Date],"&gt;="&amp;($AM$2-T$5),
     unit_details[Leased Date],"&lt;"&amp;$AM$2,
     unit_details[Beds],$L248,
     unit_details[Baths],$M248,
     unit_details[Partial Baths],IF(ISNUMBER($N248),$N248,""),
     unit_details[Sqft],$P248,
     unit_details[Property Name],$F248)
 ),"")</f>
        <v/>
      </c>
      <c r="U248" s="552" t="str">
        <f>IFERROR(
 IF($F248="Total",
   SUMPRODUCT(
   INDEX(U:U, ROW()-COUNTIF($F$6:INDEX($F:$F, ROW()-1), $F247)) : INDEX(U:U, ROW()-1),
   INDEX(W:W, ROW()-COUNTIF($F$6:INDEX($F:$F, ROW()-1), $F247)) : INDEX(W:W, ROW()-1)
   )
   /SUM(INDEX(W:W, ROW()-COUNTIF($F$6:INDEX($F:$F, ROW()-1), $F247)) : INDEX(W:W, ROW()-1)),
   AVERAGEIFS(
     INDEX((unit_details[Effective Rent],unit_details[Effective PSF]),0,1,IF($U$3="Chunk Rent",1,2)),
     unit_details[Leased Date],"&gt;="&amp;($AM$2-T$5),
     unit_details[Leased Date],"&lt;"&amp;$AM$2,
     unit_details[Beds],$L248,
     unit_details[Baths],$M248,
     unit_details[Partial Baths],IF(ISNUMBER($N248),$N248,""),
     unit_details[Sqft],$P248,
     unit_details[Property Name],$F248)
 ),"")</f>
        <v/>
      </c>
      <c r="V248" s="27" t="str">
        <f t="shared" si="43"/>
        <v/>
      </c>
      <c r="W248" s="526">
        <f>IFERROR(
  IF($F248="Total",
    SUM(INDEX(W:W, ROW()-COUNTIF($F$6:INDEX($F:$F, ROW()-1), $F247)) : INDEX(W:W, ROW()-1)),
    COUNTIFS(
      unit_details[Leased Date], "&gt;="&amp;($AM$2-T$5),
      unit_details[Leased Date], "&lt;"&amp;$AM$2,
      unit_details[Beds], $L248,
      unit_details[Baths], $M248,
      unit_details[Partial Baths], IF(ISNUMBER($N248), $N248, ""),
      unit_details[Sqft],$P248,
      unit_details[Property Name], $F248
    )
  ),
"")</f>
        <v>0</v>
      </c>
      <c r="X248" s="531" t="str">
        <f>IFERROR(
 IF($F248="Total",
   SUMPRODUCT(
   INDEX(X:X, ROW()-COUNTIF($F$6:INDEX($F:$F, ROW()-1), $F247)) : INDEX(X:X, ROW()-1),
   INDEX(AA:AA, ROW()-COUNTIF($F$6:INDEX($F:$F, ROW()-1), $F247)) : INDEX(AA:AA, ROW()-1)
   )
   /SUM(INDEX(AA:AA, ROW()-COUNTIF($F$6:INDEX($F:$F, ROW()-1), $F247)) : INDEX(AA:AA, ROW()-1)),
   AVERAGEIFS(
     INDEX((unit_details[Asking Rent],unit_details[Asking PSF]),0,1,IF($U$3="Chunk Rent",1,2)),
     unit_details[Leased Date],"&gt;="&amp;($AM$2-X$5),
     unit_details[Leased Date],"&lt;"&amp;$AM$2,
     unit_details[Beds],$L248,
     unit_details[Baths],$M248,
     unit_details[Partial Baths],IF(ISNUMBER($N248),$N248,""),
     unit_details[Sqft],$P248,
     unit_details[Property Name],$F248)
 ),"")</f>
        <v/>
      </c>
      <c r="Y248" s="552" t="str">
        <f>IFERROR(
 IF($F248="Total",
   SUMPRODUCT(
   INDEX(Y:Y, ROW()-COUNTIF($F$6:INDEX($F:$F, ROW()-1), $F247)) : INDEX(Y:Y, ROW()-1),
   INDEX(AA:AA, ROW()-COUNTIF($F$6:INDEX($F:$F, ROW()-1), $F247)) : INDEX(AA:AA, ROW()-1)
   )
   /SUM(INDEX(AA:AA, ROW()-COUNTIF($F$6:INDEX($F:$F, ROW()-1), $F247)) : INDEX(AA:AA, ROW()-1)),
   AVERAGEIFS(
     INDEX((unit_details[Effective Rent],unit_details[Effective PSF]),0,1,IF($U$3="Chunk Rent",1,2)),
     unit_details[Leased Date],"&gt;="&amp;($AM$2-X$5),
     unit_details[Leased Date],"&lt;"&amp;$AM$2,
     unit_details[Beds],$L248,
     unit_details[Baths],$M248,
     unit_details[Partial Baths],IF(ISNUMBER($N248),$N248,""),
     unit_details[Sqft],$P248,
     unit_details[Property Name],$F248)
 ),"")</f>
        <v/>
      </c>
      <c r="Z248" s="27" t="str">
        <f t="shared" si="44"/>
        <v/>
      </c>
      <c r="AA248" s="526">
        <f>IFERROR(
  IF($F248="Total",
    SUM(INDEX(AA:AA, ROW()-COUNTIF($F$6:INDEX($F:$F, ROW()-1), $F247)) : INDEX(AA:AA, ROW()-1)),
    COUNTIFS(
      unit_details[Leased Date], "&gt;="&amp;($AM$2-X$5),
      unit_details[Leased Date], "&lt;"&amp;$AM$2,
      unit_details[Beds], $L248,
      unit_details[Baths], $M248,
      unit_details[Partial Baths], IF(ISNUMBER($N248), $N248, ""),
      unit_details[Sqft],$P248,
      unit_details[Property Name], $F248
    )
  ),
"")</f>
        <v>0</v>
      </c>
      <c r="AB248" s="290">
        <f>IF($F248="Total",
SUM(INDEX(AB:AB, ROW()-COUNTIF($F$6:INDEX($F:$F, ROW()-1), $F247)) : INDEX(AB:AB, ROW()-1)),
COUNTIFS(unit_details[Active Listing?],TRUE,
          unit_details[Property Name], $F248,
          unit_details[Beds], $L248,
          unit_details[Baths], $M248,
          unit_details[Partial Baths],IF(ISNUMBER($N248),$N248,""),
          unit_details[Sqft],$P248))</f>
        <v>0</v>
      </c>
      <c r="AC248" s="27" t="str">
        <f t="shared" si="36"/>
        <v/>
      </c>
      <c r="AD248" s="293" t="str">
        <f>IFERROR(IF(AE248="","",IF($F248="Total",
SUMPRODUCT(
   INDEX(AD:AD, ROW()-COUNTIF($F$6:INDEX($F:$F, ROW()-1), $F247)) : INDEX(AD:AD, ROW()-1),
   INDEX(AB:AB, ROW()-COUNTIF($F$6:INDEX($F:$F, ROW()-1), $F247)) : INDEX(AB:AB, ROW()-1)
   )
   /SUM(INDEX(AB:AB, ROW()-COUNTIF($F$6:INDEX($F:$F, ROW()-1), $F247)) : INDEX(AB:AB, ROW()-1)),
          _xlfn.MINIFS(unit_details[Asking Rent],
          unit_details[Active Listing?],TRUE,
          unit_details[Property Name], $F248,
          unit_details[Beds], $L248,
          unit_details[Baths], $M248,
          unit_details[Partial Baths], IF(ISNUMBER($N248),$N248,""),
          unit_details[Sqft],$P248
))),"")</f>
        <v/>
      </c>
      <c r="AE248" s="5" t="str">
        <f>IFERROR(IF($F248="Total",
          SUMPRODUCT(
   INDEX(AE:AE, ROW()-COUNTIF($F$6:INDEX($F:$F, ROW()-1), $F247)) : INDEX(AE:AE, ROW()-1),
   INDEX(AB:AB, ROW()-COUNTIF($F$6:INDEX($F:$F, ROW()-1), $F247)) : INDEX(AB:AB, ROW()-1)
   )
   /SUM(INDEX(AB:AB, ROW()-COUNTIF($F$6:INDEX($F:$F, ROW()-1), $F247)) : INDEX(AB:AB, ROW()-1)),
          AVERAGEIFS(unit_details[Asking Rent],
          unit_details[Active Listing?],TRUE,
          unit_details[Property Name], $F248,
          unit_details[Beds], $L248,
          unit_details[Baths], $M248,
          unit_details[Partial Baths], IF(ISNUMBER($N248),$N248,""),
          unit_details[Sqft],$P248
)),"")</f>
        <v/>
      </c>
      <c r="AF248" s="5" t="str">
        <f>IFERROR(IF(AE248="","",IF($F248="Total",
SUMPRODUCT(
   INDEX(AF:AF, ROW()-COUNTIF($F$6:INDEX($F:$F, ROW()-1), $F247)) : INDEX(AF:AF, ROW()-1),
   INDEX(AB:AB, ROW()-COUNTIF($F$6:INDEX($F:$F, ROW()-1), $F247)) : INDEX(AB:AB, ROW()-1)
   )
   /SUM(INDEX(AB:AB, ROW()-COUNTIF($F$6:INDEX($F:$F, ROW()-1), $F247)) : INDEX(AB:AB, ROW()-1)),
           _xlfn.MAXIFS(unit_details[Asking Rent],
          unit_details[Active Listing?],TRUE,
          unit_details[Property Name], $F248,
          unit_details[Beds], $L248,
          unit_details[Baths], $M248,
          unit_details[Partial Baths], IF(ISNUMBER($N248),$N248,""),
          unit_details[Sqft],$P248
))),"")</f>
        <v/>
      </c>
      <c r="AG248" s="6" t="str">
        <f>IFERROR(IF($F248="Total",
         SUMPRODUCT(
         INDEX(AG:AG, ROW()-COUNTIF($F$6:INDEX($F:$F, ROW()-1), $F247)) : INDEX(AG:AG, ROW()-1),
         INDEX(AB:AB, ROW()-COUNTIF($F$6:INDEX($F:$F, ROW()-1), $F247)) : INDEX(AB:AB, ROW()-1)
         )
         /SUM(INDEX(AB:AB, ROW()-COUNTIF($F$6:INDEX($F:$F, ROW()-1), $F247)) : INDEX(AB:AB, ROW()-1)),
          AVERAGEIFS(unit_details[Asking PSF],
          unit_details[Active Listing?],TRUE,
          unit_details[Property Name], $F248,
          unit_details[Beds], $L248,
          unit_details[Baths], $M248,
          unit_details[Partial Baths], IF(ISNUMBER($N248),$N248,""),
          unit_details[Sqft],$P248
)),"")</f>
        <v/>
      </c>
      <c r="AH248" s="293" t="str">
        <f>IFERROR(IF($F248="Total",
         SUMPRODUCT(
         INDEX(AH:AH, ROW()-COUNTIF($F$6:INDEX($F:$F, ROW()-1), $F247)) : INDEX(AH:AH, ROW()-1),
         INDEX(AB:AB, ROW()-COUNTIF($F$6:INDEX($F:$F, ROW()-1), $F247)) : INDEX(AB:AB, ROW()-1)
         )
         /SUM(INDEX(AB:AB, ROW()-COUNTIF($F$6:INDEX($F:$F, ROW()-1), $F247)) : INDEX(AB:AB, ROW()-1)),
          AVERAGEIFS(unit_details[Effective Rent],
          unit_details[Active Listing?],TRUE,
          unit_details[Property Name], $F248,
          unit_details[Beds], $L248,
          unit_details[Baths], $M248,
          unit_details[Partial Baths], IF(ISNUMBER($N248),$N248,""),
          unit_details[Sqft],$P248
)),"")</f>
        <v/>
      </c>
      <c r="AI248" s="6" t="str">
        <f>IFERROR(IF($F248="Total",
         SUMPRODUCT(
         INDEX(AI:AI, ROW()-COUNTIF($F$6:INDEX($F:$F, ROW()-1), $F247)) : INDEX(AI:AI, ROW()-1),
         INDEX(AB:AB, ROW()-COUNTIF($F$6:INDEX($F:$F, ROW()-1), $F247)) : INDEX(AB:AB, ROW()-1)
         )
         /SUM(INDEX(AB:AB, ROW()-COUNTIF($F$6:INDEX($F:$F, ROW()-1), $F247)) : INDEX(AB:AB, ROW()-1)),
           AVERAGEIFS(unit_details[Effective PSF],
          unit_details[Active Listing?],TRUE,
          unit_details[Property Name], $F248,
          unit_details[Beds], $L248,
          unit_details[Baths], $M248,
          unit_details[Partial Baths], IF(ISNUMBER($N248),$N248,""),
          unit_details[Sqft],$P248
)),"")</f>
        <v/>
      </c>
      <c r="AJ248" s="824" t="str">
        <f t="shared" si="37"/>
        <v/>
      </c>
      <c r="AK248" s="531" t="str">
        <f t="shared" si="38"/>
        <v/>
      </c>
      <c r="AL248" s="714" t="str">
        <f t="shared" si="39"/>
        <v/>
      </c>
      <c r="AM248" s="531" t="str">
        <f t="shared" si="40"/>
        <v/>
      </c>
      <c r="AN248" s="716" t="str">
        <f t="shared" si="41"/>
        <v/>
      </c>
    </row>
    <row r="249" spans="6:40" x14ac:dyDescent="0.2">
      <c r="F249" s="1" t="str">
        <f t="shared" si="34"/>
        <v/>
      </c>
      <c r="G249" s="713" t="str">
        <f t="shared" si="42"/>
        <v/>
      </c>
      <c r="H249" s="17" t="str">
        <f>IFERROR(VLOOKUP($G249,Table1[[Property]:[Exposure %]],4,0),"")</f>
        <v/>
      </c>
      <c r="I249" s="3" t="str">
        <f>IFERROR(VLOOKUP($G249,Table1[[Property]:[Exposure %]],6,0),"")</f>
        <v/>
      </c>
      <c r="J249" s="3" t="str">
        <f>IFERROR(VLOOKUP($G249,Table1[[Property]:[Exposure %]],7,0),"")</f>
        <v/>
      </c>
      <c r="K249"/>
      <c r="L249"/>
      <c r="M249"/>
      <c r="N249"/>
      <c r="O249"/>
      <c r="P249"/>
      <c r="Q249"/>
      <c r="R249" s="4" t="str">
        <f>IFERROR(VLOOKUP(IF(F249="Total",F248,F249),Table1[[Property]:['# Units]],7,0)*S249,"")</f>
        <v/>
      </c>
      <c r="S249" s="27" t="str">
        <f t="shared" si="35"/>
        <v/>
      </c>
      <c r="T249" s="531" t="str">
        <f>IFERROR(
 IF($F249="Total",
   SUMPRODUCT(
   INDEX(T:T, ROW()-COUNTIF($F$6:INDEX($F:$F, ROW()-1), $F248)) : INDEX(T:T, ROW()-1),
   INDEX(W:W, ROW()-COUNTIF($F$6:INDEX($F:$F, ROW()-1), $F248)) : INDEX(W:W, ROW()-1)
   )
   /SUM(INDEX(W:W, ROW()-COUNTIF($F$6:INDEX($F:$F, ROW()-1), $F248)) : INDEX(W:W, ROW()-1)),
   AVERAGEIFS(
     INDEX((unit_details[Asking Rent],unit_details[Asking PSF]),0,1,IF($U$3="Chunk Rent",1,2)),
     unit_details[Leased Date],"&gt;="&amp;($AM$2-T$5),
     unit_details[Leased Date],"&lt;"&amp;$AM$2,
     unit_details[Beds],$L249,
     unit_details[Baths],$M249,
     unit_details[Partial Baths],IF(ISNUMBER($N249),$N249,""),
     unit_details[Sqft],$P249,
     unit_details[Property Name],$F249)
 ),"")</f>
        <v/>
      </c>
      <c r="U249" s="552" t="str">
        <f>IFERROR(
 IF($F249="Total",
   SUMPRODUCT(
   INDEX(U:U, ROW()-COUNTIF($F$6:INDEX($F:$F, ROW()-1), $F248)) : INDEX(U:U, ROW()-1),
   INDEX(W:W, ROW()-COUNTIF($F$6:INDEX($F:$F, ROW()-1), $F248)) : INDEX(W:W, ROW()-1)
   )
   /SUM(INDEX(W:W, ROW()-COUNTIF($F$6:INDEX($F:$F, ROW()-1), $F248)) : INDEX(W:W, ROW()-1)),
   AVERAGEIFS(
     INDEX((unit_details[Effective Rent],unit_details[Effective PSF]),0,1,IF($U$3="Chunk Rent",1,2)),
     unit_details[Leased Date],"&gt;="&amp;($AM$2-T$5),
     unit_details[Leased Date],"&lt;"&amp;$AM$2,
     unit_details[Beds],$L249,
     unit_details[Baths],$M249,
     unit_details[Partial Baths],IF(ISNUMBER($N249),$N249,""),
     unit_details[Sqft],$P249,
     unit_details[Property Name],$F249)
 ),"")</f>
        <v/>
      </c>
      <c r="V249" s="27" t="str">
        <f t="shared" si="43"/>
        <v/>
      </c>
      <c r="W249" s="526">
        <f>IFERROR(
  IF($F249="Total",
    SUM(INDEX(W:W, ROW()-COUNTIF($F$6:INDEX($F:$F, ROW()-1), $F248)) : INDEX(W:W, ROW()-1)),
    COUNTIFS(
      unit_details[Leased Date], "&gt;="&amp;($AM$2-T$5),
      unit_details[Leased Date], "&lt;"&amp;$AM$2,
      unit_details[Beds], $L249,
      unit_details[Baths], $M249,
      unit_details[Partial Baths], IF(ISNUMBER($N249), $N249, ""),
      unit_details[Sqft],$P249,
      unit_details[Property Name], $F249
    )
  ),
"")</f>
        <v>0</v>
      </c>
      <c r="X249" s="531" t="str">
        <f>IFERROR(
 IF($F249="Total",
   SUMPRODUCT(
   INDEX(X:X, ROW()-COUNTIF($F$6:INDEX($F:$F, ROW()-1), $F248)) : INDEX(X:X, ROW()-1),
   INDEX(AA:AA, ROW()-COUNTIF($F$6:INDEX($F:$F, ROW()-1), $F248)) : INDEX(AA:AA, ROW()-1)
   )
   /SUM(INDEX(AA:AA, ROW()-COUNTIF($F$6:INDEX($F:$F, ROW()-1), $F248)) : INDEX(AA:AA, ROW()-1)),
   AVERAGEIFS(
     INDEX((unit_details[Asking Rent],unit_details[Asking PSF]),0,1,IF($U$3="Chunk Rent",1,2)),
     unit_details[Leased Date],"&gt;="&amp;($AM$2-X$5),
     unit_details[Leased Date],"&lt;"&amp;$AM$2,
     unit_details[Beds],$L249,
     unit_details[Baths],$M249,
     unit_details[Partial Baths],IF(ISNUMBER($N249),$N249,""),
     unit_details[Sqft],$P249,
     unit_details[Property Name],$F249)
 ),"")</f>
        <v/>
      </c>
      <c r="Y249" s="552" t="str">
        <f>IFERROR(
 IF($F249="Total",
   SUMPRODUCT(
   INDEX(Y:Y, ROW()-COUNTIF($F$6:INDEX($F:$F, ROW()-1), $F248)) : INDEX(Y:Y, ROW()-1),
   INDEX(AA:AA, ROW()-COUNTIF($F$6:INDEX($F:$F, ROW()-1), $F248)) : INDEX(AA:AA, ROW()-1)
   )
   /SUM(INDEX(AA:AA, ROW()-COUNTIF($F$6:INDEX($F:$F, ROW()-1), $F248)) : INDEX(AA:AA, ROW()-1)),
   AVERAGEIFS(
     INDEX((unit_details[Effective Rent],unit_details[Effective PSF]),0,1,IF($U$3="Chunk Rent",1,2)),
     unit_details[Leased Date],"&gt;="&amp;($AM$2-X$5),
     unit_details[Leased Date],"&lt;"&amp;$AM$2,
     unit_details[Beds],$L249,
     unit_details[Baths],$M249,
     unit_details[Partial Baths],IF(ISNUMBER($N249),$N249,""),
     unit_details[Sqft],$P249,
     unit_details[Property Name],$F249)
 ),"")</f>
        <v/>
      </c>
      <c r="Z249" s="27" t="str">
        <f t="shared" si="44"/>
        <v/>
      </c>
      <c r="AA249" s="526">
        <f>IFERROR(
  IF($F249="Total",
    SUM(INDEX(AA:AA, ROW()-COUNTIF($F$6:INDEX($F:$F, ROW()-1), $F248)) : INDEX(AA:AA, ROW()-1)),
    COUNTIFS(
      unit_details[Leased Date], "&gt;="&amp;($AM$2-X$5),
      unit_details[Leased Date], "&lt;"&amp;$AM$2,
      unit_details[Beds], $L249,
      unit_details[Baths], $M249,
      unit_details[Partial Baths], IF(ISNUMBER($N249), $N249, ""),
      unit_details[Sqft],$P249,
      unit_details[Property Name], $F249
    )
  ),
"")</f>
        <v>0</v>
      </c>
      <c r="AB249" s="290">
        <f>IF($F249="Total",
SUM(INDEX(AB:AB, ROW()-COUNTIF($F$6:INDEX($F:$F, ROW()-1), $F248)) : INDEX(AB:AB, ROW()-1)),
COUNTIFS(unit_details[Active Listing?],TRUE,
          unit_details[Property Name], $F249,
          unit_details[Beds], $L249,
          unit_details[Baths], $M249,
          unit_details[Partial Baths],IF(ISNUMBER($N249),$N249,""),
          unit_details[Sqft],$P249))</f>
        <v>0</v>
      </c>
      <c r="AC249" s="27" t="str">
        <f t="shared" si="36"/>
        <v/>
      </c>
      <c r="AD249" s="293" t="str">
        <f>IFERROR(IF(AE249="","",IF($F249="Total",
SUMPRODUCT(
   INDEX(AD:AD, ROW()-COUNTIF($F$6:INDEX($F:$F, ROW()-1), $F248)) : INDEX(AD:AD, ROW()-1),
   INDEX(AB:AB, ROW()-COUNTIF($F$6:INDEX($F:$F, ROW()-1), $F248)) : INDEX(AB:AB, ROW()-1)
   )
   /SUM(INDEX(AB:AB, ROW()-COUNTIF($F$6:INDEX($F:$F, ROW()-1), $F248)) : INDEX(AB:AB, ROW()-1)),
          _xlfn.MINIFS(unit_details[Asking Rent],
          unit_details[Active Listing?],TRUE,
          unit_details[Property Name], $F249,
          unit_details[Beds], $L249,
          unit_details[Baths], $M249,
          unit_details[Partial Baths], IF(ISNUMBER($N249),$N249,""),
          unit_details[Sqft],$P249
))),"")</f>
        <v/>
      </c>
      <c r="AE249" s="5" t="str">
        <f>IFERROR(IF($F249="Total",
          SUMPRODUCT(
   INDEX(AE:AE, ROW()-COUNTIF($F$6:INDEX($F:$F, ROW()-1), $F248)) : INDEX(AE:AE, ROW()-1),
   INDEX(AB:AB, ROW()-COUNTIF($F$6:INDEX($F:$F, ROW()-1), $F248)) : INDEX(AB:AB, ROW()-1)
   )
   /SUM(INDEX(AB:AB, ROW()-COUNTIF($F$6:INDEX($F:$F, ROW()-1), $F248)) : INDEX(AB:AB, ROW()-1)),
          AVERAGEIFS(unit_details[Asking Rent],
          unit_details[Active Listing?],TRUE,
          unit_details[Property Name], $F249,
          unit_details[Beds], $L249,
          unit_details[Baths], $M249,
          unit_details[Partial Baths], IF(ISNUMBER($N249),$N249,""),
          unit_details[Sqft],$P249
)),"")</f>
        <v/>
      </c>
      <c r="AF249" s="5" t="str">
        <f>IFERROR(IF(AE249="","",IF($F249="Total",
SUMPRODUCT(
   INDEX(AF:AF, ROW()-COUNTIF($F$6:INDEX($F:$F, ROW()-1), $F248)) : INDEX(AF:AF, ROW()-1),
   INDEX(AB:AB, ROW()-COUNTIF($F$6:INDEX($F:$F, ROW()-1), $F248)) : INDEX(AB:AB, ROW()-1)
   )
   /SUM(INDEX(AB:AB, ROW()-COUNTIF($F$6:INDEX($F:$F, ROW()-1), $F248)) : INDEX(AB:AB, ROW()-1)),
           _xlfn.MAXIFS(unit_details[Asking Rent],
          unit_details[Active Listing?],TRUE,
          unit_details[Property Name], $F249,
          unit_details[Beds], $L249,
          unit_details[Baths], $M249,
          unit_details[Partial Baths], IF(ISNUMBER($N249),$N249,""),
          unit_details[Sqft],$P249
))),"")</f>
        <v/>
      </c>
      <c r="AG249" s="6" t="str">
        <f>IFERROR(IF($F249="Total",
         SUMPRODUCT(
         INDEX(AG:AG, ROW()-COUNTIF($F$6:INDEX($F:$F, ROW()-1), $F248)) : INDEX(AG:AG, ROW()-1),
         INDEX(AB:AB, ROW()-COUNTIF($F$6:INDEX($F:$F, ROW()-1), $F248)) : INDEX(AB:AB, ROW()-1)
         )
         /SUM(INDEX(AB:AB, ROW()-COUNTIF($F$6:INDEX($F:$F, ROW()-1), $F248)) : INDEX(AB:AB, ROW()-1)),
          AVERAGEIFS(unit_details[Asking PSF],
          unit_details[Active Listing?],TRUE,
          unit_details[Property Name], $F249,
          unit_details[Beds], $L249,
          unit_details[Baths], $M249,
          unit_details[Partial Baths], IF(ISNUMBER($N249),$N249,""),
          unit_details[Sqft],$P249
)),"")</f>
        <v/>
      </c>
      <c r="AH249" s="293" t="str">
        <f>IFERROR(IF($F249="Total",
         SUMPRODUCT(
         INDEX(AH:AH, ROW()-COUNTIF($F$6:INDEX($F:$F, ROW()-1), $F248)) : INDEX(AH:AH, ROW()-1),
         INDEX(AB:AB, ROW()-COUNTIF($F$6:INDEX($F:$F, ROW()-1), $F248)) : INDEX(AB:AB, ROW()-1)
         )
         /SUM(INDEX(AB:AB, ROW()-COUNTIF($F$6:INDEX($F:$F, ROW()-1), $F248)) : INDEX(AB:AB, ROW()-1)),
          AVERAGEIFS(unit_details[Effective Rent],
          unit_details[Active Listing?],TRUE,
          unit_details[Property Name], $F249,
          unit_details[Beds], $L249,
          unit_details[Baths], $M249,
          unit_details[Partial Baths], IF(ISNUMBER($N249),$N249,""),
          unit_details[Sqft],$P249
)),"")</f>
        <v/>
      </c>
      <c r="AI249" s="6" t="str">
        <f>IFERROR(IF($F249="Total",
         SUMPRODUCT(
         INDEX(AI:AI, ROW()-COUNTIF($F$6:INDEX($F:$F, ROW()-1), $F248)) : INDEX(AI:AI, ROW()-1),
         INDEX(AB:AB, ROW()-COUNTIF($F$6:INDEX($F:$F, ROW()-1), $F248)) : INDEX(AB:AB, ROW()-1)
         )
         /SUM(INDEX(AB:AB, ROW()-COUNTIF($F$6:INDEX($F:$F, ROW()-1), $F248)) : INDEX(AB:AB, ROW()-1)),
           AVERAGEIFS(unit_details[Effective PSF],
          unit_details[Active Listing?],TRUE,
          unit_details[Property Name], $F249,
          unit_details[Beds], $L249,
          unit_details[Baths], $M249,
          unit_details[Partial Baths], IF(ISNUMBER($N249),$N249,""),
          unit_details[Sqft],$P249
)),"")</f>
        <v/>
      </c>
      <c r="AJ249" s="824" t="str">
        <f t="shared" si="37"/>
        <v/>
      </c>
      <c r="AK249" s="531" t="str">
        <f t="shared" si="38"/>
        <v/>
      </c>
      <c r="AL249" s="714" t="str">
        <f t="shared" si="39"/>
        <v/>
      </c>
      <c r="AM249" s="531" t="str">
        <f t="shared" si="40"/>
        <v/>
      </c>
      <c r="AN249" s="716" t="str">
        <f t="shared" si="41"/>
        <v/>
      </c>
    </row>
    <row r="250" spans="6:40" x14ac:dyDescent="0.2">
      <c r="F250" s="1" t="str">
        <f t="shared" si="34"/>
        <v/>
      </c>
      <c r="G250" s="713" t="str">
        <f t="shared" si="42"/>
        <v/>
      </c>
      <c r="H250" s="17" t="str">
        <f>IFERROR(VLOOKUP($G250,Table1[[Property]:[Exposure %]],4,0),"")</f>
        <v/>
      </c>
      <c r="I250" s="3" t="str">
        <f>IFERROR(VLOOKUP($G250,Table1[[Property]:[Exposure %]],6,0),"")</f>
        <v/>
      </c>
      <c r="J250" s="3" t="str">
        <f>IFERROR(VLOOKUP($G250,Table1[[Property]:[Exposure %]],7,0),"")</f>
        <v/>
      </c>
      <c r="K250"/>
      <c r="L250"/>
      <c r="M250"/>
      <c r="N250"/>
      <c r="O250"/>
      <c r="P250"/>
      <c r="Q250"/>
      <c r="R250" s="4" t="str">
        <f>IFERROR(VLOOKUP(IF(F250="Total",F249,F250),Table1[[Property]:['# Units]],7,0)*S250,"")</f>
        <v/>
      </c>
      <c r="S250" s="27" t="str">
        <f t="shared" si="35"/>
        <v/>
      </c>
      <c r="T250" s="531" t="str">
        <f>IFERROR(
 IF($F250="Total",
   SUMPRODUCT(
   INDEX(T:T, ROW()-COUNTIF($F$6:INDEX($F:$F, ROW()-1), $F249)) : INDEX(T:T, ROW()-1),
   INDEX(W:W, ROW()-COUNTIF($F$6:INDEX($F:$F, ROW()-1), $F249)) : INDEX(W:W, ROW()-1)
   )
   /SUM(INDEX(W:W, ROW()-COUNTIF($F$6:INDEX($F:$F, ROW()-1), $F249)) : INDEX(W:W, ROW()-1)),
   AVERAGEIFS(
     INDEX((unit_details[Asking Rent],unit_details[Asking PSF]),0,1,IF($U$3="Chunk Rent",1,2)),
     unit_details[Leased Date],"&gt;="&amp;($AM$2-T$5),
     unit_details[Leased Date],"&lt;"&amp;$AM$2,
     unit_details[Beds],$L250,
     unit_details[Baths],$M250,
     unit_details[Partial Baths],IF(ISNUMBER($N250),$N250,""),
     unit_details[Sqft],$P250,
     unit_details[Property Name],$F250)
 ),"")</f>
        <v/>
      </c>
      <c r="U250" s="552" t="str">
        <f>IFERROR(
 IF($F250="Total",
   SUMPRODUCT(
   INDEX(U:U, ROW()-COUNTIF($F$6:INDEX($F:$F, ROW()-1), $F249)) : INDEX(U:U, ROW()-1),
   INDEX(W:W, ROW()-COUNTIF($F$6:INDEX($F:$F, ROW()-1), $F249)) : INDEX(W:W, ROW()-1)
   )
   /SUM(INDEX(W:W, ROW()-COUNTIF($F$6:INDEX($F:$F, ROW()-1), $F249)) : INDEX(W:W, ROW()-1)),
   AVERAGEIFS(
     INDEX((unit_details[Effective Rent],unit_details[Effective PSF]),0,1,IF($U$3="Chunk Rent",1,2)),
     unit_details[Leased Date],"&gt;="&amp;($AM$2-T$5),
     unit_details[Leased Date],"&lt;"&amp;$AM$2,
     unit_details[Beds],$L250,
     unit_details[Baths],$M250,
     unit_details[Partial Baths],IF(ISNUMBER($N250),$N250,""),
     unit_details[Sqft],$P250,
     unit_details[Property Name],$F250)
 ),"")</f>
        <v/>
      </c>
      <c r="V250" s="27" t="str">
        <f t="shared" si="43"/>
        <v/>
      </c>
      <c r="W250" s="526">
        <f>IFERROR(
  IF($F250="Total",
    SUM(INDEX(W:W, ROW()-COUNTIF($F$6:INDEX($F:$F, ROW()-1), $F249)) : INDEX(W:W, ROW()-1)),
    COUNTIFS(
      unit_details[Leased Date], "&gt;="&amp;($AM$2-T$5),
      unit_details[Leased Date], "&lt;"&amp;$AM$2,
      unit_details[Beds], $L250,
      unit_details[Baths], $M250,
      unit_details[Partial Baths], IF(ISNUMBER($N250), $N250, ""),
      unit_details[Sqft],$P250,
      unit_details[Property Name], $F250
    )
  ),
"")</f>
        <v>0</v>
      </c>
      <c r="X250" s="531" t="str">
        <f>IFERROR(
 IF($F250="Total",
   SUMPRODUCT(
   INDEX(X:X, ROW()-COUNTIF($F$6:INDEX($F:$F, ROW()-1), $F249)) : INDEX(X:X, ROW()-1),
   INDEX(AA:AA, ROW()-COUNTIF($F$6:INDEX($F:$F, ROW()-1), $F249)) : INDEX(AA:AA, ROW()-1)
   )
   /SUM(INDEX(AA:AA, ROW()-COUNTIF($F$6:INDEX($F:$F, ROW()-1), $F249)) : INDEX(AA:AA, ROW()-1)),
   AVERAGEIFS(
     INDEX((unit_details[Asking Rent],unit_details[Asking PSF]),0,1,IF($U$3="Chunk Rent",1,2)),
     unit_details[Leased Date],"&gt;="&amp;($AM$2-X$5),
     unit_details[Leased Date],"&lt;"&amp;$AM$2,
     unit_details[Beds],$L250,
     unit_details[Baths],$M250,
     unit_details[Partial Baths],IF(ISNUMBER($N250),$N250,""),
     unit_details[Sqft],$P250,
     unit_details[Property Name],$F250)
 ),"")</f>
        <v/>
      </c>
      <c r="Y250" s="552" t="str">
        <f>IFERROR(
 IF($F250="Total",
   SUMPRODUCT(
   INDEX(Y:Y, ROW()-COUNTIF($F$6:INDEX($F:$F, ROW()-1), $F249)) : INDEX(Y:Y, ROW()-1),
   INDEX(AA:AA, ROW()-COUNTIF($F$6:INDEX($F:$F, ROW()-1), $F249)) : INDEX(AA:AA, ROW()-1)
   )
   /SUM(INDEX(AA:AA, ROW()-COUNTIF($F$6:INDEX($F:$F, ROW()-1), $F249)) : INDEX(AA:AA, ROW()-1)),
   AVERAGEIFS(
     INDEX((unit_details[Effective Rent],unit_details[Effective PSF]),0,1,IF($U$3="Chunk Rent",1,2)),
     unit_details[Leased Date],"&gt;="&amp;($AM$2-X$5),
     unit_details[Leased Date],"&lt;"&amp;$AM$2,
     unit_details[Beds],$L250,
     unit_details[Baths],$M250,
     unit_details[Partial Baths],IF(ISNUMBER($N250),$N250,""),
     unit_details[Sqft],$P250,
     unit_details[Property Name],$F250)
 ),"")</f>
        <v/>
      </c>
      <c r="Z250" s="27" t="str">
        <f t="shared" si="44"/>
        <v/>
      </c>
      <c r="AA250" s="526">
        <f>IFERROR(
  IF($F250="Total",
    SUM(INDEX(AA:AA, ROW()-COUNTIF($F$6:INDEX($F:$F, ROW()-1), $F249)) : INDEX(AA:AA, ROW()-1)),
    COUNTIFS(
      unit_details[Leased Date], "&gt;="&amp;($AM$2-X$5),
      unit_details[Leased Date], "&lt;"&amp;$AM$2,
      unit_details[Beds], $L250,
      unit_details[Baths], $M250,
      unit_details[Partial Baths], IF(ISNUMBER($N250), $N250, ""),
      unit_details[Sqft],$P250,
      unit_details[Property Name], $F250
    )
  ),
"")</f>
        <v>0</v>
      </c>
      <c r="AB250" s="290">
        <f>IF($F250="Total",
SUM(INDEX(AB:AB, ROW()-COUNTIF($F$6:INDEX($F:$F, ROW()-1), $F249)) : INDEX(AB:AB, ROW()-1)),
COUNTIFS(unit_details[Active Listing?],TRUE,
          unit_details[Property Name], $F250,
          unit_details[Beds], $L250,
          unit_details[Baths], $M250,
          unit_details[Partial Baths],IF(ISNUMBER($N250),$N250,""),
          unit_details[Sqft],$P250))</f>
        <v>0</v>
      </c>
      <c r="AC250" s="27" t="str">
        <f t="shared" si="36"/>
        <v/>
      </c>
      <c r="AD250" s="293" t="str">
        <f>IFERROR(IF(AE250="","",IF($F250="Total",
SUMPRODUCT(
   INDEX(AD:AD, ROW()-COUNTIF($F$6:INDEX($F:$F, ROW()-1), $F249)) : INDEX(AD:AD, ROW()-1),
   INDEX(AB:AB, ROW()-COUNTIF($F$6:INDEX($F:$F, ROW()-1), $F249)) : INDEX(AB:AB, ROW()-1)
   )
   /SUM(INDEX(AB:AB, ROW()-COUNTIF($F$6:INDEX($F:$F, ROW()-1), $F249)) : INDEX(AB:AB, ROW()-1)),
          _xlfn.MINIFS(unit_details[Asking Rent],
          unit_details[Active Listing?],TRUE,
          unit_details[Property Name], $F250,
          unit_details[Beds], $L250,
          unit_details[Baths], $M250,
          unit_details[Partial Baths], IF(ISNUMBER($N250),$N250,""),
          unit_details[Sqft],$P250
))),"")</f>
        <v/>
      </c>
      <c r="AE250" s="5" t="str">
        <f>IFERROR(IF($F250="Total",
          SUMPRODUCT(
   INDEX(AE:AE, ROW()-COUNTIF($F$6:INDEX($F:$F, ROW()-1), $F249)) : INDEX(AE:AE, ROW()-1),
   INDEX(AB:AB, ROW()-COUNTIF($F$6:INDEX($F:$F, ROW()-1), $F249)) : INDEX(AB:AB, ROW()-1)
   )
   /SUM(INDEX(AB:AB, ROW()-COUNTIF($F$6:INDEX($F:$F, ROW()-1), $F249)) : INDEX(AB:AB, ROW()-1)),
          AVERAGEIFS(unit_details[Asking Rent],
          unit_details[Active Listing?],TRUE,
          unit_details[Property Name], $F250,
          unit_details[Beds], $L250,
          unit_details[Baths], $M250,
          unit_details[Partial Baths], IF(ISNUMBER($N250),$N250,""),
          unit_details[Sqft],$P250
)),"")</f>
        <v/>
      </c>
      <c r="AF250" s="5" t="str">
        <f>IFERROR(IF(AE250="","",IF($F250="Total",
SUMPRODUCT(
   INDEX(AF:AF, ROW()-COUNTIF($F$6:INDEX($F:$F, ROW()-1), $F249)) : INDEX(AF:AF, ROW()-1),
   INDEX(AB:AB, ROW()-COUNTIF($F$6:INDEX($F:$F, ROW()-1), $F249)) : INDEX(AB:AB, ROW()-1)
   )
   /SUM(INDEX(AB:AB, ROW()-COUNTIF($F$6:INDEX($F:$F, ROW()-1), $F249)) : INDEX(AB:AB, ROW()-1)),
           _xlfn.MAXIFS(unit_details[Asking Rent],
          unit_details[Active Listing?],TRUE,
          unit_details[Property Name], $F250,
          unit_details[Beds], $L250,
          unit_details[Baths], $M250,
          unit_details[Partial Baths], IF(ISNUMBER($N250),$N250,""),
          unit_details[Sqft],$P250
))),"")</f>
        <v/>
      </c>
      <c r="AG250" s="6" t="str">
        <f>IFERROR(IF($F250="Total",
         SUMPRODUCT(
         INDEX(AG:AG, ROW()-COUNTIF($F$6:INDEX($F:$F, ROW()-1), $F249)) : INDEX(AG:AG, ROW()-1),
         INDEX(AB:AB, ROW()-COUNTIF($F$6:INDEX($F:$F, ROW()-1), $F249)) : INDEX(AB:AB, ROW()-1)
         )
         /SUM(INDEX(AB:AB, ROW()-COUNTIF($F$6:INDEX($F:$F, ROW()-1), $F249)) : INDEX(AB:AB, ROW()-1)),
          AVERAGEIFS(unit_details[Asking PSF],
          unit_details[Active Listing?],TRUE,
          unit_details[Property Name], $F250,
          unit_details[Beds], $L250,
          unit_details[Baths], $M250,
          unit_details[Partial Baths], IF(ISNUMBER($N250),$N250,""),
          unit_details[Sqft],$P250
)),"")</f>
        <v/>
      </c>
      <c r="AH250" s="293" t="str">
        <f>IFERROR(IF($F250="Total",
         SUMPRODUCT(
         INDEX(AH:AH, ROW()-COUNTIF($F$6:INDEX($F:$F, ROW()-1), $F249)) : INDEX(AH:AH, ROW()-1),
         INDEX(AB:AB, ROW()-COUNTIF($F$6:INDEX($F:$F, ROW()-1), $F249)) : INDEX(AB:AB, ROW()-1)
         )
         /SUM(INDEX(AB:AB, ROW()-COUNTIF($F$6:INDEX($F:$F, ROW()-1), $F249)) : INDEX(AB:AB, ROW()-1)),
          AVERAGEIFS(unit_details[Effective Rent],
          unit_details[Active Listing?],TRUE,
          unit_details[Property Name], $F250,
          unit_details[Beds], $L250,
          unit_details[Baths], $M250,
          unit_details[Partial Baths], IF(ISNUMBER($N250),$N250,""),
          unit_details[Sqft],$P250
)),"")</f>
        <v/>
      </c>
      <c r="AI250" s="6" t="str">
        <f>IFERROR(IF($F250="Total",
         SUMPRODUCT(
         INDEX(AI:AI, ROW()-COUNTIF($F$6:INDEX($F:$F, ROW()-1), $F249)) : INDEX(AI:AI, ROW()-1),
         INDEX(AB:AB, ROW()-COUNTIF($F$6:INDEX($F:$F, ROW()-1), $F249)) : INDEX(AB:AB, ROW()-1)
         )
         /SUM(INDEX(AB:AB, ROW()-COUNTIF($F$6:INDEX($F:$F, ROW()-1), $F249)) : INDEX(AB:AB, ROW()-1)),
           AVERAGEIFS(unit_details[Effective PSF],
          unit_details[Active Listing?],TRUE,
          unit_details[Property Name], $F250,
          unit_details[Beds], $L250,
          unit_details[Baths], $M250,
          unit_details[Partial Baths], IF(ISNUMBER($N250),$N250,""),
          unit_details[Sqft],$P250
)),"")</f>
        <v/>
      </c>
      <c r="AJ250" s="824" t="str">
        <f t="shared" si="37"/>
        <v/>
      </c>
      <c r="AK250" s="531" t="str">
        <f t="shared" si="38"/>
        <v/>
      </c>
      <c r="AL250" s="714" t="str">
        <f t="shared" si="39"/>
        <v/>
      </c>
      <c r="AM250" s="531" t="str">
        <f t="shared" si="40"/>
        <v/>
      </c>
      <c r="AN250" s="716" t="str">
        <f t="shared" si="41"/>
        <v/>
      </c>
    </row>
    <row r="251" spans="6:40" x14ac:dyDescent="0.2">
      <c r="F251" s="1" t="str">
        <f t="shared" si="34"/>
        <v/>
      </c>
      <c r="G251" s="713" t="str">
        <f t="shared" si="42"/>
        <v/>
      </c>
      <c r="H251" s="17" t="str">
        <f>IFERROR(VLOOKUP($G251,Table1[[Property]:[Exposure %]],4,0),"")</f>
        <v/>
      </c>
      <c r="I251" s="3" t="str">
        <f>IFERROR(VLOOKUP($G251,Table1[[Property]:[Exposure %]],6,0),"")</f>
        <v/>
      </c>
      <c r="J251" s="3" t="str">
        <f>IFERROR(VLOOKUP($G251,Table1[[Property]:[Exposure %]],7,0),"")</f>
        <v/>
      </c>
      <c r="K251"/>
      <c r="L251"/>
      <c r="M251"/>
      <c r="N251"/>
      <c r="O251"/>
      <c r="P251"/>
      <c r="Q251"/>
      <c r="R251" s="4" t="str">
        <f>IFERROR(VLOOKUP(IF(F251="Total",F250,F251),Table1[[Property]:['# Units]],7,0)*S251,"")</f>
        <v/>
      </c>
      <c r="S251" s="27" t="str">
        <f t="shared" si="35"/>
        <v/>
      </c>
      <c r="T251" s="531" t="str">
        <f>IFERROR(
 IF($F251="Total",
   SUMPRODUCT(
   INDEX(T:T, ROW()-COUNTIF($F$6:INDEX($F:$F, ROW()-1), $F250)) : INDEX(T:T, ROW()-1),
   INDEX(W:W, ROW()-COUNTIF($F$6:INDEX($F:$F, ROW()-1), $F250)) : INDEX(W:W, ROW()-1)
   )
   /SUM(INDEX(W:W, ROW()-COUNTIF($F$6:INDEX($F:$F, ROW()-1), $F250)) : INDEX(W:W, ROW()-1)),
   AVERAGEIFS(
     INDEX((unit_details[Asking Rent],unit_details[Asking PSF]),0,1,IF($U$3="Chunk Rent",1,2)),
     unit_details[Leased Date],"&gt;="&amp;($AM$2-T$5),
     unit_details[Leased Date],"&lt;"&amp;$AM$2,
     unit_details[Beds],$L251,
     unit_details[Baths],$M251,
     unit_details[Partial Baths],IF(ISNUMBER($N251),$N251,""),
     unit_details[Sqft],$P251,
     unit_details[Property Name],$F251)
 ),"")</f>
        <v/>
      </c>
      <c r="U251" s="552" t="str">
        <f>IFERROR(
 IF($F251="Total",
   SUMPRODUCT(
   INDEX(U:U, ROW()-COUNTIF($F$6:INDEX($F:$F, ROW()-1), $F250)) : INDEX(U:U, ROW()-1),
   INDEX(W:W, ROW()-COUNTIF($F$6:INDEX($F:$F, ROW()-1), $F250)) : INDEX(W:W, ROW()-1)
   )
   /SUM(INDEX(W:W, ROW()-COUNTIF($F$6:INDEX($F:$F, ROW()-1), $F250)) : INDEX(W:W, ROW()-1)),
   AVERAGEIFS(
     INDEX((unit_details[Effective Rent],unit_details[Effective PSF]),0,1,IF($U$3="Chunk Rent",1,2)),
     unit_details[Leased Date],"&gt;="&amp;($AM$2-T$5),
     unit_details[Leased Date],"&lt;"&amp;$AM$2,
     unit_details[Beds],$L251,
     unit_details[Baths],$M251,
     unit_details[Partial Baths],IF(ISNUMBER($N251),$N251,""),
     unit_details[Sqft],$P251,
     unit_details[Property Name],$F251)
 ),"")</f>
        <v/>
      </c>
      <c r="V251" s="27" t="str">
        <f t="shared" si="43"/>
        <v/>
      </c>
      <c r="W251" s="526">
        <f>IFERROR(
  IF($F251="Total",
    SUM(INDEX(W:W, ROW()-COUNTIF($F$6:INDEX($F:$F, ROW()-1), $F250)) : INDEX(W:W, ROW()-1)),
    COUNTIFS(
      unit_details[Leased Date], "&gt;="&amp;($AM$2-T$5),
      unit_details[Leased Date], "&lt;"&amp;$AM$2,
      unit_details[Beds], $L251,
      unit_details[Baths], $M251,
      unit_details[Partial Baths], IF(ISNUMBER($N251), $N251, ""),
      unit_details[Sqft],$P251,
      unit_details[Property Name], $F251
    )
  ),
"")</f>
        <v>0</v>
      </c>
      <c r="X251" s="531" t="str">
        <f>IFERROR(
 IF($F251="Total",
   SUMPRODUCT(
   INDEX(X:X, ROW()-COUNTIF($F$6:INDEX($F:$F, ROW()-1), $F250)) : INDEX(X:X, ROW()-1),
   INDEX(AA:AA, ROW()-COUNTIF($F$6:INDEX($F:$F, ROW()-1), $F250)) : INDEX(AA:AA, ROW()-1)
   )
   /SUM(INDEX(AA:AA, ROW()-COUNTIF($F$6:INDEX($F:$F, ROW()-1), $F250)) : INDEX(AA:AA, ROW()-1)),
   AVERAGEIFS(
     INDEX((unit_details[Asking Rent],unit_details[Asking PSF]),0,1,IF($U$3="Chunk Rent",1,2)),
     unit_details[Leased Date],"&gt;="&amp;($AM$2-X$5),
     unit_details[Leased Date],"&lt;"&amp;$AM$2,
     unit_details[Beds],$L251,
     unit_details[Baths],$M251,
     unit_details[Partial Baths],IF(ISNUMBER($N251),$N251,""),
     unit_details[Sqft],$P251,
     unit_details[Property Name],$F251)
 ),"")</f>
        <v/>
      </c>
      <c r="Y251" s="552" t="str">
        <f>IFERROR(
 IF($F251="Total",
   SUMPRODUCT(
   INDEX(Y:Y, ROW()-COUNTIF($F$6:INDEX($F:$F, ROW()-1), $F250)) : INDEX(Y:Y, ROW()-1),
   INDEX(AA:AA, ROW()-COUNTIF($F$6:INDEX($F:$F, ROW()-1), $F250)) : INDEX(AA:AA, ROW()-1)
   )
   /SUM(INDEX(AA:AA, ROW()-COUNTIF($F$6:INDEX($F:$F, ROW()-1), $F250)) : INDEX(AA:AA, ROW()-1)),
   AVERAGEIFS(
     INDEX((unit_details[Effective Rent],unit_details[Effective PSF]),0,1,IF($U$3="Chunk Rent",1,2)),
     unit_details[Leased Date],"&gt;="&amp;($AM$2-X$5),
     unit_details[Leased Date],"&lt;"&amp;$AM$2,
     unit_details[Beds],$L251,
     unit_details[Baths],$M251,
     unit_details[Partial Baths],IF(ISNUMBER($N251),$N251,""),
     unit_details[Sqft],$P251,
     unit_details[Property Name],$F251)
 ),"")</f>
        <v/>
      </c>
      <c r="Z251" s="27" t="str">
        <f t="shared" si="44"/>
        <v/>
      </c>
      <c r="AA251" s="526">
        <f>IFERROR(
  IF($F251="Total",
    SUM(INDEX(AA:AA, ROW()-COUNTIF($F$6:INDEX($F:$F, ROW()-1), $F250)) : INDEX(AA:AA, ROW()-1)),
    COUNTIFS(
      unit_details[Leased Date], "&gt;="&amp;($AM$2-X$5),
      unit_details[Leased Date], "&lt;"&amp;$AM$2,
      unit_details[Beds], $L251,
      unit_details[Baths], $M251,
      unit_details[Partial Baths], IF(ISNUMBER($N251), $N251, ""),
      unit_details[Sqft],$P251,
      unit_details[Property Name], $F251
    )
  ),
"")</f>
        <v>0</v>
      </c>
      <c r="AB251" s="290">
        <f>IF($F251="Total",
SUM(INDEX(AB:AB, ROW()-COUNTIF($F$6:INDEX($F:$F, ROW()-1), $F250)) : INDEX(AB:AB, ROW()-1)),
COUNTIFS(unit_details[Active Listing?],TRUE,
          unit_details[Property Name], $F251,
          unit_details[Beds], $L251,
          unit_details[Baths], $M251,
          unit_details[Partial Baths],IF(ISNUMBER($N251),$N251,""),
          unit_details[Sqft],$P251))</f>
        <v>0</v>
      </c>
      <c r="AC251" s="27" t="str">
        <f t="shared" si="36"/>
        <v/>
      </c>
      <c r="AD251" s="293" t="str">
        <f>IFERROR(IF(AE251="","",IF($F251="Total",
SUMPRODUCT(
   INDEX(AD:AD, ROW()-COUNTIF($F$6:INDEX($F:$F, ROW()-1), $F250)) : INDEX(AD:AD, ROW()-1),
   INDEX(AB:AB, ROW()-COUNTIF($F$6:INDEX($F:$F, ROW()-1), $F250)) : INDEX(AB:AB, ROW()-1)
   )
   /SUM(INDEX(AB:AB, ROW()-COUNTIF($F$6:INDEX($F:$F, ROW()-1), $F250)) : INDEX(AB:AB, ROW()-1)),
          _xlfn.MINIFS(unit_details[Asking Rent],
          unit_details[Active Listing?],TRUE,
          unit_details[Property Name], $F251,
          unit_details[Beds], $L251,
          unit_details[Baths], $M251,
          unit_details[Partial Baths], IF(ISNUMBER($N251),$N251,""),
          unit_details[Sqft],$P251
))),"")</f>
        <v/>
      </c>
      <c r="AE251" s="5" t="str">
        <f>IFERROR(IF($F251="Total",
          SUMPRODUCT(
   INDEX(AE:AE, ROW()-COUNTIF($F$6:INDEX($F:$F, ROW()-1), $F250)) : INDEX(AE:AE, ROW()-1),
   INDEX(AB:AB, ROW()-COUNTIF($F$6:INDEX($F:$F, ROW()-1), $F250)) : INDEX(AB:AB, ROW()-1)
   )
   /SUM(INDEX(AB:AB, ROW()-COUNTIF($F$6:INDEX($F:$F, ROW()-1), $F250)) : INDEX(AB:AB, ROW()-1)),
          AVERAGEIFS(unit_details[Asking Rent],
          unit_details[Active Listing?],TRUE,
          unit_details[Property Name], $F251,
          unit_details[Beds], $L251,
          unit_details[Baths], $M251,
          unit_details[Partial Baths], IF(ISNUMBER($N251),$N251,""),
          unit_details[Sqft],$P251
)),"")</f>
        <v/>
      </c>
      <c r="AF251" s="5" t="str">
        <f>IFERROR(IF(AE251="","",IF($F251="Total",
SUMPRODUCT(
   INDEX(AF:AF, ROW()-COUNTIF($F$6:INDEX($F:$F, ROW()-1), $F250)) : INDEX(AF:AF, ROW()-1),
   INDEX(AB:AB, ROW()-COUNTIF($F$6:INDEX($F:$F, ROW()-1), $F250)) : INDEX(AB:AB, ROW()-1)
   )
   /SUM(INDEX(AB:AB, ROW()-COUNTIF($F$6:INDEX($F:$F, ROW()-1), $F250)) : INDEX(AB:AB, ROW()-1)),
           _xlfn.MAXIFS(unit_details[Asking Rent],
          unit_details[Active Listing?],TRUE,
          unit_details[Property Name], $F251,
          unit_details[Beds], $L251,
          unit_details[Baths], $M251,
          unit_details[Partial Baths], IF(ISNUMBER($N251),$N251,""),
          unit_details[Sqft],$P251
))),"")</f>
        <v/>
      </c>
      <c r="AG251" s="6" t="str">
        <f>IFERROR(IF($F251="Total",
         SUMPRODUCT(
         INDEX(AG:AG, ROW()-COUNTIF($F$6:INDEX($F:$F, ROW()-1), $F250)) : INDEX(AG:AG, ROW()-1),
         INDEX(AB:AB, ROW()-COUNTIF($F$6:INDEX($F:$F, ROW()-1), $F250)) : INDEX(AB:AB, ROW()-1)
         )
         /SUM(INDEX(AB:AB, ROW()-COUNTIF($F$6:INDEX($F:$F, ROW()-1), $F250)) : INDEX(AB:AB, ROW()-1)),
          AVERAGEIFS(unit_details[Asking PSF],
          unit_details[Active Listing?],TRUE,
          unit_details[Property Name], $F251,
          unit_details[Beds], $L251,
          unit_details[Baths], $M251,
          unit_details[Partial Baths], IF(ISNUMBER($N251),$N251,""),
          unit_details[Sqft],$P251
)),"")</f>
        <v/>
      </c>
      <c r="AH251" s="293" t="str">
        <f>IFERROR(IF($F251="Total",
         SUMPRODUCT(
         INDEX(AH:AH, ROW()-COUNTIF($F$6:INDEX($F:$F, ROW()-1), $F250)) : INDEX(AH:AH, ROW()-1),
         INDEX(AB:AB, ROW()-COUNTIF($F$6:INDEX($F:$F, ROW()-1), $F250)) : INDEX(AB:AB, ROW()-1)
         )
         /SUM(INDEX(AB:AB, ROW()-COUNTIF($F$6:INDEX($F:$F, ROW()-1), $F250)) : INDEX(AB:AB, ROW()-1)),
          AVERAGEIFS(unit_details[Effective Rent],
          unit_details[Active Listing?],TRUE,
          unit_details[Property Name], $F251,
          unit_details[Beds], $L251,
          unit_details[Baths], $M251,
          unit_details[Partial Baths], IF(ISNUMBER($N251),$N251,""),
          unit_details[Sqft],$P251
)),"")</f>
        <v/>
      </c>
      <c r="AI251" s="6" t="str">
        <f>IFERROR(IF($F251="Total",
         SUMPRODUCT(
         INDEX(AI:AI, ROW()-COUNTIF($F$6:INDEX($F:$F, ROW()-1), $F250)) : INDEX(AI:AI, ROW()-1),
         INDEX(AB:AB, ROW()-COUNTIF($F$6:INDEX($F:$F, ROW()-1), $F250)) : INDEX(AB:AB, ROW()-1)
         )
         /SUM(INDEX(AB:AB, ROW()-COUNTIF($F$6:INDEX($F:$F, ROW()-1), $F250)) : INDEX(AB:AB, ROW()-1)),
           AVERAGEIFS(unit_details[Effective PSF],
          unit_details[Active Listing?],TRUE,
          unit_details[Property Name], $F251,
          unit_details[Beds], $L251,
          unit_details[Baths], $M251,
          unit_details[Partial Baths], IF(ISNUMBER($N251),$N251,""),
          unit_details[Sqft],$P251
)),"")</f>
        <v/>
      </c>
      <c r="AJ251" s="824" t="str">
        <f t="shared" si="37"/>
        <v/>
      </c>
      <c r="AK251" s="531" t="str">
        <f t="shared" si="38"/>
        <v/>
      </c>
      <c r="AL251" s="714" t="str">
        <f t="shared" si="39"/>
        <v/>
      </c>
      <c r="AM251" s="531" t="str">
        <f t="shared" si="40"/>
        <v/>
      </c>
      <c r="AN251" s="716" t="str">
        <f t="shared" si="41"/>
        <v/>
      </c>
    </row>
    <row r="252" spans="6:40" x14ac:dyDescent="0.2">
      <c r="F252" s="1" t="str">
        <f t="shared" si="34"/>
        <v/>
      </c>
      <c r="G252" s="713" t="str">
        <f t="shared" si="42"/>
        <v/>
      </c>
      <c r="H252" s="17" t="str">
        <f>IFERROR(VLOOKUP($G252,Table1[[Property]:[Exposure %]],4,0),"")</f>
        <v/>
      </c>
      <c r="I252" s="3" t="str">
        <f>IFERROR(VLOOKUP($G252,Table1[[Property]:[Exposure %]],6,0),"")</f>
        <v/>
      </c>
      <c r="J252" s="3" t="str">
        <f>IFERROR(VLOOKUP($G252,Table1[[Property]:[Exposure %]],7,0),"")</f>
        <v/>
      </c>
      <c r="K252"/>
      <c r="L252"/>
      <c r="M252"/>
      <c r="N252"/>
      <c r="O252"/>
      <c r="P252"/>
      <c r="Q252"/>
      <c r="R252" s="4" t="str">
        <f>IFERROR(VLOOKUP(IF(F252="Total",F251,F252),Table1[[Property]:['# Units]],7,0)*S252,"")</f>
        <v/>
      </c>
      <c r="S252" s="27" t="str">
        <f t="shared" si="35"/>
        <v/>
      </c>
      <c r="T252" s="531" t="str">
        <f>IFERROR(
 IF($F252="Total",
   SUMPRODUCT(
   INDEX(T:T, ROW()-COUNTIF($F$6:INDEX($F:$F, ROW()-1), $F251)) : INDEX(T:T, ROW()-1),
   INDEX(W:W, ROW()-COUNTIF($F$6:INDEX($F:$F, ROW()-1), $F251)) : INDEX(W:W, ROW()-1)
   )
   /SUM(INDEX(W:W, ROW()-COUNTIF($F$6:INDEX($F:$F, ROW()-1), $F251)) : INDEX(W:W, ROW()-1)),
   AVERAGEIFS(
     INDEX((unit_details[Asking Rent],unit_details[Asking PSF]),0,1,IF($U$3="Chunk Rent",1,2)),
     unit_details[Leased Date],"&gt;="&amp;($AM$2-T$5),
     unit_details[Leased Date],"&lt;"&amp;$AM$2,
     unit_details[Beds],$L252,
     unit_details[Baths],$M252,
     unit_details[Partial Baths],IF(ISNUMBER($N252),$N252,""),
     unit_details[Sqft],$P252,
     unit_details[Property Name],$F252)
 ),"")</f>
        <v/>
      </c>
      <c r="U252" s="552" t="str">
        <f>IFERROR(
 IF($F252="Total",
   SUMPRODUCT(
   INDEX(U:U, ROW()-COUNTIF($F$6:INDEX($F:$F, ROW()-1), $F251)) : INDEX(U:U, ROW()-1),
   INDEX(W:W, ROW()-COUNTIF($F$6:INDEX($F:$F, ROW()-1), $F251)) : INDEX(W:W, ROW()-1)
   )
   /SUM(INDEX(W:W, ROW()-COUNTIF($F$6:INDEX($F:$F, ROW()-1), $F251)) : INDEX(W:W, ROW()-1)),
   AVERAGEIFS(
     INDEX((unit_details[Effective Rent],unit_details[Effective PSF]),0,1,IF($U$3="Chunk Rent",1,2)),
     unit_details[Leased Date],"&gt;="&amp;($AM$2-T$5),
     unit_details[Leased Date],"&lt;"&amp;$AM$2,
     unit_details[Beds],$L252,
     unit_details[Baths],$M252,
     unit_details[Partial Baths],IF(ISNUMBER($N252),$N252,""),
     unit_details[Sqft],$P252,
     unit_details[Property Name],$F252)
 ),"")</f>
        <v/>
      </c>
      <c r="V252" s="27" t="str">
        <f t="shared" si="43"/>
        <v/>
      </c>
      <c r="W252" s="526">
        <f>IFERROR(
  IF($F252="Total",
    SUM(INDEX(W:W, ROW()-COUNTIF($F$6:INDEX($F:$F, ROW()-1), $F251)) : INDEX(W:W, ROW()-1)),
    COUNTIFS(
      unit_details[Leased Date], "&gt;="&amp;($AM$2-T$5),
      unit_details[Leased Date], "&lt;"&amp;$AM$2,
      unit_details[Beds], $L252,
      unit_details[Baths], $M252,
      unit_details[Partial Baths], IF(ISNUMBER($N252), $N252, ""),
      unit_details[Sqft],$P252,
      unit_details[Property Name], $F252
    )
  ),
"")</f>
        <v>0</v>
      </c>
      <c r="X252" s="531" t="str">
        <f>IFERROR(
 IF($F252="Total",
   SUMPRODUCT(
   INDEX(X:X, ROW()-COUNTIF($F$6:INDEX($F:$F, ROW()-1), $F251)) : INDEX(X:X, ROW()-1),
   INDEX(AA:AA, ROW()-COUNTIF($F$6:INDEX($F:$F, ROW()-1), $F251)) : INDEX(AA:AA, ROW()-1)
   )
   /SUM(INDEX(AA:AA, ROW()-COUNTIF($F$6:INDEX($F:$F, ROW()-1), $F251)) : INDEX(AA:AA, ROW()-1)),
   AVERAGEIFS(
     INDEX((unit_details[Asking Rent],unit_details[Asking PSF]),0,1,IF($U$3="Chunk Rent",1,2)),
     unit_details[Leased Date],"&gt;="&amp;($AM$2-X$5),
     unit_details[Leased Date],"&lt;"&amp;$AM$2,
     unit_details[Beds],$L252,
     unit_details[Baths],$M252,
     unit_details[Partial Baths],IF(ISNUMBER($N252),$N252,""),
     unit_details[Sqft],$P252,
     unit_details[Property Name],$F252)
 ),"")</f>
        <v/>
      </c>
      <c r="Y252" s="552" t="str">
        <f>IFERROR(
 IF($F252="Total",
   SUMPRODUCT(
   INDEX(Y:Y, ROW()-COUNTIF($F$6:INDEX($F:$F, ROW()-1), $F251)) : INDEX(Y:Y, ROW()-1),
   INDEX(AA:AA, ROW()-COUNTIF($F$6:INDEX($F:$F, ROW()-1), $F251)) : INDEX(AA:AA, ROW()-1)
   )
   /SUM(INDEX(AA:AA, ROW()-COUNTIF($F$6:INDEX($F:$F, ROW()-1), $F251)) : INDEX(AA:AA, ROW()-1)),
   AVERAGEIFS(
     INDEX((unit_details[Effective Rent],unit_details[Effective PSF]),0,1,IF($U$3="Chunk Rent",1,2)),
     unit_details[Leased Date],"&gt;="&amp;($AM$2-X$5),
     unit_details[Leased Date],"&lt;"&amp;$AM$2,
     unit_details[Beds],$L252,
     unit_details[Baths],$M252,
     unit_details[Partial Baths],IF(ISNUMBER($N252),$N252,""),
     unit_details[Sqft],$P252,
     unit_details[Property Name],$F252)
 ),"")</f>
        <v/>
      </c>
      <c r="Z252" s="27" t="str">
        <f t="shared" si="44"/>
        <v/>
      </c>
      <c r="AA252" s="526">
        <f>IFERROR(
  IF($F252="Total",
    SUM(INDEX(AA:AA, ROW()-COUNTIF($F$6:INDEX($F:$F, ROW()-1), $F251)) : INDEX(AA:AA, ROW()-1)),
    COUNTIFS(
      unit_details[Leased Date], "&gt;="&amp;($AM$2-X$5),
      unit_details[Leased Date], "&lt;"&amp;$AM$2,
      unit_details[Beds], $L252,
      unit_details[Baths], $M252,
      unit_details[Partial Baths], IF(ISNUMBER($N252), $N252, ""),
      unit_details[Sqft],$P252,
      unit_details[Property Name], $F252
    )
  ),
"")</f>
        <v>0</v>
      </c>
      <c r="AB252" s="290">
        <f>IF($F252="Total",
SUM(INDEX(AB:AB, ROW()-COUNTIF($F$6:INDEX($F:$F, ROW()-1), $F251)) : INDEX(AB:AB, ROW()-1)),
COUNTIFS(unit_details[Active Listing?],TRUE,
          unit_details[Property Name], $F252,
          unit_details[Beds], $L252,
          unit_details[Baths], $M252,
          unit_details[Partial Baths],IF(ISNUMBER($N252),$N252,""),
          unit_details[Sqft],$P252))</f>
        <v>0</v>
      </c>
      <c r="AC252" s="27" t="str">
        <f t="shared" si="36"/>
        <v/>
      </c>
      <c r="AD252" s="293" t="str">
        <f>IFERROR(IF(AE252="","",IF($F252="Total",
SUMPRODUCT(
   INDEX(AD:AD, ROW()-COUNTIF($F$6:INDEX($F:$F, ROW()-1), $F251)) : INDEX(AD:AD, ROW()-1),
   INDEX(AB:AB, ROW()-COUNTIF($F$6:INDEX($F:$F, ROW()-1), $F251)) : INDEX(AB:AB, ROW()-1)
   )
   /SUM(INDEX(AB:AB, ROW()-COUNTIF($F$6:INDEX($F:$F, ROW()-1), $F251)) : INDEX(AB:AB, ROW()-1)),
          _xlfn.MINIFS(unit_details[Asking Rent],
          unit_details[Active Listing?],TRUE,
          unit_details[Property Name], $F252,
          unit_details[Beds], $L252,
          unit_details[Baths], $M252,
          unit_details[Partial Baths], IF(ISNUMBER($N252),$N252,""),
          unit_details[Sqft],$P252
))),"")</f>
        <v/>
      </c>
      <c r="AE252" s="5" t="str">
        <f>IFERROR(IF($F252="Total",
          SUMPRODUCT(
   INDEX(AE:AE, ROW()-COUNTIF($F$6:INDEX($F:$F, ROW()-1), $F251)) : INDEX(AE:AE, ROW()-1),
   INDEX(AB:AB, ROW()-COUNTIF($F$6:INDEX($F:$F, ROW()-1), $F251)) : INDEX(AB:AB, ROW()-1)
   )
   /SUM(INDEX(AB:AB, ROW()-COUNTIF($F$6:INDEX($F:$F, ROW()-1), $F251)) : INDEX(AB:AB, ROW()-1)),
          AVERAGEIFS(unit_details[Asking Rent],
          unit_details[Active Listing?],TRUE,
          unit_details[Property Name], $F252,
          unit_details[Beds], $L252,
          unit_details[Baths], $M252,
          unit_details[Partial Baths], IF(ISNUMBER($N252),$N252,""),
          unit_details[Sqft],$P252
)),"")</f>
        <v/>
      </c>
      <c r="AF252" s="5" t="str">
        <f>IFERROR(IF(AE252="","",IF($F252="Total",
SUMPRODUCT(
   INDEX(AF:AF, ROW()-COUNTIF($F$6:INDEX($F:$F, ROW()-1), $F251)) : INDEX(AF:AF, ROW()-1),
   INDEX(AB:AB, ROW()-COUNTIF($F$6:INDEX($F:$F, ROW()-1), $F251)) : INDEX(AB:AB, ROW()-1)
   )
   /SUM(INDEX(AB:AB, ROW()-COUNTIF($F$6:INDEX($F:$F, ROW()-1), $F251)) : INDEX(AB:AB, ROW()-1)),
           _xlfn.MAXIFS(unit_details[Asking Rent],
          unit_details[Active Listing?],TRUE,
          unit_details[Property Name], $F252,
          unit_details[Beds], $L252,
          unit_details[Baths], $M252,
          unit_details[Partial Baths], IF(ISNUMBER($N252),$N252,""),
          unit_details[Sqft],$P252
))),"")</f>
        <v/>
      </c>
      <c r="AG252" s="6" t="str">
        <f>IFERROR(IF($F252="Total",
         SUMPRODUCT(
         INDEX(AG:AG, ROW()-COUNTIF($F$6:INDEX($F:$F, ROW()-1), $F251)) : INDEX(AG:AG, ROW()-1),
         INDEX(AB:AB, ROW()-COUNTIF($F$6:INDEX($F:$F, ROW()-1), $F251)) : INDEX(AB:AB, ROW()-1)
         )
         /SUM(INDEX(AB:AB, ROW()-COUNTIF($F$6:INDEX($F:$F, ROW()-1), $F251)) : INDEX(AB:AB, ROW()-1)),
          AVERAGEIFS(unit_details[Asking PSF],
          unit_details[Active Listing?],TRUE,
          unit_details[Property Name], $F252,
          unit_details[Beds], $L252,
          unit_details[Baths], $M252,
          unit_details[Partial Baths], IF(ISNUMBER($N252),$N252,""),
          unit_details[Sqft],$P252
)),"")</f>
        <v/>
      </c>
      <c r="AH252" s="293" t="str">
        <f>IFERROR(IF($F252="Total",
         SUMPRODUCT(
         INDEX(AH:AH, ROW()-COUNTIF($F$6:INDEX($F:$F, ROW()-1), $F251)) : INDEX(AH:AH, ROW()-1),
         INDEX(AB:AB, ROW()-COUNTIF($F$6:INDEX($F:$F, ROW()-1), $F251)) : INDEX(AB:AB, ROW()-1)
         )
         /SUM(INDEX(AB:AB, ROW()-COUNTIF($F$6:INDEX($F:$F, ROW()-1), $F251)) : INDEX(AB:AB, ROW()-1)),
          AVERAGEIFS(unit_details[Effective Rent],
          unit_details[Active Listing?],TRUE,
          unit_details[Property Name], $F252,
          unit_details[Beds], $L252,
          unit_details[Baths], $M252,
          unit_details[Partial Baths], IF(ISNUMBER($N252),$N252,""),
          unit_details[Sqft],$P252
)),"")</f>
        <v/>
      </c>
      <c r="AI252" s="6" t="str">
        <f>IFERROR(IF($F252="Total",
         SUMPRODUCT(
         INDEX(AI:AI, ROW()-COUNTIF($F$6:INDEX($F:$F, ROW()-1), $F251)) : INDEX(AI:AI, ROW()-1),
         INDEX(AB:AB, ROW()-COUNTIF($F$6:INDEX($F:$F, ROW()-1), $F251)) : INDEX(AB:AB, ROW()-1)
         )
         /SUM(INDEX(AB:AB, ROW()-COUNTIF($F$6:INDEX($F:$F, ROW()-1), $F251)) : INDEX(AB:AB, ROW()-1)),
           AVERAGEIFS(unit_details[Effective PSF],
          unit_details[Active Listing?],TRUE,
          unit_details[Property Name], $F252,
          unit_details[Beds], $L252,
          unit_details[Baths], $M252,
          unit_details[Partial Baths], IF(ISNUMBER($N252),$N252,""),
          unit_details[Sqft],$P252
)),"")</f>
        <v/>
      </c>
      <c r="AJ252" s="824" t="str">
        <f t="shared" si="37"/>
        <v/>
      </c>
      <c r="AK252" s="531" t="str">
        <f t="shared" si="38"/>
        <v/>
      </c>
      <c r="AL252" s="714" t="str">
        <f t="shared" si="39"/>
        <v/>
      </c>
      <c r="AM252" s="531" t="str">
        <f t="shared" si="40"/>
        <v/>
      </c>
      <c r="AN252" s="716" t="str">
        <f t="shared" si="41"/>
        <v/>
      </c>
    </row>
    <row r="253" spans="6:40" x14ac:dyDescent="0.2">
      <c r="F253" s="1" t="str">
        <f t="shared" si="34"/>
        <v/>
      </c>
      <c r="G253" s="713" t="str">
        <f t="shared" si="42"/>
        <v/>
      </c>
      <c r="H253" s="17" t="str">
        <f>IFERROR(VLOOKUP($G253,Table1[[Property]:[Exposure %]],4,0),"")</f>
        <v/>
      </c>
      <c r="I253" s="3" t="str">
        <f>IFERROR(VLOOKUP($G253,Table1[[Property]:[Exposure %]],6,0),"")</f>
        <v/>
      </c>
      <c r="J253" s="3" t="str">
        <f>IFERROR(VLOOKUP($G253,Table1[[Property]:[Exposure %]],7,0),"")</f>
        <v/>
      </c>
      <c r="K253"/>
      <c r="L253"/>
      <c r="M253"/>
      <c r="N253"/>
      <c r="O253"/>
      <c r="P253"/>
      <c r="Q253"/>
      <c r="R253" s="4" t="str">
        <f>IFERROR(VLOOKUP(IF(F253="Total",F252,F253),Table1[[Property]:['# Units]],7,0)*S253,"")</f>
        <v/>
      </c>
      <c r="S253" s="27" t="str">
        <f t="shared" si="35"/>
        <v/>
      </c>
      <c r="T253" s="531" t="str">
        <f>IFERROR(
 IF($F253="Total",
   SUMPRODUCT(
   INDEX(T:T, ROW()-COUNTIF($F$6:INDEX($F:$F, ROW()-1), $F252)) : INDEX(T:T, ROW()-1),
   INDEX(W:W, ROW()-COUNTIF($F$6:INDEX($F:$F, ROW()-1), $F252)) : INDEX(W:W, ROW()-1)
   )
   /SUM(INDEX(W:W, ROW()-COUNTIF($F$6:INDEX($F:$F, ROW()-1), $F252)) : INDEX(W:W, ROW()-1)),
   AVERAGEIFS(
     INDEX((unit_details[Asking Rent],unit_details[Asking PSF]),0,1,IF($U$3="Chunk Rent",1,2)),
     unit_details[Leased Date],"&gt;="&amp;($AM$2-T$5),
     unit_details[Leased Date],"&lt;"&amp;$AM$2,
     unit_details[Beds],$L253,
     unit_details[Baths],$M253,
     unit_details[Partial Baths],IF(ISNUMBER($N253),$N253,""),
     unit_details[Sqft],$P253,
     unit_details[Property Name],$F253)
 ),"")</f>
        <v/>
      </c>
      <c r="U253" s="552" t="str">
        <f>IFERROR(
 IF($F253="Total",
   SUMPRODUCT(
   INDEX(U:U, ROW()-COUNTIF($F$6:INDEX($F:$F, ROW()-1), $F252)) : INDEX(U:U, ROW()-1),
   INDEX(W:W, ROW()-COUNTIF($F$6:INDEX($F:$F, ROW()-1), $F252)) : INDEX(W:W, ROW()-1)
   )
   /SUM(INDEX(W:W, ROW()-COUNTIF($F$6:INDEX($F:$F, ROW()-1), $F252)) : INDEX(W:W, ROW()-1)),
   AVERAGEIFS(
     INDEX((unit_details[Effective Rent],unit_details[Effective PSF]),0,1,IF($U$3="Chunk Rent",1,2)),
     unit_details[Leased Date],"&gt;="&amp;($AM$2-T$5),
     unit_details[Leased Date],"&lt;"&amp;$AM$2,
     unit_details[Beds],$L253,
     unit_details[Baths],$M253,
     unit_details[Partial Baths],IF(ISNUMBER($N253),$N253,""),
     unit_details[Sqft],$P253,
     unit_details[Property Name],$F253)
 ),"")</f>
        <v/>
      </c>
      <c r="V253" s="27" t="str">
        <f t="shared" si="43"/>
        <v/>
      </c>
      <c r="W253" s="526">
        <f>IFERROR(
  IF($F253="Total",
    SUM(INDEX(W:W, ROW()-COUNTIF($F$6:INDEX($F:$F, ROW()-1), $F252)) : INDEX(W:W, ROW()-1)),
    COUNTIFS(
      unit_details[Leased Date], "&gt;="&amp;($AM$2-T$5),
      unit_details[Leased Date], "&lt;"&amp;$AM$2,
      unit_details[Beds], $L253,
      unit_details[Baths], $M253,
      unit_details[Partial Baths], IF(ISNUMBER($N253), $N253, ""),
      unit_details[Sqft],$P253,
      unit_details[Property Name], $F253
    )
  ),
"")</f>
        <v>0</v>
      </c>
      <c r="X253" s="531" t="str">
        <f>IFERROR(
 IF($F253="Total",
   SUMPRODUCT(
   INDEX(X:X, ROW()-COUNTIF($F$6:INDEX($F:$F, ROW()-1), $F252)) : INDEX(X:X, ROW()-1),
   INDEX(AA:AA, ROW()-COUNTIF($F$6:INDEX($F:$F, ROW()-1), $F252)) : INDEX(AA:AA, ROW()-1)
   )
   /SUM(INDEX(AA:AA, ROW()-COUNTIF($F$6:INDEX($F:$F, ROW()-1), $F252)) : INDEX(AA:AA, ROW()-1)),
   AVERAGEIFS(
     INDEX((unit_details[Asking Rent],unit_details[Asking PSF]),0,1,IF($U$3="Chunk Rent",1,2)),
     unit_details[Leased Date],"&gt;="&amp;($AM$2-X$5),
     unit_details[Leased Date],"&lt;"&amp;$AM$2,
     unit_details[Beds],$L253,
     unit_details[Baths],$M253,
     unit_details[Partial Baths],IF(ISNUMBER($N253),$N253,""),
     unit_details[Sqft],$P253,
     unit_details[Property Name],$F253)
 ),"")</f>
        <v/>
      </c>
      <c r="Y253" s="552" t="str">
        <f>IFERROR(
 IF($F253="Total",
   SUMPRODUCT(
   INDEX(Y:Y, ROW()-COUNTIF($F$6:INDEX($F:$F, ROW()-1), $F252)) : INDEX(Y:Y, ROW()-1),
   INDEX(AA:AA, ROW()-COUNTIF($F$6:INDEX($F:$F, ROW()-1), $F252)) : INDEX(AA:AA, ROW()-1)
   )
   /SUM(INDEX(AA:AA, ROW()-COUNTIF($F$6:INDEX($F:$F, ROW()-1), $F252)) : INDEX(AA:AA, ROW()-1)),
   AVERAGEIFS(
     INDEX((unit_details[Effective Rent],unit_details[Effective PSF]),0,1,IF($U$3="Chunk Rent",1,2)),
     unit_details[Leased Date],"&gt;="&amp;($AM$2-X$5),
     unit_details[Leased Date],"&lt;"&amp;$AM$2,
     unit_details[Beds],$L253,
     unit_details[Baths],$M253,
     unit_details[Partial Baths],IF(ISNUMBER($N253),$N253,""),
     unit_details[Sqft],$P253,
     unit_details[Property Name],$F253)
 ),"")</f>
        <v/>
      </c>
      <c r="Z253" s="27" t="str">
        <f t="shared" si="44"/>
        <v/>
      </c>
      <c r="AA253" s="526">
        <f>IFERROR(
  IF($F253="Total",
    SUM(INDEX(AA:AA, ROW()-COUNTIF($F$6:INDEX($F:$F, ROW()-1), $F252)) : INDEX(AA:AA, ROW()-1)),
    COUNTIFS(
      unit_details[Leased Date], "&gt;="&amp;($AM$2-X$5),
      unit_details[Leased Date], "&lt;"&amp;$AM$2,
      unit_details[Beds], $L253,
      unit_details[Baths], $M253,
      unit_details[Partial Baths], IF(ISNUMBER($N253), $N253, ""),
      unit_details[Sqft],$P253,
      unit_details[Property Name], $F253
    )
  ),
"")</f>
        <v>0</v>
      </c>
      <c r="AB253" s="290">
        <f>IF($F253="Total",
SUM(INDEX(AB:AB, ROW()-COUNTIF($F$6:INDEX($F:$F, ROW()-1), $F252)) : INDEX(AB:AB, ROW()-1)),
COUNTIFS(unit_details[Active Listing?],TRUE,
          unit_details[Property Name], $F253,
          unit_details[Beds], $L253,
          unit_details[Baths], $M253,
          unit_details[Partial Baths],IF(ISNUMBER($N253),$N253,""),
          unit_details[Sqft],$P253))</f>
        <v>0</v>
      </c>
      <c r="AC253" s="27" t="str">
        <f t="shared" si="36"/>
        <v/>
      </c>
      <c r="AD253" s="293" t="str">
        <f>IFERROR(IF(AE253="","",IF($F253="Total",
SUMPRODUCT(
   INDEX(AD:AD, ROW()-COUNTIF($F$6:INDEX($F:$F, ROW()-1), $F252)) : INDEX(AD:AD, ROW()-1),
   INDEX(AB:AB, ROW()-COUNTIF($F$6:INDEX($F:$F, ROW()-1), $F252)) : INDEX(AB:AB, ROW()-1)
   )
   /SUM(INDEX(AB:AB, ROW()-COUNTIF($F$6:INDEX($F:$F, ROW()-1), $F252)) : INDEX(AB:AB, ROW()-1)),
          _xlfn.MINIFS(unit_details[Asking Rent],
          unit_details[Active Listing?],TRUE,
          unit_details[Property Name], $F253,
          unit_details[Beds], $L253,
          unit_details[Baths], $M253,
          unit_details[Partial Baths], IF(ISNUMBER($N253),$N253,""),
          unit_details[Sqft],$P253
))),"")</f>
        <v/>
      </c>
      <c r="AE253" s="5" t="str">
        <f>IFERROR(IF($F253="Total",
          SUMPRODUCT(
   INDEX(AE:AE, ROW()-COUNTIF($F$6:INDEX($F:$F, ROW()-1), $F252)) : INDEX(AE:AE, ROW()-1),
   INDEX(AB:AB, ROW()-COUNTIF($F$6:INDEX($F:$F, ROW()-1), $F252)) : INDEX(AB:AB, ROW()-1)
   )
   /SUM(INDEX(AB:AB, ROW()-COUNTIF($F$6:INDEX($F:$F, ROW()-1), $F252)) : INDEX(AB:AB, ROW()-1)),
          AVERAGEIFS(unit_details[Asking Rent],
          unit_details[Active Listing?],TRUE,
          unit_details[Property Name], $F253,
          unit_details[Beds], $L253,
          unit_details[Baths], $M253,
          unit_details[Partial Baths], IF(ISNUMBER($N253),$N253,""),
          unit_details[Sqft],$P253
)),"")</f>
        <v/>
      </c>
      <c r="AF253" s="5" t="str">
        <f>IFERROR(IF(AE253="","",IF($F253="Total",
SUMPRODUCT(
   INDEX(AF:AF, ROW()-COUNTIF($F$6:INDEX($F:$F, ROW()-1), $F252)) : INDEX(AF:AF, ROW()-1),
   INDEX(AB:AB, ROW()-COUNTIF($F$6:INDEX($F:$F, ROW()-1), $F252)) : INDEX(AB:AB, ROW()-1)
   )
   /SUM(INDEX(AB:AB, ROW()-COUNTIF($F$6:INDEX($F:$F, ROW()-1), $F252)) : INDEX(AB:AB, ROW()-1)),
           _xlfn.MAXIFS(unit_details[Asking Rent],
          unit_details[Active Listing?],TRUE,
          unit_details[Property Name], $F253,
          unit_details[Beds], $L253,
          unit_details[Baths], $M253,
          unit_details[Partial Baths], IF(ISNUMBER($N253),$N253,""),
          unit_details[Sqft],$P253
))),"")</f>
        <v/>
      </c>
      <c r="AG253" s="6" t="str">
        <f>IFERROR(IF($F253="Total",
         SUMPRODUCT(
         INDEX(AG:AG, ROW()-COUNTIF($F$6:INDEX($F:$F, ROW()-1), $F252)) : INDEX(AG:AG, ROW()-1),
         INDEX(AB:AB, ROW()-COUNTIF($F$6:INDEX($F:$F, ROW()-1), $F252)) : INDEX(AB:AB, ROW()-1)
         )
         /SUM(INDEX(AB:AB, ROW()-COUNTIF($F$6:INDEX($F:$F, ROW()-1), $F252)) : INDEX(AB:AB, ROW()-1)),
          AVERAGEIFS(unit_details[Asking PSF],
          unit_details[Active Listing?],TRUE,
          unit_details[Property Name], $F253,
          unit_details[Beds], $L253,
          unit_details[Baths], $M253,
          unit_details[Partial Baths], IF(ISNUMBER($N253),$N253,""),
          unit_details[Sqft],$P253
)),"")</f>
        <v/>
      </c>
      <c r="AH253" s="293" t="str">
        <f>IFERROR(IF($F253="Total",
         SUMPRODUCT(
         INDEX(AH:AH, ROW()-COUNTIF($F$6:INDEX($F:$F, ROW()-1), $F252)) : INDEX(AH:AH, ROW()-1),
         INDEX(AB:AB, ROW()-COUNTIF($F$6:INDEX($F:$F, ROW()-1), $F252)) : INDEX(AB:AB, ROW()-1)
         )
         /SUM(INDEX(AB:AB, ROW()-COUNTIF($F$6:INDEX($F:$F, ROW()-1), $F252)) : INDEX(AB:AB, ROW()-1)),
          AVERAGEIFS(unit_details[Effective Rent],
          unit_details[Active Listing?],TRUE,
          unit_details[Property Name], $F253,
          unit_details[Beds], $L253,
          unit_details[Baths], $M253,
          unit_details[Partial Baths], IF(ISNUMBER($N253),$N253,""),
          unit_details[Sqft],$P253
)),"")</f>
        <v/>
      </c>
      <c r="AI253" s="6" t="str">
        <f>IFERROR(IF($F253="Total",
         SUMPRODUCT(
         INDEX(AI:AI, ROW()-COUNTIF($F$6:INDEX($F:$F, ROW()-1), $F252)) : INDEX(AI:AI, ROW()-1),
         INDEX(AB:AB, ROW()-COUNTIF($F$6:INDEX($F:$F, ROW()-1), $F252)) : INDEX(AB:AB, ROW()-1)
         )
         /SUM(INDEX(AB:AB, ROW()-COUNTIF($F$6:INDEX($F:$F, ROW()-1), $F252)) : INDEX(AB:AB, ROW()-1)),
           AVERAGEIFS(unit_details[Effective PSF],
          unit_details[Active Listing?],TRUE,
          unit_details[Property Name], $F253,
          unit_details[Beds], $L253,
          unit_details[Baths], $M253,
          unit_details[Partial Baths], IF(ISNUMBER($N253),$N253,""),
          unit_details[Sqft],$P253
)),"")</f>
        <v/>
      </c>
      <c r="AJ253" s="824" t="str">
        <f t="shared" si="37"/>
        <v/>
      </c>
      <c r="AK253" s="531" t="str">
        <f t="shared" si="38"/>
        <v/>
      </c>
      <c r="AL253" s="714" t="str">
        <f t="shared" si="39"/>
        <v/>
      </c>
      <c r="AM253" s="531" t="str">
        <f t="shared" si="40"/>
        <v/>
      </c>
      <c r="AN253" s="716" t="str">
        <f t="shared" si="41"/>
        <v/>
      </c>
    </row>
    <row r="254" spans="6:40" x14ac:dyDescent="0.2">
      <c r="F254" s="1" t="str">
        <f t="shared" si="34"/>
        <v/>
      </c>
      <c r="G254" s="713" t="str">
        <f t="shared" si="42"/>
        <v/>
      </c>
      <c r="H254" s="17" t="str">
        <f>IFERROR(VLOOKUP($G254,Table1[[Property]:[Exposure %]],4,0),"")</f>
        <v/>
      </c>
      <c r="I254" s="3" t="str">
        <f>IFERROR(VLOOKUP($G254,Table1[[Property]:[Exposure %]],6,0),"")</f>
        <v/>
      </c>
      <c r="J254" s="3" t="str">
        <f>IFERROR(VLOOKUP($G254,Table1[[Property]:[Exposure %]],7,0),"")</f>
        <v/>
      </c>
      <c r="K254"/>
      <c r="L254"/>
      <c r="M254"/>
      <c r="N254"/>
      <c r="O254"/>
      <c r="P254"/>
      <c r="Q254"/>
      <c r="R254" s="4" t="str">
        <f>IFERROR(VLOOKUP(IF(F254="Total",F253,F254),Table1[[Property]:['# Units]],7,0)*S254,"")</f>
        <v/>
      </c>
      <c r="S254" s="27" t="str">
        <f t="shared" si="35"/>
        <v/>
      </c>
      <c r="T254" s="531" t="str">
        <f>IFERROR(
 IF($F254="Total",
   SUMPRODUCT(
   INDEX(T:T, ROW()-COUNTIF($F$6:INDEX($F:$F, ROW()-1), $F253)) : INDEX(T:T, ROW()-1),
   INDEX(W:W, ROW()-COUNTIF($F$6:INDEX($F:$F, ROW()-1), $F253)) : INDEX(W:W, ROW()-1)
   )
   /SUM(INDEX(W:W, ROW()-COUNTIF($F$6:INDEX($F:$F, ROW()-1), $F253)) : INDEX(W:W, ROW()-1)),
   AVERAGEIFS(
     INDEX((unit_details[Asking Rent],unit_details[Asking PSF]),0,1,IF($U$3="Chunk Rent",1,2)),
     unit_details[Leased Date],"&gt;="&amp;($AM$2-T$5),
     unit_details[Leased Date],"&lt;"&amp;$AM$2,
     unit_details[Beds],$L254,
     unit_details[Baths],$M254,
     unit_details[Partial Baths],IF(ISNUMBER($N254),$N254,""),
     unit_details[Sqft],$P254,
     unit_details[Property Name],$F254)
 ),"")</f>
        <v/>
      </c>
      <c r="U254" s="552" t="str">
        <f>IFERROR(
 IF($F254="Total",
   SUMPRODUCT(
   INDEX(U:U, ROW()-COUNTIF($F$6:INDEX($F:$F, ROW()-1), $F253)) : INDEX(U:U, ROW()-1),
   INDEX(W:W, ROW()-COUNTIF($F$6:INDEX($F:$F, ROW()-1), $F253)) : INDEX(W:W, ROW()-1)
   )
   /SUM(INDEX(W:W, ROW()-COUNTIF($F$6:INDEX($F:$F, ROW()-1), $F253)) : INDEX(W:W, ROW()-1)),
   AVERAGEIFS(
     INDEX((unit_details[Effective Rent],unit_details[Effective PSF]),0,1,IF($U$3="Chunk Rent",1,2)),
     unit_details[Leased Date],"&gt;="&amp;($AM$2-T$5),
     unit_details[Leased Date],"&lt;"&amp;$AM$2,
     unit_details[Beds],$L254,
     unit_details[Baths],$M254,
     unit_details[Partial Baths],IF(ISNUMBER($N254),$N254,""),
     unit_details[Sqft],$P254,
     unit_details[Property Name],$F254)
 ),"")</f>
        <v/>
      </c>
      <c r="V254" s="27" t="str">
        <f t="shared" si="43"/>
        <v/>
      </c>
      <c r="W254" s="526">
        <f>IFERROR(
  IF($F254="Total",
    SUM(INDEX(W:W, ROW()-COUNTIF($F$6:INDEX($F:$F, ROW()-1), $F253)) : INDEX(W:W, ROW()-1)),
    COUNTIFS(
      unit_details[Leased Date], "&gt;="&amp;($AM$2-T$5),
      unit_details[Leased Date], "&lt;"&amp;$AM$2,
      unit_details[Beds], $L254,
      unit_details[Baths], $M254,
      unit_details[Partial Baths], IF(ISNUMBER($N254), $N254, ""),
      unit_details[Sqft],$P254,
      unit_details[Property Name], $F254
    )
  ),
"")</f>
        <v>0</v>
      </c>
      <c r="X254" s="531" t="str">
        <f>IFERROR(
 IF($F254="Total",
   SUMPRODUCT(
   INDEX(X:X, ROW()-COUNTIF($F$6:INDEX($F:$F, ROW()-1), $F253)) : INDEX(X:X, ROW()-1),
   INDEX(AA:AA, ROW()-COUNTIF($F$6:INDEX($F:$F, ROW()-1), $F253)) : INDEX(AA:AA, ROW()-1)
   )
   /SUM(INDEX(AA:AA, ROW()-COUNTIF($F$6:INDEX($F:$F, ROW()-1), $F253)) : INDEX(AA:AA, ROW()-1)),
   AVERAGEIFS(
     INDEX((unit_details[Asking Rent],unit_details[Asking PSF]),0,1,IF($U$3="Chunk Rent",1,2)),
     unit_details[Leased Date],"&gt;="&amp;($AM$2-X$5),
     unit_details[Leased Date],"&lt;"&amp;$AM$2,
     unit_details[Beds],$L254,
     unit_details[Baths],$M254,
     unit_details[Partial Baths],IF(ISNUMBER($N254),$N254,""),
     unit_details[Sqft],$P254,
     unit_details[Property Name],$F254)
 ),"")</f>
        <v/>
      </c>
      <c r="Y254" s="552" t="str">
        <f>IFERROR(
 IF($F254="Total",
   SUMPRODUCT(
   INDEX(Y:Y, ROW()-COUNTIF($F$6:INDEX($F:$F, ROW()-1), $F253)) : INDEX(Y:Y, ROW()-1),
   INDEX(AA:AA, ROW()-COUNTIF($F$6:INDEX($F:$F, ROW()-1), $F253)) : INDEX(AA:AA, ROW()-1)
   )
   /SUM(INDEX(AA:AA, ROW()-COUNTIF($F$6:INDEX($F:$F, ROW()-1), $F253)) : INDEX(AA:AA, ROW()-1)),
   AVERAGEIFS(
     INDEX((unit_details[Effective Rent],unit_details[Effective PSF]),0,1,IF($U$3="Chunk Rent",1,2)),
     unit_details[Leased Date],"&gt;="&amp;($AM$2-X$5),
     unit_details[Leased Date],"&lt;"&amp;$AM$2,
     unit_details[Beds],$L254,
     unit_details[Baths],$M254,
     unit_details[Partial Baths],IF(ISNUMBER($N254),$N254,""),
     unit_details[Sqft],$P254,
     unit_details[Property Name],$F254)
 ),"")</f>
        <v/>
      </c>
      <c r="Z254" s="27" t="str">
        <f t="shared" si="44"/>
        <v/>
      </c>
      <c r="AA254" s="526">
        <f>IFERROR(
  IF($F254="Total",
    SUM(INDEX(AA:AA, ROW()-COUNTIF($F$6:INDEX($F:$F, ROW()-1), $F253)) : INDEX(AA:AA, ROW()-1)),
    COUNTIFS(
      unit_details[Leased Date], "&gt;="&amp;($AM$2-X$5),
      unit_details[Leased Date], "&lt;"&amp;$AM$2,
      unit_details[Beds], $L254,
      unit_details[Baths], $M254,
      unit_details[Partial Baths], IF(ISNUMBER($N254), $N254, ""),
      unit_details[Sqft],$P254,
      unit_details[Property Name], $F254
    )
  ),
"")</f>
        <v>0</v>
      </c>
      <c r="AB254" s="290">
        <f>IF($F254="Total",
SUM(INDEX(AB:AB, ROW()-COUNTIF($F$6:INDEX($F:$F, ROW()-1), $F253)) : INDEX(AB:AB, ROW()-1)),
COUNTIFS(unit_details[Active Listing?],TRUE,
          unit_details[Property Name], $F254,
          unit_details[Beds], $L254,
          unit_details[Baths], $M254,
          unit_details[Partial Baths],IF(ISNUMBER($N254),$N254,""),
          unit_details[Sqft],$P254))</f>
        <v>0</v>
      </c>
      <c r="AC254" s="27" t="str">
        <f t="shared" si="36"/>
        <v/>
      </c>
      <c r="AD254" s="293" t="str">
        <f>IFERROR(IF(AE254="","",IF($F254="Total",
SUMPRODUCT(
   INDEX(AD:AD, ROW()-COUNTIF($F$6:INDEX($F:$F, ROW()-1), $F253)) : INDEX(AD:AD, ROW()-1),
   INDEX(AB:AB, ROW()-COUNTIF($F$6:INDEX($F:$F, ROW()-1), $F253)) : INDEX(AB:AB, ROW()-1)
   )
   /SUM(INDEX(AB:AB, ROW()-COUNTIF($F$6:INDEX($F:$F, ROW()-1), $F253)) : INDEX(AB:AB, ROW()-1)),
          _xlfn.MINIFS(unit_details[Asking Rent],
          unit_details[Active Listing?],TRUE,
          unit_details[Property Name], $F254,
          unit_details[Beds], $L254,
          unit_details[Baths], $M254,
          unit_details[Partial Baths], IF(ISNUMBER($N254),$N254,""),
          unit_details[Sqft],$P254
))),"")</f>
        <v/>
      </c>
      <c r="AE254" s="5" t="str">
        <f>IFERROR(IF($F254="Total",
          SUMPRODUCT(
   INDEX(AE:AE, ROW()-COUNTIF($F$6:INDEX($F:$F, ROW()-1), $F253)) : INDEX(AE:AE, ROW()-1),
   INDEX(AB:AB, ROW()-COUNTIF($F$6:INDEX($F:$F, ROW()-1), $F253)) : INDEX(AB:AB, ROW()-1)
   )
   /SUM(INDEX(AB:AB, ROW()-COUNTIF($F$6:INDEX($F:$F, ROW()-1), $F253)) : INDEX(AB:AB, ROW()-1)),
          AVERAGEIFS(unit_details[Asking Rent],
          unit_details[Active Listing?],TRUE,
          unit_details[Property Name], $F254,
          unit_details[Beds], $L254,
          unit_details[Baths], $M254,
          unit_details[Partial Baths], IF(ISNUMBER($N254),$N254,""),
          unit_details[Sqft],$P254
)),"")</f>
        <v/>
      </c>
      <c r="AF254" s="5" t="str">
        <f>IFERROR(IF(AE254="","",IF($F254="Total",
SUMPRODUCT(
   INDEX(AF:AF, ROW()-COUNTIF($F$6:INDEX($F:$F, ROW()-1), $F253)) : INDEX(AF:AF, ROW()-1),
   INDEX(AB:AB, ROW()-COUNTIF($F$6:INDEX($F:$F, ROW()-1), $F253)) : INDEX(AB:AB, ROW()-1)
   )
   /SUM(INDEX(AB:AB, ROW()-COUNTIF($F$6:INDEX($F:$F, ROW()-1), $F253)) : INDEX(AB:AB, ROW()-1)),
           _xlfn.MAXIFS(unit_details[Asking Rent],
          unit_details[Active Listing?],TRUE,
          unit_details[Property Name], $F254,
          unit_details[Beds], $L254,
          unit_details[Baths], $M254,
          unit_details[Partial Baths], IF(ISNUMBER($N254),$N254,""),
          unit_details[Sqft],$P254
))),"")</f>
        <v/>
      </c>
      <c r="AG254" s="6" t="str">
        <f>IFERROR(IF($F254="Total",
         SUMPRODUCT(
         INDEX(AG:AG, ROW()-COUNTIF($F$6:INDEX($F:$F, ROW()-1), $F253)) : INDEX(AG:AG, ROW()-1),
         INDEX(AB:AB, ROW()-COUNTIF($F$6:INDEX($F:$F, ROW()-1), $F253)) : INDEX(AB:AB, ROW()-1)
         )
         /SUM(INDEX(AB:AB, ROW()-COUNTIF($F$6:INDEX($F:$F, ROW()-1), $F253)) : INDEX(AB:AB, ROW()-1)),
          AVERAGEIFS(unit_details[Asking PSF],
          unit_details[Active Listing?],TRUE,
          unit_details[Property Name], $F254,
          unit_details[Beds], $L254,
          unit_details[Baths], $M254,
          unit_details[Partial Baths], IF(ISNUMBER($N254),$N254,""),
          unit_details[Sqft],$P254
)),"")</f>
        <v/>
      </c>
      <c r="AH254" s="293" t="str">
        <f>IFERROR(IF($F254="Total",
         SUMPRODUCT(
         INDEX(AH:AH, ROW()-COUNTIF($F$6:INDEX($F:$F, ROW()-1), $F253)) : INDEX(AH:AH, ROW()-1),
         INDEX(AB:AB, ROW()-COUNTIF($F$6:INDEX($F:$F, ROW()-1), $F253)) : INDEX(AB:AB, ROW()-1)
         )
         /SUM(INDEX(AB:AB, ROW()-COUNTIF($F$6:INDEX($F:$F, ROW()-1), $F253)) : INDEX(AB:AB, ROW()-1)),
          AVERAGEIFS(unit_details[Effective Rent],
          unit_details[Active Listing?],TRUE,
          unit_details[Property Name], $F254,
          unit_details[Beds], $L254,
          unit_details[Baths], $M254,
          unit_details[Partial Baths], IF(ISNUMBER($N254),$N254,""),
          unit_details[Sqft],$P254
)),"")</f>
        <v/>
      </c>
      <c r="AI254" s="6" t="str">
        <f>IFERROR(IF($F254="Total",
         SUMPRODUCT(
         INDEX(AI:AI, ROW()-COUNTIF($F$6:INDEX($F:$F, ROW()-1), $F253)) : INDEX(AI:AI, ROW()-1),
         INDEX(AB:AB, ROW()-COUNTIF($F$6:INDEX($F:$F, ROW()-1), $F253)) : INDEX(AB:AB, ROW()-1)
         )
         /SUM(INDEX(AB:AB, ROW()-COUNTIF($F$6:INDEX($F:$F, ROW()-1), $F253)) : INDEX(AB:AB, ROW()-1)),
           AVERAGEIFS(unit_details[Effective PSF],
          unit_details[Active Listing?],TRUE,
          unit_details[Property Name], $F254,
          unit_details[Beds], $L254,
          unit_details[Baths], $M254,
          unit_details[Partial Baths], IF(ISNUMBER($N254),$N254,""),
          unit_details[Sqft],$P254
)),"")</f>
        <v/>
      </c>
      <c r="AJ254" s="824" t="str">
        <f t="shared" si="37"/>
        <v/>
      </c>
      <c r="AK254" s="531" t="str">
        <f t="shared" si="38"/>
        <v/>
      </c>
      <c r="AL254" s="714" t="str">
        <f t="shared" si="39"/>
        <v/>
      </c>
      <c r="AM254" s="531" t="str">
        <f t="shared" si="40"/>
        <v/>
      </c>
      <c r="AN254" s="716" t="str">
        <f t="shared" si="41"/>
        <v/>
      </c>
    </row>
    <row r="255" spans="6:40" x14ac:dyDescent="0.2">
      <c r="F255" s="1" t="str">
        <f t="shared" si="34"/>
        <v/>
      </c>
      <c r="G255" s="713" t="str">
        <f t="shared" si="42"/>
        <v/>
      </c>
      <c r="H255" s="17" t="str">
        <f>IFERROR(VLOOKUP($G255,Table1[[Property]:[Exposure %]],4,0),"")</f>
        <v/>
      </c>
      <c r="I255" s="3" t="str">
        <f>IFERROR(VLOOKUP($G255,Table1[[Property]:[Exposure %]],6,0),"")</f>
        <v/>
      </c>
      <c r="J255" s="3" t="str">
        <f>IFERROR(VLOOKUP($G255,Table1[[Property]:[Exposure %]],7,0),"")</f>
        <v/>
      </c>
      <c r="K255"/>
      <c r="L255"/>
      <c r="M255"/>
      <c r="N255"/>
      <c r="O255"/>
      <c r="P255"/>
      <c r="Q255"/>
      <c r="R255" s="4" t="str">
        <f>IFERROR(VLOOKUP(IF(F255="Total",F254,F255),Table1[[Property]:['# Units]],7,0)*S255,"")</f>
        <v/>
      </c>
      <c r="S255" s="27" t="str">
        <f t="shared" si="35"/>
        <v/>
      </c>
      <c r="T255" s="531" t="str">
        <f>IFERROR(
 IF($F255="Total",
   SUMPRODUCT(
   INDEX(T:T, ROW()-COUNTIF($F$6:INDEX($F:$F, ROW()-1), $F254)) : INDEX(T:T, ROW()-1),
   INDEX(W:W, ROW()-COUNTIF($F$6:INDEX($F:$F, ROW()-1), $F254)) : INDEX(W:W, ROW()-1)
   )
   /SUM(INDEX(W:W, ROW()-COUNTIF($F$6:INDEX($F:$F, ROW()-1), $F254)) : INDEX(W:W, ROW()-1)),
   AVERAGEIFS(
     INDEX((unit_details[Asking Rent],unit_details[Asking PSF]),0,1,IF($U$3="Chunk Rent",1,2)),
     unit_details[Leased Date],"&gt;="&amp;($AM$2-T$5),
     unit_details[Leased Date],"&lt;"&amp;$AM$2,
     unit_details[Beds],$L255,
     unit_details[Baths],$M255,
     unit_details[Partial Baths],IF(ISNUMBER($N255),$N255,""),
     unit_details[Sqft],$P255,
     unit_details[Property Name],$F255)
 ),"")</f>
        <v/>
      </c>
      <c r="U255" s="552" t="str">
        <f>IFERROR(
 IF($F255="Total",
   SUMPRODUCT(
   INDEX(U:U, ROW()-COUNTIF($F$6:INDEX($F:$F, ROW()-1), $F254)) : INDEX(U:U, ROW()-1),
   INDEX(W:W, ROW()-COUNTIF($F$6:INDEX($F:$F, ROW()-1), $F254)) : INDEX(W:W, ROW()-1)
   )
   /SUM(INDEX(W:W, ROW()-COUNTIF($F$6:INDEX($F:$F, ROW()-1), $F254)) : INDEX(W:W, ROW()-1)),
   AVERAGEIFS(
     INDEX((unit_details[Effective Rent],unit_details[Effective PSF]),0,1,IF($U$3="Chunk Rent",1,2)),
     unit_details[Leased Date],"&gt;="&amp;($AM$2-T$5),
     unit_details[Leased Date],"&lt;"&amp;$AM$2,
     unit_details[Beds],$L255,
     unit_details[Baths],$M255,
     unit_details[Partial Baths],IF(ISNUMBER($N255),$N255,""),
     unit_details[Sqft],$P255,
     unit_details[Property Name],$F255)
 ),"")</f>
        <v/>
      </c>
      <c r="V255" s="27" t="str">
        <f t="shared" si="43"/>
        <v/>
      </c>
      <c r="W255" s="526">
        <f>IFERROR(
  IF($F255="Total",
    SUM(INDEX(W:W, ROW()-COUNTIF($F$6:INDEX($F:$F, ROW()-1), $F254)) : INDEX(W:W, ROW()-1)),
    COUNTIFS(
      unit_details[Leased Date], "&gt;="&amp;($AM$2-T$5),
      unit_details[Leased Date], "&lt;"&amp;$AM$2,
      unit_details[Beds], $L255,
      unit_details[Baths], $M255,
      unit_details[Partial Baths], IF(ISNUMBER($N255), $N255, ""),
      unit_details[Sqft],$P255,
      unit_details[Property Name], $F255
    )
  ),
"")</f>
        <v>0</v>
      </c>
      <c r="X255" s="531" t="str">
        <f>IFERROR(
 IF($F255="Total",
   SUMPRODUCT(
   INDEX(X:X, ROW()-COUNTIF($F$6:INDEX($F:$F, ROW()-1), $F254)) : INDEX(X:X, ROW()-1),
   INDEX(AA:AA, ROW()-COUNTIF($F$6:INDEX($F:$F, ROW()-1), $F254)) : INDEX(AA:AA, ROW()-1)
   )
   /SUM(INDEX(AA:AA, ROW()-COUNTIF($F$6:INDEX($F:$F, ROW()-1), $F254)) : INDEX(AA:AA, ROW()-1)),
   AVERAGEIFS(
     INDEX((unit_details[Asking Rent],unit_details[Asking PSF]),0,1,IF($U$3="Chunk Rent",1,2)),
     unit_details[Leased Date],"&gt;="&amp;($AM$2-X$5),
     unit_details[Leased Date],"&lt;"&amp;$AM$2,
     unit_details[Beds],$L255,
     unit_details[Baths],$M255,
     unit_details[Partial Baths],IF(ISNUMBER($N255),$N255,""),
     unit_details[Sqft],$P255,
     unit_details[Property Name],$F255)
 ),"")</f>
        <v/>
      </c>
      <c r="Y255" s="552" t="str">
        <f>IFERROR(
 IF($F255="Total",
   SUMPRODUCT(
   INDEX(Y:Y, ROW()-COUNTIF($F$6:INDEX($F:$F, ROW()-1), $F254)) : INDEX(Y:Y, ROW()-1),
   INDEX(AA:AA, ROW()-COUNTIF($F$6:INDEX($F:$F, ROW()-1), $F254)) : INDEX(AA:AA, ROW()-1)
   )
   /SUM(INDEX(AA:AA, ROW()-COUNTIF($F$6:INDEX($F:$F, ROW()-1), $F254)) : INDEX(AA:AA, ROW()-1)),
   AVERAGEIFS(
     INDEX((unit_details[Effective Rent],unit_details[Effective PSF]),0,1,IF($U$3="Chunk Rent",1,2)),
     unit_details[Leased Date],"&gt;="&amp;($AM$2-X$5),
     unit_details[Leased Date],"&lt;"&amp;$AM$2,
     unit_details[Beds],$L255,
     unit_details[Baths],$M255,
     unit_details[Partial Baths],IF(ISNUMBER($N255),$N255,""),
     unit_details[Sqft],$P255,
     unit_details[Property Name],$F255)
 ),"")</f>
        <v/>
      </c>
      <c r="Z255" s="27" t="str">
        <f t="shared" si="44"/>
        <v/>
      </c>
      <c r="AA255" s="526">
        <f>IFERROR(
  IF($F255="Total",
    SUM(INDEX(AA:AA, ROW()-COUNTIF($F$6:INDEX($F:$F, ROW()-1), $F254)) : INDEX(AA:AA, ROW()-1)),
    COUNTIFS(
      unit_details[Leased Date], "&gt;="&amp;($AM$2-X$5),
      unit_details[Leased Date], "&lt;"&amp;$AM$2,
      unit_details[Beds], $L255,
      unit_details[Baths], $M255,
      unit_details[Partial Baths], IF(ISNUMBER($N255), $N255, ""),
      unit_details[Sqft],$P255,
      unit_details[Property Name], $F255
    )
  ),
"")</f>
        <v>0</v>
      </c>
      <c r="AB255" s="290">
        <f>IF($F255="Total",
SUM(INDEX(AB:AB, ROW()-COUNTIF($F$6:INDEX($F:$F, ROW()-1), $F254)) : INDEX(AB:AB, ROW()-1)),
COUNTIFS(unit_details[Active Listing?],TRUE,
          unit_details[Property Name], $F255,
          unit_details[Beds], $L255,
          unit_details[Baths], $M255,
          unit_details[Partial Baths],IF(ISNUMBER($N255),$N255,""),
          unit_details[Sqft],$P255))</f>
        <v>0</v>
      </c>
      <c r="AC255" s="27" t="str">
        <f t="shared" si="36"/>
        <v/>
      </c>
      <c r="AD255" s="293" t="str">
        <f>IFERROR(IF(AE255="","",IF($F255="Total",
SUMPRODUCT(
   INDEX(AD:AD, ROW()-COUNTIF($F$6:INDEX($F:$F, ROW()-1), $F254)) : INDEX(AD:AD, ROW()-1),
   INDEX(AB:AB, ROW()-COUNTIF($F$6:INDEX($F:$F, ROW()-1), $F254)) : INDEX(AB:AB, ROW()-1)
   )
   /SUM(INDEX(AB:AB, ROW()-COUNTIF($F$6:INDEX($F:$F, ROW()-1), $F254)) : INDEX(AB:AB, ROW()-1)),
          _xlfn.MINIFS(unit_details[Asking Rent],
          unit_details[Active Listing?],TRUE,
          unit_details[Property Name], $F255,
          unit_details[Beds], $L255,
          unit_details[Baths], $M255,
          unit_details[Partial Baths], IF(ISNUMBER($N255),$N255,""),
          unit_details[Sqft],$P255
))),"")</f>
        <v/>
      </c>
      <c r="AE255" s="5" t="str">
        <f>IFERROR(IF($F255="Total",
          SUMPRODUCT(
   INDEX(AE:AE, ROW()-COUNTIF($F$6:INDEX($F:$F, ROW()-1), $F254)) : INDEX(AE:AE, ROW()-1),
   INDEX(AB:AB, ROW()-COUNTIF($F$6:INDEX($F:$F, ROW()-1), $F254)) : INDEX(AB:AB, ROW()-1)
   )
   /SUM(INDEX(AB:AB, ROW()-COUNTIF($F$6:INDEX($F:$F, ROW()-1), $F254)) : INDEX(AB:AB, ROW()-1)),
          AVERAGEIFS(unit_details[Asking Rent],
          unit_details[Active Listing?],TRUE,
          unit_details[Property Name], $F255,
          unit_details[Beds], $L255,
          unit_details[Baths], $M255,
          unit_details[Partial Baths], IF(ISNUMBER($N255),$N255,""),
          unit_details[Sqft],$P255
)),"")</f>
        <v/>
      </c>
      <c r="AF255" s="5" t="str">
        <f>IFERROR(IF(AE255="","",IF($F255="Total",
SUMPRODUCT(
   INDEX(AF:AF, ROW()-COUNTIF($F$6:INDEX($F:$F, ROW()-1), $F254)) : INDEX(AF:AF, ROW()-1),
   INDEX(AB:AB, ROW()-COUNTIF($F$6:INDEX($F:$F, ROW()-1), $F254)) : INDEX(AB:AB, ROW()-1)
   )
   /SUM(INDEX(AB:AB, ROW()-COUNTIF($F$6:INDEX($F:$F, ROW()-1), $F254)) : INDEX(AB:AB, ROW()-1)),
           _xlfn.MAXIFS(unit_details[Asking Rent],
          unit_details[Active Listing?],TRUE,
          unit_details[Property Name], $F255,
          unit_details[Beds], $L255,
          unit_details[Baths], $M255,
          unit_details[Partial Baths], IF(ISNUMBER($N255),$N255,""),
          unit_details[Sqft],$P255
))),"")</f>
        <v/>
      </c>
      <c r="AG255" s="6" t="str">
        <f>IFERROR(IF($F255="Total",
         SUMPRODUCT(
         INDEX(AG:AG, ROW()-COUNTIF($F$6:INDEX($F:$F, ROW()-1), $F254)) : INDEX(AG:AG, ROW()-1),
         INDEX(AB:AB, ROW()-COUNTIF($F$6:INDEX($F:$F, ROW()-1), $F254)) : INDEX(AB:AB, ROW()-1)
         )
         /SUM(INDEX(AB:AB, ROW()-COUNTIF($F$6:INDEX($F:$F, ROW()-1), $F254)) : INDEX(AB:AB, ROW()-1)),
          AVERAGEIFS(unit_details[Asking PSF],
          unit_details[Active Listing?],TRUE,
          unit_details[Property Name], $F255,
          unit_details[Beds], $L255,
          unit_details[Baths], $M255,
          unit_details[Partial Baths], IF(ISNUMBER($N255),$N255,""),
          unit_details[Sqft],$P255
)),"")</f>
        <v/>
      </c>
      <c r="AH255" s="293" t="str">
        <f>IFERROR(IF($F255="Total",
         SUMPRODUCT(
         INDEX(AH:AH, ROW()-COUNTIF($F$6:INDEX($F:$F, ROW()-1), $F254)) : INDEX(AH:AH, ROW()-1),
         INDEX(AB:AB, ROW()-COUNTIF($F$6:INDEX($F:$F, ROW()-1), $F254)) : INDEX(AB:AB, ROW()-1)
         )
         /SUM(INDEX(AB:AB, ROW()-COUNTIF($F$6:INDEX($F:$F, ROW()-1), $F254)) : INDEX(AB:AB, ROW()-1)),
          AVERAGEIFS(unit_details[Effective Rent],
          unit_details[Active Listing?],TRUE,
          unit_details[Property Name], $F255,
          unit_details[Beds], $L255,
          unit_details[Baths], $M255,
          unit_details[Partial Baths], IF(ISNUMBER($N255),$N255,""),
          unit_details[Sqft],$P255
)),"")</f>
        <v/>
      </c>
      <c r="AI255" s="6" t="str">
        <f>IFERROR(IF($F255="Total",
         SUMPRODUCT(
         INDEX(AI:AI, ROW()-COUNTIF($F$6:INDEX($F:$F, ROW()-1), $F254)) : INDEX(AI:AI, ROW()-1),
         INDEX(AB:AB, ROW()-COUNTIF($F$6:INDEX($F:$F, ROW()-1), $F254)) : INDEX(AB:AB, ROW()-1)
         )
         /SUM(INDEX(AB:AB, ROW()-COUNTIF($F$6:INDEX($F:$F, ROW()-1), $F254)) : INDEX(AB:AB, ROW()-1)),
           AVERAGEIFS(unit_details[Effective PSF],
          unit_details[Active Listing?],TRUE,
          unit_details[Property Name], $F255,
          unit_details[Beds], $L255,
          unit_details[Baths], $M255,
          unit_details[Partial Baths], IF(ISNUMBER($N255),$N255,""),
          unit_details[Sqft],$P255
)),"")</f>
        <v/>
      </c>
      <c r="AJ255" s="824" t="str">
        <f t="shared" si="37"/>
        <v/>
      </c>
      <c r="AK255" s="531" t="str">
        <f t="shared" si="38"/>
        <v/>
      </c>
      <c r="AL255" s="714" t="str">
        <f t="shared" si="39"/>
        <v/>
      </c>
      <c r="AM255" s="531" t="str">
        <f t="shared" si="40"/>
        <v/>
      </c>
      <c r="AN255" s="716" t="str">
        <f t="shared" si="41"/>
        <v/>
      </c>
    </row>
    <row r="256" spans="6:40" x14ac:dyDescent="0.2">
      <c r="F256" s="1" t="str">
        <f t="shared" si="34"/>
        <v/>
      </c>
      <c r="G256" s="713" t="str">
        <f t="shared" si="42"/>
        <v/>
      </c>
      <c r="H256" s="17" t="str">
        <f>IFERROR(VLOOKUP($G256,Table1[[Property]:[Exposure %]],4,0),"")</f>
        <v/>
      </c>
      <c r="I256" s="3" t="str">
        <f>IFERROR(VLOOKUP($G256,Table1[[Property]:[Exposure %]],6,0),"")</f>
        <v/>
      </c>
      <c r="J256" s="3" t="str">
        <f>IFERROR(VLOOKUP($G256,Table1[[Property]:[Exposure %]],7,0),"")</f>
        <v/>
      </c>
      <c r="K256"/>
      <c r="L256"/>
      <c r="M256"/>
      <c r="N256"/>
      <c r="O256"/>
      <c r="P256"/>
      <c r="Q256"/>
      <c r="R256" s="4" t="str">
        <f>IFERROR(VLOOKUP(IF(F256="Total",F255,F256),Table1[[Property]:['# Units]],7,0)*S256,"")</f>
        <v/>
      </c>
      <c r="S256" s="27" t="str">
        <f t="shared" si="35"/>
        <v/>
      </c>
      <c r="T256" s="531" t="str">
        <f>IFERROR(
 IF($F256="Total",
   SUMPRODUCT(
   INDEX(T:T, ROW()-COUNTIF($F$6:INDEX($F:$F, ROW()-1), $F255)) : INDEX(T:T, ROW()-1),
   INDEX(W:W, ROW()-COUNTIF($F$6:INDEX($F:$F, ROW()-1), $F255)) : INDEX(W:W, ROW()-1)
   )
   /SUM(INDEX(W:W, ROW()-COUNTIF($F$6:INDEX($F:$F, ROW()-1), $F255)) : INDEX(W:W, ROW()-1)),
   AVERAGEIFS(
     INDEX((unit_details[Asking Rent],unit_details[Asking PSF]),0,1,IF($U$3="Chunk Rent",1,2)),
     unit_details[Leased Date],"&gt;="&amp;($AM$2-T$5),
     unit_details[Leased Date],"&lt;"&amp;$AM$2,
     unit_details[Beds],$L256,
     unit_details[Baths],$M256,
     unit_details[Partial Baths],IF(ISNUMBER($N256),$N256,""),
     unit_details[Sqft],$P256,
     unit_details[Property Name],$F256)
 ),"")</f>
        <v/>
      </c>
      <c r="U256" s="552" t="str">
        <f>IFERROR(
 IF($F256="Total",
   SUMPRODUCT(
   INDEX(U:U, ROW()-COUNTIF($F$6:INDEX($F:$F, ROW()-1), $F255)) : INDEX(U:U, ROW()-1),
   INDEX(W:W, ROW()-COUNTIF($F$6:INDEX($F:$F, ROW()-1), $F255)) : INDEX(W:W, ROW()-1)
   )
   /SUM(INDEX(W:W, ROW()-COUNTIF($F$6:INDEX($F:$F, ROW()-1), $F255)) : INDEX(W:W, ROW()-1)),
   AVERAGEIFS(
     INDEX((unit_details[Effective Rent],unit_details[Effective PSF]),0,1,IF($U$3="Chunk Rent",1,2)),
     unit_details[Leased Date],"&gt;="&amp;($AM$2-T$5),
     unit_details[Leased Date],"&lt;"&amp;$AM$2,
     unit_details[Beds],$L256,
     unit_details[Baths],$M256,
     unit_details[Partial Baths],IF(ISNUMBER($N256),$N256,""),
     unit_details[Sqft],$P256,
     unit_details[Property Name],$F256)
 ),"")</f>
        <v/>
      </c>
      <c r="V256" s="27" t="str">
        <f t="shared" si="43"/>
        <v/>
      </c>
      <c r="W256" s="526">
        <f>IFERROR(
  IF($F256="Total",
    SUM(INDEX(W:W, ROW()-COUNTIF($F$6:INDEX($F:$F, ROW()-1), $F255)) : INDEX(W:W, ROW()-1)),
    COUNTIFS(
      unit_details[Leased Date], "&gt;="&amp;($AM$2-T$5),
      unit_details[Leased Date], "&lt;"&amp;$AM$2,
      unit_details[Beds], $L256,
      unit_details[Baths], $M256,
      unit_details[Partial Baths], IF(ISNUMBER($N256), $N256, ""),
      unit_details[Sqft],$P256,
      unit_details[Property Name], $F256
    )
  ),
"")</f>
        <v>0</v>
      </c>
      <c r="X256" s="531" t="str">
        <f>IFERROR(
 IF($F256="Total",
   SUMPRODUCT(
   INDEX(X:X, ROW()-COUNTIF($F$6:INDEX($F:$F, ROW()-1), $F255)) : INDEX(X:X, ROW()-1),
   INDEX(AA:AA, ROW()-COUNTIF($F$6:INDEX($F:$F, ROW()-1), $F255)) : INDEX(AA:AA, ROW()-1)
   )
   /SUM(INDEX(AA:AA, ROW()-COUNTIF($F$6:INDEX($F:$F, ROW()-1), $F255)) : INDEX(AA:AA, ROW()-1)),
   AVERAGEIFS(
     INDEX((unit_details[Asking Rent],unit_details[Asking PSF]),0,1,IF($U$3="Chunk Rent",1,2)),
     unit_details[Leased Date],"&gt;="&amp;($AM$2-X$5),
     unit_details[Leased Date],"&lt;"&amp;$AM$2,
     unit_details[Beds],$L256,
     unit_details[Baths],$M256,
     unit_details[Partial Baths],IF(ISNUMBER($N256),$N256,""),
     unit_details[Sqft],$P256,
     unit_details[Property Name],$F256)
 ),"")</f>
        <v/>
      </c>
      <c r="Y256" s="552" t="str">
        <f>IFERROR(
 IF($F256="Total",
   SUMPRODUCT(
   INDEX(Y:Y, ROW()-COUNTIF($F$6:INDEX($F:$F, ROW()-1), $F255)) : INDEX(Y:Y, ROW()-1),
   INDEX(AA:AA, ROW()-COUNTIF($F$6:INDEX($F:$F, ROW()-1), $F255)) : INDEX(AA:AA, ROW()-1)
   )
   /SUM(INDEX(AA:AA, ROW()-COUNTIF($F$6:INDEX($F:$F, ROW()-1), $F255)) : INDEX(AA:AA, ROW()-1)),
   AVERAGEIFS(
     INDEX((unit_details[Effective Rent],unit_details[Effective PSF]),0,1,IF($U$3="Chunk Rent",1,2)),
     unit_details[Leased Date],"&gt;="&amp;($AM$2-X$5),
     unit_details[Leased Date],"&lt;"&amp;$AM$2,
     unit_details[Beds],$L256,
     unit_details[Baths],$M256,
     unit_details[Partial Baths],IF(ISNUMBER($N256),$N256,""),
     unit_details[Sqft],$P256,
     unit_details[Property Name],$F256)
 ),"")</f>
        <v/>
      </c>
      <c r="Z256" s="27" t="str">
        <f t="shared" si="44"/>
        <v/>
      </c>
      <c r="AA256" s="526">
        <f>IFERROR(
  IF($F256="Total",
    SUM(INDEX(AA:AA, ROW()-COUNTIF($F$6:INDEX($F:$F, ROW()-1), $F255)) : INDEX(AA:AA, ROW()-1)),
    COUNTIFS(
      unit_details[Leased Date], "&gt;="&amp;($AM$2-X$5),
      unit_details[Leased Date], "&lt;"&amp;$AM$2,
      unit_details[Beds], $L256,
      unit_details[Baths], $M256,
      unit_details[Partial Baths], IF(ISNUMBER($N256), $N256, ""),
      unit_details[Sqft],$P256,
      unit_details[Property Name], $F256
    )
  ),
"")</f>
        <v>0</v>
      </c>
      <c r="AB256" s="290">
        <f>IF($F256="Total",
SUM(INDEX(AB:AB, ROW()-COUNTIF($F$6:INDEX($F:$F, ROW()-1), $F255)) : INDEX(AB:AB, ROW()-1)),
COUNTIFS(unit_details[Active Listing?],TRUE,
          unit_details[Property Name], $F256,
          unit_details[Beds], $L256,
          unit_details[Baths], $M256,
          unit_details[Partial Baths],IF(ISNUMBER($N256),$N256,""),
          unit_details[Sqft],$P256))</f>
        <v>0</v>
      </c>
      <c r="AC256" s="27" t="str">
        <f t="shared" si="36"/>
        <v/>
      </c>
      <c r="AD256" s="293" t="str">
        <f>IFERROR(IF(AE256="","",IF($F256="Total",
SUMPRODUCT(
   INDEX(AD:AD, ROW()-COUNTIF($F$6:INDEX($F:$F, ROW()-1), $F255)) : INDEX(AD:AD, ROW()-1),
   INDEX(AB:AB, ROW()-COUNTIF($F$6:INDEX($F:$F, ROW()-1), $F255)) : INDEX(AB:AB, ROW()-1)
   )
   /SUM(INDEX(AB:AB, ROW()-COUNTIF($F$6:INDEX($F:$F, ROW()-1), $F255)) : INDEX(AB:AB, ROW()-1)),
          _xlfn.MINIFS(unit_details[Asking Rent],
          unit_details[Active Listing?],TRUE,
          unit_details[Property Name], $F256,
          unit_details[Beds], $L256,
          unit_details[Baths], $M256,
          unit_details[Partial Baths], IF(ISNUMBER($N256),$N256,""),
          unit_details[Sqft],$P256
))),"")</f>
        <v/>
      </c>
      <c r="AE256" s="5" t="str">
        <f>IFERROR(IF($F256="Total",
          SUMPRODUCT(
   INDEX(AE:AE, ROW()-COUNTIF($F$6:INDEX($F:$F, ROW()-1), $F255)) : INDEX(AE:AE, ROW()-1),
   INDEX(AB:AB, ROW()-COUNTIF($F$6:INDEX($F:$F, ROW()-1), $F255)) : INDEX(AB:AB, ROW()-1)
   )
   /SUM(INDEX(AB:AB, ROW()-COUNTIF($F$6:INDEX($F:$F, ROW()-1), $F255)) : INDEX(AB:AB, ROW()-1)),
          AVERAGEIFS(unit_details[Asking Rent],
          unit_details[Active Listing?],TRUE,
          unit_details[Property Name], $F256,
          unit_details[Beds], $L256,
          unit_details[Baths], $M256,
          unit_details[Partial Baths], IF(ISNUMBER($N256),$N256,""),
          unit_details[Sqft],$P256
)),"")</f>
        <v/>
      </c>
      <c r="AF256" s="5" t="str">
        <f>IFERROR(IF(AE256="","",IF($F256="Total",
SUMPRODUCT(
   INDEX(AF:AF, ROW()-COUNTIF($F$6:INDEX($F:$F, ROW()-1), $F255)) : INDEX(AF:AF, ROW()-1),
   INDEX(AB:AB, ROW()-COUNTIF($F$6:INDEX($F:$F, ROW()-1), $F255)) : INDEX(AB:AB, ROW()-1)
   )
   /SUM(INDEX(AB:AB, ROW()-COUNTIF($F$6:INDEX($F:$F, ROW()-1), $F255)) : INDEX(AB:AB, ROW()-1)),
           _xlfn.MAXIFS(unit_details[Asking Rent],
          unit_details[Active Listing?],TRUE,
          unit_details[Property Name], $F256,
          unit_details[Beds], $L256,
          unit_details[Baths], $M256,
          unit_details[Partial Baths], IF(ISNUMBER($N256),$N256,""),
          unit_details[Sqft],$P256
))),"")</f>
        <v/>
      </c>
      <c r="AG256" s="6" t="str">
        <f>IFERROR(IF($F256="Total",
         SUMPRODUCT(
         INDEX(AG:AG, ROW()-COUNTIF($F$6:INDEX($F:$F, ROW()-1), $F255)) : INDEX(AG:AG, ROW()-1),
         INDEX(AB:AB, ROW()-COUNTIF($F$6:INDEX($F:$F, ROW()-1), $F255)) : INDEX(AB:AB, ROW()-1)
         )
         /SUM(INDEX(AB:AB, ROW()-COUNTIF($F$6:INDEX($F:$F, ROW()-1), $F255)) : INDEX(AB:AB, ROW()-1)),
          AVERAGEIFS(unit_details[Asking PSF],
          unit_details[Active Listing?],TRUE,
          unit_details[Property Name], $F256,
          unit_details[Beds], $L256,
          unit_details[Baths], $M256,
          unit_details[Partial Baths], IF(ISNUMBER($N256),$N256,""),
          unit_details[Sqft],$P256
)),"")</f>
        <v/>
      </c>
      <c r="AH256" s="293" t="str">
        <f>IFERROR(IF($F256="Total",
         SUMPRODUCT(
         INDEX(AH:AH, ROW()-COUNTIF($F$6:INDEX($F:$F, ROW()-1), $F255)) : INDEX(AH:AH, ROW()-1),
         INDEX(AB:AB, ROW()-COUNTIF($F$6:INDEX($F:$F, ROW()-1), $F255)) : INDEX(AB:AB, ROW()-1)
         )
         /SUM(INDEX(AB:AB, ROW()-COUNTIF($F$6:INDEX($F:$F, ROW()-1), $F255)) : INDEX(AB:AB, ROW()-1)),
          AVERAGEIFS(unit_details[Effective Rent],
          unit_details[Active Listing?],TRUE,
          unit_details[Property Name], $F256,
          unit_details[Beds], $L256,
          unit_details[Baths], $M256,
          unit_details[Partial Baths], IF(ISNUMBER($N256),$N256,""),
          unit_details[Sqft],$P256
)),"")</f>
        <v/>
      </c>
      <c r="AI256" s="6" t="str">
        <f>IFERROR(IF($F256="Total",
         SUMPRODUCT(
         INDEX(AI:AI, ROW()-COUNTIF($F$6:INDEX($F:$F, ROW()-1), $F255)) : INDEX(AI:AI, ROW()-1),
         INDEX(AB:AB, ROW()-COUNTIF($F$6:INDEX($F:$F, ROW()-1), $F255)) : INDEX(AB:AB, ROW()-1)
         )
         /SUM(INDEX(AB:AB, ROW()-COUNTIF($F$6:INDEX($F:$F, ROW()-1), $F255)) : INDEX(AB:AB, ROW()-1)),
           AVERAGEIFS(unit_details[Effective PSF],
          unit_details[Active Listing?],TRUE,
          unit_details[Property Name], $F256,
          unit_details[Beds], $L256,
          unit_details[Baths], $M256,
          unit_details[Partial Baths], IF(ISNUMBER($N256),$N256,""),
          unit_details[Sqft],$P256
)),"")</f>
        <v/>
      </c>
      <c r="AJ256" s="824" t="str">
        <f t="shared" si="37"/>
        <v/>
      </c>
      <c r="AK256" s="531" t="str">
        <f t="shared" si="38"/>
        <v/>
      </c>
      <c r="AL256" s="714" t="str">
        <f t="shared" si="39"/>
        <v/>
      </c>
      <c r="AM256" s="531" t="str">
        <f t="shared" si="40"/>
        <v/>
      </c>
      <c r="AN256" s="716" t="str">
        <f t="shared" si="41"/>
        <v/>
      </c>
    </row>
    <row r="257" spans="6:40" x14ac:dyDescent="0.2">
      <c r="F257" s="1" t="str">
        <f t="shared" si="34"/>
        <v/>
      </c>
      <c r="G257" s="713" t="str">
        <f t="shared" si="42"/>
        <v/>
      </c>
      <c r="H257" s="17" t="str">
        <f>IFERROR(VLOOKUP($G257,Table1[[Property]:[Exposure %]],4,0),"")</f>
        <v/>
      </c>
      <c r="I257" s="3" t="str">
        <f>IFERROR(VLOOKUP($G257,Table1[[Property]:[Exposure %]],6,0),"")</f>
        <v/>
      </c>
      <c r="J257" s="3" t="str">
        <f>IFERROR(VLOOKUP($G257,Table1[[Property]:[Exposure %]],7,0),"")</f>
        <v/>
      </c>
      <c r="K257"/>
      <c r="L257"/>
      <c r="M257"/>
      <c r="N257"/>
      <c r="O257"/>
      <c r="P257"/>
      <c r="Q257"/>
      <c r="R257" s="4" t="str">
        <f>IFERROR(VLOOKUP(IF(F257="Total",F256,F257),Table1[[Property]:['# Units]],7,0)*S257,"")</f>
        <v/>
      </c>
      <c r="S257" s="27" t="str">
        <f t="shared" si="35"/>
        <v/>
      </c>
      <c r="T257" s="531" t="str">
        <f>IFERROR(
 IF($F257="Total",
   SUMPRODUCT(
   INDEX(T:T, ROW()-COUNTIF($F$6:INDEX($F:$F, ROW()-1), $F256)) : INDEX(T:T, ROW()-1),
   INDEX(W:W, ROW()-COUNTIF($F$6:INDEX($F:$F, ROW()-1), $F256)) : INDEX(W:W, ROW()-1)
   )
   /SUM(INDEX(W:W, ROW()-COUNTIF($F$6:INDEX($F:$F, ROW()-1), $F256)) : INDEX(W:W, ROW()-1)),
   AVERAGEIFS(
     INDEX((unit_details[Asking Rent],unit_details[Asking PSF]),0,1,IF($U$3="Chunk Rent",1,2)),
     unit_details[Leased Date],"&gt;="&amp;($AM$2-T$5),
     unit_details[Leased Date],"&lt;"&amp;$AM$2,
     unit_details[Beds],$L257,
     unit_details[Baths],$M257,
     unit_details[Partial Baths],IF(ISNUMBER($N257),$N257,""),
     unit_details[Sqft],$P257,
     unit_details[Property Name],$F257)
 ),"")</f>
        <v/>
      </c>
      <c r="U257" s="552" t="str">
        <f>IFERROR(
 IF($F257="Total",
   SUMPRODUCT(
   INDEX(U:U, ROW()-COUNTIF($F$6:INDEX($F:$F, ROW()-1), $F256)) : INDEX(U:U, ROW()-1),
   INDEX(W:W, ROW()-COUNTIF($F$6:INDEX($F:$F, ROW()-1), $F256)) : INDEX(W:W, ROW()-1)
   )
   /SUM(INDEX(W:W, ROW()-COUNTIF($F$6:INDEX($F:$F, ROW()-1), $F256)) : INDEX(W:W, ROW()-1)),
   AVERAGEIFS(
     INDEX((unit_details[Effective Rent],unit_details[Effective PSF]),0,1,IF($U$3="Chunk Rent",1,2)),
     unit_details[Leased Date],"&gt;="&amp;($AM$2-T$5),
     unit_details[Leased Date],"&lt;"&amp;$AM$2,
     unit_details[Beds],$L257,
     unit_details[Baths],$M257,
     unit_details[Partial Baths],IF(ISNUMBER($N257),$N257,""),
     unit_details[Sqft],$P257,
     unit_details[Property Name],$F257)
 ),"")</f>
        <v/>
      </c>
      <c r="V257" s="27" t="str">
        <f t="shared" si="43"/>
        <v/>
      </c>
      <c r="W257" s="526">
        <f>IFERROR(
  IF($F257="Total",
    SUM(INDEX(W:W, ROW()-COUNTIF($F$6:INDEX($F:$F, ROW()-1), $F256)) : INDEX(W:W, ROW()-1)),
    COUNTIFS(
      unit_details[Leased Date], "&gt;="&amp;($AM$2-T$5),
      unit_details[Leased Date], "&lt;"&amp;$AM$2,
      unit_details[Beds], $L257,
      unit_details[Baths], $M257,
      unit_details[Partial Baths], IF(ISNUMBER($N257), $N257, ""),
      unit_details[Sqft],$P257,
      unit_details[Property Name], $F257
    )
  ),
"")</f>
        <v>0</v>
      </c>
      <c r="X257" s="531" t="str">
        <f>IFERROR(
 IF($F257="Total",
   SUMPRODUCT(
   INDEX(X:X, ROW()-COUNTIF($F$6:INDEX($F:$F, ROW()-1), $F256)) : INDEX(X:X, ROW()-1),
   INDEX(AA:AA, ROW()-COUNTIF($F$6:INDEX($F:$F, ROW()-1), $F256)) : INDEX(AA:AA, ROW()-1)
   )
   /SUM(INDEX(AA:AA, ROW()-COUNTIF($F$6:INDEX($F:$F, ROW()-1), $F256)) : INDEX(AA:AA, ROW()-1)),
   AVERAGEIFS(
     INDEX((unit_details[Asking Rent],unit_details[Asking PSF]),0,1,IF($U$3="Chunk Rent",1,2)),
     unit_details[Leased Date],"&gt;="&amp;($AM$2-X$5),
     unit_details[Leased Date],"&lt;"&amp;$AM$2,
     unit_details[Beds],$L257,
     unit_details[Baths],$M257,
     unit_details[Partial Baths],IF(ISNUMBER($N257),$N257,""),
     unit_details[Sqft],$P257,
     unit_details[Property Name],$F257)
 ),"")</f>
        <v/>
      </c>
      <c r="Y257" s="552" t="str">
        <f>IFERROR(
 IF($F257="Total",
   SUMPRODUCT(
   INDEX(Y:Y, ROW()-COUNTIF($F$6:INDEX($F:$F, ROW()-1), $F256)) : INDEX(Y:Y, ROW()-1),
   INDEX(AA:AA, ROW()-COUNTIF($F$6:INDEX($F:$F, ROW()-1), $F256)) : INDEX(AA:AA, ROW()-1)
   )
   /SUM(INDEX(AA:AA, ROW()-COUNTIF($F$6:INDEX($F:$F, ROW()-1), $F256)) : INDEX(AA:AA, ROW()-1)),
   AVERAGEIFS(
     INDEX((unit_details[Effective Rent],unit_details[Effective PSF]),0,1,IF($U$3="Chunk Rent",1,2)),
     unit_details[Leased Date],"&gt;="&amp;($AM$2-X$5),
     unit_details[Leased Date],"&lt;"&amp;$AM$2,
     unit_details[Beds],$L257,
     unit_details[Baths],$M257,
     unit_details[Partial Baths],IF(ISNUMBER($N257),$N257,""),
     unit_details[Sqft],$P257,
     unit_details[Property Name],$F257)
 ),"")</f>
        <v/>
      </c>
      <c r="Z257" s="27" t="str">
        <f t="shared" si="44"/>
        <v/>
      </c>
      <c r="AA257" s="526">
        <f>IFERROR(
  IF($F257="Total",
    SUM(INDEX(AA:AA, ROW()-COUNTIF($F$6:INDEX($F:$F, ROW()-1), $F256)) : INDEX(AA:AA, ROW()-1)),
    COUNTIFS(
      unit_details[Leased Date], "&gt;="&amp;($AM$2-X$5),
      unit_details[Leased Date], "&lt;"&amp;$AM$2,
      unit_details[Beds], $L257,
      unit_details[Baths], $M257,
      unit_details[Partial Baths], IF(ISNUMBER($N257), $N257, ""),
      unit_details[Sqft],$P257,
      unit_details[Property Name], $F257
    )
  ),
"")</f>
        <v>0</v>
      </c>
      <c r="AB257" s="290">
        <f>IF($F257="Total",
SUM(INDEX(AB:AB, ROW()-COUNTIF($F$6:INDEX($F:$F, ROW()-1), $F256)) : INDEX(AB:AB, ROW()-1)),
COUNTIFS(unit_details[Active Listing?],TRUE,
          unit_details[Property Name], $F257,
          unit_details[Beds], $L257,
          unit_details[Baths], $M257,
          unit_details[Partial Baths],IF(ISNUMBER($N257),$N257,""),
          unit_details[Sqft],$P257))</f>
        <v>0</v>
      </c>
      <c r="AC257" s="27" t="str">
        <f t="shared" si="36"/>
        <v/>
      </c>
      <c r="AD257" s="293" t="str">
        <f>IFERROR(IF(AE257="","",IF($F257="Total",
SUMPRODUCT(
   INDEX(AD:AD, ROW()-COUNTIF($F$6:INDEX($F:$F, ROW()-1), $F256)) : INDEX(AD:AD, ROW()-1),
   INDEX(AB:AB, ROW()-COUNTIF($F$6:INDEX($F:$F, ROW()-1), $F256)) : INDEX(AB:AB, ROW()-1)
   )
   /SUM(INDEX(AB:AB, ROW()-COUNTIF($F$6:INDEX($F:$F, ROW()-1), $F256)) : INDEX(AB:AB, ROW()-1)),
          _xlfn.MINIFS(unit_details[Asking Rent],
          unit_details[Active Listing?],TRUE,
          unit_details[Property Name], $F257,
          unit_details[Beds], $L257,
          unit_details[Baths], $M257,
          unit_details[Partial Baths], IF(ISNUMBER($N257),$N257,""),
          unit_details[Sqft],$P257
))),"")</f>
        <v/>
      </c>
      <c r="AE257" s="5" t="str">
        <f>IFERROR(IF($F257="Total",
          SUMPRODUCT(
   INDEX(AE:AE, ROW()-COUNTIF($F$6:INDEX($F:$F, ROW()-1), $F256)) : INDEX(AE:AE, ROW()-1),
   INDEX(AB:AB, ROW()-COUNTIF($F$6:INDEX($F:$F, ROW()-1), $F256)) : INDEX(AB:AB, ROW()-1)
   )
   /SUM(INDEX(AB:AB, ROW()-COUNTIF($F$6:INDEX($F:$F, ROW()-1), $F256)) : INDEX(AB:AB, ROW()-1)),
          AVERAGEIFS(unit_details[Asking Rent],
          unit_details[Active Listing?],TRUE,
          unit_details[Property Name], $F257,
          unit_details[Beds], $L257,
          unit_details[Baths], $M257,
          unit_details[Partial Baths], IF(ISNUMBER($N257),$N257,""),
          unit_details[Sqft],$P257
)),"")</f>
        <v/>
      </c>
      <c r="AF257" s="5" t="str">
        <f>IFERROR(IF(AE257="","",IF($F257="Total",
SUMPRODUCT(
   INDEX(AF:AF, ROW()-COUNTIF($F$6:INDEX($F:$F, ROW()-1), $F256)) : INDEX(AF:AF, ROW()-1),
   INDEX(AB:AB, ROW()-COUNTIF($F$6:INDEX($F:$F, ROW()-1), $F256)) : INDEX(AB:AB, ROW()-1)
   )
   /SUM(INDEX(AB:AB, ROW()-COUNTIF($F$6:INDEX($F:$F, ROW()-1), $F256)) : INDEX(AB:AB, ROW()-1)),
           _xlfn.MAXIFS(unit_details[Asking Rent],
          unit_details[Active Listing?],TRUE,
          unit_details[Property Name], $F257,
          unit_details[Beds], $L257,
          unit_details[Baths], $M257,
          unit_details[Partial Baths], IF(ISNUMBER($N257),$N257,""),
          unit_details[Sqft],$P257
))),"")</f>
        <v/>
      </c>
      <c r="AG257" s="6" t="str">
        <f>IFERROR(IF($F257="Total",
         SUMPRODUCT(
         INDEX(AG:AG, ROW()-COUNTIF($F$6:INDEX($F:$F, ROW()-1), $F256)) : INDEX(AG:AG, ROW()-1),
         INDEX(AB:AB, ROW()-COUNTIF($F$6:INDEX($F:$F, ROW()-1), $F256)) : INDEX(AB:AB, ROW()-1)
         )
         /SUM(INDEX(AB:AB, ROW()-COUNTIF($F$6:INDEX($F:$F, ROW()-1), $F256)) : INDEX(AB:AB, ROW()-1)),
          AVERAGEIFS(unit_details[Asking PSF],
          unit_details[Active Listing?],TRUE,
          unit_details[Property Name], $F257,
          unit_details[Beds], $L257,
          unit_details[Baths], $M257,
          unit_details[Partial Baths], IF(ISNUMBER($N257),$N257,""),
          unit_details[Sqft],$P257
)),"")</f>
        <v/>
      </c>
      <c r="AH257" s="293" t="str">
        <f>IFERROR(IF($F257="Total",
         SUMPRODUCT(
         INDEX(AH:AH, ROW()-COUNTIF($F$6:INDEX($F:$F, ROW()-1), $F256)) : INDEX(AH:AH, ROW()-1),
         INDEX(AB:AB, ROW()-COUNTIF($F$6:INDEX($F:$F, ROW()-1), $F256)) : INDEX(AB:AB, ROW()-1)
         )
         /SUM(INDEX(AB:AB, ROW()-COUNTIF($F$6:INDEX($F:$F, ROW()-1), $F256)) : INDEX(AB:AB, ROW()-1)),
          AVERAGEIFS(unit_details[Effective Rent],
          unit_details[Active Listing?],TRUE,
          unit_details[Property Name], $F257,
          unit_details[Beds], $L257,
          unit_details[Baths], $M257,
          unit_details[Partial Baths], IF(ISNUMBER($N257),$N257,""),
          unit_details[Sqft],$P257
)),"")</f>
        <v/>
      </c>
      <c r="AI257" s="6" t="str">
        <f>IFERROR(IF($F257="Total",
         SUMPRODUCT(
         INDEX(AI:AI, ROW()-COUNTIF($F$6:INDEX($F:$F, ROW()-1), $F256)) : INDEX(AI:AI, ROW()-1),
         INDEX(AB:AB, ROW()-COUNTIF($F$6:INDEX($F:$F, ROW()-1), $F256)) : INDEX(AB:AB, ROW()-1)
         )
         /SUM(INDEX(AB:AB, ROW()-COUNTIF($F$6:INDEX($F:$F, ROW()-1), $F256)) : INDEX(AB:AB, ROW()-1)),
           AVERAGEIFS(unit_details[Effective PSF],
          unit_details[Active Listing?],TRUE,
          unit_details[Property Name], $F257,
          unit_details[Beds], $L257,
          unit_details[Baths], $M257,
          unit_details[Partial Baths], IF(ISNUMBER($N257),$N257,""),
          unit_details[Sqft],$P257
)),"")</f>
        <v/>
      </c>
      <c r="AJ257" s="824" t="str">
        <f t="shared" si="37"/>
        <v/>
      </c>
      <c r="AK257" s="531" t="str">
        <f t="shared" si="38"/>
        <v/>
      </c>
      <c r="AL257" s="714" t="str">
        <f t="shared" si="39"/>
        <v/>
      </c>
      <c r="AM257" s="531" t="str">
        <f t="shared" si="40"/>
        <v/>
      </c>
      <c r="AN257" s="716" t="str">
        <f t="shared" si="41"/>
        <v/>
      </c>
    </row>
    <row r="258" spans="6:40" x14ac:dyDescent="0.2">
      <c r="F258" s="1" t="str">
        <f t="shared" si="34"/>
        <v/>
      </c>
      <c r="G258" s="713" t="str">
        <f t="shared" si="42"/>
        <v/>
      </c>
      <c r="H258" s="17" t="str">
        <f>IFERROR(VLOOKUP($G258,Table1[[Property]:[Exposure %]],4,0),"")</f>
        <v/>
      </c>
      <c r="I258" s="3" t="str">
        <f>IFERROR(VLOOKUP($G258,Table1[[Property]:[Exposure %]],6,0),"")</f>
        <v/>
      </c>
      <c r="J258" s="3" t="str">
        <f>IFERROR(VLOOKUP($G258,Table1[[Property]:[Exposure %]],7,0),"")</f>
        <v/>
      </c>
      <c r="K258"/>
      <c r="L258"/>
      <c r="M258"/>
      <c r="N258"/>
      <c r="O258"/>
      <c r="P258"/>
      <c r="Q258"/>
      <c r="R258" s="4" t="str">
        <f>IFERROR(VLOOKUP(IF(F258="Total",F257,F258),Table1[[Property]:['# Units]],7,0)*S258,"")</f>
        <v/>
      </c>
      <c r="S258" s="27" t="str">
        <f t="shared" si="35"/>
        <v/>
      </c>
      <c r="T258" s="531" t="str">
        <f>IFERROR(
 IF($F258="Total",
   SUMPRODUCT(
   INDEX(T:T, ROW()-COUNTIF($F$6:INDEX($F:$F, ROW()-1), $F257)) : INDEX(T:T, ROW()-1),
   INDEX(W:W, ROW()-COUNTIF($F$6:INDEX($F:$F, ROW()-1), $F257)) : INDEX(W:W, ROW()-1)
   )
   /SUM(INDEX(W:W, ROW()-COUNTIF($F$6:INDEX($F:$F, ROW()-1), $F257)) : INDEX(W:W, ROW()-1)),
   AVERAGEIFS(
     INDEX((unit_details[Asking Rent],unit_details[Asking PSF]),0,1,IF($U$3="Chunk Rent",1,2)),
     unit_details[Leased Date],"&gt;="&amp;($AM$2-T$5),
     unit_details[Leased Date],"&lt;"&amp;$AM$2,
     unit_details[Beds],$L258,
     unit_details[Baths],$M258,
     unit_details[Partial Baths],IF(ISNUMBER($N258),$N258,""),
     unit_details[Sqft],$P258,
     unit_details[Property Name],$F258)
 ),"")</f>
        <v/>
      </c>
      <c r="U258" s="552" t="str">
        <f>IFERROR(
 IF($F258="Total",
   SUMPRODUCT(
   INDEX(U:U, ROW()-COUNTIF($F$6:INDEX($F:$F, ROW()-1), $F257)) : INDEX(U:U, ROW()-1),
   INDEX(W:W, ROW()-COUNTIF($F$6:INDEX($F:$F, ROW()-1), $F257)) : INDEX(W:W, ROW()-1)
   )
   /SUM(INDEX(W:W, ROW()-COUNTIF($F$6:INDEX($F:$F, ROW()-1), $F257)) : INDEX(W:W, ROW()-1)),
   AVERAGEIFS(
     INDEX((unit_details[Effective Rent],unit_details[Effective PSF]),0,1,IF($U$3="Chunk Rent",1,2)),
     unit_details[Leased Date],"&gt;="&amp;($AM$2-T$5),
     unit_details[Leased Date],"&lt;"&amp;$AM$2,
     unit_details[Beds],$L258,
     unit_details[Baths],$M258,
     unit_details[Partial Baths],IF(ISNUMBER($N258),$N258,""),
     unit_details[Sqft],$P258,
     unit_details[Property Name],$F258)
 ),"")</f>
        <v/>
      </c>
      <c r="V258" s="27" t="str">
        <f t="shared" si="43"/>
        <v/>
      </c>
      <c r="W258" s="526">
        <f>IFERROR(
  IF($F258="Total",
    SUM(INDEX(W:W, ROW()-COUNTIF($F$6:INDEX($F:$F, ROW()-1), $F257)) : INDEX(W:W, ROW()-1)),
    COUNTIFS(
      unit_details[Leased Date], "&gt;="&amp;($AM$2-T$5),
      unit_details[Leased Date], "&lt;"&amp;$AM$2,
      unit_details[Beds], $L258,
      unit_details[Baths], $M258,
      unit_details[Partial Baths], IF(ISNUMBER($N258), $N258, ""),
      unit_details[Sqft],$P258,
      unit_details[Property Name], $F258
    )
  ),
"")</f>
        <v>0</v>
      </c>
      <c r="X258" s="531" t="str">
        <f>IFERROR(
 IF($F258="Total",
   SUMPRODUCT(
   INDEX(X:X, ROW()-COUNTIF($F$6:INDEX($F:$F, ROW()-1), $F257)) : INDEX(X:X, ROW()-1),
   INDEX(AA:AA, ROW()-COUNTIF($F$6:INDEX($F:$F, ROW()-1), $F257)) : INDEX(AA:AA, ROW()-1)
   )
   /SUM(INDEX(AA:AA, ROW()-COUNTIF($F$6:INDEX($F:$F, ROW()-1), $F257)) : INDEX(AA:AA, ROW()-1)),
   AVERAGEIFS(
     INDEX((unit_details[Asking Rent],unit_details[Asking PSF]),0,1,IF($U$3="Chunk Rent",1,2)),
     unit_details[Leased Date],"&gt;="&amp;($AM$2-X$5),
     unit_details[Leased Date],"&lt;"&amp;$AM$2,
     unit_details[Beds],$L258,
     unit_details[Baths],$M258,
     unit_details[Partial Baths],IF(ISNUMBER($N258),$N258,""),
     unit_details[Sqft],$P258,
     unit_details[Property Name],$F258)
 ),"")</f>
        <v/>
      </c>
      <c r="Y258" s="552" t="str">
        <f>IFERROR(
 IF($F258="Total",
   SUMPRODUCT(
   INDEX(Y:Y, ROW()-COUNTIF($F$6:INDEX($F:$F, ROW()-1), $F257)) : INDEX(Y:Y, ROW()-1),
   INDEX(AA:AA, ROW()-COUNTIF($F$6:INDEX($F:$F, ROW()-1), $F257)) : INDEX(AA:AA, ROW()-1)
   )
   /SUM(INDEX(AA:AA, ROW()-COUNTIF($F$6:INDEX($F:$F, ROW()-1), $F257)) : INDEX(AA:AA, ROW()-1)),
   AVERAGEIFS(
     INDEX((unit_details[Effective Rent],unit_details[Effective PSF]),0,1,IF($U$3="Chunk Rent",1,2)),
     unit_details[Leased Date],"&gt;="&amp;($AM$2-X$5),
     unit_details[Leased Date],"&lt;"&amp;$AM$2,
     unit_details[Beds],$L258,
     unit_details[Baths],$M258,
     unit_details[Partial Baths],IF(ISNUMBER($N258),$N258,""),
     unit_details[Sqft],$P258,
     unit_details[Property Name],$F258)
 ),"")</f>
        <v/>
      </c>
      <c r="Z258" s="27" t="str">
        <f t="shared" si="44"/>
        <v/>
      </c>
      <c r="AA258" s="526">
        <f>IFERROR(
  IF($F258="Total",
    SUM(INDEX(AA:AA, ROW()-COUNTIF($F$6:INDEX($F:$F, ROW()-1), $F257)) : INDEX(AA:AA, ROW()-1)),
    COUNTIFS(
      unit_details[Leased Date], "&gt;="&amp;($AM$2-X$5),
      unit_details[Leased Date], "&lt;"&amp;$AM$2,
      unit_details[Beds], $L258,
      unit_details[Baths], $M258,
      unit_details[Partial Baths], IF(ISNUMBER($N258), $N258, ""),
      unit_details[Sqft],$P258,
      unit_details[Property Name], $F258
    )
  ),
"")</f>
        <v>0</v>
      </c>
      <c r="AB258" s="290">
        <f>IF($F258="Total",
SUM(INDEX(AB:AB, ROW()-COUNTIF($F$6:INDEX($F:$F, ROW()-1), $F257)) : INDEX(AB:AB, ROW()-1)),
COUNTIFS(unit_details[Active Listing?],TRUE,
          unit_details[Property Name], $F258,
          unit_details[Beds], $L258,
          unit_details[Baths], $M258,
          unit_details[Partial Baths],IF(ISNUMBER($N258),$N258,""),
          unit_details[Sqft],$P258))</f>
        <v>0</v>
      </c>
      <c r="AC258" s="27" t="str">
        <f t="shared" si="36"/>
        <v/>
      </c>
      <c r="AD258" s="293" t="str">
        <f>IFERROR(IF(AE258="","",IF($F258="Total",
SUMPRODUCT(
   INDEX(AD:AD, ROW()-COUNTIF($F$6:INDEX($F:$F, ROW()-1), $F257)) : INDEX(AD:AD, ROW()-1),
   INDEX(AB:AB, ROW()-COUNTIF($F$6:INDEX($F:$F, ROW()-1), $F257)) : INDEX(AB:AB, ROW()-1)
   )
   /SUM(INDEX(AB:AB, ROW()-COUNTIF($F$6:INDEX($F:$F, ROW()-1), $F257)) : INDEX(AB:AB, ROW()-1)),
          _xlfn.MINIFS(unit_details[Asking Rent],
          unit_details[Active Listing?],TRUE,
          unit_details[Property Name], $F258,
          unit_details[Beds], $L258,
          unit_details[Baths], $M258,
          unit_details[Partial Baths], IF(ISNUMBER($N258),$N258,""),
          unit_details[Sqft],$P258
))),"")</f>
        <v/>
      </c>
      <c r="AE258" s="5" t="str">
        <f>IFERROR(IF($F258="Total",
          SUMPRODUCT(
   INDEX(AE:AE, ROW()-COUNTIF($F$6:INDEX($F:$F, ROW()-1), $F257)) : INDEX(AE:AE, ROW()-1),
   INDEX(AB:AB, ROW()-COUNTIF($F$6:INDEX($F:$F, ROW()-1), $F257)) : INDEX(AB:AB, ROW()-1)
   )
   /SUM(INDEX(AB:AB, ROW()-COUNTIF($F$6:INDEX($F:$F, ROW()-1), $F257)) : INDEX(AB:AB, ROW()-1)),
          AVERAGEIFS(unit_details[Asking Rent],
          unit_details[Active Listing?],TRUE,
          unit_details[Property Name], $F258,
          unit_details[Beds], $L258,
          unit_details[Baths], $M258,
          unit_details[Partial Baths], IF(ISNUMBER($N258),$N258,""),
          unit_details[Sqft],$P258
)),"")</f>
        <v/>
      </c>
      <c r="AF258" s="5" t="str">
        <f>IFERROR(IF(AE258="","",IF($F258="Total",
SUMPRODUCT(
   INDEX(AF:AF, ROW()-COUNTIF($F$6:INDEX($F:$F, ROW()-1), $F257)) : INDEX(AF:AF, ROW()-1),
   INDEX(AB:AB, ROW()-COUNTIF($F$6:INDEX($F:$F, ROW()-1), $F257)) : INDEX(AB:AB, ROW()-1)
   )
   /SUM(INDEX(AB:AB, ROW()-COUNTIF($F$6:INDEX($F:$F, ROW()-1), $F257)) : INDEX(AB:AB, ROW()-1)),
           _xlfn.MAXIFS(unit_details[Asking Rent],
          unit_details[Active Listing?],TRUE,
          unit_details[Property Name], $F258,
          unit_details[Beds], $L258,
          unit_details[Baths], $M258,
          unit_details[Partial Baths], IF(ISNUMBER($N258),$N258,""),
          unit_details[Sqft],$P258
))),"")</f>
        <v/>
      </c>
      <c r="AG258" s="6" t="str">
        <f>IFERROR(IF($F258="Total",
         SUMPRODUCT(
         INDEX(AG:AG, ROW()-COUNTIF($F$6:INDEX($F:$F, ROW()-1), $F257)) : INDEX(AG:AG, ROW()-1),
         INDEX(AB:AB, ROW()-COUNTIF($F$6:INDEX($F:$F, ROW()-1), $F257)) : INDEX(AB:AB, ROW()-1)
         )
         /SUM(INDEX(AB:AB, ROW()-COUNTIF($F$6:INDEX($F:$F, ROW()-1), $F257)) : INDEX(AB:AB, ROW()-1)),
          AVERAGEIFS(unit_details[Asking PSF],
          unit_details[Active Listing?],TRUE,
          unit_details[Property Name], $F258,
          unit_details[Beds], $L258,
          unit_details[Baths], $M258,
          unit_details[Partial Baths], IF(ISNUMBER($N258),$N258,""),
          unit_details[Sqft],$P258
)),"")</f>
        <v/>
      </c>
      <c r="AH258" s="293" t="str">
        <f>IFERROR(IF($F258="Total",
         SUMPRODUCT(
         INDEX(AH:AH, ROW()-COUNTIF($F$6:INDEX($F:$F, ROW()-1), $F257)) : INDEX(AH:AH, ROW()-1),
         INDEX(AB:AB, ROW()-COUNTIF($F$6:INDEX($F:$F, ROW()-1), $F257)) : INDEX(AB:AB, ROW()-1)
         )
         /SUM(INDEX(AB:AB, ROW()-COUNTIF($F$6:INDEX($F:$F, ROW()-1), $F257)) : INDEX(AB:AB, ROW()-1)),
          AVERAGEIFS(unit_details[Effective Rent],
          unit_details[Active Listing?],TRUE,
          unit_details[Property Name], $F258,
          unit_details[Beds], $L258,
          unit_details[Baths], $M258,
          unit_details[Partial Baths], IF(ISNUMBER($N258),$N258,""),
          unit_details[Sqft],$P258
)),"")</f>
        <v/>
      </c>
      <c r="AI258" s="6" t="str">
        <f>IFERROR(IF($F258="Total",
         SUMPRODUCT(
         INDEX(AI:AI, ROW()-COUNTIF($F$6:INDEX($F:$F, ROW()-1), $F257)) : INDEX(AI:AI, ROW()-1),
         INDEX(AB:AB, ROW()-COUNTIF($F$6:INDEX($F:$F, ROW()-1), $F257)) : INDEX(AB:AB, ROW()-1)
         )
         /SUM(INDEX(AB:AB, ROW()-COUNTIF($F$6:INDEX($F:$F, ROW()-1), $F257)) : INDEX(AB:AB, ROW()-1)),
           AVERAGEIFS(unit_details[Effective PSF],
          unit_details[Active Listing?],TRUE,
          unit_details[Property Name], $F258,
          unit_details[Beds], $L258,
          unit_details[Baths], $M258,
          unit_details[Partial Baths], IF(ISNUMBER($N258),$N258,""),
          unit_details[Sqft],$P258
)),"")</f>
        <v/>
      </c>
      <c r="AJ258" s="824" t="str">
        <f t="shared" si="37"/>
        <v/>
      </c>
      <c r="AK258" s="531" t="str">
        <f t="shared" si="38"/>
        <v/>
      </c>
      <c r="AL258" s="714" t="str">
        <f t="shared" si="39"/>
        <v/>
      </c>
      <c r="AM258" s="531" t="str">
        <f t="shared" si="40"/>
        <v/>
      </c>
      <c r="AN258" s="716" t="str">
        <f t="shared" si="41"/>
        <v/>
      </c>
    </row>
    <row r="259" spans="6:40" x14ac:dyDescent="0.2">
      <c r="F259" s="1" t="str">
        <f t="shared" si="34"/>
        <v/>
      </c>
      <c r="G259" s="713" t="str">
        <f t="shared" si="42"/>
        <v/>
      </c>
      <c r="H259" s="17" t="str">
        <f>IFERROR(VLOOKUP($G259,Table1[[Property]:[Exposure %]],4,0),"")</f>
        <v/>
      </c>
      <c r="I259" s="3" t="str">
        <f>IFERROR(VLOOKUP($G259,Table1[[Property]:[Exposure %]],6,0),"")</f>
        <v/>
      </c>
      <c r="J259" s="3" t="str">
        <f>IFERROR(VLOOKUP($G259,Table1[[Property]:[Exposure %]],7,0),"")</f>
        <v/>
      </c>
      <c r="K259"/>
      <c r="L259"/>
      <c r="M259"/>
      <c r="N259"/>
      <c r="O259"/>
      <c r="P259"/>
      <c r="Q259"/>
      <c r="R259" s="4" t="str">
        <f>IFERROR(VLOOKUP(IF(F259="Total",F258,F259),Table1[[Property]:['# Units]],7,0)*S259,"")</f>
        <v/>
      </c>
      <c r="S259" s="27" t="str">
        <f t="shared" si="35"/>
        <v/>
      </c>
      <c r="T259" s="531" t="str">
        <f>IFERROR(
 IF($F259="Total",
   SUMPRODUCT(
   INDEX(T:T, ROW()-COUNTIF($F$6:INDEX($F:$F, ROW()-1), $F258)) : INDEX(T:T, ROW()-1),
   INDEX(W:W, ROW()-COUNTIF($F$6:INDEX($F:$F, ROW()-1), $F258)) : INDEX(W:W, ROW()-1)
   )
   /SUM(INDEX(W:W, ROW()-COUNTIF($F$6:INDEX($F:$F, ROW()-1), $F258)) : INDEX(W:W, ROW()-1)),
   AVERAGEIFS(
     INDEX((unit_details[Asking Rent],unit_details[Asking PSF]),0,1,IF($U$3="Chunk Rent",1,2)),
     unit_details[Leased Date],"&gt;="&amp;($AM$2-T$5),
     unit_details[Leased Date],"&lt;"&amp;$AM$2,
     unit_details[Beds],$L259,
     unit_details[Baths],$M259,
     unit_details[Partial Baths],IF(ISNUMBER($N259),$N259,""),
     unit_details[Sqft],$P259,
     unit_details[Property Name],$F259)
 ),"")</f>
        <v/>
      </c>
      <c r="U259" s="552" t="str">
        <f>IFERROR(
 IF($F259="Total",
   SUMPRODUCT(
   INDEX(U:U, ROW()-COUNTIF($F$6:INDEX($F:$F, ROW()-1), $F258)) : INDEX(U:U, ROW()-1),
   INDEX(W:W, ROW()-COUNTIF($F$6:INDEX($F:$F, ROW()-1), $F258)) : INDEX(W:W, ROW()-1)
   )
   /SUM(INDEX(W:W, ROW()-COUNTIF($F$6:INDEX($F:$F, ROW()-1), $F258)) : INDEX(W:W, ROW()-1)),
   AVERAGEIFS(
     INDEX((unit_details[Effective Rent],unit_details[Effective PSF]),0,1,IF($U$3="Chunk Rent",1,2)),
     unit_details[Leased Date],"&gt;="&amp;($AM$2-T$5),
     unit_details[Leased Date],"&lt;"&amp;$AM$2,
     unit_details[Beds],$L259,
     unit_details[Baths],$M259,
     unit_details[Partial Baths],IF(ISNUMBER($N259),$N259,""),
     unit_details[Sqft],$P259,
     unit_details[Property Name],$F259)
 ),"")</f>
        <v/>
      </c>
      <c r="V259" s="27" t="str">
        <f t="shared" si="43"/>
        <v/>
      </c>
      <c r="W259" s="526">
        <f>IFERROR(
  IF($F259="Total",
    SUM(INDEX(W:W, ROW()-COUNTIF($F$6:INDEX($F:$F, ROW()-1), $F258)) : INDEX(W:W, ROW()-1)),
    COUNTIFS(
      unit_details[Leased Date], "&gt;="&amp;($AM$2-T$5),
      unit_details[Leased Date], "&lt;"&amp;$AM$2,
      unit_details[Beds], $L259,
      unit_details[Baths], $M259,
      unit_details[Partial Baths], IF(ISNUMBER($N259), $N259, ""),
      unit_details[Sqft],$P259,
      unit_details[Property Name], $F259
    )
  ),
"")</f>
        <v>0</v>
      </c>
      <c r="X259" s="531" t="str">
        <f>IFERROR(
 IF($F259="Total",
   SUMPRODUCT(
   INDEX(X:X, ROW()-COUNTIF($F$6:INDEX($F:$F, ROW()-1), $F258)) : INDEX(X:X, ROW()-1),
   INDEX(AA:AA, ROW()-COUNTIF($F$6:INDEX($F:$F, ROW()-1), $F258)) : INDEX(AA:AA, ROW()-1)
   )
   /SUM(INDEX(AA:AA, ROW()-COUNTIF($F$6:INDEX($F:$F, ROW()-1), $F258)) : INDEX(AA:AA, ROW()-1)),
   AVERAGEIFS(
     INDEX((unit_details[Asking Rent],unit_details[Asking PSF]),0,1,IF($U$3="Chunk Rent",1,2)),
     unit_details[Leased Date],"&gt;="&amp;($AM$2-X$5),
     unit_details[Leased Date],"&lt;"&amp;$AM$2,
     unit_details[Beds],$L259,
     unit_details[Baths],$M259,
     unit_details[Partial Baths],IF(ISNUMBER($N259),$N259,""),
     unit_details[Sqft],$P259,
     unit_details[Property Name],$F259)
 ),"")</f>
        <v/>
      </c>
      <c r="Y259" s="552" t="str">
        <f>IFERROR(
 IF($F259="Total",
   SUMPRODUCT(
   INDEX(Y:Y, ROW()-COUNTIF($F$6:INDEX($F:$F, ROW()-1), $F258)) : INDEX(Y:Y, ROW()-1),
   INDEX(AA:AA, ROW()-COUNTIF($F$6:INDEX($F:$F, ROW()-1), $F258)) : INDEX(AA:AA, ROW()-1)
   )
   /SUM(INDEX(AA:AA, ROW()-COUNTIF($F$6:INDEX($F:$F, ROW()-1), $F258)) : INDEX(AA:AA, ROW()-1)),
   AVERAGEIFS(
     INDEX((unit_details[Effective Rent],unit_details[Effective PSF]),0,1,IF($U$3="Chunk Rent",1,2)),
     unit_details[Leased Date],"&gt;="&amp;($AM$2-X$5),
     unit_details[Leased Date],"&lt;"&amp;$AM$2,
     unit_details[Beds],$L259,
     unit_details[Baths],$M259,
     unit_details[Partial Baths],IF(ISNUMBER($N259),$N259,""),
     unit_details[Sqft],$P259,
     unit_details[Property Name],$F259)
 ),"")</f>
        <v/>
      </c>
      <c r="Z259" s="27" t="str">
        <f t="shared" si="44"/>
        <v/>
      </c>
      <c r="AA259" s="526">
        <f>IFERROR(
  IF($F259="Total",
    SUM(INDEX(AA:AA, ROW()-COUNTIF($F$6:INDEX($F:$F, ROW()-1), $F258)) : INDEX(AA:AA, ROW()-1)),
    COUNTIFS(
      unit_details[Leased Date], "&gt;="&amp;($AM$2-X$5),
      unit_details[Leased Date], "&lt;"&amp;$AM$2,
      unit_details[Beds], $L259,
      unit_details[Baths], $M259,
      unit_details[Partial Baths], IF(ISNUMBER($N259), $N259, ""),
      unit_details[Sqft],$P259,
      unit_details[Property Name], $F259
    )
  ),
"")</f>
        <v>0</v>
      </c>
      <c r="AB259" s="290">
        <f>IF($F259="Total",
SUM(INDEX(AB:AB, ROW()-COUNTIF($F$6:INDEX($F:$F, ROW()-1), $F258)) : INDEX(AB:AB, ROW()-1)),
COUNTIFS(unit_details[Active Listing?],TRUE,
          unit_details[Property Name], $F259,
          unit_details[Beds], $L259,
          unit_details[Baths], $M259,
          unit_details[Partial Baths],IF(ISNUMBER($N259),$N259,""),
          unit_details[Sqft],$P259))</f>
        <v>0</v>
      </c>
      <c r="AC259" s="27" t="str">
        <f t="shared" si="36"/>
        <v/>
      </c>
      <c r="AD259" s="293" t="str">
        <f>IFERROR(IF(AE259="","",IF($F259="Total",
SUMPRODUCT(
   INDEX(AD:AD, ROW()-COUNTIF($F$6:INDEX($F:$F, ROW()-1), $F258)) : INDEX(AD:AD, ROW()-1),
   INDEX(AB:AB, ROW()-COUNTIF($F$6:INDEX($F:$F, ROW()-1), $F258)) : INDEX(AB:AB, ROW()-1)
   )
   /SUM(INDEX(AB:AB, ROW()-COUNTIF($F$6:INDEX($F:$F, ROW()-1), $F258)) : INDEX(AB:AB, ROW()-1)),
          _xlfn.MINIFS(unit_details[Asking Rent],
          unit_details[Active Listing?],TRUE,
          unit_details[Property Name], $F259,
          unit_details[Beds], $L259,
          unit_details[Baths], $M259,
          unit_details[Partial Baths], IF(ISNUMBER($N259),$N259,""),
          unit_details[Sqft],$P259
))),"")</f>
        <v/>
      </c>
      <c r="AE259" s="5" t="str">
        <f>IFERROR(IF($F259="Total",
          SUMPRODUCT(
   INDEX(AE:AE, ROW()-COUNTIF($F$6:INDEX($F:$F, ROW()-1), $F258)) : INDEX(AE:AE, ROW()-1),
   INDEX(AB:AB, ROW()-COUNTIF($F$6:INDEX($F:$F, ROW()-1), $F258)) : INDEX(AB:AB, ROW()-1)
   )
   /SUM(INDEX(AB:AB, ROW()-COUNTIF($F$6:INDEX($F:$F, ROW()-1), $F258)) : INDEX(AB:AB, ROW()-1)),
          AVERAGEIFS(unit_details[Asking Rent],
          unit_details[Active Listing?],TRUE,
          unit_details[Property Name], $F259,
          unit_details[Beds], $L259,
          unit_details[Baths], $M259,
          unit_details[Partial Baths], IF(ISNUMBER($N259),$N259,""),
          unit_details[Sqft],$P259
)),"")</f>
        <v/>
      </c>
      <c r="AF259" s="5" t="str">
        <f>IFERROR(IF(AE259="","",IF($F259="Total",
SUMPRODUCT(
   INDEX(AF:AF, ROW()-COUNTIF($F$6:INDEX($F:$F, ROW()-1), $F258)) : INDEX(AF:AF, ROW()-1),
   INDEX(AB:AB, ROW()-COUNTIF($F$6:INDEX($F:$F, ROW()-1), $F258)) : INDEX(AB:AB, ROW()-1)
   )
   /SUM(INDEX(AB:AB, ROW()-COUNTIF($F$6:INDEX($F:$F, ROW()-1), $F258)) : INDEX(AB:AB, ROW()-1)),
           _xlfn.MAXIFS(unit_details[Asking Rent],
          unit_details[Active Listing?],TRUE,
          unit_details[Property Name], $F259,
          unit_details[Beds], $L259,
          unit_details[Baths], $M259,
          unit_details[Partial Baths], IF(ISNUMBER($N259),$N259,""),
          unit_details[Sqft],$P259
))),"")</f>
        <v/>
      </c>
      <c r="AG259" s="6" t="str">
        <f>IFERROR(IF($F259="Total",
         SUMPRODUCT(
         INDEX(AG:AG, ROW()-COUNTIF($F$6:INDEX($F:$F, ROW()-1), $F258)) : INDEX(AG:AG, ROW()-1),
         INDEX(AB:AB, ROW()-COUNTIF($F$6:INDEX($F:$F, ROW()-1), $F258)) : INDEX(AB:AB, ROW()-1)
         )
         /SUM(INDEX(AB:AB, ROW()-COUNTIF($F$6:INDEX($F:$F, ROW()-1), $F258)) : INDEX(AB:AB, ROW()-1)),
          AVERAGEIFS(unit_details[Asking PSF],
          unit_details[Active Listing?],TRUE,
          unit_details[Property Name], $F259,
          unit_details[Beds], $L259,
          unit_details[Baths], $M259,
          unit_details[Partial Baths], IF(ISNUMBER($N259),$N259,""),
          unit_details[Sqft],$P259
)),"")</f>
        <v/>
      </c>
      <c r="AH259" s="293" t="str">
        <f>IFERROR(IF($F259="Total",
         SUMPRODUCT(
         INDEX(AH:AH, ROW()-COUNTIF($F$6:INDEX($F:$F, ROW()-1), $F258)) : INDEX(AH:AH, ROW()-1),
         INDEX(AB:AB, ROW()-COUNTIF($F$6:INDEX($F:$F, ROW()-1), $F258)) : INDEX(AB:AB, ROW()-1)
         )
         /SUM(INDEX(AB:AB, ROW()-COUNTIF($F$6:INDEX($F:$F, ROW()-1), $F258)) : INDEX(AB:AB, ROW()-1)),
          AVERAGEIFS(unit_details[Effective Rent],
          unit_details[Active Listing?],TRUE,
          unit_details[Property Name], $F259,
          unit_details[Beds], $L259,
          unit_details[Baths], $M259,
          unit_details[Partial Baths], IF(ISNUMBER($N259),$N259,""),
          unit_details[Sqft],$P259
)),"")</f>
        <v/>
      </c>
      <c r="AI259" s="6" t="str">
        <f>IFERROR(IF($F259="Total",
         SUMPRODUCT(
         INDEX(AI:AI, ROW()-COUNTIF($F$6:INDEX($F:$F, ROW()-1), $F258)) : INDEX(AI:AI, ROW()-1),
         INDEX(AB:AB, ROW()-COUNTIF($F$6:INDEX($F:$F, ROW()-1), $F258)) : INDEX(AB:AB, ROW()-1)
         )
         /SUM(INDEX(AB:AB, ROW()-COUNTIF($F$6:INDEX($F:$F, ROW()-1), $F258)) : INDEX(AB:AB, ROW()-1)),
           AVERAGEIFS(unit_details[Effective PSF],
          unit_details[Active Listing?],TRUE,
          unit_details[Property Name], $F259,
          unit_details[Beds], $L259,
          unit_details[Baths], $M259,
          unit_details[Partial Baths], IF(ISNUMBER($N259),$N259,""),
          unit_details[Sqft],$P259
)),"")</f>
        <v/>
      </c>
      <c r="AJ259" s="824" t="str">
        <f t="shared" si="37"/>
        <v/>
      </c>
      <c r="AK259" s="531" t="str">
        <f t="shared" si="38"/>
        <v/>
      </c>
      <c r="AL259" s="714" t="str">
        <f t="shared" si="39"/>
        <v/>
      </c>
      <c r="AM259" s="531" t="str">
        <f t="shared" si="40"/>
        <v/>
      </c>
      <c r="AN259" s="716" t="str">
        <f t="shared" si="41"/>
        <v/>
      </c>
    </row>
    <row r="260" spans="6:40" x14ac:dyDescent="0.2">
      <c r="F260" s="1" t="str">
        <f t="shared" si="34"/>
        <v/>
      </c>
      <c r="G260" s="713" t="str">
        <f t="shared" si="42"/>
        <v/>
      </c>
      <c r="H260" s="17" t="str">
        <f>IFERROR(VLOOKUP($G260,Table1[[Property]:[Exposure %]],4,0),"")</f>
        <v/>
      </c>
      <c r="I260" s="3" t="str">
        <f>IFERROR(VLOOKUP($G260,Table1[[Property]:[Exposure %]],6,0),"")</f>
        <v/>
      </c>
      <c r="J260" s="3" t="str">
        <f>IFERROR(VLOOKUP($G260,Table1[[Property]:[Exposure %]],7,0),"")</f>
        <v/>
      </c>
      <c r="K260"/>
      <c r="L260"/>
      <c r="M260"/>
      <c r="N260"/>
      <c r="O260"/>
      <c r="P260"/>
      <c r="Q260"/>
      <c r="R260" s="4" t="str">
        <f>IFERROR(VLOOKUP(IF(F260="Total",F259,F260),Table1[[Property]:['# Units]],7,0)*S260,"")</f>
        <v/>
      </c>
      <c r="S260" s="27" t="str">
        <f t="shared" si="35"/>
        <v/>
      </c>
      <c r="T260" s="531" t="str">
        <f>IFERROR(
 IF($F260="Total",
   SUMPRODUCT(
   INDEX(T:T, ROW()-COUNTIF($F$6:INDEX($F:$F, ROW()-1), $F259)) : INDEX(T:T, ROW()-1),
   INDEX(W:W, ROW()-COUNTIF($F$6:INDEX($F:$F, ROW()-1), $F259)) : INDEX(W:W, ROW()-1)
   )
   /SUM(INDEX(W:W, ROW()-COUNTIF($F$6:INDEX($F:$F, ROW()-1), $F259)) : INDEX(W:W, ROW()-1)),
   AVERAGEIFS(
     INDEX((unit_details[Asking Rent],unit_details[Asking PSF]),0,1,IF($U$3="Chunk Rent",1,2)),
     unit_details[Leased Date],"&gt;="&amp;($AM$2-T$5),
     unit_details[Leased Date],"&lt;"&amp;$AM$2,
     unit_details[Beds],$L260,
     unit_details[Baths],$M260,
     unit_details[Partial Baths],IF(ISNUMBER($N260),$N260,""),
     unit_details[Sqft],$P260,
     unit_details[Property Name],$F260)
 ),"")</f>
        <v/>
      </c>
      <c r="U260" s="552" t="str">
        <f>IFERROR(
 IF($F260="Total",
   SUMPRODUCT(
   INDEX(U:U, ROW()-COUNTIF($F$6:INDEX($F:$F, ROW()-1), $F259)) : INDEX(U:U, ROW()-1),
   INDEX(W:W, ROW()-COUNTIF($F$6:INDEX($F:$F, ROW()-1), $F259)) : INDEX(W:W, ROW()-1)
   )
   /SUM(INDEX(W:W, ROW()-COUNTIF($F$6:INDEX($F:$F, ROW()-1), $F259)) : INDEX(W:W, ROW()-1)),
   AVERAGEIFS(
     INDEX((unit_details[Effective Rent],unit_details[Effective PSF]),0,1,IF($U$3="Chunk Rent",1,2)),
     unit_details[Leased Date],"&gt;="&amp;($AM$2-T$5),
     unit_details[Leased Date],"&lt;"&amp;$AM$2,
     unit_details[Beds],$L260,
     unit_details[Baths],$M260,
     unit_details[Partial Baths],IF(ISNUMBER($N260),$N260,""),
     unit_details[Sqft],$P260,
     unit_details[Property Name],$F260)
 ),"")</f>
        <v/>
      </c>
      <c r="V260" s="27" t="str">
        <f t="shared" si="43"/>
        <v/>
      </c>
      <c r="W260" s="526">
        <f>IFERROR(
  IF($F260="Total",
    SUM(INDEX(W:W, ROW()-COUNTIF($F$6:INDEX($F:$F, ROW()-1), $F259)) : INDEX(W:W, ROW()-1)),
    COUNTIFS(
      unit_details[Leased Date], "&gt;="&amp;($AM$2-T$5),
      unit_details[Leased Date], "&lt;"&amp;$AM$2,
      unit_details[Beds], $L260,
      unit_details[Baths], $M260,
      unit_details[Partial Baths], IF(ISNUMBER($N260), $N260, ""),
      unit_details[Sqft],$P260,
      unit_details[Property Name], $F260
    )
  ),
"")</f>
        <v>0</v>
      </c>
      <c r="X260" s="531" t="str">
        <f>IFERROR(
 IF($F260="Total",
   SUMPRODUCT(
   INDEX(X:X, ROW()-COUNTIF($F$6:INDEX($F:$F, ROW()-1), $F259)) : INDEX(X:X, ROW()-1),
   INDEX(AA:AA, ROW()-COUNTIF($F$6:INDEX($F:$F, ROW()-1), $F259)) : INDEX(AA:AA, ROW()-1)
   )
   /SUM(INDEX(AA:AA, ROW()-COUNTIF($F$6:INDEX($F:$F, ROW()-1), $F259)) : INDEX(AA:AA, ROW()-1)),
   AVERAGEIFS(
     INDEX((unit_details[Asking Rent],unit_details[Asking PSF]),0,1,IF($U$3="Chunk Rent",1,2)),
     unit_details[Leased Date],"&gt;="&amp;($AM$2-X$5),
     unit_details[Leased Date],"&lt;"&amp;$AM$2,
     unit_details[Beds],$L260,
     unit_details[Baths],$M260,
     unit_details[Partial Baths],IF(ISNUMBER($N260),$N260,""),
     unit_details[Sqft],$P260,
     unit_details[Property Name],$F260)
 ),"")</f>
        <v/>
      </c>
      <c r="Y260" s="552" t="str">
        <f>IFERROR(
 IF($F260="Total",
   SUMPRODUCT(
   INDEX(Y:Y, ROW()-COUNTIF($F$6:INDEX($F:$F, ROW()-1), $F259)) : INDEX(Y:Y, ROW()-1),
   INDEX(AA:AA, ROW()-COUNTIF($F$6:INDEX($F:$F, ROW()-1), $F259)) : INDEX(AA:AA, ROW()-1)
   )
   /SUM(INDEX(AA:AA, ROW()-COUNTIF($F$6:INDEX($F:$F, ROW()-1), $F259)) : INDEX(AA:AA, ROW()-1)),
   AVERAGEIFS(
     INDEX((unit_details[Effective Rent],unit_details[Effective PSF]),0,1,IF($U$3="Chunk Rent",1,2)),
     unit_details[Leased Date],"&gt;="&amp;($AM$2-X$5),
     unit_details[Leased Date],"&lt;"&amp;$AM$2,
     unit_details[Beds],$L260,
     unit_details[Baths],$M260,
     unit_details[Partial Baths],IF(ISNUMBER($N260),$N260,""),
     unit_details[Sqft],$P260,
     unit_details[Property Name],$F260)
 ),"")</f>
        <v/>
      </c>
      <c r="Z260" s="27" t="str">
        <f t="shared" si="44"/>
        <v/>
      </c>
      <c r="AA260" s="526">
        <f>IFERROR(
  IF($F260="Total",
    SUM(INDEX(AA:AA, ROW()-COUNTIF($F$6:INDEX($F:$F, ROW()-1), $F259)) : INDEX(AA:AA, ROW()-1)),
    COUNTIFS(
      unit_details[Leased Date], "&gt;="&amp;($AM$2-X$5),
      unit_details[Leased Date], "&lt;"&amp;$AM$2,
      unit_details[Beds], $L260,
      unit_details[Baths], $M260,
      unit_details[Partial Baths], IF(ISNUMBER($N260), $N260, ""),
      unit_details[Sqft],$P260,
      unit_details[Property Name], $F260
    )
  ),
"")</f>
        <v>0</v>
      </c>
      <c r="AB260" s="290">
        <f>IF($F260="Total",
SUM(INDEX(AB:AB, ROW()-COUNTIF($F$6:INDEX($F:$F, ROW()-1), $F259)) : INDEX(AB:AB, ROW()-1)),
COUNTIFS(unit_details[Active Listing?],TRUE,
          unit_details[Property Name], $F260,
          unit_details[Beds], $L260,
          unit_details[Baths], $M260,
          unit_details[Partial Baths],IF(ISNUMBER($N260),$N260,""),
          unit_details[Sqft],$P260))</f>
        <v>0</v>
      </c>
      <c r="AC260" s="27" t="str">
        <f t="shared" si="36"/>
        <v/>
      </c>
      <c r="AD260" s="293" t="str">
        <f>IFERROR(IF(AE260="","",IF($F260="Total",
SUMPRODUCT(
   INDEX(AD:AD, ROW()-COUNTIF($F$6:INDEX($F:$F, ROW()-1), $F259)) : INDEX(AD:AD, ROW()-1),
   INDEX(AB:AB, ROW()-COUNTIF($F$6:INDEX($F:$F, ROW()-1), $F259)) : INDEX(AB:AB, ROW()-1)
   )
   /SUM(INDEX(AB:AB, ROW()-COUNTIF($F$6:INDEX($F:$F, ROW()-1), $F259)) : INDEX(AB:AB, ROW()-1)),
          _xlfn.MINIFS(unit_details[Asking Rent],
          unit_details[Active Listing?],TRUE,
          unit_details[Property Name], $F260,
          unit_details[Beds], $L260,
          unit_details[Baths], $M260,
          unit_details[Partial Baths], IF(ISNUMBER($N260),$N260,""),
          unit_details[Sqft],$P260
))),"")</f>
        <v/>
      </c>
      <c r="AE260" s="5" t="str">
        <f>IFERROR(IF($F260="Total",
          SUMPRODUCT(
   INDEX(AE:AE, ROW()-COUNTIF($F$6:INDEX($F:$F, ROW()-1), $F259)) : INDEX(AE:AE, ROW()-1),
   INDEX(AB:AB, ROW()-COUNTIF($F$6:INDEX($F:$F, ROW()-1), $F259)) : INDEX(AB:AB, ROW()-1)
   )
   /SUM(INDEX(AB:AB, ROW()-COUNTIF($F$6:INDEX($F:$F, ROW()-1), $F259)) : INDEX(AB:AB, ROW()-1)),
          AVERAGEIFS(unit_details[Asking Rent],
          unit_details[Active Listing?],TRUE,
          unit_details[Property Name], $F260,
          unit_details[Beds], $L260,
          unit_details[Baths], $M260,
          unit_details[Partial Baths], IF(ISNUMBER($N260),$N260,""),
          unit_details[Sqft],$P260
)),"")</f>
        <v/>
      </c>
      <c r="AF260" s="5" t="str">
        <f>IFERROR(IF(AE260="","",IF($F260="Total",
SUMPRODUCT(
   INDEX(AF:AF, ROW()-COUNTIF($F$6:INDEX($F:$F, ROW()-1), $F259)) : INDEX(AF:AF, ROW()-1),
   INDEX(AB:AB, ROW()-COUNTIF($F$6:INDEX($F:$F, ROW()-1), $F259)) : INDEX(AB:AB, ROW()-1)
   )
   /SUM(INDEX(AB:AB, ROW()-COUNTIF($F$6:INDEX($F:$F, ROW()-1), $F259)) : INDEX(AB:AB, ROW()-1)),
           _xlfn.MAXIFS(unit_details[Asking Rent],
          unit_details[Active Listing?],TRUE,
          unit_details[Property Name], $F260,
          unit_details[Beds], $L260,
          unit_details[Baths], $M260,
          unit_details[Partial Baths], IF(ISNUMBER($N260),$N260,""),
          unit_details[Sqft],$P260
))),"")</f>
        <v/>
      </c>
      <c r="AG260" s="6" t="str">
        <f>IFERROR(IF($F260="Total",
         SUMPRODUCT(
         INDEX(AG:AG, ROW()-COUNTIF($F$6:INDEX($F:$F, ROW()-1), $F259)) : INDEX(AG:AG, ROW()-1),
         INDEX(AB:AB, ROW()-COUNTIF($F$6:INDEX($F:$F, ROW()-1), $F259)) : INDEX(AB:AB, ROW()-1)
         )
         /SUM(INDEX(AB:AB, ROW()-COUNTIF($F$6:INDEX($F:$F, ROW()-1), $F259)) : INDEX(AB:AB, ROW()-1)),
          AVERAGEIFS(unit_details[Asking PSF],
          unit_details[Active Listing?],TRUE,
          unit_details[Property Name], $F260,
          unit_details[Beds], $L260,
          unit_details[Baths], $M260,
          unit_details[Partial Baths], IF(ISNUMBER($N260),$N260,""),
          unit_details[Sqft],$P260
)),"")</f>
        <v/>
      </c>
      <c r="AH260" s="293" t="str">
        <f>IFERROR(IF($F260="Total",
         SUMPRODUCT(
         INDEX(AH:AH, ROW()-COUNTIF($F$6:INDEX($F:$F, ROW()-1), $F259)) : INDEX(AH:AH, ROW()-1),
         INDEX(AB:AB, ROW()-COUNTIF($F$6:INDEX($F:$F, ROW()-1), $F259)) : INDEX(AB:AB, ROW()-1)
         )
         /SUM(INDEX(AB:AB, ROW()-COUNTIF($F$6:INDEX($F:$F, ROW()-1), $F259)) : INDEX(AB:AB, ROW()-1)),
          AVERAGEIFS(unit_details[Effective Rent],
          unit_details[Active Listing?],TRUE,
          unit_details[Property Name], $F260,
          unit_details[Beds], $L260,
          unit_details[Baths], $M260,
          unit_details[Partial Baths], IF(ISNUMBER($N260),$N260,""),
          unit_details[Sqft],$P260
)),"")</f>
        <v/>
      </c>
      <c r="AI260" s="6" t="str">
        <f>IFERROR(IF($F260="Total",
         SUMPRODUCT(
         INDEX(AI:AI, ROW()-COUNTIF($F$6:INDEX($F:$F, ROW()-1), $F259)) : INDEX(AI:AI, ROW()-1),
         INDEX(AB:AB, ROW()-COUNTIF($F$6:INDEX($F:$F, ROW()-1), $F259)) : INDEX(AB:AB, ROW()-1)
         )
         /SUM(INDEX(AB:AB, ROW()-COUNTIF($F$6:INDEX($F:$F, ROW()-1), $F259)) : INDEX(AB:AB, ROW()-1)),
           AVERAGEIFS(unit_details[Effective PSF],
          unit_details[Active Listing?],TRUE,
          unit_details[Property Name], $F260,
          unit_details[Beds], $L260,
          unit_details[Baths], $M260,
          unit_details[Partial Baths], IF(ISNUMBER($N260),$N260,""),
          unit_details[Sqft],$P260
)),"")</f>
        <v/>
      </c>
      <c r="AJ260" s="824" t="str">
        <f t="shared" si="37"/>
        <v/>
      </c>
      <c r="AK260" s="531" t="str">
        <f t="shared" si="38"/>
        <v/>
      </c>
      <c r="AL260" s="714" t="str">
        <f t="shared" si="39"/>
        <v/>
      </c>
      <c r="AM260" s="531" t="str">
        <f t="shared" si="40"/>
        <v/>
      </c>
      <c r="AN260" s="716" t="str">
        <f t="shared" si="41"/>
        <v/>
      </c>
    </row>
    <row r="261" spans="6:40" x14ac:dyDescent="0.2">
      <c r="F261" s="1" t="str">
        <f t="shared" si="34"/>
        <v/>
      </c>
      <c r="G261" s="713" t="str">
        <f t="shared" si="42"/>
        <v/>
      </c>
      <c r="H261" s="17" t="str">
        <f>IFERROR(VLOOKUP($G261,Table1[[Property]:[Exposure %]],4,0),"")</f>
        <v/>
      </c>
      <c r="I261" s="3" t="str">
        <f>IFERROR(VLOOKUP($G261,Table1[[Property]:[Exposure %]],6,0),"")</f>
        <v/>
      </c>
      <c r="J261" s="3" t="str">
        <f>IFERROR(VLOOKUP($G261,Table1[[Property]:[Exposure %]],7,0),"")</f>
        <v/>
      </c>
      <c r="K261"/>
      <c r="L261"/>
      <c r="M261"/>
      <c r="N261"/>
      <c r="O261"/>
      <c r="P261"/>
      <c r="Q261"/>
      <c r="R261" s="4" t="str">
        <f>IFERROR(VLOOKUP(IF(F261="Total",F260,F261),Table1[[Property]:['# Units]],7,0)*S261,"")</f>
        <v/>
      </c>
      <c r="S261" s="27" t="str">
        <f t="shared" si="35"/>
        <v/>
      </c>
      <c r="T261" s="531" t="str">
        <f>IFERROR(
 IF($F261="Total",
   SUMPRODUCT(
   INDEX(T:T, ROW()-COUNTIF($F$6:INDEX($F:$F, ROW()-1), $F260)) : INDEX(T:T, ROW()-1),
   INDEX(W:W, ROW()-COUNTIF($F$6:INDEX($F:$F, ROW()-1), $F260)) : INDEX(W:W, ROW()-1)
   )
   /SUM(INDEX(W:W, ROW()-COUNTIF($F$6:INDEX($F:$F, ROW()-1), $F260)) : INDEX(W:W, ROW()-1)),
   AVERAGEIFS(
     INDEX((unit_details[Asking Rent],unit_details[Asking PSF]),0,1,IF($U$3="Chunk Rent",1,2)),
     unit_details[Leased Date],"&gt;="&amp;($AM$2-T$5),
     unit_details[Leased Date],"&lt;"&amp;$AM$2,
     unit_details[Beds],$L261,
     unit_details[Baths],$M261,
     unit_details[Partial Baths],IF(ISNUMBER($N261),$N261,""),
     unit_details[Sqft],$P261,
     unit_details[Property Name],$F261)
 ),"")</f>
        <v/>
      </c>
      <c r="U261" s="552" t="str">
        <f>IFERROR(
 IF($F261="Total",
   SUMPRODUCT(
   INDEX(U:U, ROW()-COUNTIF($F$6:INDEX($F:$F, ROW()-1), $F260)) : INDEX(U:U, ROW()-1),
   INDEX(W:W, ROW()-COUNTIF($F$6:INDEX($F:$F, ROW()-1), $F260)) : INDEX(W:W, ROW()-1)
   )
   /SUM(INDEX(W:W, ROW()-COUNTIF($F$6:INDEX($F:$F, ROW()-1), $F260)) : INDEX(W:W, ROW()-1)),
   AVERAGEIFS(
     INDEX((unit_details[Effective Rent],unit_details[Effective PSF]),0,1,IF($U$3="Chunk Rent",1,2)),
     unit_details[Leased Date],"&gt;="&amp;($AM$2-T$5),
     unit_details[Leased Date],"&lt;"&amp;$AM$2,
     unit_details[Beds],$L261,
     unit_details[Baths],$M261,
     unit_details[Partial Baths],IF(ISNUMBER($N261),$N261,""),
     unit_details[Sqft],$P261,
     unit_details[Property Name],$F261)
 ),"")</f>
        <v/>
      </c>
      <c r="V261" s="27" t="str">
        <f t="shared" si="43"/>
        <v/>
      </c>
      <c r="W261" s="526">
        <f>IFERROR(
  IF($F261="Total",
    SUM(INDEX(W:W, ROW()-COUNTIF($F$6:INDEX($F:$F, ROW()-1), $F260)) : INDEX(W:W, ROW()-1)),
    COUNTIFS(
      unit_details[Leased Date], "&gt;="&amp;($AM$2-T$5),
      unit_details[Leased Date], "&lt;"&amp;$AM$2,
      unit_details[Beds], $L261,
      unit_details[Baths], $M261,
      unit_details[Partial Baths], IF(ISNUMBER($N261), $N261, ""),
      unit_details[Sqft],$P261,
      unit_details[Property Name], $F261
    )
  ),
"")</f>
        <v>0</v>
      </c>
      <c r="X261" s="531" t="str">
        <f>IFERROR(
 IF($F261="Total",
   SUMPRODUCT(
   INDEX(X:X, ROW()-COUNTIF($F$6:INDEX($F:$F, ROW()-1), $F260)) : INDEX(X:X, ROW()-1),
   INDEX(AA:AA, ROW()-COUNTIF($F$6:INDEX($F:$F, ROW()-1), $F260)) : INDEX(AA:AA, ROW()-1)
   )
   /SUM(INDEX(AA:AA, ROW()-COUNTIF($F$6:INDEX($F:$F, ROW()-1), $F260)) : INDEX(AA:AA, ROW()-1)),
   AVERAGEIFS(
     INDEX((unit_details[Asking Rent],unit_details[Asking PSF]),0,1,IF($U$3="Chunk Rent",1,2)),
     unit_details[Leased Date],"&gt;="&amp;($AM$2-X$5),
     unit_details[Leased Date],"&lt;"&amp;$AM$2,
     unit_details[Beds],$L261,
     unit_details[Baths],$M261,
     unit_details[Partial Baths],IF(ISNUMBER($N261),$N261,""),
     unit_details[Sqft],$P261,
     unit_details[Property Name],$F261)
 ),"")</f>
        <v/>
      </c>
      <c r="Y261" s="552" t="str">
        <f>IFERROR(
 IF($F261="Total",
   SUMPRODUCT(
   INDEX(Y:Y, ROW()-COUNTIF($F$6:INDEX($F:$F, ROW()-1), $F260)) : INDEX(Y:Y, ROW()-1),
   INDEX(AA:AA, ROW()-COUNTIF($F$6:INDEX($F:$F, ROW()-1), $F260)) : INDEX(AA:AA, ROW()-1)
   )
   /SUM(INDEX(AA:AA, ROW()-COUNTIF($F$6:INDEX($F:$F, ROW()-1), $F260)) : INDEX(AA:AA, ROW()-1)),
   AVERAGEIFS(
     INDEX((unit_details[Effective Rent],unit_details[Effective PSF]),0,1,IF($U$3="Chunk Rent",1,2)),
     unit_details[Leased Date],"&gt;="&amp;($AM$2-X$5),
     unit_details[Leased Date],"&lt;"&amp;$AM$2,
     unit_details[Beds],$L261,
     unit_details[Baths],$M261,
     unit_details[Partial Baths],IF(ISNUMBER($N261),$N261,""),
     unit_details[Sqft],$P261,
     unit_details[Property Name],$F261)
 ),"")</f>
        <v/>
      </c>
      <c r="Z261" s="27" t="str">
        <f t="shared" si="44"/>
        <v/>
      </c>
      <c r="AA261" s="526">
        <f>IFERROR(
  IF($F261="Total",
    SUM(INDEX(AA:AA, ROW()-COUNTIF($F$6:INDEX($F:$F, ROW()-1), $F260)) : INDEX(AA:AA, ROW()-1)),
    COUNTIFS(
      unit_details[Leased Date], "&gt;="&amp;($AM$2-X$5),
      unit_details[Leased Date], "&lt;"&amp;$AM$2,
      unit_details[Beds], $L261,
      unit_details[Baths], $M261,
      unit_details[Partial Baths], IF(ISNUMBER($N261), $N261, ""),
      unit_details[Sqft],$P261,
      unit_details[Property Name], $F261
    )
  ),
"")</f>
        <v>0</v>
      </c>
      <c r="AB261" s="290">
        <f>IF($F261="Total",
SUM(INDEX(AB:AB, ROW()-COUNTIF($F$6:INDEX($F:$F, ROW()-1), $F260)) : INDEX(AB:AB, ROW()-1)),
COUNTIFS(unit_details[Active Listing?],TRUE,
          unit_details[Property Name], $F261,
          unit_details[Beds], $L261,
          unit_details[Baths], $M261,
          unit_details[Partial Baths],IF(ISNUMBER($N261),$N261,""),
          unit_details[Sqft],$P261))</f>
        <v>0</v>
      </c>
      <c r="AC261" s="27" t="str">
        <f t="shared" si="36"/>
        <v/>
      </c>
      <c r="AD261" s="293" t="str">
        <f>IFERROR(IF(AE261="","",IF($F261="Total",
SUMPRODUCT(
   INDEX(AD:AD, ROW()-COUNTIF($F$6:INDEX($F:$F, ROW()-1), $F260)) : INDEX(AD:AD, ROW()-1),
   INDEX(AB:AB, ROW()-COUNTIF($F$6:INDEX($F:$F, ROW()-1), $F260)) : INDEX(AB:AB, ROW()-1)
   )
   /SUM(INDEX(AB:AB, ROW()-COUNTIF($F$6:INDEX($F:$F, ROW()-1), $F260)) : INDEX(AB:AB, ROW()-1)),
          _xlfn.MINIFS(unit_details[Asking Rent],
          unit_details[Active Listing?],TRUE,
          unit_details[Property Name], $F261,
          unit_details[Beds], $L261,
          unit_details[Baths], $M261,
          unit_details[Partial Baths], IF(ISNUMBER($N261),$N261,""),
          unit_details[Sqft],$P261
))),"")</f>
        <v/>
      </c>
      <c r="AE261" s="5" t="str">
        <f>IFERROR(IF($F261="Total",
          SUMPRODUCT(
   INDEX(AE:AE, ROW()-COUNTIF($F$6:INDEX($F:$F, ROW()-1), $F260)) : INDEX(AE:AE, ROW()-1),
   INDEX(AB:AB, ROW()-COUNTIF($F$6:INDEX($F:$F, ROW()-1), $F260)) : INDEX(AB:AB, ROW()-1)
   )
   /SUM(INDEX(AB:AB, ROW()-COUNTIF($F$6:INDEX($F:$F, ROW()-1), $F260)) : INDEX(AB:AB, ROW()-1)),
          AVERAGEIFS(unit_details[Asking Rent],
          unit_details[Active Listing?],TRUE,
          unit_details[Property Name], $F261,
          unit_details[Beds], $L261,
          unit_details[Baths], $M261,
          unit_details[Partial Baths], IF(ISNUMBER($N261),$N261,""),
          unit_details[Sqft],$P261
)),"")</f>
        <v/>
      </c>
      <c r="AF261" s="5" t="str">
        <f>IFERROR(IF(AE261="","",IF($F261="Total",
SUMPRODUCT(
   INDEX(AF:AF, ROW()-COUNTIF($F$6:INDEX($F:$F, ROW()-1), $F260)) : INDEX(AF:AF, ROW()-1),
   INDEX(AB:AB, ROW()-COUNTIF($F$6:INDEX($F:$F, ROW()-1), $F260)) : INDEX(AB:AB, ROW()-1)
   )
   /SUM(INDEX(AB:AB, ROW()-COUNTIF($F$6:INDEX($F:$F, ROW()-1), $F260)) : INDEX(AB:AB, ROW()-1)),
           _xlfn.MAXIFS(unit_details[Asking Rent],
          unit_details[Active Listing?],TRUE,
          unit_details[Property Name], $F261,
          unit_details[Beds], $L261,
          unit_details[Baths], $M261,
          unit_details[Partial Baths], IF(ISNUMBER($N261),$N261,""),
          unit_details[Sqft],$P261
))),"")</f>
        <v/>
      </c>
      <c r="AG261" s="6" t="str">
        <f>IFERROR(IF($F261="Total",
         SUMPRODUCT(
         INDEX(AG:AG, ROW()-COUNTIF($F$6:INDEX($F:$F, ROW()-1), $F260)) : INDEX(AG:AG, ROW()-1),
         INDEX(AB:AB, ROW()-COUNTIF($F$6:INDEX($F:$F, ROW()-1), $F260)) : INDEX(AB:AB, ROW()-1)
         )
         /SUM(INDEX(AB:AB, ROW()-COUNTIF($F$6:INDEX($F:$F, ROW()-1), $F260)) : INDEX(AB:AB, ROW()-1)),
          AVERAGEIFS(unit_details[Asking PSF],
          unit_details[Active Listing?],TRUE,
          unit_details[Property Name], $F261,
          unit_details[Beds], $L261,
          unit_details[Baths], $M261,
          unit_details[Partial Baths], IF(ISNUMBER($N261),$N261,""),
          unit_details[Sqft],$P261
)),"")</f>
        <v/>
      </c>
      <c r="AH261" s="293" t="str">
        <f>IFERROR(IF($F261="Total",
         SUMPRODUCT(
         INDEX(AH:AH, ROW()-COUNTIF($F$6:INDEX($F:$F, ROW()-1), $F260)) : INDEX(AH:AH, ROW()-1),
         INDEX(AB:AB, ROW()-COUNTIF($F$6:INDEX($F:$F, ROW()-1), $F260)) : INDEX(AB:AB, ROW()-1)
         )
         /SUM(INDEX(AB:AB, ROW()-COUNTIF($F$6:INDEX($F:$F, ROW()-1), $F260)) : INDEX(AB:AB, ROW()-1)),
          AVERAGEIFS(unit_details[Effective Rent],
          unit_details[Active Listing?],TRUE,
          unit_details[Property Name], $F261,
          unit_details[Beds], $L261,
          unit_details[Baths], $M261,
          unit_details[Partial Baths], IF(ISNUMBER($N261),$N261,""),
          unit_details[Sqft],$P261
)),"")</f>
        <v/>
      </c>
      <c r="AI261" s="6" t="str">
        <f>IFERROR(IF($F261="Total",
         SUMPRODUCT(
         INDEX(AI:AI, ROW()-COUNTIF($F$6:INDEX($F:$F, ROW()-1), $F260)) : INDEX(AI:AI, ROW()-1),
         INDEX(AB:AB, ROW()-COUNTIF($F$6:INDEX($F:$F, ROW()-1), $F260)) : INDEX(AB:AB, ROW()-1)
         )
         /SUM(INDEX(AB:AB, ROW()-COUNTIF($F$6:INDEX($F:$F, ROW()-1), $F260)) : INDEX(AB:AB, ROW()-1)),
           AVERAGEIFS(unit_details[Effective PSF],
          unit_details[Active Listing?],TRUE,
          unit_details[Property Name], $F261,
          unit_details[Beds], $L261,
          unit_details[Baths], $M261,
          unit_details[Partial Baths], IF(ISNUMBER($N261),$N261,""),
          unit_details[Sqft],$P261
)),"")</f>
        <v/>
      </c>
      <c r="AJ261" s="824" t="str">
        <f t="shared" si="37"/>
        <v/>
      </c>
      <c r="AK261" s="531" t="str">
        <f t="shared" si="38"/>
        <v/>
      </c>
      <c r="AL261" s="714" t="str">
        <f t="shared" si="39"/>
        <v/>
      </c>
      <c r="AM261" s="531" t="str">
        <f t="shared" si="40"/>
        <v/>
      </c>
      <c r="AN261" s="716" t="str">
        <f t="shared" si="41"/>
        <v/>
      </c>
    </row>
    <row r="262" spans="6:40" x14ac:dyDescent="0.2">
      <c r="F262" s="1" t="str">
        <f t="shared" si="34"/>
        <v/>
      </c>
      <c r="G262" s="713" t="str">
        <f t="shared" si="42"/>
        <v/>
      </c>
      <c r="H262" s="17" t="str">
        <f>IFERROR(VLOOKUP($G262,Table1[[Property]:[Exposure %]],4,0),"")</f>
        <v/>
      </c>
      <c r="I262" s="3" t="str">
        <f>IFERROR(VLOOKUP($G262,Table1[[Property]:[Exposure %]],6,0),"")</f>
        <v/>
      </c>
      <c r="J262" s="3" t="str">
        <f>IFERROR(VLOOKUP($G262,Table1[[Property]:[Exposure %]],7,0),"")</f>
        <v/>
      </c>
      <c r="K262"/>
      <c r="L262"/>
      <c r="M262"/>
      <c r="N262"/>
      <c r="O262"/>
      <c r="P262"/>
      <c r="Q262"/>
      <c r="R262" s="4" t="str">
        <f>IFERROR(VLOOKUP(IF(F262="Total",F261,F262),Table1[[Property]:['# Units]],7,0)*S262,"")</f>
        <v/>
      </c>
      <c r="S262" s="27" t="str">
        <f t="shared" si="35"/>
        <v/>
      </c>
      <c r="T262" s="531" t="str">
        <f>IFERROR(
 IF($F262="Total",
   SUMPRODUCT(
   INDEX(T:T, ROW()-COUNTIF($F$6:INDEX($F:$F, ROW()-1), $F261)) : INDEX(T:T, ROW()-1),
   INDEX(W:W, ROW()-COUNTIF($F$6:INDEX($F:$F, ROW()-1), $F261)) : INDEX(W:W, ROW()-1)
   )
   /SUM(INDEX(W:W, ROW()-COUNTIF($F$6:INDEX($F:$F, ROW()-1), $F261)) : INDEX(W:W, ROW()-1)),
   AVERAGEIFS(
     INDEX((unit_details[Asking Rent],unit_details[Asking PSF]),0,1,IF($U$3="Chunk Rent",1,2)),
     unit_details[Leased Date],"&gt;="&amp;($AM$2-T$5),
     unit_details[Leased Date],"&lt;"&amp;$AM$2,
     unit_details[Beds],$L262,
     unit_details[Baths],$M262,
     unit_details[Partial Baths],IF(ISNUMBER($N262),$N262,""),
     unit_details[Sqft],$P262,
     unit_details[Property Name],$F262)
 ),"")</f>
        <v/>
      </c>
      <c r="U262" s="552" t="str">
        <f>IFERROR(
 IF($F262="Total",
   SUMPRODUCT(
   INDEX(U:U, ROW()-COUNTIF($F$6:INDEX($F:$F, ROW()-1), $F261)) : INDEX(U:U, ROW()-1),
   INDEX(W:W, ROW()-COUNTIF($F$6:INDEX($F:$F, ROW()-1), $F261)) : INDEX(W:W, ROW()-1)
   )
   /SUM(INDEX(W:W, ROW()-COUNTIF($F$6:INDEX($F:$F, ROW()-1), $F261)) : INDEX(W:W, ROW()-1)),
   AVERAGEIFS(
     INDEX((unit_details[Effective Rent],unit_details[Effective PSF]),0,1,IF($U$3="Chunk Rent",1,2)),
     unit_details[Leased Date],"&gt;="&amp;($AM$2-T$5),
     unit_details[Leased Date],"&lt;"&amp;$AM$2,
     unit_details[Beds],$L262,
     unit_details[Baths],$M262,
     unit_details[Partial Baths],IF(ISNUMBER($N262),$N262,""),
     unit_details[Sqft],$P262,
     unit_details[Property Name],$F262)
 ),"")</f>
        <v/>
      </c>
      <c r="V262" s="27" t="str">
        <f t="shared" si="43"/>
        <v/>
      </c>
      <c r="W262" s="526">
        <f>IFERROR(
  IF($F262="Total",
    SUM(INDEX(W:W, ROW()-COUNTIF($F$6:INDEX($F:$F, ROW()-1), $F261)) : INDEX(W:W, ROW()-1)),
    COUNTIFS(
      unit_details[Leased Date], "&gt;="&amp;($AM$2-T$5),
      unit_details[Leased Date], "&lt;"&amp;$AM$2,
      unit_details[Beds], $L262,
      unit_details[Baths], $M262,
      unit_details[Partial Baths], IF(ISNUMBER($N262), $N262, ""),
      unit_details[Sqft],$P262,
      unit_details[Property Name], $F262
    )
  ),
"")</f>
        <v>0</v>
      </c>
      <c r="X262" s="531" t="str">
        <f>IFERROR(
 IF($F262="Total",
   SUMPRODUCT(
   INDEX(X:X, ROW()-COUNTIF($F$6:INDEX($F:$F, ROW()-1), $F261)) : INDEX(X:X, ROW()-1),
   INDEX(AA:AA, ROW()-COUNTIF($F$6:INDEX($F:$F, ROW()-1), $F261)) : INDEX(AA:AA, ROW()-1)
   )
   /SUM(INDEX(AA:AA, ROW()-COUNTIF($F$6:INDEX($F:$F, ROW()-1), $F261)) : INDEX(AA:AA, ROW()-1)),
   AVERAGEIFS(
     INDEX((unit_details[Asking Rent],unit_details[Asking PSF]),0,1,IF($U$3="Chunk Rent",1,2)),
     unit_details[Leased Date],"&gt;="&amp;($AM$2-X$5),
     unit_details[Leased Date],"&lt;"&amp;$AM$2,
     unit_details[Beds],$L262,
     unit_details[Baths],$M262,
     unit_details[Partial Baths],IF(ISNUMBER($N262),$N262,""),
     unit_details[Sqft],$P262,
     unit_details[Property Name],$F262)
 ),"")</f>
        <v/>
      </c>
      <c r="Y262" s="552" t="str">
        <f>IFERROR(
 IF($F262="Total",
   SUMPRODUCT(
   INDEX(Y:Y, ROW()-COUNTIF($F$6:INDEX($F:$F, ROW()-1), $F261)) : INDEX(Y:Y, ROW()-1),
   INDEX(AA:AA, ROW()-COUNTIF($F$6:INDEX($F:$F, ROW()-1), $F261)) : INDEX(AA:AA, ROW()-1)
   )
   /SUM(INDEX(AA:AA, ROW()-COUNTIF($F$6:INDEX($F:$F, ROW()-1), $F261)) : INDEX(AA:AA, ROW()-1)),
   AVERAGEIFS(
     INDEX((unit_details[Effective Rent],unit_details[Effective PSF]),0,1,IF($U$3="Chunk Rent",1,2)),
     unit_details[Leased Date],"&gt;="&amp;($AM$2-X$5),
     unit_details[Leased Date],"&lt;"&amp;$AM$2,
     unit_details[Beds],$L262,
     unit_details[Baths],$M262,
     unit_details[Partial Baths],IF(ISNUMBER($N262),$N262,""),
     unit_details[Sqft],$P262,
     unit_details[Property Name],$F262)
 ),"")</f>
        <v/>
      </c>
      <c r="Z262" s="27" t="str">
        <f t="shared" si="44"/>
        <v/>
      </c>
      <c r="AA262" s="526">
        <f>IFERROR(
  IF($F262="Total",
    SUM(INDEX(AA:AA, ROW()-COUNTIF($F$6:INDEX($F:$F, ROW()-1), $F261)) : INDEX(AA:AA, ROW()-1)),
    COUNTIFS(
      unit_details[Leased Date], "&gt;="&amp;($AM$2-X$5),
      unit_details[Leased Date], "&lt;"&amp;$AM$2,
      unit_details[Beds], $L262,
      unit_details[Baths], $M262,
      unit_details[Partial Baths], IF(ISNUMBER($N262), $N262, ""),
      unit_details[Sqft],$P262,
      unit_details[Property Name], $F262
    )
  ),
"")</f>
        <v>0</v>
      </c>
      <c r="AB262" s="290">
        <f>IF($F262="Total",
SUM(INDEX(AB:AB, ROW()-COUNTIF($F$6:INDEX($F:$F, ROW()-1), $F261)) : INDEX(AB:AB, ROW()-1)),
COUNTIFS(unit_details[Active Listing?],TRUE,
          unit_details[Property Name], $F262,
          unit_details[Beds], $L262,
          unit_details[Baths], $M262,
          unit_details[Partial Baths],IF(ISNUMBER($N262),$N262,""),
          unit_details[Sqft],$P262))</f>
        <v>0</v>
      </c>
      <c r="AC262" s="27" t="str">
        <f t="shared" si="36"/>
        <v/>
      </c>
      <c r="AD262" s="293" t="str">
        <f>IFERROR(IF(AE262="","",IF($F262="Total",
SUMPRODUCT(
   INDEX(AD:AD, ROW()-COUNTIF($F$6:INDEX($F:$F, ROW()-1), $F261)) : INDEX(AD:AD, ROW()-1),
   INDEX(AB:AB, ROW()-COUNTIF($F$6:INDEX($F:$F, ROW()-1), $F261)) : INDEX(AB:AB, ROW()-1)
   )
   /SUM(INDEX(AB:AB, ROW()-COUNTIF($F$6:INDEX($F:$F, ROW()-1), $F261)) : INDEX(AB:AB, ROW()-1)),
          _xlfn.MINIFS(unit_details[Asking Rent],
          unit_details[Active Listing?],TRUE,
          unit_details[Property Name], $F262,
          unit_details[Beds], $L262,
          unit_details[Baths], $M262,
          unit_details[Partial Baths], IF(ISNUMBER($N262),$N262,""),
          unit_details[Sqft],$P262
))),"")</f>
        <v/>
      </c>
      <c r="AE262" s="5" t="str">
        <f>IFERROR(IF($F262="Total",
          SUMPRODUCT(
   INDEX(AE:AE, ROW()-COUNTIF($F$6:INDEX($F:$F, ROW()-1), $F261)) : INDEX(AE:AE, ROW()-1),
   INDEX(AB:AB, ROW()-COUNTIF($F$6:INDEX($F:$F, ROW()-1), $F261)) : INDEX(AB:AB, ROW()-1)
   )
   /SUM(INDEX(AB:AB, ROW()-COUNTIF($F$6:INDEX($F:$F, ROW()-1), $F261)) : INDEX(AB:AB, ROW()-1)),
          AVERAGEIFS(unit_details[Asking Rent],
          unit_details[Active Listing?],TRUE,
          unit_details[Property Name], $F262,
          unit_details[Beds], $L262,
          unit_details[Baths], $M262,
          unit_details[Partial Baths], IF(ISNUMBER($N262),$N262,""),
          unit_details[Sqft],$P262
)),"")</f>
        <v/>
      </c>
      <c r="AF262" s="5" t="str">
        <f>IFERROR(IF(AE262="","",IF($F262="Total",
SUMPRODUCT(
   INDEX(AF:AF, ROW()-COUNTIF($F$6:INDEX($F:$F, ROW()-1), $F261)) : INDEX(AF:AF, ROW()-1),
   INDEX(AB:AB, ROW()-COUNTIF($F$6:INDEX($F:$F, ROW()-1), $F261)) : INDEX(AB:AB, ROW()-1)
   )
   /SUM(INDEX(AB:AB, ROW()-COUNTIF($F$6:INDEX($F:$F, ROW()-1), $F261)) : INDEX(AB:AB, ROW()-1)),
           _xlfn.MAXIFS(unit_details[Asking Rent],
          unit_details[Active Listing?],TRUE,
          unit_details[Property Name], $F262,
          unit_details[Beds], $L262,
          unit_details[Baths], $M262,
          unit_details[Partial Baths], IF(ISNUMBER($N262),$N262,""),
          unit_details[Sqft],$P262
))),"")</f>
        <v/>
      </c>
      <c r="AG262" s="6" t="str">
        <f>IFERROR(IF($F262="Total",
         SUMPRODUCT(
         INDEX(AG:AG, ROW()-COUNTIF($F$6:INDEX($F:$F, ROW()-1), $F261)) : INDEX(AG:AG, ROW()-1),
         INDEX(AB:AB, ROW()-COUNTIF($F$6:INDEX($F:$F, ROW()-1), $F261)) : INDEX(AB:AB, ROW()-1)
         )
         /SUM(INDEX(AB:AB, ROW()-COUNTIF($F$6:INDEX($F:$F, ROW()-1), $F261)) : INDEX(AB:AB, ROW()-1)),
          AVERAGEIFS(unit_details[Asking PSF],
          unit_details[Active Listing?],TRUE,
          unit_details[Property Name], $F262,
          unit_details[Beds], $L262,
          unit_details[Baths], $M262,
          unit_details[Partial Baths], IF(ISNUMBER($N262),$N262,""),
          unit_details[Sqft],$P262
)),"")</f>
        <v/>
      </c>
      <c r="AH262" s="293" t="str">
        <f>IFERROR(IF($F262="Total",
         SUMPRODUCT(
         INDEX(AH:AH, ROW()-COUNTIF($F$6:INDEX($F:$F, ROW()-1), $F261)) : INDEX(AH:AH, ROW()-1),
         INDEX(AB:AB, ROW()-COUNTIF($F$6:INDEX($F:$F, ROW()-1), $F261)) : INDEX(AB:AB, ROW()-1)
         )
         /SUM(INDEX(AB:AB, ROW()-COUNTIF($F$6:INDEX($F:$F, ROW()-1), $F261)) : INDEX(AB:AB, ROW()-1)),
          AVERAGEIFS(unit_details[Effective Rent],
          unit_details[Active Listing?],TRUE,
          unit_details[Property Name], $F262,
          unit_details[Beds], $L262,
          unit_details[Baths], $M262,
          unit_details[Partial Baths], IF(ISNUMBER($N262),$N262,""),
          unit_details[Sqft],$P262
)),"")</f>
        <v/>
      </c>
      <c r="AI262" s="6" t="str">
        <f>IFERROR(IF($F262="Total",
         SUMPRODUCT(
         INDEX(AI:AI, ROW()-COUNTIF($F$6:INDEX($F:$F, ROW()-1), $F261)) : INDEX(AI:AI, ROW()-1),
         INDEX(AB:AB, ROW()-COUNTIF($F$6:INDEX($F:$F, ROW()-1), $F261)) : INDEX(AB:AB, ROW()-1)
         )
         /SUM(INDEX(AB:AB, ROW()-COUNTIF($F$6:INDEX($F:$F, ROW()-1), $F261)) : INDEX(AB:AB, ROW()-1)),
           AVERAGEIFS(unit_details[Effective PSF],
          unit_details[Active Listing?],TRUE,
          unit_details[Property Name], $F262,
          unit_details[Beds], $L262,
          unit_details[Baths], $M262,
          unit_details[Partial Baths], IF(ISNUMBER($N262),$N262,""),
          unit_details[Sqft],$P262
)),"")</f>
        <v/>
      </c>
      <c r="AJ262" s="824" t="str">
        <f t="shared" si="37"/>
        <v/>
      </c>
      <c r="AK262" s="531" t="str">
        <f t="shared" si="38"/>
        <v/>
      </c>
      <c r="AL262" s="714" t="str">
        <f t="shared" si="39"/>
        <v/>
      </c>
      <c r="AM262" s="531" t="str">
        <f t="shared" si="40"/>
        <v/>
      </c>
      <c r="AN262" s="716" t="str">
        <f t="shared" si="41"/>
        <v/>
      </c>
    </row>
    <row r="263" spans="6:40" x14ac:dyDescent="0.2">
      <c r="F263" s="1" t="str">
        <f t="shared" ref="F263:F326" si="45">IF(RIGHT(K263,5)="Total","Total",IF(ISTEXT(K263),K263,IF(F262="Total","",F262)))</f>
        <v/>
      </c>
      <c r="G263" s="713" t="str">
        <f t="shared" si="42"/>
        <v/>
      </c>
      <c r="H263" s="17" t="str">
        <f>IFERROR(VLOOKUP($G263,Table1[[Property]:[Exposure %]],4,0),"")</f>
        <v/>
      </c>
      <c r="I263" s="3" t="str">
        <f>IFERROR(VLOOKUP($G263,Table1[[Property]:[Exposure %]],6,0),"")</f>
        <v/>
      </c>
      <c r="J263" s="3" t="str">
        <f>IFERROR(VLOOKUP($G263,Table1[[Property]:[Exposure %]],7,0),"")</f>
        <v/>
      </c>
      <c r="K263"/>
      <c r="L263"/>
      <c r="M263"/>
      <c r="N263"/>
      <c r="O263"/>
      <c r="P263"/>
      <c r="Q263"/>
      <c r="R263" s="4" t="str">
        <f>IFERROR(VLOOKUP(IF(F263="Total",F262,F263),Table1[[Property]:['# Units]],7,0)*S263,"")</f>
        <v/>
      </c>
      <c r="S263" s="27" t="str">
        <f t="shared" ref="S263:S326" si="46">IF(Q263=0,"",Q263)</f>
        <v/>
      </c>
      <c r="T263" s="531" t="str">
        <f>IFERROR(
 IF($F263="Total",
   SUMPRODUCT(
   INDEX(T:T, ROW()-COUNTIF($F$6:INDEX($F:$F, ROW()-1), $F262)) : INDEX(T:T, ROW()-1),
   INDEX(W:W, ROW()-COUNTIF($F$6:INDEX($F:$F, ROW()-1), $F262)) : INDEX(W:W, ROW()-1)
   )
   /SUM(INDEX(W:W, ROW()-COUNTIF($F$6:INDEX($F:$F, ROW()-1), $F262)) : INDEX(W:W, ROW()-1)),
   AVERAGEIFS(
     INDEX((unit_details[Asking Rent],unit_details[Asking PSF]),0,1,IF($U$3="Chunk Rent",1,2)),
     unit_details[Leased Date],"&gt;="&amp;($AM$2-T$5),
     unit_details[Leased Date],"&lt;"&amp;$AM$2,
     unit_details[Beds],$L263,
     unit_details[Baths],$M263,
     unit_details[Partial Baths],IF(ISNUMBER($N263),$N263,""),
     unit_details[Sqft],$P263,
     unit_details[Property Name],$F263)
 ),"")</f>
        <v/>
      </c>
      <c r="U263" s="552" t="str">
        <f>IFERROR(
 IF($F263="Total",
   SUMPRODUCT(
   INDEX(U:U, ROW()-COUNTIF($F$6:INDEX($F:$F, ROW()-1), $F262)) : INDEX(U:U, ROW()-1),
   INDEX(W:W, ROW()-COUNTIF($F$6:INDEX($F:$F, ROW()-1), $F262)) : INDEX(W:W, ROW()-1)
   )
   /SUM(INDEX(W:W, ROW()-COUNTIF($F$6:INDEX($F:$F, ROW()-1), $F262)) : INDEX(W:W, ROW()-1)),
   AVERAGEIFS(
     INDEX((unit_details[Effective Rent],unit_details[Effective PSF]),0,1,IF($U$3="Chunk Rent",1,2)),
     unit_details[Leased Date],"&gt;="&amp;($AM$2-T$5),
     unit_details[Leased Date],"&lt;"&amp;$AM$2,
     unit_details[Beds],$L263,
     unit_details[Baths],$M263,
     unit_details[Partial Baths],IF(ISNUMBER($N263),$N263,""),
     unit_details[Sqft],$P263,
     unit_details[Property Name],$F263)
 ),"")</f>
        <v/>
      </c>
      <c r="V263" s="27" t="str">
        <f t="shared" si="43"/>
        <v/>
      </c>
      <c r="W263" s="526">
        <f>IFERROR(
  IF($F263="Total",
    SUM(INDEX(W:W, ROW()-COUNTIF($F$6:INDEX($F:$F, ROW()-1), $F262)) : INDEX(W:W, ROW()-1)),
    COUNTIFS(
      unit_details[Leased Date], "&gt;="&amp;($AM$2-T$5),
      unit_details[Leased Date], "&lt;"&amp;$AM$2,
      unit_details[Beds], $L263,
      unit_details[Baths], $M263,
      unit_details[Partial Baths], IF(ISNUMBER($N263), $N263, ""),
      unit_details[Sqft],$P263,
      unit_details[Property Name], $F263
    )
  ),
"")</f>
        <v>0</v>
      </c>
      <c r="X263" s="531" t="str">
        <f>IFERROR(
 IF($F263="Total",
   SUMPRODUCT(
   INDEX(X:X, ROW()-COUNTIF($F$6:INDEX($F:$F, ROW()-1), $F262)) : INDEX(X:X, ROW()-1),
   INDEX(AA:AA, ROW()-COUNTIF($F$6:INDEX($F:$F, ROW()-1), $F262)) : INDEX(AA:AA, ROW()-1)
   )
   /SUM(INDEX(AA:AA, ROW()-COUNTIF($F$6:INDEX($F:$F, ROW()-1), $F262)) : INDEX(AA:AA, ROW()-1)),
   AVERAGEIFS(
     INDEX((unit_details[Asking Rent],unit_details[Asking PSF]),0,1,IF($U$3="Chunk Rent",1,2)),
     unit_details[Leased Date],"&gt;="&amp;($AM$2-X$5),
     unit_details[Leased Date],"&lt;"&amp;$AM$2,
     unit_details[Beds],$L263,
     unit_details[Baths],$M263,
     unit_details[Partial Baths],IF(ISNUMBER($N263),$N263,""),
     unit_details[Sqft],$P263,
     unit_details[Property Name],$F263)
 ),"")</f>
        <v/>
      </c>
      <c r="Y263" s="552" t="str">
        <f>IFERROR(
 IF($F263="Total",
   SUMPRODUCT(
   INDEX(Y:Y, ROW()-COUNTIF($F$6:INDEX($F:$F, ROW()-1), $F262)) : INDEX(Y:Y, ROW()-1),
   INDEX(AA:AA, ROW()-COUNTIF($F$6:INDEX($F:$F, ROW()-1), $F262)) : INDEX(AA:AA, ROW()-1)
   )
   /SUM(INDEX(AA:AA, ROW()-COUNTIF($F$6:INDEX($F:$F, ROW()-1), $F262)) : INDEX(AA:AA, ROW()-1)),
   AVERAGEIFS(
     INDEX((unit_details[Effective Rent],unit_details[Effective PSF]),0,1,IF($U$3="Chunk Rent",1,2)),
     unit_details[Leased Date],"&gt;="&amp;($AM$2-X$5),
     unit_details[Leased Date],"&lt;"&amp;$AM$2,
     unit_details[Beds],$L263,
     unit_details[Baths],$M263,
     unit_details[Partial Baths],IF(ISNUMBER($N263),$N263,""),
     unit_details[Sqft],$P263,
     unit_details[Property Name],$F263)
 ),"")</f>
        <v/>
      </c>
      <c r="Z263" s="27" t="str">
        <f t="shared" si="44"/>
        <v/>
      </c>
      <c r="AA263" s="526">
        <f>IFERROR(
  IF($F263="Total",
    SUM(INDEX(AA:AA, ROW()-COUNTIF($F$6:INDEX($F:$F, ROW()-1), $F262)) : INDEX(AA:AA, ROW()-1)),
    COUNTIFS(
      unit_details[Leased Date], "&gt;="&amp;($AM$2-X$5),
      unit_details[Leased Date], "&lt;"&amp;$AM$2,
      unit_details[Beds], $L263,
      unit_details[Baths], $M263,
      unit_details[Partial Baths], IF(ISNUMBER($N263), $N263, ""),
      unit_details[Sqft],$P263,
      unit_details[Property Name], $F263
    )
  ),
"")</f>
        <v>0</v>
      </c>
      <c r="AB263" s="290">
        <f>IF($F263="Total",
SUM(INDEX(AB:AB, ROW()-COUNTIF($F$6:INDEX($F:$F, ROW()-1), $F262)) : INDEX(AB:AB, ROW()-1)),
COUNTIFS(unit_details[Active Listing?],TRUE,
          unit_details[Property Name], $F263,
          unit_details[Beds], $L263,
          unit_details[Baths], $M263,
          unit_details[Partial Baths],IF(ISNUMBER($N263),$N263,""),
          unit_details[Sqft],$P263))</f>
        <v>0</v>
      </c>
      <c r="AC263" s="27" t="str">
        <f t="shared" ref="AC263:AC326" si="47">IFERROR(AB263/R263,"")</f>
        <v/>
      </c>
      <c r="AD263" s="293" t="str">
        <f>IFERROR(IF(AE263="","",IF($F263="Total",
SUMPRODUCT(
   INDEX(AD:AD, ROW()-COUNTIF($F$6:INDEX($F:$F, ROW()-1), $F262)) : INDEX(AD:AD, ROW()-1),
   INDEX(AB:AB, ROW()-COUNTIF($F$6:INDEX($F:$F, ROW()-1), $F262)) : INDEX(AB:AB, ROW()-1)
   )
   /SUM(INDEX(AB:AB, ROW()-COUNTIF($F$6:INDEX($F:$F, ROW()-1), $F262)) : INDEX(AB:AB, ROW()-1)),
          _xlfn.MINIFS(unit_details[Asking Rent],
          unit_details[Active Listing?],TRUE,
          unit_details[Property Name], $F263,
          unit_details[Beds], $L263,
          unit_details[Baths], $M263,
          unit_details[Partial Baths], IF(ISNUMBER($N263),$N263,""),
          unit_details[Sqft],$P263
))),"")</f>
        <v/>
      </c>
      <c r="AE263" s="5" t="str">
        <f>IFERROR(IF($F263="Total",
          SUMPRODUCT(
   INDEX(AE:AE, ROW()-COUNTIF($F$6:INDEX($F:$F, ROW()-1), $F262)) : INDEX(AE:AE, ROW()-1),
   INDEX(AB:AB, ROW()-COUNTIF($F$6:INDEX($F:$F, ROW()-1), $F262)) : INDEX(AB:AB, ROW()-1)
   )
   /SUM(INDEX(AB:AB, ROW()-COUNTIF($F$6:INDEX($F:$F, ROW()-1), $F262)) : INDEX(AB:AB, ROW()-1)),
          AVERAGEIFS(unit_details[Asking Rent],
          unit_details[Active Listing?],TRUE,
          unit_details[Property Name], $F263,
          unit_details[Beds], $L263,
          unit_details[Baths], $M263,
          unit_details[Partial Baths], IF(ISNUMBER($N263),$N263,""),
          unit_details[Sqft],$P263
)),"")</f>
        <v/>
      </c>
      <c r="AF263" s="5" t="str">
        <f>IFERROR(IF(AE263="","",IF($F263="Total",
SUMPRODUCT(
   INDEX(AF:AF, ROW()-COUNTIF($F$6:INDEX($F:$F, ROW()-1), $F262)) : INDEX(AF:AF, ROW()-1),
   INDEX(AB:AB, ROW()-COUNTIF($F$6:INDEX($F:$F, ROW()-1), $F262)) : INDEX(AB:AB, ROW()-1)
   )
   /SUM(INDEX(AB:AB, ROW()-COUNTIF($F$6:INDEX($F:$F, ROW()-1), $F262)) : INDEX(AB:AB, ROW()-1)),
           _xlfn.MAXIFS(unit_details[Asking Rent],
          unit_details[Active Listing?],TRUE,
          unit_details[Property Name], $F263,
          unit_details[Beds], $L263,
          unit_details[Baths], $M263,
          unit_details[Partial Baths], IF(ISNUMBER($N263),$N263,""),
          unit_details[Sqft],$P263
))),"")</f>
        <v/>
      </c>
      <c r="AG263" s="6" t="str">
        <f>IFERROR(IF($F263="Total",
         SUMPRODUCT(
         INDEX(AG:AG, ROW()-COUNTIF($F$6:INDEX($F:$F, ROW()-1), $F262)) : INDEX(AG:AG, ROW()-1),
         INDEX(AB:AB, ROW()-COUNTIF($F$6:INDEX($F:$F, ROW()-1), $F262)) : INDEX(AB:AB, ROW()-1)
         )
         /SUM(INDEX(AB:AB, ROW()-COUNTIF($F$6:INDEX($F:$F, ROW()-1), $F262)) : INDEX(AB:AB, ROW()-1)),
          AVERAGEIFS(unit_details[Asking PSF],
          unit_details[Active Listing?],TRUE,
          unit_details[Property Name], $F263,
          unit_details[Beds], $L263,
          unit_details[Baths], $M263,
          unit_details[Partial Baths], IF(ISNUMBER($N263),$N263,""),
          unit_details[Sqft],$P263
)),"")</f>
        <v/>
      </c>
      <c r="AH263" s="293" t="str">
        <f>IFERROR(IF($F263="Total",
         SUMPRODUCT(
         INDEX(AH:AH, ROW()-COUNTIF($F$6:INDEX($F:$F, ROW()-1), $F262)) : INDEX(AH:AH, ROW()-1),
         INDEX(AB:AB, ROW()-COUNTIF($F$6:INDEX($F:$F, ROW()-1), $F262)) : INDEX(AB:AB, ROW()-1)
         )
         /SUM(INDEX(AB:AB, ROW()-COUNTIF($F$6:INDEX($F:$F, ROW()-1), $F262)) : INDEX(AB:AB, ROW()-1)),
          AVERAGEIFS(unit_details[Effective Rent],
          unit_details[Active Listing?],TRUE,
          unit_details[Property Name], $F263,
          unit_details[Beds], $L263,
          unit_details[Baths], $M263,
          unit_details[Partial Baths], IF(ISNUMBER($N263),$N263,""),
          unit_details[Sqft],$P263
)),"")</f>
        <v/>
      </c>
      <c r="AI263" s="6" t="str">
        <f>IFERROR(IF($F263="Total",
         SUMPRODUCT(
         INDEX(AI:AI, ROW()-COUNTIF($F$6:INDEX($F:$F, ROW()-1), $F262)) : INDEX(AI:AI, ROW()-1),
         INDEX(AB:AB, ROW()-COUNTIF($F$6:INDEX($F:$F, ROW()-1), $F262)) : INDEX(AB:AB, ROW()-1)
         )
         /SUM(INDEX(AB:AB, ROW()-COUNTIF($F$6:INDEX($F:$F, ROW()-1), $F262)) : INDEX(AB:AB, ROW()-1)),
           AVERAGEIFS(unit_details[Effective PSF],
          unit_details[Active Listing?],TRUE,
          unit_details[Property Name], $F263,
          unit_details[Beds], $L263,
          unit_details[Baths], $M263,
          unit_details[Partial Baths], IF(ISNUMBER($N263),$N263,""),
          unit_details[Sqft],$P263
)),"")</f>
        <v/>
      </c>
      <c r="AJ263" s="824" t="str">
        <f t="shared" ref="AJ263:AJ326" si="48">IFERROR((AE263-AH263)/AE263,"")</f>
        <v/>
      </c>
      <c r="AK263" s="531" t="str">
        <f t="shared" ref="AK263:AK326" si="49">IFERROR(
IF(AND($AM$3="Asking Rent",$U$3="Chunk Rent"),$AE263-$T263,
IF(AND($AM$3="Effective Rent",$U$3="Chunk Rent"),$AH263-$U263,
IF(AND($AM$3="Asking Rent",$U$3="Rent PSF"),$AG263-$T263,$AI263-$U263))),"")</f>
        <v/>
      </c>
      <c r="AL263" s="714" t="str">
        <f t="shared" ref="AL263:AL326" si="50">IFERROR(AK263/(IF($AM$3="Asking Rent",T263,U263)),"")</f>
        <v/>
      </c>
      <c r="AM263" s="531" t="str">
        <f t="shared" ref="AM263:AM326" si="51">IFERROR(
IF(AND($AM$3="Asking Rent",$U$3="Chunk Rent"),$AE263-$X263,
IF(AND($AM$3="Effective Rent",$U$3="Chunk Rent"),$AH263-$Y263,
IF(AND($AM$3="Asking Rent",$U$3="Rent PSF"),$AG263-$X263,$AI263-$Y263))),"")</f>
        <v/>
      </c>
      <c r="AN263" s="716" t="str">
        <f t="shared" ref="AN263:AN326" si="52">IFERROR(AM263/(IF($AM$3="Asking Rent",X263,Y263)),"")</f>
        <v/>
      </c>
    </row>
    <row r="264" spans="6:40" x14ac:dyDescent="0.2">
      <c r="F264" s="1" t="str">
        <f t="shared" si="45"/>
        <v/>
      </c>
      <c r="G264" s="713" t="str">
        <f t="shared" ref="G264:G327" si="53">IF(F264=F263,"",F264)</f>
        <v/>
      </c>
      <c r="H264" s="17" t="str">
        <f>IFERROR(VLOOKUP($G264,Table1[[Property]:[Exposure %]],4,0),"")</f>
        <v/>
      </c>
      <c r="I264" s="3" t="str">
        <f>IFERROR(VLOOKUP($G264,Table1[[Property]:[Exposure %]],6,0),"")</f>
        <v/>
      </c>
      <c r="J264" s="3" t="str">
        <f>IFERROR(VLOOKUP($G264,Table1[[Property]:[Exposure %]],7,0),"")</f>
        <v/>
      </c>
      <c r="K264"/>
      <c r="L264"/>
      <c r="M264"/>
      <c r="N264"/>
      <c r="O264"/>
      <c r="P264"/>
      <c r="Q264"/>
      <c r="R264" s="4" t="str">
        <f>IFERROR(VLOOKUP(IF(F264="Total",F263,F264),Table1[[Property]:['# Units]],7,0)*S264,"")</f>
        <v/>
      </c>
      <c r="S264" s="27" t="str">
        <f t="shared" si="46"/>
        <v/>
      </c>
      <c r="T264" s="531" t="str">
        <f>IFERROR(
 IF($F264="Total",
   SUMPRODUCT(
   INDEX(T:T, ROW()-COUNTIF($F$6:INDEX($F:$F, ROW()-1), $F263)) : INDEX(T:T, ROW()-1),
   INDEX(W:W, ROW()-COUNTIF($F$6:INDEX($F:$F, ROW()-1), $F263)) : INDEX(W:W, ROW()-1)
   )
   /SUM(INDEX(W:W, ROW()-COUNTIF($F$6:INDEX($F:$F, ROW()-1), $F263)) : INDEX(W:W, ROW()-1)),
   AVERAGEIFS(
     INDEX((unit_details[Asking Rent],unit_details[Asking PSF]),0,1,IF($U$3="Chunk Rent",1,2)),
     unit_details[Leased Date],"&gt;="&amp;($AM$2-T$5),
     unit_details[Leased Date],"&lt;"&amp;$AM$2,
     unit_details[Beds],$L264,
     unit_details[Baths],$M264,
     unit_details[Partial Baths],IF(ISNUMBER($N264),$N264,""),
     unit_details[Sqft],$P264,
     unit_details[Property Name],$F264)
 ),"")</f>
        <v/>
      </c>
      <c r="U264" s="552" t="str">
        <f>IFERROR(
 IF($F264="Total",
   SUMPRODUCT(
   INDEX(U:U, ROW()-COUNTIF($F$6:INDEX($F:$F, ROW()-1), $F263)) : INDEX(U:U, ROW()-1),
   INDEX(W:W, ROW()-COUNTIF($F$6:INDEX($F:$F, ROW()-1), $F263)) : INDEX(W:W, ROW()-1)
   )
   /SUM(INDEX(W:W, ROW()-COUNTIF($F$6:INDEX($F:$F, ROW()-1), $F263)) : INDEX(W:W, ROW()-1)),
   AVERAGEIFS(
     INDEX((unit_details[Effective Rent],unit_details[Effective PSF]),0,1,IF($U$3="Chunk Rent",1,2)),
     unit_details[Leased Date],"&gt;="&amp;($AM$2-T$5),
     unit_details[Leased Date],"&lt;"&amp;$AM$2,
     unit_details[Beds],$L264,
     unit_details[Baths],$M264,
     unit_details[Partial Baths],IF(ISNUMBER($N264),$N264,""),
     unit_details[Sqft],$P264,
     unit_details[Property Name],$F264)
 ),"")</f>
        <v/>
      </c>
      <c r="V264" s="27" t="str">
        <f t="shared" ref="V264:V327" si="54">IFERROR(IF((T264-U264)/T264=0,"",(T264-U264)/T264),"")</f>
        <v/>
      </c>
      <c r="W264" s="526">
        <f>IFERROR(
  IF($F264="Total",
    SUM(INDEX(W:W, ROW()-COUNTIF($F$6:INDEX($F:$F, ROW()-1), $F263)) : INDEX(W:W, ROW()-1)),
    COUNTIFS(
      unit_details[Leased Date], "&gt;="&amp;($AM$2-T$5),
      unit_details[Leased Date], "&lt;"&amp;$AM$2,
      unit_details[Beds], $L264,
      unit_details[Baths], $M264,
      unit_details[Partial Baths], IF(ISNUMBER($N264), $N264, ""),
      unit_details[Sqft],$P264,
      unit_details[Property Name], $F264
    )
  ),
"")</f>
        <v>0</v>
      </c>
      <c r="X264" s="531" t="str">
        <f>IFERROR(
 IF($F264="Total",
   SUMPRODUCT(
   INDEX(X:X, ROW()-COUNTIF($F$6:INDEX($F:$F, ROW()-1), $F263)) : INDEX(X:X, ROW()-1),
   INDEX(AA:AA, ROW()-COUNTIF($F$6:INDEX($F:$F, ROW()-1), $F263)) : INDEX(AA:AA, ROW()-1)
   )
   /SUM(INDEX(AA:AA, ROW()-COUNTIF($F$6:INDEX($F:$F, ROW()-1), $F263)) : INDEX(AA:AA, ROW()-1)),
   AVERAGEIFS(
     INDEX((unit_details[Asking Rent],unit_details[Asking PSF]),0,1,IF($U$3="Chunk Rent",1,2)),
     unit_details[Leased Date],"&gt;="&amp;($AM$2-X$5),
     unit_details[Leased Date],"&lt;"&amp;$AM$2,
     unit_details[Beds],$L264,
     unit_details[Baths],$M264,
     unit_details[Partial Baths],IF(ISNUMBER($N264),$N264,""),
     unit_details[Sqft],$P264,
     unit_details[Property Name],$F264)
 ),"")</f>
        <v/>
      </c>
      <c r="Y264" s="552" t="str">
        <f>IFERROR(
 IF($F264="Total",
   SUMPRODUCT(
   INDEX(Y:Y, ROW()-COUNTIF($F$6:INDEX($F:$F, ROW()-1), $F263)) : INDEX(Y:Y, ROW()-1),
   INDEX(AA:AA, ROW()-COUNTIF($F$6:INDEX($F:$F, ROW()-1), $F263)) : INDEX(AA:AA, ROW()-1)
   )
   /SUM(INDEX(AA:AA, ROW()-COUNTIF($F$6:INDEX($F:$F, ROW()-1), $F263)) : INDEX(AA:AA, ROW()-1)),
   AVERAGEIFS(
     INDEX((unit_details[Effective Rent],unit_details[Effective PSF]),0,1,IF($U$3="Chunk Rent",1,2)),
     unit_details[Leased Date],"&gt;="&amp;($AM$2-X$5),
     unit_details[Leased Date],"&lt;"&amp;$AM$2,
     unit_details[Beds],$L264,
     unit_details[Baths],$M264,
     unit_details[Partial Baths],IF(ISNUMBER($N264),$N264,""),
     unit_details[Sqft],$P264,
     unit_details[Property Name],$F264)
 ),"")</f>
        <v/>
      </c>
      <c r="Z264" s="27" t="str">
        <f t="shared" ref="Z264:Z327" si="55">IFERROR(IF((X264-Y264)/X264=0,"",(X264-Y264)/X264),"")</f>
        <v/>
      </c>
      <c r="AA264" s="526">
        <f>IFERROR(
  IF($F264="Total",
    SUM(INDEX(AA:AA, ROW()-COUNTIF($F$6:INDEX($F:$F, ROW()-1), $F263)) : INDEX(AA:AA, ROW()-1)),
    COUNTIFS(
      unit_details[Leased Date], "&gt;="&amp;($AM$2-X$5),
      unit_details[Leased Date], "&lt;"&amp;$AM$2,
      unit_details[Beds], $L264,
      unit_details[Baths], $M264,
      unit_details[Partial Baths], IF(ISNUMBER($N264), $N264, ""),
      unit_details[Sqft],$P264,
      unit_details[Property Name], $F264
    )
  ),
"")</f>
        <v>0</v>
      </c>
      <c r="AB264" s="290">
        <f>IF($F264="Total",
SUM(INDEX(AB:AB, ROW()-COUNTIF($F$6:INDEX($F:$F, ROW()-1), $F263)) : INDEX(AB:AB, ROW()-1)),
COUNTIFS(unit_details[Active Listing?],TRUE,
          unit_details[Property Name], $F264,
          unit_details[Beds], $L264,
          unit_details[Baths], $M264,
          unit_details[Partial Baths],IF(ISNUMBER($N264),$N264,""),
          unit_details[Sqft],$P264))</f>
        <v>0</v>
      </c>
      <c r="AC264" s="27" t="str">
        <f t="shared" si="47"/>
        <v/>
      </c>
      <c r="AD264" s="293" t="str">
        <f>IFERROR(IF(AE264="","",IF($F264="Total",
SUMPRODUCT(
   INDEX(AD:AD, ROW()-COUNTIF($F$6:INDEX($F:$F, ROW()-1), $F263)) : INDEX(AD:AD, ROW()-1),
   INDEX(AB:AB, ROW()-COUNTIF($F$6:INDEX($F:$F, ROW()-1), $F263)) : INDEX(AB:AB, ROW()-1)
   )
   /SUM(INDEX(AB:AB, ROW()-COUNTIF($F$6:INDEX($F:$F, ROW()-1), $F263)) : INDEX(AB:AB, ROW()-1)),
          _xlfn.MINIFS(unit_details[Asking Rent],
          unit_details[Active Listing?],TRUE,
          unit_details[Property Name], $F264,
          unit_details[Beds], $L264,
          unit_details[Baths], $M264,
          unit_details[Partial Baths], IF(ISNUMBER($N264),$N264,""),
          unit_details[Sqft],$P264
))),"")</f>
        <v/>
      </c>
      <c r="AE264" s="5" t="str">
        <f>IFERROR(IF($F264="Total",
          SUMPRODUCT(
   INDEX(AE:AE, ROW()-COUNTIF($F$6:INDEX($F:$F, ROW()-1), $F263)) : INDEX(AE:AE, ROW()-1),
   INDEX(AB:AB, ROW()-COUNTIF($F$6:INDEX($F:$F, ROW()-1), $F263)) : INDEX(AB:AB, ROW()-1)
   )
   /SUM(INDEX(AB:AB, ROW()-COUNTIF($F$6:INDEX($F:$F, ROW()-1), $F263)) : INDEX(AB:AB, ROW()-1)),
          AVERAGEIFS(unit_details[Asking Rent],
          unit_details[Active Listing?],TRUE,
          unit_details[Property Name], $F264,
          unit_details[Beds], $L264,
          unit_details[Baths], $M264,
          unit_details[Partial Baths], IF(ISNUMBER($N264),$N264,""),
          unit_details[Sqft],$P264
)),"")</f>
        <v/>
      </c>
      <c r="AF264" s="5" t="str">
        <f>IFERROR(IF(AE264="","",IF($F264="Total",
SUMPRODUCT(
   INDEX(AF:AF, ROW()-COUNTIF($F$6:INDEX($F:$F, ROW()-1), $F263)) : INDEX(AF:AF, ROW()-1),
   INDEX(AB:AB, ROW()-COUNTIF($F$6:INDEX($F:$F, ROW()-1), $F263)) : INDEX(AB:AB, ROW()-1)
   )
   /SUM(INDEX(AB:AB, ROW()-COUNTIF($F$6:INDEX($F:$F, ROW()-1), $F263)) : INDEX(AB:AB, ROW()-1)),
           _xlfn.MAXIFS(unit_details[Asking Rent],
          unit_details[Active Listing?],TRUE,
          unit_details[Property Name], $F264,
          unit_details[Beds], $L264,
          unit_details[Baths], $M264,
          unit_details[Partial Baths], IF(ISNUMBER($N264),$N264,""),
          unit_details[Sqft],$P264
))),"")</f>
        <v/>
      </c>
      <c r="AG264" s="6" t="str">
        <f>IFERROR(IF($F264="Total",
         SUMPRODUCT(
         INDEX(AG:AG, ROW()-COUNTIF($F$6:INDEX($F:$F, ROW()-1), $F263)) : INDEX(AG:AG, ROW()-1),
         INDEX(AB:AB, ROW()-COUNTIF($F$6:INDEX($F:$F, ROW()-1), $F263)) : INDEX(AB:AB, ROW()-1)
         )
         /SUM(INDEX(AB:AB, ROW()-COUNTIF($F$6:INDEX($F:$F, ROW()-1), $F263)) : INDEX(AB:AB, ROW()-1)),
          AVERAGEIFS(unit_details[Asking PSF],
          unit_details[Active Listing?],TRUE,
          unit_details[Property Name], $F264,
          unit_details[Beds], $L264,
          unit_details[Baths], $M264,
          unit_details[Partial Baths], IF(ISNUMBER($N264),$N264,""),
          unit_details[Sqft],$P264
)),"")</f>
        <v/>
      </c>
      <c r="AH264" s="293" t="str">
        <f>IFERROR(IF($F264="Total",
         SUMPRODUCT(
         INDEX(AH:AH, ROW()-COUNTIF($F$6:INDEX($F:$F, ROW()-1), $F263)) : INDEX(AH:AH, ROW()-1),
         INDEX(AB:AB, ROW()-COUNTIF($F$6:INDEX($F:$F, ROW()-1), $F263)) : INDEX(AB:AB, ROW()-1)
         )
         /SUM(INDEX(AB:AB, ROW()-COUNTIF($F$6:INDEX($F:$F, ROW()-1), $F263)) : INDEX(AB:AB, ROW()-1)),
          AVERAGEIFS(unit_details[Effective Rent],
          unit_details[Active Listing?],TRUE,
          unit_details[Property Name], $F264,
          unit_details[Beds], $L264,
          unit_details[Baths], $M264,
          unit_details[Partial Baths], IF(ISNUMBER($N264),$N264,""),
          unit_details[Sqft],$P264
)),"")</f>
        <v/>
      </c>
      <c r="AI264" s="6" t="str">
        <f>IFERROR(IF($F264="Total",
         SUMPRODUCT(
         INDEX(AI:AI, ROW()-COUNTIF($F$6:INDEX($F:$F, ROW()-1), $F263)) : INDEX(AI:AI, ROW()-1),
         INDEX(AB:AB, ROW()-COUNTIF($F$6:INDEX($F:$F, ROW()-1), $F263)) : INDEX(AB:AB, ROW()-1)
         )
         /SUM(INDEX(AB:AB, ROW()-COUNTIF($F$6:INDEX($F:$F, ROW()-1), $F263)) : INDEX(AB:AB, ROW()-1)),
           AVERAGEIFS(unit_details[Effective PSF],
          unit_details[Active Listing?],TRUE,
          unit_details[Property Name], $F264,
          unit_details[Beds], $L264,
          unit_details[Baths], $M264,
          unit_details[Partial Baths], IF(ISNUMBER($N264),$N264,""),
          unit_details[Sqft],$P264
)),"")</f>
        <v/>
      </c>
      <c r="AJ264" s="824" t="str">
        <f t="shared" si="48"/>
        <v/>
      </c>
      <c r="AK264" s="531" t="str">
        <f t="shared" si="49"/>
        <v/>
      </c>
      <c r="AL264" s="714" t="str">
        <f t="shared" si="50"/>
        <v/>
      </c>
      <c r="AM264" s="531" t="str">
        <f t="shared" si="51"/>
        <v/>
      </c>
      <c r="AN264" s="716" t="str">
        <f t="shared" si="52"/>
        <v/>
      </c>
    </row>
    <row r="265" spans="6:40" x14ac:dyDescent="0.2">
      <c r="F265" s="1" t="str">
        <f t="shared" si="45"/>
        <v/>
      </c>
      <c r="G265" s="713" t="str">
        <f t="shared" si="53"/>
        <v/>
      </c>
      <c r="H265" s="17" t="str">
        <f>IFERROR(VLOOKUP($G265,Table1[[Property]:[Exposure %]],4,0),"")</f>
        <v/>
      </c>
      <c r="I265" s="3" t="str">
        <f>IFERROR(VLOOKUP($G265,Table1[[Property]:[Exposure %]],6,0),"")</f>
        <v/>
      </c>
      <c r="J265" s="3" t="str">
        <f>IFERROR(VLOOKUP($G265,Table1[[Property]:[Exposure %]],7,0),"")</f>
        <v/>
      </c>
      <c r="K265"/>
      <c r="L265"/>
      <c r="M265"/>
      <c r="N265"/>
      <c r="O265"/>
      <c r="P265"/>
      <c r="Q265"/>
      <c r="R265" s="4" t="str">
        <f>IFERROR(VLOOKUP(IF(F265="Total",F264,F265),Table1[[Property]:['# Units]],7,0)*S265,"")</f>
        <v/>
      </c>
      <c r="S265" s="27" t="str">
        <f t="shared" si="46"/>
        <v/>
      </c>
      <c r="T265" s="531" t="str">
        <f>IFERROR(
 IF($F265="Total",
   SUMPRODUCT(
   INDEX(T:T, ROW()-COUNTIF($F$6:INDEX($F:$F, ROW()-1), $F264)) : INDEX(T:T, ROW()-1),
   INDEX(W:W, ROW()-COUNTIF($F$6:INDEX($F:$F, ROW()-1), $F264)) : INDEX(W:W, ROW()-1)
   )
   /SUM(INDEX(W:W, ROW()-COUNTIF($F$6:INDEX($F:$F, ROW()-1), $F264)) : INDEX(W:W, ROW()-1)),
   AVERAGEIFS(
     INDEX((unit_details[Asking Rent],unit_details[Asking PSF]),0,1,IF($U$3="Chunk Rent",1,2)),
     unit_details[Leased Date],"&gt;="&amp;($AM$2-T$5),
     unit_details[Leased Date],"&lt;"&amp;$AM$2,
     unit_details[Beds],$L265,
     unit_details[Baths],$M265,
     unit_details[Partial Baths],IF(ISNUMBER($N265),$N265,""),
     unit_details[Sqft],$P265,
     unit_details[Property Name],$F265)
 ),"")</f>
        <v/>
      </c>
      <c r="U265" s="552" t="str">
        <f>IFERROR(
 IF($F265="Total",
   SUMPRODUCT(
   INDEX(U:U, ROW()-COUNTIF($F$6:INDEX($F:$F, ROW()-1), $F264)) : INDEX(U:U, ROW()-1),
   INDEX(W:W, ROW()-COUNTIF($F$6:INDEX($F:$F, ROW()-1), $F264)) : INDEX(W:W, ROW()-1)
   )
   /SUM(INDEX(W:W, ROW()-COUNTIF($F$6:INDEX($F:$F, ROW()-1), $F264)) : INDEX(W:W, ROW()-1)),
   AVERAGEIFS(
     INDEX((unit_details[Effective Rent],unit_details[Effective PSF]),0,1,IF($U$3="Chunk Rent",1,2)),
     unit_details[Leased Date],"&gt;="&amp;($AM$2-T$5),
     unit_details[Leased Date],"&lt;"&amp;$AM$2,
     unit_details[Beds],$L265,
     unit_details[Baths],$M265,
     unit_details[Partial Baths],IF(ISNUMBER($N265),$N265,""),
     unit_details[Sqft],$P265,
     unit_details[Property Name],$F265)
 ),"")</f>
        <v/>
      </c>
      <c r="V265" s="27" t="str">
        <f t="shared" si="54"/>
        <v/>
      </c>
      <c r="W265" s="526">
        <f>IFERROR(
  IF($F265="Total",
    SUM(INDEX(W:W, ROW()-COUNTIF($F$6:INDEX($F:$F, ROW()-1), $F264)) : INDEX(W:W, ROW()-1)),
    COUNTIFS(
      unit_details[Leased Date], "&gt;="&amp;($AM$2-T$5),
      unit_details[Leased Date], "&lt;"&amp;$AM$2,
      unit_details[Beds], $L265,
      unit_details[Baths], $M265,
      unit_details[Partial Baths], IF(ISNUMBER($N265), $N265, ""),
      unit_details[Sqft],$P265,
      unit_details[Property Name], $F265
    )
  ),
"")</f>
        <v>0</v>
      </c>
      <c r="X265" s="531" t="str">
        <f>IFERROR(
 IF($F265="Total",
   SUMPRODUCT(
   INDEX(X:X, ROW()-COUNTIF($F$6:INDEX($F:$F, ROW()-1), $F264)) : INDEX(X:X, ROW()-1),
   INDEX(AA:AA, ROW()-COUNTIF($F$6:INDEX($F:$F, ROW()-1), $F264)) : INDEX(AA:AA, ROW()-1)
   )
   /SUM(INDEX(AA:AA, ROW()-COUNTIF($F$6:INDEX($F:$F, ROW()-1), $F264)) : INDEX(AA:AA, ROW()-1)),
   AVERAGEIFS(
     INDEX((unit_details[Asking Rent],unit_details[Asking PSF]),0,1,IF($U$3="Chunk Rent",1,2)),
     unit_details[Leased Date],"&gt;="&amp;($AM$2-X$5),
     unit_details[Leased Date],"&lt;"&amp;$AM$2,
     unit_details[Beds],$L265,
     unit_details[Baths],$M265,
     unit_details[Partial Baths],IF(ISNUMBER($N265),$N265,""),
     unit_details[Sqft],$P265,
     unit_details[Property Name],$F265)
 ),"")</f>
        <v/>
      </c>
      <c r="Y265" s="552" t="str">
        <f>IFERROR(
 IF($F265="Total",
   SUMPRODUCT(
   INDEX(Y:Y, ROW()-COUNTIF($F$6:INDEX($F:$F, ROW()-1), $F264)) : INDEX(Y:Y, ROW()-1),
   INDEX(AA:AA, ROW()-COUNTIF($F$6:INDEX($F:$F, ROW()-1), $F264)) : INDEX(AA:AA, ROW()-1)
   )
   /SUM(INDEX(AA:AA, ROW()-COUNTIF($F$6:INDEX($F:$F, ROW()-1), $F264)) : INDEX(AA:AA, ROW()-1)),
   AVERAGEIFS(
     INDEX((unit_details[Effective Rent],unit_details[Effective PSF]),0,1,IF($U$3="Chunk Rent",1,2)),
     unit_details[Leased Date],"&gt;="&amp;($AM$2-X$5),
     unit_details[Leased Date],"&lt;"&amp;$AM$2,
     unit_details[Beds],$L265,
     unit_details[Baths],$M265,
     unit_details[Partial Baths],IF(ISNUMBER($N265),$N265,""),
     unit_details[Sqft],$P265,
     unit_details[Property Name],$F265)
 ),"")</f>
        <v/>
      </c>
      <c r="Z265" s="27" t="str">
        <f t="shared" si="55"/>
        <v/>
      </c>
      <c r="AA265" s="526">
        <f>IFERROR(
  IF($F265="Total",
    SUM(INDEX(AA:AA, ROW()-COUNTIF($F$6:INDEX($F:$F, ROW()-1), $F264)) : INDEX(AA:AA, ROW()-1)),
    COUNTIFS(
      unit_details[Leased Date], "&gt;="&amp;($AM$2-X$5),
      unit_details[Leased Date], "&lt;"&amp;$AM$2,
      unit_details[Beds], $L265,
      unit_details[Baths], $M265,
      unit_details[Partial Baths], IF(ISNUMBER($N265), $N265, ""),
      unit_details[Sqft],$P265,
      unit_details[Property Name], $F265
    )
  ),
"")</f>
        <v>0</v>
      </c>
      <c r="AB265" s="290">
        <f>IF($F265="Total",
SUM(INDEX(AB:AB, ROW()-COUNTIF($F$6:INDEX($F:$F, ROW()-1), $F264)) : INDEX(AB:AB, ROW()-1)),
COUNTIFS(unit_details[Active Listing?],TRUE,
          unit_details[Property Name], $F265,
          unit_details[Beds], $L265,
          unit_details[Baths], $M265,
          unit_details[Partial Baths],IF(ISNUMBER($N265),$N265,""),
          unit_details[Sqft],$P265))</f>
        <v>0</v>
      </c>
      <c r="AC265" s="27" t="str">
        <f t="shared" si="47"/>
        <v/>
      </c>
      <c r="AD265" s="293" t="str">
        <f>IFERROR(IF(AE265="","",IF($F265="Total",
SUMPRODUCT(
   INDEX(AD:AD, ROW()-COUNTIF($F$6:INDEX($F:$F, ROW()-1), $F264)) : INDEX(AD:AD, ROW()-1),
   INDEX(AB:AB, ROW()-COUNTIF($F$6:INDEX($F:$F, ROW()-1), $F264)) : INDEX(AB:AB, ROW()-1)
   )
   /SUM(INDEX(AB:AB, ROW()-COUNTIF($F$6:INDEX($F:$F, ROW()-1), $F264)) : INDEX(AB:AB, ROW()-1)),
          _xlfn.MINIFS(unit_details[Asking Rent],
          unit_details[Active Listing?],TRUE,
          unit_details[Property Name], $F265,
          unit_details[Beds], $L265,
          unit_details[Baths], $M265,
          unit_details[Partial Baths], IF(ISNUMBER($N265),$N265,""),
          unit_details[Sqft],$P265
))),"")</f>
        <v/>
      </c>
      <c r="AE265" s="5" t="str">
        <f>IFERROR(IF($F265="Total",
          SUMPRODUCT(
   INDEX(AE:AE, ROW()-COUNTIF($F$6:INDEX($F:$F, ROW()-1), $F264)) : INDEX(AE:AE, ROW()-1),
   INDEX(AB:AB, ROW()-COUNTIF($F$6:INDEX($F:$F, ROW()-1), $F264)) : INDEX(AB:AB, ROW()-1)
   )
   /SUM(INDEX(AB:AB, ROW()-COUNTIF($F$6:INDEX($F:$F, ROW()-1), $F264)) : INDEX(AB:AB, ROW()-1)),
          AVERAGEIFS(unit_details[Asking Rent],
          unit_details[Active Listing?],TRUE,
          unit_details[Property Name], $F265,
          unit_details[Beds], $L265,
          unit_details[Baths], $M265,
          unit_details[Partial Baths], IF(ISNUMBER($N265),$N265,""),
          unit_details[Sqft],$P265
)),"")</f>
        <v/>
      </c>
      <c r="AF265" s="5" t="str">
        <f>IFERROR(IF(AE265="","",IF($F265="Total",
SUMPRODUCT(
   INDEX(AF:AF, ROW()-COUNTIF($F$6:INDEX($F:$F, ROW()-1), $F264)) : INDEX(AF:AF, ROW()-1),
   INDEX(AB:AB, ROW()-COUNTIF($F$6:INDEX($F:$F, ROW()-1), $F264)) : INDEX(AB:AB, ROW()-1)
   )
   /SUM(INDEX(AB:AB, ROW()-COUNTIF($F$6:INDEX($F:$F, ROW()-1), $F264)) : INDEX(AB:AB, ROW()-1)),
           _xlfn.MAXIFS(unit_details[Asking Rent],
          unit_details[Active Listing?],TRUE,
          unit_details[Property Name], $F265,
          unit_details[Beds], $L265,
          unit_details[Baths], $M265,
          unit_details[Partial Baths], IF(ISNUMBER($N265),$N265,""),
          unit_details[Sqft],$P265
))),"")</f>
        <v/>
      </c>
      <c r="AG265" s="6" t="str">
        <f>IFERROR(IF($F265="Total",
         SUMPRODUCT(
         INDEX(AG:AG, ROW()-COUNTIF($F$6:INDEX($F:$F, ROW()-1), $F264)) : INDEX(AG:AG, ROW()-1),
         INDEX(AB:AB, ROW()-COUNTIF($F$6:INDEX($F:$F, ROW()-1), $F264)) : INDEX(AB:AB, ROW()-1)
         )
         /SUM(INDEX(AB:AB, ROW()-COUNTIF($F$6:INDEX($F:$F, ROW()-1), $F264)) : INDEX(AB:AB, ROW()-1)),
          AVERAGEIFS(unit_details[Asking PSF],
          unit_details[Active Listing?],TRUE,
          unit_details[Property Name], $F265,
          unit_details[Beds], $L265,
          unit_details[Baths], $M265,
          unit_details[Partial Baths], IF(ISNUMBER($N265),$N265,""),
          unit_details[Sqft],$P265
)),"")</f>
        <v/>
      </c>
      <c r="AH265" s="293" t="str">
        <f>IFERROR(IF($F265="Total",
         SUMPRODUCT(
         INDEX(AH:AH, ROW()-COUNTIF($F$6:INDEX($F:$F, ROW()-1), $F264)) : INDEX(AH:AH, ROW()-1),
         INDEX(AB:AB, ROW()-COUNTIF($F$6:INDEX($F:$F, ROW()-1), $F264)) : INDEX(AB:AB, ROW()-1)
         )
         /SUM(INDEX(AB:AB, ROW()-COUNTIF($F$6:INDEX($F:$F, ROW()-1), $F264)) : INDEX(AB:AB, ROW()-1)),
          AVERAGEIFS(unit_details[Effective Rent],
          unit_details[Active Listing?],TRUE,
          unit_details[Property Name], $F265,
          unit_details[Beds], $L265,
          unit_details[Baths], $M265,
          unit_details[Partial Baths], IF(ISNUMBER($N265),$N265,""),
          unit_details[Sqft],$P265
)),"")</f>
        <v/>
      </c>
      <c r="AI265" s="6" t="str">
        <f>IFERROR(IF($F265="Total",
         SUMPRODUCT(
         INDEX(AI:AI, ROW()-COUNTIF($F$6:INDEX($F:$F, ROW()-1), $F264)) : INDEX(AI:AI, ROW()-1),
         INDEX(AB:AB, ROW()-COUNTIF($F$6:INDEX($F:$F, ROW()-1), $F264)) : INDEX(AB:AB, ROW()-1)
         )
         /SUM(INDEX(AB:AB, ROW()-COUNTIF($F$6:INDEX($F:$F, ROW()-1), $F264)) : INDEX(AB:AB, ROW()-1)),
           AVERAGEIFS(unit_details[Effective PSF],
          unit_details[Active Listing?],TRUE,
          unit_details[Property Name], $F265,
          unit_details[Beds], $L265,
          unit_details[Baths], $M265,
          unit_details[Partial Baths], IF(ISNUMBER($N265),$N265,""),
          unit_details[Sqft],$P265
)),"")</f>
        <v/>
      </c>
      <c r="AJ265" s="824" t="str">
        <f t="shared" si="48"/>
        <v/>
      </c>
      <c r="AK265" s="531" t="str">
        <f t="shared" si="49"/>
        <v/>
      </c>
      <c r="AL265" s="714" t="str">
        <f t="shared" si="50"/>
        <v/>
      </c>
      <c r="AM265" s="531" t="str">
        <f t="shared" si="51"/>
        <v/>
      </c>
      <c r="AN265" s="716" t="str">
        <f t="shared" si="52"/>
        <v/>
      </c>
    </row>
    <row r="266" spans="6:40" x14ac:dyDescent="0.2">
      <c r="F266" s="1" t="str">
        <f t="shared" si="45"/>
        <v/>
      </c>
      <c r="G266" s="713" t="str">
        <f t="shared" si="53"/>
        <v/>
      </c>
      <c r="H266" s="17" t="str">
        <f>IFERROR(VLOOKUP($G266,Table1[[Property]:[Exposure %]],4,0),"")</f>
        <v/>
      </c>
      <c r="I266" s="3" t="str">
        <f>IFERROR(VLOOKUP($G266,Table1[[Property]:[Exposure %]],6,0),"")</f>
        <v/>
      </c>
      <c r="J266" s="3" t="str">
        <f>IFERROR(VLOOKUP($G266,Table1[[Property]:[Exposure %]],7,0),"")</f>
        <v/>
      </c>
      <c r="K266"/>
      <c r="L266"/>
      <c r="M266"/>
      <c r="N266"/>
      <c r="O266"/>
      <c r="P266"/>
      <c r="Q266"/>
      <c r="R266" s="4" t="str">
        <f>IFERROR(VLOOKUP(IF(F266="Total",F265,F266),Table1[[Property]:['# Units]],7,0)*S266,"")</f>
        <v/>
      </c>
      <c r="S266" s="27" t="str">
        <f t="shared" si="46"/>
        <v/>
      </c>
      <c r="T266" s="531" t="str">
        <f>IFERROR(
 IF($F266="Total",
   SUMPRODUCT(
   INDEX(T:T, ROW()-COUNTIF($F$6:INDEX($F:$F, ROW()-1), $F265)) : INDEX(T:T, ROW()-1),
   INDEX(W:W, ROW()-COUNTIF($F$6:INDEX($F:$F, ROW()-1), $F265)) : INDEX(W:W, ROW()-1)
   )
   /SUM(INDEX(W:W, ROW()-COUNTIF($F$6:INDEX($F:$F, ROW()-1), $F265)) : INDEX(W:W, ROW()-1)),
   AVERAGEIFS(
     INDEX((unit_details[Asking Rent],unit_details[Asking PSF]),0,1,IF($U$3="Chunk Rent",1,2)),
     unit_details[Leased Date],"&gt;="&amp;($AM$2-T$5),
     unit_details[Leased Date],"&lt;"&amp;$AM$2,
     unit_details[Beds],$L266,
     unit_details[Baths],$M266,
     unit_details[Partial Baths],IF(ISNUMBER($N266),$N266,""),
     unit_details[Sqft],$P266,
     unit_details[Property Name],$F266)
 ),"")</f>
        <v/>
      </c>
      <c r="U266" s="552" t="str">
        <f>IFERROR(
 IF($F266="Total",
   SUMPRODUCT(
   INDEX(U:U, ROW()-COUNTIF($F$6:INDEX($F:$F, ROW()-1), $F265)) : INDEX(U:U, ROW()-1),
   INDEX(W:W, ROW()-COUNTIF($F$6:INDEX($F:$F, ROW()-1), $F265)) : INDEX(W:W, ROW()-1)
   )
   /SUM(INDEX(W:W, ROW()-COUNTIF($F$6:INDEX($F:$F, ROW()-1), $F265)) : INDEX(W:W, ROW()-1)),
   AVERAGEIFS(
     INDEX((unit_details[Effective Rent],unit_details[Effective PSF]),0,1,IF($U$3="Chunk Rent",1,2)),
     unit_details[Leased Date],"&gt;="&amp;($AM$2-T$5),
     unit_details[Leased Date],"&lt;"&amp;$AM$2,
     unit_details[Beds],$L266,
     unit_details[Baths],$M266,
     unit_details[Partial Baths],IF(ISNUMBER($N266),$N266,""),
     unit_details[Sqft],$P266,
     unit_details[Property Name],$F266)
 ),"")</f>
        <v/>
      </c>
      <c r="V266" s="27" t="str">
        <f t="shared" si="54"/>
        <v/>
      </c>
      <c r="W266" s="526">
        <f>IFERROR(
  IF($F266="Total",
    SUM(INDEX(W:W, ROW()-COUNTIF($F$6:INDEX($F:$F, ROW()-1), $F265)) : INDEX(W:W, ROW()-1)),
    COUNTIFS(
      unit_details[Leased Date], "&gt;="&amp;($AM$2-T$5),
      unit_details[Leased Date], "&lt;"&amp;$AM$2,
      unit_details[Beds], $L266,
      unit_details[Baths], $M266,
      unit_details[Partial Baths], IF(ISNUMBER($N266), $N266, ""),
      unit_details[Sqft],$P266,
      unit_details[Property Name], $F266
    )
  ),
"")</f>
        <v>0</v>
      </c>
      <c r="X266" s="531" t="str">
        <f>IFERROR(
 IF($F266="Total",
   SUMPRODUCT(
   INDEX(X:X, ROW()-COUNTIF($F$6:INDEX($F:$F, ROW()-1), $F265)) : INDEX(X:X, ROW()-1),
   INDEX(AA:AA, ROW()-COUNTIF($F$6:INDEX($F:$F, ROW()-1), $F265)) : INDEX(AA:AA, ROW()-1)
   )
   /SUM(INDEX(AA:AA, ROW()-COUNTIF($F$6:INDEX($F:$F, ROW()-1), $F265)) : INDEX(AA:AA, ROW()-1)),
   AVERAGEIFS(
     INDEX((unit_details[Asking Rent],unit_details[Asking PSF]),0,1,IF($U$3="Chunk Rent",1,2)),
     unit_details[Leased Date],"&gt;="&amp;($AM$2-X$5),
     unit_details[Leased Date],"&lt;"&amp;$AM$2,
     unit_details[Beds],$L266,
     unit_details[Baths],$M266,
     unit_details[Partial Baths],IF(ISNUMBER($N266),$N266,""),
     unit_details[Sqft],$P266,
     unit_details[Property Name],$F266)
 ),"")</f>
        <v/>
      </c>
      <c r="Y266" s="552" t="str">
        <f>IFERROR(
 IF($F266="Total",
   SUMPRODUCT(
   INDEX(Y:Y, ROW()-COUNTIF($F$6:INDEX($F:$F, ROW()-1), $F265)) : INDEX(Y:Y, ROW()-1),
   INDEX(AA:AA, ROW()-COUNTIF($F$6:INDEX($F:$F, ROW()-1), $F265)) : INDEX(AA:AA, ROW()-1)
   )
   /SUM(INDEX(AA:AA, ROW()-COUNTIF($F$6:INDEX($F:$F, ROW()-1), $F265)) : INDEX(AA:AA, ROW()-1)),
   AVERAGEIFS(
     INDEX((unit_details[Effective Rent],unit_details[Effective PSF]),0,1,IF($U$3="Chunk Rent",1,2)),
     unit_details[Leased Date],"&gt;="&amp;($AM$2-X$5),
     unit_details[Leased Date],"&lt;"&amp;$AM$2,
     unit_details[Beds],$L266,
     unit_details[Baths],$M266,
     unit_details[Partial Baths],IF(ISNUMBER($N266),$N266,""),
     unit_details[Sqft],$P266,
     unit_details[Property Name],$F266)
 ),"")</f>
        <v/>
      </c>
      <c r="Z266" s="27" t="str">
        <f t="shared" si="55"/>
        <v/>
      </c>
      <c r="AA266" s="526">
        <f>IFERROR(
  IF($F266="Total",
    SUM(INDEX(AA:AA, ROW()-COUNTIF($F$6:INDEX($F:$F, ROW()-1), $F265)) : INDEX(AA:AA, ROW()-1)),
    COUNTIFS(
      unit_details[Leased Date], "&gt;="&amp;($AM$2-X$5),
      unit_details[Leased Date], "&lt;"&amp;$AM$2,
      unit_details[Beds], $L266,
      unit_details[Baths], $M266,
      unit_details[Partial Baths], IF(ISNUMBER($N266), $N266, ""),
      unit_details[Sqft],$P266,
      unit_details[Property Name], $F266
    )
  ),
"")</f>
        <v>0</v>
      </c>
      <c r="AB266" s="290">
        <f>IF($F266="Total",
SUM(INDEX(AB:AB, ROW()-COUNTIF($F$6:INDEX($F:$F, ROW()-1), $F265)) : INDEX(AB:AB, ROW()-1)),
COUNTIFS(unit_details[Active Listing?],TRUE,
          unit_details[Property Name], $F266,
          unit_details[Beds], $L266,
          unit_details[Baths], $M266,
          unit_details[Partial Baths],IF(ISNUMBER($N266),$N266,""),
          unit_details[Sqft],$P266))</f>
        <v>0</v>
      </c>
      <c r="AC266" s="27" t="str">
        <f t="shared" si="47"/>
        <v/>
      </c>
      <c r="AD266" s="293" t="str">
        <f>IFERROR(IF(AE266="","",IF($F266="Total",
SUMPRODUCT(
   INDEX(AD:AD, ROW()-COUNTIF($F$6:INDEX($F:$F, ROW()-1), $F265)) : INDEX(AD:AD, ROW()-1),
   INDEX(AB:AB, ROW()-COUNTIF($F$6:INDEX($F:$F, ROW()-1), $F265)) : INDEX(AB:AB, ROW()-1)
   )
   /SUM(INDEX(AB:AB, ROW()-COUNTIF($F$6:INDEX($F:$F, ROW()-1), $F265)) : INDEX(AB:AB, ROW()-1)),
          _xlfn.MINIFS(unit_details[Asking Rent],
          unit_details[Active Listing?],TRUE,
          unit_details[Property Name], $F266,
          unit_details[Beds], $L266,
          unit_details[Baths], $M266,
          unit_details[Partial Baths], IF(ISNUMBER($N266),$N266,""),
          unit_details[Sqft],$P266
))),"")</f>
        <v/>
      </c>
      <c r="AE266" s="5" t="str">
        <f>IFERROR(IF($F266="Total",
          SUMPRODUCT(
   INDEX(AE:AE, ROW()-COUNTIF($F$6:INDEX($F:$F, ROW()-1), $F265)) : INDEX(AE:AE, ROW()-1),
   INDEX(AB:AB, ROW()-COUNTIF($F$6:INDEX($F:$F, ROW()-1), $F265)) : INDEX(AB:AB, ROW()-1)
   )
   /SUM(INDEX(AB:AB, ROW()-COUNTIF($F$6:INDEX($F:$F, ROW()-1), $F265)) : INDEX(AB:AB, ROW()-1)),
          AVERAGEIFS(unit_details[Asking Rent],
          unit_details[Active Listing?],TRUE,
          unit_details[Property Name], $F266,
          unit_details[Beds], $L266,
          unit_details[Baths], $M266,
          unit_details[Partial Baths], IF(ISNUMBER($N266),$N266,""),
          unit_details[Sqft],$P266
)),"")</f>
        <v/>
      </c>
      <c r="AF266" s="5" t="str">
        <f>IFERROR(IF(AE266="","",IF($F266="Total",
SUMPRODUCT(
   INDEX(AF:AF, ROW()-COUNTIF($F$6:INDEX($F:$F, ROW()-1), $F265)) : INDEX(AF:AF, ROW()-1),
   INDEX(AB:AB, ROW()-COUNTIF($F$6:INDEX($F:$F, ROW()-1), $F265)) : INDEX(AB:AB, ROW()-1)
   )
   /SUM(INDEX(AB:AB, ROW()-COUNTIF($F$6:INDEX($F:$F, ROW()-1), $F265)) : INDEX(AB:AB, ROW()-1)),
           _xlfn.MAXIFS(unit_details[Asking Rent],
          unit_details[Active Listing?],TRUE,
          unit_details[Property Name], $F266,
          unit_details[Beds], $L266,
          unit_details[Baths], $M266,
          unit_details[Partial Baths], IF(ISNUMBER($N266),$N266,""),
          unit_details[Sqft],$P266
))),"")</f>
        <v/>
      </c>
      <c r="AG266" s="6" t="str">
        <f>IFERROR(IF($F266="Total",
         SUMPRODUCT(
         INDEX(AG:AG, ROW()-COUNTIF($F$6:INDEX($F:$F, ROW()-1), $F265)) : INDEX(AG:AG, ROW()-1),
         INDEX(AB:AB, ROW()-COUNTIF($F$6:INDEX($F:$F, ROW()-1), $F265)) : INDEX(AB:AB, ROW()-1)
         )
         /SUM(INDEX(AB:AB, ROW()-COUNTIF($F$6:INDEX($F:$F, ROW()-1), $F265)) : INDEX(AB:AB, ROW()-1)),
          AVERAGEIFS(unit_details[Asking PSF],
          unit_details[Active Listing?],TRUE,
          unit_details[Property Name], $F266,
          unit_details[Beds], $L266,
          unit_details[Baths], $M266,
          unit_details[Partial Baths], IF(ISNUMBER($N266),$N266,""),
          unit_details[Sqft],$P266
)),"")</f>
        <v/>
      </c>
      <c r="AH266" s="293" t="str">
        <f>IFERROR(IF($F266="Total",
         SUMPRODUCT(
         INDEX(AH:AH, ROW()-COUNTIF($F$6:INDEX($F:$F, ROW()-1), $F265)) : INDEX(AH:AH, ROW()-1),
         INDEX(AB:AB, ROW()-COUNTIF($F$6:INDEX($F:$F, ROW()-1), $F265)) : INDEX(AB:AB, ROW()-1)
         )
         /SUM(INDEX(AB:AB, ROW()-COUNTIF($F$6:INDEX($F:$F, ROW()-1), $F265)) : INDEX(AB:AB, ROW()-1)),
          AVERAGEIFS(unit_details[Effective Rent],
          unit_details[Active Listing?],TRUE,
          unit_details[Property Name], $F266,
          unit_details[Beds], $L266,
          unit_details[Baths], $M266,
          unit_details[Partial Baths], IF(ISNUMBER($N266),$N266,""),
          unit_details[Sqft],$P266
)),"")</f>
        <v/>
      </c>
      <c r="AI266" s="6" t="str">
        <f>IFERROR(IF($F266="Total",
         SUMPRODUCT(
         INDEX(AI:AI, ROW()-COUNTIF($F$6:INDEX($F:$F, ROW()-1), $F265)) : INDEX(AI:AI, ROW()-1),
         INDEX(AB:AB, ROW()-COUNTIF($F$6:INDEX($F:$F, ROW()-1), $F265)) : INDEX(AB:AB, ROW()-1)
         )
         /SUM(INDEX(AB:AB, ROW()-COUNTIF($F$6:INDEX($F:$F, ROW()-1), $F265)) : INDEX(AB:AB, ROW()-1)),
           AVERAGEIFS(unit_details[Effective PSF],
          unit_details[Active Listing?],TRUE,
          unit_details[Property Name], $F266,
          unit_details[Beds], $L266,
          unit_details[Baths], $M266,
          unit_details[Partial Baths], IF(ISNUMBER($N266),$N266,""),
          unit_details[Sqft],$P266
)),"")</f>
        <v/>
      </c>
      <c r="AJ266" s="824" t="str">
        <f t="shared" si="48"/>
        <v/>
      </c>
      <c r="AK266" s="531" t="str">
        <f t="shared" si="49"/>
        <v/>
      </c>
      <c r="AL266" s="714" t="str">
        <f t="shared" si="50"/>
        <v/>
      </c>
      <c r="AM266" s="531" t="str">
        <f t="shared" si="51"/>
        <v/>
      </c>
      <c r="AN266" s="716" t="str">
        <f t="shared" si="52"/>
        <v/>
      </c>
    </row>
    <row r="267" spans="6:40" x14ac:dyDescent="0.2">
      <c r="F267" s="1" t="str">
        <f t="shared" si="45"/>
        <v/>
      </c>
      <c r="G267" s="713" t="str">
        <f t="shared" si="53"/>
        <v/>
      </c>
      <c r="H267" s="17" t="str">
        <f>IFERROR(VLOOKUP($G267,Table1[[Property]:[Exposure %]],4,0),"")</f>
        <v/>
      </c>
      <c r="I267" s="3" t="str">
        <f>IFERROR(VLOOKUP($G267,Table1[[Property]:[Exposure %]],6,0),"")</f>
        <v/>
      </c>
      <c r="J267" s="3" t="str">
        <f>IFERROR(VLOOKUP($G267,Table1[[Property]:[Exposure %]],7,0),"")</f>
        <v/>
      </c>
      <c r="K267"/>
      <c r="L267"/>
      <c r="M267"/>
      <c r="N267"/>
      <c r="O267"/>
      <c r="P267"/>
      <c r="Q267"/>
      <c r="R267" s="4" t="str">
        <f>IFERROR(VLOOKUP(IF(F267="Total",F266,F267),Table1[[Property]:['# Units]],7,0)*S267,"")</f>
        <v/>
      </c>
      <c r="S267" s="27" t="str">
        <f t="shared" si="46"/>
        <v/>
      </c>
      <c r="T267" s="531" t="str">
        <f>IFERROR(
 IF($F267="Total",
   SUMPRODUCT(
   INDEX(T:T, ROW()-COUNTIF($F$6:INDEX($F:$F, ROW()-1), $F266)) : INDEX(T:T, ROW()-1),
   INDEX(W:W, ROW()-COUNTIF($F$6:INDEX($F:$F, ROW()-1), $F266)) : INDEX(W:W, ROW()-1)
   )
   /SUM(INDEX(W:W, ROW()-COUNTIF($F$6:INDEX($F:$F, ROW()-1), $F266)) : INDEX(W:W, ROW()-1)),
   AVERAGEIFS(
     INDEX((unit_details[Asking Rent],unit_details[Asking PSF]),0,1,IF($U$3="Chunk Rent",1,2)),
     unit_details[Leased Date],"&gt;="&amp;($AM$2-T$5),
     unit_details[Leased Date],"&lt;"&amp;$AM$2,
     unit_details[Beds],$L267,
     unit_details[Baths],$M267,
     unit_details[Partial Baths],IF(ISNUMBER($N267),$N267,""),
     unit_details[Sqft],$P267,
     unit_details[Property Name],$F267)
 ),"")</f>
        <v/>
      </c>
      <c r="U267" s="552" t="str">
        <f>IFERROR(
 IF($F267="Total",
   SUMPRODUCT(
   INDEX(U:U, ROW()-COUNTIF($F$6:INDEX($F:$F, ROW()-1), $F266)) : INDEX(U:U, ROW()-1),
   INDEX(W:W, ROW()-COUNTIF($F$6:INDEX($F:$F, ROW()-1), $F266)) : INDEX(W:W, ROW()-1)
   )
   /SUM(INDEX(W:W, ROW()-COUNTIF($F$6:INDEX($F:$F, ROW()-1), $F266)) : INDEX(W:W, ROW()-1)),
   AVERAGEIFS(
     INDEX((unit_details[Effective Rent],unit_details[Effective PSF]),0,1,IF($U$3="Chunk Rent",1,2)),
     unit_details[Leased Date],"&gt;="&amp;($AM$2-T$5),
     unit_details[Leased Date],"&lt;"&amp;$AM$2,
     unit_details[Beds],$L267,
     unit_details[Baths],$M267,
     unit_details[Partial Baths],IF(ISNUMBER($N267),$N267,""),
     unit_details[Sqft],$P267,
     unit_details[Property Name],$F267)
 ),"")</f>
        <v/>
      </c>
      <c r="V267" s="27" t="str">
        <f t="shared" si="54"/>
        <v/>
      </c>
      <c r="W267" s="526">
        <f>IFERROR(
  IF($F267="Total",
    SUM(INDEX(W:W, ROW()-COUNTIF($F$6:INDEX($F:$F, ROW()-1), $F266)) : INDEX(W:W, ROW()-1)),
    COUNTIFS(
      unit_details[Leased Date], "&gt;="&amp;($AM$2-T$5),
      unit_details[Leased Date], "&lt;"&amp;$AM$2,
      unit_details[Beds], $L267,
      unit_details[Baths], $M267,
      unit_details[Partial Baths], IF(ISNUMBER($N267), $N267, ""),
      unit_details[Sqft],$P267,
      unit_details[Property Name], $F267
    )
  ),
"")</f>
        <v>0</v>
      </c>
      <c r="X267" s="531" t="str">
        <f>IFERROR(
 IF($F267="Total",
   SUMPRODUCT(
   INDEX(X:X, ROW()-COUNTIF($F$6:INDEX($F:$F, ROW()-1), $F266)) : INDEX(X:X, ROW()-1),
   INDEX(AA:AA, ROW()-COUNTIF($F$6:INDEX($F:$F, ROW()-1), $F266)) : INDEX(AA:AA, ROW()-1)
   )
   /SUM(INDEX(AA:AA, ROW()-COUNTIF($F$6:INDEX($F:$F, ROW()-1), $F266)) : INDEX(AA:AA, ROW()-1)),
   AVERAGEIFS(
     INDEX((unit_details[Asking Rent],unit_details[Asking PSF]),0,1,IF($U$3="Chunk Rent",1,2)),
     unit_details[Leased Date],"&gt;="&amp;($AM$2-X$5),
     unit_details[Leased Date],"&lt;"&amp;$AM$2,
     unit_details[Beds],$L267,
     unit_details[Baths],$M267,
     unit_details[Partial Baths],IF(ISNUMBER($N267),$N267,""),
     unit_details[Sqft],$P267,
     unit_details[Property Name],$F267)
 ),"")</f>
        <v/>
      </c>
      <c r="Y267" s="552" t="str">
        <f>IFERROR(
 IF($F267="Total",
   SUMPRODUCT(
   INDEX(Y:Y, ROW()-COUNTIF($F$6:INDEX($F:$F, ROW()-1), $F266)) : INDEX(Y:Y, ROW()-1),
   INDEX(AA:AA, ROW()-COUNTIF($F$6:INDEX($F:$F, ROW()-1), $F266)) : INDEX(AA:AA, ROW()-1)
   )
   /SUM(INDEX(AA:AA, ROW()-COUNTIF($F$6:INDEX($F:$F, ROW()-1), $F266)) : INDEX(AA:AA, ROW()-1)),
   AVERAGEIFS(
     INDEX((unit_details[Effective Rent],unit_details[Effective PSF]),0,1,IF($U$3="Chunk Rent",1,2)),
     unit_details[Leased Date],"&gt;="&amp;($AM$2-X$5),
     unit_details[Leased Date],"&lt;"&amp;$AM$2,
     unit_details[Beds],$L267,
     unit_details[Baths],$M267,
     unit_details[Partial Baths],IF(ISNUMBER($N267),$N267,""),
     unit_details[Sqft],$P267,
     unit_details[Property Name],$F267)
 ),"")</f>
        <v/>
      </c>
      <c r="Z267" s="27" t="str">
        <f t="shared" si="55"/>
        <v/>
      </c>
      <c r="AA267" s="526">
        <f>IFERROR(
  IF($F267="Total",
    SUM(INDEX(AA:AA, ROW()-COUNTIF($F$6:INDEX($F:$F, ROW()-1), $F266)) : INDEX(AA:AA, ROW()-1)),
    COUNTIFS(
      unit_details[Leased Date], "&gt;="&amp;($AM$2-X$5),
      unit_details[Leased Date], "&lt;"&amp;$AM$2,
      unit_details[Beds], $L267,
      unit_details[Baths], $M267,
      unit_details[Partial Baths], IF(ISNUMBER($N267), $N267, ""),
      unit_details[Sqft],$P267,
      unit_details[Property Name], $F267
    )
  ),
"")</f>
        <v>0</v>
      </c>
      <c r="AB267" s="290">
        <f>IF($F267="Total",
SUM(INDEX(AB:AB, ROW()-COUNTIF($F$6:INDEX($F:$F, ROW()-1), $F266)) : INDEX(AB:AB, ROW()-1)),
COUNTIFS(unit_details[Active Listing?],TRUE,
          unit_details[Property Name], $F267,
          unit_details[Beds], $L267,
          unit_details[Baths], $M267,
          unit_details[Partial Baths],IF(ISNUMBER($N267),$N267,""),
          unit_details[Sqft],$P267))</f>
        <v>0</v>
      </c>
      <c r="AC267" s="27" t="str">
        <f t="shared" si="47"/>
        <v/>
      </c>
      <c r="AD267" s="293" t="str">
        <f>IFERROR(IF(AE267="","",IF($F267="Total",
SUMPRODUCT(
   INDEX(AD:AD, ROW()-COUNTIF($F$6:INDEX($F:$F, ROW()-1), $F266)) : INDEX(AD:AD, ROW()-1),
   INDEX(AB:AB, ROW()-COUNTIF($F$6:INDEX($F:$F, ROW()-1), $F266)) : INDEX(AB:AB, ROW()-1)
   )
   /SUM(INDEX(AB:AB, ROW()-COUNTIF($F$6:INDEX($F:$F, ROW()-1), $F266)) : INDEX(AB:AB, ROW()-1)),
          _xlfn.MINIFS(unit_details[Asking Rent],
          unit_details[Active Listing?],TRUE,
          unit_details[Property Name], $F267,
          unit_details[Beds], $L267,
          unit_details[Baths], $M267,
          unit_details[Partial Baths], IF(ISNUMBER($N267),$N267,""),
          unit_details[Sqft],$P267
))),"")</f>
        <v/>
      </c>
      <c r="AE267" s="5" t="str">
        <f>IFERROR(IF($F267="Total",
          SUMPRODUCT(
   INDEX(AE:AE, ROW()-COUNTIF($F$6:INDEX($F:$F, ROW()-1), $F266)) : INDEX(AE:AE, ROW()-1),
   INDEX(AB:AB, ROW()-COUNTIF($F$6:INDEX($F:$F, ROW()-1), $F266)) : INDEX(AB:AB, ROW()-1)
   )
   /SUM(INDEX(AB:AB, ROW()-COUNTIF($F$6:INDEX($F:$F, ROW()-1), $F266)) : INDEX(AB:AB, ROW()-1)),
          AVERAGEIFS(unit_details[Asking Rent],
          unit_details[Active Listing?],TRUE,
          unit_details[Property Name], $F267,
          unit_details[Beds], $L267,
          unit_details[Baths], $M267,
          unit_details[Partial Baths], IF(ISNUMBER($N267),$N267,""),
          unit_details[Sqft],$P267
)),"")</f>
        <v/>
      </c>
      <c r="AF267" s="5" t="str">
        <f>IFERROR(IF(AE267="","",IF($F267="Total",
SUMPRODUCT(
   INDEX(AF:AF, ROW()-COUNTIF($F$6:INDEX($F:$F, ROW()-1), $F266)) : INDEX(AF:AF, ROW()-1),
   INDEX(AB:AB, ROW()-COUNTIF($F$6:INDEX($F:$F, ROW()-1), $F266)) : INDEX(AB:AB, ROW()-1)
   )
   /SUM(INDEX(AB:AB, ROW()-COUNTIF($F$6:INDEX($F:$F, ROW()-1), $F266)) : INDEX(AB:AB, ROW()-1)),
           _xlfn.MAXIFS(unit_details[Asking Rent],
          unit_details[Active Listing?],TRUE,
          unit_details[Property Name], $F267,
          unit_details[Beds], $L267,
          unit_details[Baths], $M267,
          unit_details[Partial Baths], IF(ISNUMBER($N267),$N267,""),
          unit_details[Sqft],$P267
))),"")</f>
        <v/>
      </c>
      <c r="AG267" s="6" t="str">
        <f>IFERROR(IF($F267="Total",
         SUMPRODUCT(
         INDEX(AG:AG, ROW()-COUNTIF($F$6:INDEX($F:$F, ROW()-1), $F266)) : INDEX(AG:AG, ROW()-1),
         INDEX(AB:AB, ROW()-COUNTIF($F$6:INDEX($F:$F, ROW()-1), $F266)) : INDEX(AB:AB, ROW()-1)
         )
         /SUM(INDEX(AB:AB, ROW()-COUNTIF($F$6:INDEX($F:$F, ROW()-1), $F266)) : INDEX(AB:AB, ROW()-1)),
          AVERAGEIFS(unit_details[Asking PSF],
          unit_details[Active Listing?],TRUE,
          unit_details[Property Name], $F267,
          unit_details[Beds], $L267,
          unit_details[Baths], $M267,
          unit_details[Partial Baths], IF(ISNUMBER($N267),$N267,""),
          unit_details[Sqft],$P267
)),"")</f>
        <v/>
      </c>
      <c r="AH267" s="293" t="str">
        <f>IFERROR(IF($F267="Total",
         SUMPRODUCT(
         INDEX(AH:AH, ROW()-COUNTIF($F$6:INDEX($F:$F, ROW()-1), $F266)) : INDEX(AH:AH, ROW()-1),
         INDEX(AB:AB, ROW()-COUNTIF($F$6:INDEX($F:$F, ROW()-1), $F266)) : INDEX(AB:AB, ROW()-1)
         )
         /SUM(INDEX(AB:AB, ROW()-COUNTIF($F$6:INDEX($F:$F, ROW()-1), $F266)) : INDEX(AB:AB, ROW()-1)),
          AVERAGEIFS(unit_details[Effective Rent],
          unit_details[Active Listing?],TRUE,
          unit_details[Property Name], $F267,
          unit_details[Beds], $L267,
          unit_details[Baths], $M267,
          unit_details[Partial Baths], IF(ISNUMBER($N267),$N267,""),
          unit_details[Sqft],$P267
)),"")</f>
        <v/>
      </c>
      <c r="AI267" s="6" t="str">
        <f>IFERROR(IF($F267="Total",
         SUMPRODUCT(
         INDEX(AI:AI, ROW()-COUNTIF($F$6:INDEX($F:$F, ROW()-1), $F266)) : INDEX(AI:AI, ROW()-1),
         INDEX(AB:AB, ROW()-COUNTIF($F$6:INDEX($F:$F, ROW()-1), $F266)) : INDEX(AB:AB, ROW()-1)
         )
         /SUM(INDEX(AB:AB, ROW()-COUNTIF($F$6:INDEX($F:$F, ROW()-1), $F266)) : INDEX(AB:AB, ROW()-1)),
           AVERAGEIFS(unit_details[Effective PSF],
          unit_details[Active Listing?],TRUE,
          unit_details[Property Name], $F267,
          unit_details[Beds], $L267,
          unit_details[Baths], $M267,
          unit_details[Partial Baths], IF(ISNUMBER($N267),$N267,""),
          unit_details[Sqft],$P267
)),"")</f>
        <v/>
      </c>
      <c r="AJ267" s="824" t="str">
        <f t="shared" si="48"/>
        <v/>
      </c>
      <c r="AK267" s="531" t="str">
        <f t="shared" si="49"/>
        <v/>
      </c>
      <c r="AL267" s="714" t="str">
        <f t="shared" si="50"/>
        <v/>
      </c>
      <c r="AM267" s="531" t="str">
        <f t="shared" si="51"/>
        <v/>
      </c>
      <c r="AN267" s="716" t="str">
        <f t="shared" si="52"/>
        <v/>
      </c>
    </row>
    <row r="268" spans="6:40" x14ac:dyDescent="0.2">
      <c r="F268" s="1" t="str">
        <f t="shared" si="45"/>
        <v/>
      </c>
      <c r="G268" s="713" t="str">
        <f t="shared" si="53"/>
        <v/>
      </c>
      <c r="H268" s="17" t="str">
        <f>IFERROR(VLOOKUP($G268,Table1[[Property]:[Exposure %]],4,0),"")</f>
        <v/>
      </c>
      <c r="I268" s="3" t="str">
        <f>IFERROR(VLOOKUP($G268,Table1[[Property]:[Exposure %]],6,0),"")</f>
        <v/>
      </c>
      <c r="J268" s="3" t="str">
        <f>IFERROR(VLOOKUP($G268,Table1[[Property]:[Exposure %]],7,0),"")</f>
        <v/>
      </c>
      <c r="K268"/>
      <c r="L268"/>
      <c r="M268"/>
      <c r="N268"/>
      <c r="O268"/>
      <c r="P268"/>
      <c r="Q268"/>
      <c r="R268" s="4" t="str">
        <f>IFERROR(VLOOKUP(IF(F268="Total",F267,F268),Table1[[Property]:['# Units]],7,0)*S268,"")</f>
        <v/>
      </c>
      <c r="S268" s="27" t="str">
        <f t="shared" si="46"/>
        <v/>
      </c>
      <c r="T268" s="531" t="str">
        <f>IFERROR(
 IF($F268="Total",
   SUMPRODUCT(
   INDEX(T:T, ROW()-COUNTIF($F$6:INDEX($F:$F, ROW()-1), $F267)) : INDEX(T:T, ROW()-1),
   INDEX(W:W, ROW()-COUNTIF($F$6:INDEX($F:$F, ROW()-1), $F267)) : INDEX(W:W, ROW()-1)
   )
   /SUM(INDEX(W:W, ROW()-COUNTIF($F$6:INDEX($F:$F, ROW()-1), $F267)) : INDEX(W:W, ROW()-1)),
   AVERAGEIFS(
     INDEX((unit_details[Asking Rent],unit_details[Asking PSF]),0,1,IF($U$3="Chunk Rent",1,2)),
     unit_details[Leased Date],"&gt;="&amp;($AM$2-T$5),
     unit_details[Leased Date],"&lt;"&amp;$AM$2,
     unit_details[Beds],$L268,
     unit_details[Baths],$M268,
     unit_details[Partial Baths],IF(ISNUMBER($N268),$N268,""),
     unit_details[Sqft],$P268,
     unit_details[Property Name],$F268)
 ),"")</f>
        <v/>
      </c>
      <c r="U268" s="552" t="str">
        <f>IFERROR(
 IF($F268="Total",
   SUMPRODUCT(
   INDEX(U:U, ROW()-COUNTIF($F$6:INDEX($F:$F, ROW()-1), $F267)) : INDEX(U:U, ROW()-1),
   INDEX(W:W, ROW()-COUNTIF($F$6:INDEX($F:$F, ROW()-1), $F267)) : INDEX(W:W, ROW()-1)
   )
   /SUM(INDEX(W:W, ROW()-COUNTIF($F$6:INDEX($F:$F, ROW()-1), $F267)) : INDEX(W:W, ROW()-1)),
   AVERAGEIFS(
     INDEX((unit_details[Effective Rent],unit_details[Effective PSF]),0,1,IF($U$3="Chunk Rent",1,2)),
     unit_details[Leased Date],"&gt;="&amp;($AM$2-T$5),
     unit_details[Leased Date],"&lt;"&amp;$AM$2,
     unit_details[Beds],$L268,
     unit_details[Baths],$M268,
     unit_details[Partial Baths],IF(ISNUMBER($N268),$N268,""),
     unit_details[Sqft],$P268,
     unit_details[Property Name],$F268)
 ),"")</f>
        <v/>
      </c>
      <c r="V268" s="27" t="str">
        <f t="shared" si="54"/>
        <v/>
      </c>
      <c r="W268" s="526">
        <f>IFERROR(
  IF($F268="Total",
    SUM(INDEX(W:W, ROW()-COUNTIF($F$6:INDEX($F:$F, ROW()-1), $F267)) : INDEX(W:W, ROW()-1)),
    COUNTIFS(
      unit_details[Leased Date], "&gt;="&amp;($AM$2-T$5),
      unit_details[Leased Date], "&lt;"&amp;$AM$2,
      unit_details[Beds], $L268,
      unit_details[Baths], $M268,
      unit_details[Partial Baths], IF(ISNUMBER($N268), $N268, ""),
      unit_details[Sqft],$P268,
      unit_details[Property Name], $F268
    )
  ),
"")</f>
        <v>0</v>
      </c>
      <c r="X268" s="531" t="str">
        <f>IFERROR(
 IF($F268="Total",
   SUMPRODUCT(
   INDEX(X:X, ROW()-COUNTIF($F$6:INDEX($F:$F, ROW()-1), $F267)) : INDEX(X:X, ROW()-1),
   INDEX(AA:AA, ROW()-COUNTIF($F$6:INDEX($F:$F, ROW()-1), $F267)) : INDEX(AA:AA, ROW()-1)
   )
   /SUM(INDEX(AA:AA, ROW()-COUNTIF($F$6:INDEX($F:$F, ROW()-1), $F267)) : INDEX(AA:AA, ROW()-1)),
   AVERAGEIFS(
     INDEX((unit_details[Asking Rent],unit_details[Asking PSF]),0,1,IF($U$3="Chunk Rent",1,2)),
     unit_details[Leased Date],"&gt;="&amp;($AM$2-X$5),
     unit_details[Leased Date],"&lt;"&amp;$AM$2,
     unit_details[Beds],$L268,
     unit_details[Baths],$M268,
     unit_details[Partial Baths],IF(ISNUMBER($N268),$N268,""),
     unit_details[Sqft],$P268,
     unit_details[Property Name],$F268)
 ),"")</f>
        <v/>
      </c>
      <c r="Y268" s="552" t="str">
        <f>IFERROR(
 IF($F268="Total",
   SUMPRODUCT(
   INDEX(Y:Y, ROW()-COUNTIF($F$6:INDEX($F:$F, ROW()-1), $F267)) : INDEX(Y:Y, ROW()-1),
   INDEX(AA:AA, ROW()-COUNTIF($F$6:INDEX($F:$F, ROW()-1), $F267)) : INDEX(AA:AA, ROW()-1)
   )
   /SUM(INDEX(AA:AA, ROW()-COUNTIF($F$6:INDEX($F:$F, ROW()-1), $F267)) : INDEX(AA:AA, ROW()-1)),
   AVERAGEIFS(
     INDEX((unit_details[Effective Rent],unit_details[Effective PSF]),0,1,IF($U$3="Chunk Rent",1,2)),
     unit_details[Leased Date],"&gt;="&amp;($AM$2-X$5),
     unit_details[Leased Date],"&lt;"&amp;$AM$2,
     unit_details[Beds],$L268,
     unit_details[Baths],$M268,
     unit_details[Partial Baths],IF(ISNUMBER($N268),$N268,""),
     unit_details[Sqft],$P268,
     unit_details[Property Name],$F268)
 ),"")</f>
        <v/>
      </c>
      <c r="Z268" s="27" t="str">
        <f t="shared" si="55"/>
        <v/>
      </c>
      <c r="AA268" s="526">
        <f>IFERROR(
  IF($F268="Total",
    SUM(INDEX(AA:AA, ROW()-COUNTIF($F$6:INDEX($F:$F, ROW()-1), $F267)) : INDEX(AA:AA, ROW()-1)),
    COUNTIFS(
      unit_details[Leased Date], "&gt;="&amp;($AM$2-X$5),
      unit_details[Leased Date], "&lt;"&amp;$AM$2,
      unit_details[Beds], $L268,
      unit_details[Baths], $M268,
      unit_details[Partial Baths], IF(ISNUMBER($N268), $N268, ""),
      unit_details[Sqft],$P268,
      unit_details[Property Name], $F268
    )
  ),
"")</f>
        <v>0</v>
      </c>
      <c r="AB268" s="290">
        <f>IF($F268="Total",
SUM(INDEX(AB:AB, ROW()-COUNTIF($F$6:INDEX($F:$F, ROW()-1), $F267)) : INDEX(AB:AB, ROW()-1)),
COUNTIFS(unit_details[Active Listing?],TRUE,
          unit_details[Property Name], $F268,
          unit_details[Beds], $L268,
          unit_details[Baths], $M268,
          unit_details[Partial Baths],IF(ISNUMBER($N268),$N268,""),
          unit_details[Sqft],$P268))</f>
        <v>0</v>
      </c>
      <c r="AC268" s="27" t="str">
        <f t="shared" si="47"/>
        <v/>
      </c>
      <c r="AD268" s="293" t="str">
        <f>IFERROR(IF(AE268="","",IF($F268="Total",
SUMPRODUCT(
   INDEX(AD:AD, ROW()-COUNTIF($F$6:INDEX($F:$F, ROW()-1), $F267)) : INDEX(AD:AD, ROW()-1),
   INDEX(AB:AB, ROW()-COUNTIF($F$6:INDEX($F:$F, ROW()-1), $F267)) : INDEX(AB:AB, ROW()-1)
   )
   /SUM(INDEX(AB:AB, ROW()-COUNTIF($F$6:INDEX($F:$F, ROW()-1), $F267)) : INDEX(AB:AB, ROW()-1)),
          _xlfn.MINIFS(unit_details[Asking Rent],
          unit_details[Active Listing?],TRUE,
          unit_details[Property Name], $F268,
          unit_details[Beds], $L268,
          unit_details[Baths], $M268,
          unit_details[Partial Baths], IF(ISNUMBER($N268),$N268,""),
          unit_details[Sqft],$P268
))),"")</f>
        <v/>
      </c>
      <c r="AE268" s="5" t="str">
        <f>IFERROR(IF($F268="Total",
          SUMPRODUCT(
   INDEX(AE:AE, ROW()-COUNTIF($F$6:INDEX($F:$F, ROW()-1), $F267)) : INDEX(AE:AE, ROW()-1),
   INDEX(AB:AB, ROW()-COUNTIF($F$6:INDEX($F:$F, ROW()-1), $F267)) : INDEX(AB:AB, ROW()-1)
   )
   /SUM(INDEX(AB:AB, ROW()-COUNTIF($F$6:INDEX($F:$F, ROW()-1), $F267)) : INDEX(AB:AB, ROW()-1)),
          AVERAGEIFS(unit_details[Asking Rent],
          unit_details[Active Listing?],TRUE,
          unit_details[Property Name], $F268,
          unit_details[Beds], $L268,
          unit_details[Baths], $M268,
          unit_details[Partial Baths], IF(ISNUMBER($N268),$N268,""),
          unit_details[Sqft],$P268
)),"")</f>
        <v/>
      </c>
      <c r="AF268" s="5" t="str">
        <f>IFERROR(IF(AE268="","",IF($F268="Total",
SUMPRODUCT(
   INDEX(AF:AF, ROW()-COUNTIF($F$6:INDEX($F:$F, ROW()-1), $F267)) : INDEX(AF:AF, ROW()-1),
   INDEX(AB:AB, ROW()-COUNTIF($F$6:INDEX($F:$F, ROW()-1), $F267)) : INDEX(AB:AB, ROW()-1)
   )
   /SUM(INDEX(AB:AB, ROW()-COUNTIF($F$6:INDEX($F:$F, ROW()-1), $F267)) : INDEX(AB:AB, ROW()-1)),
           _xlfn.MAXIFS(unit_details[Asking Rent],
          unit_details[Active Listing?],TRUE,
          unit_details[Property Name], $F268,
          unit_details[Beds], $L268,
          unit_details[Baths], $M268,
          unit_details[Partial Baths], IF(ISNUMBER($N268),$N268,""),
          unit_details[Sqft],$P268
))),"")</f>
        <v/>
      </c>
      <c r="AG268" s="6" t="str">
        <f>IFERROR(IF($F268="Total",
         SUMPRODUCT(
         INDEX(AG:AG, ROW()-COUNTIF($F$6:INDEX($F:$F, ROW()-1), $F267)) : INDEX(AG:AG, ROW()-1),
         INDEX(AB:AB, ROW()-COUNTIF($F$6:INDEX($F:$F, ROW()-1), $F267)) : INDEX(AB:AB, ROW()-1)
         )
         /SUM(INDEX(AB:AB, ROW()-COUNTIF($F$6:INDEX($F:$F, ROW()-1), $F267)) : INDEX(AB:AB, ROW()-1)),
          AVERAGEIFS(unit_details[Asking PSF],
          unit_details[Active Listing?],TRUE,
          unit_details[Property Name], $F268,
          unit_details[Beds], $L268,
          unit_details[Baths], $M268,
          unit_details[Partial Baths], IF(ISNUMBER($N268),$N268,""),
          unit_details[Sqft],$P268
)),"")</f>
        <v/>
      </c>
      <c r="AH268" s="293" t="str">
        <f>IFERROR(IF($F268="Total",
         SUMPRODUCT(
         INDEX(AH:AH, ROW()-COUNTIF($F$6:INDEX($F:$F, ROW()-1), $F267)) : INDEX(AH:AH, ROW()-1),
         INDEX(AB:AB, ROW()-COUNTIF($F$6:INDEX($F:$F, ROW()-1), $F267)) : INDEX(AB:AB, ROW()-1)
         )
         /SUM(INDEX(AB:AB, ROW()-COUNTIF($F$6:INDEX($F:$F, ROW()-1), $F267)) : INDEX(AB:AB, ROW()-1)),
          AVERAGEIFS(unit_details[Effective Rent],
          unit_details[Active Listing?],TRUE,
          unit_details[Property Name], $F268,
          unit_details[Beds], $L268,
          unit_details[Baths], $M268,
          unit_details[Partial Baths], IF(ISNUMBER($N268),$N268,""),
          unit_details[Sqft],$P268
)),"")</f>
        <v/>
      </c>
      <c r="AI268" s="6" t="str">
        <f>IFERROR(IF($F268="Total",
         SUMPRODUCT(
         INDEX(AI:AI, ROW()-COUNTIF($F$6:INDEX($F:$F, ROW()-1), $F267)) : INDEX(AI:AI, ROW()-1),
         INDEX(AB:AB, ROW()-COUNTIF($F$6:INDEX($F:$F, ROW()-1), $F267)) : INDEX(AB:AB, ROW()-1)
         )
         /SUM(INDEX(AB:AB, ROW()-COUNTIF($F$6:INDEX($F:$F, ROW()-1), $F267)) : INDEX(AB:AB, ROW()-1)),
           AVERAGEIFS(unit_details[Effective PSF],
          unit_details[Active Listing?],TRUE,
          unit_details[Property Name], $F268,
          unit_details[Beds], $L268,
          unit_details[Baths], $M268,
          unit_details[Partial Baths], IF(ISNUMBER($N268),$N268,""),
          unit_details[Sqft],$P268
)),"")</f>
        <v/>
      </c>
      <c r="AJ268" s="824" t="str">
        <f t="shared" si="48"/>
        <v/>
      </c>
      <c r="AK268" s="531" t="str">
        <f t="shared" si="49"/>
        <v/>
      </c>
      <c r="AL268" s="714" t="str">
        <f t="shared" si="50"/>
        <v/>
      </c>
      <c r="AM268" s="531" t="str">
        <f t="shared" si="51"/>
        <v/>
      </c>
      <c r="AN268" s="716" t="str">
        <f t="shared" si="52"/>
        <v/>
      </c>
    </row>
    <row r="269" spans="6:40" x14ac:dyDescent="0.2">
      <c r="F269" s="1" t="str">
        <f t="shared" si="45"/>
        <v/>
      </c>
      <c r="G269" s="713" t="str">
        <f t="shared" si="53"/>
        <v/>
      </c>
      <c r="H269" s="17" t="str">
        <f>IFERROR(VLOOKUP($G269,Table1[[Property]:[Exposure %]],4,0),"")</f>
        <v/>
      </c>
      <c r="I269" s="3" t="str">
        <f>IFERROR(VLOOKUP($G269,Table1[[Property]:[Exposure %]],6,0),"")</f>
        <v/>
      </c>
      <c r="J269" s="3" t="str">
        <f>IFERROR(VLOOKUP($G269,Table1[[Property]:[Exposure %]],7,0),"")</f>
        <v/>
      </c>
      <c r="K269"/>
      <c r="L269"/>
      <c r="M269"/>
      <c r="N269"/>
      <c r="O269"/>
      <c r="P269"/>
      <c r="Q269"/>
      <c r="R269" s="4" t="str">
        <f>IFERROR(VLOOKUP(IF(F269="Total",F268,F269),Table1[[Property]:['# Units]],7,0)*S269,"")</f>
        <v/>
      </c>
      <c r="S269" s="27" t="str">
        <f t="shared" si="46"/>
        <v/>
      </c>
      <c r="T269" s="531" t="str">
        <f>IFERROR(
 IF($F269="Total",
   SUMPRODUCT(
   INDEX(T:T, ROW()-COUNTIF($F$6:INDEX($F:$F, ROW()-1), $F268)) : INDEX(T:T, ROW()-1),
   INDEX(W:W, ROW()-COUNTIF($F$6:INDEX($F:$F, ROW()-1), $F268)) : INDEX(W:W, ROW()-1)
   )
   /SUM(INDEX(W:W, ROW()-COUNTIF($F$6:INDEX($F:$F, ROW()-1), $F268)) : INDEX(W:W, ROW()-1)),
   AVERAGEIFS(
     INDEX((unit_details[Asking Rent],unit_details[Asking PSF]),0,1,IF($U$3="Chunk Rent",1,2)),
     unit_details[Leased Date],"&gt;="&amp;($AM$2-T$5),
     unit_details[Leased Date],"&lt;"&amp;$AM$2,
     unit_details[Beds],$L269,
     unit_details[Baths],$M269,
     unit_details[Partial Baths],IF(ISNUMBER($N269),$N269,""),
     unit_details[Sqft],$P269,
     unit_details[Property Name],$F269)
 ),"")</f>
        <v/>
      </c>
      <c r="U269" s="552" t="str">
        <f>IFERROR(
 IF($F269="Total",
   SUMPRODUCT(
   INDEX(U:U, ROW()-COUNTIF($F$6:INDEX($F:$F, ROW()-1), $F268)) : INDEX(U:U, ROW()-1),
   INDEX(W:W, ROW()-COUNTIF($F$6:INDEX($F:$F, ROW()-1), $F268)) : INDEX(W:W, ROW()-1)
   )
   /SUM(INDEX(W:W, ROW()-COUNTIF($F$6:INDEX($F:$F, ROW()-1), $F268)) : INDEX(W:W, ROW()-1)),
   AVERAGEIFS(
     INDEX((unit_details[Effective Rent],unit_details[Effective PSF]),0,1,IF($U$3="Chunk Rent",1,2)),
     unit_details[Leased Date],"&gt;="&amp;($AM$2-T$5),
     unit_details[Leased Date],"&lt;"&amp;$AM$2,
     unit_details[Beds],$L269,
     unit_details[Baths],$M269,
     unit_details[Partial Baths],IF(ISNUMBER($N269),$N269,""),
     unit_details[Sqft],$P269,
     unit_details[Property Name],$F269)
 ),"")</f>
        <v/>
      </c>
      <c r="V269" s="27" t="str">
        <f t="shared" si="54"/>
        <v/>
      </c>
      <c r="W269" s="526">
        <f>IFERROR(
  IF($F269="Total",
    SUM(INDEX(W:W, ROW()-COUNTIF($F$6:INDEX($F:$F, ROW()-1), $F268)) : INDEX(W:W, ROW()-1)),
    COUNTIFS(
      unit_details[Leased Date], "&gt;="&amp;($AM$2-T$5),
      unit_details[Leased Date], "&lt;"&amp;$AM$2,
      unit_details[Beds], $L269,
      unit_details[Baths], $M269,
      unit_details[Partial Baths], IF(ISNUMBER($N269), $N269, ""),
      unit_details[Sqft],$P269,
      unit_details[Property Name], $F269
    )
  ),
"")</f>
        <v>0</v>
      </c>
      <c r="X269" s="531" t="str">
        <f>IFERROR(
 IF($F269="Total",
   SUMPRODUCT(
   INDEX(X:X, ROW()-COUNTIF($F$6:INDEX($F:$F, ROW()-1), $F268)) : INDEX(X:X, ROW()-1),
   INDEX(AA:AA, ROW()-COUNTIF($F$6:INDEX($F:$F, ROW()-1), $F268)) : INDEX(AA:AA, ROW()-1)
   )
   /SUM(INDEX(AA:AA, ROW()-COUNTIF($F$6:INDEX($F:$F, ROW()-1), $F268)) : INDEX(AA:AA, ROW()-1)),
   AVERAGEIFS(
     INDEX((unit_details[Asking Rent],unit_details[Asking PSF]),0,1,IF($U$3="Chunk Rent",1,2)),
     unit_details[Leased Date],"&gt;="&amp;($AM$2-X$5),
     unit_details[Leased Date],"&lt;"&amp;$AM$2,
     unit_details[Beds],$L269,
     unit_details[Baths],$M269,
     unit_details[Partial Baths],IF(ISNUMBER($N269),$N269,""),
     unit_details[Sqft],$P269,
     unit_details[Property Name],$F269)
 ),"")</f>
        <v/>
      </c>
      <c r="Y269" s="552" t="str">
        <f>IFERROR(
 IF($F269="Total",
   SUMPRODUCT(
   INDEX(Y:Y, ROW()-COUNTIF($F$6:INDEX($F:$F, ROW()-1), $F268)) : INDEX(Y:Y, ROW()-1),
   INDEX(AA:AA, ROW()-COUNTIF($F$6:INDEX($F:$F, ROW()-1), $F268)) : INDEX(AA:AA, ROW()-1)
   )
   /SUM(INDEX(AA:AA, ROW()-COUNTIF($F$6:INDEX($F:$F, ROW()-1), $F268)) : INDEX(AA:AA, ROW()-1)),
   AVERAGEIFS(
     INDEX((unit_details[Effective Rent],unit_details[Effective PSF]),0,1,IF($U$3="Chunk Rent",1,2)),
     unit_details[Leased Date],"&gt;="&amp;($AM$2-X$5),
     unit_details[Leased Date],"&lt;"&amp;$AM$2,
     unit_details[Beds],$L269,
     unit_details[Baths],$M269,
     unit_details[Partial Baths],IF(ISNUMBER($N269),$N269,""),
     unit_details[Sqft],$P269,
     unit_details[Property Name],$F269)
 ),"")</f>
        <v/>
      </c>
      <c r="Z269" s="27" t="str">
        <f t="shared" si="55"/>
        <v/>
      </c>
      <c r="AA269" s="526">
        <f>IFERROR(
  IF($F269="Total",
    SUM(INDEX(AA:AA, ROW()-COUNTIF($F$6:INDEX($F:$F, ROW()-1), $F268)) : INDEX(AA:AA, ROW()-1)),
    COUNTIFS(
      unit_details[Leased Date], "&gt;="&amp;($AM$2-X$5),
      unit_details[Leased Date], "&lt;"&amp;$AM$2,
      unit_details[Beds], $L269,
      unit_details[Baths], $M269,
      unit_details[Partial Baths], IF(ISNUMBER($N269), $N269, ""),
      unit_details[Sqft],$P269,
      unit_details[Property Name], $F269
    )
  ),
"")</f>
        <v>0</v>
      </c>
      <c r="AB269" s="290">
        <f>IF($F269="Total",
SUM(INDEX(AB:AB, ROW()-COUNTIF($F$6:INDEX($F:$F, ROW()-1), $F268)) : INDEX(AB:AB, ROW()-1)),
COUNTIFS(unit_details[Active Listing?],TRUE,
          unit_details[Property Name], $F269,
          unit_details[Beds], $L269,
          unit_details[Baths], $M269,
          unit_details[Partial Baths],IF(ISNUMBER($N269),$N269,""),
          unit_details[Sqft],$P269))</f>
        <v>0</v>
      </c>
      <c r="AC269" s="27" t="str">
        <f t="shared" si="47"/>
        <v/>
      </c>
      <c r="AD269" s="293" t="str">
        <f>IFERROR(IF(AE269="","",IF($F269="Total",
SUMPRODUCT(
   INDEX(AD:AD, ROW()-COUNTIF($F$6:INDEX($F:$F, ROW()-1), $F268)) : INDEX(AD:AD, ROW()-1),
   INDEX(AB:AB, ROW()-COUNTIF($F$6:INDEX($F:$F, ROW()-1), $F268)) : INDEX(AB:AB, ROW()-1)
   )
   /SUM(INDEX(AB:AB, ROW()-COUNTIF($F$6:INDEX($F:$F, ROW()-1), $F268)) : INDEX(AB:AB, ROW()-1)),
          _xlfn.MINIFS(unit_details[Asking Rent],
          unit_details[Active Listing?],TRUE,
          unit_details[Property Name], $F269,
          unit_details[Beds], $L269,
          unit_details[Baths], $M269,
          unit_details[Partial Baths], IF(ISNUMBER($N269),$N269,""),
          unit_details[Sqft],$P269
))),"")</f>
        <v/>
      </c>
      <c r="AE269" s="5" t="str">
        <f>IFERROR(IF($F269="Total",
          SUMPRODUCT(
   INDEX(AE:AE, ROW()-COUNTIF($F$6:INDEX($F:$F, ROW()-1), $F268)) : INDEX(AE:AE, ROW()-1),
   INDEX(AB:AB, ROW()-COUNTIF($F$6:INDEX($F:$F, ROW()-1), $F268)) : INDEX(AB:AB, ROW()-1)
   )
   /SUM(INDEX(AB:AB, ROW()-COUNTIF($F$6:INDEX($F:$F, ROW()-1), $F268)) : INDEX(AB:AB, ROW()-1)),
          AVERAGEIFS(unit_details[Asking Rent],
          unit_details[Active Listing?],TRUE,
          unit_details[Property Name], $F269,
          unit_details[Beds], $L269,
          unit_details[Baths], $M269,
          unit_details[Partial Baths], IF(ISNUMBER($N269),$N269,""),
          unit_details[Sqft],$P269
)),"")</f>
        <v/>
      </c>
      <c r="AF269" s="5" t="str">
        <f>IFERROR(IF(AE269="","",IF($F269="Total",
SUMPRODUCT(
   INDEX(AF:AF, ROW()-COUNTIF($F$6:INDEX($F:$F, ROW()-1), $F268)) : INDEX(AF:AF, ROW()-1),
   INDEX(AB:AB, ROW()-COUNTIF($F$6:INDEX($F:$F, ROW()-1), $F268)) : INDEX(AB:AB, ROW()-1)
   )
   /SUM(INDEX(AB:AB, ROW()-COUNTIF($F$6:INDEX($F:$F, ROW()-1), $F268)) : INDEX(AB:AB, ROW()-1)),
           _xlfn.MAXIFS(unit_details[Asking Rent],
          unit_details[Active Listing?],TRUE,
          unit_details[Property Name], $F269,
          unit_details[Beds], $L269,
          unit_details[Baths], $M269,
          unit_details[Partial Baths], IF(ISNUMBER($N269),$N269,""),
          unit_details[Sqft],$P269
))),"")</f>
        <v/>
      </c>
      <c r="AG269" s="6" t="str">
        <f>IFERROR(IF($F269="Total",
         SUMPRODUCT(
         INDEX(AG:AG, ROW()-COUNTIF($F$6:INDEX($F:$F, ROW()-1), $F268)) : INDEX(AG:AG, ROW()-1),
         INDEX(AB:AB, ROW()-COUNTIF($F$6:INDEX($F:$F, ROW()-1), $F268)) : INDEX(AB:AB, ROW()-1)
         )
         /SUM(INDEX(AB:AB, ROW()-COUNTIF($F$6:INDEX($F:$F, ROW()-1), $F268)) : INDEX(AB:AB, ROW()-1)),
          AVERAGEIFS(unit_details[Asking PSF],
          unit_details[Active Listing?],TRUE,
          unit_details[Property Name], $F269,
          unit_details[Beds], $L269,
          unit_details[Baths], $M269,
          unit_details[Partial Baths], IF(ISNUMBER($N269),$N269,""),
          unit_details[Sqft],$P269
)),"")</f>
        <v/>
      </c>
      <c r="AH269" s="293" t="str">
        <f>IFERROR(IF($F269="Total",
         SUMPRODUCT(
         INDEX(AH:AH, ROW()-COUNTIF($F$6:INDEX($F:$F, ROW()-1), $F268)) : INDEX(AH:AH, ROW()-1),
         INDEX(AB:AB, ROW()-COUNTIF($F$6:INDEX($F:$F, ROW()-1), $F268)) : INDEX(AB:AB, ROW()-1)
         )
         /SUM(INDEX(AB:AB, ROW()-COUNTIF($F$6:INDEX($F:$F, ROW()-1), $F268)) : INDEX(AB:AB, ROW()-1)),
          AVERAGEIFS(unit_details[Effective Rent],
          unit_details[Active Listing?],TRUE,
          unit_details[Property Name], $F269,
          unit_details[Beds], $L269,
          unit_details[Baths], $M269,
          unit_details[Partial Baths], IF(ISNUMBER($N269),$N269,""),
          unit_details[Sqft],$P269
)),"")</f>
        <v/>
      </c>
      <c r="AI269" s="6" t="str">
        <f>IFERROR(IF($F269="Total",
         SUMPRODUCT(
         INDEX(AI:AI, ROW()-COUNTIF($F$6:INDEX($F:$F, ROW()-1), $F268)) : INDEX(AI:AI, ROW()-1),
         INDEX(AB:AB, ROW()-COUNTIF($F$6:INDEX($F:$F, ROW()-1), $F268)) : INDEX(AB:AB, ROW()-1)
         )
         /SUM(INDEX(AB:AB, ROW()-COUNTIF($F$6:INDEX($F:$F, ROW()-1), $F268)) : INDEX(AB:AB, ROW()-1)),
           AVERAGEIFS(unit_details[Effective PSF],
          unit_details[Active Listing?],TRUE,
          unit_details[Property Name], $F269,
          unit_details[Beds], $L269,
          unit_details[Baths], $M269,
          unit_details[Partial Baths], IF(ISNUMBER($N269),$N269,""),
          unit_details[Sqft],$P269
)),"")</f>
        <v/>
      </c>
      <c r="AJ269" s="824" t="str">
        <f t="shared" si="48"/>
        <v/>
      </c>
      <c r="AK269" s="531" t="str">
        <f t="shared" si="49"/>
        <v/>
      </c>
      <c r="AL269" s="714" t="str">
        <f t="shared" si="50"/>
        <v/>
      </c>
      <c r="AM269" s="531" t="str">
        <f t="shared" si="51"/>
        <v/>
      </c>
      <c r="AN269" s="716" t="str">
        <f t="shared" si="52"/>
        <v/>
      </c>
    </row>
    <row r="270" spans="6:40" x14ac:dyDescent="0.2">
      <c r="F270" s="1" t="str">
        <f t="shared" si="45"/>
        <v/>
      </c>
      <c r="G270" s="713" t="str">
        <f t="shared" si="53"/>
        <v/>
      </c>
      <c r="H270" s="17" t="str">
        <f>IFERROR(VLOOKUP($G270,Table1[[Property]:[Exposure %]],4,0),"")</f>
        <v/>
      </c>
      <c r="I270" s="3" t="str">
        <f>IFERROR(VLOOKUP($G270,Table1[[Property]:[Exposure %]],6,0),"")</f>
        <v/>
      </c>
      <c r="J270" s="3" t="str">
        <f>IFERROR(VLOOKUP($G270,Table1[[Property]:[Exposure %]],7,0),"")</f>
        <v/>
      </c>
      <c r="K270"/>
      <c r="L270"/>
      <c r="M270"/>
      <c r="N270"/>
      <c r="O270"/>
      <c r="P270"/>
      <c r="Q270"/>
      <c r="R270" s="4" t="str">
        <f>IFERROR(VLOOKUP(IF(F270="Total",F269,F270),Table1[[Property]:['# Units]],7,0)*S270,"")</f>
        <v/>
      </c>
      <c r="S270" s="27" t="str">
        <f t="shared" si="46"/>
        <v/>
      </c>
      <c r="T270" s="531" t="str">
        <f>IFERROR(
 IF($F270="Total",
   SUMPRODUCT(
   INDEX(T:T, ROW()-COUNTIF($F$6:INDEX($F:$F, ROW()-1), $F269)) : INDEX(T:T, ROW()-1),
   INDEX(W:W, ROW()-COUNTIF($F$6:INDEX($F:$F, ROW()-1), $F269)) : INDEX(W:W, ROW()-1)
   )
   /SUM(INDEX(W:W, ROW()-COUNTIF($F$6:INDEX($F:$F, ROW()-1), $F269)) : INDEX(W:W, ROW()-1)),
   AVERAGEIFS(
     INDEX((unit_details[Asking Rent],unit_details[Asking PSF]),0,1,IF($U$3="Chunk Rent",1,2)),
     unit_details[Leased Date],"&gt;="&amp;($AM$2-T$5),
     unit_details[Leased Date],"&lt;"&amp;$AM$2,
     unit_details[Beds],$L270,
     unit_details[Baths],$M270,
     unit_details[Partial Baths],IF(ISNUMBER($N270),$N270,""),
     unit_details[Sqft],$P270,
     unit_details[Property Name],$F270)
 ),"")</f>
        <v/>
      </c>
      <c r="U270" s="552" t="str">
        <f>IFERROR(
 IF($F270="Total",
   SUMPRODUCT(
   INDEX(U:U, ROW()-COUNTIF($F$6:INDEX($F:$F, ROW()-1), $F269)) : INDEX(U:U, ROW()-1),
   INDEX(W:W, ROW()-COUNTIF($F$6:INDEX($F:$F, ROW()-1), $F269)) : INDEX(W:W, ROW()-1)
   )
   /SUM(INDEX(W:W, ROW()-COUNTIF($F$6:INDEX($F:$F, ROW()-1), $F269)) : INDEX(W:W, ROW()-1)),
   AVERAGEIFS(
     INDEX((unit_details[Effective Rent],unit_details[Effective PSF]),0,1,IF($U$3="Chunk Rent",1,2)),
     unit_details[Leased Date],"&gt;="&amp;($AM$2-T$5),
     unit_details[Leased Date],"&lt;"&amp;$AM$2,
     unit_details[Beds],$L270,
     unit_details[Baths],$M270,
     unit_details[Partial Baths],IF(ISNUMBER($N270),$N270,""),
     unit_details[Sqft],$P270,
     unit_details[Property Name],$F270)
 ),"")</f>
        <v/>
      </c>
      <c r="V270" s="27" t="str">
        <f t="shared" si="54"/>
        <v/>
      </c>
      <c r="W270" s="526">
        <f>IFERROR(
  IF($F270="Total",
    SUM(INDEX(W:W, ROW()-COUNTIF($F$6:INDEX($F:$F, ROW()-1), $F269)) : INDEX(W:W, ROW()-1)),
    COUNTIFS(
      unit_details[Leased Date], "&gt;="&amp;($AM$2-T$5),
      unit_details[Leased Date], "&lt;"&amp;$AM$2,
      unit_details[Beds], $L270,
      unit_details[Baths], $M270,
      unit_details[Partial Baths], IF(ISNUMBER($N270), $N270, ""),
      unit_details[Sqft],$P270,
      unit_details[Property Name], $F270
    )
  ),
"")</f>
        <v>0</v>
      </c>
      <c r="X270" s="531" t="str">
        <f>IFERROR(
 IF($F270="Total",
   SUMPRODUCT(
   INDEX(X:X, ROW()-COUNTIF($F$6:INDEX($F:$F, ROW()-1), $F269)) : INDEX(X:X, ROW()-1),
   INDEX(AA:AA, ROW()-COUNTIF($F$6:INDEX($F:$F, ROW()-1), $F269)) : INDEX(AA:AA, ROW()-1)
   )
   /SUM(INDEX(AA:AA, ROW()-COUNTIF($F$6:INDEX($F:$F, ROW()-1), $F269)) : INDEX(AA:AA, ROW()-1)),
   AVERAGEIFS(
     INDEX((unit_details[Asking Rent],unit_details[Asking PSF]),0,1,IF($U$3="Chunk Rent",1,2)),
     unit_details[Leased Date],"&gt;="&amp;($AM$2-X$5),
     unit_details[Leased Date],"&lt;"&amp;$AM$2,
     unit_details[Beds],$L270,
     unit_details[Baths],$M270,
     unit_details[Partial Baths],IF(ISNUMBER($N270),$N270,""),
     unit_details[Sqft],$P270,
     unit_details[Property Name],$F270)
 ),"")</f>
        <v/>
      </c>
      <c r="Y270" s="552" t="str">
        <f>IFERROR(
 IF($F270="Total",
   SUMPRODUCT(
   INDEX(Y:Y, ROW()-COUNTIF($F$6:INDEX($F:$F, ROW()-1), $F269)) : INDEX(Y:Y, ROW()-1),
   INDEX(AA:AA, ROW()-COUNTIF($F$6:INDEX($F:$F, ROW()-1), $F269)) : INDEX(AA:AA, ROW()-1)
   )
   /SUM(INDEX(AA:AA, ROW()-COUNTIF($F$6:INDEX($F:$F, ROW()-1), $F269)) : INDEX(AA:AA, ROW()-1)),
   AVERAGEIFS(
     INDEX((unit_details[Effective Rent],unit_details[Effective PSF]),0,1,IF($U$3="Chunk Rent",1,2)),
     unit_details[Leased Date],"&gt;="&amp;($AM$2-X$5),
     unit_details[Leased Date],"&lt;"&amp;$AM$2,
     unit_details[Beds],$L270,
     unit_details[Baths],$M270,
     unit_details[Partial Baths],IF(ISNUMBER($N270),$N270,""),
     unit_details[Sqft],$P270,
     unit_details[Property Name],$F270)
 ),"")</f>
        <v/>
      </c>
      <c r="Z270" s="27" t="str">
        <f t="shared" si="55"/>
        <v/>
      </c>
      <c r="AA270" s="526">
        <f>IFERROR(
  IF($F270="Total",
    SUM(INDEX(AA:AA, ROW()-COUNTIF($F$6:INDEX($F:$F, ROW()-1), $F269)) : INDEX(AA:AA, ROW()-1)),
    COUNTIFS(
      unit_details[Leased Date], "&gt;="&amp;($AM$2-X$5),
      unit_details[Leased Date], "&lt;"&amp;$AM$2,
      unit_details[Beds], $L270,
      unit_details[Baths], $M270,
      unit_details[Partial Baths], IF(ISNUMBER($N270), $N270, ""),
      unit_details[Sqft],$P270,
      unit_details[Property Name], $F270
    )
  ),
"")</f>
        <v>0</v>
      </c>
      <c r="AB270" s="290">
        <f>IF($F270="Total",
SUM(INDEX(AB:AB, ROW()-COUNTIF($F$6:INDEX($F:$F, ROW()-1), $F269)) : INDEX(AB:AB, ROW()-1)),
COUNTIFS(unit_details[Active Listing?],TRUE,
          unit_details[Property Name], $F270,
          unit_details[Beds], $L270,
          unit_details[Baths], $M270,
          unit_details[Partial Baths],IF(ISNUMBER($N270),$N270,""),
          unit_details[Sqft],$P270))</f>
        <v>0</v>
      </c>
      <c r="AC270" s="27" t="str">
        <f t="shared" si="47"/>
        <v/>
      </c>
      <c r="AD270" s="293" t="str">
        <f>IFERROR(IF(AE270="","",IF($F270="Total",
SUMPRODUCT(
   INDEX(AD:AD, ROW()-COUNTIF($F$6:INDEX($F:$F, ROW()-1), $F269)) : INDEX(AD:AD, ROW()-1),
   INDEX(AB:AB, ROW()-COUNTIF($F$6:INDEX($F:$F, ROW()-1), $F269)) : INDEX(AB:AB, ROW()-1)
   )
   /SUM(INDEX(AB:AB, ROW()-COUNTIF($F$6:INDEX($F:$F, ROW()-1), $F269)) : INDEX(AB:AB, ROW()-1)),
          _xlfn.MINIFS(unit_details[Asking Rent],
          unit_details[Active Listing?],TRUE,
          unit_details[Property Name], $F270,
          unit_details[Beds], $L270,
          unit_details[Baths], $M270,
          unit_details[Partial Baths], IF(ISNUMBER($N270),$N270,""),
          unit_details[Sqft],$P270
))),"")</f>
        <v/>
      </c>
      <c r="AE270" s="5" t="str">
        <f>IFERROR(IF($F270="Total",
          SUMPRODUCT(
   INDEX(AE:AE, ROW()-COUNTIF($F$6:INDEX($F:$F, ROW()-1), $F269)) : INDEX(AE:AE, ROW()-1),
   INDEX(AB:AB, ROW()-COUNTIF($F$6:INDEX($F:$F, ROW()-1), $F269)) : INDEX(AB:AB, ROW()-1)
   )
   /SUM(INDEX(AB:AB, ROW()-COUNTIF($F$6:INDEX($F:$F, ROW()-1), $F269)) : INDEX(AB:AB, ROW()-1)),
          AVERAGEIFS(unit_details[Asking Rent],
          unit_details[Active Listing?],TRUE,
          unit_details[Property Name], $F270,
          unit_details[Beds], $L270,
          unit_details[Baths], $M270,
          unit_details[Partial Baths], IF(ISNUMBER($N270),$N270,""),
          unit_details[Sqft],$P270
)),"")</f>
        <v/>
      </c>
      <c r="AF270" s="5" t="str">
        <f>IFERROR(IF(AE270="","",IF($F270="Total",
SUMPRODUCT(
   INDEX(AF:AF, ROW()-COUNTIF($F$6:INDEX($F:$F, ROW()-1), $F269)) : INDEX(AF:AF, ROW()-1),
   INDEX(AB:AB, ROW()-COUNTIF($F$6:INDEX($F:$F, ROW()-1), $F269)) : INDEX(AB:AB, ROW()-1)
   )
   /SUM(INDEX(AB:AB, ROW()-COUNTIF($F$6:INDEX($F:$F, ROW()-1), $F269)) : INDEX(AB:AB, ROW()-1)),
           _xlfn.MAXIFS(unit_details[Asking Rent],
          unit_details[Active Listing?],TRUE,
          unit_details[Property Name], $F270,
          unit_details[Beds], $L270,
          unit_details[Baths], $M270,
          unit_details[Partial Baths], IF(ISNUMBER($N270),$N270,""),
          unit_details[Sqft],$P270
))),"")</f>
        <v/>
      </c>
      <c r="AG270" s="6" t="str">
        <f>IFERROR(IF($F270="Total",
         SUMPRODUCT(
         INDEX(AG:AG, ROW()-COUNTIF($F$6:INDEX($F:$F, ROW()-1), $F269)) : INDEX(AG:AG, ROW()-1),
         INDEX(AB:AB, ROW()-COUNTIF($F$6:INDEX($F:$F, ROW()-1), $F269)) : INDEX(AB:AB, ROW()-1)
         )
         /SUM(INDEX(AB:AB, ROW()-COUNTIF($F$6:INDEX($F:$F, ROW()-1), $F269)) : INDEX(AB:AB, ROW()-1)),
          AVERAGEIFS(unit_details[Asking PSF],
          unit_details[Active Listing?],TRUE,
          unit_details[Property Name], $F270,
          unit_details[Beds], $L270,
          unit_details[Baths], $M270,
          unit_details[Partial Baths], IF(ISNUMBER($N270),$N270,""),
          unit_details[Sqft],$P270
)),"")</f>
        <v/>
      </c>
      <c r="AH270" s="293" t="str">
        <f>IFERROR(IF($F270="Total",
         SUMPRODUCT(
         INDEX(AH:AH, ROW()-COUNTIF($F$6:INDEX($F:$F, ROW()-1), $F269)) : INDEX(AH:AH, ROW()-1),
         INDEX(AB:AB, ROW()-COUNTIF($F$6:INDEX($F:$F, ROW()-1), $F269)) : INDEX(AB:AB, ROW()-1)
         )
         /SUM(INDEX(AB:AB, ROW()-COUNTIF($F$6:INDEX($F:$F, ROW()-1), $F269)) : INDEX(AB:AB, ROW()-1)),
          AVERAGEIFS(unit_details[Effective Rent],
          unit_details[Active Listing?],TRUE,
          unit_details[Property Name], $F270,
          unit_details[Beds], $L270,
          unit_details[Baths], $M270,
          unit_details[Partial Baths], IF(ISNUMBER($N270),$N270,""),
          unit_details[Sqft],$P270
)),"")</f>
        <v/>
      </c>
      <c r="AI270" s="6" t="str">
        <f>IFERROR(IF($F270="Total",
         SUMPRODUCT(
         INDEX(AI:AI, ROW()-COUNTIF($F$6:INDEX($F:$F, ROW()-1), $F269)) : INDEX(AI:AI, ROW()-1),
         INDEX(AB:AB, ROW()-COUNTIF($F$6:INDEX($F:$F, ROW()-1), $F269)) : INDEX(AB:AB, ROW()-1)
         )
         /SUM(INDEX(AB:AB, ROW()-COUNTIF($F$6:INDEX($F:$F, ROW()-1), $F269)) : INDEX(AB:AB, ROW()-1)),
           AVERAGEIFS(unit_details[Effective PSF],
          unit_details[Active Listing?],TRUE,
          unit_details[Property Name], $F270,
          unit_details[Beds], $L270,
          unit_details[Baths], $M270,
          unit_details[Partial Baths], IF(ISNUMBER($N270),$N270,""),
          unit_details[Sqft],$P270
)),"")</f>
        <v/>
      </c>
      <c r="AJ270" s="824" t="str">
        <f t="shared" si="48"/>
        <v/>
      </c>
      <c r="AK270" s="531" t="str">
        <f t="shared" si="49"/>
        <v/>
      </c>
      <c r="AL270" s="714" t="str">
        <f t="shared" si="50"/>
        <v/>
      </c>
      <c r="AM270" s="531" t="str">
        <f t="shared" si="51"/>
        <v/>
      </c>
      <c r="AN270" s="716" t="str">
        <f t="shared" si="52"/>
        <v/>
      </c>
    </row>
    <row r="271" spans="6:40" x14ac:dyDescent="0.2">
      <c r="F271" s="1" t="str">
        <f t="shared" si="45"/>
        <v/>
      </c>
      <c r="G271" s="713" t="str">
        <f t="shared" si="53"/>
        <v/>
      </c>
      <c r="H271" s="17" t="str">
        <f>IFERROR(VLOOKUP($G271,Table1[[Property]:[Exposure %]],4,0),"")</f>
        <v/>
      </c>
      <c r="I271" s="3" t="str">
        <f>IFERROR(VLOOKUP($G271,Table1[[Property]:[Exposure %]],6,0),"")</f>
        <v/>
      </c>
      <c r="J271" s="3" t="str">
        <f>IFERROR(VLOOKUP($G271,Table1[[Property]:[Exposure %]],7,0),"")</f>
        <v/>
      </c>
      <c r="K271"/>
      <c r="L271"/>
      <c r="M271"/>
      <c r="N271"/>
      <c r="O271"/>
      <c r="P271"/>
      <c r="Q271"/>
      <c r="R271" s="4" t="str">
        <f>IFERROR(VLOOKUP(IF(F271="Total",F270,F271),Table1[[Property]:['# Units]],7,0)*S271,"")</f>
        <v/>
      </c>
      <c r="S271" s="27" t="str">
        <f t="shared" si="46"/>
        <v/>
      </c>
      <c r="T271" s="531" t="str">
        <f>IFERROR(
 IF($F271="Total",
   SUMPRODUCT(
   INDEX(T:T, ROW()-COUNTIF($F$6:INDEX($F:$F, ROW()-1), $F270)) : INDEX(T:T, ROW()-1),
   INDEX(W:W, ROW()-COUNTIF($F$6:INDEX($F:$F, ROW()-1), $F270)) : INDEX(W:W, ROW()-1)
   )
   /SUM(INDEX(W:W, ROW()-COUNTIF($F$6:INDEX($F:$F, ROW()-1), $F270)) : INDEX(W:W, ROW()-1)),
   AVERAGEIFS(
     INDEX((unit_details[Asking Rent],unit_details[Asking PSF]),0,1,IF($U$3="Chunk Rent",1,2)),
     unit_details[Leased Date],"&gt;="&amp;($AM$2-T$5),
     unit_details[Leased Date],"&lt;"&amp;$AM$2,
     unit_details[Beds],$L271,
     unit_details[Baths],$M271,
     unit_details[Partial Baths],IF(ISNUMBER($N271),$N271,""),
     unit_details[Sqft],$P271,
     unit_details[Property Name],$F271)
 ),"")</f>
        <v/>
      </c>
      <c r="U271" s="552" t="str">
        <f>IFERROR(
 IF($F271="Total",
   SUMPRODUCT(
   INDEX(U:U, ROW()-COUNTIF($F$6:INDEX($F:$F, ROW()-1), $F270)) : INDEX(U:U, ROW()-1),
   INDEX(W:W, ROW()-COUNTIF($F$6:INDEX($F:$F, ROW()-1), $F270)) : INDEX(W:W, ROW()-1)
   )
   /SUM(INDEX(W:W, ROW()-COUNTIF($F$6:INDEX($F:$F, ROW()-1), $F270)) : INDEX(W:W, ROW()-1)),
   AVERAGEIFS(
     INDEX((unit_details[Effective Rent],unit_details[Effective PSF]),0,1,IF($U$3="Chunk Rent",1,2)),
     unit_details[Leased Date],"&gt;="&amp;($AM$2-T$5),
     unit_details[Leased Date],"&lt;"&amp;$AM$2,
     unit_details[Beds],$L271,
     unit_details[Baths],$M271,
     unit_details[Partial Baths],IF(ISNUMBER($N271),$N271,""),
     unit_details[Sqft],$P271,
     unit_details[Property Name],$F271)
 ),"")</f>
        <v/>
      </c>
      <c r="V271" s="27" t="str">
        <f t="shared" si="54"/>
        <v/>
      </c>
      <c r="W271" s="526">
        <f>IFERROR(
  IF($F271="Total",
    SUM(INDEX(W:W, ROW()-COUNTIF($F$6:INDEX($F:$F, ROW()-1), $F270)) : INDEX(W:W, ROW()-1)),
    COUNTIFS(
      unit_details[Leased Date], "&gt;="&amp;($AM$2-T$5),
      unit_details[Leased Date], "&lt;"&amp;$AM$2,
      unit_details[Beds], $L271,
      unit_details[Baths], $M271,
      unit_details[Partial Baths], IF(ISNUMBER($N271), $N271, ""),
      unit_details[Sqft],$P271,
      unit_details[Property Name], $F271
    )
  ),
"")</f>
        <v>0</v>
      </c>
      <c r="X271" s="531" t="str">
        <f>IFERROR(
 IF($F271="Total",
   SUMPRODUCT(
   INDEX(X:X, ROW()-COUNTIF($F$6:INDEX($F:$F, ROW()-1), $F270)) : INDEX(X:X, ROW()-1),
   INDEX(AA:AA, ROW()-COUNTIF($F$6:INDEX($F:$F, ROW()-1), $F270)) : INDEX(AA:AA, ROW()-1)
   )
   /SUM(INDEX(AA:AA, ROW()-COUNTIF($F$6:INDEX($F:$F, ROW()-1), $F270)) : INDEX(AA:AA, ROW()-1)),
   AVERAGEIFS(
     INDEX((unit_details[Asking Rent],unit_details[Asking PSF]),0,1,IF($U$3="Chunk Rent",1,2)),
     unit_details[Leased Date],"&gt;="&amp;($AM$2-X$5),
     unit_details[Leased Date],"&lt;"&amp;$AM$2,
     unit_details[Beds],$L271,
     unit_details[Baths],$M271,
     unit_details[Partial Baths],IF(ISNUMBER($N271),$N271,""),
     unit_details[Sqft],$P271,
     unit_details[Property Name],$F271)
 ),"")</f>
        <v/>
      </c>
      <c r="Y271" s="552" t="str">
        <f>IFERROR(
 IF($F271="Total",
   SUMPRODUCT(
   INDEX(Y:Y, ROW()-COUNTIF($F$6:INDEX($F:$F, ROW()-1), $F270)) : INDEX(Y:Y, ROW()-1),
   INDEX(AA:AA, ROW()-COUNTIF($F$6:INDEX($F:$F, ROW()-1), $F270)) : INDEX(AA:AA, ROW()-1)
   )
   /SUM(INDEX(AA:AA, ROW()-COUNTIF($F$6:INDEX($F:$F, ROW()-1), $F270)) : INDEX(AA:AA, ROW()-1)),
   AVERAGEIFS(
     INDEX((unit_details[Effective Rent],unit_details[Effective PSF]),0,1,IF($U$3="Chunk Rent",1,2)),
     unit_details[Leased Date],"&gt;="&amp;($AM$2-X$5),
     unit_details[Leased Date],"&lt;"&amp;$AM$2,
     unit_details[Beds],$L271,
     unit_details[Baths],$M271,
     unit_details[Partial Baths],IF(ISNUMBER($N271),$N271,""),
     unit_details[Sqft],$P271,
     unit_details[Property Name],$F271)
 ),"")</f>
        <v/>
      </c>
      <c r="Z271" s="27" t="str">
        <f t="shared" si="55"/>
        <v/>
      </c>
      <c r="AA271" s="526">
        <f>IFERROR(
  IF($F271="Total",
    SUM(INDEX(AA:AA, ROW()-COUNTIF($F$6:INDEX($F:$F, ROW()-1), $F270)) : INDEX(AA:AA, ROW()-1)),
    COUNTIFS(
      unit_details[Leased Date], "&gt;="&amp;($AM$2-X$5),
      unit_details[Leased Date], "&lt;"&amp;$AM$2,
      unit_details[Beds], $L271,
      unit_details[Baths], $M271,
      unit_details[Partial Baths], IF(ISNUMBER($N271), $N271, ""),
      unit_details[Sqft],$P271,
      unit_details[Property Name], $F271
    )
  ),
"")</f>
        <v>0</v>
      </c>
      <c r="AB271" s="290">
        <f>IF($F271="Total",
SUM(INDEX(AB:AB, ROW()-COUNTIF($F$6:INDEX($F:$F, ROW()-1), $F270)) : INDEX(AB:AB, ROW()-1)),
COUNTIFS(unit_details[Active Listing?],TRUE,
          unit_details[Property Name], $F271,
          unit_details[Beds], $L271,
          unit_details[Baths], $M271,
          unit_details[Partial Baths],IF(ISNUMBER($N271),$N271,""),
          unit_details[Sqft],$P271))</f>
        <v>0</v>
      </c>
      <c r="AC271" s="27" t="str">
        <f t="shared" si="47"/>
        <v/>
      </c>
      <c r="AD271" s="293" t="str">
        <f>IFERROR(IF(AE271="","",IF($F271="Total",
SUMPRODUCT(
   INDEX(AD:AD, ROW()-COUNTIF($F$6:INDEX($F:$F, ROW()-1), $F270)) : INDEX(AD:AD, ROW()-1),
   INDEX(AB:AB, ROW()-COUNTIF($F$6:INDEX($F:$F, ROW()-1), $F270)) : INDEX(AB:AB, ROW()-1)
   )
   /SUM(INDEX(AB:AB, ROW()-COUNTIF($F$6:INDEX($F:$F, ROW()-1), $F270)) : INDEX(AB:AB, ROW()-1)),
          _xlfn.MINIFS(unit_details[Asking Rent],
          unit_details[Active Listing?],TRUE,
          unit_details[Property Name], $F271,
          unit_details[Beds], $L271,
          unit_details[Baths], $M271,
          unit_details[Partial Baths], IF(ISNUMBER($N271),$N271,""),
          unit_details[Sqft],$P271
))),"")</f>
        <v/>
      </c>
      <c r="AE271" s="5" t="str">
        <f>IFERROR(IF($F271="Total",
          SUMPRODUCT(
   INDEX(AE:AE, ROW()-COUNTIF($F$6:INDEX($F:$F, ROW()-1), $F270)) : INDEX(AE:AE, ROW()-1),
   INDEX(AB:AB, ROW()-COUNTIF($F$6:INDEX($F:$F, ROW()-1), $F270)) : INDEX(AB:AB, ROW()-1)
   )
   /SUM(INDEX(AB:AB, ROW()-COUNTIF($F$6:INDEX($F:$F, ROW()-1), $F270)) : INDEX(AB:AB, ROW()-1)),
          AVERAGEIFS(unit_details[Asking Rent],
          unit_details[Active Listing?],TRUE,
          unit_details[Property Name], $F271,
          unit_details[Beds], $L271,
          unit_details[Baths], $M271,
          unit_details[Partial Baths], IF(ISNUMBER($N271),$N271,""),
          unit_details[Sqft],$P271
)),"")</f>
        <v/>
      </c>
      <c r="AF271" s="5" t="str">
        <f>IFERROR(IF(AE271="","",IF($F271="Total",
SUMPRODUCT(
   INDEX(AF:AF, ROW()-COUNTIF($F$6:INDEX($F:$F, ROW()-1), $F270)) : INDEX(AF:AF, ROW()-1),
   INDEX(AB:AB, ROW()-COUNTIF($F$6:INDEX($F:$F, ROW()-1), $F270)) : INDEX(AB:AB, ROW()-1)
   )
   /SUM(INDEX(AB:AB, ROW()-COUNTIF($F$6:INDEX($F:$F, ROW()-1), $F270)) : INDEX(AB:AB, ROW()-1)),
           _xlfn.MAXIFS(unit_details[Asking Rent],
          unit_details[Active Listing?],TRUE,
          unit_details[Property Name], $F271,
          unit_details[Beds], $L271,
          unit_details[Baths], $M271,
          unit_details[Partial Baths], IF(ISNUMBER($N271),$N271,""),
          unit_details[Sqft],$P271
))),"")</f>
        <v/>
      </c>
      <c r="AG271" s="6" t="str">
        <f>IFERROR(IF($F271="Total",
         SUMPRODUCT(
         INDEX(AG:AG, ROW()-COUNTIF($F$6:INDEX($F:$F, ROW()-1), $F270)) : INDEX(AG:AG, ROW()-1),
         INDEX(AB:AB, ROW()-COUNTIF($F$6:INDEX($F:$F, ROW()-1), $F270)) : INDEX(AB:AB, ROW()-1)
         )
         /SUM(INDEX(AB:AB, ROW()-COUNTIF($F$6:INDEX($F:$F, ROW()-1), $F270)) : INDEX(AB:AB, ROW()-1)),
          AVERAGEIFS(unit_details[Asking PSF],
          unit_details[Active Listing?],TRUE,
          unit_details[Property Name], $F271,
          unit_details[Beds], $L271,
          unit_details[Baths], $M271,
          unit_details[Partial Baths], IF(ISNUMBER($N271),$N271,""),
          unit_details[Sqft],$P271
)),"")</f>
        <v/>
      </c>
      <c r="AH271" s="293" t="str">
        <f>IFERROR(IF($F271="Total",
         SUMPRODUCT(
         INDEX(AH:AH, ROW()-COUNTIF($F$6:INDEX($F:$F, ROW()-1), $F270)) : INDEX(AH:AH, ROW()-1),
         INDEX(AB:AB, ROW()-COUNTIF($F$6:INDEX($F:$F, ROW()-1), $F270)) : INDEX(AB:AB, ROW()-1)
         )
         /SUM(INDEX(AB:AB, ROW()-COUNTIF($F$6:INDEX($F:$F, ROW()-1), $F270)) : INDEX(AB:AB, ROW()-1)),
          AVERAGEIFS(unit_details[Effective Rent],
          unit_details[Active Listing?],TRUE,
          unit_details[Property Name], $F271,
          unit_details[Beds], $L271,
          unit_details[Baths], $M271,
          unit_details[Partial Baths], IF(ISNUMBER($N271),$N271,""),
          unit_details[Sqft],$P271
)),"")</f>
        <v/>
      </c>
      <c r="AI271" s="6" t="str">
        <f>IFERROR(IF($F271="Total",
         SUMPRODUCT(
         INDEX(AI:AI, ROW()-COUNTIF($F$6:INDEX($F:$F, ROW()-1), $F270)) : INDEX(AI:AI, ROW()-1),
         INDEX(AB:AB, ROW()-COUNTIF($F$6:INDEX($F:$F, ROW()-1), $F270)) : INDEX(AB:AB, ROW()-1)
         )
         /SUM(INDEX(AB:AB, ROW()-COUNTIF($F$6:INDEX($F:$F, ROW()-1), $F270)) : INDEX(AB:AB, ROW()-1)),
           AVERAGEIFS(unit_details[Effective PSF],
          unit_details[Active Listing?],TRUE,
          unit_details[Property Name], $F271,
          unit_details[Beds], $L271,
          unit_details[Baths], $M271,
          unit_details[Partial Baths], IF(ISNUMBER($N271),$N271,""),
          unit_details[Sqft],$P271
)),"")</f>
        <v/>
      </c>
      <c r="AJ271" s="824" t="str">
        <f t="shared" si="48"/>
        <v/>
      </c>
      <c r="AK271" s="531" t="str">
        <f t="shared" si="49"/>
        <v/>
      </c>
      <c r="AL271" s="714" t="str">
        <f t="shared" si="50"/>
        <v/>
      </c>
      <c r="AM271" s="531" t="str">
        <f t="shared" si="51"/>
        <v/>
      </c>
      <c r="AN271" s="716" t="str">
        <f t="shared" si="52"/>
        <v/>
      </c>
    </row>
    <row r="272" spans="6:40" x14ac:dyDescent="0.2">
      <c r="F272" s="1" t="str">
        <f t="shared" si="45"/>
        <v/>
      </c>
      <c r="G272" s="713" t="str">
        <f t="shared" si="53"/>
        <v/>
      </c>
      <c r="H272" s="17" t="str">
        <f>IFERROR(VLOOKUP($G272,Table1[[Property]:[Exposure %]],4,0),"")</f>
        <v/>
      </c>
      <c r="I272" s="3" t="str">
        <f>IFERROR(VLOOKUP($G272,Table1[[Property]:[Exposure %]],6,0),"")</f>
        <v/>
      </c>
      <c r="J272" s="3" t="str">
        <f>IFERROR(VLOOKUP($G272,Table1[[Property]:[Exposure %]],7,0),"")</f>
        <v/>
      </c>
      <c r="K272"/>
      <c r="L272"/>
      <c r="M272"/>
      <c r="N272"/>
      <c r="O272"/>
      <c r="P272"/>
      <c r="Q272"/>
      <c r="R272" s="4" t="str">
        <f>IFERROR(VLOOKUP(IF(F272="Total",F271,F272),Table1[[Property]:['# Units]],7,0)*S272,"")</f>
        <v/>
      </c>
      <c r="S272" s="27" t="str">
        <f t="shared" si="46"/>
        <v/>
      </c>
      <c r="T272" s="531" t="str">
        <f>IFERROR(
 IF($F272="Total",
   SUMPRODUCT(
   INDEX(T:T, ROW()-COUNTIF($F$6:INDEX($F:$F, ROW()-1), $F271)) : INDEX(T:T, ROW()-1),
   INDEX(W:W, ROW()-COUNTIF($F$6:INDEX($F:$F, ROW()-1), $F271)) : INDEX(W:W, ROW()-1)
   )
   /SUM(INDEX(W:W, ROW()-COUNTIF($F$6:INDEX($F:$F, ROW()-1), $F271)) : INDEX(W:W, ROW()-1)),
   AVERAGEIFS(
     INDEX((unit_details[Asking Rent],unit_details[Asking PSF]),0,1,IF($U$3="Chunk Rent",1,2)),
     unit_details[Leased Date],"&gt;="&amp;($AM$2-T$5),
     unit_details[Leased Date],"&lt;"&amp;$AM$2,
     unit_details[Beds],$L272,
     unit_details[Baths],$M272,
     unit_details[Partial Baths],IF(ISNUMBER($N272),$N272,""),
     unit_details[Sqft],$P272,
     unit_details[Property Name],$F272)
 ),"")</f>
        <v/>
      </c>
      <c r="U272" s="552" t="str">
        <f>IFERROR(
 IF($F272="Total",
   SUMPRODUCT(
   INDEX(U:U, ROW()-COUNTIF($F$6:INDEX($F:$F, ROW()-1), $F271)) : INDEX(U:U, ROW()-1),
   INDEX(W:W, ROW()-COUNTIF($F$6:INDEX($F:$F, ROW()-1), $F271)) : INDEX(W:W, ROW()-1)
   )
   /SUM(INDEX(W:W, ROW()-COUNTIF($F$6:INDEX($F:$F, ROW()-1), $F271)) : INDEX(W:W, ROW()-1)),
   AVERAGEIFS(
     INDEX((unit_details[Effective Rent],unit_details[Effective PSF]),0,1,IF($U$3="Chunk Rent",1,2)),
     unit_details[Leased Date],"&gt;="&amp;($AM$2-T$5),
     unit_details[Leased Date],"&lt;"&amp;$AM$2,
     unit_details[Beds],$L272,
     unit_details[Baths],$M272,
     unit_details[Partial Baths],IF(ISNUMBER($N272),$N272,""),
     unit_details[Sqft],$P272,
     unit_details[Property Name],$F272)
 ),"")</f>
        <v/>
      </c>
      <c r="V272" s="27" t="str">
        <f t="shared" si="54"/>
        <v/>
      </c>
      <c r="W272" s="526">
        <f>IFERROR(
  IF($F272="Total",
    SUM(INDEX(W:W, ROW()-COUNTIF($F$6:INDEX($F:$F, ROW()-1), $F271)) : INDEX(W:W, ROW()-1)),
    COUNTIFS(
      unit_details[Leased Date], "&gt;="&amp;($AM$2-T$5),
      unit_details[Leased Date], "&lt;"&amp;$AM$2,
      unit_details[Beds], $L272,
      unit_details[Baths], $M272,
      unit_details[Partial Baths], IF(ISNUMBER($N272), $N272, ""),
      unit_details[Sqft],$P272,
      unit_details[Property Name], $F272
    )
  ),
"")</f>
        <v>0</v>
      </c>
      <c r="X272" s="531" t="str">
        <f>IFERROR(
 IF($F272="Total",
   SUMPRODUCT(
   INDEX(X:X, ROW()-COUNTIF($F$6:INDEX($F:$F, ROW()-1), $F271)) : INDEX(X:X, ROW()-1),
   INDEX(AA:AA, ROW()-COUNTIF($F$6:INDEX($F:$F, ROW()-1), $F271)) : INDEX(AA:AA, ROW()-1)
   )
   /SUM(INDEX(AA:AA, ROW()-COUNTIF($F$6:INDEX($F:$F, ROW()-1), $F271)) : INDEX(AA:AA, ROW()-1)),
   AVERAGEIFS(
     INDEX((unit_details[Asking Rent],unit_details[Asking PSF]),0,1,IF($U$3="Chunk Rent",1,2)),
     unit_details[Leased Date],"&gt;="&amp;($AM$2-X$5),
     unit_details[Leased Date],"&lt;"&amp;$AM$2,
     unit_details[Beds],$L272,
     unit_details[Baths],$M272,
     unit_details[Partial Baths],IF(ISNUMBER($N272),$N272,""),
     unit_details[Sqft],$P272,
     unit_details[Property Name],$F272)
 ),"")</f>
        <v/>
      </c>
      <c r="Y272" s="552" t="str">
        <f>IFERROR(
 IF($F272="Total",
   SUMPRODUCT(
   INDEX(Y:Y, ROW()-COUNTIF($F$6:INDEX($F:$F, ROW()-1), $F271)) : INDEX(Y:Y, ROW()-1),
   INDEX(AA:AA, ROW()-COUNTIF($F$6:INDEX($F:$F, ROW()-1), $F271)) : INDEX(AA:AA, ROW()-1)
   )
   /SUM(INDEX(AA:AA, ROW()-COUNTIF($F$6:INDEX($F:$F, ROW()-1), $F271)) : INDEX(AA:AA, ROW()-1)),
   AVERAGEIFS(
     INDEX((unit_details[Effective Rent],unit_details[Effective PSF]),0,1,IF($U$3="Chunk Rent",1,2)),
     unit_details[Leased Date],"&gt;="&amp;($AM$2-X$5),
     unit_details[Leased Date],"&lt;"&amp;$AM$2,
     unit_details[Beds],$L272,
     unit_details[Baths],$M272,
     unit_details[Partial Baths],IF(ISNUMBER($N272),$N272,""),
     unit_details[Sqft],$P272,
     unit_details[Property Name],$F272)
 ),"")</f>
        <v/>
      </c>
      <c r="Z272" s="27" t="str">
        <f t="shared" si="55"/>
        <v/>
      </c>
      <c r="AA272" s="526">
        <f>IFERROR(
  IF($F272="Total",
    SUM(INDEX(AA:AA, ROW()-COUNTIF($F$6:INDEX($F:$F, ROW()-1), $F271)) : INDEX(AA:AA, ROW()-1)),
    COUNTIFS(
      unit_details[Leased Date], "&gt;="&amp;($AM$2-X$5),
      unit_details[Leased Date], "&lt;"&amp;$AM$2,
      unit_details[Beds], $L272,
      unit_details[Baths], $M272,
      unit_details[Partial Baths], IF(ISNUMBER($N272), $N272, ""),
      unit_details[Sqft],$P272,
      unit_details[Property Name], $F272
    )
  ),
"")</f>
        <v>0</v>
      </c>
      <c r="AB272" s="290">
        <f>IF($F272="Total",
SUM(INDEX(AB:AB, ROW()-COUNTIF($F$6:INDEX($F:$F, ROW()-1), $F271)) : INDEX(AB:AB, ROW()-1)),
COUNTIFS(unit_details[Active Listing?],TRUE,
          unit_details[Property Name], $F272,
          unit_details[Beds], $L272,
          unit_details[Baths], $M272,
          unit_details[Partial Baths],IF(ISNUMBER($N272),$N272,""),
          unit_details[Sqft],$P272))</f>
        <v>0</v>
      </c>
      <c r="AC272" s="27" t="str">
        <f t="shared" si="47"/>
        <v/>
      </c>
      <c r="AD272" s="293" t="str">
        <f>IFERROR(IF(AE272="","",IF($F272="Total",
SUMPRODUCT(
   INDEX(AD:AD, ROW()-COUNTIF($F$6:INDEX($F:$F, ROW()-1), $F271)) : INDEX(AD:AD, ROW()-1),
   INDEX(AB:AB, ROW()-COUNTIF($F$6:INDEX($F:$F, ROW()-1), $F271)) : INDEX(AB:AB, ROW()-1)
   )
   /SUM(INDEX(AB:AB, ROW()-COUNTIF($F$6:INDEX($F:$F, ROW()-1), $F271)) : INDEX(AB:AB, ROW()-1)),
          _xlfn.MINIFS(unit_details[Asking Rent],
          unit_details[Active Listing?],TRUE,
          unit_details[Property Name], $F272,
          unit_details[Beds], $L272,
          unit_details[Baths], $M272,
          unit_details[Partial Baths], IF(ISNUMBER($N272),$N272,""),
          unit_details[Sqft],$P272
))),"")</f>
        <v/>
      </c>
      <c r="AE272" s="5" t="str">
        <f>IFERROR(IF($F272="Total",
          SUMPRODUCT(
   INDEX(AE:AE, ROW()-COUNTIF($F$6:INDEX($F:$F, ROW()-1), $F271)) : INDEX(AE:AE, ROW()-1),
   INDEX(AB:AB, ROW()-COUNTIF($F$6:INDEX($F:$F, ROW()-1), $F271)) : INDEX(AB:AB, ROW()-1)
   )
   /SUM(INDEX(AB:AB, ROW()-COUNTIF($F$6:INDEX($F:$F, ROW()-1), $F271)) : INDEX(AB:AB, ROW()-1)),
          AVERAGEIFS(unit_details[Asking Rent],
          unit_details[Active Listing?],TRUE,
          unit_details[Property Name], $F272,
          unit_details[Beds], $L272,
          unit_details[Baths], $M272,
          unit_details[Partial Baths], IF(ISNUMBER($N272),$N272,""),
          unit_details[Sqft],$P272
)),"")</f>
        <v/>
      </c>
      <c r="AF272" s="5" t="str">
        <f>IFERROR(IF(AE272="","",IF($F272="Total",
SUMPRODUCT(
   INDEX(AF:AF, ROW()-COUNTIF($F$6:INDEX($F:$F, ROW()-1), $F271)) : INDEX(AF:AF, ROW()-1),
   INDEX(AB:AB, ROW()-COUNTIF($F$6:INDEX($F:$F, ROW()-1), $F271)) : INDEX(AB:AB, ROW()-1)
   )
   /SUM(INDEX(AB:AB, ROW()-COUNTIF($F$6:INDEX($F:$F, ROW()-1), $F271)) : INDEX(AB:AB, ROW()-1)),
           _xlfn.MAXIFS(unit_details[Asking Rent],
          unit_details[Active Listing?],TRUE,
          unit_details[Property Name], $F272,
          unit_details[Beds], $L272,
          unit_details[Baths], $M272,
          unit_details[Partial Baths], IF(ISNUMBER($N272),$N272,""),
          unit_details[Sqft],$P272
))),"")</f>
        <v/>
      </c>
      <c r="AG272" s="6" t="str">
        <f>IFERROR(IF($F272="Total",
         SUMPRODUCT(
         INDEX(AG:AG, ROW()-COUNTIF($F$6:INDEX($F:$F, ROW()-1), $F271)) : INDEX(AG:AG, ROW()-1),
         INDEX(AB:AB, ROW()-COUNTIF($F$6:INDEX($F:$F, ROW()-1), $F271)) : INDEX(AB:AB, ROW()-1)
         )
         /SUM(INDEX(AB:AB, ROW()-COUNTIF($F$6:INDEX($F:$F, ROW()-1), $F271)) : INDEX(AB:AB, ROW()-1)),
          AVERAGEIFS(unit_details[Asking PSF],
          unit_details[Active Listing?],TRUE,
          unit_details[Property Name], $F272,
          unit_details[Beds], $L272,
          unit_details[Baths], $M272,
          unit_details[Partial Baths], IF(ISNUMBER($N272),$N272,""),
          unit_details[Sqft],$P272
)),"")</f>
        <v/>
      </c>
      <c r="AH272" s="293" t="str">
        <f>IFERROR(IF($F272="Total",
         SUMPRODUCT(
         INDEX(AH:AH, ROW()-COUNTIF($F$6:INDEX($F:$F, ROW()-1), $F271)) : INDEX(AH:AH, ROW()-1),
         INDEX(AB:AB, ROW()-COUNTIF($F$6:INDEX($F:$F, ROW()-1), $F271)) : INDEX(AB:AB, ROW()-1)
         )
         /SUM(INDEX(AB:AB, ROW()-COUNTIF($F$6:INDEX($F:$F, ROW()-1), $F271)) : INDEX(AB:AB, ROW()-1)),
          AVERAGEIFS(unit_details[Effective Rent],
          unit_details[Active Listing?],TRUE,
          unit_details[Property Name], $F272,
          unit_details[Beds], $L272,
          unit_details[Baths], $M272,
          unit_details[Partial Baths], IF(ISNUMBER($N272),$N272,""),
          unit_details[Sqft],$P272
)),"")</f>
        <v/>
      </c>
      <c r="AI272" s="6" t="str">
        <f>IFERROR(IF($F272="Total",
         SUMPRODUCT(
         INDEX(AI:AI, ROW()-COUNTIF($F$6:INDEX($F:$F, ROW()-1), $F271)) : INDEX(AI:AI, ROW()-1),
         INDEX(AB:AB, ROW()-COUNTIF($F$6:INDEX($F:$F, ROW()-1), $F271)) : INDEX(AB:AB, ROW()-1)
         )
         /SUM(INDEX(AB:AB, ROW()-COUNTIF($F$6:INDEX($F:$F, ROW()-1), $F271)) : INDEX(AB:AB, ROW()-1)),
           AVERAGEIFS(unit_details[Effective PSF],
          unit_details[Active Listing?],TRUE,
          unit_details[Property Name], $F272,
          unit_details[Beds], $L272,
          unit_details[Baths], $M272,
          unit_details[Partial Baths], IF(ISNUMBER($N272),$N272,""),
          unit_details[Sqft],$P272
)),"")</f>
        <v/>
      </c>
      <c r="AJ272" s="824" t="str">
        <f t="shared" si="48"/>
        <v/>
      </c>
      <c r="AK272" s="531" t="str">
        <f t="shared" si="49"/>
        <v/>
      </c>
      <c r="AL272" s="714" t="str">
        <f t="shared" si="50"/>
        <v/>
      </c>
      <c r="AM272" s="531" t="str">
        <f t="shared" si="51"/>
        <v/>
      </c>
      <c r="AN272" s="716" t="str">
        <f t="shared" si="52"/>
        <v/>
      </c>
    </row>
    <row r="273" spans="6:40" x14ac:dyDescent="0.2">
      <c r="F273" s="1" t="str">
        <f t="shared" si="45"/>
        <v/>
      </c>
      <c r="G273" s="713" t="str">
        <f t="shared" si="53"/>
        <v/>
      </c>
      <c r="H273" s="17" t="str">
        <f>IFERROR(VLOOKUP($G273,Table1[[Property]:[Exposure %]],4,0),"")</f>
        <v/>
      </c>
      <c r="I273" s="3" t="str">
        <f>IFERROR(VLOOKUP($G273,Table1[[Property]:[Exposure %]],6,0),"")</f>
        <v/>
      </c>
      <c r="J273" s="3" t="str">
        <f>IFERROR(VLOOKUP($G273,Table1[[Property]:[Exposure %]],7,0),"")</f>
        <v/>
      </c>
      <c r="K273"/>
      <c r="L273"/>
      <c r="M273"/>
      <c r="N273"/>
      <c r="O273"/>
      <c r="P273"/>
      <c r="Q273"/>
      <c r="R273" s="4" t="str">
        <f>IFERROR(VLOOKUP(IF(F273="Total",F272,F273),Table1[[Property]:['# Units]],7,0)*S273,"")</f>
        <v/>
      </c>
      <c r="S273" s="27" t="str">
        <f t="shared" si="46"/>
        <v/>
      </c>
      <c r="T273" s="531" t="str">
        <f>IFERROR(
 IF($F273="Total",
   SUMPRODUCT(
   INDEX(T:T, ROW()-COUNTIF($F$6:INDEX($F:$F, ROW()-1), $F272)) : INDEX(T:T, ROW()-1),
   INDEX(W:W, ROW()-COUNTIF($F$6:INDEX($F:$F, ROW()-1), $F272)) : INDEX(W:W, ROW()-1)
   )
   /SUM(INDEX(W:W, ROW()-COUNTIF($F$6:INDEX($F:$F, ROW()-1), $F272)) : INDEX(W:W, ROW()-1)),
   AVERAGEIFS(
     INDEX((unit_details[Asking Rent],unit_details[Asking PSF]),0,1,IF($U$3="Chunk Rent",1,2)),
     unit_details[Leased Date],"&gt;="&amp;($AM$2-T$5),
     unit_details[Leased Date],"&lt;"&amp;$AM$2,
     unit_details[Beds],$L273,
     unit_details[Baths],$M273,
     unit_details[Partial Baths],IF(ISNUMBER($N273),$N273,""),
     unit_details[Sqft],$P273,
     unit_details[Property Name],$F273)
 ),"")</f>
        <v/>
      </c>
      <c r="U273" s="552" t="str">
        <f>IFERROR(
 IF($F273="Total",
   SUMPRODUCT(
   INDEX(U:U, ROW()-COUNTIF($F$6:INDEX($F:$F, ROW()-1), $F272)) : INDEX(U:U, ROW()-1),
   INDEX(W:W, ROW()-COUNTIF($F$6:INDEX($F:$F, ROW()-1), $F272)) : INDEX(W:W, ROW()-1)
   )
   /SUM(INDEX(W:W, ROW()-COUNTIF($F$6:INDEX($F:$F, ROW()-1), $F272)) : INDEX(W:W, ROW()-1)),
   AVERAGEIFS(
     INDEX((unit_details[Effective Rent],unit_details[Effective PSF]),0,1,IF($U$3="Chunk Rent",1,2)),
     unit_details[Leased Date],"&gt;="&amp;($AM$2-T$5),
     unit_details[Leased Date],"&lt;"&amp;$AM$2,
     unit_details[Beds],$L273,
     unit_details[Baths],$M273,
     unit_details[Partial Baths],IF(ISNUMBER($N273),$N273,""),
     unit_details[Sqft],$P273,
     unit_details[Property Name],$F273)
 ),"")</f>
        <v/>
      </c>
      <c r="V273" s="27" t="str">
        <f t="shared" si="54"/>
        <v/>
      </c>
      <c r="W273" s="526">
        <f>IFERROR(
  IF($F273="Total",
    SUM(INDEX(W:W, ROW()-COUNTIF($F$6:INDEX($F:$F, ROW()-1), $F272)) : INDEX(W:W, ROW()-1)),
    COUNTIFS(
      unit_details[Leased Date], "&gt;="&amp;($AM$2-T$5),
      unit_details[Leased Date], "&lt;"&amp;$AM$2,
      unit_details[Beds], $L273,
      unit_details[Baths], $M273,
      unit_details[Partial Baths], IF(ISNUMBER($N273), $N273, ""),
      unit_details[Sqft],$P273,
      unit_details[Property Name], $F273
    )
  ),
"")</f>
        <v>0</v>
      </c>
      <c r="X273" s="531" t="str">
        <f>IFERROR(
 IF($F273="Total",
   SUMPRODUCT(
   INDEX(X:X, ROW()-COUNTIF($F$6:INDEX($F:$F, ROW()-1), $F272)) : INDEX(X:X, ROW()-1),
   INDEX(AA:AA, ROW()-COUNTIF($F$6:INDEX($F:$F, ROW()-1), $F272)) : INDEX(AA:AA, ROW()-1)
   )
   /SUM(INDEX(AA:AA, ROW()-COUNTIF($F$6:INDEX($F:$F, ROW()-1), $F272)) : INDEX(AA:AA, ROW()-1)),
   AVERAGEIFS(
     INDEX((unit_details[Asking Rent],unit_details[Asking PSF]),0,1,IF($U$3="Chunk Rent",1,2)),
     unit_details[Leased Date],"&gt;="&amp;($AM$2-X$5),
     unit_details[Leased Date],"&lt;"&amp;$AM$2,
     unit_details[Beds],$L273,
     unit_details[Baths],$M273,
     unit_details[Partial Baths],IF(ISNUMBER($N273),$N273,""),
     unit_details[Sqft],$P273,
     unit_details[Property Name],$F273)
 ),"")</f>
        <v/>
      </c>
      <c r="Y273" s="552" t="str">
        <f>IFERROR(
 IF($F273="Total",
   SUMPRODUCT(
   INDEX(Y:Y, ROW()-COUNTIF($F$6:INDEX($F:$F, ROW()-1), $F272)) : INDEX(Y:Y, ROW()-1),
   INDEX(AA:AA, ROW()-COUNTIF($F$6:INDEX($F:$F, ROW()-1), $F272)) : INDEX(AA:AA, ROW()-1)
   )
   /SUM(INDEX(AA:AA, ROW()-COUNTIF($F$6:INDEX($F:$F, ROW()-1), $F272)) : INDEX(AA:AA, ROW()-1)),
   AVERAGEIFS(
     INDEX((unit_details[Effective Rent],unit_details[Effective PSF]),0,1,IF($U$3="Chunk Rent",1,2)),
     unit_details[Leased Date],"&gt;="&amp;($AM$2-X$5),
     unit_details[Leased Date],"&lt;"&amp;$AM$2,
     unit_details[Beds],$L273,
     unit_details[Baths],$M273,
     unit_details[Partial Baths],IF(ISNUMBER($N273),$N273,""),
     unit_details[Sqft],$P273,
     unit_details[Property Name],$F273)
 ),"")</f>
        <v/>
      </c>
      <c r="Z273" s="27" t="str">
        <f t="shared" si="55"/>
        <v/>
      </c>
      <c r="AA273" s="526">
        <f>IFERROR(
  IF($F273="Total",
    SUM(INDEX(AA:AA, ROW()-COUNTIF($F$6:INDEX($F:$F, ROW()-1), $F272)) : INDEX(AA:AA, ROW()-1)),
    COUNTIFS(
      unit_details[Leased Date], "&gt;="&amp;($AM$2-X$5),
      unit_details[Leased Date], "&lt;"&amp;$AM$2,
      unit_details[Beds], $L273,
      unit_details[Baths], $M273,
      unit_details[Partial Baths], IF(ISNUMBER($N273), $N273, ""),
      unit_details[Sqft],$P273,
      unit_details[Property Name], $F273
    )
  ),
"")</f>
        <v>0</v>
      </c>
      <c r="AB273" s="290">
        <f>IF($F273="Total",
SUM(INDEX(AB:AB, ROW()-COUNTIF($F$6:INDEX($F:$F, ROW()-1), $F272)) : INDEX(AB:AB, ROW()-1)),
COUNTIFS(unit_details[Active Listing?],TRUE,
          unit_details[Property Name], $F273,
          unit_details[Beds], $L273,
          unit_details[Baths], $M273,
          unit_details[Partial Baths],IF(ISNUMBER($N273),$N273,""),
          unit_details[Sqft],$P273))</f>
        <v>0</v>
      </c>
      <c r="AC273" s="27" t="str">
        <f t="shared" si="47"/>
        <v/>
      </c>
      <c r="AD273" s="293" t="str">
        <f>IFERROR(IF(AE273="","",IF($F273="Total",
SUMPRODUCT(
   INDEX(AD:AD, ROW()-COUNTIF($F$6:INDEX($F:$F, ROW()-1), $F272)) : INDEX(AD:AD, ROW()-1),
   INDEX(AB:AB, ROW()-COUNTIF($F$6:INDEX($F:$F, ROW()-1), $F272)) : INDEX(AB:AB, ROW()-1)
   )
   /SUM(INDEX(AB:AB, ROW()-COUNTIF($F$6:INDEX($F:$F, ROW()-1), $F272)) : INDEX(AB:AB, ROW()-1)),
          _xlfn.MINIFS(unit_details[Asking Rent],
          unit_details[Active Listing?],TRUE,
          unit_details[Property Name], $F273,
          unit_details[Beds], $L273,
          unit_details[Baths], $M273,
          unit_details[Partial Baths], IF(ISNUMBER($N273),$N273,""),
          unit_details[Sqft],$P273
))),"")</f>
        <v/>
      </c>
      <c r="AE273" s="5" t="str">
        <f>IFERROR(IF($F273="Total",
          SUMPRODUCT(
   INDEX(AE:AE, ROW()-COUNTIF($F$6:INDEX($F:$F, ROW()-1), $F272)) : INDEX(AE:AE, ROW()-1),
   INDEX(AB:AB, ROW()-COUNTIF($F$6:INDEX($F:$F, ROW()-1), $F272)) : INDEX(AB:AB, ROW()-1)
   )
   /SUM(INDEX(AB:AB, ROW()-COUNTIF($F$6:INDEX($F:$F, ROW()-1), $F272)) : INDEX(AB:AB, ROW()-1)),
          AVERAGEIFS(unit_details[Asking Rent],
          unit_details[Active Listing?],TRUE,
          unit_details[Property Name], $F273,
          unit_details[Beds], $L273,
          unit_details[Baths], $M273,
          unit_details[Partial Baths], IF(ISNUMBER($N273),$N273,""),
          unit_details[Sqft],$P273
)),"")</f>
        <v/>
      </c>
      <c r="AF273" s="5" t="str">
        <f>IFERROR(IF(AE273="","",IF($F273="Total",
SUMPRODUCT(
   INDEX(AF:AF, ROW()-COUNTIF($F$6:INDEX($F:$F, ROW()-1), $F272)) : INDEX(AF:AF, ROW()-1),
   INDEX(AB:AB, ROW()-COUNTIF($F$6:INDEX($F:$F, ROW()-1), $F272)) : INDEX(AB:AB, ROW()-1)
   )
   /SUM(INDEX(AB:AB, ROW()-COUNTIF($F$6:INDEX($F:$F, ROW()-1), $F272)) : INDEX(AB:AB, ROW()-1)),
           _xlfn.MAXIFS(unit_details[Asking Rent],
          unit_details[Active Listing?],TRUE,
          unit_details[Property Name], $F273,
          unit_details[Beds], $L273,
          unit_details[Baths], $M273,
          unit_details[Partial Baths], IF(ISNUMBER($N273),$N273,""),
          unit_details[Sqft],$P273
))),"")</f>
        <v/>
      </c>
      <c r="AG273" s="6" t="str">
        <f>IFERROR(IF($F273="Total",
         SUMPRODUCT(
         INDEX(AG:AG, ROW()-COUNTIF($F$6:INDEX($F:$F, ROW()-1), $F272)) : INDEX(AG:AG, ROW()-1),
         INDEX(AB:AB, ROW()-COUNTIF($F$6:INDEX($F:$F, ROW()-1), $F272)) : INDEX(AB:AB, ROW()-1)
         )
         /SUM(INDEX(AB:AB, ROW()-COUNTIF($F$6:INDEX($F:$F, ROW()-1), $F272)) : INDEX(AB:AB, ROW()-1)),
          AVERAGEIFS(unit_details[Asking PSF],
          unit_details[Active Listing?],TRUE,
          unit_details[Property Name], $F273,
          unit_details[Beds], $L273,
          unit_details[Baths], $M273,
          unit_details[Partial Baths], IF(ISNUMBER($N273),$N273,""),
          unit_details[Sqft],$P273
)),"")</f>
        <v/>
      </c>
      <c r="AH273" s="293" t="str">
        <f>IFERROR(IF($F273="Total",
         SUMPRODUCT(
         INDEX(AH:AH, ROW()-COUNTIF($F$6:INDEX($F:$F, ROW()-1), $F272)) : INDEX(AH:AH, ROW()-1),
         INDEX(AB:AB, ROW()-COUNTIF($F$6:INDEX($F:$F, ROW()-1), $F272)) : INDEX(AB:AB, ROW()-1)
         )
         /SUM(INDEX(AB:AB, ROW()-COUNTIF($F$6:INDEX($F:$F, ROW()-1), $F272)) : INDEX(AB:AB, ROW()-1)),
          AVERAGEIFS(unit_details[Effective Rent],
          unit_details[Active Listing?],TRUE,
          unit_details[Property Name], $F273,
          unit_details[Beds], $L273,
          unit_details[Baths], $M273,
          unit_details[Partial Baths], IF(ISNUMBER($N273),$N273,""),
          unit_details[Sqft],$P273
)),"")</f>
        <v/>
      </c>
      <c r="AI273" s="6" t="str">
        <f>IFERROR(IF($F273="Total",
         SUMPRODUCT(
         INDEX(AI:AI, ROW()-COUNTIF($F$6:INDEX($F:$F, ROW()-1), $F272)) : INDEX(AI:AI, ROW()-1),
         INDEX(AB:AB, ROW()-COUNTIF($F$6:INDEX($F:$F, ROW()-1), $F272)) : INDEX(AB:AB, ROW()-1)
         )
         /SUM(INDEX(AB:AB, ROW()-COUNTIF($F$6:INDEX($F:$F, ROW()-1), $F272)) : INDEX(AB:AB, ROW()-1)),
           AVERAGEIFS(unit_details[Effective PSF],
          unit_details[Active Listing?],TRUE,
          unit_details[Property Name], $F273,
          unit_details[Beds], $L273,
          unit_details[Baths], $M273,
          unit_details[Partial Baths], IF(ISNUMBER($N273),$N273,""),
          unit_details[Sqft],$P273
)),"")</f>
        <v/>
      </c>
      <c r="AJ273" s="824" t="str">
        <f t="shared" si="48"/>
        <v/>
      </c>
      <c r="AK273" s="531" t="str">
        <f t="shared" si="49"/>
        <v/>
      </c>
      <c r="AL273" s="714" t="str">
        <f t="shared" si="50"/>
        <v/>
      </c>
      <c r="AM273" s="531" t="str">
        <f t="shared" si="51"/>
        <v/>
      </c>
      <c r="AN273" s="716" t="str">
        <f t="shared" si="52"/>
        <v/>
      </c>
    </row>
    <row r="274" spans="6:40" x14ac:dyDescent="0.2">
      <c r="F274" s="1" t="str">
        <f t="shared" si="45"/>
        <v/>
      </c>
      <c r="G274" s="713" t="str">
        <f t="shared" si="53"/>
        <v/>
      </c>
      <c r="H274" s="17" t="str">
        <f>IFERROR(VLOOKUP($G274,Table1[[Property]:[Exposure %]],4,0),"")</f>
        <v/>
      </c>
      <c r="I274" s="3" t="str">
        <f>IFERROR(VLOOKUP($G274,Table1[[Property]:[Exposure %]],6,0),"")</f>
        <v/>
      </c>
      <c r="J274" s="3" t="str">
        <f>IFERROR(VLOOKUP($G274,Table1[[Property]:[Exposure %]],7,0),"")</f>
        <v/>
      </c>
      <c r="K274"/>
      <c r="L274"/>
      <c r="M274"/>
      <c r="N274"/>
      <c r="O274"/>
      <c r="P274"/>
      <c r="Q274"/>
      <c r="R274" s="4" t="str">
        <f>IFERROR(VLOOKUP(IF(F274="Total",F273,F274),Table1[[Property]:['# Units]],7,0)*S274,"")</f>
        <v/>
      </c>
      <c r="S274" s="27" t="str">
        <f t="shared" si="46"/>
        <v/>
      </c>
      <c r="T274" s="531" t="str">
        <f>IFERROR(
 IF($F274="Total",
   SUMPRODUCT(
   INDEX(T:T, ROW()-COUNTIF($F$6:INDEX($F:$F, ROW()-1), $F273)) : INDEX(T:T, ROW()-1),
   INDEX(W:W, ROW()-COUNTIF($F$6:INDEX($F:$F, ROW()-1), $F273)) : INDEX(W:W, ROW()-1)
   )
   /SUM(INDEX(W:W, ROW()-COUNTIF($F$6:INDEX($F:$F, ROW()-1), $F273)) : INDEX(W:W, ROW()-1)),
   AVERAGEIFS(
     INDEX((unit_details[Asking Rent],unit_details[Asking PSF]),0,1,IF($U$3="Chunk Rent",1,2)),
     unit_details[Leased Date],"&gt;="&amp;($AM$2-T$5),
     unit_details[Leased Date],"&lt;"&amp;$AM$2,
     unit_details[Beds],$L274,
     unit_details[Baths],$M274,
     unit_details[Partial Baths],IF(ISNUMBER($N274),$N274,""),
     unit_details[Sqft],$P274,
     unit_details[Property Name],$F274)
 ),"")</f>
        <v/>
      </c>
      <c r="U274" s="552" t="str">
        <f>IFERROR(
 IF($F274="Total",
   SUMPRODUCT(
   INDEX(U:U, ROW()-COUNTIF($F$6:INDEX($F:$F, ROW()-1), $F273)) : INDEX(U:U, ROW()-1),
   INDEX(W:W, ROW()-COUNTIF($F$6:INDEX($F:$F, ROW()-1), $F273)) : INDEX(W:W, ROW()-1)
   )
   /SUM(INDEX(W:W, ROW()-COUNTIF($F$6:INDEX($F:$F, ROW()-1), $F273)) : INDEX(W:W, ROW()-1)),
   AVERAGEIFS(
     INDEX((unit_details[Effective Rent],unit_details[Effective PSF]),0,1,IF($U$3="Chunk Rent",1,2)),
     unit_details[Leased Date],"&gt;="&amp;($AM$2-T$5),
     unit_details[Leased Date],"&lt;"&amp;$AM$2,
     unit_details[Beds],$L274,
     unit_details[Baths],$M274,
     unit_details[Partial Baths],IF(ISNUMBER($N274),$N274,""),
     unit_details[Sqft],$P274,
     unit_details[Property Name],$F274)
 ),"")</f>
        <v/>
      </c>
      <c r="V274" s="27" t="str">
        <f t="shared" si="54"/>
        <v/>
      </c>
      <c r="W274" s="526">
        <f>IFERROR(
  IF($F274="Total",
    SUM(INDEX(W:W, ROW()-COUNTIF($F$6:INDEX($F:$F, ROW()-1), $F273)) : INDEX(W:W, ROW()-1)),
    COUNTIFS(
      unit_details[Leased Date], "&gt;="&amp;($AM$2-T$5),
      unit_details[Leased Date], "&lt;"&amp;$AM$2,
      unit_details[Beds], $L274,
      unit_details[Baths], $M274,
      unit_details[Partial Baths], IF(ISNUMBER($N274), $N274, ""),
      unit_details[Sqft],$P274,
      unit_details[Property Name], $F274
    )
  ),
"")</f>
        <v>0</v>
      </c>
      <c r="X274" s="531" t="str">
        <f>IFERROR(
 IF($F274="Total",
   SUMPRODUCT(
   INDEX(X:X, ROW()-COUNTIF($F$6:INDEX($F:$F, ROW()-1), $F273)) : INDEX(X:X, ROW()-1),
   INDEX(AA:AA, ROW()-COUNTIF($F$6:INDEX($F:$F, ROW()-1), $F273)) : INDEX(AA:AA, ROW()-1)
   )
   /SUM(INDEX(AA:AA, ROW()-COUNTIF($F$6:INDEX($F:$F, ROW()-1), $F273)) : INDEX(AA:AA, ROW()-1)),
   AVERAGEIFS(
     INDEX((unit_details[Asking Rent],unit_details[Asking PSF]),0,1,IF($U$3="Chunk Rent",1,2)),
     unit_details[Leased Date],"&gt;="&amp;($AM$2-X$5),
     unit_details[Leased Date],"&lt;"&amp;$AM$2,
     unit_details[Beds],$L274,
     unit_details[Baths],$M274,
     unit_details[Partial Baths],IF(ISNUMBER($N274),$N274,""),
     unit_details[Sqft],$P274,
     unit_details[Property Name],$F274)
 ),"")</f>
        <v/>
      </c>
      <c r="Y274" s="552" t="str">
        <f>IFERROR(
 IF($F274="Total",
   SUMPRODUCT(
   INDEX(Y:Y, ROW()-COUNTIF($F$6:INDEX($F:$F, ROW()-1), $F273)) : INDEX(Y:Y, ROW()-1),
   INDEX(AA:AA, ROW()-COUNTIF($F$6:INDEX($F:$F, ROW()-1), $F273)) : INDEX(AA:AA, ROW()-1)
   )
   /SUM(INDEX(AA:AA, ROW()-COUNTIF($F$6:INDEX($F:$F, ROW()-1), $F273)) : INDEX(AA:AA, ROW()-1)),
   AVERAGEIFS(
     INDEX((unit_details[Effective Rent],unit_details[Effective PSF]),0,1,IF($U$3="Chunk Rent",1,2)),
     unit_details[Leased Date],"&gt;="&amp;($AM$2-X$5),
     unit_details[Leased Date],"&lt;"&amp;$AM$2,
     unit_details[Beds],$L274,
     unit_details[Baths],$M274,
     unit_details[Partial Baths],IF(ISNUMBER($N274),$N274,""),
     unit_details[Sqft],$P274,
     unit_details[Property Name],$F274)
 ),"")</f>
        <v/>
      </c>
      <c r="Z274" s="27" t="str">
        <f t="shared" si="55"/>
        <v/>
      </c>
      <c r="AA274" s="526">
        <f>IFERROR(
  IF($F274="Total",
    SUM(INDEX(AA:AA, ROW()-COUNTIF($F$6:INDEX($F:$F, ROW()-1), $F273)) : INDEX(AA:AA, ROW()-1)),
    COUNTIFS(
      unit_details[Leased Date], "&gt;="&amp;($AM$2-X$5),
      unit_details[Leased Date], "&lt;"&amp;$AM$2,
      unit_details[Beds], $L274,
      unit_details[Baths], $M274,
      unit_details[Partial Baths], IF(ISNUMBER($N274), $N274, ""),
      unit_details[Sqft],$P274,
      unit_details[Property Name], $F274
    )
  ),
"")</f>
        <v>0</v>
      </c>
      <c r="AB274" s="290">
        <f>IF($F274="Total",
SUM(INDEX(AB:AB, ROW()-COUNTIF($F$6:INDEX($F:$F, ROW()-1), $F273)) : INDEX(AB:AB, ROW()-1)),
COUNTIFS(unit_details[Active Listing?],TRUE,
          unit_details[Property Name], $F274,
          unit_details[Beds], $L274,
          unit_details[Baths], $M274,
          unit_details[Partial Baths],IF(ISNUMBER($N274),$N274,""),
          unit_details[Sqft],$P274))</f>
        <v>0</v>
      </c>
      <c r="AC274" s="27" t="str">
        <f t="shared" si="47"/>
        <v/>
      </c>
      <c r="AD274" s="293" t="str">
        <f>IFERROR(IF(AE274="","",IF($F274="Total",
SUMPRODUCT(
   INDEX(AD:AD, ROW()-COUNTIF($F$6:INDEX($F:$F, ROW()-1), $F273)) : INDEX(AD:AD, ROW()-1),
   INDEX(AB:AB, ROW()-COUNTIF($F$6:INDEX($F:$F, ROW()-1), $F273)) : INDEX(AB:AB, ROW()-1)
   )
   /SUM(INDEX(AB:AB, ROW()-COUNTIF($F$6:INDEX($F:$F, ROW()-1), $F273)) : INDEX(AB:AB, ROW()-1)),
          _xlfn.MINIFS(unit_details[Asking Rent],
          unit_details[Active Listing?],TRUE,
          unit_details[Property Name], $F274,
          unit_details[Beds], $L274,
          unit_details[Baths], $M274,
          unit_details[Partial Baths], IF(ISNUMBER($N274),$N274,""),
          unit_details[Sqft],$P274
))),"")</f>
        <v/>
      </c>
      <c r="AE274" s="5" t="str">
        <f>IFERROR(IF($F274="Total",
          SUMPRODUCT(
   INDEX(AE:AE, ROW()-COUNTIF($F$6:INDEX($F:$F, ROW()-1), $F273)) : INDEX(AE:AE, ROW()-1),
   INDEX(AB:AB, ROW()-COUNTIF($F$6:INDEX($F:$F, ROW()-1), $F273)) : INDEX(AB:AB, ROW()-1)
   )
   /SUM(INDEX(AB:AB, ROW()-COUNTIF($F$6:INDEX($F:$F, ROW()-1), $F273)) : INDEX(AB:AB, ROW()-1)),
          AVERAGEIFS(unit_details[Asking Rent],
          unit_details[Active Listing?],TRUE,
          unit_details[Property Name], $F274,
          unit_details[Beds], $L274,
          unit_details[Baths], $M274,
          unit_details[Partial Baths], IF(ISNUMBER($N274),$N274,""),
          unit_details[Sqft],$P274
)),"")</f>
        <v/>
      </c>
      <c r="AF274" s="5" t="str">
        <f>IFERROR(IF(AE274="","",IF($F274="Total",
SUMPRODUCT(
   INDEX(AF:AF, ROW()-COUNTIF($F$6:INDEX($F:$F, ROW()-1), $F273)) : INDEX(AF:AF, ROW()-1),
   INDEX(AB:AB, ROW()-COUNTIF($F$6:INDEX($F:$F, ROW()-1), $F273)) : INDEX(AB:AB, ROW()-1)
   )
   /SUM(INDEX(AB:AB, ROW()-COUNTIF($F$6:INDEX($F:$F, ROW()-1), $F273)) : INDEX(AB:AB, ROW()-1)),
           _xlfn.MAXIFS(unit_details[Asking Rent],
          unit_details[Active Listing?],TRUE,
          unit_details[Property Name], $F274,
          unit_details[Beds], $L274,
          unit_details[Baths], $M274,
          unit_details[Partial Baths], IF(ISNUMBER($N274),$N274,""),
          unit_details[Sqft],$P274
))),"")</f>
        <v/>
      </c>
      <c r="AG274" s="6" t="str">
        <f>IFERROR(IF($F274="Total",
         SUMPRODUCT(
         INDEX(AG:AG, ROW()-COUNTIF($F$6:INDEX($F:$F, ROW()-1), $F273)) : INDEX(AG:AG, ROW()-1),
         INDEX(AB:AB, ROW()-COUNTIF($F$6:INDEX($F:$F, ROW()-1), $F273)) : INDEX(AB:AB, ROW()-1)
         )
         /SUM(INDEX(AB:AB, ROW()-COUNTIF($F$6:INDEX($F:$F, ROW()-1), $F273)) : INDEX(AB:AB, ROW()-1)),
          AVERAGEIFS(unit_details[Asking PSF],
          unit_details[Active Listing?],TRUE,
          unit_details[Property Name], $F274,
          unit_details[Beds], $L274,
          unit_details[Baths], $M274,
          unit_details[Partial Baths], IF(ISNUMBER($N274),$N274,""),
          unit_details[Sqft],$P274
)),"")</f>
        <v/>
      </c>
      <c r="AH274" s="293" t="str">
        <f>IFERROR(IF($F274="Total",
         SUMPRODUCT(
         INDEX(AH:AH, ROW()-COUNTIF($F$6:INDEX($F:$F, ROW()-1), $F273)) : INDEX(AH:AH, ROW()-1),
         INDEX(AB:AB, ROW()-COUNTIF($F$6:INDEX($F:$F, ROW()-1), $F273)) : INDEX(AB:AB, ROW()-1)
         )
         /SUM(INDEX(AB:AB, ROW()-COUNTIF($F$6:INDEX($F:$F, ROW()-1), $F273)) : INDEX(AB:AB, ROW()-1)),
          AVERAGEIFS(unit_details[Effective Rent],
          unit_details[Active Listing?],TRUE,
          unit_details[Property Name], $F274,
          unit_details[Beds], $L274,
          unit_details[Baths], $M274,
          unit_details[Partial Baths], IF(ISNUMBER($N274),$N274,""),
          unit_details[Sqft],$P274
)),"")</f>
        <v/>
      </c>
      <c r="AI274" s="6" t="str">
        <f>IFERROR(IF($F274="Total",
         SUMPRODUCT(
         INDEX(AI:AI, ROW()-COUNTIF($F$6:INDEX($F:$F, ROW()-1), $F273)) : INDEX(AI:AI, ROW()-1),
         INDEX(AB:AB, ROW()-COUNTIF($F$6:INDEX($F:$F, ROW()-1), $F273)) : INDEX(AB:AB, ROW()-1)
         )
         /SUM(INDEX(AB:AB, ROW()-COUNTIF($F$6:INDEX($F:$F, ROW()-1), $F273)) : INDEX(AB:AB, ROW()-1)),
           AVERAGEIFS(unit_details[Effective PSF],
          unit_details[Active Listing?],TRUE,
          unit_details[Property Name], $F274,
          unit_details[Beds], $L274,
          unit_details[Baths], $M274,
          unit_details[Partial Baths], IF(ISNUMBER($N274),$N274,""),
          unit_details[Sqft],$P274
)),"")</f>
        <v/>
      </c>
      <c r="AJ274" s="824" t="str">
        <f t="shared" si="48"/>
        <v/>
      </c>
      <c r="AK274" s="531" t="str">
        <f t="shared" si="49"/>
        <v/>
      </c>
      <c r="AL274" s="714" t="str">
        <f t="shared" si="50"/>
        <v/>
      </c>
      <c r="AM274" s="531" t="str">
        <f t="shared" si="51"/>
        <v/>
      </c>
      <c r="AN274" s="716" t="str">
        <f t="shared" si="52"/>
        <v/>
      </c>
    </row>
    <row r="275" spans="6:40" x14ac:dyDescent="0.2">
      <c r="F275" s="1" t="str">
        <f t="shared" si="45"/>
        <v/>
      </c>
      <c r="G275" s="713" t="str">
        <f t="shared" si="53"/>
        <v/>
      </c>
      <c r="H275" s="17" t="str">
        <f>IFERROR(VLOOKUP($G275,Table1[[Property]:[Exposure %]],4,0),"")</f>
        <v/>
      </c>
      <c r="I275" s="3" t="str">
        <f>IFERROR(VLOOKUP($G275,Table1[[Property]:[Exposure %]],6,0),"")</f>
        <v/>
      </c>
      <c r="J275" s="3" t="str">
        <f>IFERROR(VLOOKUP($G275,Table1[[Property]:[Exposure %]],7,0),"")</f>
        <v/>
      </c>
      <c r="K275"/>
      <c r="L275"/>
      <c r="M275"/>
      <c r="N275"/>
      <c r="O275"/>
      <c r="P275"/>
      <c r="Q275"/>
      <c r="R275" s="4" t="str">
        <f>IFERROR(VLOOKUP(IF(F275="Total",F274,F275),Table1[[Property]:['# Units]],7,0)*S275,"")</f>
        <v/>
      </c>
      <c r="S275" s="27" t="str">
        <f t="shared" si="46"/>
        <v/>
      </c>
      <c r="T275" s="531" t="str">
        <f>IFERROR(
 IF($F275="Total",
   SUMPRODUCT(
   INDEX(T:T, ROW()-COUNTIF($F$6:INDEX($F:$F, ROW()-1), $F274)) : INDEX(T:T, ROW()-1),
   INDEX(W:W, ROW()-COUNTIF($F$6:INDEX($F:$F, ROW()-1), $F274)) : INDEX(W:W, ROW()-1)
   )
   /SUM(INDEX(W:W, ROW()-COUNTIF($F$6:INDEX($F:$F, ROW()-1), $F274)) : INDEX(W:W, ROW()-1)),
   AVERAGEIFS(
     INDEX((unit_details[Asking Rent],unit_details[Asking PSF]),0,1,IF($U$3="Chunk Rent",1,2)),
     unit_details[Leased Date],"&gt;="&amp;($AM$2-T$5),
     unit_details[Leased Date],"&lt;"&amp;$AM$2,
     unit_details[Beds],$L275,
     unit_details[Baths],$M275,
     unit_details[Partial Baths],IF(ISNUMBER($N275),$N275,""),
     unit_details[Sqft],$P275,
     unit_details[Property Name],$F275)
 ),"")</f>
        <v/>
      </c>
      <c r="U275" s="552" t="str">
        <f>IFERROR(
 IF($F275="Total",
   SUMPRODUCT(
   INDEX(U:U, ROW()-COUNTIF($F$6:INDEX($F:$F, ROW()-1), $F274)) : INDEX(U:U, ROW()-1),
   INDEX(W:W, ROW()-COUNTIF($F$6:INDEX($F:$F, ROW()-1), $F274)) : INDEX(W:W, ROW()-1)
   )
   /SUM(INDEX(W:W, ROW()-COUNTIF($F$6:INDEX($F:$F, ROW()-1), $F274)) : INDEX(W:W, ROW()-1)),
   AVERAGEIFS(
     INDEX((unit_details[Effective Rent],unit_details[Effective PSF]),0,1,IF($U$3="Chunk Rent",1,2)),
     unit_details[Leased Date],"&gt;="&amp;($AM$2-T$5),
     unit_details[Leased Date],"&lt;"&amp;$AM$2,
     unit_details[Beds],$L275,
     unit_details[Baths],$M275,
     unit_details[Partial Baths],IF(ISNUMBER($N275),$N275,""),
     unit_details[Sqft],$P275,
     unit_details[Property Name],$F275)
 ),"")</f>
        <v/>
      </c>
      <c r="V275" s="27" t="str">
        <f t="shared" si="54"/>
        <v/>
      </c>
      <c r="W275" s="526">
        <f>IFERROR(
  IF($F275="Total",
    SUM(INDEX(W:W, ROW()-COUNTIF($F$6:INDEX($F:$F, ROW()-1), $F274)) : INDEX(W:W, ROW()-1)),
    COUNTIFS(
      unit_details[Leased Date], "&gt;="&amp;($AM$2-T$5),
      unit_details[Leased Date], "&lt;"&amp;$AM$2,
      unit_details[Beds], $L275,
      unit_details[Baths], $M275,
      unit_details[Partial Baths], IF(ISNUMBER($N275), $N275, ""),
      unit_details[Sqft],$P275,
      unit_details[Property Name], $F275
    )
  ),
"")</f>
        <v>0</v>
      </c>
      <c r="X275" s="531" t="str">
        <f>IFERROR(
 IF($F275="Total",
   SUMPRODUCT(
   INDEX(X:X, ROW()-COUNTIF($F$6:INDEX($F:$F, ROW()-1), $F274)) : INDEX(X:X, ROW()-1),
   INDEX(AA:AA, ROW()-COUNTIF($F$6:INDEX($F:$F, ROW()-1), $F274)) : INDEX(AA:AA, ROW()-1)
   )
   /SUM(INDEX(AA:AA, ROW()-COUNTIF($F$6:INDEX($F:$F, ROW()-1), $F274)) : INDEX(AA:AA, ROW()-1)),
   AVERAGEIFS(
     INDEX((unit_details[Asking Rent],unit_details[Asking PSF]),0,1,IF($U$3="Chunk Rent",1,2)),
     unit_details[Leased Date],"&gt;="&amp;($AM$2-X$5),
     unit_details[Leased Date],"&lt;"&amp;$AM$2,
     unit_details[Beds],$L275,
     unit_details[Baths],$M275,
     unit_details[Partial Baths],IF(ISNUMBER($N275),$N275,""),
     unit_details[Sqft],$P275,
     unit_details[Property Name],$F275)
 ),"")</f>
        <v/>
      </c>
      <c r="Y275" s="552" t="str">
        <f>IFERROR(
 IF($F275="Total",
   SUMPRODUCT(
   INDEX(Y:Y, ROW()-COUNTIF($F$6:INDEX($F:$F, ROW()-1), $F274)) : INDEX(Y:Y, ROW()-1),
   INDEX(AA:AA, ROW()-COUNTIF($F$6:INDEX($F:$F, ROW()-1), $F274)) : INDEX(AA:AA, ROW()-1)
   )
   /SUM(INDEX(AA:AA, ROW()-COUNTIF($F$6:INDEX($F:$F, ROW()-1), $F274)) : INDEX(AA:AA, ROW()-1)),
   AVERAGEIFS(
     INDEX((unit_details[Effective Rent],unit_details[Effective PSF]),0,1,IF($U$3="Chunk Rent",1,2)),
     unit_details[Leased Date],"&gt;="&amp;($AM$2-X$5),
     unit_details[Leased Date],"&lt;"&amp;$AM$2,
     unit_details[Beds],$L275,
     unit_details[Baths],$M275,
     unit_details[Partial Baths],IF(ISNUMBER($N275),$N275,""),
     unit_details[Sqft],$P275,
     unit_details[Property Name],$F275)
 ),"")</f>
        <v/>
      </c>
      <c r="Z275" s="27" t="str">
        <f t="shared" si="55"/>
        <v/>
      </c>
      <c r="AA275" s="526">
        <f>IFERROR(
  IF($F275="Total",
    SUM(INDEX(AA:AA, ROW()-COUNTIF($F$6:INDEX($F:$F, ROW()-1), $F274)) : INDEX(AA:AA, ROW()-1)),
    COUNTIFS(
      unit_details[Leased Date], "&gt;="&amp;($AM$2-X$5),
      unit_details[Leased Date], "&lt;"&amp;$AM$2,
      unit_details[Beds], $L275,
      unit_details[Baths], $M275,
      unit_details[Partial Baths], IF(ISNUMBER($N275), $N275, ""),
      unit_details[Sqft],$P275,
      unit_details[Property Name], $F275
    )
  ),
"")</f>
        <v>0</v>
      </c>
      <c r="AB275" s="290">
        <f>IF($F275="Total",
SUM(INDEX(AB:AB, ROW()-COUNTIF($F$6:INDEX($F:$F, ROW()-1), $F274)) : INDEX(AB:AB, ROW()-1)),
COUNTIFS(unit_details[Active Listing?],TRUE,
          unit_details[Property Name], $F275,
          unit_details[Beds], $L275,
          unit_details[Baths], $M275,
          unit_details[Partial Baths],IF(ISNUMBER($N275),$N275,""),
          unit_details[Sqft],$P275))</f>
        <v>0</v>
      </c>
      <c r="AC275" s="27" t="str">
        <f t="shared" si="47"/>
        <v/>
      </c>
      <c r="AD275" s="293" t="str">
        <f>IFERROR(IF(AE275="","",IF($F275="Total",
SUMPRODUCT(
   INDEX(AD:AD, ROW()-COUNTIF($F$6:INDEX($F:$F, ROW()-1), $F274)) : INDEX(AD:AD, ROW()-1),
   INDEX(AB:AB, ROW()-COUNTIF($F$6:INDEX($F:$F, ROW()-1), $F274)) : INDEX(AB:AB, ROW()-1)
   )
   /SUM(INDEX(AB:AB, ROW()-COUNTIF($F$6:INDEX($F:$F, ROW()-1), $F274)) : INDEX(AB:AB, ROW()-1)),
          _xlfn.MINIFS(unit_details[Asking Rent],
          unit_details[Active Listing?],TRUE,
          unit_details[Property Name], $F275,
          unit_details[Beds], $L275,
          unit_details[Baths], $M275,
          unit_details[Partial Baths], IF(ISNUMBER($N275),$N275,""),
          unit_details[Sqft],$P275
))),"")</f>
        <v/>
      </c>
      <c r="AE275" s="5" t="str">
        <f>IFERROR(IF($F275="Total",
          SUMPRODUCT(
   INDEX(AE:AE, ROW()-COUNTIF($F$6:INDEX($F:$F, ROW()-1), $F274)) : INDEX(AE:AE, ROW()-1),
   INDEX(AB:AB, ROW()-COUNTIF($F$6:INDEX($F:$F, ROW()-1), $F274)) : INDEX(AB:AB, ROW()-1)
   )
   /SUM(INDEX(AB:AB, ROW()-COUNTIF($F$6:INDEX($F:$F, ROW()-1), $F274)) : INDEX(AB:AB, ROW()-1)),
          AVERAGEIFS(unit_details[Asking Rent],
          unit_details[Active Listing?],TRUE,
          unit_details[Property Name], $F275,
          unit_details[Beds], $L275,
          unit_details[Baths], $M275,
          unit_details[Partial Baths], IF(ISNUMBER($N275),$N275,""),
          unit_details[Sqft],$P275
)),"")</f>
        <v/>
      </c>
      <c r="AF275" s="5" t="str">
        <f>IFERROR(IF(AE275="","",IF($F275="Total",
SUMPRODUCT(
   INDEX(AF:AF, ROW()-COUNTIF($F$6:INDEX($F:$F, ROW()-1), $F274)) : INDEX(AF:AF, ROW()-1),
   INDEX(AB:AB, ROW()-COUNTIF($F$6:INDEX($F:$F, ROW()-1), $F274)) : INDEX(AB:AB, ROW()-1)
   )
   /SUM(INDEX(AB:AB, ROW()-COUNTIF($F$6:INDEX($F:$F, ROW()-1), $F274)) : INDEX(AB:AB, ROW()-1)),
           _xlfn.MAXIFS(unit_details[Asking Rent],
          unit_details[Active Listing?],TRUE,
          unit_details[Property Name], $F275,
          unit_details[Beds], $L275,
          unit_details[Baths], $M275,
          unit_details[Partial Baths], IF(ISNUMBER($N275),$N275,""),
          unit_details[Sqft],$P275
))),"")</f>
        <v/>
      </c>
      <c r="AG275" s="6" t="str">
        <f>IFERROR(IF($F275="Total",
         SUMPRODUCT(
         INDEX(AG:AG, ROW()-COUNTIF($F$6:INDEX($F:$F, ROW()-1), $F274)) : INDEX(AG:AG, ROW()-1),
         INDEX(AB:AB, ROW()-COUNTIF($F$6:INDEX($F:$F, ROW()-1), $F274)) : INDEX(AB:AB, ROW()-1)
         )
         /SUM(INDEX(AB:AB, ROW()-COUNTIF($F$6:INDEX($F:$F, ROW()-1), $F274)) : INDEX(AB:AB, ROW()-1)),
          AVERAGEIFS(unit_details[Asking PSF],
          unit_details[Active Listing?],TRUE,
          unit_details[Property Name], $F275,
          unit_details[Beds], $L275,
          unit_details[Baths], $M275,
          unit_details[Partial Baths], IF(ISNUMBER($N275),$N275,""),
          unit_details[Sqft],$P275
)),"")</f>
        <v/>
      </c>
      <c r="AH275" s="293" t="str">
        <f>IFERROR(IF($F275="Total",
         SUMPRODUCT(
         INDEX(AH:AH, ROW()-COUNTIF($F$6:INDEX($F:$F, ROW()-1), $F274)) : INDEX(AH:AH, ROW()-1),
         INDEX(AB:AB, ROW()-COUNTIF($F$6:INDEX($F:$F, ROW()-1), $F274)) : INDEX(AB:AB, ROW()-1)
         )
         /SUM(INDEX(AB:AB, ROW()-COUNTIF($F$6:INDEX($F:$F, ROW()-1), $F274)) : INDEX(AB:AB, ROW()-1)),
          AVERAGEIFS(unit_details[Effective Rent],
          unit_details[Active Listing?],TRUE,
          unit_details[Property Name], $F275,
          unit_details[Beds], $L275,
          unit_details[Baths], $M275,
          unit_details[Partial Baths], IF(ISNUMBER($N275),$N275,""),
          unit_details[Sqft],$P275
)),"")</f>
        <v/>
      </c>
      <c r="AI275" s="6" t="str">
        <f>IFERROR(IF($F275="Total",
         SUMPRODUCT(
         INDEX(AI:AI, ROW()-COUNTIF($F$6:INDEX($F:$F, ROW()-1), $F274)) : INDEX(AI:AI, ROW()-1),
         INDEX(AB:AB, ROW()-COUNTIF($F$6:INDEX($F:$F, ROW()-1), $F274)) : INDEX(AB:AB, ROW()-1)
         )
         /SUM(INDEX(AB:AB, ROW()-COUNTIF($F$6:INDEX($F:$F, ROW()-1), $F274)) : INDEX(AB:AB, ROW()-1)),
           AVERAGEIFS(unit_details[Effective PSF],
          unit_details[Active Listing?],TRUE,
          unit_details[Property Name], $F275,
          unit_details[Beds], $L275,
          unit_details[Baths], $M275,
          unit_details[Partial Baths], IF(ISNUMBER($N275),$N275,""),
          unit_details[Sqft],$P275
)),"")</f>
        <v/>
      </c>
      <c r="AJ275" s="824" t="str">
        <f t="shared" si="48"/>
        <v/>
      </c>
      <c r="AK275" s="531" t="str">
        <f t="shared" si="49"/>
        <v/>
      </c>
      <c r="AL275" s="714" t="str">
        <f t="shared" si="50"/>
        <v/>
      </c>
      <c r="AM275" s="531" t="str">
        <f t="shared" si="51"/>
        <v/>
      </c>
      <c r="AN275" s="716" t="str">
        <f t="shared" si="52"/>
        <v/>
      </c>
    </row>
    <row r="276" spans="6:40" x14ac:dyDescent="0.2">
      <c r="F276" s="1" t="str">
        <f t="shared" si="45"/>
        <v/>
      </c>
      <c r="G276" s="713" t="str">
        <f t="shared" si="53"/>
        <v/>
      </c>
      <c r="H276" s="17" t="str">
        <f>IFERROR(VLOOKUP($G276,Table1[[Property]:[Exposure %]],4,0),"")</f>
        <v/>
      </c>
      <c r="I276" s="3" t="str">
        <f>IFERROR(VLOOKUP($G276,Table1[[Property]:[Exposure %]],6,0),"")</f>
        <v/>
      </c>
      <c r="J276" s="3" t="str">
        <f>IFERROR(VLOOKUP($G276,Table1[[Property]:[Exposure %]],7,0),"")</f>
        <v/>
      </c>
      <c r="K276"/>
      <c r="L276"/>
      <c r="M276"/>
      <c r="N276"/>
      <c r="O276"/>
      <c r="P276"/>
      <c r="Q276"/>
      <c r="R276" s="4" t="str">
        <f>IFERROR(VLOOKUP(IF(F276="Total",F275,F276),Table1[[Property]:['# Units]],7,0)*S276,"")</f>
        <v/>
      </c>
      <c r="S276" s="27" t="str">
        <f t="shared" si="46"/>
        <v/>
      </c>
      <c r="T276" s="531" t="str">
        <f>IFERROR(
 IF($F276="Total",
   SUMPRODUCT(
   INDEX(T:T, ROW()-COUNTIF($F$6:INDEX($F:$F, ROW()-1), $F275)) : INDEX(T:T, ROW()-1),
   INDEX(W:W, ROW()-COUNTIF($F$6:INDEX($F:$F, ROW()-1), $F275)) : INDEX(W:W, ROW()-1)
   )
   /SUM(INDEX(W:W, ROW()-COUNTIF($F$6:INDEX($F:$F, ROW()-1), $F275)) : INDEX(W:W, ROW()-1)),
   AVERAGEIFS(
     INDEX((unit_details[Asking Rent],unit_details[Asking PSF]),0,1,IF($U$3="Chunk Rent",1,2)),
     unit_details[Leased Date],"&gt;="&amp;($AM$2-T$5),
     unit_details[Leased Date],"&lt;"&amp;$AM$2,
     unit_details[Beds],$L276,
     unit_details[Baths],$M276,
     unit_details[Partial Baths],IF(ISNUMBER($N276),$N276,""),
     unit_details[Sqft],$P276,
     unit_details[Property Name],$F276)
 ),"")</f>
        <v/>
      </c>
      <c r="U276" s="552" t="str">
        <f>IFERROR(
 IF($F276="Total",
   SUMPRODUCT(
   INDEX(U:U, ROW()-COUNTIF($F$6:INDEX($F:$F, ROW()-1), $F275)) : INDEX(U:U, ROW()-1),
   INDEX(W:W, ROW()-COUNTIF($F$6:INDEX($F:$F, ROW()-1), $F275)) : INDEX(W:W, ROW()-1)
   )
   /SUM(INDEX(W:W, ROW()-COUNTIF($F$6:INDEX($F:$F, ROW()-1), $F275)) : INDEX(W:W, ROW()-1)),
   AVERAGEIFS(
     INDEX((unit_details[Effective Rent],unit_details[Effective PSF]),0,1,IF($U$3="Chunk Rent",1,2)),
     unit_details[Leased Date],"&gt;="&amp;($AM$2-T$5),
     unit_details[Leased Date],"&lt;"&amp;$AM$2,
     unit_details[Beds],$L276,
     unit_details[Baths],$M276,
     unit_details[Partial Baths],IF(ISNUMBER($N276),$N276,""),
     unit_details[Sqft],$P276,
     unit_details[Property Name],$F276)
 ),"")</f>
        <v/>
      </c>
      <c r="V276" s="27" t="str">
        <f t="shared" si="54"/>
        <v/>
      </c>
      <c r="W276" s="526">
        <f>IFERROR(
  IF($F276="Total",
    SUM(INDEX(W:W, ROW()-COUNTIF($F$6:INDEX($F:$F, ROW()-1), $F275)) : INDEX(W:W, ROW()-1)),
    COUNTIFS(
      unit_details[Leased Date], "&gt;="&amp;($AM$2-T$5),
      unit_details[Leased Date], "&lt;"&amp;$AM$2,
      unit_details[Beds], $L276,
      unit_details[Baths], $M276,
      unit_details[Partial Baths], IF(ISNUMBER($N276), $N276, ""),
      unit_details[Sqft],$P276,
      unit_details[Property Name], $F276
    )
  ),
"")</f>
        <v>0</v>
      </c>
      <c r="X276" s="531" t="str">
        <f>IFERROR(
 IF($F276="Total",
   SUMPRODUCT(
   INDEX(X:X, ROW()-COUNTIF($F$6:INDEX($F:$F, ROW()-1), $F275)) : INDEX(X:X, ROW()-1),
   INDEX(AA:AA, ROW()-COUNTIF($F$6:INDEX($F:$F, ROW()-1), $F275)) : INDEX(AA:AA, ROW()-1)
   )
   /SUM(INDEX(AA:AA, ROW()-COUNTIF($F$6:INDEX($F:$F, ROW()-1), $F275)) : INDEX(AA:AA, ROW()-1)),
   AVERAGEIFS(
     INDEX((unit_details[Asking Rent],unit_details[Asking PSF]),0,1,IF($U$3="Chunk Rent",1,2)),
     unit_details[Leased Date],"&gt;="&amp;($AM$2-X$5),
     unit_details[Leased Date],"&lt;"&amp;$AM$2,
     unit_details[Beds],$L276,
     unit_details[Baths],$M276,
     unit_details[Partial Baths],IF(ISNUMBER($N276),$N276,""),
     unit_details[Sqft],$P276,
     unit_details[Property Name],$F276)
 ),"")</f>
        <v/>
      </c>
      <c r="Y276" s="552" t="str">
        <f>IFERROR(
 IF($F276="Total",
   SUMPRODUCT(
   INDEX(Y:Y, ROW()-COUNTIF($F$6:INDEX($F:$F, ROW()-1), $F275)) : INDEX(Y:Y, ROW()-1),
   INDEX(AA:AA, ROW()-COUNTIF($F$6:INDEX($F:$F, ROW()-1), $F275)) : INDEX(AA:AA, ROW()-1)
   )
   /SUM(INDEX(AA:AA, ROW()-COUNTIF($F$6:INDEX($F:$F, ROW()-1), $F275)) : INDEX(AA:AA, ROW()-1)),
   AVERAGEIFS(
     INDEX((unit_details[Effective Rent],unit_details[Effective PSF]),0,1,IF($U$3="Chunk Rent",1,2)),
     unit_details[Leased Date],"&gt;="&amp;($AM$2-X$5),
     unit_details[Leased Date],"&lt;"&amp;$AM$2,
     unit_details[Beds],$L276,
     unit_details[Baths],$M276,
     unit_details[Partial Baths],IF(ISNUMBER($N276),$N276,""),
     unit_details[Sqft],$P276,
     unit_details[Property Name],$F276)
 ),"")</f>
        <v/>
      </c>
      <c r="Z276" s="27" t="str">
        <f t="shared" si="55"/>
        <v/>
      </c>
      <c r="AA276" s="526">
        <f>IFERROR(
  IF($F276="Total",
    SUM(INDEX(AA:AA, ROW()-COUNTIF($F$6:INDEX($F:$F, ROW()-1), $F275)) : INDEX(AA:AA, ROW()-1)),
    COUNTIFS(
      unit_details[Leased Date], "&gt;="&amp;($AM$2-X$5),
      unit_details[Leased Date], "&lt;"&amp;$AM$2,
      unit_details[Beds], $L276,
      unit_details[Baths], $M276,
      unit_details[Partial Baths], IF(ISNUMBER($N276), $N276, ""),
      unit_details[Sqft],$P276,
      unit_details[Property Name], $F276
    )
  ),
"")</f>
        <v>0</v>
      </c>
      <c r="AB276" s="290">
        <f>IF($F276="Total",
SUM(INDEX(AB:AB, ROW()-COUNTIF($F$6:INDEX($F:$F, ROW()-1), $F275)) : INDEX(AB:AB, ROW()-1)),
COUNTIFS(unit_details[Active Listing?],TRUE,
          unit_details[Property Name], $F276,
          unit_details[Beds], $L276,
          unit_details[Baths], $M276,
          unit_details[Partial Baths],IF(ISNUMBER($N276),$N276,""),
          unit_details[Sqft],$P276))</f>
        <v>0</v>
      </c>
      <c r="AC276" s="27" t="str">
        <f t="shared" si="47"/>
        <v/>
      </c>
      <c r="AD276" s="293" t="str">
        <f>IFERROR(IF(AE276="","",IF($F276="Total",
SUMPRODUCT(
   INDEX(AD:AD, ROW()-COUNTIF($F$6:INDEX($F:$F, ROW()-1), $F275)) : INDEX(AD:AD, ROW()-1),
   INDEX(AB:AB, ROW()-COUNTIF($F$6:INDEX($F:$F, ROW()-1), $F275)) : INDEX(AB:AB, ROW()-1)
   )
   /SUM(INDEX(AB:AB, ROW()-COUNTIF($F$6:INDEX($F:$F, ROW()-1), $F275)) : INDEX(AB:AB, ROW()-1)),
          _xlfn.MINIFS(unit_details[Asking Rent],
          unit_details[Active Listing?],TRUE,
          unit_details[Property Name], $F276,
          unit_details[Beds], $L276,
          unit_details[Baths], $M276,
          unit_details[Partial Baths], IF(ISNUMBER($N276),$N276,""),
          unit_details[Sqft],$P276
))),"")</f>
        <v/>
      </c>
      <c r="AE276" s="5" t="str">
        <f>IFERROR(IF($F276="Total",
          SUMPRODUCT(
   INDEX(AE:AE, ROW()-COUNTIF($F$6:INDEX($F:$F, ROW()-1), $F275)) : INDEX(AE:AE, ROW()-1),
   INDEX(AB:AB, ROW()-COUNTIF($F$6:INDEX($F:$F, ROW()-1), $F275)) : INDEX(AB:AB, ROW()-1)
   )
   /SUM(INDEX(AB:AB, ROW()-COUNTIF($F$6:INDEX($F:$F, ROW()-1), $F275)) : INDEX(AB:AB, ROW()-1)),
          AVERAGEIFS(unit_details[Asking Rent],
          unit_details[Active Listing?],TRUE,
          unit_details[Property Name], $F276,
          unit_details[Beds], $L276,
          unit_details[Baths], $M276,
          unit_details[Partial Baths], IF(ISNUMBER($N276),$N276,""),
          unit_details[Sqft],$P276
)),"")</f>
        <v/>
      </c>
      <c r="AF276" s="5" t="str">
        <f>IFERROR(IF(AE276="","",IF($F276="Total",
SUMPRODUCT(
   INDEX(AF:AF, ROW()-COUNTIF($F$6:INDEX($F:$F, ROW()-1), $F275)) : INDEX(AF:AF, ROW()-1),
   INDEX(AB:AB, ROW()-COUNTIF($F$6:INDEX($F:$F, ROW()-1), $F275)) : INDEX(AB:AB, ROW()-1)
   )
   /SUM(INDEX(AB:AB, ROW()-COUNTIF($F$6:INDEX($F:$F, ROW()-1), $F275)) : INDEX(AB:AB, ROW()-1)),
           _xlfn.MAXIFS(unit_details[Asking Rent],
          unit_details[Active Listing?],TRUE,
          unit_details[Property Name], $F276,
          unit_details[Beds], $L276,
          unit_details[Baths], $M276,
          unit_details[Partial Baths], IF(ISNUMBER($N276),$N276,""),
          unit_details[Sqft],$P276
))),"")</f>
        <v/>
      </c>
      <c r="AG276" s="6" t="str">
        <f>IFERROR(IF($F276="Total",
         SUMPRODUCT(
         INDEX(AG:AG, ROW()-COUNTIF($F$6:INDEX($F:$F, ROW()-1), $F275)) : INDEX(AG:AG, ROW()-1),
         INDEX(AB:AB, ROW()-COUNTIF($F$6:INDEX($F:$F, ROW()-1), $F275)) : INDEX(AB:AB, ROW()-1)
         )
         /SUM(INDEX(AB:AB, ROW()-COUNTIF($F$6:INDEX($F:$F, ROW()-1), $F275)) : INDEX(AB:AB, ROW()-1)),
          AVERAGEIFS(unit_details[Asking PSF],
          unit_details[Active Listing?],TRUE,
          unit_details[Property Name], $F276,
          unit_details[Beds], $L276,
          unit_details[Baths], $M276,
          unit_details[Partial Baths], IF(ISNUMBER($N276),$N276,""),
          unit_details[Sqft],$P276
)),"")</f>
        <v/>
      </c>
      <c r="AH276" s="293" t="str">
        <f>IFERROR(IF($F276="Total",
         SUMPRODUCT(
         INDEX(AH:AH, ROW()-COUNTIF($F$6:INDEX($F:$F, ROW()-1), $F275)) : INDEX(AH:AH, ROW()-1),
         INDEX(AB:AB, ROW()-COUNTIF($F$6:INDEX($F:$F, ROW()-1), $F275)) : INDEX(AB:AB, ROW()-1)
         )
         /SUM(INDEX(AB:AB, ROW()-COUNTIF($F$6:INDEX($F:$F, ROW()-1), $F275)) : INDEX(AB:AB, ROW()-1)),
          AVERAGEIFS(unit_details[Effective Rent],
          unit_details[Active Listing?],TRUE,
          unit_details[Property Name], $F276,
          unit_details[Beds], $L276,
          unit_details[Baths], $M276,
          unit_details[Partial Baths], IF(ISNUMBER($N276),$N276,""),
          unit_details[Sqft],$P276
)),"")</f>
        <v/>
      </c>
      <c r="AI276" s="6" t="str">
        <f>IFERROR(IF($F276="Total",
         SUMPRODUCT(
         INDEX(AI:AI, ROW()-COUNTIF($F$6:INDEX($F:$F, ROW()-1), $F275)) : INDEX(AI:AI, ROW()-1),
         INDEX(AB:AB, ROW()-COUNTIF($F$6:INDEX($F:$F, ROW()-1), $F275)) : INDEX(AB:AB, ROW()-1)
         )
         /SUM(INDEX(AB:AB, ROW()-COUNTIF($F$6:INDEX($F:$F, ROW()-1), $F275)) : INDEX(AB:AB, ROW()-1)),
           AVERAGEIFS(unit_details[Effective PSF],
          unit_details[Active Listing?],TRUE,
          unit_details[Property Name], $F276,
          unit_details[Beds], $L276,
          unit_details[Baths], $M276,
          unit_details[Partial Baths], IF(ISNUMBER($N276),$N276,""),
          unit_details[Sqft],$P276
)),"")</f>
        <v/>
      </c>
      <c r="AJ276" s="824" t="str">
        <f t="shared" si="48"/>
        <v/>
      </c>
      <c r="AK276" s="531" t="str">
        <f t="shared" si="49"/>
        <v/>
      </c>
      <c r="AL276" s="714" t="str">
        <f t="shared" si="50"/>
        <v/>
      </c>
      <c r="AM276" s="531" t="str">
        <f t="shared" si="51"/>
        <v/>
      </c>
      <c r="AN276" s="716" t="str">
        <f t="shared" si="52"/>
        <v/>
      </c>
    </row>
    <row r="277" spans="6:40" x14ac:dyDescent="0.2">
      <c r="F277" s="1" t="str">
        <f t="shared" si="45"/>
        <v/>
      </c>
      <c r="G277" s="713" t="str">
        <f t="shared" si="53"/>
        <v/>
      </c>
      <c r="H277" s="17" t="str">
        <f>IFERROR(VLOOKUP($G277,Table1[[Property]:[Exposure %]],4,0),"")</f>
        <v/>
      </c>
      <c r="I277" s="3" t="str">
        <f>IFERROR(VLOOKUP($G277,Table1[[Property]:[Exposure %]],6,0),"")</f>
        <v/>
      </c>
      <c r="J277" s="3" t="str">
        <f>IFERROR(VLOOKUP($G277,Table1[[Property]:[Exposure %]],7,0),"")</f>
        <v/>
      </c>
      <c r="K277"/>
      <c r="L277"/>
      <c r="M277"/>
      <c r="N277"/>
      <c r="O277"/>
      <c r="P277"/>
      <c r="Q277"/>
      <c r="R277" s="4" t="str">
        <f>IFERROR(VLOOKUP(IF(F277="Total",F276,F277),Table1[[Property]:['# Units]],7,0)*S277,"")</f>
        <v/>
      </c>
      <c r="S277" s="27" t="str">
        <f t="shared" si="46"/>
        <v/>
      </c>
      <c r="T277" s="531" t="str">
        <f>IFERROR(
 IF($F277="Total",
   SUMPRODUCT(
   INDEX(T:T, ROW()-COUNTIF($F$6:INDEX($F:$F, ROW()-1), $F276)) : INDEX(T:T, ROW()-1),
   INDEX(W:W, ROW()-COUNTIF($F$6:INDEX($F:$F, ROW()-1), $F276)) : INDEX(W:W, ROW()-1)
   )
   /SUM(INDEX(W:W, ROW()-COUNTIF($F$6:INDEX($F:$F, ROW()-1), $F276)) : INDEX(W:W, ROW()-1)),
   AVERAGEIFS(
     INDEX((unit_details[Asking Rent],unit_details[Asking PSF]),0,1,IF($U$3="Chunk Rent",1,2)),
     unit_details[Leased Date],"&gt;="&amp;($AM$2-T$5),
     unit_details[Leased Date],"&lt;"&amp;$AM$2,
     unit_details[Beds],$L277,
     unit_details[Baths],$M277,
     unit_details[Partial Baths],IF(ISNUMBER($N277),$N277,""),
     unit_details[Sqft],$P277,
     unit_details[Property Name],$F277)
 ),"")</f>
        <v/>
      </c>
      <c r="U277" s="552" t="str">
        <f>IFERROR(
 IF($F277="Total",
   SUMPRODUCT(
   INDEX(U:U, ROW()-COUNTIF($F$6:INDEX($F:$F, ROW()-1), $F276)) : INDEX(U:U, ROW()-1),
   INDEX(W:W, ROW()-COUNTIF($F$6:INDEX($F:$F, ROW()-1), $F276)) : INDEX(W:W, ROW()-1)
   )
   /SUM(INDEX(W:W, ROW()-COUNTIF($F$6:INDEX($F:$F, ROW()-1), $F276)) : INDEX(W:W, ROW()-1)),
   AVERAGEIFS(
     INDEX((unit_details[Effective Rent],unit_details[Effective PSF]),0,1,IF($U$3="Chunk Rent",1,2)),
     unit_details[Leased Date],"&gt;="&amp;($AM$2-T$5),
     unit_details[Leased Date],"&lt;"&amp;$AM$2,
     unit_details[Beds],$L277,
     unit_details[Baths],$M277,
     unit_details[Partial Baths],IF(ISNUMBER($N277),$N277,""),
     unit_details[Sqft],$P277,
     unit_details[Property Name],$F277)
 ),"")</f>
        <v/>
      </c>
      <c r="V277" s="27" t="str">
        <f t="shared" si="54"/>
        <v/>
      </c>
      <c r="W277" s="526">
        <f>IFERROR(
  IF($F277="Total",
    SUM(INDEX(W:W, ROW()-COUNTIF($F$6:INDEX($F:$F, ROW()-1), $F276)) : INDEX(W:W, ROW()-1)),
    COUNTIFS(
      unit_details[Leased Date], "&gt;="&amp;($AM$2-T$5),
      unit_details[Leased Date], "&lt;"&amp;$AM$2,
      unit_details[Beds], $L277,
      unit_details[Baths], $M277,
      unit_details[Partial Baths], IF(ISNUMBER($N277), $N277, ""),
      unit_details[Sqft],$P277,
      unit_details[Property Name], $F277
    )
  ),
"")</f>
        <v>0</v>
      </c>
      <c r="X277" s="531" t="str">
        <f>IFERROR(
 IF($F277="Total",
   SUMPRODUCT(
   INDEX(X:X, ROW()-COUNTIF($F$6:INDEX($F:$F, ROW()-1), $F276)) : INDEX(X:X, ROW()-1),
   INDEX(AA:AA, ROW()-COUNTIF($F$6:INDEX($F:$F, ROW()-1), $F276)) : INDEX(AA:AA, ROW()-1)
   )
   /SUM(INDEX(AA:AA, ROW()-COUNTIF($F$6:INDEX($F:$F, ROW()-1), $F276)) : INDEX(AA:AA, ROW()-1)),
   AVERAGEIFS(
     INDEX((unit_details[Asking Rent],unit_details[Asking PSF]),0,1,IF($U$3="Chunk Rent",1,2)),
     unit_details[Leased Date],"&gt;="&amp;($AM$2-X$5),
     unit_details[Leased Date],"&lt;"&amp;$AM$2,
     unit_details[Beds],$L277,
     unit_details[Baths],$M277,
     unit_details[Partial Baths],IF(ISNUMBER($N277),$N277,""),
     unit_details[Sqft],$P277,
     unit_details[Property Name],$F277)
 ),"")</f>
        <v/>
      </c>
      <c r="Y277" s="552" t="str">
        <f>IFERROR(
 IF($F277="Total",
   SUMPRODUCT(
   INDEX(Y:Y, ROW()-COUNTIF($F$6:INDEX($F:$F, ROW()-1), $F276)) : INDEX(Y:Y, ROW()-1),
   INDEX(AA:AA, ROW()-COUNTIF($F$6:INDEX($F:$F, ROW()-1), $F276)) : INDEX(AA:AA, ROW()-1)
   )
   /SUM(INDEX(AA:AA, ROW()-COUNTIF($F$6:INDEX($F:$F, ROW()-1), $F276)) : INDEX(AA:AA, ROW()-1)),
   AVERAGEIFS(
     INDEX((unit_details[Effective Rent],unit_details[Effective PSF]),0,1,IF($U$3="Chunk Rent",1,2)),
     unit_details[Leased Date],"&gt;="&amp;($AM$2-X$5),
     unit_details[Leased Date],"&lt;"&amp;$AM$2,
     unit_details[Beds],$L277,
     unit_details[Baths],$M277,
     unit_details[Partial Baths],IF(ISNUMBER($N277),$N277,""),
     unit_details[Sqft],$P277,
     unit_details[Property Name],$F277)
 ),"")</f>
        <v/>
      </c>
      <c r="Z277" s="27" t="str">
        <f t="shared" si="55"/>
        <v/>
      </c>
      <c r="AA277" s="526">
        <f>IFERROR(
  IF($F277="Total",
    SUM(INDEX(AA:AA, ROW()-COUNTIF($F$6:INDEX($F:$F, ROW()-1), $F276)) : INDEX(AA:AA, ROW()-1)),
    COUNTIFS(
      unit_details[Leased Date], "&gt;="&amp;($AM$2-X$5),
      unit_details[Leased Date], "&lt;"&amp;$AM$2,
      unit_details[Beds], $L277,
      unit_details[Baths], $M277,
      unit_details[Partial Baths], IF(ISNUMBER($N277), $N277, ""),
      unit_details[Sqft],$P277,
      unit_details[Property Name], $F277
    )
  ),
"")</f>
        <v>0</v>
      </c>
      <c r="AB277" s="290">
        <f>IF($F277="Total",
SUM(INDEX(AB:AB, ROW()-COUNTIF($F$6:INDEX($F:$F, ROW()-1), $F276)) : INDEX(AB:AB, ROW()-1)),
COUNTIFS(unit_details[Active Listing?],TRUE,
          unit_details[Property Name], $F277,
          unit_details[Beds], $L277,
          unit_details[Baths], $M277,
          unit_details[Partial Baths],IF(ISNUMBER($N277),$N277,""),
          unit_details[Sqft],$P277))</f>
        <v>0</v>
      </c>
      <c r="AC277" s="27" t="str">
        <f t="shared" si="47"/>
        <v/>
      </c>
      <c r="AD277" s="293" t="str">
        <f>IFERROR(IF(AE277="","",IF($F277="Total",
SUMPRODUCT(
   INDEX(AD:AD, ROW()-COUNTIF($F$6:INDEX($F:$F, ROW()-1), $F276)) : INDEX(AD:AD, ROW()-1),
   INDEX(AB:AB, ROW()-COUNTIF($F$6:INDEX($F:$F, ROW()-1), $F276)) : INDEX(AB:AB, ROW()-1)
   )
   /SUM(INDEX(AB:AB, ROW()-COUNTIF($F$6:INDEX($F:$F, ROW()-1), $F276)) : INDEX(AB:AB, ROW()-1)),
          _xlfn.MINIFS(unit_details[Asking Rent],
          unit_details[Active Listing?],TRUE,
          unit_details[Property Name], $F277,
          unit_details[Beds], $L277,
          unit_details[Baths], $M277,
          unit_details[Partial Baths], IF(ISNUMBER($N277),$N277,""),
          unit_details[Sqft],$P277
))),"")</f>
        <v/>
      </c>
      <c r="AE277" s="5" t="str">
        <f>IFERROR(IF($F277="Total",
          SUMPRODUCT(
   INDEX(AE:AE, ROW()-COUNTIF($F$6:INDEX($F:$F, ROW()-1), $F276)) : INDEX(AE:AE, ROW()-1),
   INDEX(AB:AB, ROW()-COUNTIF($F$6:INDEX($F:$F, ROW()-1), $F276)) : INDEX(AB:AB, ROW()-1)
   )
   /SUM(INDEX(AB:AB, ROW()-COUNTIF($F$6:INDEX($F:$F, ROW()-1), $F276)) : INDEX(AB:AB, ROW()-1)),
          AVERAGEIFS(unit_details[Asking Rent],
          unit_details[Active Listing?],TRUE,
          unit_details[Property Name], $F277,
          unit_details[Beds], $L277,
          unit_details[Baths], $M277,
          unit_details[Partial Baths], IF(ISNUMBER($N277),$N277,""),
          unit_details[Sqft],$P277
)),"")</f>
        <v/>
      </c>
      <c r="AF277" s="5" t="str">
        <f>IFERROR(IF(AE277="","",IF($F277="Total",
SUMPRODUCT(
   INDEX(AF:AF, ROW()-COUNTIF($F$6:INDEX($F:$F, ROW()-1), $F276)) : INDEX(AF:AF, ROW()-1),
   INDEX(AB:AB, ROW()-COUNTIF($F$6:INDEX($F:$F, ROW()-1), $F276)) : INDEX(AB:AB, ROW()-1)
   )
   /SUM(INDEX(AB:AB, ROW()-COUNTIF($F$6:INDEX($F:$F, ROW()-1), $F276)) : INDEX(AB:AB, ROW()-1)),
           _xlfn.MAXIFS(unit_details[Asking Rent],
          unit_details[Active Listing?],TRUE,
          unit_details[Property Name], $F277,
          unit_details[Beds], $L277,
          unit_details[Baths], $M277,
          unit_details[Partial Baths], IF(ISNUMBER($N277),$N277,""),
          unit_details[Sqft],$P277
))),"")</f>
        <v/>
      </c>
      <c r="AG277" s="6" t="str">
        <f>IFERROR(IF($F277="Total",
         SUMPRODUCT(
         INDEX(AG:AG, ROW()-COUNTIF($F$6:INDEX($F:$F, ROW()-1), $F276)) : INDEX(AG:AG, ROW()-1),
         INDEX(AB:AB, ROW()-COUNTIF($F$6:INDEX($F:$F, ROW()-1), $F276)) : INDEX(AB:AB, ROW()-1)
         )
         /SUM(INDEX(AB:AB, ROW()-COUNTIF($F$6:INDEX($F:$F, ROW()-1), $F276)) : INDEX(AB:AB, ROW()-1)),
          AVERAGEIFS(unit_details[Asking PSF],
          unit_details[Active Listing?],TRUE,
          unit_details[Property Name], $F277,
          unit_details[Beds], $L277,
          unit_details[Baths], $M277,
          unit_details[Partial Baths], IF(ISNUMBER($N277),$N277,""),
          unit_details[Sqft],$P277
)),"")</f>
        <v/>
      </c>
      <c r="AH277" s="293" t="str">
        <f>IFERROR(IF($F277="Total",
         SUMPRODUCT(
         INDEX(AH:AH, ROW()-COUNTIF($F$6:INDEX($F:$F, ROW()-1), $F276)) : INDEX(AH:AH, ROW()-1),
         INDEX(AB:AB, ROW()-COUNTIF($F$6:INDEX($F:$F, ROW()-1), $F276)) : INDEX(AB:AB, ROW()-1)
         )
         /SUM(INDEX(AB:AB, ROW()-COUNTIF($F$6:INDEX($F:$F, ROW()-1), $F276)) : INDEX(AB:AB, ROW()-1)),
          AVERAGEIFS(unit_details[Effective Rent],
          unit_details[Active Listing?],TRUE,
          unit_details[Property Name], $F277,
          unit_details[Beds], $L277,
          unit_details[Baths], $M277,
          unit_details[Partial Baths], IF(ISNUMBER($N277),$N277,""),
          unit_details[Sqft],$P277
)),"")</f>
        <v/>
      </c>
      <c r="AI277" s="6" t="str">
        <f>IFERROR(IF($F277="Total",
         SUMPRODUCT(
         INDEX(AI:AI, ROW()-COUNTIF($F$6:INDEX($F:$F, ROW()-1), $F276)) : INDEX(AI:AI, ROW()-1),
         INDEX(AB:AB, ROW()-COUNTIF($F$6:INDEX($F:$F, ROW()-1), $F276)) : INDEX(AB:AB, ROW()-1)
         )
         /SUM(INDEX(AB:AB, ROW()-COUNTIF($F$6:INDEX($F:$F, ROW()-1), $F276)) : INDEX(AB:AB, ROW()-1)),
           AVERAGEIFS(unit_details[Effective PSF],
          unit_details[Active Listing?],TRUE,
          unit_details[Property Name], $F277,
          unit_details[Beds], $L277,
          unit_details[Baths], $M277,
          unit_details[Partial Baths], IF(ISNUMBER($N277),$N277,""),
          unit_details[Sqft],$P277
)),"")</f>
        <v/>
      </c>
      <c r="AJ277" s="824" t="str">
        <f t="shared" si="48"/>
        <v/>
      </c>
      <c r="AK277" s="531" t="str">
        <f t="shared" si="49"/>
        <v/>
      </c>
      <c r="AL277" s="714" t="str">
        <f t="shared" si="50"/>
        <v/>
      </c>
      <c r="AM277" s="531" t="str">
        <f t="shared" si="51"/>
        <v/>
      </c>
      <c r="AN277" s="716" t="str">
        <f t="shared" si="52"/>
        <v/>
      </c>
    </row>
    <row r="278" spans="6:40" x14ac:dyDescent="0.2">
      <c r="F278" s="1" t="str">
        <f t="shared" si="45"/>
        <v/>
      </c>
      <c r="G278" s="713" t="str">
        <f t="shared" si="53"/>
        <v/>
      </c>
      <c r="H278" s="17" t="str">
        <f>IFERROR(VLOOKUP($G278,Table1[[Property]:[Exposure %]],4,0),"")</f>
        <v/>
      </c>
      <c r="I278" s="3" t="str">
        <f>IFERROR(VLOOKUP($G278,Table1[[Property]:[Exposure %]],6,0),"")</f>
        <v/>
      </c>
      <c r="J278" s="3" t="str">
        <f>IFERROR(VLOOKUP($G278,Table1[[Property]:[Exposure %]],7,0),"")</f>
        <v/>
      </c>
      <c r="K278"/>
      <c r="L278"/>
      <c r="M278"/>
      <c r="N278"/>
      <c r="O278"/>
      <c r="P278"/>
      <c r="Q278"/>
      <c r="R278" s="4" t="str">
        <f>IFERROR(VLOOKUP(IF(F278="Total",F277,F278),Table1[[Property]:['# Units]],7,0)*S278,"")</f>
        <v/>
      </c>
      <c r="S278" s="27" t="str">
        <f t="shared" si="46"/>
        <v/>
      </c>
      <c r="T278" s="531" t="str">
        <f>IFERROR(
 IF($F278="Total",
   SUMPRODUCT(
   INDEX(T:T, ROW()-COUNTIF($F$6:INDEX($F:$F, ROW()-1), $F277)) : INDEX(T:T, ROW()-1),
   INDEX(W:W, ROW()-COUNTIF($F$6:INDEX($F:$F, ROW()-1), $F277)) : INDEX(W:W, ROW()-1)
   )
   /SUM(INDEX(W:W, ROW()-COUNTIF($F$6:INDEX($F:$F, ROW()-1), $F277)) : INDEX(W:W, ROW()-1)),
   AVERAGEIFS(
     INDEX((unit_details[Asking Rent],unit_details[Asking PSF]),0,1,IF($U$3="Chunk Rent",1,2)),
     unit_details[Leased Date],"&gt;="&amp;($AM$2-T$5),
     unit_details[Leased Date],"&lt;"&amp;$AM$2,
     unit_details[Beds],$L278,
     unit_details[Baths],$M278,
     unit_details[Partial Baths],IF(ISNUMBER($N278),$N278,""),
     unit_details[Sqft],$P278,
     unit_details[Property Name],$F278)
 ),"")</f>
        <v/>
      </c>
      <c r="U278" s="552" t="str">
        <f>IFERROR(
 IF($F278="Total",
   SUMPRODUCT(
   INDEX(U:U, ROW()-COUNTIF($F$6:INDEX($F:$F, ROW()-1), $F277)) : INDEX(U:U, ROW()-1),
   INDEX(W:W, ROW()-COUNTIF($F$6:INDEX($F:$F, ROW()-1), $F277)) : INDEX(W:W, ROW()-1)
   )
   /SUM(INDEX(W:W, ROW()-COUNTIF($F$6:INDEX($F:$F, ROW()-1), $F277)) : INDEX(W:W, ROW()-1)),
   AVERAGEIFS(
     INDEX((unit_details[Effective Rent],unit_details[Effective PSF]),0,1,IF($U$3="Chunk Rent",1,2)),
     unit_details[Leased Date],"&gt;="&amp;($AM$2-T$5),
     unit_details[Leased Date],"&lt;"&amp;$AM$2,
     unit_details[Beds],$L278,
     unit_details[Baths],$M278,
     unit_details[Partial Baths],IF(ISNUMBER($N278),$N278,""),
     unit_details[Sqft],$P278,
     unit_details[Property Name],$F278)
 ),"")</f>
        <v/>
      </c>
      <c r="V278" s="27" t="str">
        <f t="shared" si="54"/>
        <v/>
      </c>
      <c r="W278" s="526">
        <f>IFERROR(
  IF($F278="Total",
    SUM(INDEX(W:W, ROW()-COUNTIF($F$6:INDEX($F:$F, ROW()-1), $F277)) : INDEX(W:W, ROW()-1)),
    COUNTIFS(
      unit_details[Leased Date], "&gt;="&amp;($AM$2-T$5),
      unit_details[Leased Date], "&lt;"&amp;$AM$2,
      unit_details[Beds], $L278,
      unit_details[Baths], $M278,
      unit_details[Partial Baths], IF(ISNUMBER($N278), $N278, ""),
      unit_details[Sqft],$P278,
      unit_details[Property Name], $F278
    )
  ),
"")</f>
        <v>0</v>
      </c>
      <c r="X278" s="531" t="str">
        <f>IFERROR(
 IF($F278="Total",
   SUMPRODUCT(
   INDEX(X:X, ROW()-COUNTIF($F$6:INDEX($F:$F, ROW()-1), $F277)) : INDEX(X:X, ROW()-1),
   INDEX(AA:AA, ROW()-COUNTIF($F$6:INDEX($F:$F, ROW()-1), $F277)) : INDEX(AA:AA, ROW()-1)
   )
   /SUM(INDEX(AA:AA, ROW()-COUNTIF($F$6:INDEX($F:$F, ROW()-1), $F277)) : INDEX(AA:AA, ROW()-1)),
   AVERAGEIFS(
     INDEX((unit_details[Asking Rent],unit_details[Asking PSF]),0,1,IF($U$3="Chunk Rent",1,2)),
     unit_details[Leased Date],"&gt;="&amp;($AM$2-X$5),
     unit_details[Leased Date],"&lt;"&amp;$AM$2,
     unit_details[Beds],$L278,
     unit_details[Baths],$M278,
     unit_details[Partial Baths],IF(ISNUMBER($N278),$N278,""),
     unit_details[Sqft],$P278,
     unit_details[Property Name],$F278)
 ),"")</f>
        <v/>
      </c>
      <c r="Y278" s="552" t="str">
        <f>IFERROR(
 IF($F278="Total",
   SUMPRODUCT(
   INDEX(Y:Y, ROW()-COUNTIF($F$6:INDEX($F:$F, ROW()-1), $F277)) : INDEX(Y:Y, ROW()-1),
   INDEX(AA:AA, ROW()-COUNTIF($F$6:INDEX($F:$F, ROW()-1), $F277)) : INDEX(AA:AA, ROW()-1)
   )
   /SUM(INDEX(AA:AA, ROW()-COUNTIF($F$6:INDEX($F:$F, ROW()-1), $F277)) : INDEX(AA:AA, ROW()-1)),
   AVERAGEIFS(
     INDEX((unit_details[Effective Rent],unit_details[Effective PSF]),0,1,IF($U$3="Chunk Rent",1,2)),
     unit_details[Leased Date],"&gt;="&amp;($AM$2-X$5),
     unit_details[Leased Date],"&lt;"&amp;$AM$2,
     unit_details[Beds],$L278,
     unit_details[Baths],$M278,
     unit_details[Partial Baths],IF(ISNUMBER($N278),$N278,""),
     unit_details[Sqft],$P278,
     unit_details[Property Name],$F278)
 ),"")</f>
        <v/>
      </c>
      <c r="Z278" s="27" t="str">
        <f t="shared" si="55"/>
        <v/>
      </c>
      <c r="AA278" s="526">
        <f>IFERROR(
  IF($F278="Total",
    SUM(INDEX(AA:AA, ROW()-COUNTIF($F$6:INDEX($F:$F, ROW()-1), $F277)) : INDEX(AA:AA, ROW()-1)),
    COUNTIFS(
      unit_details[Leased Date], "&gt;="&amp;($AM$2-X$5),
      unit_details[Leased Date], "&lt;"&amp;$AM$2,
      unit_details[Beds], $L278,
      unit_details[Baths], $M278,
      unit_details[Partial Baths], IF(ISNUMBER($N278), $N278, ""),
      unit_details[Sqft],$P278,
      unit_details[Property Name], $F278
    )
  ),
"")</f>
        <v>0</v>
      </c>
      <c r="AB278" s="290">
        <f>IF($F278="Total",
SUM(INDEX(AB:AB, ROW()-COUNTIF($F$6:INDEX($F:$F, ROW()-1), $F277)) : INDEX(AB:AB, ROW()-1)),
COUNTIFS(unit_details[Active Listing?],TRUE,
          unit_details[Property Name], $F278,
          unit_details[Beds], $L278,
          unit_details[Baths], $M278,
          unit_details[Partial Baths],IF(ISNUMBER($N278),$N278,""),
          unit_details[Sqft],$P278))</f>
        <v>0</v>
      </c>
      <c r="AC278" s="27" t="str">
        <f t="shared" si="47"/>
        <v/>
      </c>
      <c r="AD278" s="293" t="str">
        <f>IFERROR(IF(AE278="","",IF($F278="Total",
SUMPRODUCT(
   INDEX(AD:AD, ROW()-COUNTIF($F$6:INDEX($F:$F, ROW()-1), $F277)) : INDEX(AD:AD, ROW()-1),
   INDEX(AB:AB, ROW()-COUNTIF($F$6:INDEX($F:$F, ROW()-1), $F277)) : INDEX(AB:AB, ROW()-1)
   )
   /SUM(INDEX(AB:AB, ROW()-COUNTIF($F$6:INDEX($F:$F, ROW()-1), $F277)) : INDEX(AB:AB, ROW()-1)),
          _xlfn.MINIFS(unit_details[Asking Rent],
          unit_details[Active Listing?],TRUE,
          unit_details[Property Name], $F278,
          unit_details[Beds], $L278,
          unit_details[Baths], $M278,
          unit_details[Partial Baths], IF(ISNUMBER($N278),$N278,""),
          unit_details[Sqft],$P278
))),"")</f>
        <v/>
      </c>
      <c r="AE278" s="5" t="str">
        <f>IFERROR(IF($F278="Total",
          SUMPRODUCT(
   INDEX(AE:AE, ROW()-COUNTIF($F$6:INDEX($F:$F, ROW()-1), $F277)) : INDEX(AE:AE, ROW()-1),
   INDEX(AB:AB, ROW()-COUNTIF($F$6:INDEX($F:$F, ROW()-1), $F277)) : INDEX(AB:AB, ROW()-1)
   )
   /SUM(INDEX(AB:AB, ROW()-COUNTIF($F$6:INDEX($F:$F, ROW()-1), $F277)) : INDEX(AB:AB, ROW()-1)),
          AVERAGEIFS(unit_details[Asking Rent],
          unit_details[Active Listing?],TRUE,
          unit_details[Property Name], $F278,
          unit_details[Beds], $L278,
          unit_details[Baths], $M278,
          unit_details[Partial Baths], IF(ISNUMBER($N278),$N278,""),
          unit_details[Sqft],$P278
)),"")</f>
        <v/>
      </c>
      <c r="AF278" s="5" t="str">
        <f>IFERROR(IF(AE278="","",IF($F278="Total",
SUMPRODUCT(
   INDEX(AF:AF, ROW()-COUNTIF($F$6:INDEX($F:$F, ROW()-1), $F277)) : INDEX(AF:AF, ROW()-1),
   INDEX(AB:AB, ROW()-COUNTIF($F$6:INDEX($F:$F, ROW()-1), $F277)) : INDEX(AB:AB, ROW()-1)
   )
   /SUM(INDEX(AB:AB, ROW()-COUNTIF($F$6:INDEX($F:$F, ROW()-1), $F277)) : INDEX(AB:AB, ROW()-1)),
           _xlfn.MAXIFS(unit_details[Asking Rent],
          unit_details[Active Listing?],TRUE,
          unit_details[Property Name], $F278,
          unit_details[Beds], $L278,
          unit_details[Baths], $M278,
          unit_details[Partial Baths], IF(ISNUMBER($N278),$N278,""),
          unit_details[Sqft],$P278
))),"")</f>
        <v/>
      </c>
      <c r="AG278" s="6" t="str">
        <f>IFERROR(IF($F278="Total",
         SUMPRODUCT(
         INDEX(AG:AG, ROW()-COUNTIF($F$6:INDEX($F:$F, ROW()-1), $F277)) : INDEX(AG:AG, ROW()-1),
         INDEX(AB:AB, ROW()-COUNTIF($F$6:INDEX($F:$F, ROW()-1), $F277)) : INDEX(AB:AB, ROW()-1)
         )
         /SUM(INDEX(AB:AB, ROW()-COUNTIF($F$6:INDEX($F:$F, ROW()-1), $F277)) : INDEX(AB:AB, ROW()-1)),
          AVERAGEIFS(unit_details[Asking PSF],
          unit_details[Active Listing?],TRUE,
          unit_details[Property Name], $F278,
          unit_details[Beds], $L278,
          unit_details[Baths], $M278,
          unit_details[Partial Baths], IF(ISNUMBER($N278),$N278,""),
          unit_details[Sqft],$P278
)),"")</f>
        <v/>
      </c>
      <c r="AH278" s="293" t="str">
        <f>IFERROR(IF($F278="Total",
         SUMPRODUCT(
         INDEX(AH:AH, ROW()-COUNTIF($F$6:INDEX($F:$F, ROW()-1), $F277)) : INDEX(AH:AH, ROW()-1),
         INDEX(AB:AB, ROW()-COUNTIF($F$6:INDEX($F:$F, ROW()-1), $F277)) : INDEX(AB:AB, ROW()-1)
         )
         /SUM(INDEX(AB:AB, ROW()-COUNTIF($F$6:INDEX($F:$F, ROW()-1), $F277)) : INDEX(AB:AB, ROW()-1)),
          AVERAGEIFS(unit_details[Effective Rent],
          unit_details[Active Listing?],TRUE,
          unit_details[Property Name], $F278,
          unit_details[Beds], $L278,
          unit_details[Baths], $M278,
          unit_details[Partial Baths], IF(ISNUMBER($N278),$N278,""),
          unit_details[Sqft],$P278
)),"")</f>
        <v/>
      </c>
      <c r="AI278" s="6" t="str">
        <f>IFERROR(IF($F278="Total",
         SUMPRODUCT(
         INDEX(AI:AI, ROW()-COUNTIF($F$6:INDEX($F:$F, ROW()-1), $F277)) : INDEX(AI:AI, ROW()-1),
         INDEX(AB:AB, ROW()-COUNTIF($F$6:INDEX($F:$F, ROW()-1), $F277)) : INDEX(AB:AB, ROW()-1)
         )
         /SUM(INDEX(AB:AB, ROW()-COUNTIF($F$6:INDEX($F:$F, ROW()-1), $F277)) : INDEX(AB:AB, ROW()-1)),
           AVERAGEIFS(unit_details[Effective PSF],
          unit_details[Active Listing?],TRUE,
          unit_details[Property Name], $F278,
          unit_details[Beds], $L278,
          unit_details[Baths], $M278,
          unit_details[Partial Baths], IF(ISNUMBER($N278),$N278,""),
          unit_details[Sqft],$P278
)),"")</f>
        <v/>
      </c>
      <c r="AJ278" s="824" t="str">
        <f t="shared" si="48"/>
        <v/>
      </c>
      <c r="AK278" s="531" t="str">
        <f t="shared" si="49"/>
        <v/>
      </c>
      <c r="AL278" s="714" t="str">
        <f t="shared" si="50"/>
        <v/>
      </c>
      <c r="AM278" s="531" t="str">
        <f t="shared" si="51"/>
        <v/>
      </c>
      <c r="AN278" s="716" t="str">
        <f t="shared" si="52"/>
        <v/>
      </c>
    </row>
    <row r="279" spans="6:40" x14ac:dyDescent="0.2">
      <c r="F279" s="1" t="str">
        <f t="shared" si="45"/>
        <v/>
      </c>
      <c r="G279" s="713" t="str">
        <f t="shared" si="53"/>
        <v/>
      </c>
      <c r="H279" s="17" t="str">
        <f>IFERROR(VLOOKUP($G279,Table1[[Property]:[Exposure %]],4,0),"")</f>
        <v/>
      </c>
      <c r="I279" s="3" t="str">
        <f>IFERROR(VLOOKUP($G279,Table1[[Property]:[Exposure %]],6,0),"")</f>
        <v/>
      </c>
      <c r="J279" s="3" t="str">
        <f>IFERROR(VLOOKUP($G279,Table1[[Property]:[Exposure %]],7,0),"")</f>
        <v/>
      </c>
      <c r="K279"/>
      <c r="L279"/>
      <c r="M279"/>
      <c r="N279"/>
      <c r="O279"/>
      <c r="P279"/>
      <c r="Q279"/>
      <c r="R279" s="4" t="str">
        <f>IFERROR(VLOOKUP(IF(F279="Total",F278,F279),Table1[[Property]:['# Units]],7,0)*S279,"")</f>
        <v/>
      </c>
      <c r="S279" s="27" t="str">
        <f t="shared" si="46"/>
        <v/>
      </c>
      <c r="T279" s="531" t="str">
        <f>IFERROR(
 IF($F279="Total",
   SUMPRODUCT(
   INDEX(T:T, ROW()-COUNTIF($F$6:INDEX($F:$F, ROW()-1), $F278)) : INDEX(T:T, ROW()-1),
   INDEX(W:W, ROW()-COUNTIF($F$6:INDEX($F:$F, ROW()-1), $F278)) : INDEX(W:W, ROW()-1)
   )
   /SUM(INDEX(W:W, ROW()-COUNTIF($F$6:INDEX($F:$F, ROW()-1), $F278)) : INDEX(W:W, ROW()-1)),
   AVERAGEIFS(
     INDEX((unit_details[Asking Rent],unit_details[Asking PSF]),0,1,IF($U$3="Chunk Rent",1,2)),
     unit_details[Leased Date],"&gt;="&amp;($AM$2-T$5),
     unit_details[Leased Date],"&lt;"&amp;$AM$2,
     unit_details[Beds],$L279,
     unit_details[Baths],$M279,
     unit_details[Partial Baths],IF(ISNUMBER($N279),$N279,""),
     unit_details[Sqft],$P279,
     unit_details[Property Name],$F279)
 ),"")</f>
        <v/>
      </c>
      <c r="U279" s="552" t="str">
        <f>IFERROR(
 IF($F279="Total",
   SUMPRODUCT(
   INDEX(U:U, ROW()-COUNTIF($F$6:INDEX($F:$F, ROW()-1), $F278)) : INDEX(U:U, ROW()-1),
   INDEX(W:W, ROW()-COUNTIF($F$6:INDEX($F:$F, ROW()-1), $F278)) : INDEX(W:W, ROW()-1)
   )
   /SUM(INDEX(W:W, ROW()-COUNTIF($F$6:INDEX($F:$F, ROW()-1), $F278)) : INDEX(W:W, ROW()-1)),
   AVERAGEIFS(
     INDEX((unit_details[Effective Rent],unit_details[Effective PSF]),0,1,IF($U$3="Chunk Rent",1,2)),
     unit_details[Leased Date],"&gt;="&amp;($AM$2-T$5),
     unit_details[Leased Date],"&lt;"&amp;$AM$2,
     unit_details[Beds],$L279,
     unit_details[Baths],$M279,
     unit_details[Partial Baths],IF(ISNUMBER($N279),$N279,""),
     unit_details[Sqft],$P279,
     unit_details[Property Name],$F279)
 ),"")</f>
        <v/>
      </c>
      <c r="V279" s="27" t="str">
        <f t="shared" si="54"/>
        <v/>
      </c>
      <c r="W279" s="526">
        <f>IFERROR(
  IF($F279="Total",
    SUM(INDEX(W:W, ROW()-COUNTIF($F$6:INDEX($F:$F, ROW()-1), $F278)) : INDEX(W:W, ROW()-1)),
    COUNTIFS(
      unit_details[Leased Date], "&gt;="&amp;($AM$2-T$5),
      unit_details[Leased Date], "&lt;"&amp;$AM$2,
      unit_details[Beds], $L279,
      unit_details[Baths], $M279,
      unit_details[Partial Baths], IF(ISNUMBER($N279), $N279, ""),
      unit_details[Sqft],$P279,
      unit_details[Property Name], $F279
    )
  ),
"")</f>
        <v>0</v>
      </c>
      <c r="X279" s="531" t="str">
        <f>IFERROR(
 IF($F279="Total",
   SUMPRODUCT(
   INDEX(X:X, ROW()-COUNTIF($F$6:INDEX($F:$F, ROW()-1), $F278)) : INDEX(X:X, ROW()-1),
   INDEX(AA:AA, ROW()-COUNTIF($F$6:INDEX($F:$F, ROW()-1), $F278)) : INDEX(AA:AA, ROW()-1)
   )
   /SUM(INDEX(AA:AA, ROW()-COUNTIF($F$6:INDEX($F:$F, ROW()-1), $F278)) : INDEX(AA:AA, ROW()-1)),
   AVERAGEIFS(
     INDEX((unit_details[Asking Rent],unit_details[Asking PSF]),0,1,IF($U$3="Chunk Rent",1,2)),
     unit_details[Leased Date],"&gt;="&amp;($AM$2-X$5),
     unit_details[Leased Date],"&lt;"&amp;$AM$2,
     unit_details[Beds],$L279,
     unit_details[Baths],$M279,
     unit_details[Partial Baths],IF(ISNUMBER($N279),$N279,""),
     unit_details[Sqft],$P279,
     unit_details[Property Name],$F279)
 ),"")</f>
        <v/>
      </c>
      <c r="Y279" s="552" t="str">
        <f>IFERROR(
 IF($F279="Total",
   SUMPRODUCT(
   INDEX(Y:Y, ROW()-COUNTIF($F$6:INDEX($F:$F, ROW()-1), $F278)) : INDEX(Y:Y, ROW()-1),
   INDEX(AA:AA, ROW()-COUNTIF($F$6:INDEX($F:$F, ROW()-1), $F278)) : INDEX(AA:AA, ROW()-1)
   )
   /SUM(INDEX(AA:AA, ROW()-COUNTIF($F$6:INDEX($F:$F, ROW()-1), $F278)) : INDEX(AA:AA, ROW()-1)),
   AVERAGEIFS(
     INDEX((unit_details[Effective Rent],unit_details[Effective PSF]),0,1,IF($U$3="Chunk Rent",1,2)),
     unit_details[Leased Date],"&gt;="&amp;($AM$2-X$5),
     unit_details[Leased Date],"&lt;"&amp;$AM$2,
     unit_details[Beds],$L279,
     unit_details[Baths],$M279,
     unit_details[Partial Baths],IF(ISNUMBER($N279),$N279,""),
     unit_details[Sqft],$P279,
     unit_details[Property Name],$F279)
 ),"")</f>
        <v/>
      </c>
      <c r="Z279" s="27" t="str">
        <f t="shared" si="55"/>
        <v/>
      </c>
      <c r="AA279" s="526">
        <f>IFERROR(
  IF($F279="Total",
    SUM(INDEX(AA:AA, ROW()-COUNTIF($F$6:INDEX($F:$F, ROW()-1), $F278)) : INDEX(AA:AA, ROW()-1)),
    COUNTIFS(
      unit_details[Leased Date], "&gt;="&amp;($AM$2-X$5),
      unit_details[Leased Date], "&lt;"&amp;$AM$2,
      unit_details[Beds], $L279,
      unit_details[Baths], $M279,
      unit_details[Partial Baths], IF(ISNUMBER($N279), $N279, ""),
      unit_details[Sqft],$P279,
      unit_details[Property Name], $F279
    )
  ),
"")</f>
        <v>0</v>
      </c>
      <c r="AB279" s="290">
        <f>IF($F279="Total",
SUM(INDEX(AB:AB, ROW()-COUNTIF($F$6:INDEX($F:$F, ROW()-1), $F278)) : INDEX(AB:AB, ROW()-1)),
COUNTIFS(unit_details[Active Listing?],TRUE,
          unit_details[Property Name], $F279,
          unit_details[Beds], $L279,
          unit_details[Baths], $M279,
          unit_details[Partial Baths],IF(ISNUMBER($N279),$N279,""),
          unit_details[Sqft],$P279))</f>
        <v>0</v>
      </c>
      <c r="AC279" s="27" t="str">
        <f t="shared" si="47"/>
        <v/>
      </c>
      <c r="AD279" s="293" t="str">
        <f>IFERROR(IF(AE279="","",IF($F279="Total",
SUMPRODUCT(
   INDEX(AD:AD, ROW()-COUNTIF($F$6:INDEX($F:$F, ROW()-1), $F278)) : INDEX(AD:AD, ROW()-1),
   INDEX(AB:AB, ROW()-COUNTIF($F$6:INDEX($F:$F, ROW()-1), $F278)) : INDEX(AB:AB, ROW()-1)
   )
   /SUM(INDEX(AB:AB, ROW()-COUNTIF($F$6:INDEX($F:$F, ROW()-1), $F278)) : INDEX(AB:AB, ROW()-1)),
          _xlfn.MINIFS(unit_details[Asking Rent],
          unit_details[Active Listing?],TRUE,
          unit_details[Property Name], $F279,
          unit_details[Beds], $L279,
          unit_details[Baths], $M279,
          unit_details[Partial Baths], IF(ISNUMBER($N279),$N279,""),
          unit_details[Sqft],$P279
))),"")</f>
        <v/>
      </c>
      <c r="AE279" s="5" t="str">
        <f>IFERROR(IF($F279="Total",
          SUMPRODUCT(
   INDEX(AE:AE, ROW()-COUNTIF($F$6:INDEX($F:$F, ROW()-1), $F278)) : INDEX(AE:AE, ROW()-1),
   INDEX(AB:AB, ROW()-COUNTIF($F$6:INDEX($F:$F, ROW()-1), $F278)) : INDEX(AB:AB, ROW()-1)
   )
   /SUM(INDEX(AB:AB, ROW()-COUNTIF($F$6:INDEX($F:$F, ROW()-1), $F278)) : INDEX(AB:AB, ROW()-1)),
          AVERAGEIFS(unit_details[Asking Rent],
          unit_details[Active Listing?],TRUE,
          unit_details[Property Name], $F279,
          unit_details[Beds], $L279,
          unit_details[Baths], $M279,
          unit_details[Partial Baths], IF(ISNUMBER($N279),$N279,""),
          unit_details[Sqft],$P279
)),"")</f>
        <v/>
      </c>
      <c r="AF279" s="5" t="str">
        <f>IFERROR(IF(AE279="","",IF($F279="Total",
SUMPRODUCT(
   INDEX(AF:AF, ROW()-COUNTIF($F$6:INDEX($F:$F, ROW()-1), $F278)) : INDEX(AF:AF, ROW()-1),
   INDEX(AB:AB, ROW()-COUNTIF($F$6:INDEX($F:$F, ROW()-1), $F278)) : INDEX(AB:AB, ROW()-1)
   )
   /SUM(INDEX(AB:AB, ROW()-COUNTIF($F$6:INDEX($F:$F, ROW()-1), $F278)) : INDEX(AB:AB, ROW()-1)),
           _xlfn.MAXIFS(unit_details[Asking Rent],
          unit_details[Active Listing?],TRUE,
          unit_details[Property Name], $F279,
          unit_details[Beds], $L279,
          unit_details[Baths], $M279,
          unit_details[Partial Baths], IF(ISNUMBER($N279),$N279,""),
          unit_details[Sqft],$P279
))),"")</f>
        <v/>
      </c>
      <c r="AG279" s="6" t="str">
        <f>IFERROR(IF($F279="Total",
         SUMPRODUCT(
         INDEX(AG:AG, ROW()-COUNTIF($F$6:INDEX($F:$F, ROW()-1), $F278)) : INDEX(AG:AG, ROW()-1),
         INDEX(AB:AB, ROW()-COUNTIF($F$6:INDEX($F:$F, ROW()-1), $F278)) : INDEX(AB:AB, ROW()-1)
         )
         /SUM(INDEX(AB:AB, ROW()-COUNTIF($F$6:INDEX($F:$F, ROW()-1), $F278)) : INDEX(AB:AB, ROW()-1)),
          AVERAGEIFS(unit_details[Asking PSF],
          unit_details[Active Listing?],TRUE,
          unit_details[Property Name], $F279,
          unit_details[Beds], $L279,
          unit_details[Baths], $M279,
          unit_details[Partial Baths], IF(ISNUMBER($N279),$N279,""),
          unit_details[Sqft],$P279
)),"")</f>
        <v/>
      </c>
      <c r="AH279" s="293" t="str">
        <f>IFERROR(IF($F279="Total",
         SUMPRODUCT(
         INDEX(AH:AH, ROW()-COUNTIF($F$6:INDEX($F:$F, ROW()-1), $F278)) : INDEX(AH:AH, ROW()-1),
         INDEX(AB:AB, ROW()-COUNTIF($F$6:INDEX($F:$F, ROW()-1), $F278)) : INDEX(AB:AB, ROW()-1)
         )
         /SUM(INDEX(AB:AB, ROW()-COUNTIF($F$6:INDEX($F:$F, ROW()-1), $F278)) : INDEX(AB:AB, ROW()-1)),
          AVERAGEIFS(unit_details[Effective Rent],
          unit_details[Active Listing?],TRUE,
          unit_details[Property Name], $F279,
          unit_details[Beds], $L279,
          unit_details[Baths], $M279,
          unit_details[Partial Baths], IF(ISNUMBER($N279),$N279,""),
          unit_details[Sqft],$P279
)),"")</f>
        <v/>
      </c>
      <c r="AI279" s="6" t="str">
        <f>IFERROR(IF($F279="Total",
         SUMPRODUCT(
         INDEX(AI:AI, ROW()-COUNTIF($F$6:INDEX($F:$F, ROW()-1), $F278)) : INDEX(AI:AI, ROW()-1),
         INDEX(AB:AB, ROW()-COUNTIF($F$6:INDEX($F:$F, ROW()-1), $F278)) : INDEX(AB:AB, ROW()-1)
         )
         /SUM(INDEX(AB:AB, ROW()-COUNTIF($F$6:INDEX($F:$F, ROW()-1), $F278)) : INDEX(AB:AB, ROW()-1)),
           AVERAGEIFS(unit_details[Effective PSF],
          unit_details[Active Listing?],TRUE,
          unit_details[Property Name], $F279,
          unit_details[Beds], $L279,
          unit_details[Baths], $M279,
          unit_details[Partial Baths], IF(ISNUMBER($N279),$N279,""),
          unit_details[Sqft],$P279
)),"")</f>
        <v/>
      </c>
      <c r="AJ279" s="824" t="str">
        <f t="shared" si="48"/>
        <v/>
      </c>
      <c r="AK279" s="531" t="str">
        <f t="shared" si="49"/>
        <v/>
      </c>
      <c r="AL279" s="714" t="str">
        <f t="shared" si="50"/>
        <v/>
      </c>
      <c r="AM279" s="531" t="str">
        <f t="shared" si="51"/>
        <v/>
      </c>
      <c r="AN279" s="716" t="str">
        <f t="shared" si="52"/>
        <v/>
      </c>
    </row>
    <row r="280" spans="6:40" x14ac:dyDescent="0.2">
      <c r="F280" s="1" t="str">
        <f t="shared" si="45"/>
        <v/>
      </c>
      <c r="G280" s="713" t="str">
        <f t="shared" si="53"/>
        <v/>
      </c>
      <c r="H280" s="17" t="str">
        <f>IFERROR(VLOOKUP($G280,Table1[[Property]:[Exposure %]],4,0),"")</f>
        <v/>
      </c>
      <c r="I280" s="3" t="str">
        <f>IFERROR(VLOOKUP($G280,Table1[[Property]:[Exposure %]],6,0),"")</f>
        <v/>
      </c>
      <c r="J280" s="3" t="str">
        <f>IFERROR(VLOOKUP($G280,Table1[[Property]:[Exposure %]],7,0),"")</f>
        <v/>
      </c>
      <c r="K280"/>
      <c r="L280"/>
      <c r="M280"/>
      <c r="N280"/>
      <c r="O280"/>
      <c r="P280"/>
      <c r="Q280"/>
      <c r="R280" s="4" t="str">
        <f>IFERROR(VLOOKUP(IF(F280="Total",F279,F280),Table1[[Property]:['# Units]],7,0)*S280,"")</f>
        <v/>
      </c>
      <c r="S280" s="27" t="str">
        <f t="shared" si="46"/>
        <v/>
      </c>
      <c r="T280" s="531" t="str">
        <f>IFERROR(
 IF($F280="Total",
   SUMPRODUCT(
   INDEX(T:T, ROW()-COUNTIF($F$6:INDEX($F:$F, ROW()-1), $F279)) : INDEX(T:T, ROW()-1),
   INDEX(W:W, ROW()-COUNTIF($F$6:INDEX($F:$F, ROW()-1), $F279)) : INDEX(W:W, ROW()-1)
   )
   /SUM(INDEX(W:W, ROW()-COUNTIF($F$6:INDEX($F:$F, ROW()-1), $F279)) : INDEX(W:W, ROW()-1)),
   AVERAGEIFS(
     INDEX((unit_details[Asking Rent],unit_details[Asking PSF]),0,1,IF($U$3="Chunk Rent",1,2)),
     unit_details[Leased Date],"&gt;="&amp;($AM$2-T$5),
     unit_details[Leased Date],"&lt;"&amp;$AM$2,
     unit_details[Beds],$L280,
     unit_details[Baths],$M280,
     unit_details[Partial Baths],IF(ISNUMBER($N280),$N280,""),
     unit_details[Sqft],$P280,
     unit_details[Property Name],$F280)
 ),"")</f>
        <v/>
      </c>
      <c r="U280" s="552" t="str">
        <f>IFERROR(
 IF($F280="Total",
   SUMPRODUCT(
   INDEX(U:U, ROW()-COUNTIF($F$6:INDEX($F:$F, ROW()-1), $F279)) : INDEX(U:U, ROW()-1),
   INDEX(W:W, ROW()-COUNTIF($F$6:INDEX($F:$F, ROW()-1), $F279)) : INDEX(W:W, ROW()-1)
   )
   /SUM(INDEX(W:W, ROW()-COUNTIF($F$6:INDEX($F:$F, ROW()-1), $F279)) : INDEX(W:W, ROW()-1)),
   AVERAGEIFS(
     INDEX((unit_details[Effective Rent],unit_details[Effective PSF]),0,1,IF($U$3="Chunk Rent",1,2)),
     unit_details[Leased Date],"&gt;="&amp;($AM$2-T$5),
     unit_details[Leased Date],"&lt;"&amp;$AM$2,
     unit_details[Beds],$L280,
     unit_details[Baths],$M280,
     unit_details[Partial Baths],IF(ISNUMBER($N280),$N280,""),
     unit_details[Sqft],$P280,
     unit_details[Property Name],$F280)
 ),"")</f>
        <v/>
      </c>
      <c r="V280" s="27" t="str">
        <f t="shared" si="54"/>
        <v/>
      </c>
      <c r="W280" s="526">
        <f>IFERROR(
  IF($F280="Total",
    SUM(INDEX(W:W, ROW()-COUNTIF($F$6:INDEX($F:$F, ROW()-1), $F279)) : INDEX(W:W, ROW()-1)),
    COUNTIFS(
      unit_details[Leased Date], "&gt;="&amp;($AM$2-T$5),
      unit_details[Leased Date], "&lt;"&amp;$AM$2,
      unit_details[Beds], $L280,
      unit_details[Baths], $M280,
      unit_details[Partial Baths], IF(ISNUMBER($N280), $N280, ""),
      unit_details[Sqft],$P280,
      unit_details[Property Name], $F280
    )
  ),
"")</f>
        <v>0</v>
      </c>
      <c r="X280" s="531" t="str">
        <f>IFERROR(
 IF($F280="Total",
   SUMPRODUCT(
   INDEX(X:X, ROW()-COUNTIF($F$6:INDEX($F:$F, ROW()-1), $F279)) : INDEX(X:X, ROW()-1),
   INDEX(AA:AA, ROW()-COUNTIF($F$6:INDEX($F:$F, ROW()-1), $F279)) : INDEX(AA:AA, ROW()-1)
   )
   /SUM(INDEX(AA:AA, ROW()-COUNTIF($F$6:INDEX($F:$F, ROW()-1), $F279)) : INDEX(AA:AA, ROW()-1)),
   AVERAGEIFS(
     INDEX((unit_details[Asking Rent],unit_details[Asking PSF]),0,1,IF($U$3="Chunk Rent",1,2)),
     unit_details[Leased Date],"&gt;="&amp;($AM$2-X$5),
     unit_details[Leased Date],"&lt;"&amp;$AM$2,
     unit_details[Beds],$L280,
     unit_details[Baths],$M280,
     unit_details[Partial Baths],IF(ISNUMBER($N280),$N280,""),
     unit_details[Sqft],$P280,
     unit_details[Property Name],$F280)
 ),"")</f>
        <v/>
      </c>
      <c r="Y280" s="552" t="str">
        <f>IFERROR(
 IF($F280="Total",
   SUMPRODUCT(
   INDEX(Y:Y, ROW()-COUNTIF($F$6:INDEX($F:$F, ROW()-1), $F279)) : INDEX(Y:Y, ROW()-1),
   INDEX(AA:AA, ROW()-COUNTIF($F$6:INDEX($F:$F, ROW()-1), $F279)) : INDEX(AA:AA, ROW()-1)
   )
   /SUM(INDEX(AA:AA, ROW()-COUNTIF($F$6:INDEX($F:$F, ROW()-1), $F279)) : INDEX(AA:AA, ROW()-1)),
   AVERAGEIFS(
     INDEX((unit_details[Effective Rent],unit_details[Effective PSF]),0,1,IF($U$3="Chunk Rent",1,2)),
     unit_details[Leased Date],"&gt;="&amp;($AM$2-X$5),
     unit_details[Leased Date],"&lt;"&amp;$AM$2,
     unit_details[Beds],$L280,
     unit_details[Baths],$M280,
     unit_details[Partial Baths],IF(ISNUMBER($N280),$N280,""),
     unit_details[Sqft],$P280,
     unit_details[Property Name],$F280)
 ),"")</f>
        <v/>
      </c>
      <c r="Z280" s="27" t="str">
        <f t="shared" si="55"/>
        <v/>
      </c>
      <c r="AA280" s="526">
        <f>IFERROR(
  IF($F280="Total",
    SUM(INDEX(AA:AA, ROW()-COUNTIF($F$6:INDEX($F:$F, ROW()-1), $F279)) : INDEX(AA:AA, ROW()-1)),
    COUNTIFS(
      unit_details[Leased Date], "&gt;="&amp;($AM$2-X$5),
      unit_details[Leased Date], "&lt;"&amp;$AM$2,
      unit_details[Beds], $L280,
      unit_details[Baths], $M280,
      unit_details[Partial Baths], IF(ISNUMBER($N280), $N280, ""),
      unit_details[Sqft],$P280,
      unit_details[Property Name], $F280
    )
  ),
"")</f>
        <v>0</v>
      </c>
      <c r="AB280" s="290">
        <f>IF($F280="Total",
SUM(INDEX(AB:AB, ROW()-COUNTIF($F$6:INDEX($F:$F, ROW()-1), $F279)) : INDEX(AB:AB, ROW()-1)),
COUNTIFS(unit_details[Active Listing?],TRUE,
          unit_details[Property Name], $F280,
          unit_details[Beds], $L280,
          unit_details[Baths], $M280,
          unit_details[Partial Baths],IF(ISNUMBER($N280),$N280,""),
          unit_details[Sqft],$P280))</f>
        <v>0</v>
      </c>
      <c r="AC280" s="27" t="str">
        <f t="shared" si="47"/>
        <v/>
      </c>
      <c r="AD280" s="293" t="str">
        <f>IFERROR(IF(AE280="","",IF($F280="Total",
SUMPRODUCT(
   INDEX(AD:AD, ROW()-COUNTIF($F$6:INDEX($F:$F, ROW()-1), $F279)) : INDEX(AD:AD, ROW()-1),
   INDEX(AB:AB, ROW()-COUNTIF($F$6:INDEX($F:$F, ROW()-1), $F279)) : INDEX(AB:AB, ROW()-1)
   )
   /SUM(INDEX(AB:AB, ROW()-COUNTIF($F$6:INDEX($F:$F, ROW()-1), $F279)) : INDEX(AB:AB, ROW()-1)),
          _xlfn.MINIFS(unit_details[Asking Rent],
          unit_details[Active Listing?],TRUE,
          unit_details[Property Name], $F280,
          unit_details[Beds], $L280,
          unit_details[Baths], $M280,
          unit_details[Partial Baths], IF(ISNUMBER($N280),$N280,""),
          unit_details[Sqft],$P280
))),"")</f>
        <v/>
      </c>
      <c r="AE280" s="5" t="str">
        <f>IFERROR(IF($F280="Total",
          SUMPRODUCT(
   INDEX(AE:AE, ROW()-COUNTIF($F$6:INDEX($F:$F, ROW()-1), $F279)) : INDEX(AE:AE, ROW()-1),
   INDEX(AB:AB, ROW()-COUNTIF($F$6:INDEX($F:$F, ROW()-1), $F279)) : INDEX(AB:AB, ROW()-1)
   )
   /SUM(INDEX(AB:AB, ROW()-COUNTIF($F$6:INDEX($F:$F, ROW()-1), $F279)) : INDEX(AB:AB, ROW()-1)),
          AVERAGEIFS(unit_details[Asking Rent],
          unit_details[Active Listing?],TRUE,
          unit_details[Property Name], $F280,
          unit_details[Beds], $L280,
          unit_details[Baths], $M280,
          unit_details[Partial Baths], IF(ISNUMBER($N280),$N280,""),
          unit_details[Sqft],$P280
)),"")</f>
        <v/>
      </c>
      <c r="AF280" s="5" t="str">
        <f>IFERROR(IF(AE280="","",IF($F280="Total",
SUMPRODUCT(
   INDEX(AF:AF, ROW()-COUNTIF($F$6:INDEX($F:$F, ROW()-1), $F279)) : INDEX(AF:AF, ROW()-1),
   INDEX(AB:AB, ROW()-COUNTIF($F$6:INDEX($F:$F, ROW()-1), $F279)) : INDEX(AB:AB, ROW()-1)
   )
   /SUM(INDEX(AB:AB, ROW()-COUNTIF($F$6:INDEX($F:$F, ROW()-1), $F279)) : INDEX(AB:AB, ROW()-1)),
           _xlfn.MAXIFS(unit_details[Asking Rent],
          unit_details[Active Listing?],TRUE,
          unit_details[Property Name], $F280,
          unit_details[Beds], $L280,
          unit_details[Baths], $M280,
          unit_details[Partial Baths], IF(ISNUMBER($N280),$N280,""),
          unit_details[Sqft],$P280
))),"")</f>
        <v/>
      </c>
      <c r="AG280" s="6" t="str">
        <f>IFERROR(IF($F280="Total",
         SUMPRODUCT(
         INDEX(AG:AG, ROW()-COUNTIF($F$6:INDEX($F:$F, ROW()-1), $F279)) : INDEX(AG:AG, ROW()-1),
         INDEX(AB:AB, ROW()-COUNTIF($F$6:INDEX($F:$F, ROW()-1), $F279)) : INDEX(AB:AB, ROW()-1)
         )
         /SUM(INDEX(AB:AB, ROW()-COUNTIF($F$6:INDEX($F:$F, ROW()-1), $F279)) : INDEX(AB:AB, ROW()-1)),
          AVERAGEIFS(unit_details[Asking PSF],
          unit_details[Active Listing?],TRUE,
          unit_details[Property Name], $F280,
          unit_details[Beds], $L280,
          unit_details[Baths], $M280,
          unit_details[Partial Baths], IF(ISNUMBER($N280),$N280,""),
          unit_details[Sqft],$P280
)),"")</f>
        <v/>
      </c>
      <c r="AH280" s="293" t="str">
        <f>IFERROR(IF($F280="Total",
         SUMPRODUCT(
         INDEX(AH:AH, ROW()-COUNTIF($F$6:INDEX($F:$F, ROW()-1), $F279)) : INDEX(AH:AH, ROW()-1),
         INDEX(AB:AB, ROW()-COUNTIF($F$6:INDEX($F:$F, ROW()-1), $F279)) : INDEX(AB:AB, ROW()-1)
         )
         /SUM(INDEX(AB:AB, ROW()-COUNTIF($F$6:INDEX($F:$F, ROW()-1), $F279)) : INDEX(AB:AB, ROW()-1)),
          AVERAGEIFS(unit_details[Effective Rent],
          unit_details[Active Listing?],TRUE,
          unit_details[Property Name], $F280,
          unit_details[Beds], $L280,
          unit_details[Baths], $M280,
          unit_details[Partial Baths], IF(ISNUMBER($N280),$N280,""),
          unit_details[Sqft],$P280
)),"")</f>
        <v/>
      </c>
      <c r="AI280" s="6" t="str">
        <f>IFERROR(IF($F280="Total",
         SUMPRODUCT(
         INDEX(AI:AI, ROW()-COUNTIF($F$6:INDEX($F:$F, ROW()-1), $F279)) : INDEX(AI:AI, ROW()-1),
         INDEX(AB:AB, ROW()-COUNTIF($F$6:INDEX($F:$F, ROW()-1), $F279)) : INDEX(AB:AB, ROW()-1)
         )
         /SUM(INDEX(AB:AB, ROW()-COUNTIF($F$6:INDEX($F:$F, ROW()-1), $F279)) : INDEX(AB:AB, ROW()-1)),
           AVERAGEIFS(unit_details[Effective PSF],
          unit_details[Active Listing?],TRUE,
          unit_details[Property Name], $F280,
          unit_details[Beds], $L280,
          unit_details[Baths], $M280,
          unit_details[Partial Baths], IF(ISNUMBER($N280),$N280,""),
          unit_details[Sqft],$P280
)),"")</f>
        <v/>
      </c>
      <c r="AJ280" s="824" t="str">
        <f t="shared" si="48"/>
        <v/>
      </c>
      <c r="AK280" s="531" t="str">
        <f t="shared" si="49"/>
        <v/>
      </c>
      <c r="AL280" s="714" t="str">
        <f t="shared" si="50"/>
        <v/>
      </c>
      <c r="AM280" s="531" t="str">
        <f t="shared" si="51"/>
        <v/>
      </c>
      <c r="AN280" s="716" t="str">
        <f t="shared" si="52"/>
        <v/>
      </c>
    </row>
    <row r="281" spans="6:40" x14ac:dyDescent="0.2">
      <c r="F281" s="1" t="str">
        <f t="shared" si="45"/>
        <v/>
      </c>
      <c r="G281" s="713" t="str">
        <f t="shared" si="53"/>
        <v/>
      </c>
      <c r="H281" s="17" t="str">
        <f>IFERROR(VLOOKUP($G281,Table1[[Property]:[Exposure %]],4,0),"")</f>
        <v/>
      </c>
      <c r="I281" s="3" t="str">
        <f>IFERROR(VLOOKUP($G281,Table1[[Property]:[Exposure %]],6,0),"")</f>
        <v/>
      </c>
      <c r="J281" s="3" t="str">
        <f>IFERROR(VLOOKUP($G281,Table1[[Property]:[Exposure %]],7,0),"")</f>
        <v/>
      </c>
      <c r="K281"/>
      <c r="L281"/>
      <c r="M281"/>
      <c r="N281"/>
      <c r="O281"/>
      <c r="P281"/>
      <c r="Q281"/>
      <c r="R281" s="4" t="str">
        <f>IFERROR(VLOOKUP(IF(F281="Total",F280,F281),Table1[[Property]:['# Units]],7,0)*S281,"")</f>
        <v/>
      </c>
      <c r="S281" s="27" t="str">
        <f t="shared" si="46"/>
        <v/>
      </c>
      <c r="T281" s="531" t="str">
        <f>IFERROR(
 IF($F281="Total",
   SUMPRODUCT(
   INDEX(T:T, ROW()-COUNTIF($F$6:INDEX($F:$F, ROW()-1), $F280)) : INDEX(T:T, ROW()-1),
   INDEX(W:W, ROW()-COUNTIF($F$6:INDEX($F:$F, ROW()-1), $F280)) : INDEX(W:W, ROW()-1)
   )
   /SUM(INDEX(W:W, ROW()-COUNTIF($F$6:INDEX($F:$F, ROW()-1), $F280)) : INDEX(W:W, ROW()-1)),
   AVERAGEIFS(
     INDEX((unit_details[Asking Rent],unit_details[Asking PSF]),0,1,IF($U$3="Chunk Rent",1,2)),
     unit_details[Leased Date],"&gt;="&amp;($AM$2-T$5),
     unit_details[Leased Date],"&lt;"&amp;$AM$2,
     unit_details[Beds],$L281,
     unit_details[Baths],$M281,
     unit_details[Partial Baths],IF(ISNUMBER($N281),$N281,""),
     unit_details[Sqft],$P281,
     unit_details[Property Name],$F281)
 ),"")</f>
        <v/>
      </c>
      <c r="U281" s="552" t="str">
        <f>IFERROR(
 IF($F281="Total",
   SUMPRODUCT(
   INDEX(U:U, ROW()-COUNTIF($F$6:INDEX($F:$F, ROW()-1), $F280)) : INDEX(U:U, ROW()-1),
   INDEX(W:W, ROW()-COUNTIF($F$6:INDEX($F:$F, ROW()-1), $F280)) : INDEX(W:W, ROW()-1)
   )
   /SUM(INDEX(W:W, ROW()-COUNTIF($F$6:INDEX($F:$F, ROW()-1), $F280)) : INDEX(W:W, ROW()-1)),
   AVERAGEIFS(
     INDEX((unit_details[Effective Rent],unit_details[Effective PSF]),0,1,IF($U$3="Chunk Rent",1,2)),
     unit_details[Leased Date],"&gt;="&amp;($AM$2-T$5),
     unit_details[Leased Date],"&lt;"&amp;$AM$2,
     unit_details[Beds],$L281,
     unit_details[Baths],$M281,
     unit_details[Partial Baths],IF(ISNUMBER($N281),$N281,""),
     unit_details[Sqft],$P281,
     unit_details[Property Name],$F281)
 ),"")</f>
        <v/>
      </c>
      <c r="V281" s="27" t="str">
        <f t="shared" si="54"/>
        <v/>
      </c>
      <c r="W281" s="526">
        <f>IFERROR(
  IF($F281="Total",
    SUM(INDEX(W:W, ROW()-COUNTIF($F$6:INDEX($F:$F, ROW()-1), $F280)) : INDEX(W:W, ROW()-1)),
    COUNTIFS(
      unit_details[Leased Date], "&gt;="&amp;($AM$2-T$5),
      unit_details[Leased Date], "&lt;"&amp;$AM$2,
      unit_details[Beds], $L281,
      unit_details[Baths], $M281,
      unit_details[Partial Baths], IF(ISNUMBER($N281), $N281, ""),
      unit_details[Sqft],$P281,
      unit_details[Property Name], $F281
    )
  ),
"")</f>
        <v>0</v>
      </c>
      <c r="X281" s="531" t="str">
        <f>IFERROR(
 IF($F281="Total",
   SUMPRODUCT(
   INDEX(X:X, ROW()-COUNTIF($F$6:INDEX($F:$F, ROW()-1), $F280)) : INDEX(X:X, ROW()-1),
   INDEX(AA:AA, ROW()-COUNTIF($F$6:INDEX($F:$F, ROW()-1), $F280)) : INDEX(AA:AA, ROW()-1)
   )
   /SUM(INDEX(AA:AA, ROW()-COUNTIF($F$6:INDEX($F:$F, ROW()-1), $F280)) : INDEX(AA:AA, ROW()-1)),
   AVERAGEIFS(
     INDEX((unit_details[Asking Rent],unit_details[Asking PSF]),0,1,IF($U$3="Chunk Rent",1,2)),
     unit_details[Leased Date],"&gt;="&amp;($AM$2-X$5),
     unit_details[Leased Date],"&lt;"&amp;$AM$2,
     unit_details[Beds],$L281,
     unit_details[Baths],$M281,
     unit_details[Partial Baths],IF(ISNUMBER($N281),$N281,""),
     unit_details[Sqft],$P281,
     unit_details[Property Name],$F281)
 ),"")</f>
        <v/>
      </c>
      <c r="Y281" s="552" t="str">
        <f>IFERROR(
 IF($F281="Total",
   SUMPRODUCT(
   INDEX(Y:Y, ROW()-COUNTIF($F$6:INDEX($F:$F, ROW()-1), $F280)) : INDEX(Y:Y, ROW()-1),
   INDEX(AA:AA, ROW()-COUNTIF($F$6:INDEX($F:$F, ROW()-1), $F280)) : INDEX(AA:AA, ROW()-1)
   )
   /SUM(INDEX(AA:AA, ROW()-COUNTIF($F$6:INDEX($F:$F, ROW()-1), $F280)) : INDEX(AA:AA, ROW()-1)),
   AVERAGEIFS(
     INDEX((unit_details[Effective Rent],unit_details[Effective PSF]),0,1,IF($U$3="Chunk Rent",1,2)),
     unit_details[Leased Date],"&gt;="&amp;($AM$2-X$5),
     unit_details[Leased Date],"&lt;"&amp;$AM$2,
     unit_details[Beds],$L281,
     unit_details[Baths],$M281,
     unit_details[Partial Baths],IF(ISNUMBER($N281),$N281,""),
     unit_details[Sqft],$P281,
     unit_details[Property Name],$F281)
 ),"")</f>
        <v/>
      </c>
      <c r="Z281" s="27" t="str">
        <f t="shared" si="55"/>
        <v/>
      </c>
      <c r="AA281" s="526">
        <f>IFERROR(
  IF($F281="Total",
    SUM(INDEX(AA:AA, ROW()-COUNTIF($F$6:INDEX($F:$F, ROW()-1), $F280)) : INDEX(AA:AA, ROW()-1)),
    COUNTIFS(
      unit_details[Leased Date], "&gt;="&amp;($AM$2-X$5),
      unit_details[Leased Date], "&lt;"&amp;$AM$2,
      unit_details[Beds], $L281,
      unit_details[Baths], $M281,
      unit_details[Partial Baths], IF(ISNUMBER($N281), $N281, ""),
      unit_details[Sqft],$P281,
      unit_details[Property Name], $F281
    )
  ),
"")</f>
        <v>0</v>
      </c>
      <c r="AB281" s="290">
        <f>IF($F281="Total",
SUM(INDEX(AB:AB, ROW()-COUNTIF($F$6:INDEX($F:$F, ROW()-1), $F280)) : INDEX(AB:AB, ROW()-1)),
COUNTIFS(unit_details[Active Listing?],TRUE,
          unit_details[Property Name], $F281,
          unit_details[Beds], $L281,
          unit_details[Baths], $M281,
          unit_details[Partial Baths],IF(ISNUMBER($N281),$N281,""),
          unit_details[Sqft],$P281))</f>
        <v>0</v>
      </c>
      <c r="AC281" s="27" t="str">
        <f t="shared" si="47"/>
        <v/>
      </c>
      <c r="AD281" s="293" t="str">
        <f>IFERROR(IF(AE281="","",IF($F281="Total",
SUMPRODUCT(
   INDEX(AD:AD, ROW()-COUNTIF($F$6:INDEX($F:$F, ROW()-1), $F280)) : INDEX(AD:AD, ROW()-1),
   INDEX(AB:AB, ROW()-COUNTIF($F$6:INDEX($F:$F, ROW()-1), $F280)) : INDEX(AB:AB, ROW()-1)
   )
   /SUM(INDEX(AB:AB, ROW()-COUNTIF($F$6:INDEX($F:$F, ROW()-1), $F280)) : INDEX(AB:AB, ROW()-1)),
          _xlfn.MINIFS(unit_details[Asking Rent],
          unit_details[Active Listing?],TRUE,
          unit_details[Property Name], $F281,
          unit_details[Beds], $L281,
          unit_details[Baths], $M281,
          unit_details[Partial Baths], IF(ISNUMBER($N281),$N281,""),
          unit_details[Sqft],$P281
))),"")</f>
        <v/>
      </c>
      <c r="AE281" s="5" t="str">
        <f>IFERROR(IF($F281="Total",
          SUMPRODUCT(
   INDEX(AE:AE, ROW()-COUNTIF($F$6:INDEX($F:$F, ROW()-1), $F280)) : INDEX(AE:AE, ROW()-1),
   INDEX(AB:AB, ROW()-COUNTIF($F$6:INDEX($F:$F, ROW()-1), $F280)) : INDEX(AB:AB, ROW()-1)
   )
   /SUM(INDEX(AB:AB, ROW()-COUNTIF($F$6:INDEX($F:$F, ROW()-1), $F280)) : INDEX(AB:AB, ROW()-1)),
          AVERAGEIFS(unit_details[Asking Rent],
          unit_details[Active Listing?],TRUE,
          unit_details[Property Name], $F281,
          unit_details[Beds], $L281,
          unit_details[Baths], $M281,
          unit_details[Partial Baths], IF(ISNUMBER($N281),$N281,""),
          unit_details[Sqft],$P281
)),"")</f>
        <v/>
      </c>
      <c r="AF281" s="5" t="str">
        <f>IFERROR(IF(AE281="","",IF($F281="Total",
SUMPRODUCT(
   INDEX(AF:AF, ROW()-COUNTIF($F$6:INDEX($F:$F, ROW()-1), $F280)) : INDEX(AF:AF, ROW()-1),
   INDEX(AB:AB, ROW()-COUNTIF($F$6:INDEX($F:$F, ROW()-1), $F280)) : INDEX(AB:AB, ROW()-1)
   )
   /SUM(INDEX(AB:AB, ROW()-COUNTIF($F$6:INDEX($F:$F, ROW()-1), $F280)) : INDEX(AB:AB, ROW()-1)),
           _xlfn.MAXIFS(unit_details[Asking Rent],
          unit_details[Active Listing?],TRUE,
          unit_details[Property Name], $F281,
          unit_details[Beds], $L281,
          unit_details[Baths], $M281,
          unit_details[Partial Baths], IF(ISNUMBER($N281),$N281,""),
          unit_details[Sqft],$P281
))),"")</f>
        <v/>
      </c>
      <c r="AG281" s="6" t="str">
        <f>IFERROR(IF($F281="Total",
         SUMPRODUCT(
         INDEX(AG:AG, ROW()-COUNTIF($F$6:INDEX($F:$F, ROW()-1), $F280)) : INDEX(AG:AG, ROW()-1),
         INDEX(AB:AB, ROW()-COUNTIF($F$6:INDEX($F:$F, ROW()-1), $F280)) : INDEX(AB:AB, ROW()-1)
         )
         /SUM(INDEX(AB:AB, ROW()-COUNTIF($F$6:INDEX($F:$F, ROW()-1), $F280)) : INDEX(AB:AB, ROW()-1)),
          AVERAGEIFS(unit_details[Asking PSF],
          unit_details[Active Listing?],TRUE,
          unit_details[Property Name], $F281,
          unit_details[Beds], $L281,
          unit_details[Baths], $M281,
          unit_details[Partial Baths], IF(ISNUMBER($N281),$N281,""),
          unit_details[Sqft],$P281
)),"")</f>
        <v/>
      </c>
      <c r="AH281" s="293" t="str">
        <f>IFERROR(IF($F281="Total",
         SUMPRODUCT(
         INDEX(AH:AH, ROW()-COUNTIF($F$6:INDEX($F:$F, ROW()-1), $F280)) : INDEX(AH:AH, ROW()-1),
         INDEX(AB:AB, ROW()-COUNTIF($F$6:INDEX($F:$F, ROW()-1), $F280)) : INDEX(AB:AB, ROW()-1)
         )
         /SUM(INDEX(AB:AB, ROW()-COUNTIF($F$6:INDEX($F:$F, ROW()-1), $F280)) : INDEX(AB:AB, ROW()-1)),
          AVERAGEIFS(unit_details[Effective Rent],
          unit_details[Active Listing?],TRUE,
          unit_details[Property Name], $F281,
          unit_details[Beds], $L281,
          unit_details[Baths], $M281,
          unit_details[Partial Baths], IF(ISNUMBER($N281),$N281,""),
          unit_details[Sqft],$P281
)),"")</f>
        <v/>
      </c>
      <c r="AI281" s="6" t="str">
        <f>IFERROR(IF($F281="Total",
         SUMPRODUCT(
         INDEX(AI:AI, ROW()-COUNTIF($F$6:INDEX($F:$F, ROW()-1), $F280)) : INDEX(AI:AI, ROW()-1),
         INDEX(AB:AB, ROW()-COUNTIF($F$6:INDEX($F:$F, ROW()-1), $F280)) : INDEX(AB:AB, ROW()-1)
         )
         /SUM(INDEX(AB:AB, ROW()-COUNTIF($F$6:INDEX($F:$F, ROW()-1), $F280)) : INDEX(AB:AB, ROW()-1)),
           AVERAGEIFS(unit_details[Effective PSF],
          unit_details[Active Listing?],TRUE,
          unit_details[Property Name], $F281,
          unit_details[Beds], $L281,
          unit_details[Baths], $M281,
          unit_details[Partial Baths], IF(ISNUMBER($N281),$N281,""),
          unit_details[Sqft],$P281
)),"")</f>
        <v/>
      </c>
      <c r="AJ281" s="824" t="str">
        <f t="shared" si="48"/>
        <v/>
      </c>
      <c r="AK281" s="531" t="str">
        <f t="shared" si="49"/>
        <v/>
      </c>
      <c r="AL281" s="714" t="str">
        <f t="shared" si="50"/>
        <v/>
      </c>
      <c r="AM281" s="531" t="str">
        <f t="shared" si="51"/>
        <v/>
      </c>
      <c r="AN281" s="716" t="str">
        <f t="shared" si="52"/>
        <v/>
      </c>
    </row>
    <row r="282" spans="6:40" x14ac:dyDescent="0.2">
      <c r="F282" s="1" t="str">
        <f t="shared" si="45"/>
        <v/>
      </c>
      <c r="G282" s="713" t="str">
        <f t="shared" si="53"/>
        <v/>
      </c>
      <c r="H282" s="17" t="str">
        <f>IFERROR(VLOOKUP($G282,Table1[[Property]:[Exposure %]],4,0),"")</f>
        <v/>
      </c>
      <c r="I282" s="3" t="str">
        <f>IFERROR(VLOOKUP($G282,Table1[[Property]:[Exposure %]],6,0),"")</f>
        <v/>
      </c>
      <c r="J282" s="3" t="str">
        <f>IFERROR(VLOOKUP($G282,Table1[[Property]:[Exposure %]],7,0),"")</f>
        <v/>
      </c>
      <c r="K282"/>
      <c r="L282"/>
      <c r="M282"/>
      <c r="N282"/>
      <c r="O282"/>
      <c r="P282"/>
      <c r="Q282"/>
      <c r="R282" s="4" t="str">
        <f>IFERROR(VLOOKUP(IF(F282="Total",F281,F282),Table1[[Property]:['# Units]],7,0)*S282,"")</f>
        <v/>
      </c>
      <c r="S282" s="27" t="str">
        <f t="shared" si="46"/>
        <v/>
      </c>
      <c r="T282" s="531" t="str">
        <f>IFERROR(
 IF($F282="Total",
   SUMPRODUCT(
   INDEX(T:T, ROW()-COUNTIF($F$6:INDEX($F:$F, ROW()-1), $F281)) : INDEX(T:T, ROW()-1),
   INDEX(W:W, ROW()-COUNTIF($F$6:INDEX($F:$F, ROW()-1), $F281)) : INDEX(W:W, ROW()-1)
   )
   /SUM(INDEX(W:W, ROW()-COUNTIF($F$6:INDEX($F:$F, ROW()-1), $F281)) : INDEX(W:W, ROW()-1)),
   AVERAGEIFS(
     INDEX((unit_details[Asking Rent],unit_details[Asking PSF]),0,1,IF($U$3="Chunk Rent",1,2)),
     unit_details[Leased Date],"&gt;="&amp;($AM$2-T$5),
     unit_details[Leased Date],"&lt;"&amp;$AM$2,
     unit_details[Beds],$L282,
     unit_details[Baths],$M282,
     unit_details[Partial Baths],IF(ISNUMBER($N282),$N282,""),
     unit_details[Sqft],$P282,
     unit_details[Property Name],$F282)
 ),"")</f>
        <v/>
      </c>
      <c r="U282" s="552" t="str">
        <f>IFERROR(
 IF($F282="Total",
   SUMPRODUCT(
   INDEX(U:U, ROW()-COUNTIF($F$6:INDEX($F:$F, ROW()-1), $F281)) : INDEX(U:U, ROW()-1),
   INDEX(W:W, ROW()-COUNTIF($F$6:INDEX($F:$F, ROW()-1), $F281)) : INDEX(W:W, ROW()-1)
   )
   /SUM(INDEX(W:W, ROW()-COUNTIF($F$6:INDEX($F:$F, ROW()-1), $F281)) : INDEX(W:W, ROW()-1)),
   AVERAGEIFS(
     INDEX((unit_details[Effective Rent],unit_details[Effective PSF]),0,1,IF($U$3="Chunk Rent",1,2)),
     unit_details[Leased Date],"&gt;="&amp;($AM$2-T$5),
     unit_details[Leased Date],"&lt;"&amp;$AM$2,
     unit_details[Beds],$L282,
     unit_details[Baths],$M282,
     unit_details[Partial Baths],IF(ISNUMBER($N282),$N282,""),
     unit_details[Sqft],$P282,
     unit_details[Property Name],$F282)
 ),"")</f>
        <v/>
      </c>
      <c r="V282" s="27" t="str">
        <f t="shared" si="54"/>
        <v/>
      </c>
      <c r="W282" s="526">
        <f>IFERROR(
  IF($F282="Total",
    SUM(INDEX(W:W, ROW()-COUNTIF($F$6:INDEX($F:$F, ROW()-1), $F281)) : INDEX(W:W, ROW()-1)),
    COUNTIFS(
      unit_details[Leased Date], "&gt;="&amp;($AM$2-T$5),
      unit_details[Leased Date], "&lt;"&amp;$AM$2,
      unit_details[Beds], $L282,
      unit_details[Baths], $M282,
      unit_details[Partial Baths], IF(ISNUMBER($N282), $N282, ""),
      unit_details[Sqft],$P282,
      unit_details[Property Name], $F282
    )
  ),
"")</f>
        <v>0</v>
      </c>
      <c r="X282" s="531" t="str">
        <f>IFERROR(
 IF($F282="Total",
   SUMPRODUCT(
   INDEX(X:X, ROW()-COUNTIF($F$6:INDEX($F:$F, ROW()-1), $F281)) : INDEX(X:X, ROW()-1),
   INDEX(AA:AA, ROW()-COUNTIF($F$6:INDEX($F:$F, ROW()-1), $F281)) : INDEX(AA:AA, ROW()-1)
   )
   /SUM(INDEX(AA:AA, ROW()-COUNTIF($F$6:INDEX($F:$F, ROW()-1), $F281)) : INDEX(AA:AA, ROW()-1)),
   AVERAGEIFS(
     INDEX((unit_details[Asking Rent],unit_details[Asking PSF]),0,1,IF($U$3="Chunk Rent",1,2)),
     unit_details[Leased Date],"&gt;="&amp;($AM$2-X$5),
     unit_details[Leased Date],"&lt;"&amp;$AM$2,
     unit_details[Beds],$L282,
     unit_details[Baths],$M282,
     unit_details[Partial Baths],IF(ISNUMBER($N282),$N282,""),
     unit_details[Sqft],$P282,
     unit_details[Property Name],$F282)
 ),"")</f>
        <v/>
      </c>
      <c r="Y282" s="552" t="str">
        <f>IFERROR(
 IF($F282="Total",
   SUMPRODUCT(
   INDEX(Y:Y, ROW()-COUNTIF($F$6:INDEX($F:$F, ROW()-1), $F281)) : INDEX(Y:Y, ROW()-1),
   INDEX(AA:AA, ROW()-COUNTIF($F$6:INDEX($F:$F, ROW()-1), $F281)) : INDEX(AA:AA, ROW()-1)
   )
   /SUM(INDEX(AA:AA, ROW()-COUNTIF($F$6:INDEX($F:$F, ROW()-1), $F281)) : INDEX(AA:AA, ROW()-1)),
   AVERAGEIFS(
     INDEX((unit_details[Effective Rent],unit_details[Effective PSF]),0,1,IF($U$3="Chunk Rent",1,2)),
     unit_details[Leased Date],"&gt;="&amp;($AM$2-X$5),
     unit_details[Leased Date],"&lt;"&amp;$AM$2,
     unit_details[Beds],$L282,
     unit_details[Baths],$M282,
     unit_details[Partial Baths],IF(ISNUMBER($N282),$N282,""),
     unit_details[Sqft],$P282,
     unit_details[Property Name],$F282)
 ),"")</f>
        <v/>
      </c>
      <c r="Z282" s="27" t="str">
        <f t="shared" si="55"/>
        <v/>
      </c>
      <c r="AA282" s="526">
        <f>IFERROR(
  IF($F282="Total",
    SUM(INDEX(AA:AA, ROW()-COUNTIF($F$6:INDEX($F:$F, ROW()-1), $F281)) : INDEX(AA:AA, ROW()-1)),
    COUNTIFS(
      unit_details[Leased Date], "&gt;="&amp;($AM$2-X$5),
      unit_details[Leased Date], "&lt;"&amp;$AM$2,
      unit_details[Beds], $L282,
      unit_details[Baths], $M282,
      unit_details[Partial Baths], IF(ISNUMBER($N282), $N282, ""),
      unit_details[Sqft],$P282,
      unit_details[Property Name], $F282
    )
  ),
"")</f>
        <v>0</v>
      </c>
      <c r="AB282" s="290">
        <f>IF($F282="Total",
SUM(INDEX(AB:AB, ROW()-COUNTIF($F$6:INDEX($F:$F, ROW()-1), $F281)) : INDEX(AB:AB, ROW()-1)),
COUNTIFS(unit_details[Active Listing?],TRUE,
          unit_details[Property Name], $F282,
          unit_details[Beds], $L282,
          unit_details[Baths], $M282,
          unit_details[Partial Baths],IF(ISNUMBER($N282),$N282,""),
          unit_details[Sqft],$P282))</f>
        <v>0</v>
      </c>
      <c r="AC282" s="27" t="str">
        <f t="shared" si="47"/>
        <v/>
      </c>
      <c r="AD282" s="293" t="str">
        <f>IFERROR(IF(AE282="","",IF($F282="Total",
SUMPRODUCT(
   INDEX(AD:AD, ROW()-COUNTIF($F$6:INDEX($F:$F, ROW()-1), $F281)) : INDEX(AD:AD, ROW()-1),
   INDEX(AB:AB, ROW()-COUNTIF($F$6:INDEX($F:$F, ROW()-1), $F281)) : INDEX(AB:AB, ROW()-1)
   )
   /SUM(INDEX(AB:AB, ROW()-COUNTIF($F$6:INDEX($F:$F, ROW()-1), $F281)) : INDEX(AB:AB, ROW()-1)),
          _xlfn.MINIFS(unit_details[Asking Rent],
          unit_details[Active Listing?],TRUE,
          unit_details[Property Name], $F282,
          unit_details[Beds], $L282,
          unit_details[Baths], $M282,
          unit_details[Partial Baths], IF(ISNUMBER($N282),$N282,""),
          unit_details[Sqft],$P282
))),"")</f>
        <v/>
      </c>
      <c r="AE282" s="5" t="str">
        <f>IFERROR(IF($F282="Total",
          SUMPRODUCT(
   INDEX(AE:AE, ROW()-COUNTIF($F$6:INDEX($F:$F, ROW()-1), $F281)) : INDEX(AE:AE, ROW()-1),
   INDEX(AB:AB, ROW()-COUNTIF($F$6:INDEX($F:$F, ROW()-1), $F281)) : INDEX(AB:AB, ROW()-1)
   )
   /SUM(INDEX(AB:AB, ROW()-COUNTIF($F$6:INDEX($F:$F, ROW()-1), $F281)) : INDEX(AB:AB, ROW()-1)),
          AVERAGEIFS(unit_details[Asking Rent],
          unit_details[Active Listing?],TRUE,
          unit_details[Property Name], $F282,
          unit_details[Beds], $L282,
          unit_details[Baths], $M282,
          unit_details[Partial Baths], IF(ISNUMBER($N282),$N282,""),
          unit_details[Sqft],$P282
)),"")</f>
        <v/>
      </c>
      <c r="AF282" s="5" t="str">
        <f>IFERROR(IF(AE282="","",IF($F282="Total",
SUMPRODUCT(
   INDEX(AF:AF, ROW()-COUNTIF($F$6:INDEX($F:$F, ROW()-1), $F281)) : INDEX(AF:AF, ROW()-1),
   INDEX(AB:AB, ROW()-COUNTIF($F$6:INDEX($F:$F, ROW()-1), $F281)) : INDEX(AB:AB, ROW()-1)
   )
   /SUM(INDEX(AB:AB, ROW()-COUNTIF($F$6:INDEX($F:$F, ROW()-1), $F281)) : INDEX(AB:AB, ROW()-1)),
           _xlfn.MAXIFS(unit_details[Asking Rent],
          unit_details[Active Listing?],TRUE,
          unit_details[Property Name], $F282,
          unit_details[Beds], $L282,
          unit_details[Baths], $M282,
          unit_details[Partial Baths], IF(ISNUMBER($N282),$N282,""),
          unit_details[Sqft],$P282
))),"")</f>
        <v/>
      </c>
      <c r="AG282" s="6" t="str">
        <f>IFERROR(IF($F282="Total",
         SUMPRODUCT(
         INDEX(AG:AG, ROW()-COUNTIF($F$6:INDEX($F:$F, ROW()-1), $F281)) : INDEX(AG:AG, ROW()-1),
         INDEX(AB:AB, ROW()-COUNTIF($F$6:INDEX($F:$F, ROW()-1), $F281)) : INDEX(AB:AB, ROW()-1)
         )
         /SUM(INDEX(AB:AB, ROW()-COUNTIF($F$6:INDEX($F:$F, ROW()-1), $F281)) : INDEX(AB:AB, ROW()-1)),
          AVERAGEIFS(unit_details[Asking PSF],
          unit_details[Active Listing?],TRUE,
          unit_details[Property Name], $F282,
          unit_details[Beds], $L282,
          unit_details[Baths], $M282,
          unit_details[Partial Baths], IF(ISNUMBER($N282),$N282,""),
          unit_details[Sqft],$P282
)),"")</f>
        <v/>
      </c>
      <c r="AH282" s="293" t="str">
        <f>IFERROR(IF($F282="Total",
         SUMPRODUCT(
         INDEX(AH:AH, ROW()-COUNTIF($F$6:INDEX($F:$F, ROW()-1), $F281)) : INDEX(AH:AH, ROW()-1),
         INDEX(AB:AB, ROW()-COUNTIF($F$6:INDEX($F:$F, ROW()-1), $F281)) : INDEX(AB:AB, ROW()-1)
         )
         /SUM(INDEX(AB:AB, ROW()-COUNTIF($F$6:INDEX($F:$F, ROW()-1), $F281)) : INDEX(AB:AB, ROW()-1)),
          AVERAGEIFS(unit_details[Effective Rent],
          unit_details[Active Listing?],TRUE,
          unit_details[Property Name], $F282,
          unit_details[Beds], $L282,
          unit_details[Baths], $M282,
          unit_details[Partial Baths], IF(ISNUMBER($N282),$N282,""),
          unit_details[Sqft],$P282
)),"")</f>
        <v/>
      </c>
      <c r="AI282" s="6" t="str">
        <f>IFERROR(IF($F282="Total",
         SUMPRODUCT(
         INDEX(AI:AI, ROW()-COUNTIF($F$6:INDEX($F:$F, ROW()-1), $F281)) : INDEX(AI:AI, ROW()-1),
         INDEX(AB:AB, ROW()-COUNTIF($F$6:INDEX($F:$F, ROW()-1), $F281)) : INDEX(AB:AB, ROW()-1)
         )
         /SUM(INDEX(AB:AB, ROW()-COUNTIF($F$6:INDEX($F:$F, ROW()-1), $F281)) : INDEX(AB:AB, ROW()-1)),
           AVERAGEIFS(unit_details[Effective PSF],
          unit_details[Active Listing?],TRUE,
          unit_details[Property Name], $F282,
          unit_details[Beds], $L282,
          unit_details[Baths], $M282,
          unit_details[Partial Baths], IF(ISNUMBER($N282),$N282,""),
          unit_details[Sqft],$P282
)),"")</f>
        <v/>
      </c>
      <c r="AJ282" s="824" t="str">
        <f t="shared" si="48"/>
        <v/>
      </c>
      <c r="AK282" s="531" t="str">
        <f t="shared" si="49"/>
        <v/>
      </c>
      <c r="AL282" s="714" t="str">
        <f t="shared" si="50"/>
        <v/>
      </c>
      <c r="AM282" s="531" t="str">
        <f t="shared" si="51"/>
        <v/>
      </c>
      <c r="AN282" s="716" t="str">
        <f t="shared" si="52"/>
        <v/>
      </c>
    </row>
    <row r="283" spans="6:40" x14ac:dyDescent="0.2">
      <c r="F283" s="1" t="str">
        <f t="shared" si="45"/>
        <v/>
      </c>
      <c r="G283" s="713" t="str">
        <f t="shared" si="53"/>
        <v/>
      </c>
      <c r="H283" s="17" t="str">
        <f>IFERROR(VLOOKUP($G283,Table1[[Property]:[Exposure %]],4,0),"")</f>
        <v/>
      </c>
      <c r="I283" s="3" t="str">
        <f>IFERROR(VLOOKUP($G283,Table1[[Property]:[Exposure %]],6,0),"")</f>
        <v/>
      </c>
      <c r="J283" s="3" t="str">
        <f>IFERROR(VLOOKUP($G283,Table1[[Property]:[Exposure %]],7,0),"")</f>
        <v/>
      </c>
      <c r="K283"/>
      <c r="L283"/>
      <c r="M283"/>
      <c r="N283"/>
      <c r="O283"/>
      <c r="P283"/>
      <c r="Q283"/>
      <c r="R283" s="4" t="str">
        <f>IFERROR(VLOOKUP(IF(F283="Total",F282,F283),Table1[[Property]:['# Units]],7,0)*S283,"")</f>
        <v/>
      </c>
      <c r="S283" s="27" t="str">
        <f t="shared" si="46"/>
        <v/>
      </c>
      <c r="T283" s="531" t="str">
        <f>IFERROR(
 IF($F283="Total",
   SUMPRODUCT(
   INDEX(T:T, ROW()-COUNTIF($F$6:INDEX($F:$F, ROW()-1), $F282)) : INDEX(T:T, ROW()-1),
   INDEX(W:W, ROW()-COUNTIF($F$6:INDEX($F:$F, ROW()-1), $F282)) : INDEX(W:W, ROW()-1)
   )
   /SUM(INDEX(W:W, ROW()-COUNTIF($F$6:INDEX($F:$F, ROW()-1), $F282)) : INDEX(W:W, ROW()-1)),
   AVERAGEIFS(
     INDEX((unit_details[Asking Rent],unit_details[Asking PSF]),0,1,IF($U$3="Chunk Rent",1,2)),
     unit_details[Leased Date],"&gt;="&amp;($AM$2-T$5),
     unit_details[Leased Date],"&lt;"&amp;$AM$2,
     unit_details[Beds],$L283,
     unit_details[Baths],$M283,
     unit_details[Partial Baths],IF(ISNUMBER($N283),$N283,""),
     unit_details[Sqft],$P283,
     unit_details[Property Name],$F283)
 ),"")</f>
        <v/>
      </c>
      <c r="U283" s="552" t="str">
        <f>IFERROR(
 IF($F283="Total",
   SUMPRODUCT(
   INDEX(U:U, ROW()-COUNTIF($F$6:INDEX($F:$F, ROW()-1), $F282)) : INDEX(U:U, ROW()-1),
   INDEX(W:W, ROW()-COUNTIF($F$6:INDEX($F:$F, ROW()-1), $F282)) : INDEX(W:W, ROW()-1)
   )
   /SUM(INDEX(W:W, ROW()-COUNTIF($F$6:INDEX($F:$F, ROW()-1), $F282)) : INDEX(W:W, ROW()-1)),
   AVERAGEIFS(
     INDEX((unit_details[Effective Rent],unit_details[Effective PSF]),0,1,IF($U$3="Chunk Rent",1,2)),
     unit_details[Leased Date],"&gt;="&amp;($AM$2-T$5),
     unit_details[Leased Date],"&lt;"&amp;$AM$2,
     unit_details[Beds],$L283,
     unit_details[Baths],$M283,
     unit_details[Partial Baths],IF(ISNUMBER($N283),$N283,""),
     unit_details[Sqft],$P283,
     unit_details[Property Name],$F283)
 ),"")</f>
        <v/>
      </c>
      <c r="V283" s="27" t="str">
        <f t="shared" si="54"/>
        <v/>
      </c>
      <c r="W283" s="526">
        <f>IFERROR(
  IF($F283="Total",
    SUM(INDEX(W:W, ROW()-COUNTIF($F$6:INDEX($F:$F, ROW()-1), $F282)) : INDEX(W:W, ROW()-1)),
    COUNTIFS(
      unit_details[Leased Date], "&gt;="&amp;($AM$2-T$5),
      unit_details[Leased Date], "&lt;"&amp;$AM$2,
      unit_details[Beds], $L283,
      unit_details[Baths], $M283,
      unit_details[Partial Baths], IF(ISNUMBER($N283), $N283, ""),
      unit_details[Sqft],$P283,
      unit_details[Property Name], $F283
    )
  ),
"")</f>
        <v>0</v>
      </c>
      <c r="X283" s="531" t="str">
        <f>IFERROR(
 IF($F283="Total",
   SUMPRODUCT(
   INDEX(X:X, ROW()-COUNTIF($F$6:INDEX($F:$F, ROW()-1), $F282)) : INDEX(X:X, ROW()-1),
   INDEX(AA:AA, ROW()-COUNTIF($F$6:INDEX($F:$F, ROW()-1), $F282)) : INDEX(AA:AA, ROW()-1)
   )
   /SUM(INDEX(AA:AA, ROW()-COUNTIF($F$6:INDEX($F:$F, ROW()-1), $F282)) : INDEX(AA:AA, ROW()-1)),
   AVERAGEIFS(
     INDEX((unit_details[Asking Rent],unit_details[Asking PSF]),0,1,IF($U$3="Chunk Rent",1,2)),
     unit_details[Leased Date],"&gt;="&amp;($AM$2-X$5),
     unit_details[Leased Date],"&lt;"&amp;$AM$2,
     unit_details[Beds],$L283,
     unit_details[Baths],$M283,
     unit_details[Partial Baths],IF(ISNUMBER($N283),$N283,""),
     unit_details[Sqft],$P283,
     unit_details[Property Name],$F283)
 ),"")</f>
        <v/>
      </c>
      <c r="Y283" s="552" t="str">
        <f>IFERROR(
 IF($F283="Total",
   SUMPRODUCT(
   INDEX(Y:Y, ROW()-COUNTIF($F$6:INDEX($F:$F, ROW()-1), $F282)) : INDEX(Y:Y, ROW()-1),
   INDEX(AA:AA, ROW()-COUNTIF($F$6:INDEX($F:$F, ROW()-1), $F282)) : INDEX(AA:AA, ROW()-1)
   )
   /SUM(INDEX(AA:AA, ROW()-COUNTIF($F$6:INDEX($F:$F, ROW()-1), $F282)) : INDEX(AA:AA, ROW()-1)),
   AVERAGEIFS(
     INDEX((unit_details[Effective Rent],unit_details[Effective PSF]),0,1,IF($U$3="Chunk Rent",1,2)),
     unit_details[Leased Date],"&gt;="&amp;($AM$2-X$5),
     unit_details[Leased Date],"&lt;"&amp;$AM$2,
     unit_details[Beds],$L283,
     unit_details[Baths],$M283,
     unit_details[Partial Baths],IF(ISNUMBER($N283),$N283,""),
     unit_details[Sqft],$P283,
     unit_details[Property Name],$F283)
 ),"")</f>
        <v/>
      </c>
      <c r="Z283" s="27" t="str">
        <f t="shared" si="55"/>
        <v/>
      </c>
      <c r="AA283" s="526">
        <f>IFERROR(
  IF($F283="Total",
    SUM(INDEX(AA:AA, ROW()-COUNTIF($F$6:INDEX($F:$F, ROW()-1), $F282)) : INDEX(AA:AA, ROW()-1)),
    COUNTIFS(
      unit_details[Leased Date], "&gt;="&amp;($AM$2-X$5),
      unit_details[Leased Date], "&lt;"&amp;$AM$2,
      unit_details[Beds], $L283,
      unit_details[Baths], $M283,
      unit_details[Partial Baths], IF(ISNUMBER($N283), $N283, ""),
      unit_details[Sqft],$P283,
      unit_details[Property Name], $F283
    )
  ),
"")</f>
        <v>0</v>
      </c>
      <c r="AB283" s="290">
        <f>IF($F283="Total",
SUM(INDEX(AB:AB, ROW()-COUNTIF($F$6:INDEX($F:$F, ROW()-1), $F282)) : INDEX(AB:AB, ROW()-1)),
COUNTIFS(unit_details[Active Listing?],TRUE,
          unit_details[Property Name], $F283,
          unit_details[Beds], $L283,
          unit_details[Baths], $M283,
          unit_details[Partial Baths],IF(ISNUMBER($N283),$N283,""),
          unit_details[Sqft],$P283))</f>
        <v>0</v>
      </c>
      <c r="AC283" s="27" t="str">
        <f t="shared" si="47"/>
        <v/>
      </c>
      <c r="AD283" s="293" t="str">
        <f>IFERROR(IF(AE283="","",IF($F283="Total",
SUMPRODUCT(
   INDEX(AD:AD, ROW()-COUNTIF($F$6:INDEX($F:$F, ROW()-1), $F282)) : INDEX(AD:AD, ROW()-1),
   INDEX(AB:AB, ROW()-COUNTIF($F$6:INDEX($F:$F, ROW()-1), $F282)) : INDEX(AB:AB, ROW()-1)
   )
   /SUM(INDEX(AB:AB, ROW()-COUNTIF($F$6:INDEX($F:$F, ROW()-1), $F282)) : INDEX(AB:AB, ROW()-1)),
          _xlfn.MINIFS(unit_details[Asking Rent],
          unit_details[Active Listing?],TRUE,
          unit_details[Property Name], $F283,
          unit_details[Beds], $L283,
          unit_details[Baths], $M283,
          unit_details[Partial Baths], IF(ISNUMBER($N283),$N283,""),
          unit_details[Sqft],$P283
))),"")</f>
        <v/>
      </c>
      <c r="AE283" s="5" t="str">
        <f>IFERROR(IF($F283="Total",
          SUMPRODUCT(
   INDEX(AE:AE, ROW()-COUNTIF($F$6:INDEX($F:$F, ROW()-1), $F282)) : INDEX(AE:AE, ROW()-1),
   INDEX(AB:AB, ROW()-COUNTIF($F$6:INDEX($F:$F, ROW()-1), $F282)) : INDEX(AB:AB, ROW()-1)
   )
   /SUM(INDEX(AB:AB, ROW()-COUNTIF($F$6:INDEX($F:$F, ROW()-1), $F282)) : INDEX(AB:AB, ROW()-1)),
          AVERAGEIFS(unit_details[Asking Rent],
          unit_details[Active Listing?],TRUE,
          unit_details[Property Name], $F283,
          unit_details[Beds], $L283,
          unit_details[Baths], $M283,
          unit_details[Partial Baths], IF(ISNUMBER($N283),$N283,""),
          unit_details[Sqft],$P283
)),"")</f>
        <v/>
      </c>
      <c r="AF283" s="5" t="str">
        <f>IFERROR(IF(AE283="","",IF($F283="Total",
SUMPRODUCT(
   INDEX(AF:AF, ROW()-COUNTIF($F$6:INDEX($F:$F, ROW()-1), $F282)) : INDEX(AF:AF, ROW()-1),
   INDEX(AB:AB, ROW()-COUNTIF($F$6:INDEX($F:$F, ROW()-1), $F282)) : INDEX(AB:AB, ROW()-1)
   )
   /SUM(INDEX(AB:AB, ROW()-COUNTIF($F$6:INDEX($F:$F, ROW()-1), $F282)) : INDEX(AB:AB, ROW()-1)),
           _xlfn.MAXIFS(unit_details[Asking Rent],
          unit_details[Active Listing?],TRUE,
          unit_details[Property Name], $F283,
          unit_details[Beds], $L283,
          unit_details[Baths], $M283,
          unit_details[Partial Baths], IF(ISNUMBER($N283),$N283,""),
          unit_details[Sqft],$P283
))),"")</f>
        <v/>
      </c>
      <c r="AG283" s="6" t="str">
        <f>IFERROR(IF($F283="Total",
         SUMPRODUCT(
         INDEX(AG:AG, ROW()-COUNTIF($F$6:INDEX($F:$F, ROW()-1), $F282)) : INDEX(AG:AG, ROW()-1),
         INDEX(AB:AB, ROW()-COUNTIF($F$6:INDEX($F:$F, ROW()-1), $F282)) : INDEX(AB:AB, ROW()-1)
         )
         /SUM(INDEX(AB:AB, ROW()-COUNTIF($F$6:INDEX($F:$F, ROW()-1), $F282)) : INDEX(AB:AB, ROW()-1)),
          AVERAGEIFS(unit_details[Asking PSF],
          unit_details[Active Listing?],TRUE,
          unit_details[Property Name], $F283,
          unit_details[Beds], $L283,
          unit_details[Baths], $M283,
          unit_details[Partial Baths], IF(ISNUMBER($N283),$N283,""),
          unit_details[Sqft],$P283
)),"")</f>
        <v/>
      </c>
      <c r="AH283" s="293" t="str">
        <f>IFERROR(IF($F283="Total",
         SUMPRODUCT(
         INDEX(AH:AH, ROW()-COUNTIF($F$6:INDEX($F:$F, ROW()-1), $F282)) : INDEX(AH:AH, ROW()-1),
         INDEX(AB:AB, ROW()-COUNTIF($F$6:INDEX($F:$F, ROW()-1), $F282)) : INDEX(AB:AB, ROW()-1)
         )
         /SUM(INDEX(AB:AB, ROW()-COUNTIF($F$6:INDEX($F:$F, ROW()-1), $F282)) : INDEX(AB:AB, ROW()-1)),
          AVERAGEIFS(unit_details[Effective Rent],
          unit_details[Active Listing?],TRUE,
          unit_details[Property Name], $F283,
          unit_details[Beds], $L283,
          unit_details[Baths], $M283,
          unit_details[Partial Baths], IF(ISNUMBER($N283),$N283,""),
          unit_details[Sqft],$P283
)),"")</f>
        <v/>
      </c>
      <c r="AI283" s="6" t="str">
        <f>IFERROR(IF($F283="Total",
         SUMPRODUCT(
         INDEX(AI:AI, ROW()-COUNTIF($F$6:INDEX($F:$F, ROW()-1), $F282)) : INDEX(AI:AI, ROW()-1),
         INDEX(AB:AB, ROW()-COUNTIF($F$6:INDEX($F:$F, ROW()-1), $F282)) : INDEX(AB:AB, ROW()-1)
         )
         /SUM(INDEX(AB:AB, ROW()-COUNTIF($F$6:INDEX($F:$F, ROW()-1), $F282)) : INDEX(AB:AB, ROW()-1)),
           AVERAGEIFS(unit_details[Effective PSF],
          unit_details[Active Listing?],TRUE,
          unit_details[Property Name], $F283,
          unit_details[Beds], $L283,
          unit_details[Baths], $M283,
          unit_details[Partial Baths], IF(ISNUMBER($N283),$N283,""),
          unit_details[Sqft],$P283
)),"")</f>
        <v/>
      </c>
      <c r="AJ283" s="824" t="str">
        <f t="shared" si="48"/>
        <v/>
      </c>
      <c r="AK283" s="531" t="str">
        <f t="shared" si="49"/>
        <v/>
      </c>
      <c r="AL283" s="714" t="str">
        <f t="shared" si="50"/>
        <v/>
      </c>
      <c r="AM283" s="531" t="str">
        <f t="shared" si="51"/>
        <v/>
      </c>
      <c r="AN283" s="716" t="str">
        <f t="shared" si="52"/>
        <v/>
      </c>
    </row>
    <row r="284" spans="6:40" x14ac:dyDescent="0.2">
      <c r="F284" s="1" t="str">
        <f t="shared" si="45"/>
        <v/>
      </c>
      <c r="G284" s="713" t="str">
        <f t="shared" si="53"/>
        <v/>
      </c>
      <c r="H284" s="17" t="str">
        <f>IFERROR(VLOOKUP($G284,Table1[[Property]:[Exposure %]],4,0),"")</f>
        <v/>
      </c>
      <c r="I284" s="3" t="str">
        <f>IFERROR(VLOOKUP($G284,Table1[[Property]:[Exposure %]],6,0),"")</f>
        <v/>
      </c>
      <c r="J284" s="3" t="str">
        <f>IFERROR(VLOOKUP($G284,Table1[[Property]:[Exposure %]],7,0),"")</f>
        <v/>
      </c>
      <c r="K284"/>
      <c r="L284"/>
      <c r="M284"/>
      <c r="N284"/>
      <c r="O284"/>
      <c r="P284"/>
      <c r="Q284"/>
      <c r="R284" s="4" t="str">
        <f>IFERROR(VLOOKUP(IF(F284="Total",F283,F284),Table1[[Property]:['# Units]],7,0)*S284,"")</f>
        <v/>
      </c>
      <c r="S284" s="27" t="str">
        <f t="shared" si="46"/>
        <v/>
      </c>
      <c r="T284" s="531" t="str">
        <f>IFERROR(
 IF($F284="Total",
   SUMPRODUCT(
   INDEX(T:T, ROW()-COUNTIF($F$6:INDEX($F:$F, ROW()-1), $F283)) : INDEX(T:T, ROW()-1),
   INDEX(W:W, ROW()-COUNTIF($F$6:INDEX($F:$F, ROW()-1), $F283)) : INDEX(W:W, ROW()-1)
   )
   /SUM(INDEX(W:W, ROW()-COUNTIF($F$6:INDEX($F:$F, ROW()-1), $F283)) : INDEX(W:W, ROW()-1)),
   AVERAGEIFS(
     INDEX((unit_details[Asking Rent],unit_details[Asking PSF]),0,1,IF($U$3="Chunk Rent",1,2)),
     unit_details[Leased Date],"&gt;="&amp;($AM$2-T$5),
     unit_details[Leased Date],"&lt;"&amp;$AM$2,
     unit_details[Beds],$L284,
     unit_details[Baths],$M284,
     unit_details[Partial Baths],IF(ISNUMBER($N284),$N284,""),
     unit_details[Sqft],$P284,
     unit_details[Property Name],$F284)
 ),"")</f>
        <v/>
      </c>
      <c r="U284" s="552" t="str">
        <f>IFERROR(
 IF($F284="Total",
   SUMPRODUCT(
   INDEX(U:U, ROW()-COUNTIF($F$6:INDEX($F:$F, ROW()-1), $F283)) : INDEX(U:U, ROW()-1),
   INDEX(W:W, ROW()-COUNTIF($F$6:INDEX($F:$F, ROW()-1), $F283)) : INDEX(W:W, ROW()-1)
   )
   /SUM(INDEX(W:W, ROW()-COUNTIF($F$6:INDEX($F:$F, ROW()-1), $F283)) : INDEX(W:W, ROW()-1)),
   AVERAGEIFS(
     INDEX((unit_details[Effective Rent],unit_details[Effective PSF]),0,1,IF($U$3="Chunk Rent",1,2)),
     unit_details[Leased Date],"&gt;="&amp;($AM$2-T$5),
     unit_details[Leased Date],"&lt;"&amp;$AM$2,
     unit_details[Beds],$L284,
     unit_details[Baths],$M284,
     unit_details[Partial Baths],IF(ISNUMBER($N284),$N284,""),
     unit_details[Sqft],$P284,
     unit_details[Property Name],$F284)
 ),"")</f>
        <v/>
      </c>
      <c r="V284" s="27" t="str">
        <f t="shared" si="54"/>
        <v/>
      </c>
      <c r="W284" s="526">
        <f>IFERROR(
  IF($F284="Total",
    SUM(INDEX(W:W, ROW()-COUNTIF($F$6:INDEX($F:$F, ROW()-1), $F283)) : INDEX(W:W, ROW()-1)),
    COUNTIFS(
      unit_details[Leased Date], "&gt;="&amp;($AM$2-T$5),
      unit_details[Leased Date], "&lt;"&amp;$AM$2,
      unit_details[Beds], $L284,
      unit_details[Baths], $M284,
      unit_details[Partial Baths], IF(ISNUMBER($N284), $N284, ""),
      unit_details[Sqft],$P284,
      unit_details[Property Name], $F284
    )
  ),
"")</f>
        <v>0</v>
      </c>
      <c r="X284" s="531" t="str">
        <f>IFERROR(
 IF($F284="Total",
   SUMPRODUCT(
   INDEX(X:X, ROW()-COUNTIF($F$6:INDEX($F:$F, ROW()-1), $F283)) : INDEX(X:X, ROW()-1),
   INDEX(AA:AA, ROW()-COUNTIF($F$6:INDEX($F:$F, ROW()-1), $F283)) : INDEX(AA:AA, ROW()-1)
   )
   /SUM(INDEX(AA:AA, ROW()-COUNTIF($F$6:INDEX($F:$F, ROW()-1), $F283)) : INDEX(AA:AA, ROW()-1)),
   AVERAGEIFS(
     INDEX((unit_details[Asking Rent],unit_details[Asking PSF]),0,1,IF($U$3="Chunk Rent",1,2)),
     unit_details[Leased Date],"&gt;="&amp;($AM$2-X$5),
     unit_details[Leased Date],"&lt;"&amp;$AM$2,
     unit_details[Beds],$L284,
     unit_details[Baths],$M284,
     unit_details[Partial Baths],IF(ISNUMBER($N284),$N284,""),
     unit_details[Sqft],$P284,
     unit_details[Property Name],$F284)
 ),"")</f>
        <v/>
      </c>
      <c r="Y284" s="552" t="str">
        <f>IFERROR(
 IF($F284="Total",
   SUMPRODUCT(
   INDEX(Y:Y, ROW()-COUNTIF($F$6:INDEX($F:$F, ROW()-1), $F283)) : INDEX(Y:Y, ROW()-1),
   INDEX(AA:AA, ROW()-COUNTIF($F$6:INDEX($F:$F, ROW()-1), $F283)) : INDEX(AA:AA, ROW()-1)
   )
   /SUM(INDEX(AA:AA, ROW()-COUNTIF($F$6:INDEX($F:$F, ROW()-1), $F283)) : INDEX(AA:AA, ROW()-1)),
   AVERAGEIFS(
     INDEX((unit_details[Effective Rent],unit_details[Effective PSF]),0,1,IF($U$3="Chunk Rent",1,2)),
     unit_details[Leased Date],"&gt;="&amp;($AM$2-X$5),
     unit_details[Leased Date],"&lt;"&amp;$AM$2,
     unit_details[Beds],$L284,
     unit_details[Baths],$M284,
     unit_details[Partial Baths],IF(ISNUMBER($N284),$N284,""),
     unit_details[Sqft],$P284,
     unit_details[Property Name],$F284)
 ),"")</f>
        <v/>
      </c>
      <c r="Z284" s="27" t="str">
        <f t="shared" si="55"/>
        <v/>
      </c>
      <c r="AA284" s="526">
        <f>IFERROR(
  IF($F284="Total",
    SUM(INDEX(AA:AA, ROW()-COUNTIF($F$6:INDEX($F:$F, ROW()-1), $F283)) : INDEX(AA:AA, ROW()-1)),
    COUNTIFS(
      unit_details[Leased Date], "&gt;="&amp;($AM$2-X$5),
      unit_details[Leased Date], "&lt;"&amp;$AM$2,
      unit_details[Beds], $L284,
      unit_details[Baths], $M284,
      unit_details[Partial Baths], IF(ISNUMBER($N284), $N284, ""),
      unit_details[Sqft],$P284,
      unit_details[Property Name], $F284
    )
  ),
"")</f>
        <v>0</v>
      </c>
      <c r="AB284" s="290">
        <f>IF($F284="Total",
SUM(INDEX(AB:AB, ROW()-COUNTIF($F$6:INDEX($F:$F, ROW()-1), $F283)) : INDEX(AB:AB, ROW()-1)),
COUNTIFS(unit_details[Active Listing?],TRUE,
          unit_details[Property Name], $F284,
          unit_details[Beds], $L284,
          unit_details[Baths], $M284,
          unit_details[Partial Baths],IF(ISNUMBER($N284),$N284,""),
          unit_details[Sqft],$P284))</f>
        <v>0</v>
      </c>
      <c r="AC284" s="27" t="str">
        <f t="shared" si="47"/>
        <v/>
      </c>
      <c r="AD284" s="293" t="str">
        <f>IFERROR(IF(AE284="","",IF($F284="Total",
SUMPRODUCT(
   INDEX(AD:AD, ROW()-COUNTIF($F$6:INDEX($F:$F, ROW()-1), $F283)) : INDEX(AD:AD, ROW()-1),
   INDEX(AB:AB, ROW()-COUNTIF($F$6:INDEX($F:$F, ROW()-1), $F283)) : INDEX(AB:AB, ROW()-1)
   )
   /SUM(INDEX(AB:AB, ROW()-COUNTIF($F$6:INDEX($F:$F, ROW()-1), $F283)) : INDEX(AB:AB, ROW()-1)),
          _xlfn.MINIFS(unit_details[Asking Rent],
          unit_details[Active Listing?],TRUE,
          unit_details[Property Name], $F284,
          unit_details[Beds], $L284,
          unit_details[Baths], $M284,
          unit_details[Partial Baths], IF(ISNUMBER($N284),$N284,""),
          unit_details[Sqft],$P284
))),"")</f>
        <v/>
      </c>
      <c r="AE284" s="5" t="str">
        <f>IFERROR(IF($F284="Total",
          SUMPRODUCT(
   INDEX(AE:AE, ROW()-COUNTIF($F$6:INDEX($F:$F, ROW()-1), $F283)) : INDEX(AE:AE, ROW()-1),
   INDEX(AB:AB, ROW()-COUNTIF($F$6:INDEX($F:$F, ROW()-1), $F283)) : INDEX(AB:AB, ROW()-1)
   )
   /SUM(INDEX(AB:AB, ROW()-COUNTIF($F$6:INDEX($F:$F, ROW()-1), $F283)) : INDEX(AB:AB, ROW()-1)),
          AVERAGEIFS(unit_details[Asking Rent],
          unit_details[Active Listing?],TRUE,
          unit_details[Property Name], $F284,
          unit_details[Beds], $L284,
          unit_details[Baths], $M284,
          unit_details[Partial Baths], IF(ISNUMBER($N284),$N284,""),
          unit_details[Sqft],$P284
)),"")</f>
        <v/>
      </c>
      <c r="AF284" s="5" t="str">
        <f>IFERROR(IF(AE284="","",IF($F284="Total",
SUMPRODUCT(
   INDEX(AF:AF, ROW()-COUNTIF($F$6:INDEX($F:$F, ROW()-1), $F283)) : INDEX(AF:AF, ROW()-1),
   INDEX(AB:AB, ROW()-COUNTIF($F$6:INDEX($F:$F, ROW()-1), $F283)) : INDEX(AB:AB, ROW()-1)
   )
   /SUM(INDEX(AB:AB, ROW()-COUNTIF($F$6:INDEX($F:$F, ROW()-1), $F283)) : INDEX(AB:AB, ROW()-1)),
           _xlfn.MAXIFS(unit_details[Asking Rent],
          unit_details[Active Listing?],TRUE,
          unit_details[Property Name], $F284,
          unit_details[Beds], $L284,
          unit_details[Baths], $M284,
          unit_details[Partial Baths], IF(ISNUMBER($N284),$N284,""),
          unit_details[Sqft],$P284
))),"")</f>
        <v/>
      </c>
      <c r="AG284" s="6" t="str">
        <f>IFERROR(IF($F284="Total",
         SUMPRODUCT(
         INDEX(AG:AG, ROW()-COUNTIF($F$6:INDEX($F:$F, ROW()-1), $F283)) : INDEX(AG:AG, ROW()-1),
         INDEX(AB:AB, ROW()-COUNTIF($F$6:INDEX($F:$F, ROW()-1), $F283)) : INDEX(AB:AB, ROW()-1)
         )
         /SUM(INDEX(AB:AB, ROW()-COUNTIF($F$6:INDEX($F:$F, ROW()-1), $F283)) : INDEX(AB:AB, ROW()-1)),
          AVERAGEIFS(unit_details[Asking PSF],
          unit_details[Active Listing?],TRUE,
          unit_details[Property Name], $F284,
          unit_details[Beds], $L284,
          unit_details[Baths], $M284,
          unit_details[Partial Baths], IF(ISNUMBER($N284),$N284,""),
          unit_details[Sqft],$P284
)),"")</f>
        <v/>
      </c>
      <c r="AH284" s="293" t="str">
        <f>IFERROR(IF($F284="Total",
         SUMPRODUCT(
         INDEX(AH:AH, ROW()-COUNTIF($F$6:INDEX($F:$F, ROW()-1), $F283)) : INDEX(AH:AH, ROW()-1),
         INDEX(AB:AB, ROW()-COUNTIF($F$6:INDEX($F:$F, ROW()-1), $F283)) : INDEX(AB:AB, ROW()-1)
         )
         /SUM(INDEX(AB:AB, ROW()-COUNTIF($F$6:INDEX($F:$F, ROW()-1), $F283)) : INDEX(AB:AB, ROW()-1)),
          AVERAGEIFS(unit_details[Effective Rent],
          unit_details[Active Listing?],TRUE,
          unit_details[Property Name], $F284,
          unit_details[Beds], $L284,
          unit_details[Baths], $M284,
          unit_details[Partial Baths], IF(ISNUMBER($N284),$N284,""),
          unit_details[Sqft],$P284
)),"")</f>
        <v/>
      </c>
      <c r="AI284" s="6" t="str">
        <f>IFERROR(IF($F284="Total",
         SUMPRODUCT(
         INDEX(AI:AI, ROW()-COUNTIF($F$6:INDEX($F:$F, ROW()-1), $F283)) : INDEX(AI:AI, ROW()-1),
         INDEX(AB:AB, ROW()-COUNTIF($F$6:INDEX($F:$F, ROW()-1), $F283)) : INDEX(AB:AB, ROW()-1)
         )
         /SUM(INDEX(AB:AB, ROW()-COUNTIF($F$6:INDEX($F:$F, ROW()-1), $F283)) : INDEX(AB:AB, ROW()-1)),
           AVERAGEIFS(unit_details[Effective PSF],
          unit_details[Active Listing?],TRUE,
          unit_details[Property Name], $F284,
          unit_details[Beds], $L284,
          unit_details[Baths], $M284,
          unit_details[Partial Baths], IF(ISNUMBER($N284),$N284,""),
          unit_details[Sqft],$P284
)),"")</f>
        <v/>
      </c>
      <c r="AJ284" s="824" t="str">
        <f t="shared" si="48"/>
        <v/>
      </c>
      <c r="AK284" s="531" t="str">
        <f t="shared" si="49"/>
        <v/>
      </c>
      <c r="AL284" s="714" t="str">
        <f t="shared" si="50"/>
        <v/>
      </c>
      <c r="AM284" s="531" t="str">
        <f t="shared" si="51"/>
        <v/>
      </c>
      <c r="AN284" s="716" t="str">
        <f t="shared" si="52"/>
        <v/>
      </c>
    </row>
    <row r="285" spans="6:40" x14ac:dyDescent="0.2">
      <c r="F285" s="1" t="str">
        <f t="shared" si="45"/>
        <v/>
      </c>
      <c r="G285" s="713" t="str">
        <f t="shared" si="53"/>
        <v/>
      </c>
      <c r="H285" s="17" t="str">
        <f>IFERROR(VLOOKUP($G285,Table1[[Property]:[Exposure %]],4,0),"")</f>
        <v/>
      </c>
      <c r="I285" s="3" t="str">
        <f>IFERROR(VLOOKUP($G285,Table1[[Property]:[Exposure %]],6,0),"")</f>
        <v/>
      </c>
      <c r="J285" s="3" t="str">
        <f>IFERROR(VLOOKUP($G285,Table1[[Property]:[Exposure %]],7,0),"")</f>
        <v/>
      </c>
      <c r="K285"/>
      <c r="L285"/>
      <c r="M285"/>
      <c r="N285"/>
      <c r="O285"/>
      <c r="P285"/>
      <c r="Q285"/>
      <c r="R285" s="4" t="str">
        <f>IFERROR(VLOOKUP(IF(F285="Total",F284,F285),Table1[[Property]:['# Units]],7,0)*S285,"")</f>
        <v/>
      </c>
      <c r="S285" s="27" t="str">
        <f t="shared" si="46"/>
        <v/>
      </c>
      <c r="T285" s="531" t="str">
        <f>IFERROR(
 IF($F285="Total",
   SUMPRODUCT(
   INDEX(T:T, ROW()-COUNTIF($F$6:INDEX($F:$F, ROW()-1), $F284)) : INDEX(T:T, ROW()-1),
   INDEX(W:W, ROW()-COUNTIF($F$6:INDEX($F:$F, ROW()-1), $F284)) : INDEX(W:W, ROW()-1)
   )
   /SUM(INDEX(W:W, ROW()-COUNTIF($F$6:INDEX($F:$F, ROW()-1), $F284)) : INDEX(W:W, ROW()-1)),
   AVERAGEIFS(
     INDEX((unit_details[Asking Rent],unit_details[Asking PSF]),0,1,IF($U$3="Chunk Rent",1,2)),
     unit_details[Leased Date],"&gt;="&amp;($AM$2-T$5),
     unit_details[Leased Date],"&lt;"&amp;$AM$2,
     unit_details[Beds],$L285,
     unit_details[Baths],$M285,
     unit_details[Partial Baths],IF(ISNUMBER($N285),$N285,""),
     unit_details[Sqft],$P285,
     unit_details[Property Name],$F285)
 ),"")</f>
        <v/>
      </c>
      <c r="U285" s="552" t="str">
        <f>IFERROR(
 IF($F285="Total",
   SUMPRODUCT(
   INDEX(U:U, ROW()-COUNTIF($F$6:INDEX($F:$F, ROW()-1), $F284)) : INDEX(U:U, ROW()-1),
   INDEX(W:W, ROW()-COUNTIF($F$6:INDEX($F:$F, ROW()-1), $F284)) : INDEX(W:W, ROW()-1)
   )
   /SUM(INDEX(W:W, ROW()-COUNTIF($F$6:INDEX($F:$F, ROW()-1), $F284)) : INDEX(W:W, ROW()-1)),
   AVERAGEIFS(
     INDEX((unit_details[Effective Rent],unit_details[Effective PSF]),0,1,IF($U$3="Chunk Rent",1,2)),
     unit_details[Leased Date],"&gt;="&amp;($AM$2-T$5),
     unit_details[Leased Date],"&lt;"&amp;$AM$2,
     unit_details[Beds],$L285,
     unit_details[Baths],$M285,
     unit_details[Partial Baths],IF(ISNUMBER($N285),$N285,""),
     unit_details[Sqft],$P285,
     unit_details[Property Name],$F285)
 ),"")</f>
        <v/>
      </c>
      <c r="V285" s="27" t="str">
        <f t="shared" si="54"/>
        <v/>
      </c>
      <c r="W285" s="526">
        <f>IFERROR(
  IF($F285="Total",
    SUM(INDEX(W:W, ROW()-COUNTIF($F$6:INDEX($F:$F, ROW()-1), $F284)) : INDEX(W:W, ROW()-1)),
    COUNTIFS(
      unit_details[Leased Date], "&gt;="&amp;($AM$2-T$5),
      unit_details[Leased Date], "&lt;"&amp;$AM$2,
      unit_details[Beds], $L285,
      unit_details[Baths], $M285,
      unit_details[Partial Baths], IF(ISNUMBER($N285), $N285, ""),
      unit_details[Sqft],$P285,
      unit_details[Property Name], $F285
    )
  ),
"")</f>
        <v>0</v>
      </c>
      <c r="X285" s="531" t="str">
        <f>IFERROR(
 IF($F285="Total",
   SUMPRODUCT(
   INDEX(X:X, ROW()-COUNTIF($F$6:INDEX($F:$F, ROW()-1), $F284)) : INDEX(X:X, ROW()-1),
   INDEX(AA:AA, ROW()-COUNTIF($F$6:INDEX($F:$F, ROW()-1), $F284)) : INDEX(AA:AA, ROW()-1)
   )
   /SUM(INDEX(AA:AA, ROW()-COUNTIF($F$6:INDEX($F:$F, ROW()-1), $F284)) : INDEX(AA:AA, ROW()-1)),
   AVERAGEIFS(
     INDEX((unit_details[Asking Rent],unit_details[Asking PSF]),0,1,IF($U$3="Chunk Rent",1,2)),
     unit_details[Leased Date],"&gt;="&amp;($AM$2-X$5),
     unit_details[Leased Date],"&lt;"&amp;$AM$2,
     unit_details[Beds],$L285,
     unit_details[Baths],$M285,
     unit_details[Partial Baths],IF(ISNUMBER($N285),$N285,""),
     unit_details[Sqft],$P285,
     unit_details[Property Name],$F285)
 ),"")</f>
        <v/>
      </c>
      <c r="Y285" s="552" t="str">
        <f>IFERROR(
 IF($F285="Total",
   SUMPRODUCT(
   INDEX(Y:Y, ROW()-COUNTIF($F$6:INDEX($F:$F, ROW()-1), $F284)) : INDEX(Y:Y, ROW()-1),
   INDEX(AA:AA, ROW()-COUNTIF($F$6:INDEX($F:$F, ROW()-1), $F284)) : INDEX(AA:AA, ROW()-1)
   )
   /SUM(INDEX(AA:AA, ROW()-COUNTIF($F$6:INDEX($F:$F, ROW()-1), $F284)) : INDEX(AA:AA, ROW()-1)),
   AVERAGEIFS(
     INDEX((unit_details[Effective Rent],unit_details[Effective PSF]),0,1,IF($U$3="Chunk Rent",1,2)),
     unit_details[Leased Date],"&gt;="&amp;($AM$2-X$5),
     unit_details[Leased Date],"&lt;"&amp;$AM$2,
     unit_details[Beds],$L285,
     unit_details[Baths],$M285,
     unit_details[Partial Baths],IF(ISNUMBER($N285),$N285,""),
     unit_details[Sqft],$P285,
     unit_details[Property Name],$F285)
 ),"")</f>
        <v/>
      </c>
      <c r="Z285" s="27" t="str">
        <f t="shared" si="55"/>
        <v/>
      </c>
      <c r="AA285" s="526">
        <f>IFERROR(
  IF($F285="Total",
    SUM(INDEX(AA:AA, ROW()-COUNTIF($F$6:INDEX($F:$F, ROW()-1), $F284)) : INDEX(AA:AA, ROW()-1)),
    COUNTIFS(
      unit_details[Leased Date], "&gt;="&amp;($AM$2-X$5),
      unit_details[Leased Date], "&lt;"&amp;$AM$2,
      unit_details[Beds], $L285,
      unit_details[Baths], $M285,
      unit_details[Partial Baths], IF(ISNUMBER($N285), $N285, ""),
      unit_details[Sqft],$P285,
      unit_details[Property Name], $F285
    )
  ),
"")</f>
        <v>0</v>
      </c>
      <c r="AB285" s="290">
        <f>IF($F285="Total",
SUM(INDEX(AB:AB, ROW()-COUNTIF($F$6:INDEX($F:$F, ROW()-1), $F284)) : INDEX(AB:AB, ROW()-1)),
COUNTIFS(unit_details[Active Listing?],TRUE,
          unit_details[Property Name], $F285,
          unit_details[Beds], $L285,
          unit_details[Baths], $M285,
          unit_details[Partial Baths],IF(ISNUMBER($N285),$N285,""),
          unit_details[Sqft],$P285))</f>
        <v>0</v>
      </c>
      <c r="AC285" s="27" t="str">
        <f t="shared" si="47"/>
        <v/>
      </c>
      <c r="AD285" s="293" t="str">
        <f>IFERROR(IF(AE285="","",IF($F285="Total",
SUMPRODUCT(
   INDEX(AD:AD, ROW()-COUNTIF($F$6:INDEX($F:$F, ROW()-1), $F284)) : INDEX(AD:AD, ROW()-1),
   INDEX(AB:AB, ROW()-COUNTIF($F$6:INDEX($F:$F, ROW()-1), $F284)) : INDEX(AB:AB, ROW()-1)
   )
   /SUM(INDEX(AB:AB, ROW()-COUNTIF($F$6:INDEX($F:$F, ROW()-1), $F284)) : INDEX(AB:AB, ROW()-1)),
          _xlfn.MINIFS(unit_details[Asking Rent],
          unit_details[Active Listing?],TRUE,
          unit_details[Property Name], $F285,
          unit_details[Beds], $L285,
          unit_details[Baths], $M285,
          unit_details[Partial Baths], IF(ISNUMBER($N285),$N285,""),
          unit_details[Sqft],$P285
))),"")</f>
        <v/>
      </c>
      <c r="AE285" s="5" t="str">
        <f>IFERROR(IF($F285="Total",
          SUMPRODUCT(
   INDEX(AE:AE, ROW()-COUNTIF($F$6:INDEX($F:$F, ROW()-1), $F284)) : INDEX(AE:AE, ROW()-1),
   INDEX(AB:AB, ROW()-COUNTIF($F$6:INDEX($F:$F, ROW()-1), $F284)) : INDEX(AB:AB, ROW()-1)
   )
   /SUM(INDEX(AB:AB, ROW()-COUNTIF($F$6:INDEX($F:$F, ROW()-1), $F284)) : INDEX(AB:AB, ROW()-1)),
          AVERAGEIFS(unit_details[Asking Rent],
          unit_details[Active Listing?],TRUE,
          unit_details[Property Name], $F285,
          unit_details[Beds], $L285,
          unit_details[Baths], $M285,
          unit_details[Partial Baths], IF(ISNUMBER($N285),$N285,""),
          unit_details[Sqft],$P285
)),"")</f>
        <v/>
      </c>
      <c r="AF285" s="5" t="str">
        <f>IFERROR(IF(AE285="","",IF($F285="Total",
SUMPRODUCT(
   INDEX(AF:AF, ROW()-COUNTIF($F$6:INDEX($F:$F, ROW()-1), $F284)) : INDEX(AF:AF, ROW()-1),
   INDEX(AB:AB, ROW()-COUNTIF($F$6:INDEX($F:$F, ROW()-1), $F284)) : INDEX(AB:AB, ROW()-1)
   )
   /SUM(INDEX(AB:AB, ROW()-COUNTIF($F$6:INDEX($F:$F, ROW()-1), $F284)) : INDEX(AB:AB, ROW()-1)),
           _xlfn.MAXIFS(unit_details[Asking Rent],
          unit_details[Active Listing?],TRUE,
          unit_details[Property Name], $F285,
          unit_details[Beds], $L285,
          unit_details[Baths], $M285,
          unit_details[Partial Baths], IF(ISNUMBER($N285),$N285,""),
          unit_details[Sqft],$P285
))),"")</f>
        <v/>
      </c>
      <c r="AG285" s="6" t="str">
        <f>IFERROR(IF($F285="Total",
         SUMPRODUCT(
         INDEX(AG:AG, ROW()-COUNTIF($F$6:INDEX($F:$F, ROW()-1), $F284)) : INDEX(AG:AG, ROW()-1),
         INDEX(AB:AB, ROW()-COUNTIF($F$6:INDEX($F:$F, ROW()-1), $F284)) : INDEX(AB:AB, ROW()-1)
         )
         /SUM(INDEX(AB:AB, ROW()-COUNTIF($F$6:INDEX($F:$F, ROW()-1), $F284)) : INDEX(AB:AB, ROW()-1)),
          AVERAGEIFS(unit_details[Asking PSF],
          unit_details[Active Listing?],TRUE,
          unit_details[Property Name], $F285,
          unit_details[Beds], $L285,
          unit_details[Baths], $M285,
          unit_details[Partial Baths], IF(ISNUMBER($N285),$N285,""),
          unit_details[Sqft],$P285
)),"")</f>
        <v/>
      </c>
      <c r="AH285" s="293" t="str">
        <f>IFERROR(IF($F285="Total",
         SUMPRODUCT(
         INDEX(AH:AH, ROW()-COUNTIF($F$6:INDEX($F:$F, ROW()-1), $F284)) : INDEX(AH:AH, ROW()-1),
         INDEX(AB:AB, ROW()-COUNTIF($F$6:INDEX($F:$F, ROW()-1), $F284)) : INDEX(AB:AB, ROW()-1)
         )
         /SUM(INDEX(AB:AB, ROW()-COUNTIF($F$6:INDEX($F:$F, ROW()-1), $F284)) : INDEX(AB:AB, ROW()-1)),
          AVERAGEIFS(unit_details[Effective Rent],
          unit_details[Active Listing?],TRUE,
          unit_details[Property Name], $F285,
          unit_details[Beds], $L285,
          unit_details[Baths], $M285,
          unit_details[Partial Baths], IF(ISNUMBER($N285),$N285,""),
          unit_details[Sqft],$P285
)),"")</f>
        <v/>
      </c>
      <c r="AI285" s="6" t="str">
        <f>IFERROR(IF($F285="Total",
         SUMPRODUCT(
         INDEX(AI:AI, ROW()-COUNTIF($F$6:INDEX($F:$F, ROW()-1), $F284)) : INDEX(AI:AI, ROW()-1),
         INDEX(AB:AB, ROW()-COUNTIF($F$6:INDEX($F:$F, ROW()-1), $F284)) : INDEX(AB:AB, ROW()-1)
         )
         /SUM(INDEX(AB:AB, ROW()-COUNTIF($F$6:INDEX($F:$F, ROW()-1), $F284)) : INDEX(AB:AB, ROW()-1)),
           AVERAGEIFS(unit_details[Effective PSF],
          unit_details[Active Listing?],TRUE,
          unit_details[Property Name], $F285,
          unit_details[Beds], $L285,
          unit_details[Baths], $M285,
          unit_details[Partial Baths], IF(ISNUMBER($N285),$N285,""),
          unit_details[Sqft],$P285
)),"")</f>
        <v/>
      </c>
      <c r="AJ285" s="824" t="str">
        <f t="shared" si="48"/>
        <v/>
      </c>
      <c r="AK285" s="531" t="str">
        <f t="shared" si="49"/>
        <v/>
      </c>
      <c r="AL285" s="714" t="str">
        <f t="shared" si="50"/>
        <v/>
      </c>
      <c r="AM285" s="531" t="str">
        <f t="shared" si="51"/>
        <v/>
      </c>
      <c r="AN285" s="716" t="str">
        <f t="shared" si="52"/>
        <v/>
      </c>
    </row>
    <row r="286" spans="6:40" x14ac:dyDescent="0.2">
      <c r="F286" s="1" t="str">
        <f t="shared" si="45"/>
        <v/>
      </c>
      <c r="G286" s="713" t="str">
        <f t="shared" si="53"/>
        <v/>
      </c>
      <c r="H286" s="17" t="str">
        <f>IFERROR(VLOOKUP($G286,Table1[[Property]:[Exposure %]],4,0),"")</f>
        <v/>
      </c>
      <c r="I286" s="3" t="str">
        <f>IFERROR(VLOOKUP($G286,Table1[[Property]:[Exposure %]],6,0),"")</f>
        <v/>
      </c>
      <c r="J286" s="3" t="str">
        <f>IFERROR(VLOOKUP($G286,Table1[[Property]:[Exposure %]],7,0),"")</f>
        <v/>
      </c>
      <c r="K286"/>
      <c r="L286"/>
      <c r="M286"/>
      <c r="N286"/>
      <c r="O286"/>
      <c r="P286"/>
      <c r="Q286"/>
      <c r="R286" s="4" t="str">
        <f>IFERROR(VLOOKUP(IF(F286="Total",F285,F286),Table1[[Property]:['# Units]],7,0)*S286,"")</f>
        <v/>
      </c>
      <c r="S286" s="27" t="str">
        <f t="shared" si="46"/>
        <v/>
      </c>
      <c r="T286" s="531" t="str">
        <f>IFERROR(
 IF($F286="Total",
   SUMPRODUCT(
   INDEX(T:T, ROW()-COUNTIF($F$6:INDEX($F:$F, ROW()-1), $F285)) : INDEX(T:T, ROW()-1),
   INDEX(W:W, ROW()-COUNTIF($F$6:INDEX($F:$F, ROW()-1), $F285)) : INDEX(W:W, ROW()-1)
   )
   /SUM(INDEX(W:W, ROW()-COUNTIF($F$6:INDEX($F:$F, ROW()-1), $F285)) : INDEX(W:W, ROW()-1)),
   AVERAGEIFS(
     INDEX((unit_details[Asking Rent],unit_details[Asking PSF]),0,1,IF($U$3="Chunk Rent",1,2)),
     unit_details[Leased Date],"&gt;="&amp;($AM$2-T$5),
     unit_details[Leased Date],"&lt;"&amp;$AM$2,
     unit_details[Beds],$L286,
     unit_details[Baths],$M286,
     unit_details[Partial Baths],IF(ISNUMBER($N286),$N286,""),
     unit_details[Sqft],$P286,
     unit_details[Property Name],$F286)
 ),"")</f>
        <v/>
      </c>
      <c r="U286" s="552" t="str">
        <f>IFERROR(
 IF($F286="Total",
   SUMPRODUCT(
   INDEX(U:U, ROW()-COUNTIF($F$6:INDEX($F:$F, ROW()-1), $F285)) : INDEX(U:U, ROW()-1),
   INDEX(W:W, ROW()-COUNTIF($F$6:INDEX($F:$F, ROW()-1), $F285)) : INDEX(W:W, ROW()-1)
   )
   /SUM(INDEX(W:W, ROW()-COUNTIF($F$6:INDEX($F:$F, ROW()-1), $F285)) : INDEX(W:W, ROW()-1)),
   AVERAGEIFS(
     INDEX((unit_details[Effective Rent],unit_details[Effective PSF]),0,1,IF($U$3="Chunk Rent",1,2)),
     unit_details[Leased Date],"&gt;="&amp;($AM$2-T$5),
     unit_details[Leased Date],"&lt;"&amp;$AM$2,
     unit_details[Beds],$L286,
     unit_details[Baths],$M286,
     unit_details[Partial Baths],IF(ISNUMBER($N286),$N286,""),
     unit_details[Sqft],$P286,
     unit_details[Property Name],$F286)
 ),"")</f>
        <v/>
      </c>
      <c r="V286" s="27" t="str">
        <f t="shared" si="54"/>
        <v/>
      </c>
      <c r="W286" s="526">
        <f>IFERROR(
  IF($F286="Total",
    SUM(INDEX(W:W, ROW()-COUNTIF($F$6:INDEX($F:$F, ROW()-1), $F285)) : INDEX(W:W, ROW()-1)),
    COUNTIFS(
      unit_details[Leased Date], "&gt;="&amp;($AM$2-T$5),
      unit_details[Leased Date], "&lt;"&amp;$AM$2,
      unit_details[Beds], $L286,
      unit_details[Baths], $M286,
      unit_details[Partial Baths], IF(ISNUMBER($N286), $N286, ""),
      unit_details[Sqft],$P286,
      unit_details[Property Name], $F286
    )
  ),
"")</f>
        <v>0</v>
      </c>
      <c r="X286" s="531" t="str">
        <f>IFERROR(
 IF($F286="Total",
   SUMPRODUCT(
   INDEX(X:X, ROW()-COUNTIF($F$6:INDEX($F:$F, ROW()-1), $F285)) : INDEX(X:X, ROW()-1),
   INDEX(AA:AA, ROW()-COUNTIF($F$6:INDEX($F:$F, ROW()-1), $F285)) : INDEX(AA:AA, ROW()-1)
   )
   /SUM(INDEX(AA:AA, ROW()-COUNTIF($F$6:INDEX($F:$F, ROW()-1), $F285)) : INDEX(AA:AA, ROW()-1)),
   AVERAGEIFS(
     INDEX((unit_details[Asking Rent],unit_details[Asking PSF]),0,1,IF($U$3="Chunk Rent",1,2)),
     unit_details[Leased Date],"&gt;="&amp;($AM$2-X$5),
     unit_details[Leased Date],"&lt;"&amp;$AM$2,
     unit_details[Beds],$L286,
     unit_details[Baths],$M286,
     unit_details[Partial Baths],IF(ISNUMBER($N286),$N286,""),
     unit_details[Sqft],$P286,
     unit_details[Property Name],$F286)
 ),"")</f>
        <v/>
      </c>
      <c r="Y286" s="552" t="str">
        <f>IFERROR(
 IF($F286="Total",
   SUMPRODUCT(
   INDEX(Y:Y, ROW()-COUNTIF($F$6:INDEX($F:$F, ROW()-1), $F285)) : INDEX(Y:Y, ROW()-1),
   INDEX(AA:AA, ROW()-COUNTIF($F$6:INDEX($F:$F, ROW()-1), $F285)) : INDEX(AA:AA, ROW()-1)
   )
   /SUM(INDEX(AA:AA, ROW()-COUNTIF($F$6:INDEX($F:$F, ROW()-1), $F285)) : INDEX(AA:AA, ROW()-1)),
   AVERAGEIFS(
     INDEX((unit_details[Effective Rent],unit_details[Effective PSF]),0,1,IF($U$3="Chunk Rent",1,2)),
     unit_details[Leased Date],"&gt;="&amp;($AM$2-X$5),
     unit_details[Leased Date],"&lt;"&amp;$AM$2,
     unit_details[Beds],$L286,
     unit_details[Baths],$M286,
     unit_details[Partial Baths],IF(ISNUMBER($N286),$N286,""),
     unit_details[Sqft],$P286,
     unit_details[Property Name],$F286)
 ),"")</f>
        <v/>
      </c>
      <c r="Z286" s="27" t="str">
        <f t="shared" si="55"/>
        <v/>
      </c>
      <c r="AA286" s="526">
        <f>IFERROR(
  IF($F286="Total",
    SUM(INDEX(AA:AA, ROW()-COUNTIF($F$6:INDEX($F:$F, ROW()-1), $F285)) : INDEX(AA:AA, ROW()-1)),
    COUNTIFS(
      unit_details[Leased Date], "&gt;="&amp;($AM$2-X$5),
      unit_details[Leased Date], "&lt;"&amp;$AM$2,
      unit_details[Beds], $L286,
      unit_details[Baths], $M286,
      unit_details[Partial Baths], IF(ISNUMBER($N286), $N286, ""),
      unit_details[Sqft],$P286,
      unit_details[Property Name], $F286
    )
  ),
"")</f>
        <v>0</v>
      </c>
      <c r="AB286" s="290">
        <f>IF($F286="Total",
SUM(INDEX(AB:AB, ROW()-COUNTIF($F$6:INDEX($F:$F, ROW()-1), $F285)) : INDEX(AB:AB, ROW()-1)),
COUNTIFS(unit_details[Active Listing?],TRUE,
          unit_details[Property Name], $F286,
          unit_details[Beds], $L286,
          unit_details[Baths], $M286,
          unit_details[Partial Baths],IF(ISNUMBER($N286),$N286,""),
          unit_details[Sqft],$P286))</f>
        <v>0</v>
      </c>
      <c r="AC286" s="27" t="str">
        <f t="shared" si="47"/>
        <v/>
      </c>
      <c r="AD286" s="293" t="str">
        <f>IFERROR(IF(AE286="","",IF($F286="Total",
SUMPRODUCT(
   INDEX(AD:AD, ROW()-COUNTIF($F$6:INDEX($F:$F, ROW()-1), $F285)) : INDEX(AD:AD, ROW()-1),
   INDEX(AB:AB, ROW()-COUNTIF($F$6:INDEX($F:$F, ROW()-1), $F285)) : INDEX(AB:AB, ROW()-1)
   )
   /SUM(INDEX(AB:AB, ROW()-COUNTIF($F$6:INDEX($F:$F, ROW()-1), $F285)) : INDEX(AB:AB, ROW()-1)),
          _xlfn.MINIFS(unit_details[Asking Rent],
          unit_details[Active Listing?],TRUE,
          unit_details[Property Name], $F286,
          unit_details[Beds], $L286,
          unit_details[Baths], $M286,
          unit_details[Partial Baths], IF(ISNUMBER($N286),$N286,""),
          unit_details[Sqft],$P286
))),"")</f>
        <v/>
      </c>
      <c r="AE286" s="5" t="str">
        <f>IFERROR(IF($F286="Total",
          SUMPRODUCT(
   INDEX(AE:AE, ROW()-COUNTIF($F$6:INDEX($F:$F, ROW()-1), $F285)) : INDEX(AE:AE, ROW()-1),
   INDEX(AB:AB, ROW()-COUNTIF($F$6:INDEX($F:$F, ROW()-1), $F285)) : INDEX(AB:AB, ROW()-1)
   )
   /SUM(INDEX(AB:AB, ROW()-COUNTIF($F$6:INDEX($F:$F, ROW()-1), $F285)) : INDEX(AB:AB, ROW()-1)),
          AVERAGEIFS(unit_details[Asking Rent],
          unit_details[Active Listing?],TRUE,
          unit_details[Property Name], $F286,
          unit_details[Beds], $L286,
          unit_details[Baths], $M286,
          unit_details[Partial Baths], IF(ISNUMBER($N286),$N286,""),
          unit_details[Sqft],$P286
)),"")</f>
        <v/>
      </c>
      <c r="AF286" s="5" t="str">
        <f>IFERROR(IF(AE286="","",IF($F286="Total",
SUMPRODUCT(
   INDEX(AF:AF, ROW()-COUNTIF($F$6:INDEX($F:$F, ROW()-1), $F285)) : INDEX(AF:AF, ROW()-1),
   INDEX(AB:AB, ROW()-COUNTIF($F$6:INDEX($F:$F, ROW()-1), $F285)) : INDEX(AB:AB, ROW()-1)
   )
   /SUM(INDEX(AB:AB, ROW()-COUNTIF($F$6:INDEX($F:$F, ROW()-1), $F285)) : INDEX(AB:AB, ROW()-1)),
           _xlfn.MAXIFS(unit_details[Asking Rent],
          unit_details[Active Listing?],TRUE,
          unit_details[Property Name], $F286,
          unit_details[Beds], $L286,
          unit_details[Baths], $M286,
          unit_details[Partial Baths], IF(ISNUMBER($N286),$N286,""),
          unit_details[Sqft],$P286
))),"")</f>
        <v/>
      </c>
      <c r="AG286" s="6" t="str">
        <f>IFERROR(IF($F286="Total",
         SUMPRODUCT(
         INDEX(AG:AG, ROW()-COUNTIF($F$6:INDEX($F:$F, ROW()-1), $F285)) : INDEX(AG:AG, ROW()-1),
         INDEX(AB:AB, ROW()-COUNTIF($F$6:INDEX($F:$F, ROW()-1), $F285)) : INDEX(AB:AB, ROW()-1)
         )
         /SUM(INDEX(AB:AB, ROW()-COUNTIF($F$6:INDEX($F:$F, ROW()-1), $F285)) : INDEX(AB:AB, ROW()-1)),
          AVERAGEIFS(unit_details[Asking PSF],
          unit_details[Active Listing?],TRUE,
          unit_details[Property Name], $F286,
          unit_details[Beds], $L286,
          unit_details[Baths], $M286,
          unit_details[Partial Baths], IF(ISNUMBER($N286),$N286,""),
          unit_details[Sqft],$P286
)),"")</f>
        <v/>
      </c>
      <c r="AH286" s="293" t="str">
        <f>IFERROR(IF($F286="Total",
         SUMPRODUCT(
         INDEX(AH:AH, ROW()-COUNTIF($F$6:INDEX($F:$F, ROW()-1), $F285)) : INDEX(AH:AH, ROW()-1),
         INDEX(AB:AB, ROW()-COUNTIF($F$6:INDEX($F:$F, ROW()-1), $F285)) : INDEX(AB:AB, ROW()-1)
         )
         /SUM(INDEX(AB:AB, ROW()-COUNTIF($F$6:INDEX($F:$F, ROW()-1), $F285)) : INDEX(AB:AB, ROW()-1)),
          AVERAGEIFS(unit_details[Effective Rent],
          unit_details[Active Listing?],TRUE,
          unit_details[Property Name], $F286,
          unit_details[Beds], $L286,
          unit_details[Baths], $M286,
          unit_details[Partial Baths], IF(ISNUMBER($N286),$N286,""),
          unit_details[Sqft],$P286
)),"")</f>
        <v/>
      </c>
      <c r="AI286" s="6" t="str">
        <f>IFERROR(IF($F286="Total",
         SUMPRODUCT(
         INDEX(AI:AI, ROW()-COUNTIF($F$6:INDEX($F:$F, ROW()-1), $F285)) : INDEX(AI:AI, ROW()-1),
         INDEX(AB:AB, ROW()-COUNTIF($F$6:INDEX($F:$F, ROW()-1), $F285)) : INDEX(AB:AB, ROW()-1)
         )
         /SUM(INDEX(AB:AB, ROW()-COUNTIF($F$6:INDEX($F:$F, ROW()-1), $F285)) : INDEX(AB:AB, ROW()-1)),
           AVERAGEIFS(unit_details[Effective PSF],
          unit_details[Active Listing?],TRUE,
          unit_details[Property Name], $F286,
          unit_details[Beds], $L286,
          unit_details[Baths], $M286,
          unit_details[Partial Baths], IF(ISNUMBER($N286),$N286,""),
          unit_details[Sqft],$P286
)),"")</f>
        <v/>
      </c>
      <c r="AJ286" s="824" t="str">
        <f t="shared" si="48"/>
        <v/>
      </c>
      <c r="AK286" s="531" t="str">
        <f t="shared" si="49"/>
        <v/>
      </c>
      <c r="AL286" s="714" t="str">
        <f t="shared" si="50"/>
        <v/>
      </c>
      <c r="AM286" s="531" t="str">
        <f t="shared" si="51"/>
        <v/>
      </c>
      <c r="AN286" s="716" t="str">
        <f t="shared" si="52"/>
        <v/>
      </c>
    </row>
    <row r="287" spans="6:40" x14ac:dyDescent="0.2">
      <c r="F287" s="1" t="str">
        <f t="shared" si="45"/>
        <v/>
      </c>
      <c r="G287" s="713" t="str">
        <f t="shared" si="53"/>
        <v/>
      </c>
      <c r="H287" s="17" t="str">
        <f>IFERROR(VLOOKUP($G287,Table1[[Property]:[Exposure %]],4,0),"")</f>
        <v/>
      </c>
      <c r="I287" s="3" t="str">
        <f>IFERROR(VLOOKUP($G287,Table1[[Property]:[Exposure %]],6,0),"")</f>
        <v/>
      </c>
      <c r="J287" s="3" t="str">
        <f>IFERROR(VLOOKUP($G287,Table1[[Property]:[Exposure %]],7,0),"")</f>
        <v/>
      </c>
      <c r="K287"/>
      <c r="L287"/>
      <c r="M287"/>
      <c r="N287"/>
      <c r="O287"/>
      <c r="P287"/>
      <c r="Q287"/>
      <c r="R287" s="4" t="str">
        <f>IFERROR(VLOOKUP(IF(F287="Total",F286,F287),Table1[[Property]:['# Units]],7,0)*S287,"")</f>
        <v/>
      </c>
      <c r="S287" s="27" t="str">
        <f t="shared" si="46"/>
        <v/>
      </c>
      <c r="T287" s="531" t="str">
        <f>IFERROR(
 IF($F287="Total",
   SUMPRODUCT(
   INDEX(T:T, ROW()-COUNTIF($F$6:INDEX($F:$F, ROW()-1), $F286)) : INDEX(T:T, ROW()-1),
   INDEX(W:W, ROW()-COUNTIF($F$6:INDEX($F:$F, ROW()-1), $F286)) : INDEX(W:W, ROW()-1)
   )
   /SUM(INDEX(W:W, ROW()-COUNTIF($F$6:INDEX($F:$F, ROW()-1), $F286)) : INDEX(W:W, ROW()-1)),
   AVERAGEIFS(
     INDEX((unit_details[Asking Rent],unit_details[Asking PSF]),0,1,IF($U$3="Chunk Rent",1,2)),
     unit_details[Leased Date],"&gt;="&amp;($AM$2-T$5),
     unit_details[Leased Date],"&lt;"&amp;$AM$2,
     unit_details[Beds],$L287,
     unit_details[Baths],$M287,
     unit_details[Partial Baths],IF(ISNUMBER($N287),$N287,""),
     unit_details[Sqft],$P287,
     unit_details[Property Name],$F287)
 ),"")</f>
        <v/>
      </c>
      <c r="U287" s="552" t="str">
        <f>IFERROR(
 IF($F287="Total",
   SUMPRODUCT(
   INDEX(U:U, ROW()-COUNTIF($F$6:INDEX($F:$F, ROW()-1), $F286)) : INDEX(U:U, ROW()-1),
   INDEX(W:W, ROW()-COUNTIF($F$6:INDEX($F:$F, ROW()-1), $F286)) : INDEX(W:W, ROW()-1)
   )
   /SUM(INDEX(W:W, ROW()-COUNTIF($F$6:INDEX($F:$F, ROW()-1), $F286)) : INDEX(W:W, ROW()-1)),
   AVERAGEIFS(
     INDEX((unit_details[Effective Rent],unit_details[Effective PSF]),0,1,IF($U$3="Chunk Rent",1,2)),
     unit_details[Leased Date],"&gt;="&amp;($AM$2-T$5),
     unit_details[Leased Date],"&lt;"&amp;$AM$2,
     unit_details[Beds],$L287,
     unit_details[Baths],$M287,
     unit_details[Partial Baths],IF(ISNUMBER($N287),$N287,""),
     unit_details[Sqft],$P287,
     unit_details[Property Name],$F287)
 ),"")</f>
        <v/>
      </c>
      <c r="V287" s="27" t="str">
        <f t="shared" si="54"/>
        <v/>
      </c>
      <c r="W287" s="526">
        <f>IFERROR(
  IF($F287="Total",
    SUM(INDEX(W:W, ROW()-COUNTIF($F$6:INDEX($F:$F, ROW()-1), $F286)) : INDEX(W:W, ROW()-1)),
    COUNTIFS(
      unit_details[Leased Date], "&gt;="&amp;($AM$2-T$5),
      unit_details[Leased Date], "&lt;"&amp;$AM$2,
      unit_details[Beds], $L287,
      unit_details[Baths], $M287,
      unit_details[Partial Baths], IF(ISNUMBER($N287), $N287, ""),
      unit_details[Sqft],$P287,
      unit_details[Property Name], $F287
    )
  ),
"")</f>
        <v>0</v>
      </c>
      <c r="X287" s="531" t="str">
        <f>IFERROR(
 IF($F287="Total",
   SUMPRODUCT(
   INDEX(X:X, ROW()-COUNTIF($F$6:INDEX($F:$F, ROW()-1), $F286)) : INDEX(X:X, ROW()-1),
   INDEX(AA:AA, ROW()-COUNTIF($F$6:INDEX($F:$F, ROW()-1), $F286)) : INDEX(AA:AA, ROW()-1)
   )
   /SUM(INDEX(AA:AA, ROW()-COUNTIF($F$6:INDEX($F:$F, ROW()-1), $F286)) : INDEX(AA:AA, ROW()-1)),
   AVERAGEIFS(
     INDEX((unit_details[Asking Rent],unit_details[Asking PSF]),0,1,IF($U$3="Chunk Rent",1,2)),
     unit_details[Leased Date],"&gt;="&amp;($AM$2-X$5),
     unit_details[Leased Date],"&lt;"&amp;$AM$2,
     unit_details[Beds],$L287,
     unit_details[Baths],$M287,
     unit_details[Partial Baths],IF(ISNUMBER($N287),$N287,""),
     unit_details[Sqft],$P287,
     unit_details[Property Name],$F287)
 ),"")</f>
        <v/>
      </c>
      <c r="Y287" s="552" t="str">
        <f>IFERROR(
 IF($F287="Total",
   SUMPRODUCT(
   INDEX(Y:Y, ROW()-COUNTIF($F$6:INDEX($F:$F, ROW()-1), $F286)) : INDEX(Y:Y, ROW()-1),
   INDEX(AA:AA, ROW()-COUNTIF($F$6:INDEX($F:$F, ROW()-1), $F286)) : INDEX(AA:AA, ROW()-1)
   )
   /SUM(INDEX(AA:AA, ROW()-COUNTIF($F$6:INDEX($F:$F, ROW()-1), $F286)) : INDEX(AA:AA, ROW()-1)),
   AVERAGEIFS(
     INDEX((unit_details[Effective Rent],unit_details[Effective PSF]),0,1,IF($U$3="Chunk Rent",1,2)),
     unit_details[Leased Date],"&gt;="&amp;($AM$2-X$5),
     unit_details[Leased Date],"&lt;"&amp;$AM$2,
     unit_details[Beds],$L287,
     unit_details[Baths],$M287,
     unit_details[Partial Baths],IF(ISNUMBER($N287),$N287,""),
     unit_details[Sqft],$P287,
     unit_details[Property Name],$F287)
 ),"")</f>
        <v/>
      </c>
      <c r="Z287" s="27" t="str">
        <f t="shared" si="55"/>
        <v/>
      </c>
      <c r="AA287" s="526">
        <f>IFERROR(
  IF($F287="Total",
    SUM(INDEX(AA:AA, ROW()-COUNTIF($F$6:INDEX($F:$F, ROW()-1), $F286)) : INDEX(AA:AA, ROW()-1)),
    COUNTIFS(
      unit_details[Leased Date], "&gt;="&amp;($AM$2-X$5),
      unit_details[Leased Date], "&lt;"&amp;$AM$2,
      unit_details[Beds], $L287,
      unit_details[Baths], $M287,
      unit_details[Partial Baths], IF(ISNUMBER($N287), $N287, ""),
      unit_details[Sqft],$P287,
      unit_details[Property Name], $F287
    )
  ),
"")</f>
        <v>0</v>
      </c>
      <c r="AB287" s="290">
        <f>IF($F287="Total",
SUM(INDEX(AB:AB, ROW()-COUNTIF($F$6:INDEX($F:$F, ROW()-1), $F286)) : INDEX(AB:AB, ROW()-1)),
COUNTIFS(unit_details[Active Listing?],TRUE,
          unit_details[Property Name], $F287,
          unit_details[Beds], $L287,
          unit_details[Baths], $M287,
          unit_details[Partial Baths],IF(ISNUMBER($N287),$N287,""),
          unit_details[Sqft],$P287))</f>
        <v>0</v>
      </c>
      <c r="AC287" s="27" t="str">
        <f t="shared" si="47"/>
        <v/>
      </c>
      <c r="AD287" s="293" t="str">
        <f>IFERROR(IF(AE287="","",IF($F287="Total",
SUMPRODUCT(
   INDEX(AD:AD, ROW()-COUNTIF($F$6:INDEX($F:$F, ROW()-1), $F286)) : INDEX(AD:AD, ROW()-1),
   INDEX(AB:AB, ROW()-COUNTIF($F$6:INDEX($F:$F, ROW()-1), $F286)) : INDEX(AB:AB, ROW()-1)
   )
   /SUM(INDEX(AB:AB, ROW()-COUNTIF($F$6:INDEX($F:$F, ROW()-1), $F286)) : INDEX(AB:AB, ROW()-1)),
          _xlfn.MINIFS(unit_details[Asking Rent],
          unit_details[Active Listing?],TRUE,
          unit_details[Property Name], $F287,
          unit_details[Beds], $L287,
          unit_details[Baths], $M287,
          unit_details[Partial Baths], IF(ISNUMBER($N287),$N287,""),
          unit_details[Sqft],$P287
))),"")</f>
        <v/>
      </c>
      <c r="AE287" s="5" t="str">
        <f>IFERROR(IF($F287="Total",
          SUMPRODUCT(
   INDEX(AE:AE, ROW()-COUNTIF($F$6:INDEX($F:$F, ROW()-1), $F286)) : INDEX(AE:AE, ROW()-1),
   INDEX(AB:AB, ROW()-COUNTIF($F$6:INDEX($F:$F, ROW()-1), $F286)) : INDEX(AB:AB, ROW()-1)
   )
   /SUM(INDEX(AB:AB, ROW()-COUNTIF($F$6:INDEX($F:$F, ROW()-1), $F286)) : INDEX(AB:AB, ROW()-1)),
          AVERAGEIFS(unit_details[Asking Rent],
          unit_details[Active Listing?],TRUE,
          unit_details[Property Name], $F287,
          unit_details[Beds], $L287,
          unit_details[Baths], $M287,
          unit_details[Partial Baths], IF(ISNUMBER($N287),$N287,""),
          unit_details[Sqft],$P287
)),"")</f>
        <v/>
      </c>
      <c r="AF287" s="5" t="str">
        <f>IFERROR(IF(AE287="","",IF($F287="Total",
SUMPRODUCT(
   INDEX(AF:AF, ROW()-COUNTIF($F$6:INDEX($F:$F, ROW()-1), $F286)) : INDEX(AF:AF, ROW()-1),
   INDEX(AB:AB, ROW()-COUNTIF($F$6:INDEX($F:$F, ROW()-1), $F286)) : INDEX(AB:AB, ROW()-1)
   )
   /SUM(INDEX(AB:AB, ROW()-COUNTIF($F$6:INDEX($F:$F, ROW()-1), $F286)) : INDEX(AB:AB, ROW()-1)),
           _xlfn.MAXIFS(unit_details[Asking Rent],
          unit_details[Active Listing?],TRUE,
          unit_details[Property Name], $F287,
          unit_details[Beds], $L287,
          unit_details[Baths], $M287,
          unit_details[Partial Baths], IF(ISNUMBER($N287),$N287,""),
          unit_details[Sqft],$P287
))),"")</f>
        <v/>
      </c>
      <c r="AG287" s="6" t="str">
        <f>IFERROR(IF($F287="Total",
         SUMPRODUCT(
         INDEX(AG:AG, ROW()-COUNTIF($F$6:INDEX($F:$F, ROW()-1), $F286)) : INDEX(AG:AG, ROW()-1),
         INDEX(AB:AB, ROW()-COUNTIF($F$6:INDEX($F:$F, ROW()-1), $F286)) : INDEX(AB:AB, ROW()-1)
         )
         /SUM(INDEX(AB:AB, ROW()-COUNTIF($F$6:INDEX($F:$F, ROW()-1), $F286)) : INDEX(AB:AB, ROW()-1)),
          AVERAGEIFS(unit_details[Asking PSF],
          unit_details[Active Listing?],TRUE,
          unit_details[Property Name], $F287,
          unit_details[Beds], $L287,
          unit_details[Baths], $M287,
          unit_details[Partial Baths], IF(ISNUMBER($N287),$N287,""),
          unit_details[Sqft],$P287
)),"")</f>
        <v/>
      </c>
      <c r="AH287" s="293" t="str">
        <f>IFERROR(IF($F287="Total",
         SUMPRODUCT(
         INDEX(AH:AH, ROW()-COUNTIF($F$6:INDEX($F:$F, ROW()-1), $F286)) : INDEX(AH:AH, ROW()-1),
         INDEX(AB:AB, ROW()-COUNTIF($F$6:INDEX($F:$F, ROW()-1), $F286)) : INDEX(AB:AB, ROW()-1)
         )
         /SUM(INDEX(AB:AB, ROW()-COUNTIF($F$6:INDEX($F:$F, ROW()-1), $F286)) : INDEX(AB:AB, ROW()-1)),
          AVERAGEIFS(unit_details[Effective Rent],
          unit_details[Active Listing?],TRUE,
          unit_details[Property Name], $F287,
          unit_details[Beds], $L287,
          unit_details[Baths], $M287,
          unit_details[Partial Baths], IF(ISNUMBER($N287),$N287,""),
          unit_details[Sqft],$P287
)),"")</f>
        <v/>
      </c>
      <c r="AI287" s="6" t="str">
        <f>IFERROR(IF($F287="Total",
         SUMPRODUCT(
         INDEX(AI:AI, ROW()-COUNTIF($F$6:INDEX($F:$F, ROW()-1), $F286)) : INDEX(AI:AI, ROW()-1),
         INDEX(AB:AB, ROW()-COUNTIF($F$6:INDEX($F:$F, ROW()-1), $F286)) : INDEX(AB:AB, ROW()-1)
         )
         /SUM(INDEX(AB:AB, ROW()-COUNTIF($F$6:INDEX($F:$F, ROW()-1), $F286)) : INDEX(AB:AB, ROW()-1)),
           AVERAGEIFS(unit_details[Effective PSF],
          unit_details[Active Listing?],TRUE,
          unit_details[Property Name], $F287,
          unit_details[Beds], $L287,
          unit_details[Baths], $M287,
          unit_details[Partial Baths], IF(ISNUMBER($N287),$N287,""),
          unit_details[Sqft],$P287
)),"")</f>
        <v/>
      </c>
      <c r="AJ287" s="824" t="str">
        <f t="shared" si="48"/>
        <v/>
      </c>
      <c r="AK287" s="531" t="str">
        <f t="shared" si="49"/>
        <v/>
      </c>
      <c r="AL287" s="714" t="str">
        <f t="shared" si="50"/>
        <v/>
      </c>
      <c r="AM287" s="531" t="str">
        <f t="shared" si="51"/>
        <v/>
      </c>
      <c r="AN287" s="716" t="str">
        <f t="shared" si="52"/>
        <v/>
      </c>
    </row>
    <row r="288" spans="6:40" x14ac:dyDescent="0.2">
      <c r="F288" s="1" t="str">
        <f t="shared" si="45"/>
        <v/>
      </c>
      <c r="G288" s="713" t="str">
        <f t="shared" si="53"/>
        <v/>
      </c>
      <c r="H288" s="17" t="str">
        <f>IFERROR(VLOOKUP($G288,Table1[[Property]:[Exposure %]],4,0),"")</f>
        <v/>
      </c>
      <c r="I288" s="3" t="str">
        <f>IFERROR(VLOOKUP($G288,Table1[[Property]:[Exposure %]],6,0),"")</f>
        <v/>
      </c>
      <c r="J288" s="3" t="str">
        <f>IFERROR(VLOOKUP($G288,Table1[[Property]:[Exposure %]],7,0),"")</f>
        <v/>
      </c>
      <c r="K288"/>
      <c r="L288"/>
      <c r="M288"/>
      <c r="N288"/>
      <c r="O288"/>
      <c r="P288"/>
      <c r="Q288"/>
      <c r="R288" s="4" t="str">
        <f>IFERROR(VLOOKUP(IF(F288="Total",F287,F288),Table1[[Property]:['# Units]],7,0)*S288,"")</f>
        <v/>
      </c>
      <c r="S288" s="27" t="str">
        <f t="shared" si="46"/>
        <v/>
      </c>
      <c r="T288" s="531" t="str">
        <f>IFERROR(
 IF($F288="Total",
   SUMPRODUCT(
   INDEX(T:T, ROW()-COUNTIF($F$6:INDEX($F:$F, ROW()-1), $F287)) : INDEX(T:T, ROW()-1),
   INDEX(W:W, ROW()-COUNTIF($F$6:INDEX($F:$F, ROW()-1), $F287)) : INDEX(W:W, ROW()-1)
   )
   /SUM(INDEX(W:W, ROW()-COUNTIF($F$6:INDEX($F:$F, ROW()-1), $F287)) : INDEX(W:W, ROW()-1)),
   AVERAGEIFS(
     INDEX((unit_details[Asking Rent],unit_details[Asking PSF]),0,1,IF($U$3="Chunk Rent",1,2)),
     unit_details[Leased Date],"&gt;="&amp;($AM$2-T$5),
     unit_details[Leased Date],"&lt;"&amp;$AM$2,
     unit_details[Beds],$L288,
     unit_details[Baths],$M288,
     unit_details[Partial Baths],IF(ISNUMBER($N288),$N288,""),
     unit_details[Sqft],$P288,
     unit_details[Property Name],$F288)
 ),"")</f>
        <v/>
      </c>
      <c r="U288" s="552" t="str">
        <f>IFERROR(
 IF($F288="Total",
   SUMPRODUCT(
   INDEX(U:U, ROW()-COUNTIF($F$6:INDEX($F:$F, ROW()-1), $F287)) : INDEX(U:U, ROW()-1),
   INDEX(W:W, ROW()-COUNTIF($F$6:INDEX($F:$F, ROW()-1), $F287)) : INDEX(W:W, ROW()-1)
   )
   /SUM(INDEX(W:W, ROW()-COUNTIF($F$6:INDEX($F:$F, ROW()-1), $F287)) : INDEX(W:W, ROW()-1)),
   AVERAGEIFS(
     INDEX((unit_details[Effective Rent],unit_details[Effective PSF]),0,1,IF($U$3="Chunk Rent",1,2)),
     unit_details[Leased Date],"&gt;="&amp;($AM$2-T$5),
     unit_details[Leased Date],"&lt;"&amp;$AM$2,
     unit_details[Beds],$L288,
     unit_details[Baths],$M288,
     unit_details[Partial Baths],IF(ISNUMBER($N288),$N288,""),
     unit_details[Sqft],$P288,
     unit_details[Property Name],$F288)
 ),"")</f>
        <v/>
      </c>
      <c r="V288" s="27" t="str">
        <f t="shared" si="54"/>
        <v/>
      </c>
      <c r="W288" s="526">
        <f>IFERROR(
  IF($F288="Total",
    SUM(INDEX(W:W, ROW()-COUNTIF($F$6:INDEX($F:$F, ROW()-1), $F287)) : INDEX(W:W, ROW()-1)),
    COUNTIFS(
      unit_details[Leased Date], "&gt;="&amp;($AM$2-T$5),
      unit_details[Leased Date], "&lt;"&amp;$AM$2,
      unit_details[Beds], $L288,
      unit_details[Baths], $M288,
      unit_details[Partial Baths], IF(ISNUMBER($N288), $N288, ""),
      unit_details[Sqft],$P288,
      unit_details[Property Name], $F288
    )
  ),
"")</f>
        <v>0</v>
      </c>
      <c r="X288" s="531" t="str">
        <f>IFERROR(
 IF($F288="Total",
   SUMPRODUCT(
   INDEX(X:X, ROW()-COUNTIF($F$6:INDEX($F:$F, ROW()-1), $F287)) : INDEX(X:X, ROW()-1),
   INDEX(AA:AA, ROW()-COUNTIF($F$6:INDEX($F:$F, ROW()-1), $F287)) : INDEX(AA:AA, ROW()-1)
   )
   /SUM(INDEX(AA:AA, ROW()-COUNTIF($F$6:INDEX($F:$F, ROW()-1), $F287)) : INDEX(AA:AA, ROW()-1)),
   AVERAGEIFS(
     INDEX((unit_details[Asking Rent],unit_details[Asking PSF]),0,1,IF($U$3="Chunk Rent",1,2)),
     unit_details[Leased Date],"&gt;="&amp;($AM$2-X$5),
     unit_details[Leased Date],"&lt;"&amp;$AM$2,
     unit_details[Beds],$L288,
     unit_details[Baths],$M288,
     unit_details[Partial Baths],IF(ISNUMBER($N288),$N288,""),
     unit_details[Sqft],$P288,
     unit_details[Property Name],$F288)
 ),"")</f>
        <v/>
      </c>
      <c r="Y288" s="552" t="str">
        <f>IFERROR(
 IF($F288="Total",
   SUMPRODUCT(
   INDEX(Y:Y, ROW()-COUNTIF($F$6:INDEX($F:$F, ROW()-1), $F287)) : INDEX(Y:Y, ROW()-1),
   INDEX(AA:AA, ROW()-COUNTIF($F$6:INDEX($F:$F, ROW()-1), $F287)) : INDEX(AA:AA, ROW()-1)
   )
   /SUM(INDEX(AA:AA, ROW()-COUNTIF($F$6:INDEX($F:$F, ROW()-1), $F287)) : INDEX(AA:AA, ROW()-1)),
   AVERAGEIFS(
     INDEX((unit_details[Effective Rent],unit_details[Effective PSF]),0,1,IF($U$3="Chunk Rent",1,2)),
     unit_details[Leased Date],"&gt;="&amp;($AM$2-X$5),
     unit_details[Leased Date],"&lt;"&amp;$AM$2,
     unit_details[Beds],$L288,
     unit_details[Baths],$M288,
     unit_details[Partial Baths],IF(ISNUMBER($N288),$N288,""),
     unit_details[Sqft],$P288,
     unit_details[Property Name],$F288)
 ),"")</f>
        <v/>
      </c>
      <c r="Z288" s="27" t="str">
        <f t="shared" si="55"/>
        <v/>
      </c>
      <c r="AA288" s="526">
        <f>IFERROR(
  IF($F288="Total",
    SUM(INDEX(AA:AA, ROW()-COUNTIF($F$6:INDEX($F:$F, ROW()-1), $F287)) : INDEX(AA:AA, ROW()-1)),
    COUNTIFS(
      unit_details[Leased Date], "&gt;="&amp;($AM$2-X$5),
      unit_details[Leased Date], "&lt;"&amp;$AM$2,
      unit_details[Beds], $L288,
      unit_details[Baths], $M288,
      unit_details[Partial Baths], IF(ISNUMBER($N288), $N288, ""),
      unit_details[Sqft],$P288,
      unit_details[Property Name], $F288
    )
  ),
"")</f>
        <v>0</v>
      </c>
      <c r="AB288" s="290">
        <f>IF($F288="Total",
SUM(INDEX(AB:AB, ROW()-COUNTIF($F$6:INDEX($F:$F, ROW()-1), $F287)) : INDEX(AB:AB, ROW()-1)),
COUNTIFS(unit_details[Active Listing?],TRUE,
          unit_details[Property Name], $F288,
          unit_details[Beds], $L288,
          unit_details[Baths], $M288,
          unit_details[Partial Baths],IF(ISNUMBER($N288),$N288,""),
          unit_details[Sqft],$P288))</f>
        <v>0</v>
      </c>
      <c r="AC288" s="27" t="str">
        <f t="shared" si="47"/>
        <v/>
      </c>
      <c r="AD288" s="293" t="str">
        <f>IFERROR(IF(AE288="","",IF($F288="Total",
SUMPRODUCT(
   INDEX(AD:AD, ROW()-COUNTIF($F$6:INDEX($F:$F, ROW()-1), $F287)) : INDEX(AD:AD, ROW()-1),
   INDEX(AB:AB, ROW()-COUNTIF($F$6:INDEX($F:$F, ROW()-1), $F287)) : INDEX(AB:AB, ROW()-1)
   )
   /SUM(INDEX(AB:AB, ROW()-COUNTIF($F$6:INDEX($F:$F, ROW()-1), $F287)) : INDEX(AB:AB, ROW()-1)),
          _xlfn.MINIFS(unit_details[Asking Rent],
          unit_details[Active Listing?],TRUE,
          unit_details[Property Name], $F288,
          unit_details[Beds], $L288,
          unit_details[Baths], $M288,
          unit_details[Partial Baths], IF(ISNUMBER($N288),$N288,""),
          unit_details[Sqft],$P288
))),"")</f>
        <v/>
      </c>
      <c r="AE288" s="5" t="str">
        <f>IFERROR(IF($F288="Total",
          SUMPRODUCT(
   INDEX(AE:AE, ROW()-COUNTIF($F$6:INDEX($F:$F, ROW()-1), $F287)) : INDEX(AE:AE, ROW()-1),
   INDEX(AB:AB, ROW()-COUNTIF($F$6:INDEX($F:$F, ROW()-1), $F287)) : INDEX(AB:AB, ROW()-1)
   )
   /SUM(INDEX(AB:AB, ROW()-COUNTIF($F$6:INDEX($F:$F, ROW()-1), $F287)) : INDEX(AB:AB, ROW()-1)),
          AVERAGEIFS(unit_details[Asking Rent],
          unit_details[Active Listing?],TRUE,
          unit_details[Property Name], $F288,
          unit_details[Beds], $L288,
          unit_details[Baths], $M288,
          unit_details[Partial Baths], IF(ISNUMBER($N288),$N288,""),
          unit_details[Sqft],$P288
)),"")</f>
        <v/>
      </c>
      <c r="AF288" s="5" t="str">
        <f>IFERROR(IF(AE288="","",IF($F288="Total",
SUMPRODUCT(
   INDEX(AF:AF, ROW()-COUNTIF($F$6:INDEX($F:$F, ROW()-1), $F287)) : INDEX(AF:AF, ROW()-1),
   INDEX(AB:AB, ROW()-COUNTIF($F$6:INDEX($F:$F, ROW()-1), $F287)) : INDEX(AB:AB, ROW()-1)
   )
   /SUM(INDEX(AB:AB, ROW()-COUNTIF($F$6:INDEX($F:$F, ROW()-1), $F287)) : INDEX(AB:AB, ROW()-1)),
           _xlfn.MAXIFS(unit_details[Asking Rent],
          unit_details[Active Listing?],TRUE,
          unit_details[Property Name], $F288,
          unit_details[Beds], $L288,
          unit_details[Baths], $M288,
          unit_details[Partial Baths], IF(ISNUMBER($N288),$N288,""),
          unit_details[Sqft],$P288
))),"")</f>
        <v/>
      </c>
      <c r="AG288" s="6" t="str">
        <f>IFERROR(IF($F288="Total",
         SUMPRODUCT(
         INDEX(AG:AG, ROW()-COUNTIF($F$6:INDEX($F:$F, ROW()-1), $F287)) : INDEX(AG:AG, ROW()-1),
         INDEX(AB:AB, ROW()-COUNTIF($F$6:INDEX($F:$F, ROW()-1), $F287)) : INDEX(AB:AB, ROW()-1)
         )
         /SUM(INDEX(AB:AB, ROW()-COUNTIF($F$6:INDEX($F:$F, ROW()-1), $F287)) : INDEX(AB:AB, ROW()-1)),
          AVERAGEIFS(unit_details[Asking PSF],
          unit_details[Active Listing?],TRUE,
          unit_details[Property Name], $F288,
          unit_details[Beds], $L288,
          unit_details[Baths], $M288,
          unit_details[Partial Baths], IF(ISNUMBER($N288),$N288,""),
          unit_details[Sqft],$P288
)),"")</f>
        <v/>
      </c>
      <c r="AH288" s="293" t="str">
        <f>IFERROR(IF($F288="Total",
         SUMPRODUCT(
         INDEX(AH:AH, ROW()-COUNTIF($F$6:INDEX($F:$F, ROW()-1), $F287)) : INDEX(AH:AH, ROW()-1),
         INDEX(AB:AB, ROW()-COUNTIF($F$6:INDEX($F:$F, ROW()-1), $F287)) : INDEX(AB:AB, ROW()-1)
         )
         /SUM(INDEX(AB:AB, ROW()-COUNTIF($F$6:INDEX($F:$F, ROW()-1), $F287)) : INDEX(AB:AB, ROW()-1)),
          AVERAGEIFS(unit_details[Effective Rent],
          unit_details[Active Listing?],TRUE,
          unit_details[Property Name], $F288,
          unit_details[Beds], $L288,
          unit_details[Baths], $M288,
          unit_details[Partial Baths], IF(ISNUMBER($N288),$N288,""),
          unit_details[Sqft],$P288
)),"")</f>
        <v/>
      </c>
      <c r="AI288" s="6" t="str">
        <f>IFERROR(IF($F288="Total",
         SUMPRODUCT(
         INDEX(AI:AI, ROW()-COUNTIF($F$6:INDEX($F:$F, ROW()-1), $F287)) : INDEX(AI:AI, ROW()-1),
         INDEX(AB:AB, ROW()-COUNTIF($F$6:INDEX($F:$F, ROW()-1), $F287)) : INDEX(AB:AB, ROW()-1)
         )
         /SUM(INDEX(AB:AB, ROW()-COUNTIF($F$6:INDEX($F:$F, ROW()-1), $F287)) : INDEX(AB:AB, ROW()-1)),
           AVERAGEIFS(unit_details[Effective PSF],
          unit_details[Active Listing?],TRUE,
          unit_details[Property Name], $F288,
          unit_details[Beds], $L288,
          unit_details[Baths], $M288,
          unit_details[Partial Baths], IF(ISNUMBER($N288),$N288,""),
          unit_details[Sqft],$P288
)),"")</f>
        <v/>
      </c>
      <c r="AJ288" s="824" t="str">
        <f t="shared" si="48"/>
        <v/>
      </c>
      <c r="AK288" s="531" t="str">
        <f t="shared" si="49"/>
        <v/>
      </c>
      <c r="AL288" s="714" t="str">
        <f t="shared" si="50"/>
        <v/>
      </c>
      <c r="AM288" s="531" t="str">
        <f t="shared" si="51"/>
        <v/>
      </c>
      <c r="AN288" s="716" t="str">
        <f t="shared" si="52"/>
        <v/>
      </c>
    </row>
    <row r="289" spans="6:40" x14ac:dyDescent="0.2">
      <c r="F289" s="1" t="str">
        <f t="shared" si="45"/>
        <v/>
      </c>
      <c r="G289" s="713" t="str">
        <f t="shared" si="53"/>
        <v/>
      </c>
      <c r="H289" s="17" t="str">
        <f>IFERROR(VLOOKUP($G289,Table1[[Property]:[Exposure %]],4,0),"")</f>
        <v/>
      </c>
      <c r="I289" s="3" t="str">
        <f>IFERROR(VLOOKUP($G289,Table1[[Property]:[Exposure %]],6,0),"")</f>
        <v/>
      </c>
      <c r="J289" s="3" t="str">
        <f>IFERROR(VLOOKUP($G289,Table1[[Property]:[Exposure %]],7,0),"")</f>
        <v/>
      </c>
      <c r="K289"/>
      <c r="L289"/>
      <c r="M289"/>
      <c r="N289"/>
      <c r="O289"/>
      <c r="P289"/>
      <c r="Q289"/>
      <c r="R289" s="4" t="str">
        <f>IFERROR(VLOOKUP(IF(F289="Total",F288,F289),Table1[[Property]:['# Units]],7,0)*S289,"")</f>
        <v/>
      </c>
      <c r="S289" s="27" t="str">
        <f t="shared" si="46"/>
        <v/>
      </c>
      <c r="T289" s="531" t="str">
        <f>IFERROR(
 IF($F289="Total",
   SUMPRODUCT(
   INDEX(T:T, ROW()-COUNTIF($F$6:INDEX($F:$F, ROW()-1), $F288)) : INDEX(T:T, ROW()-1),
   INDEX(W:W, ROW()-COUNTIF($F$6:INDEX($F:$F, ROW()-1), $F288)) : INDEX(W:W, ROW()-1)
   )
   /SUM(INDEX(W:W, ROW()-COUNTIF($F$6:INDEX($F:$F, ROW()-1), $F288)) : INDEX(W:W, ROW()-1)),
   AVERAGEIFS(
     INDEX((unit_details[Asking Rent],unit_details[Asking PSF]),0,1,IF($U$3="Chunk Rent",1,2)),
     unit_details[Leased Date],"&gt;="&amp;($AM$2-T$5),
     unit_details[Leased Date],"&lt;"&amp;$AM$2,
     unit_details[Beds],$L289,
     unit_details[Baths],$M289,
     unit_details[Partial Baths],IF(ISNUMBER($N289),$N289,""),
     unit_details[Sqft],$P289,
     unit_details[Property Name],$F289)
 ),"")</f>
        <v/>
      </c>
      <c r="U289" s="552" t="str">
        <f>IFERROR(
 IF($F289="Total",
   SUMPRODUCT(
   INDEX(U:U, ROW()-COUNTIF($F$6:INDEX($F:$F, ROW()-1), $F288)) : INDEX(U:U, ROW()-1),
   INDEX(W:W, ROW()-COUNTIF($F$6:INDEX($F:$F, ROW()-1), $F288)) : INDEX(W:W, ROW()-1)
   )
   /SUM(INDEX(W:W, ROW()-COUNTIF($F$6:INDEX($F:$F, ROW()-1), $F288)) : INDEX(W:W, ROW()-1)),
   AVERAGEIFS(
     INDEX((unit_details[Effective Rent],unit_details[Effective PSF]),0,1,IF($U$3="Chunk Rent",1,2)),
     unit_details[Leased Date],"&gt;="&amp;($AM$2-T$5),
     unit_details[Leased Date],"&lt;"&amp;$AM$2,
     unit_details[Beds],$L289,
     unit_details[Baths],$M289,
     unit_details[Partial Baths],IF(ISNUMBER($N289),$N289,""),
     unit_details[Sqft],$P289,
     unit_details[Property Name],$F289)
 ),"")</f>
        <v/>
      </c>
      <c r="V289" s="27" t="str">
        <f t="shared" si="54"/>
        <v/>
      </c>
      <c r="W289" s="526">
        <f>IFERROR(
  IF($F289="Total",
    SUM(INDEX(W:W, ROW()-COUNTIF($F$6:INDEX($F:$F, ROW()-1), $F288)) : INDEX(W:W, ROW()-1)),
    COUNTIFS(
      unit_details[Leased Date], "&gt;="&amp;($AM$2-T$5),
      unit_details[Leased Date], "&lt;"&amp;$AM$2,
      unit_details[Beds], $L289,
      unit_details[Baths], $M289,
      unit_details[Partial Baths], IF(ISNUMBER($N289), $N289, ""),
      unit_details[Sqft],$P289,
      unit_details[Property Name], $F289
    )
  ),
"")</f>
        <v>0</v>
      </c>
      <c r="X289" s="531" t="str">
        <f>IFERROR(
 IF($F289="Total",
   SUMPRODUCT(
   INDEX(X:X, ROW()-COUNTIF($F$6:INDEX($F:$F, ROW()-1), $F288)) : INDEX(X:X, ROW()-1),
   INDEX(AA:AA, ROW()-COUNTIF($F$6:INDEX($F:$F, ROW()-1), $F288)) : INDEX(AA:AA, ROW()-1)
   )
   /SUM(INDEX(AA:AA, ROW()-COUNTIF($F$6:INDEX($F:$F, ROW()-1), $F288)) : INDEX(AA:AA, ROW()-1)),
   AVERAGEIFS(
     INDEX((unit_details[Asking Rent],unit_details[Asking PSF]),0,1,IF($U$3="Chunk Rent",1,2)),
     unit_details[Leased Date],"&gt;="&amp;($AM$2-X$5),
     unit_details[Leased Date],"&lt;"&amp;$AM$2,
     unit_details[Beds],$L289,
     unit_details[Baths],$M289,
     unit_details[Partial Baths],IF(ISNUMBER($N289),$N289,""),
     unit_details[Sqft],$P289,
     unit_details[Property Name],$F289)
 ),"")</f>
        <v/>
      </c>
      <c r="Y289" s="552" t="str">
        <f>IFERROR(
 IF($F289="Total",
   SUMPRODUCT(
   INDEX(Y:Y, ROW()-COUNTIF($F$6:INDEX($F:$F, ROW()-1), $F288)) : INDEX(Y:Y, ROW()-1),
   INDEX(AA:AA, ROW()-COUNTIF($F$6:INDEX($F:$F, ROW()-1), $F288)) : INDEX(AA:AA, ROW()-1)
   )
   /SUM(INDEX(AA:AA, ROW()-COUNTIF($F$6:INDEX($F:$F, ROW()-1), $F288)) : INDEX(AA:AA, ROW()-1)),
   AVERAGEIFS(
     INDEX((unit_details[Effective Rent],unit_details[Effective PSF]),0,1,IF($U$3="Chunk Rent",1,2)),
     unit_details[Leased Date],"&gt;="&amp;($AM$2-X$5),
     unit_details[Leased Date],"&lt;"&amp;$AM$2,
     unit_details[Beds],$L289,
     unit_details[Baths],$M289,
     unit_details[Partial Baths],IF(ISNUMBER($N289),$N289,""),
     unit_details[Sqft],$P289,
     unit_details[Property Name],$F289)
 ),"")</f>
        <v/>
      </c>
      <c r="Z289" s="27" t="str">
        <f t="shared" si="55"/>
        <v/>
      </c>
      <c r="AA289" s="526">
        <f>IFERROR(
  IF($F289="Total",
    SUM(INDEX(AA:AA, ROW()-COUNTIF($F$6:INDEX($F:$F, ROW()-1), $F288)) : INDEX(AA:AA, ROW()-1)),
    COUNTIFS(
      unit_details[Leased Date], "&gt;="&amp;($AM$2-X$5),
      unit_details[Leased Date], "&lt;"&amp;$AM$2,
      unit_details[Beds], $L289,
      unit_details[Baths], $M289,
      unit_details[Partial Baths], IF(ISNUMBER($N289), $N289, ""),
      unit_details[Sqft],$P289,
      unit_details[Property Name], $F289
    )
  ),
"")</f>
        <v>0</v>
      </c>
      <c r="AB289" s="290">
        <f>IF($F289="Total",
SUM(INDEX(AB:AB, ROW()-COUNTIF($F$6:INDEX($F:$F, ROW()-1), $F288)) : INDEX(AB:AB, ROW()-1)),
COUNTIFS(unit_details[Active Listing?],TRUE,
          unit_details[Property Name], $F289,
          unit_details[Beds], $L289,
          unit_details[Baths], $M289,
          unit_details[Partial Baths],IF(ISNUMBER($N289),$N289,""),
          unit_details[Sqft],$P289))</f>
        <v>0</v>
      </c>
      <c r="AC289" s="27" t="str">
        <f t="shared" si="47"/>
        <v/>
      </c>
      <c r="AD289" s="293" t="str">
        <f>IFERROR(IF(AE289="","",IF($F289="Total",
SUMPRODUCT(
   INDEX(AD:AD, ROW()-COUNTIF($F$6:INDEX($F:$F, ROW()-1), $F288)) : INDEX(AD:AD, ROW()-1),
   INDEX(AB:AB, ROW()-COUNTIF($F$6:INDEX($F:$F, ROW()-1), $F288)) : INDEX(AB:AB, ROW()-1)
   )
   /SUM(INDEX(AB:AB, ROW()-COUNTIF($F$6:INDEX($F:$F, ROW()-1), $F288)) : INDEX(AB:AB, ROW()-1)),
          _xlfn.MINIFS(unit_details[Asking Rent],
          unit_details[Active Listing?],TRUE,
          unit_details[Property Name], $F289,
          unit_details[Beds], $L289,
          unit_details[Baths], $M289,
          unit_details[Partial Baths], IF(ISNUMBER($N289),$N289,""),
          unit_details[Sqft],$P289
))),"")</f>
        <v/>
      </c>
      <c r="AE289" s="5" t="str">
        <f>IFERROR(IF($F289="Total",
          SUMPRODUCT(
   INDEX(AE:AE, ROW()-COUNTIF($F$6:INDEX($F:$F, ROW()-1), $F288)) : INDEX(AE:AE, ROW()-1),
   INDEX(AB:AB, ROW()-COUNTIF($F$6:INDEX($F:$F, ROW()-1), $F288)) : INDEX(AB:AB, ROW()-1)
   )
   /SUM(INDEX(AB:AB, ROW()-COUNTIF($F$6:INDEX($F:$F, ROW()-1), $F288)) : INDEX(AB:AB, ROW()-1)),
          AVERAGEIFS(unit_details[Asking Rent],
          unit_details[Active Listing?],TRUE,
          unit_details[Property Name], $F289,
          unit_details[Beds], $L289,
          unit_details[Baths], $M289,
          unit_details[Partial Baths], IF(ISNUMBER($N289),$N289,""),
          unit_details[Sqft],$P289
)),"")</f>
        <v/>
      </c>
      <c r="AF289" s="5" t="str">
        <f>IFERROR(IF(AE289="","",IF($F289="Total",
SUMPRODUCT(
   INDEX(AF:AF, ROW()-COUNTIF($F$6:INDEX($F:$F, ROW()-1), $F288)) : INDEX(AF:AF, ROW()-1),
   INDEX(AB:AB, ROW()-COUNTIF($F$6:INDEX($F:$F, ROW()-1), $F288)) : INDEX(AB:AB, ROW()-1)
   )
   /SUM(INDEX(AB:AB, ROW()-COUNTIF($F$6:INDEX($F:$F, ROW()-1), $F288)) : INDEX(AB:AB, ROW()-1)),
           _xlfn.MAXIFS(unit_details[Asking Rent],
          unit_details[Active Listing?],TRUE,
          unit_details[Property Name], $F289,
          unit_details[Beds], $L289,
          unit_details[Baths], $M289,
          unit_details[Partial Baths], IF(ISNUMBER($N289),$N289,""),
          unit_details[Sqft],$P289
))),"")</f>
        <v/>
      </c>
      <c r="AG289" s="6" t="str">
        <f>IFERROR(IF($F289="Total",
         SUMPRODUCT(
         INDEX(AG:AG, ROW()-COUNTIF($F$6:INDEX($F:$F, ROW()-1), $F288)) : INDEX(AG:AG, ROW()-1),
         INDEX(AB:AB, ROW()-COUNTIF($F$6:INDEX($F:$F, ROW()-1), $F288)) : INDEX(AB:AB, ROW()-1)
         )
         /SUM(INDEX(AB:AB, ROW()-COUNTIF($F$6:INDEX($F:$F, ROW()-1), $F288)) : INDEX(AB:AB, ROW()-1)),
          AVERAGEIFS(unit_details[Asking PSF],
          unit_details[Active Listing?],TRUE,
          unit_details[Property Name], $F289,
          unit_details[Beds], $L289,
          unit_details[Baths], $M289,
          unit_details[Partial Baths], IF(ISNUMBER($N289),$N289,""),
          unit_details[Sqft],$P289
)),"")</f>
        <v/>
      </c>
      <c r="AH289" s="293" t="str">
        <f>IFERROR(IF($F289="Total",
         SUMPRODUCT(
         INDEX(AH:AH, ROW()-COUNTIF($F$6:INDEX($F:$F, ROW()-1), $F288)) : INDEX(AH:AH, ROW()-1),
         INDEX(AB:AB, ROW()-COUNTIF($F$6:INDEX($F:$F, ROW()-1), $F288)) : INDEX(AB:AB, ROW()-1)
         )
         /SUM(INDEX(AB:AB, ROW()-COUNTIF($F$6:INDEX($F:$F, ROW()-1), $F288)) : INDEX(AB:AB, ROW()-1)),
          AVERAGEIFS(unit_details[Effective Rent],
          unit_details[Active Listing?],TRUE,
          unit_details[Property Name], $F289,
          unit_details[Beds], $L289,
          unit_details[Baths], $M289,
          unit_details[Partial Baths], IF(ISNUMBER($N289),$N289,""),
          unit_details[Sqft],$P289
)),"")</f>
        <v/>
      </c>
      <c r="AI289" s="6" t="str">
        <f>IFERROR(IF($F289="Total",
         SUMPRODUCT(
         INDEX(AI:AI, ROW()-COUNTIF($F$6:INDEX($F:$F, ROW()-1), $F288)) : INDEX(AI:AI, ROW()-1),
         INDEX(AB:AB, ROW()-COUNTIF($F$6:INDEX($F:$F, ROW()-1), $F288)) : INDEX(AB:AB, ROW()-1)
         )
         /SUM(INDEX(AB:AB, ROW()-COUNTIF($F$6:INDEX($F:$F, ROW()-1), $F288)) : INDEX(AB:AB, ROW()-1)),
           AVERAGEIFS(unit_details[Effective PSF],
          unit_details[Active Listing?],TRUE,
          unit_details[Property Name], $F289,
          unit_details[Beds], $L289,
          unit_details[Baths], $M289,
          unit_details[Partial Baths], IF(ISNUMBER($N289),$N289,""),
          unit_details[Sqft],$P289
)),"")</f>
        <v/>
      </c>
      <c r="AJ289" s="824" t="str">
        <f t="shared" si="48"/>
        <v/>
      </c>
      <c r="AK289" s="531" t="str">
        <f t="shared" si="49"/>
        <v/>
      </c>
      <c r="AL289" s="714" t="str">
        <f t="shared" si="50"/>
        <v/>
      </c>
      <c r="AM289" s="531" t="str">
        <f t="shared" si="51"/>
        <v/>
      </c>
      <c r="AN289" s="716" t="str">
        <f t="shared" si="52"/>
        <v/>
      </c>
    </row>
    <row r="290" spans="6:40" x14ac:dyDescent="0.2">
      <c r="F290" s="1" t="str">
        <f t="shared" si="45"/>
        <v/>
      </c>
      <c r="G290" s="713" t="str">
        <f t="shared" si="53"/>
        <v/>
      </c>
      <c r="H290" s="17" t="str">
        <f>IFERROR(VLOOKUP($G290,Table1[[Property]:[Exposure %]],4,0),"")</f>
        <v/>
      </c>
      <c r="I290" s="3" t="str">
        <f>IFERROR(VLOOKUP($G290,Table1[[Property]:[Exposure %]],6,0),"")</f>
        <v/>
      </c>
      <c r="J290" s="3" t="str">
        <f>IFERROR(VLOOKUP($G290,Table1[[Property]:[Exposure %]],7,0),"")</f>
        <v/>
      </c>
      <c r="K290"/>
      <c r="L290"/>
      <c r="M290"/>
      <c r="N290"/>
      <c r="O290"/>
      <c r="P290"/>
      <c r="Q290"/>
      <c r="R290" s="4" t="str">
        <f>IFERROR(VLOOKUP(IF(F290="Total",F289,F290),Table1[[Property]:['# Units]],7,0)*S290,"")</f>
        <v/>
      </c>
      <c r="S290" s="27" t="str">
        <f t="shared" si="46"/>
        <v/>
      </c>
      <c r="T290" s="531" t="str">
        <f>IFERROR(
 IF($F290="Total",
   SUMPRODUCT(
   INDEX(T:T, ROW()-COUNTIF($F$6:INDEX($F:$F, ROW()-1), $F289)) : INDEX(T:T, ROW()-1),
   INDEX(W:W, ROW()-COUNTIF($F$6:INDEX($F:$F, ROW()-1), $F289)) : INDEX(W:W, ROW()-1)
   )
   /SUM(INDEX(W:W, ROW()-COUNTIF($F$6:INDEX($F:$F, ROW()-1), $F289)) : INDEX(W:W, ROW()-1)),
   AVERAGEIFS(
     INDEX((unit_details[Asking Rent],unit_details[Asking PSF]),0,1,IF($U$3="Chunk Rent",1,2)),
     unit_details[Leased Date],"&gt;="&amp;($AM$2-T$5),
     unit_details[Leased Date],"&lt;"&amp;$AM$2,
     unit_details[Beds],$L290,
     unit_details[Baths],$M290,
     unit_details[Partial Baths],IF(ISNUMBER($N290),$N290,""),
     unit_details[Sqft],$P290,
     unit_details[Property Name],$F290)
 ),"")</f>
        <v/>
      </c>
      <c r="U290" s="552" t="str">
        <f>IFERROR(
 IF($F290="Total",
   SUMPRODUCT(
   INDEX(U:U, ROW()-COUNTIF($F$6:INDEX($F:$F, ROW()-1), $F289)) : INDEX(U:U, ROW()-1),
   INDEX(W:W, ROW()-COUNTIF($F$6:INDEX($F:$F, ROW()-1), $F289)) : INDEX(W:W, ROW()-1)
   )
   /SUM(INDEX(W:W, ROW()-COUNTIF($F$6:INDEX($F:$F, ROW()-1), $F289)) : INDEX(W:W, ROW()-1)),
   AVERAGEIFS(
     INDEX((unit_details[Effective Rent],unit_details[Effective PSF]),0,1,IF($U$3="Chunk Rent",1,2)),
     unit_details[Leased Date],"&gt;="&amp;($AM$2-T$5),
     unit_details[Leased Date],"&lt;"&amp;$AM$2,
     unit_details[Beds],$L290,
     unit_details[Baths],$M290,
     unit_details[Partial Baths],IF(ISNUMBER($N290),$N290,""),
     unit_details[Sqft],$P290,
     unit_details[Property Name],$F290)
 ),"")</f>
        <v/>
      </c>
      <c r="V290" s="27" t="str">
        <f t="shared" si="54"/>
        <v/>
      </c>
      <c r="W290" s="526">
        <f>IFERROR(
  IF($F290="Total",
    SUM(INDEX(W:W, ROW()-COUNTIF($F$6:INDEX($F:$F, ROW()-1), $F289)) : INDEX(W:W, ROW()-1)),
    COUNTIFS(
      unit_details[Leased Date], "&gt;="&amp;($AM$2-T$5),
      unit_details[Leased Date], "&lt;"&amp;$AM$2,
      unit_details[Beds], $L290,
      unit_details[Baths], $M290,
      unit_details[Partial Baths], IF(ISNUMBER($N290), $N290, ""),
      unit_details[Sqft],$P290,
      unit_details[Property Name], $F290
    )
  ),
"")</f>
        <v>0</v>
      </c>
      <c r="X290" s="531" t="str">
        <f>IFERROR(
 IF($F290="Total",
   SUMPRODUCT(
   INDEX(X:X, ROW()-COUNTIF($F$6:INDEX($F:$F, ROW()-1), $F289)) : INDEX(X:X, ROW()-1),
   INDEX(AA:AA, ROW()-COUNTIF($F$6:INDEX($F:$F, ROW()-1), $F289)) : INDEX(AA:AA, ROW()-1)
   )
   /SUM(INDEX(AA:AA, ROW()-COUNTIF($F$6:INDEX($F:$F, ROW()-1), $F289)) : INDEX(AA:AA, ROW()-1)),
   AVERAGEIFS(
     INDEX((unit_details[Asking Rent],unit_details[Asking PSF]),0,1,IF($U$3="Chunk Rent",1,2)),
     unit_details[Leased Date],"&gt;="&amp;($AM$2-X$5),
     unit_details[Leased Date],"&lt;"&amp;$AM$2,
     unit_details[Beds],$L290,
     unit_details[Baths],$M290,
     unit_details[Partial Baths],IF(ISNUMBER($N290),$N290,""),
     unit_details[Sqft],$P290,
     unit_details[Property Name],$F290)
 ),"")</f>
        <v/>
      </c>
      <c r="Y290" s="552" t="str">
        <f>IFERROR(
 IF($F290="Total",
   SUMPRODUCT(
   INDEX(Y:Y, ROW()-COUNTIF($F$6:INDEX($F:$F, ROW()-1), $F289)) : INDEX(Y:Y, ROW()-1),
   INDEX(AA:AA, ROW()-COUNTIF($F$6:INDEX($F:$F, ROW()-1), $F289)) : INDEX(AA:AA, ROW()-1)
   )
   /SUM(INDEX(AA:AA, ROW()-COUNTIF($F$6:INDEX($F:$F, ROW()-1), $F289)) : INDEX(AA:AA, ROW()-1)),
   AVERAGEIFS(
     INDEX((unit_details[Effective Rent],unit_details[Effective PSF]),0,1,IF($U$3="Chunk Rent",1,2)),
     unit_details[Leased Date],"&gt;="&amp;($AM$2-X$5),
     unit_details[Leased Date],"&lt;"&amp;$AM$2,
     unit_details[Beds],$L290,
     unit_details[Baths],$M290,
     unit_details[Partial Baths],IF(ISNUMBER($N290),$N290,""),
     unit_details[Sqft],$P290,
     unit_details[Property Name],$F290)
 ),"")</f>
        <v/>
      </c>
      <c r="Z290" s="27" t="str">
        <f t="shared" si="55"/>
        <v/>
      </c>
      <c r="AA290" s="526">
        <f>IFERROR(
  IF($F290="Total",
    SUM(INDEX(AA:AA, ROW()-COUNTIF($F$6:INDEX($F:$F, ROW()-1), $F289)) : INDEX(AA:AA, ROW()-1)),
    COUNTIFS(
      unit_details[Leased Date], "&gt;="&amp;($AM$2-X$5),
      unit_details[Leased Date], "&lt;"&amp;$AM$2,
      unit_details[Beds], $L290,
      unit_details[Baths], $M290,
      unit_details[Partial Baths], IF(ISNUMBER($N290), $N290, ""),
      unit_details[Sqft],$P290,
      unit_details[Property Name], $F290
    )
  ),
"")</f>
        <v>0</v>
      </c>
      <c r="AB290" s="290">
        <f>IF($F290="Total",
SUM(INDEX(AB:AB, ROW()-COUNTIF($F$6:INDEX($F:$F, ROW()-1), $F289)) : INDEX(AB:AB, ROW()-1)),
COUNTIFS(unit_details[Active Listing?],TRUE,
          unit_details[Property Name], $F290,
          unit_details[Beds], $L290,
          unit_details[Baths], $M290,
          unit_details[Partial Baths],IF(ISNUMBER($N290),$N290,""),
          unit_details[Sqft],$P290))</f>
        <v>0</v>
      </c>
      <c r="AC290" s="27" t="str">
        <f t="shared" si="47"/>
        <v/>
      </c>
      <c r="AD290" s="293" t="str">
        <f>IFERROR(IF(AE290="","",IF($F290="Total",
SUMPRODUCT(
   INDEX(AD:AD, ROW()-COUNTIF($F$6:INDEX($F:$F, ROW()-1), $F289)) : INDEX(AD:AD, ROW()-1),
   INDEX(AB:AB, ROW()-COUNTIF($F$6:INDEX($F:$F, ROW()-1), $F289)) : INDEX(AB:AB, ROW()-1)
   )
   /SUM(INDEX(AB:AB, ROW()-COUNTIF($F$6:INDEX($F:$F, ROW()-1), $F289)) : INDEX(AB:AB, ROW()-1)),
          _xlfn.MINIFS(unit_details[Asking Rent],
          unit_details[Active Listing?],TRUE,
          unit_details[Property Name], $F290,
          unit_details[Beds], $L290,
          unit_details[Baths], $M290,
          unit_details[Partial Baths], IF(ISNUMBER($N290),$N290,""),
          unit_details[Sqft],$P290
))),"")</f>
        <v/>
      </c>
      <c r="AE290" s="5" t="str">
        <f>IFERROR(IF($F290="Total",
          SUMPRODUCT(
   INDEX(AE:AE, ROW()-COUNTIF($F$6:INDEX($F:$F, ROW()-1), $F289)) : INDEX(AE:AE, ROW()-1),
   INDEX(AB:AB, ROW()-COUNTIF($F$6:INDEX($F:$F, ROW()-1), $F289)) : INDEX(AB:AB, ROW()-1)
   )
   /SUM(INDEX(AB:AB, ROW()-COUNTIF($F$6:INDEX($F:$F, ROW()-1), $F289)) : INDEX(AB:AB, ROW()-1)),
          AVERAGEIFS(unit_details[Asking Rent],
          unit_details[Active Listing?],TRUE,
          unit_details[Property Name], $F290,
          unit_details[Beds], $L290,
          unit_details[Baths], $M290,
          unit_details[Partial Baths], IF(ISNUMBER($N290),$N290,""),
          unit_details[Sqft],$P290
)),"")</f>
        <v/>
      </c>
      <c r="AF290" s="5" t="str">
        <f>IFERROR(IF(AE290="","",IF($F290="Total",
SUMPRODUCT(
   INDEX(AF:AF, ROW()-COUNTIF($F$6:INDEX($F:$F, ROW()-1), $F289)) : INDEX(AF:AF, ROW()-1),
   INDEX(AB:AB, ROW()-COUNTIF($F$6:INDEX($F:$F, ROW()-1), $F289)) : INDEX(AB:AB, ROW()-1)
   )
   /SUM(INDEX(AB:AB, ROW()-COUNTIF($F$6:INDEX($F:$F, ROW()-1), $F289)) : INDEX(AB:AB, ROW()-1)),
           _xlfn.MAXIFS(unit_details[Asking Rent],
          unit_details[Active Listing?],TRUE,
          unit_details[Property Name], $F290,
          unit_details[Beds], $L290,
          unit_details[Baths], $M290,
          unit_details[Partial Baths], IF(ISNUMBER($N290),$N290,""),
          unit_details[Sqft],$P290
))),"")</f>
        <v/>
      </c>
      <c r="AG290" s="6" t="str">
        <f>IFERROR(IF($F290="Total",
         SUMPRODUCT(
         INDEX(AG:AG, ROW()-COUNTIF($F$6:INDEX($F:$F, ROW()-1), $F289)) : INDEX(AG:AG, ROW()-1),
         INDEX(AB:AB, ROW()-COUNTIF($F$6:INDEX($F:$F, ROW()-1), $F289)) : INDEX(AB:AB, ROW()-1)
         )
         /SUM(INDEX(AB:AB, ROW()-COUNTIF($F$6:INDEX($F:$F, ROW()-1), $F289)) : INDEX(AB:AB, ROW()-1)),
          AVERAGEIFS(unit_details[Asking PSF],
          unit_details[Active Listing?],TRUE,
          unit_details[Property Name], $F290,
          unit_details[Beds], $L290,
          unit_details[Baths], $M290,
          unit_details[Partial Baths], IF(ISNUMBER($N290),$N290,""),
          unit_details[Sqft],$P290
)),"")</f>
        <v/>
      </c>
      <c r="AH290" s="293" t="str">
        <f>IFERROR(IF($F290="Total",
         SUMPRODUCT(
         INDEX(AH:AH, ROW()-COUNTIF($F$6:INDEX($F:$F, ROW()-1), $F289)) : INDEX(AH:AH, ROW()-1),
         INDEX(AB:AB, ROW()-COUNTIF($F$6:INDEX($F:$F, ROW()-1), $F289)) : INDEX(AB:AB, ROW()-1)
         )
         /SUM(INDEX(AB:AB, ROW()-COUNTIF($F$6:INDEX($F:$F, ROW()-1), $F289)) : INDEX(AB:AB, ROW()-1)),
          AVERAGEIFS(unit_details[Effective Rent],
          unit_details[Active Listing?],TRUE,
          unit_details[Property Name], $F290,
          unit_details[Beds], $L290,
          unit_details[Baths], $M290,
          unit_details[Partial Baths], IF(ISNUMBER($N290),$N290,""),
          unit_details[Sqft],$P290
)),"")</f>
        <v/>
      </c>
      <c r="AI290" s="6" t="str">
        <f>IFERROR(IF($F290="Total",
         SUMPRODUCT(
         INDEX(AI:AI, ROW()-COUNTIF($F$6:INDEX($F:$F, ROW()-1), $F289)) : INDEX(AI:AI, ROW()-1),
         INDEX(AB:AB, ROW()-COUNTIF($F$6:INDEX($F:$F, ROW()-1), $F289)) : INDEX(AB:AB, ROW()-1)
         )
         /SUM(INDEX(AB:AB, ROW()-COUNTIF($F$6:INDEX($F:$F, ROW()-1), $F289)) : INDEX(AB:AB, ROW()-1)),
           AVERAGEIFS(unit_details[Effective PSF],
          unit_details[Active Listing?],TRUE,
          unit_details[Property Name], $F290,
          unit_details[Beds], $L290,
          unit_details[Baths], $M290,
          unit_details[Partial Baths], IF(ISNUMBER($N290),$N290,""),
          unit_details[Sqft],$P290
)),"")</f>
        <v/>
      </c>
      <c r="AJ290" s="824" t="str">
        <f t="shared" si="48"/>
        <v/>
      </c>
      <c r="AK290" s="531" t="str">
        <f t="shared" si="49"/>
        <v/>
      </c>
      <c r="AL290" s="714" t="str">
        <f t="shared" si="50"/>
        <v/>
      </c>
      <c r="AM290" s="531" t="str">
        <f t="shared" si="51"/>
        <v/>
      </c>
      <c r="AN290" s="716" t="str">
        <f t="shared" si="52"/>
        <v/>
      </c>
    </row>
    <row r="291" spans="6:40" x14ac:dyDescent="0.2">
      <c r="F291" s="1" t="str">
        <f t="shared" si="45"/>
        <v/>
      </c>
      <c r="G291" s="713" t="str">
        <f t="shared" si="53"/>
        <v/>
      </c>
      <c r="H291" s="17" t="str">
        <f>IFERROR(VLOOKUP($G291,Table1[[Property]:[Exposure %]],4,0),"")</f>
        <v/>
      </c>
      <c r="I291" s="3" t="str">
        <f>IFERROR(VLOOKUP($G291,Table1[[Property]:[Exposure %]],6,0),"")</f>
        <v/>
      </c>
      <c r="J291" s="3" t="str">
        <f>IFERROR(VLOOKUP($G291,Table1[[Property]:[Exposure %]],7,0),"")</f>
        <v/>
      </c>
      <c r="K291"/>
      <c r="L291"/>
      <c r="M291"/>
      <c r="N291"/>
      <c r="O291"/>
      <c r="P291"/>
      <c r="Q291"/>
      <c r="R291" s="4" t="str">
        <f>IFERROR(VLOOKUP(IF(F291="Total",F290,F291),Table1[[Property]:['# Units]],7,0)*S291,"")</f>
        <v/>
      </c>
      <c r="S291" s="27" t="str">
        <f t="shared" si="46"/>
        <v/>
      </c>
      <c r="T291" s="531" t="str">
        <f>IFERROR(
 IF($F291="Total",
   SUMPRODUCT(
   INDEX(T:T, ROW()-COUNTIF($F$6:INDEX($F:$F, ROW()-1), $F290)) : INDEX(T:T, ROW()-1),
   INDEX(W:W, ROW()-COUNTIF($F$6:INDEX($F:$F, ROW()-1), $F290)) : INDEX(W:W, ROW()-1)
   )
   /SUM(INDEX(W:W, ROW()-COUNTIF($F$6:INDEX($F:$F, ROW()-1), $F290)) : INDEX(W:W, ROW()-1)),
   AVERAGEIFS(
     INDEX((unit_details[Asking Rent],unit_details[Asking PSF]),0,1,IF($U$3="Chunk Rent",1,2)),
     unit_details[Leased Date],"&gt;="&amp;($AM$2-T$5),
     unit_details[Leased Date],"&lt;"&amp;$AM$2,
     unit_details[Beds],$L291,
     unit_details[Baths],$M291,
     unit_details[Partial Baths],IF(ISNUMBER($N291),$N291,""),
     unit_details[Sqft],$P291,
     unit_details[Property Name],$F291)
 ),"")</f>
        <v/>
      </c>
      <c r="U291" s="552" t="str">
        <f>IFERROR(
 IF($F291="Total",
   SUMPRODUCT(
   INDEX(U:U, ROW()-COUNTIF($F$6:INDEX($F:$F, ROW()-1), $F290)) : INDEX(U:U, ROW()-1),
   INDEX(W:W, ROW()-COUNTIF($F$6:INDEX($F:$F, ROW()-1), $F290)) : INDEX(W:W, ROW()-1)
   )
   /SUM(INDEX(W:W, ROW()-COUNTIF($F$6:INDEX($F:$F, ROW()-1), $F290)) : INDEX(W:W, ROW()-1)),
   AVERAGEIFS(
     INDEX((unit_details[Effective Rent],unit_details[Effective PSF]),0,1,IF($U$3="Chunk Rent",1,2)),
     unit_details[Leased Date],"&gt;="&amp;($AM$2-T$5),
     unit_details[Leased Date],"&lt;"&amp;$AM$2,
     unit_details[Beds],$L291,
     unit_details[Baths],$M291,
     unit_details[Partial Baths],IF(ISNUMBER($N291),$N291,""),
     unit_details[Sqft],$P291,
     unit_details[Property Name],$F291)
 ),"")</f>
        <v/>
      </c>
      <c r="V291" s="27" t="str">
        <f t="shared" si="54"/>
        <v/>
      </c>
      <c r="W291" s="526">
        <f>IFERROR(
  IF($F291="Total",
    SUM(INDEX(W:W, ROW()-COUNTIF($F$6:INDEX($F:$F, ROW()-1), $F290)) : INDEX(W:W, ROW()-1)),
    COUNTIFS(
      unit_details[Leased Date], "&gt;="&amp;($AM$2-T$5),
      unit_details[Leased Date], "&lt;"&amp;$AM$2,
      unit_details[Beds], $L291,
      unit_details[Baths], $M291,
      unit_details[Partial Baths], IF(ISNUMBER($N291), $N291, ""),
      unit_details[Sqft],$P291,
      unit_details[Property Name], $F291
    )
  ),
"")</f>
        <v>0</v>
      </c>
      <c r="X291" s="531" t="str">
        <f>IFERROR(
 IF($F291="Total",
   SUMPRODUCT(
   INDEX(X:X, ROW()-COUNTIF($F$6:INDEX($F:$F, ROW()-1), $F290)) : INDEX(X:X, ROW()-1),
   INDEX(AA:AA, ROW()-COUNTIF($F$6:INDEX($F:$F, ROW()-1), $F290)) : INDEX(AA:AA, ROW()-1)
   )
   /SUM(INDEX(AA:AA, ROW()-COUNTIF($F$6:INDEX($F:$F, ROW()-1), $F290)) : INDEX(AA:AA, ROW()-1)),
   AVERAGEIFS(
     INDEX((unit_details[Asking Rent],unit_details[Asking PSF]),0,1,IF($U$3="Chunk Rent",1,2)),
     unit_details[Leased Date],"&gt;="&amp;($AM$2-X$5),
     unit_details[Leased Date],"&lt;"&amp;$AM$2,
     unit_details[Beds],$L291,
     unit_details[Baths],$M291,
     unit_details[Partial Baths],IF(ISNUMBER($N291),$N291,""),
     unit_details[Sqft],$P291,
     unit_details[Property Name],$F291)
 ),"")</f>
        <v/>
      </c>
      <c r="Y291" s="552" t="str">
        <f>IFERROR(
 IF($F291="Total",
   SUMPRODUCT(
   INDEX(Y:Y, ROW()-COUNTIF($F$6:INDEX($F:$F, ROW()-1), $F290)) : INDEX(Y:Y, ROW()-1),
   INDEX(AA:AA, ROW()-COUNTIF($F$6:INDEX($F:$F, ROW()-1), $F290)) : INDEX(AA:AA, ROW()-1)
   )
   /SUM(INDEX(AA:AA, ROW()-COUNTIF($F$6:INDEX($F:$F, ROW()-1), $F290)) : INDEX(AA:AA, ROW()-1)),
   AVERAGEIFS(
     INDEX((unit_details[Effective Rent],unit_details[Effective PSF]),0,1,IF($U$3="Chunk Rent",1,2)),
     unit_details[Leased Date],"&gt;="&amp;($AM$2-X$5),
     unit_details[Leased Date],"&lt;"&amp;$AM$2,
     unit_details[Beds],$L291,
     unit_details[Baths],$M291,
     unit_details[Partial Baths],IF(ISNUMBER($N291),$N291,""),
     unit_details[Sqft],$P291,
     unit_details[Property Name],$F291)
 ),"")</f>
        <v/>
      </c>
      <c r="Z291" s="27" t="str">
        <f t="shared" si="55"/>
        <v/>
      </c>
      <c r="AA291" s="526">
        <f>IFERROR(
  IF($F291="Total",
    SUM(INDEX(AA:AA, ROW()-COUNTIF($F$6:INDEX($F:$F, ROW()-1), $F290)) : INDEX(AA:AA, ROW()-1)),
    COUNTIFS(
      unit_details[Leased Date], "&gt;="&amp;($AM$2-X$5),
      unit_details[Leased Date], "&lt;"&amp;$AM$2,
      unit_details[Beds], $L291,
      unit_details[Baths], $M291,
      unit_details[Partial Baths], IF(ISNUMBER($N291), $N291, ""),
      unit_details[Sqft],$P291,
      unit_details[Property Name], $F291
    )
  ),
"")</f>
        <v>0</v>
      </c>
      <c r="AB291" s="290">
        <f>IF($F291="Total",
SUM(INDEX(AB:AB, ROW()-COUNTIF($F$6:INDEX($F:$F, ROW()-1), $F290)) : INDEX(AB:AB, ROW()-1)),
COUNTIFS(unit_details[Active Listing?],TRUE,
          unit_details[Property Name], $F291,
          unit_details[Beds], $L291,
          unit_details[Baths], $M291,
          unit_details[Partial Baths],IF(ISNUMBER($N291),$N291,""),
          unit_details[Sqft],$P291))</f>
        <v>0</v>
      </c>
      <c r="AC291" s="27" t="str">
        <f t="shared" si="47"/>
        <v/>
      </c>
      <c r="AD291" s="293" t="str">
        <f>IFERROR(IF(AE291="","",IF($F291="Total",
SUMPRODUCT(
   INDEX(AD:AD, ROW()-COUNTIF($F$6:INDEX($F:$F, ROW()-1), $F290)) : INDEX(AD:AD, ROW()-1),
   INDEX(AB:AB, ROW()-COUNTIF($F$6:INDEX($F:$F, ROW()-1), $F290)) : INDEX(AB:AB, ROW()-1)
   )
   /SUM(INDEX(AB:AB, ROW()-COUNTIF($F$6:INDEX($F:$F, ROW()-1), $F290)) : INDEX(AB:AB, ROW()-1)),
          _xlfn.MINIFS(unit_details[Asking Rent],
          unit_details[Active Listing?],TRUE,
          unit_details[Property Name], $F291,
          unit_details[Beds], $L291,
          unit_details[Baths], $M291,
          unit_details[Partial Baths], IF(ISNUMBER($N291),$N291,""),
          unit_details[Sqft],$P291
))),"")</f>
        <v/>
      </c>
      <c r="AE291" s="5" t="str">
        <f>IFERROR(IF($F291="Total",
          SUMPRODUCT(
   INDEX(AE:AE, ROW()-COUNTIF($F$6:INDEX($F:$F, ROW()-1), $F290)) : INDEX(AE:AE, ROW()-1),
   INDEX(AB:AB, ROW()-COUNTIF($F$6:INDEX($F:$F, ROW()-1), $F290)) : INDEX(AB:AB, ROW()-1)
   )
   /SUM(INDEX(AB:AB, ROW()-COUNTIF($F$6:INDEX($F:$F, ROW()-1), $F290)) : INDEX(AB:AB, ROW()-1)),
          AVERAGEIFS(unit_details[Asking Rent],
          unit_details[Active Listing?],TRUE,
          unit_details[Property Name], $F291,
          unit_details[Beds], $L291,
          unit_details[Baths], $M291,
          unit_details[Partial Baths], IF(ISNUMBER($N291),$N291,""),
          unit_details[Sqft],$P291
)),"")</f>
        <v/>
      </c>
      <c r="AF291" s="5" t="str">
        <f>IFERROR(IF(AE291="","",IF($F291="Total",
SUMPRODUCT(
   INDEX(AF:AF, ROW()-COUNTIF($F$6:INDEX($F:$F, ROW()-1), $F290)) : INDEX(AF:AF, ROW()-1),
   INDEX(AB:AB, ROW()-COUNTIF($F$6:INDEX($F:$F, ROW()-1), $F290)) : INDEX(AB:AB, ROW()-1)
   )
   /SUM(INDEX(AB:AB, ROW()-COUNTIF($F$6:INDEX($F:$F, ROW()-1), $F290)) : INDEX(AB:AB, ROW()-1)),
           _xlfn.MAXIFS(unit_details[Asking Rent],
          unit_details[Active Listing?],TRUE,
          unit_details[Property Name], $F291,
          unit_details[Beds], $L291,
          unit_details[Baths], $M291,
          unit_details[Partial Baths], IF(ISNUMBER($N291),$N291,""),
          unit_details[Sqft],$P291
))),"")</f>
        <v/>
      </c>
      <c r="AG291" s="6" t="str">
        <f>IFERROR(IF($F291="Total",
         SUMPRODUCT(
         INDEX(AG:AG, ROW()-COUNTIF($F$6:INDEX($F:$F, ROW()-1), $F290)) : INDEX(AG:AG, ROW()-1),
         INDEX(AB:AB, ROW()-COUNTIF($F$6:INDEX($F:$F, ROW()-1), $F290)) : INDEX(AB:AB, ROW()-1)
         )
         /SUM(INDEX(AB:AB, ROW()-COUNTIF($F$6:INDEX($F:$F, ROW()-1), $F290)) : INDEX(AB:AB, ROW()-1)),
          AVERAGEIFS(unit_details[Asking PSF],
          unit_details[Active Listing?],TRUE,
          unit_details[Property Name], $F291,
          unit_details[Beds], $L291,
          unit_details[Baths], $M291,
          unit_details[Partial Baths], IF(ISNUMBER($N291),$N291,""),
          unit_details[Sqft],$P291
)),"")</f>
        <v/>
      </c>
      <c r="AH291" s="293" t="str">
        <f>IFERROR(IF($F291="Total",
         SUMPRODUCT(
         INDEX(AH:AH, ROW()-COUNTIF($F$6:INDEX($F:$F, ROW()-1), $F290)) : INDEX(AH:AH, ROW()-1),
         INDEX(AB:AB, ROW()-COUNTIF($F$6:INDEX($F:$F, ROW()-1), $F290)) : INDEX(AB:AB, ROW()-1)
         )
         /SUM(INDEX(AB:AB, ROW()-COUNTIF($F$6:INDEX($F:$F, ROW()-1), $F290)) : INDEX(AB:AB, ROW()-1)),
          AVERAGEIFS(unit_details[Effective Rent],
          unit_details[Active Listing?],TRUE,
          unit_details[Property Name], $F291,
          unit_details[Beds], $L291,
          unit_details[Baths], $M291,
          unit_details[Partial Baths], IF(ISNUMBER($N291),$N291,""),
          unit_details[Sqft],$P291
)),"")</f>
        <v/>
      </c>
      <c r="AI291" s="6" t="str">
        <f>IFERROR(IF($F291="Total",
         SUMPRODUCT(
         INDEX(AI:AI, ROW()-COUNTIF($F$6:INDEX($F:$F, ROW()-1), $F290)) : INDEX(AI:AI, ROW()-1),
         INDEX(AB:AB, ROW()-COUNTIF($F$6:INDEX($F:$F, ROW()-1), $F290)) : INDEX(AB:AB, ROW()-1)
         )
         /SUM(INDEX(AB:AB, ROW()-COUNTIF($F$6:INDEX($F:$F, ROW()-1), $F290)) : INDEX(AB:AB, ROW()-1)),
           AVERAGEIFS(unit_details[Effective PSF],
          unit_details[Active Listing?],TRUE,
          unit_details[Property Name], $F291,
          unit_details[Beds], $L291,
          unit_details[Baths], $M291,
          unit_details[Partial Baths], IF(ISNUMBER($N291),$N291,""),
          unit_details[Sqft],$P291
)),"")</f>
        <v/>
      </c>
      <c r="AJ291" s="824" t="str">
        <f t="shared" si="48"/>
        <v/>
      </c>
      <c r="AK291" s="531" t="str">
        <f t="shared" si="49"/>
        <v/>
      </c>
      <c r="AL291" s="714" t="str">
        <f t="shared" si="50"/>
        <v/>
      </c>
      <c r="AM291" s="531" t="str">
        <f t="shared" si="51"/>
        <v/>
      </c>
      <c r="AN291" s="716" t="str">
        <f t="shared" si="52"/>
        <v/>
      </c>
    </row>
    <row r="292" spans="6:40" x14ac:dyDescent="0.2">
      <c r="F292" s="1" t="str">
        <f t="shared" si="45"/>
        <v/>
      </c>
      <c r="G292" s="713" t="str">
        <f t="shared" si="53"/>
        <v/>
      </c>
      <c r="H292" s="17" t="str">
        <f>IFERROR(VLOOKUP($G292,Table1[[Property]:[Exposure %]],4,0),"")</f>
        <v/>
      </c>
      <c r="I292" s="3" t="str">
        <f>IFERROR(VLOOKUP($G292,Table1[[Property]:[Exposure %]],6,0),"")</f>
        <v/>
      </c>
      <c r="J292" s="3" t="str">
        <f>IFERROR(VLOOKUP($G292,Table1[[Property]:[Exposure %]],7,0),"")</f>
        <v/>
      </c>
      <c r="K292"/>
      <c r="L292"/>
      <c r="M292"/>
      <c r="N292"/>
      <c r="O292"/>
      <c r="P292"/>
      <c r="Q292"/>
      <c r="R292" s="4" t="str">
        <f>IFERROR(VLOOKUP(IF(F292="Total",F291,F292),Table1[[Property]:['# Units]],7,0)*S292,"")</f>
        <v/>
      </c>
      <c r="S292" s="27" t="str">
        <f t="shared" si="46"/>
        <v/>
      </c>
      <c r="T292" s="531" t="str">
        <f>IFERROR(
 IF($F292="Total",
   SUMPRODUCT(
   INDEX(T:T, ROW()-COUNTIF($F$6:INDEX($F:$F, ROW()-1), $F291)) : INDEX(T:T, ROW()-1),
   INDEX(W:W, ROW()-COUNTIF($F$6:INDEX($F:$F, ROW()-1), $F291)) : INDEX(W:W, ROW()-1)
   )
   /SUM(INDEX(W:W, ROW()-COUNTIF($F$6:INDEX($F:$F, ROW()-1), $F291)) : INDEX(W:W, ROW()-1)),
   AVERAGEIFS(
     INDEX((unit_details[Asking Rent],unit_details[Asking PSF]),0,1,IF($U$3="Chunk Rent",1,2)),
     unit_details[Leased Date],"&gt;="&amp;($AM$2-T$5),
     unit_details[Leased Date],"&lt;"&amp;$AM$2,
     unit_details[Beds],$L292,
     unit_details[Baths],$M292,
     unit_details[Partial Baths],IF(ISNUMBER($N292),$N292,""),
     unit_details[Sqft],$P292,
     unit_details[Property Name],$F292)
 ),"")</f>
        <v/>
      </c>
      <c r="U292" s="552" t="str">
        <f>IFERROR(
 IF($F292="Total",
   SUMPRODUCT(
   INDEX(U:U, ROW()-COUNTIF($F$6:INDEX($F:$F, ROW()-1), $F291)) : INDEX(U:U, ROW()-1),
   INDEX(W:W, ROW()-COUNTIF($F$6:INDEX($F:$F, ROW()-1), $F291)) : INDEX(W:W, ROW()-1)
   )
   /SUM(INDEX(W:W, ROW()-COUNTIF($F$6:INDEX($F:$F, ROW()-1), $F291)) : INDEX(W:W, ROW()-1)),
   AVERAGEIFS(
     INDEX((unit_details[Effective Rent],unit_details[Effective PSF]),0,1,IF($U$3="Chunk Rent",1,2)),
     unit_details[Leased Date],"&gt;="&amp;($AM$2-T$5),
     unit_details[Leased Date],"&lt;"&amp;$AM$2,
     unit_details[Beds],$L292,
     unit_details[Baths],$M292,
     unit_details[Partial Baths],IF(ISNUMBER($N292),$N292,""),
     unit_details[Sqft],$P292,
     unit_details[Property Name],$F292)
 ),"")</f>
        <v/>
      </c>
      <c r="V292" s="27" t="str">
        <f t="shared" si="54"/>
        <v/>
      </c>
      <c r="W292" s="526">
        <f>IFERROR(
  IF($F292="Total",
    SUM(INDEX(W:W, ROW()-COUNTIF($F$6:INDEX($F:$F, ROW()-1), $F291)) : INDEX(W:W, ROW()-1)),
    COUNTIFS(
      unit_details[Leased Date], "&gt;="&amp;($AM$2-T$5),
      unit_details[Leased Date], "&lt;"&amp;$AM$2,
      unit_details[Beds], $L292,
      unit_details[Baths], $M292,
      unit_details[Partial Baths], IF(ISNUMBER($N292), $N292, ""),
      unit_details[Sqft],$P292,
      unit_details[Property Name], $F292
    )
  ),
"")</f>
        <v>0</v>
      </c>
      <c r="X292" s="531" t="str">
        <f>IFERROR(
 IF($F292="Total",
   SUMPRODUCT(
   INDEX(X:X, ROW()-COUNTIF($F$6:INDEX($F:$F, ROW()-1), $F291)) : INDEX(X:X, ROW()-1),
   INDEX(AA:AA, ROW()-COUNTIF($F$6:INDEX($F:$F, ROW()-1), $F291)) : INDEX(AA:AA, ROW()-1)
   )
   /SUM(INDEX(AA:AA, ROW()-COUNTIF($F$6:INDEX($F:$F, ROW()-1), $F291)) : INDEX(AA:AA, ROW()-1)),
   AVERAGEIFS(
     INDEX((unit_details[Asking Rent],unit_details[Asking PSF]),0,1,IF($U$3="Chunk Rent",1,2)),
     unit_details[Leased Date],"&gt;="&amp;($AM$2-X$5),
     unit_details[Leased Date],"&lt;"&amp;$AM$2,
     unit_details[Beds],$L292,
     unit_details[Baths],$M292,
     unit_details[Partial Baths],IF(ISNUMBER($N292),$N292,""),
     unit_details[Sqft],$P292,
     unit_details[Property Name],$F292)
 ),"")</f>
        <v/>
      </c>
      <c r="Y292" s="552" t="str">
        <f>IFERROR(
 IF($F292="Total",
   SUMPRODUCT(
   INDEX(Y:Y, ROW()-COUNTIF($F$6:INDEX($F:$F, ROW()-1), $F291)) : INDEX(Y:Y, ROW()-1),
   INDEX(AA:AA, ROW()-COUNTIF($F$6:INDEX($F:$F, ROW()-1), $F291)) : INDEX(AA:AA, ROW()-1)
   )
   /SUM(INDEX(AA:AA, ROW()-COUNTIF($F$6:INDEX($F:$F, ROW()-1), $F291)) : INDEX(AA:AA, ROW()-1)),
   AVERAGEIFS(
     INDEX((unit_details[Effective Rent],unit_details[Effective PSF]),0,1,IF($U$3="Chunk Rent",1,2)),
     unit_details[Leased Date],"&gt;="&amp;($AM$2-X$5),
     unit_details[Leased Date],"&lt;"&amp;$AM$2,
     unit_details[Beds],$L292,
     unit_details[Baths],$M292,
     unit_details[Partial Baths],IF(ISNUMBER($N292),$N292,""),
     unit_details[Sqft],$P292,
     unit_details[Property Name],$F292)
 ),"")</f>
        <v/>
      </c>
      <c r="Z292" s="27" t="str">
        <f t="shared" si="55"/>
        <v/>
      </c>
      <c r="AA292" s="526">
        <f>IFERROR(
  IF($F292="Total",
    SUM(INDEX(AA:AA, ROW()-COUNTIF($F$6:INDEX($F:$F, ROW()-1), $F291)) : INDEX(AA:AA, ROW()-1)),
    COUNTIFS(
      unit_details[Leased Date], "&gt;="&amp;($AM$2-X$5),
      unit_details[Leased Date], "&lt;"&amp;$AM$2,
      unit_details[Beds], $L292,
      unit_details[Baths], $M292,
      unit_details[Partial Baths], IF(ISNUMBER($N292), $N292, ""),
      unit_details[Sqft],$P292,
      unit_details[Property Name], $F292
    )
  ),
"")</f>
        <v>0</v>
      </c>
      <c r="AB292" s="290">
        <f>IF($F292="Total",
SUM(INDEX(AB:AB, ROW()-COUNTIF($F$6:INDEX($F:$F, ROW()-1), $F291)) : INDEX(AB:AB, ROW()-1)),
COUNTIFS(unit_details[Active Listing?],TRUE,
          unit_details[Property Name], $F292,
          unit_details[Beds], $L292,
          unit_details[Baths], $M292,
          unit_details[Partial Baths],IF(ISNUMBER($N292),$N292,""),
          unit_details[Sqft],$P292))</f>
        <v>0</v>
      </c>
      <c r="AC292" s="27" t="str">
        <f t="shared" si="47"/>
        <v/>
      </c>
      <c r="AD292" s="293" t="str">
        <f>IFERROR(IF(AE292="","",IF($F292="Total",
SUMPRODUCT(
   INDEX(AD:AD, ROW()-COUNTIF($F$6:INDEX($F:$F, ROW()-1), $F291)) : INDEX(AD:AD, ROW()-1),
   INDEX(AB:AB, ROW()-COUNTIF($F$6:INDEX($F:$F, ROW()-1), $F291)) : INDEX(AB:AB, ROW()-1)
   )
   /SUM(INDEX(AB:AB, ROW()-COUNTIF($F$6:INDEX($F:$F, ROW()-1), $F291)) : INDEX(AB:AB, ROW()-1)),
          _xlfn.MINIFS(unit_details[Asking Rent],
          unit_details[Active Listing?],TRUE,
          unit_details[Property Name], $F292,
          unit_details[Beds], $L292,
          unit_details[Baths], $M292,
          unit_details[Partial Baths], IF(ISNUMBER($N292),$N292,""),
          unit_details[Sqft],$P292
))),"")</f>
        <v/>
      </c>
      <c r="AE292" s="5" t="str">
        <f>IFERROR(IF($F292="Total",
          SUMPRODUCT(
   INDEX(AE:AE, ROW()-COUNTIF($F$6:INDEX($F:$F, ROW()-1), $F291)) : INDEX(AE:AE, ROW()-1),
   INDEX(AB:AB, ROW()-COUNTIF($F$6:INDEX($F:$F, ROW()-1), $F291)) : INDEX(AB:AB, ROW()-1)
   )
   /SUM(INDEX(AB:AB, ROW()-COUNTIF($F$6:INDEX($F:$F, ROW()-1), $F291)) : INDEX(AB:AB, ROW()-1)),
          AVERAGEIFS(unit_details[Asking Rent],
          unit_details[Active Listing?],TRUE,
          unit_details[Property Name], $F292,
          unit_details[Beds], $L292,
          unit_details[Baths], $M292,
          unit_details[Partial Baths], IF(ISNUMBER($N292),$N292,""),
          unit_details[Sqft],$P292
)),"")</f>
        <v/>
      </c>
      <c r="AF292" s="5" t="str">
        <f>IFERROR(IF(AE292="","",IF($F292="Total",
SUMPRODUCT(
   INDEX(AF:AF, ROW()-COUNTIF($F$6:INDEX($F:$F, ROW()-1), $F291)) : INDEX(AF:AF, ROW()-1),
   INDEX(AB:AB, ROW()-COUNTIF($F$6:INDEX($F:$F, ROW()-1), $F291)) : INDEX(AB:AB, ROW()-1)
   )
   /SUM(INDEX(AB:AB, ROW()-COUNTIF($F$6:INDEX($F:$F, ROW()-1), $F291)) : INDEX(AB:AB, ROW()-1)),
           _xlfn.MAXIFS(unit_details[Asking Rent],
          unit_details[Active Listing?],TRUE,
          unit_details[Property Name], $F292,
          unit_details[Beds], $L292,
          unit_details[Baths], $M292,
          unit_details[Partial Baths], IF(ISNUMBER($N292),$N292,""),
          unit_details[Sqft],$P292
))),"")</f>
        <v/>
      </c>
      <c r="AG292" s="6" t="str">
        <f>IFERROR(IF($F292="Total",
         SUMPRODUCT(
         INDEX(AG:AG, ROW()-COUNTIF($F$6:INDEX($F:$F, ROW()-1), $F291)) : INDEX(AG:AG, ROW()-1),
         INDEX(AB:AB, ROW()-COUNTIF($F$6:INDEX($F:$F, ROW()-1), $F291)) : INDEX(AB:AB, ROW()-1)
         )
         /SUM(INDEX(AB:AB, ROW()-COUNTIF($F$6:INDEX($F:$F, ROW()-1), $F291)) : INDEX(AB:AB, ROW()-1)),
          AVERAGEIFS(unit_details[Asking PSF],
          unit_details[Active Listing?],TRUE,
          unit_details[Property Name], $F292,
          unit_details[Beds], $L292,
          unit_details[Baths], $M292,
          unit_details[Partial Baths], IF(ISNUMBER($N292),$N292,""),
          unit_details[Sqft],$P292
)),"")</f>
        <v/>
      </c>
      <c r="AH292" s="293" t="str">
        <f>IFERROR(IF($F292="Total",
         SUMPRODUCT(
         INDEX(AH:AH, ROW()-COUNTIF($F$6:INDEX($F:$F, ROW()-1), $F291)) : INDEX(AH:AH, ROW()-1),
         INDEX(AB:AB, ROW()-COUNTIF($F$6:INDEX($F:$F, ROW()-1), $F291)) : INDEX(AB:AB, ROW()-1)
         )
         /SUM(INDEX(AB:AB, ROW()-COUNTIF($F$6:INDEX($F:$F, ROW()-1), $F291)) : INDEX(AB:AB, ROW()-1)),
          AVERAGEIFS(unit_details[Effective Rent],
          unit_details[Active Listing?],TRUE,
          unit_details[Property Name], $F292,
          unit_details[Beds], $L292,
          unit_details[Baths], $M292,
          unit_details[Partial Baths], IF(ISNUMBER($N292),$N292,""),
          unit_details[Sqft],$P292
)),"")</f>
        <v/>
      </c>
      <c r="AI292" s="6" t="str">
        <f>IFERROR(IF($F292="Total",
         SUMPRODUCT(
         INDEX(AI:AI, ROW()-COUNTIF($F$6:INDEX($F:$F, ROW()-1), $F291)) : INDEX(AI:AI, ROW()-1),
         INDEX(AB:AB, ROW()-COUNTIF($F$6:INDEX($F:$F, ROW()-1), $F291)) : INDEX(AB:AB, ROW()-1)
         )
         /SUM(INDEX(AB:AB, ROW()-COUNTIF($F$6:INDEX($F:$F, ROW()-1), $F291)) : INDEX(AB:AB, ROW()-1)),
           AVERAGEIFS(unit_details[Effective PSF],
          unit_details[Active Listing?],TRUE,
          unit_details[Property Name], $F292,
          unit_details[Beds], $L292,
          unit_details[Baths], $M292,
          unit_details[Partial Baths], IF(ISNUMBER($N292),$N292,""),
          unit_details[Sqft],$P292
)),"")</f>
        <v/>
      </c>
      <c r="AJ292" s="824" t="str">
        <f t="shared" si="48"/>
        <v/>
      </c>
      <c r="AK292" s="531" t="str">
        <f t="shared" si="49"/>
        <v/>
      </c>
      <c r="AL292" s="714" t="str">
        <f t="shared" si="50"/>
        <v/>
      </c>
      <c r="AM292" s="531" t="str">
        <f t="shared" si="51"/>
        <v/>
      </c>
      <c r="AN292" s="716" t="str">
        <f t="shared" si="52"/>
        <v/>
      </c>
    </row>
    <row r="293" spans="6:40" x14ac:dyDescent="0.2">
      <c r="F293" s="1" t="str">
        <f t="shared" si="45"/>
        <v/>
      </c>
      <c r="G293" s="713" t="str">
        <f t="shared" si="53"/>
        <v/>
      </c>
      <c r="H293" s="17" t="str">
        <f>IFERROR(VLOOKUP($G293,Table1[[Property]:[Exposure %]],4,0),"")</f>
        <v/>
      </c>
      <c r="I293" s="3" t="str">
        <f>IFERROR(VLOOKUP($G293,Table1[[Property]:[Exposure %]],6,0),"")</f>
        <v/>
      </c>
      <c r="J293" s="3" t="str">
        <f>IFERROR(VLOOKUP($G293,Table1[[Property]:[Exposure %]],7,0),"")</f>
        <v/>
      </c>
      <c r="K293"/>
      <c r="L293"/>
      <c r="M293"/>
      <c r="N293"/>
      <c r="O293"/>
      <c r="P293"/>
      <c r="Q293"/>
      <c r="R293" s="4" t="str">
        <f>IFERROR(VLOOKUP(IF(F293="Total",F292,F293),Table1[[Property]:['# Units]],7,0)*S293,"")</f>
        <v/>
      </c>
      <c r="S293" s="27" t="str">
        <f t="shared" si="46"/>
        <v/>
      </c>
      <c r="T293" s="531" t="str">
        <f>IFERROR(
 IF($F293="Total",
   SUMPRODUCT(
   INDEX(T:T, ROW()-COUNTIF($F$6:INDEX($F:$F, ROW()-1), $F292)) : INDEX(T:T, ROW()-1),
   INDEX(W:W, ROW()-COUNTIF($F$6:INDEX($F:$F, ROW()-1), $F292)) : INDEX(W:W, ROW()-1)
   )
   /SUM(INDEX(W:W, ROW()-COUNTIF($F$6:INDEX($F:$F, ROW()-1), $F292)) : INDEX(W:W, ROW()-1)),
   AVERAGEIFS(
     INDEX((unit_details[Asking Rent],unit_details[Asking PSF]),0,1,IF($U$3="Chunk Rent",1,2)),
     unit_details[Leased Date],"&gt;="&amp;($AM$2-T$5),
     unit_details[Leased Date],"&lt;"&amp;$AM$2,
     unit_details[Beds],$L293,
     unit_details[Baths],$M293,
     unit_details[Partial Baths],IF(ISNUMBER($N293),$N293,""),
     unit_details[Sqft],$P293,
     unit_details[Property Name],$F293)
 ),"")</f>
        <v/>
      </c>
      <c r="U293" s="552" t="str">
        <f>IFERROR(
 IF($F293="Total",
   SUMPRODUCT(
   INDEX(U:U, ROW()-COUNTIF($F$6:INDEX($F:$F, ROW()-1), $F292)) : INDEX(U:U, ROW()-1),
   INDEX(W:W, ROW()-COUNTIF($F$6:INDEX($F:$F, ROW()-1), $F292)) : INDEX(W:W, ROW()-1)
   )
   /SUM(INDEX(W:W, ROW()-COUNTIF($F$6:INDEX($F:$F, ROW()-1), $F292)) : INDEX(W:W, ROW()-1)),
   AVERAGEIFS(
     INDEX((unit_details[Effective Rent],unit_details[Effective PSF]),0,1,IF($U$3="Chunk Rent",1,2)),
     unit_details[Leased Date],"&gt;="&amp;($AM$2-T$5),
     unit_details[Leased Date],"&lt;"&amp;$AM$2,
     unit_details[Beds],$L293,
     unit_details[Baths],$M293,
     unit_details[Partial Baths],IF(ISNUMBER($N293),$N293,""),
     unit_details[Sqft],$P293,
     unit_details[Property Name],$F293)
 ),"")</f>
        <v/>
      </c>
      <c r="V293" s="27" t="str">
        <f t="shared" si="54"/>
        <v/>
      </c>
      <c r="W293" s="526">
        <f>IFERROR(
  IF($F293="Total",
    SUM(INDEX(W:W, ROW()-COUNTIF($F$6:INDEX($F:$F, ROW()-1), $F292)) : INDEX(W:W, ROW()-1)),
    COUNTIFS(
      unit_details[Leased Date], "&gt;="&amp;($AM$2-T$5),
      unit_details[Leased Date], "&lt;"&amp;$AM$2,
      unit_details[Beds], $L293,
      unit_details[Baths], $M293,
      unit_details[Partial Baths], IF(ISNUMBER($N293), $N293, ""),
      unit_details[Sqft],$P293,
      unit_details[Property Name], $F293
    )
  ),
"")</f>
        <v>0</v>
      </c>
      <c r="X293" s="531" t="str">
        <f>IFERROR(
 IF($F293="Total",
   SUMPRODUCT(
   INDEX(X:X, ROW()-COUNTIF($F$6:INDEX($F:$F, ROW()-1), $F292)) : INDEX(X:X, ROW()-1),
   INDEX(AA:AA, ROW()-COUNTIF($F$6:INDEX($F:$F, ROW()-1), $F292)) : INDEX(AA:AA, ROW()-1)
   )
   /SUM(INDEX(AA:AA, ROW()-COUNTIF($F$6:INDEX($F:$F, ROW()-1), $F292)) : INDEX(AA:AA, ROW()-1)),
   AVERAGEIFS(
     INDEX((unit_details[Asking Rent],unit_details[Asking PSF]),0,1,IF($U$3="Chunk Rent",1,2)),
     unit_details[Leased Date],"&gt;="&amp;($AM$2-X$5),
     unit_details[Leased Date],"&lt;"&amp;$AM$2,
     unit_details[Beds],$L293,
     unit_details[Baths],$M293,
     unit_details[Partial Baths],IF(ISNUMBER($N293),$N293,""),
     unit_details[Sqft],$P293,
     unit_details[Property Name],$F293)
 ),"")</f>
        <v/>
      </c>
      <c r="Y293" s="552" t="str">
        <f>IFERROR(
 IF($F293="Total",
   SUMPRODUCT(
   INDEX(Y:Y, ROW()-COUNTIF($F$6:INDEX($F:$F, ROW()-1), $F292)) : INDEX(Y:Y, ROW()-1),
   INDEX(AA:AA, ROW()-COUNTIF($F$6:INDEX($F:$F, ROW()-1), $F292)) : INDEX(AA:AA, ROW()-1)
   )
   /SUM(INDEX(AA:AA, ROW()-COUNTIF($F$6:INDEX($F:$F, ROW()-1), $F292)) : INDEX(AA:AA, ROW()-1)),
   AVERAGEIFS(
     INDEX((unit_details[Effective Rent],unit_details[Effective PSF]),0,1,IF($U$3="Chunk Rent",1,2)),
     unit_details[Leased Date],"&gt;="&amp;($AM$2-X$5),
     unit_details[Leased Date],"&lt;"&amp;$AM$2,
     unit_details[Beds],$L293,
     unit_details[Baths],$M293,
     unit_details[Partial Baths],IF(ISNUMBER($N293),$N293,""),
     unit_details[Sqft],$P293,
     unit_details[Property Name],$F293)
 ),"")</f>
        <v/>
      </c>
      <c r="Z293" s="27" t="str">
        <f t="shared" si="55"/>
        <v/>
      </c>
      <c r="AA293" s="526">
        <f>IFERROR(
  IF($F293="Total",
    SUM(INDEX(AA:AA, ROW()-COUNTIF($F$6:INDEX($F:$F, ROW()-1), $F292)) : INDEX(AA:AA, ROW()-1)),
    COUNTIFS(
      unit_details[Leased Date], "&gt;="&amp;($AM$2-X$5),
      unit_details[Leased Date], "&lt;"&amp;$AM$2,
      unit_details[Beds], $L293,
      unit_details[Baths], $M293,
      unit_details[Partial Baths], IF(ISNUMBER($N293), $N293, ""),
      unit_details[Sqft],$P293,
      unit_details[Property Name], $F293
    )
  ),
"")</f>
        <v>0</v>
      </c>
      <c r="AB293" s="290">
        <f>IF($F293="Total",
SUM(INDEX(AB:AB, ROW()-COUNTIF($F$6:INDEX($F:$F, ROW()-1), $F292)) : INDEX(AB:AB, ROW()-1)),
COUNTIFS(unit_details[Active Listing?],TRUE,
          unit_details[Property Name], $F293,
          unit_details[Beds], $L293,
          unit_details[Baths], $M293,
          unit_details[Partial Baths],IF(ISNUMBER($N293),$N293,""),
          unit_details[Sqft],$P293))</f>
        <v>0</v>
      </c>
      <c r="AC293" s="27" t="str">
        <f t="shared" si="47"/>
        <v/>
      </c>
      <c r="AD293" s="293" t="str">
        <f>IFERROR(IF(AE293="","",IF($F293="Total",
SUMPRODUCT(
   INDEX(AD:AD, ROW()-COUNTIF($F$6:INDEX($F:$F, ROW()-1), $F292)) : INDEX(AD:AD, ROW()-1),
   INDEX(AB:AB, ROW()-COUNTIF($F$6:INDEX($F:$F, ROW()-1), $F292)) : INDEX(AB:AB, ROW()-1)
   )
   /SUM(INDEX(AB:AB, ROW()-COUNTIF($F$6:INDEX($F:$F, ROW()-1), $F292)) : INDEX(AB:AB, ROW()-1)),
          _xlfn.MINIFS(unit_details[Asking Rent],
          unit_details[Active Listing?],TRUE,
          unit_details[Property Name], $F293,
          unit_details[Beds], $L293,
          unit_details[Baths], $M293,
          unit_details[Partial Baths], IF(ISNUMBER($N293),$N293,""),
          unit_details[Sqft],$P293
))),"")</f>
        <v/>
      </c>
      <c r="AE293" s="5" t="str">
        <f>IFERROR(IF($F293="Total",
          SUMPRODUCT(
   INDEX(AE:AE, ROW()-COUNTIF($F$6:INDEX($F:$F, ROW()-1), $F292)) : INDEX(AE:AE, ROW()-1),
   INDEX(AB:AB, ROW()-COUNTIF($F$6:INDEX($F:$F, ROW()-1), $F292)) : INDEX(AB:AB, ROW()-1)
   )
   /SUM(INDEX(AB:AB, ROW()-COUNTIF($F$6:INDEX($F:$F, ROW()-1), $F292)) : INDEX(AB:AB, ROW()-1)),
          AVERAGEIFS(unit_details[Asking Rent],
          unit_details[Active Listing?],TRUE,
          unit_details[Property Name], $F293,
          unit_details[Beds], $L293,
          unit_details[Baths], $M293,
          unit_details[Partial Baths], IF(ISNUMBER($N293),$N293,""),
          unit_details[Sqft],$P293
)),"")</f>
        <v/>
      </c>
      <c r="AF293" s="5" t="str">
        <f>IFERROR(IF(AE293="","",IF($F293="Total",
SUMPRODUCT(
   INDEX(AF:AF, ROW()-COUNTIF($F$6:INDEX($F:$F, ROW()-1), $F292)) : INDEX(AF:AF, ROW()-1),
   INDEX(AB:AB, ROW()-COUNTIF($F$6:INDEX($F:$F, ROW()-1), $F292)) : INDEX(AB:AB, ROW()-1)
   )
   /SUM(INDEX(AB:AB, ROW()-COUNTIF($F$6:INDEX($F:$F, ROW()-1), $F292)) : INDEX(AB:AB, ROW()-1)),
           _xlfn.MAXIFS(unit_details[Asking Rent],
          unit_details[Active Listing?],TRUE,
          unit_details[Property Name], $F293,
          unit_details[Beds], $L293,
          unit_details[Baths], $M293,
          unit_details[Partial Baths], IF(ISNUMBER($N293),$N293,""),
          unit_details[Sqft],$P293
))),"")</f>
        <v/>
      </c>
      <c r="AG293" s="6" t="str">
        <f>IFERROR(IF($F293="Total",
         SUMPRODUCT(
         INDEX(AG:AG, ROW()-COUNTIF($F$6:INDEX($F:$F, ROW()-1), $F292)) : INDEX(AG:AG, ROW()-1),
         INDEX(AB:AB, ROW()-COUNTIF($F$6:INDEX($F:$F, ROW()-1), $F292)) : INDEX(AB:AB, ROW()-1)
         )
         /SUM(INDEX(AB:AB, ROW()-COUNTIF($F$6:INDEX($F:$F, ROW()-1), $F292)) : INDEX(AB:AB, ROW()-1)),
          AVERAGEIFS(unit_details[Asking PSF],
          unit_details[Active Listing?],TRUE,
          unit_details[Property Name], $F293,
          unit_details[Beds], $L293,
          unit_details[Baths], $M293,
          unit_details[Partial Baths], IF(ISNUMBER($N293),$N293,""),
          unit_details[Sqft],$P293
)),"")</f>
        <v/>
      </c>
      <c r="AH293" s="293" t="str">
        <f>IFERROR(IF($F293="Total",
         SUMPRODUCT(
         INDEX(AH:AH, ROW()-COUNTIF($F$6:INDEX($F:$F, ROW()-1), $F292)) : INDEX(AH:AH, ROW()-1),
         INDEX(AB:AB, ROW()-COUNTIF($F$6:INDEX($F:$F, ROW()-1), $F292)) : INDEX(AB:AB, ROW()-1)
         )
         /SUM(INDEX(AB:AB, ROW()-COUNTIF($F$6:INDEX($F:$F, ROW()-1), $F292)) : INDEX(AB:AB, ROW()-1)),
          AVERAGEIFS(unit_details[Effective Rent],
          unit_details[Active Listing?],TRUE,
          unit_details[Property Name], $F293,
          unit_details[Beds], $L293,
          unit_details[Baths], $M293,
          unit_details[Partial Baths], IF(ISNUMBER($N293),$N293,""),
          unit_details[Sqft],$P293
)),"")</f>
        <v/>
      </c>
      <c r="AI293" s="6" t="str">
        <f>IFERROR(IF($F293="Total",
         SUMPRODUCT(
         INDEX(AI:AI, ROW()-COUNTIF($F$6:INDEX($F:$F, ROW()-1), $F292)) : INDEX(AI:AI, ROW()-1),
         INDEX(AB:AB, ROW()-COUNTIF($F$6:INDEX($F:$F, ROW()-1), $F292)) : INDEX(AB:AB, ROW()-1)
         )
         /SUM(INDEX(AB:AB, ROW()-COUNTIF($F$6:INDEX($F:$F, ROW()-1), $F292)) : INDEX(AB:AB, ROW()-1)),
           AVERAGEIFS(unit_details[Effective PSF],
          unit_details[Active Listing?],TRUE,
          unit_details[Property Name], $F293,
          unit_details[Beds], $L293,
          unit_details[Baths], $M293,
          unit_details[Partial Baths], IF(ISNUMBER($N293),$N293,""),
          unit_details[Sqft],$P293
)),"")</f>
        <v/>
      </c>
      <c r="AJ293" s="824" t="str">
        <f t="shared" si="48"/>
        <v/>
      </c>
      <c r="AK293" s="531" t="str">
        <f t="shared" si="49"/>
        <v/>
      </c>
      <c r="AL293" s="714" t="str">
        <f t="shared" si="50"/>
        <v/>
      </c>
      <c r="AM293" s="531" t="str">
        <f t="shared" si="51"/>
        <v/>
      </c>
      <c r="AN293" s="716" t="str">
        <f t="shared" si="52"/>
        <v/>
      </c>
    </row>
    <row r="294" spans="6:40" x14ac:dyDescent="0.2">
      <c r="F294" s="1" t="str">
        <f t="shared" si="45"/>
        <v/>
      </c>
      <c r="G294" s="713" t="str">
        <f t="shared" si="53"/>
        <v/>
      </c>
      <c r="H294" s="17" t="str">
        <f>IFERROR(VLOOKUP($G294,Table1[[Property]:[Exposure %]],4,0),"")</f>
        <v/>
      </c>
      <c r="I294" s="3" t="str">
        <f>IFERROR(VLOOKUP($G294,Table1[[Property]:[Exposure %]],6,0),"")</f>
        <v/>
      </c>
      <c r="J294" s="3" t="str">
        <f>IFERROR(VLOOKUP($G294,Table1[[Property]:[Exposure %]],7,0),"")</f>
        <v/>
      </c>
      <c r="K294"/>
      <c r="L294"/>
      <c r="M294"/>
      <c r="N294"/>
      <c r="O294"/>
      <c r="P294"/>
      <c r="Q294"/>
      <c r="R294" s="4" t="str">
        <f>IFERROR(VLOOKUP(IF(F294="Total",F293,F294),Table1[[Property]:['# Units]],7,0)*S294,"")</f>
        <v/>
      </c>
      <c r="S294" s="27" t="str">
        <f t="shared" si="46"/>
        <v/>
      </c>
      <c r="T294" s="531" t="str">
        <f>IFERROR(
 IF($F294="Total",
   SUMPRODUCT(
   INDEX(T:T, ROW()-COUNTIF($F$6:INDEX($F:$F, ROW()-1), $F293)) : INDEX(T:T, ROW()-1),
   INDEX(W:W, ROW()-COUNTIF($F$6:INDEX($F:$F, ROW()-1), $F293)) : INDEX(W:W, ROW()-1)
   )
   /SUM(INDEX(W:W, ROW()-COUNTIF($F$6:INDEX($F:$F, ROW()-1), $F293)) : INDEX(W:W, ROW()-1)),
   AVERAGEIFS(
     INDEX((unit_details[Asking Rent],unit_details[Asking PSF]),0,1,IF($U$3="Chunk Rent",1,2)),
     unit_details[Leased Date],"&gt;="&amp;($AM$2-T$5),
     unit_details[Leased Date],"&lt;"&amp;$AM$2,
     unit_details[Beds],$L294,
     unit_details[Baths],$M294,
     unit_details[Partial Baths],IF(ISNUMBER($N294),$N294,""),
     unit_details[Sqft],$P294,
     unit_details[Property Name],$F294)
 ),"")</f>
        <v/>
      </c>
      <c r="U294" s="552" t="str">
        <f>IFERROR(
 IF($F294="Total",
   SUMPRODUCT(
   INDEX(U:U, ROW()-COUNTIF($F$6:INDEX($F:$F, ROW()-1), $F293)) : INDEX(U:U, ROW()-1),
   INDEX(W:W, ROW()-COUNTIF($F$6:INDEX($F:$F, ROW()-1), $F293)) : INDEX(W:W, ROW()-1)
   )
   /SUM(INDEX(W:W, ROW()-COUNTIF($F$6:INDEX($F:$F, ROW()-1), $F293)) : INDEX(W:W, ROW()-1)),
   AVERAGEIFS(
     INDEX((unit_details[Effective Rent],unit_details[Effective PSF]),0,1,IF($U$3="Chunk Rent",1,2)),
     unit_details[Leased Date],"&gt;="&amp;($AM$2-T$5),
     unit_details[Leased Date],"&lt;"&amp;$AM$2,
     unit_details[Beds],$L294,
     unit_details[Baths],$M294,
     unit_details[Partial Baths],IF(ISNUMBER($N294),$N294,""),
     unit_details[Sqft],$P294,
     unit_details[Property Name],$F294)
 ),"")</f>
        <v/>
      </c>
      <c r="V294" s="27" t="str">
        <f t="shared" si="54"/>
        <v/>
      </c>
      <c r="W294" s="526">
        <f>IFERROR(
  IF($F294="Total",
    SUM(INDEX(W:W, ROW()-COUNTIF($F$6:INDEX($F:$F, ROW()-1), $F293)) : INDEX(W:W, ROW()-1)),
    COUNTIFS(
      unit_details[Leased Date], "&gt;="&amp;($AM$2-T$5),
      unit_details[Leased Date], "&lt;"&amp;$AM$2,
      unit_details[Beds], $L294,
      unit_details[Baths], $M294,
      unit_details[Partial Baths], IF(ISNUMBER($N294), $N294, ""),
      unit_details[Sqft],$P294,
      unit_details[Property Name], $F294
    )
  ),
"")</f>
        <v>0</v>
      </c>
      <c r="X294" s="531" t="str">
        <f>IFERROR(
 IF($F294="Total",
   SUMPRODUCT(
   INDEX(X:X, ROW()-COUNTIF($F$6:INDEX($F:$F, ROW()-1), $F293)) : INDEX(X:X, ROW()-1),
   INDEX(AA:AA, ROW()-COUNTIF($F$6:INDEX($F:$F, ROW()-1), $F293)) : INDEX(AA:AA, ROW()-1)
   )
   /SUM(INDEX(AA:AA, ROW()-COUNTIF($F$6:INDEX($F:$F, ROW()-1), $F293)) : INDEX(AA:AA, ROW()-1)),
   AVERAGEIFS(
     INDEX((unit_details[Asking Rent],unit_details[Asking PSF]),0,1,IF($U$3="Chunk Rent",1,2)),
     unit_details[Leased Date],"&gt;="&amp;($AM$2-X$5),
     unit_details[Leased Date],"&lt;"&amp;$AM$2,
     unit_details[Beds],$L294,
     unit_details[Baths],$M294,
     unit_details[Partial Baths],IF(ISNUMBER($N294),$N294,""),
     unit_details[Sqft],$P294,
     unit_details[Property Name],$F294)
 ),"")</f>
        <v/>
      </c>
      <c r="Y294" s="552" t="str">
        <f>IFERROR(
 IF($F294="Total",
   SUMPRODUCT(
   INDEX(Y:Y, ROW()-COUNTIF($F$6:INDEX($F:$F, ROW()-1), $F293)) : INDEX(Y:Y, ROW()-1),
   INDEX(AA:AA, ROW()-COUNTIF($F$6:INDEX($F:$F, ROW()-1), $F293)) : INDEX(AA:AA, ROW()-1)
   )
   /SUM(INDEX(AA:AA, ROW()-COUNTIF($F$6:INDEX($F:$F, ROW()-1), $F293)) : INDEX(AA:AA, ROW()-1)),
   AVERAGEIFS(
     INDEX((unit_details[Effective Rent],unit_details[Effective PSF]),0,1,IF($U$3="Chunk Rent",1,2)),
     unit_details[Leased Date],"&gt;="&amp;($AM$2-X$5),
     unit_details[Leased Date],"&lt;"&amp;$AM$2,
     unit_details[Beds],$L294,
     unit_details[Baths],$M294,
     unit_details[Partial Baths],IF(ISNUMBER($N294),$N294,""),
     unit_details[Sqft],$P294,
     unit_details[Property Name],$F294)
 ),"")</f>
        <v/>
      </c>
      <c r="Z294" s="27" t="str">
        <f t="shared" si="55"/>
        <v/>
      </c>
      <c r="AA294" s="526">
        <f>IFERROR(
  IF($F294="Total",
    SUM(INDEX(AA:AA, ROW()-COUNTIF($F$6:INDEX($F:$F, ROW()-1), $F293)) : INDEX(AA:AA, ROW()-1)),
    COUNTIFS(
      unit_details[Leased Date], "&gt;="&amp;($AM$2-X$5),
      unit_details[Leased Date], "&lt;"&amp;$AM$2,
      unit_details[Beds], $L294,
      unit_details[Baths], $M294,
      unit_details[Partial Baths], IF(ISNUMBER($N294), $N294, ""),
      unit_details[Sqft],$P294,
      unit_details[Property Name], $F294
    )
  ),
"")</f>
        <v>0</v>
      </c>
      <c r="AB294" s="290">
        <f>IF($F294="Total",
SUM(INDEX(AB:AB, ROW()-COUNTIF($F$6:INDEX($F:$F, ROW()-1), $F293)) : INDEX(AB:AB, ROW()-1)),
COUNTIFS(unit_details[Active Listing?],TRUE,
          unit_details[Property Name], $F294,
          unit_details[Beds], $L294,
          unit_details[Baths], $M294,
          unit_details[Partial Baths],IF(ISNUMBER($N294),$N294,""),
          unit_details[Sqft],$P294))</f>
        <v>0</v>
      </c>
      <c r="AC294" s="27" t="str">
        <f t="shared" si="47"/>
        <v/>
      </c>
      <c r="AD294" s="293" t="str">
        <f>IFERROR(IF(AE294="","",IF($F294="Total",
SUMPRODUCT(
   INDEX(AD:AD, ROW()-COUNTIF($F$6:INDEX($F:$F, ROW()-1), $F293)) : INDEX(AD:AD, ROW()-1),
   INDEX(AB:AB, ROW()-COUNTIF($F$6:INDEX($F:$F, ROW()-1), $F293)) : INDEX(AB:AB, ROW()-1)
   )
   /SUM(INDEX(AB:AB, ROW()-COUNTIF($F$6:INDEX($F:$F, ROW()-1), $F293)) : INDEX(AB:AB, ROW()-1)),
          _xlfn.MINIFS(unit_details[Asking Rent],
          unit_details[Active Listing?],TRUE,
          unit_details[Property Name], $F294,
          unit_details[Beds], $L294,
          unit_details[Baths], $M294,
          unit_details[Partial Baths], IF(ISNUMBER($N294),$N294,""),
          unit_details[Sqft],$P294
))),"")</f>
        <v/>
      </c>
      <c r="AE294" s="5" t="str">
        <f>IFERROR(IF($F294="Total",
          SUMPRODUCT(
   INDEX(AE:AE, ROW()-COUNTIF($F$6:INDEX($F:$F, ROW()-1), $F293)) : INDEX(AE:AE, ROW()-1),
   INDEX(AB:AB, ROW()-COUNTIF($F$6:INDEX($F:$F, ROW()-1), $F293)) : INDEX(AB:AB, ROW()-1)
   )
   /SUM(INDEX(AB:AB, ROW()-COUNTIF($F$6:INDEX($F:$F, ROW()-1), $F293)) : INDEX(AB:AB, ROW()-1)),
          AVERAGEIFS(unit_details[Asking Rent],
          unit_details[Active Listing?],TRUE,
          unit_details[Property Name], $F294,
          unit_details[Beds], $L294,
          unit_details[Baths], $M294,
          unit_details[Partial Baths], IF(ISNUMBER($N294),$N294,""),
          unit_details[Sqft],$P294
)),"")</f>
        <v/>
      </c>
      <c r="AF294" s="5" t="str">
        <f>IFERROR(IF(AE294="","",IF($F294="Total",
SUMPRODUCT(
   INDEX(AF:AF, ROW()-COUNTIF($F$6:INDEX($F:$F, ROW()-1), $F293)) : INDEX(AF:AF, ROW()-1),
   INDEX(AB:AB, ROW()-COUNTIF($F$6:INDEX($F:$F, ROW()-1), $F293)) : INDEX(AB:AB, ROW()-1)
   )
   /SUM(INDEX(AB:AB, ROW()-COUNTIF($F$6:INDEX($F:$F, ROW()-1), $F293)) : INDEX(AB:AB, ROW()-1)),
           _xlfn.MAXIFS(unit_details[Asking Rent],
          unit_details[Active Listing?],TRUE,
          unit_details[Property Name], $F294,
          unit_details[Beds], $L294,
          unit_details[Baths], $M294,
          unit_details[Partial Baths], IF(ISNUMBER($N294),$N294,""),
          unit_details[Sqft],$P294
))),"")</f>
        <v/>
      </c>
      <c r="AG294" s="6" t="str">
        <f>IFERROR(IF($F294="Total",
         SUMPRODUCT(
         INDEX(AG:AG, ROW()-COUNTIF($F$6:INDEX($F:$F, ROW()-1), $F293)) : INDEX(AG:AG, ROW()-1),
         INDEX(AB:AB, ROW()-COUNTIF($F$6:INDEX($F:$F, ROW()-1), $F293)) : INDEX(AB:AB, ROW()-1)
         )
         /SUM(INDEX(AB:AB, ROW()-COUNTIF($F$6:INDEX($F:$F, ROW()-1), $F293)) : INDEX(AB:AB, ROW()-1)),
          AVERAGEIFS(unit_details[Asking PSF],
          unit_details[Active Listing?],TRUE,
          unit_details[Property Name], $F294,
          unit_details[Beds], $L294,
          unit_details[Baths], $M294,
          unit_details[Partial Baths], IF(ISNUMBER($N294),$N294,""),
          unit_details[Sqft],$P294
)),"")</f>
        <v/>
      </c>
      <c r="AH294" s="293" t="str">
        <f>IFERROR(IF($F294="Total",
         SUMPRODUCT(
         INDEX(AH:AH, ROW()-COUNTIF($F$6:INDEX($F:$F, ROW()-1), $F293)) : INDEX(AH:AH, ROW()-1),
         INDEX(AB:AB, ROW()-COUNTIF($F$6:INDEX($F:$F, ROW()-1), $F293)) : INDEX(AB:AB, ROW()-1)
         )
         /SUM(INDEX(AB:AB, ROW()-COUNTIF($F$6:INDEX($F:$F, ROW()-1), $F293)) : INDEX(AB:AB, ROW()-1)),
          AVERAGEIFS(unit_details[Effective Rent],
          unit_details[Active Listing?],TRUE,
          unit_details[Property Name], $F294,
          unit_details[Beds], $L294,
          unit_details[Baths], $M294,
          unit_details[Partial Baths], IF(ISNUMBER($N294),$N294,""),
          unit_details[Sqft],$P294
)),"")</f>
        <v/>
      </c>
      <c r="AI294" s="6" t="str">
        <f>IFERROR(IF($F294="Total",
         SUMPRODUCT(
         INDEX(AI:AI, ROW()-COUNTIF($F$6:INDEX($F:$F, ROW()-1), $F293)) : INDEX(AI:AI, ROW()-1),
         INDEX(AB:AB, ROW()-COUNTIF($F$6:INDEX($F:$F, ROW()-1), $F293)) : INDEX(AB:AB, ROW()-1)
         )
         /SUM(INDEX(AB:AB, ROW()-COUNTIF($F$6:INDEX($F:$F, ROW()-1), $F293)) : INDEX(AB:AB, ROW()-1)),
           AVERAGEIFS(unit_details[Effective PSF],
          unit_details[Active Listing?],TRUE,
          unit_details[Property Name], $F294,
          unit_details[Beds], $L294,
          unit_details[Baths], $M294,
          unit_details[Partial Baths], IF(ISNUMBER($N294),$N294,""),
          unit_details[Sqft],$P294
)),"")</f>
        <v/>
      </c>
      <c r="AJ294" s="824" t="str">
        <f t="shared" si="48"/>
        <v/>
      </c>
      <c r="AK294" s="531" t="str">
        <f t="shared" si="49"/>
        <v/>
      </c>
      <c r="AL294" s="714" t="str">
        <f t="shared" si="50"/>
        <v/>
      </c>
      <c r="AM294" s="531" t="str">
        <f t="shared" si="51"/>
        <v/>
      </c>
      <c r="AN294" s="716" t="str">
        <f t="shared" si="52"/>
        <v/>
      </c>
    </row>
    <row r="295" spans="6:40" x14ac:dyDescent="0.2">
      <c r="F295" s="1" t="str">
        <f t="shared" si="45"/>
        <v/>
      </c>
      <c r="G295" s="713" t="str">
        <f t="shared" si="53"/>
        <v/>
      </c>
      <c r="H295" s="17" t="str">
        <f>IFERROR(VLOOKUP($G295,Table1[[Property]:[Exposure %]],4,0),"")</f>
        <v/>
      </c>
      <c r="I295" s="3" t="str">
        <f>IFERROR(VLOOKUP($G295,Table1[[Property]:[Exposure %]],6,0),"")</f>
        <v/>
      </c>
      <c r="J295" s="3" t="str">
        <f>IFERROR(VLOOKUP($G295,Table1[[Property]:[Exposure %]],7,0),"")</f>
        <v/>
      </c>
      <c r="K295"/>
      <c r="L295"/>
      <c r="M295"/>
      <c r="N295"/>
      <c r="O295"/>
      <c r="P295"/>
      <c r="Q295"/>
      <c r="R295" s="4" t="str">
        <f>IFERROR(VLOOKUP(IF(F295="Total",F294,F295),Table1[[Property]:['# Units]],7,0)*S295,"")</f>
        <v/>
      </c>
      <c r="S295" s="27" t="str">
        <f t="shared" si="46"/>
        <v/>
      </c>
      <c r="T295" s="531" t="str">
        <f>IFERROR(
 IF($F295="Total",
   SUMPRODUCT(
   INDEX(T:T, ROW()-COUNTIF($F$6:INDEX($F:$F, ROW()-1), $F294)) : INDEX(T:T, ROW()-1),
   INDEX(W:W, ROW()-COUNTIF($F$6:INDEX($F:$F, ROW()-1), $F294)) : INDEX(W:W, ROW()-1)
   )
   /SUM(INDEX(W:W, ROW()-COUNTIF($F$6:INDEX($F:$F, ROW()-1), $F294)) : INDEX(W:W, ROW()-1)),
   AVERAGEIFS(
     INDEX((unit_details[Asking Rent],unit_details[Asking PSF]),0,1,IF($U$3="Chunk Rent",1,2)),
     unit_details[Leased Date],"&gt;="&amp;($AM$2-T$5),
     unit_details[Leased Date],"&lt;"&amp;$AM$2,
     unit_details[Beds],$L295,
     unit_details[Baths],$M295,
     unit_details[Partial Baths],IF(ISNUMBER($N295),$N295,""),
     unit_details[Sqft],$P295,
     unit_details[Property Name],$F295)
 ),"")</f>
        <v/>
      </c>
      <c r="U295" s="552" t="str">
        <f>IFERROR(
 IF($F295="Total",
   SUMPRODUCT(
   INDEX(U:U, ROW()-COUNTIF($F$6:INDEX($F:$F, ROW()-1), $F294)) : INDEX(U:U, ROW()-1),
   INDEX(W:W, ROW()-COUNTIF($F$6:INDEX($F:$F, ROW()-1), $F294)) : INDEX(W:W, ROW()-1)
   )
   /SUM(INDEX(W:W, ROW()-COUNTIF($F$6:INDEX($F:$F, ROW()-1), $F294)) : INDEX(W:W, ROW()-1)),
   AVERAGEIFS(
     INDEX((unit_details[Effective Rent],unit_details[Effective PSF]),0,1,IF($U$3="Chunk Rent",1,2)),
     unit_details[Leased Date],"&gt;="&amp;($AM$2-T$5),
     unit_details[Leased Date],"&lt;"&amp;$AM$2,
     unit_details[Beds],$L295,
     unit_details[Baths],$M295,
     unit_details[Partial Baths],IF(ISNUMBER($N295),$N295,""),
     unit_details[Sqft],$P295,
     unit_details[Property Name],$F295)
 ),"")</f>
        <v/>
      </c>
      <c r="V295" s="27" t="str">
        <f t="shared" si="54"/>
        <v/>
      </c>
      <c r="W295" s="526">
        <f>IFERROR(
  IF($F295="Total",
    SUM(INDEX(W:W, ROW()-COUNTIF($F$6:INDEX($F:$F, ROW()-1), $F294)) : INDEX(W:W, ROW()-1)),
    COUNTIFS(
      unit_details[Leased Date], "&gt;="&amp;($AM$2-T$5),
      unit_details[Leased Date], "&lt;"&amp;$AM$2,
      unit_details[Beds], $L295,
      unit_details[Baths], $M295,
      unit_details[Partial Baths], IF(ISNUMBER($N295), $N295, ""),
      unit_details[Sqft],$P295,
      unit_details[Property Name], $F295
    )
  ),
"")</f>
        <v>0</v>
      </c>
      <c r="X295" s="531" t="str">
        <f>IFERROR(
 IF($F295="Total",
   SUMPRODUCT(
   INDEX(X:X, ROW()-COUNTIF($F$6:INDEX($F:$F, ROW()-1), $F294)) : INDEX(X:X, ROW()-1),
   INDEX(AA:AA, ROW()-COUNTIF($F$6:INDEX($F:$F, ROW()-1), $F294)) : INDEX(AA:AA, ROW()-1)
   )
   /SUM(INDEX(AA:AA, ROW()-COUNTIF($F$6:INDEX($F:$F, ROW()-1), $F294)) : INDEX(AA:AA, ROW()-1)),
   AVERAGEIFS(
     INDEX((unit_details[Asking Rent],unit_details[Asking PSF]),0,1,IF($U$3="Chunk Rent",1,2)),
     unit_details[Leased Date],"&gt;="&amp;($AM$2-X$5),
     unit_details[Leased Date],"&lt;"&amp;$AM$2,
     unit_details[Beds],$L295,
     unit_details[Baths],$M295,
     unit_details[Partial Baths],IF(ISNUMBER($N295),$N295,""),
     unit_details[Sqft],$P295,
     unit_details[Property Name],$F295)
 ),"")</f>
        <v/>
      </c>
      <c r="Y295" s="552" t="str">
        <f>IFERROR(
 IF($F295="Total",
   SUMPRODUCT(
   INDEX(Y:Y, ROW()-COUNTIF($F$6:INDEX($F:$F, ROW()-1), $F294)) : INDEX(Y:Y, ROW()-1),
   INDEX(AA:AA, ROW()-COUNTIF($F$6:INDEX($F:$F, ROW()-1), $F294)) : INDEX(AA:AA, ROW()-1)
   )
   /SUM(INDEX(AA:AA, ROW()-COUNTIF($F$6:INDEX($F:$F, ROW()-1), $F294)) : INDEX(AA:AA, ROW()-1)),
   AVERAGEIFS(
     INDEX((unit_details[Effective Rent],unit_details[Effective PSF]),0,1,IF($U$3="Chunk Rent",1,2)),
     unit_details[Leased Date],"&gt;="&amp;($AM$2-X$5),
     unit_details[Leased Date],"&lt;"&amp;$AM$2,
     unit_details[Beds],$L295,
     unit_details[Baths],$M295,
     unit_details[Partial Baths],IF(ISNUMBER($N295),$N295,""),
     unit_details[Sqft],$P295,
     unit_details[Property Name],$F295)
 ),"")</f>
        <v/>
      </c>
      <c r="Z295" s="27" t="str">
        <f t="shared" si="55"/>
        <v/>
      </c>
      <c r="AA295" s="526">
        <f>IFERROR(
  IF($F295="Total",
    SUM(INDEX(AA:AA, ROW()-COUNTIF($F$6:INDEX($F:$F, ROW()-1), $F294)) : INDEX(AA:AA, ROW()-1)),
    COUNTIFS(
      unit_details[Leased Date], "&gt;="&amp;($AM$2-X$5),
      unit_details[Leased Date], "&lt;"&amp;$AM$2,
      unit_details[Beds], $L295,
      unit_details[Baths], $M295,
      unit_details[Partial Baths], IF(ISNUMBER($N295), $N295, ""),
      unit_details[Sqft],$P295,
      unit_details[Property Name], $F295
    )
  ),
"")</f>
        <v>0</v>
      </c>
      <c r="AB295" s="290">
        <f>IF($F295="Total",
SUM(INDEX(AB:AB, ROW()-COUNTIF($F$6:INDEX($F:$F, ROW()-1), $F294)) : INDEX(AB:AB, ROW()-1)),
COUNTIFS(unit_details[Active Listing?],TRUE,
          unit_details[Property Name], $F295,
          unit_details[Beds], $L295,
          unit_details[Baths], $M295,
          unit_details[Partial Baths],IF(ISNUMBER($N295),$N295,""),
          unit_details[Sqft],$P295))</f>
        <v>0</v>
      </c>
      <c r="AC295" s="27" t="str">
        <f t="shared" si="47"/>
        <v/>
      </c>
      <c r="AD295" s="293" t="str">
        <f>IFERROR(IF(AE295="","",IF($F295="Total",
SUMPRODUCT(
   INDEX(AD:AD, ROW()-COUNTIF($F$6:INDEX($F:$F, ROW()-1), $F294)) : INDEX(AD:AD, ROW()-1),
   INDEX(AB:AB, ROW()-COUNTIF($F$6:INDEX($F:$F, ROW()-1), $F294)) : INDEX(AB:AB, ROW()-1)
   )
   /SUM(INDEX(AB:AB, ROW()-COUNTIF($F$6:INDEX($F:$F, ROW()-1), $F294)) : INDEX(AB:AB, ROW()-1)),
          _xlfn.MINIFS(unit_details[Asking Rent],
          unit_details[Active Listing?],TRUE,
          unit_details[Property Name], $F295,
          unit_details[Beds], $L295,
          unit_details[Baths], $M295,
          unit_details[Partial Baths], IF(ISNUMBER($N295),$N295,""),
          unit_details[Sqft],$P295
))),"")</f>
        <v/>
      </c>
      <c r="AE295" s="5" t="str">
        <f>IFERROR(IF($F295="Total",
          SUMPRODUCT(
   INDEX(AE:AE, ROW()-COUNTIF($F$6:INDEX($F:$F, ROW()-1), $F294)) : INDEX(AE:AE, ROW()-1),
   INDEX(AB:AB, ROW()-COUNTIF($F$6:INDEX($F:$F, ROW()-1), $F294)) : INDEX(AB:AB, ROW()-1)
   )
   /SUM(INDEX(AB:AB, ROW()-COUNTIF($F$6:INDEX($F:$F, ROW()-1), $F294)) : INDEX(AB:AB, ROW()-1)),
          AVERAGEIFS(unit_details[Asking Rent],
          unit_details[Active Listing?],TRUE,
          unit_details[Property Name], $F295,
          unit_details[Beds], $L295,
          unit_details[Baths], $M295,
          unit_details[Partial Baths], IF(ISNUMBER($N295),$N295,""),
          unit_details[Sqft],$P295
)),"")</f>
        <v/>
      </c>
      <c r="AF295" s="5" t="str">
        <f>IFERROR(IF(AE295="","",IF($F295="Total",
SUMPRODUCT(
   INDEX(AF:AF, ROW()-COUNTIF($F$6:INDEX($F:$F, ROW()-1), $F294)) : INDEX(AF:AF, ROW()-1),
   INDEX(AB:AB, ROW()-COUNTIF($F$6:INDEX($F:$F, ROW()-1), $F294)) : INDEX(AB:AB, ROW()-1)
   )
   /SUM(INDEX(AB:AB, ROW()-COUNTIF($F$6:INDEX($F:$F, ROW()-1), $F294)) : INDEX(AB:AB, ROW()-1)),
           _xlfn.MAXIFS(unit_details[Asking Rent],
          unit_details[Active Listing?],TRUE,
          unit_details[Property Name], $F295,
          unit_details[Beds], $L295,
          unit_details[Baths], $M295,
          unit_details[Partial Baths], IF(ISNUMBER($N295),$N295,""),
          unit_details[Sqft],$P295
))),"")</f>
        <v/>
      </c>
      <c r="AG295" s="6" t="str">
        <f>IFERROR(IF($F295="Total",
         SUMPRODUCT(
         INDEX(AG:AG, ROW()-COUNTIF($F$6:INDEX($F:$F, ROW()-1), $F294)) : INDEX(AG:AG, ROW()-1),
         INDEX(AB:AB, ROW()-COUNTIF($F$6:INDEX($F:$F, ROW()-1), $F294)) : INDEX(AB:AB, ROW()-1)
         )
         /SUM(INDEX(AB:AB, ROW()-COUNTIF($F$6:INDEX($F:$F, ROW()-1), $F294)) : INDEX(AB:AB, ROW()-1)),
          AVERAGEIFS(unit_details[Asking PSF],
          unit_details[Active Listing?],TRUE,
          unit_details[Property Name], $F295,
          unit_details[Beds], $L295,
          unit_details[Baths], $M295,
          unit_details[Partial Baths], IF(ISNUMBER($N295),$N295,""),
          unit_details[Sqft],$P295
)),"")</f>
        <v/>
      </c>
      <c r="AH295" s="293" t="str">
        <f>IFERROR(IF($F295="Total",
         SUMPRODUCT(
         INDEX(AH:AH, ROW()-COUNTIF($F$6:INDEX($F:$F, ROW()-1), $F294)) : INDEX(AH:AH, ROW()-1),
         INDEX(AB:AB, ROW()-COUNTIF($F$6:INDEX($F:$F, ROW()-1), $F294)) : INDEX(AB:AB, ROW()-1)
         )
         /SUM(INDEX(AB:AB, ROW()-COUNTIF($F$6:INDEX($F:$F, ROW()-1), $F294)) : INDEX(AB:AB, ROW()-1)),
          AVERAGEIFS(unit_details[Effective Rent],
          unit_details[Active Listing?],TRUE,
          unit_details[Property Name], $F295,
          unit_details[Beds], $L295,
          unit_details[Baths], $M295,
          unit_details[Partial Baths], IF(ISNUMBER($N295),$N295,""),
          unit_details[Sqft],$P295
)),"")</f>
        <v/>
      </c>
      <c r="AI295" s="6" t="str">
        <f>IFERROR(IF($F295="Total",
         SUMPRODUCT(
         INDEX(AI:AI, ROW()-COUNTIF($F$6:INDEX($F:$F, ROW()-1), $F294)) : INDEX(AI:AI, ROW()-1),
         INDEX(AB:AB, ROW()-COUNTIF($F$6:INDEX($F:$F, ROW()-1), $F294)) : INDEX(AB:AB, ROW()-1)
         )
         /SUM(INDEX(AB:AB, ROW()-COUNTIF($F$6:INDEX($F:$F, ROW()-1), $F294)) : INDEX(AB:AB, ROW()-1)),
           AVERAGEIFS(unit_details[Effective PSF],
          unit_details[Active Listing?],TRUE,
          unit_details[Property Name], $F295,
          unit_details[Beds], $L295,
          unit_details[Baths], $M295,
          unit_details[Partial Baths], IF(ISNUMBER($N295),$N295,""),
          unit_details[Sqft],$P295
)),"")</f>
        <v/>
      </c>
      <c r="AJ295" s="824" t="str">
        <f t="shared" si="48"/>
        <v/>
      </c>
      <c r="AK295" s="531" t="str">
        <f t="shared" si="49"/>
        <v/>
      </c>
      <c r="AL295" s="714" t="str">
        <f t="shared" si="50"/>
        <v/>
      </c>
      <c r="AM295" s="531" t="str">
        <f t="shared" si="51"/>
        <v/>
      </c>
      <c r="AN295" s="716" t="str">
        <f t="shared" si="52"/>
        <v/>
      </c>
    </row>
    <row r="296" spans="6:40" x14ac:dyDescent="0.2">
      <c r="F296" s="1" t="str">
        <f t="shared" si="45"/>
        <v/>
      </c>
      <c r="G296" s="713" t="str">
        <f t="shared" si="53"/>
        <v/>
      </c>
      <c r="H296" s="17" t="str">
        <f>IFERROR(VLOOKUP($G296,Table1[[Property]:[Exposure %]],4,0),"")</f>
        <v/>
      </c>
      <c r="I296" s="3" t="str">
        <f>IFERROR(VLOOKUP($G296,Table1[[Property]:[Exposure %]],6,0),"")</f>
        <v/>
      </c>
      <c r="J296" s="3" t="str">
        <f>IFERROR(VLOOKUP($G296,Table1[[Property]:[Exposure %]],7,0),"")</f>
        <v/>
      </c>
      <c r="K296"/>
      <c r="L296"/>
      <c r="M296"/>
      <c r="N296"/>
      <c r="O296"/>
      <c r="P296"/>
      <c r="Q296"/>
      <c r="R296" s="4" t="str">
        <f>IFERROR(VLOOKUP(IF(F296="Total",F295,F296),Table1[[Property]:['# Units]],7,0)*S296,"")</f>
        <v/>
      </c>
      <c r="S296" s="27" t="str">
        <f t="shared" si="46"/>
        <v/>
      </c>
      <c r="T296" s="531" t="str">
        <f>IFERROR(
 IF($F296="Total",
   SUMPRODUCT(
   INDEX(T:T, ROW()-COUNTIF($F$6:INDEX($F:$F, ROW()-1), $F295)) : INDEX(T:T, ROW()-1),
   INDEX(W:W, ROW()-COUNTIF($F$6:INDEX($F:$F, ROW()-1), $F295)) : INDEX(W:W, ROW()-1)
   )
   /SUM(INDEX(W:W, ROW()-COUNTIF($F$6:INDEX($F:$F, ROW()-1), $F295)) : INDEX(W:W, ROW()-1)),
   AVERAGEIFS(
     INDEX((unit_details[Asking Rent],unit_details[Asking PSF]),0,1,IF($U$3="Chunk Rent",1,2)),
     unit_details[Leased Date],"&gt;="&amp;($AM$2-T$5),
     unit_details[Leased Date],"&lt;"&amp;$AM$2,
     unit_details[Beds],$L296,
     unit_details[Baths],$M296,
     unit_details[Partial Baths],IF(ISNUMBER($N296),$N296,""),
     unit_details[Sqft],$P296,
     unit_details[Property Name],$F296)
 ),"")</f>
        <v/>
      </c>
      <c r="U296" s="552" t="str">
        <f>IFERROR(
 IF($F296="Total",
   SUMPRODUCT(
   INDEX(U:U, ROW()-COUNTIF($F$6:INDEX($F:$F, ROW()-1), $F295)) : INDEX(U:U, ROW()-1),
   INDEX(W:W, ROW()-COUNTIF($F$6:INDEX($F:$F, ROW()-1), $F295)) : INDEX(W:W, ROW()-1)
   )
   /SUM(INDEX(W:W, ROW()-COUNTIF($F$6:INDEX($F:$F, ROW()-1), $F295)) : INDEX(W:W, ROW()-1)),
   AVERAGEIFS(
     INDEX((unit_details[Effective Rent],unit_details[Effective PSF]),0,1,IF($U$3="Chunk Rent",1,2)),
     unit_details[Leased Date],"&gt;="&amp;($AM$2-T$5),
     unit_details[Leased Date],"&lt;"&amp;$AM$2,
     unit_details[Beds],$L296,
     unit_details[Baths],$M296,
     unit_details[Partial Baths],IF(ISNUMBER($N296),$N296,""),
     unit_details[Sqft],$P296,
     unit_details[Property Name],$F296)
 ),"")</f>
        <v/>
      </c>
      <c r="V296" s="27" t="str">
        <f t="shared" si="54"/>
        <v/>
      </c>
      <c r="W296" s="526">
        <f>IFERROR(
  IF($F296="Total",
    SUM(INDEX(W:W, ROW()-COUNTIF($F$6:INDEX($F:$F, ROW()-1), $F295)) : INDEX(W:W, ROW()-1)),
    COUNTIFS(
      unit_details[Leased Date], "&gt;="&amp;($AM$2-T$5),
      unit_details[Leased Date], "&lt;"&amp;$AM$2,
      unit_details[Beds], $L296,
      unit_details[Baths], $M296,
      unit_details[Partial Baths], IF(ISNUMBER($N296), $N296, ""),
      unit_details[Sqft],$P296,
      unit_details[Property Name], $F296
    )
  ),
"")</f>
        <v>0</v>
      </c>
      <c r="X296" s="531" t="str">
        <f>IFERROR(
 IF($F296="Total",
   SUMPRODUCT(
   INDEX(X:X, ROW()-COUNTIF($F$6:INDEX($F:$F, ROW()-1), $F295)) : INDEX(X:X, ROW()-1),
   INDEX(AA:AA, ROW()-COUNTIF($F$6:INDEX($F:$F, ROW()-1), $F295)) : INDEX(AA:AA, ROW()-1)
   )
   /SUM(INDEX(AA:AA, ROW()-COUNTIF($F$6:INDEX($F:$F, ROW()-1), $F295)) : INDEX(AA:AA, ROW()-1)),
   AVERAGEIFS(
     INDEX((unit_details[Asking Rent],unit_details[Asking PSF]),0,1,IF($U$3="Chunk Rent",1,2)),
     unit_details[Leased Date],"&gt;="&amp;($AM$2-X$5),
     unit_details[Leased Date],"&lt;"&amp;$AM$2,
     unit_details[Beds],$L296,
     unit_details[Baths],$M296,
     unit_details[Partial Baths],IF(ISNUMBER($N296),$N296,""),
     unit_details[Sqft],$P296,
     unit_details[Property Name],$F296)
 ),"")</f>
        <v/>
      </c>
      <c r="Y296" s="552" t="str">
        <f>IFERROR(
 IF($F296="Total",
   SUMPRODUCT(
   INDEX(Y:Y, ROW()-COUNTIF($F$6:INDEX($F:$F, ROW()-1), $F295)) : INDEX(Y:Y, ROW()-1),
   INDEX(AA:AA, ROW()-COUNTIF($F$6:INDEX($F:$F, ROW()-1), $F295)) : INDEX(AA:AA, ROW()-1)
   )
   /SUM(INDEX(AA:AA, ROW()-COUNTIF($F$6:INDEX($F:$F, ROW()-1), $F295)) : INDEX(AA:AA, ROW()-1)),
   AVERAGEIFS(
     INDEX((unit_details[Effective Rent],unit_details[Effective PSF]),0,1,IF($U$3="Chunk Rent",1,2)),
     unit_details[Leased Date],"&gt;="&amp;($AM$2-X$5),
     unit_details[Leased Date],"&lt;"&amp;$AM$2,
     unit_details[Beds],$L296,
     unit_details[Baths],$M296,
     unit_details[Partial Baths],IF(ISNUMBER($N296),$N296,""),
     unit_details[Sqft],$P296,
     unit_details[Property Name],$F296)
 ),"")</f>
        <v/>
      </c>
      <c r="Z296" s="27" t="str">
        <f t="shared" si="55"/>
        <v/>
      </c>
      <c r="AA296" s="526">
        <f>IFERROR(
  IF($F296="Total",
    SUM(INDEX(AA:AA, ROW()-COUNTIF($F$6:INDEX($F:$F, ROW()-1), $F295)) : INDEX(AA:AA, ROW()-1)),
    COUNTIFS(
      unit_details[Leased Date], "&gt;="&amp;($AM$2-X$5),
      unit_details[Leased Date], "&lt;"&amp;$AM$2,
      unit_details[Beds], $L296,
      unit_details[Baths], $M296,
      unit_details[Partial Baths], IF(ISNUMBER($N296), $N296, ""),
      unit_details[Sqft],$P296,
      unit_details[Property Name], $F296
    )
  ),
"")</f>
        <v>0</v>
      </c>
      <c r="AB296" s="290">
        <f>IF($F296="Total",
SUM(INDEX(AB:AB, ROW()-COUNTIF($F$6:INDEX($F:$F, ROW()-1), $F295)) : INDEX(AB:AB, ROW()-1)),
COUNTIFS(unit_details[Active Listing?],TRUE,
          unit_details[Property Name], $F296,
          unit_details[Beds], $L296,
          unit_details[Baths], $M296,
          unit_details[Partial Baths],IF(ISNUMBER($N296),$N296,""),
          unit_details[Sqft],$P296))</f>
        <v>0</v>
      </c>
      <c r="AC296" s="27" t="str">
        <f t="shared" si="47"/>
        <v/>
      </c>
      <c r="AD296" s="293" t="str">
        <f>IFERROR(IF(AE296="","",IF($F296="Total",
SUMPRODUCT(
   INDEX(AD:AD, ROW()-COUNTIF($F$6:INDEX($F:$F, ROW()-1), $F295)) : INDEX(AD:AD, ROW()-1),
   INDEX(AB:AB, ROW()-COUNTIF($F$6:INDEX($F:$F, ROW()-1), $F295)) : INDEX(AB:AB, ROW()-1)
   )
   /SUM(INDEX(AB:AB, ROW()-COUNTIF($F$6:INDEX($F:$F, ROW()-1), $F295)) : INDEX(AB:AB, ROW()-1)),
          _xlfn.MINIFS(unit_details[Asking Rent],
          unit_details[Active Listing?],TRUE,
          unit_details[Property Name], $F296,
          unit_details[Beds], $L296,
          unit_details[Baths], $M296,
          unit_details[Partial Baths], IF(ISNUMBER($N296),$N296,""),
          unit_details[Sqft],$P296
))),"")</f>
        <v/>
      </c>
      <c r="AE296" s="5" t="str">
        <f>IFERROR(IF($F296="Total",
          SUMPRODUCT(
   INDEX(AE:AE, ROW()-COUNTIF($F$6:INDEX($F:$F, ROW()-1), $F295)) : INDEX(AE:AE, ROW()-1),
   INDEX(AB:AB, ROW()-COUNTIF($F$6:INDEX($F:$F, ROW()-1), $F295)) : INDEX(AB:AB, ROW()-1)
   )
   /SUM(INDEX(AB:AB, ROW()-COUNTIF($F$6:INDEX($F:$F, ROW()-1), $F295)) : INDEX(AB:AB, ROW()-1)),
          AVERAGEIFS(unit_details[Asking Rent],
          unit_details[Active Listing?],TRUE,
          unit_details[Property Name], $F296,
          unit_details[Beds], $L296,
          unit_details[Baths], $M296,
          unit_details[Partial Baths], IF(ISNUMBER($N296),$N296,""),
          unit_details[Sqft],$P296
)),"")</f>
        <v/>
      </c>
      <c r="AF296" s="5" t="str">
        <f>IFERROR(IF(AE296="","",IF($F296="Total",
SUMPRODUCT(
   INDEX(AF:AF, ROW()-COUNTIF($F$6:INDEX($F:$F, ROW()-1), $F295)) : INDEX(AF:AF, ROW()-1),
   INDEX(AB:AB, ROW()-COUNTIF($F$6:INDEX($F:$F, ROW()-1), $F295)) : INDEX(AB:AB, ROW()-1)
   )
   /SUM(INDEX(AB:AB, ROW()-COUNTIF($F$6:INDEX($F:$F, ROW()-1), $F295)) : INDEX(AB:AB, ROW()-1)),
           _xlfn.MAXIFS(unit_details[Asking Rent],
          unit_details[Active Listing?],TRUE,
          unit_details[Property Name], $F296,
          unit_details[Beds], $L296,
          unit_details[Baths], $M296,
          unit_details[Partial Baths], IF(ISNUMBER($N296),$N296,""),
          unit_details[Sqft],$P296
))),"")</f>
        <v/>
      </c>
      <c r="AG296" s="6" t="str">
        <f>IFERROR(IF($F296="Total",
         SUMPRODUCT(
         INDEX(AG:AG, ROW()-COUNTIF($F$6:INDEX($F:$F, ROW()-1), $F295)) : INDEX(AG:AG, ROW()-1),
         INDEX(AB:AB, ROW()-COUNTIF($F$6:INDEX($F:$F, ROW()-1), $F295)) : INDEX(AB:AB, ROW()-1)
         )
         /SUM(INDEX(AB:AB, ROW()-COUNTIF($F$6:INDEX($F:$F, ROW()-1), $F295)) : INDEX(AB:AB, ROW()-1)),
          AVERAGEIFS(unit_details[Asking PSF],
          unit_details[Active Listing?],TRUE,
          unit_details[Property Name], $F296,
          unit_details[Beds], $L296,
          unit_details[Baths], $M296,
          unit_details[Partial Baths], IF(ISNUMBER($N296),$N296,""),
          unit_details[Sqft],$P296
)),"")</f>
        <v/>
      </c>
      <c r="AH296" s="293" t="str">
        <f>IFERROR(IF($F296="Total",
         SUMPRODUCT(
         INDEX(AH:AH, ROW()-COUNTIF($F$6:INDEX($F:$F, ROW()-1), $F295)) : INDEX(AH:AH, ROW()-1),
         INDEX(AB:AB, ROW()-COUNTIF($F$6:INDEX($F:$F, ROW()-1), $F295)) : INDEX(AB:AB, ROW()-1)
         )
         /SUM(INDEX(AB:AB, ROW()-COUNTIF($F$6:INDEX($F:$F, ROW()-1), $F295)) : INDEX(AB:AB, ROW()-1)),
          AVERAGEIFS(unit_details[Effective Rent],
          unit_details[Active Listing?],TRUE,
          unit_details[Property Name], $F296,
          unit_details[Beds], $L296,
          unit_details[Baths], $M296,
          unit_details[Partial Baths], IF(ISNUMBER($N296),$N296,""),
          unit_details[Sqft],$P296
)),"")</f>
        <v/>
      </c>
      <c r="AI296" s="6" t="str">
        <f>IFERROR(IF($F296="Total",
         SUMPRODUCT(
         INDEX(AI:AI, ROW()-COUNTIF($F$6:INDEX($F:$F, ROW()-1), $F295)) : INDEX(AI:AI, ROW()-1),
         INDEX(AB:AB, ROW()-COUNTIF($F$6:INDEX($F:$F, ROW()-1), $F295)) : INDEX(AB:AB, ROW()-1)
         )
         /SUM(INDEX(AB:AB, ROW()-COUNTIF($F$6:INDEX($F:$F, ROW()-1), $F295)) : INDEX(AB:AB, ROW()-1)),
           AVERAGEIFS(unit_details[Effective PSF],
          unit_details[Active Listing?],TRUE,
          unit_details[Property Name], $F296,
          unit_details[Beds], $L296,
          unit_details[Baths], $M296,
          unit_details[Partial Baths], IF(ISNUMBER($N296),$N296,""),
          unit_details[Sqft],$P296
)),"")</f>
        <v/>
      </c>
      <c r="AJ296" s="824" t="str">
        <f t="shared" si="48"/>
        <v/>
      </c>
      <c r="AK296" s="531" t="str">
        <f t="shared" si="49"/>
        <v/>
      </c>
      <c r="AL296" s="714" t="str">
        <f t="shared" si="50"/>
        <v/>
      </c>
      <c r="AM296" s="531" t="str">
        <f t="shared" si="51"/>
        <v/>
      </c>
      <c r="AN296" s="716" t="str">
        <f t="shared" si="52"/>
        <v/>
      </c>
    </row>
    <row r="297" spans="6:40" x14ac:dyDescent="0.2">
      <c r="F297" s="1" t="str">
        <f t="shared" si="45"/>
        <v/>
      </c>
      <c r="G297" s="713" t="str">
        <f t="shared" si="53"/>
        <v/>
      </c>
      <c r="H297" s="17" t="str">
        <f>IFERROR(VLOOKUP($G297,Table1[[Property]:[Exposure %]],4,0),"")</f>
        <v/>
      </c>
      <c r="I297" s="3" t="str">
        <f>IFERROR(VLOOKUP($G297,Table1[[Property]:[Exposure %]],6,0),"")</f>
        <v/>
      </c>
      <c r="J297" s="3" t="str">
        <f>IFERROR(VLOOKUP($G297,Table1[[Property]:[Exposure %]],7,0),"")</f>
        <v/>
      </c>
      <c r="K297"/>
      <c r="L297"/>
      <c r="M297"/>
      <c r="N297"/>
      <c r="O297"/>
      <c r="P297"/>
      <c r="Q297"/>
      <c r="R297" s="4" t="str">
        <f>IFERROR(VLOOKUP(IF(F297="Total",F296,F297),Table1[[Property]:['# Units]],7,0)*S297,"")</f>
        <v/>
      </c>
      <c r="S297" s="27" t="str">
        <f t="shared" si="46"/>
        <v/>
      </c>
      <c r="T297" s="531" t="str">
        <f>IFERROR(
 IF($F297="Total",
   SUMPRODUCT(
   INDEX(T:T, ROW()-COUNTIF($F$6:INDEX($F:$F, ROW()-1), $F296)) : INDEX(T:T, ROW()-1),
   INDEX(W:W, ROW()-COUNTIF($F$6:INDEX($F:$F, ROW()-1), $F296)) : INDEX(W:W, ROW()-1)
   )
   /SUM(INDEX(W:W, ROW()-COUNTIF($F$6:INDEX($F:$F, ROW()-1), $F296)) : INDEX(W:W, ROW()-1)),
   AVERAGEIFS(
     INDEX((unit_details[Asking Rent],unit_details[Asking PSF]),0,1,IF($U$3="Chunk Rent",1,2)),
     unit_details[Leased Date],"&gt;="&amp;($AM$2-T$5),
     unit_details[Leased Date],"&lt;"&amp;$AM$2,
     unit_details[Beds],$L297,
     unit_details[Baths],$M297,
     unit_details[Partial Baths],IF(ISNUMBER($N297),$N297,""),
     unit_details[Sqft],$P297,
     unit_details[Property Name],$F297)
 ),"")</f>
        <v/>
      </c>
      <c r="U297" s="552" t="str">
        <f>IFERROR(
 IF($F297="Total",
   SUMPRODUCT(
   INDEX(U:U, ROW()-COUNTIF($F$6:INDEX($F:$F, ROW()-1), $F296)) : INDEX(U:U, ROW()-1),
   INDEX(W:W, ROW()-COUNTIF($F$6:INDEX($F:$F, ROW()-1), $F296)) : INDEX(W:W, ROW()-1)
   )
   /SUM(INDEX(W:W, ROW()-COUNTIF($F$6:INDEX($F:$F, ROW()-1), $F296)) : INDEX(W:W, ROW()-1)),
   AVERAGEIFS(
     INDEX((unit_details[Effective Rent],unit_details[Effective PSF]),0,1,IF($U$3="Chunk Rent",1,2)),
     unit_details[Leased Date],"&gt;="&amp;($AM$2-T$5),
     unit_details[Leased Date],"&lt;"&amp;$AM$2,
     unit_details[Beds],$L297,
     unit_details[Baths],$M297,
     unit_details[Partial Baths],IF(ISNUMBER($N297),$N297,""),
     unit_details[Sqft],$P297,
     unit_details[Property Name],$F297)
 ),"")</f>
        <v/>
      </c>
      <c r="V297" s="27" t="str">
        <f t="shared" si="54"/>
        <v/>
      </c>
      <c r="W297" s="526">
        <f>IFERROR(
  IF($F297="Total",
    SUM(INDEX(W:W, ROW()-COUNTIF($F$6:INDEX($F:$F, ROW()-1), $F296)) : INDEX(W:W, ROW()-1)),
    COUNTIFS(
      unit_details[Leased Date], "&gt;="&amp;($AM$2-T$5),
      unit_details[Leased Date], "&lt;"&amp;$AM$2,
      unit_details[Beds], $L297,
      unit_details[Baths], $M297,
      unit_details[Partial Baths], IF(ISNUMBER($N297), $N297, ""),
      unit_details[Sqft],$P297,
      unit_details[Property Name], $F297
    )
  ),
"")</f>
        <v>0</v>
      </c>
      <c r="X297" s="531" t="str">
        <f>IFERROR(
 IF($F297="Total",
   SUMPRODUCT(
   INDEX(X:X, ROW()-COUNTIF($F$6:INDEX($F:$F, ROW()-1), $F296)) : INDEX(X:X, ROW()-1),
   INDEX(AA:AA, ROW()-COUNTIF($F$6:INDEX($F:$F, ROW()-1), $F296)) : INDEX(AA:AA, ROW()-1)
   )
   /SUM(INDEX(AA:AA, ROW()-COUNTIF($F$6:INDEX($F:$F, ROW()-1), $F296)) : INDEX(AA:AA, ROW()-1)),
   AVERAGEIFS(
     INDEX((unit_details[Asking Rent],unit_details[Asking PSF]),0,1,IF($U$3="Chunk Rent",1,2)),
     unit_details[Leased Date],"&gt;="&amp;($AM$2-X$5),
     unit_details[Leased Date],"&lt;"&amp;$AM$2,
     unit_details[Beds],$L297,
     unit_details[Baths],$M297,
     unit_details[Partial Baths],IF(ISNUMBER($N297),$N297,""),
     unit_details[Sqft],$P297,
     unit_details[Property Name],$F297)
 ),"")</f>
        <v/>
      </c>
      <c r="Y297" s="552" t="str">
        <f>IFERROR(
 IF($F297="Total",
   SUMPRODUCT(
   INDEX(Y:Y, ROW()-COUNTIF($F$6:INDEX($F:$F, ROW()-1), $F296)) : INDEX(Y:Y, ROW()-1),
   INDEX(AA:AA, ROW()-COUNTIF($F$6:INDEX($F:$F, ROW()-1), $F296)) : INDEX(AA:AA, ROW()-1)
   )
   /SUM(INDEX(AA:AA, ROW()-COUNTIF($F$6:INDEX($F:$F, ROW()-1), $F296)) : INDEX(AA:AA, ROW()-1)),
   AVERAGEIFS(
     INDEX((unit_details[Effective Rent],unit_details[Effective PSF]),0,1,IF($U$3="Chunk Rent",1,2)),
     unit_details[Leased Date],"&gt;="&amp;($AM$2-X$5),
     unit_details[Leased Date],"&lt;"&amp;$AM$2,
     unit_details[Beds],$L297,
     unit_details[Baths],$M297,
     unit_details[Partial Baths],IF(ISNUMBER($N297),$N297,""),
     unit_details[Sqft],$P297,
     unit_details[Property Name],$F297)
 ),"")</f>
        <v/>
      </c>
      <c r="Z297" s="27" t="str">
        <f t="shared" si="55"/>
        <v/>
      </c>
      <c r="AA297" s="526">
        <f>IFERROR(
  IF($F297="Total",
    SUM(INDEX(AA:AA, ROW()-COUNTIF($F$6:INDEX($F:$F, ROW()-1), $F296)) : INDEX(AA:AA, ROW()-1)),
    COUNTIFS(
      unit_details[Leased Date], "&gt;="&amp;($AM$2-X$5),
      unit_details[Leased Date], "&lt;"&amp;$AM$2,
      unit_details[Beds], $L297,
      unit_details[Baths], $M297,
      unit_details[Partial Baths], IF(ISNUMBER($N297), $N297, ""),
      unit_details[Sqft],$P297,
      unit_details[Property Name], $F297
    )
  ),
"")</f>
        <v>0</v>
      </c>
      <c r="AB297" s="290">
        <f>IF($F297="Total",
SUM(INDEX(AB:AB, ROW()-COUNTIF($F$6:INDEX($F:$F, ROW()-1), $F296)) : INDEX(AB:AB, ROW()-1)),
COUNTIFS(unit_details[Active Listing?],TRUE,
          unit_details[Property Name], $F297,
          unit_details[Beds], $L297,
          unit_details[Baths], $M297,
          unit_details[Partial Baths],IF(ISNUMBER($N297),$N297,""),
          unit_details[Sqft],$P297))</f>
        <v>0</v>
      </c>
      <c r="AC297" s="27" t="str">
        <f t="shared" si="47"/>
        <v/>
      </c>
      <c r="AD297" s="293" t="str">
        <f>IFERROR(IF(AE297="","",IF($F297="Total",
SUMPRODUCT(
   INDEX(AD:AD, ROW()-COUNTIF($F$6:INDEX($F:$F, ROW()-1), $F296)) : INDEX(AD:AD, ROW()-1),
   INDEX(AB:AB, ROW()-COUNTIF($F$6:INDEX($F:$F, ROW()-1), $F296)) : INDEX(AB:AB, ROW()-1)
   )
   /SUM(INDEX(AB:AB, ROW()-COUNTIF($F$6:INDEX($F:$F, ROW()-1), $F296)) : INDEX(AB:AB, ROW()-1)),
          _xlfn.MINIFS(unit_details[Asking Rent],
          unit_details[Active Listing?],TRUE,
          unit_details[Property Name], $F297,
          unit_details[Beds], $L297,
          unit_details[Baths], $M297,
          unit_details[Partial Baths], IF(ISNUMBER($N297),$N297,""),
          unit_details[Sqft],$P297
))),"")</f>
        <v/>
      </c>
      <c r="AE297" s="5" t="str">
        <f>IFERROR(IF($F297="Total",
          SUMPRODUCT(
   INDEX(AE:AE, ROW()-COUNTIF($F$6:INDEX($F:$F, ROW()-1), $F296)) : INDEX(AE:AE, ROW()-1),
   INDEX(AB:AB, ROW()-COUNTIF($F$6:INDEX($F:$F, ROW()-1), $F296)) : INDEX(AB:AB, ROW()-1)
   )
   /SUM(INDEX(AB:AB, ROW()-COUNTIF($F$6:INDEX($F:$F, ROW()-1), $F296)) : INDEX(AB:AB, ROW()-1)),
          AVERAGEIFS(unit_details[Asking Rent],
          unit_details[Active Listing?],TRUE,
          unit_details[Property Name], $F297,
          unit_details[Beds], $L297,
          unit_details[Baths], $M297,
          unit_details[Partial Baths], IF(ISNUMBER($N297),$N297,""),
          unit_details[Sqft],$P297
)),"")</f>
        <v/>
      </c>
      <c r="AF297" s="5" t="str">
        <f>IFERROR(IF(AE297="","",IF($F297="Total",
SUMPRODUCT(
   INDEX(AF:AF, ROW()-COUNTIF($F$6:INDEX($F:$F, ROW()-1), $F296)) : INDEX(AF:AF, ROW()-1),
   INDEX(AB:AB, ROW()-COUNTIF($F$6:INDEX($F:$F, ROW()-1), $F296)) : INDEX(AB:AB, ROW()-1)
   )
   /SUM(INDEX(AB:AB, ROW()-COUNTIF($F$6:INDEX($F:$F, ROW()-1), $F296)) : INDEX(AB:AB, ROW()-1)),
           _xlfn.MAXIFS(unit_details[Asking Rent],
          unit_details[Active Listing?],TRUE,
          unit_details[Property Name], $F297,
          unit_details[Beds], $L297,
          unit_details[Baths], $M297,
          unit_details[Partial Baths], IF(ISNUMBER($N297),$N297,""),
          unit_details[Sqft],$P297
))),"")</f>
        <v/>
      </c>
      <c r="AG297" s="6" t="str">
        <f>IFERROR(IF($F297="Total",
         SUMPRODUCT(
         INDEX(AG:AG, ROW()-COUNTIF($F$6:INDEX($F:$F, ROW()-1), $F296)) : INDEX(AG:AG, ROW()-1),
         INDEX(AB:AB, ROW()-COUNTIF($F$6:INDEX($F:$F, ROW()-1), $F296)) : INDEX(AB:AB, ROW()-1)
         )
         /SUM(INDEX(AB:AB, ROW()-COUNTIF($F$6:INDEX($F:$F, ROW()-1), $F296)) : INDEX(AB:AB, ROW()-1)),
          AVERAGEIFS(unit_details[Asking PSF],
          unit_details[Active Listing?],TRUE,
          unit_details[Property Name], $F297,
          unit_details[Beds], $L297,
          unit_details[Baths], $M297,
          unit_details[Partial Baths], IF(ISNUMBER($N297),$N297,""),
          unit_details[Sqft],$P297
)),"")</f>
        <v/>
      </c>
      <c r="AH297" s="293" t="str">
        <f>IFERROR(IF($F297="Total",
         SUMPRODUCT(
         INDEX(AH:AH, ROW()-COUNTIF($F$6:INDEX($F:$F, ROW()-1), $F296)) : INDEX(AH:AH, ROW()-1),
         INDEX(AB:AB, ROW()-COUNTIF($F$6:INDEX($F:$F, ROW()-1), $F296)) : INDEX(AB:AB, ROW()-1)
         )
         /SUM(INDEX(AB:AB, ROW()-COUNTIF($F$6:INDEX($F:$F, ROW()-1), $F296)) : INDEX(AB:AB, ROW()-1)),
          AVERAGEIFS(unit_details[Effective Rent],
          unit_details[Active Listing?],TRUE,
          unit_details[Property Name], $F297,
          unit_details[Beds], $L297,
          unit_details[Baths], $M297,
          unit_details[Partial Baths], IF(ISNUMBER($N297),$N297,""),
          unit_details[Sqft],$P297
)),"")</f>
        <v/>
      </c>
      <c r="AI297" s="6" t="str">
        <f>IFERROR(IF($F297="Total",
         SUMPRODUCT(
         INDEX(AI:AI, ROW()-COUNTIF($F$6:INDEX($F:$F, ROW()-1), $F296)) : INDEX(AI:AI, ROW()-1),
         INDEX(AB:AB, ROW()-COUNTIF($F$6:INDEX($F:$F, ROW()-1), $F296)) : INDEX(AB:AB, ROW()-1)
         )
         /SUM(INDEX(AB:AB, ROW()-COUNTIF($F$6:INDEX($F:$F, ROW()-1), $F296)) : INDEX(AB:AB, ROW()-1)),
           AVERAGEIFS(unit_details[Effective PSF],
          unit_details[Active Listing?],TRUE,
          unit_details[Property Name], $F297,
          unit_details[Beds], $L297,
          unit_details[Baths], $M297,
          unit_details[Partial Baths], IF(ISNUMBER($N297),$N297,""),
          unit_details[Sqft],$P297
)),"")</f>
        <v/>
      </c>
      <c r="AJ297" s="824" t="str">
        <f t="shared" si="48"/>
        <v/>
      </c>
      <c r="AK297" s="531" t="str">
        <f t="shared" si="49"/>
        <v/>
      </c>
      <c r="AL297" s="714" t="str">
        <f t="shared" si="50"/>
        <v/>
      </c>
      <c r="AM297" s="531" t="str">
        <f t="shared" si="51"/>
        <v/>
      </c>
      <c r="AN297" s="716" t="str">
        <f t="shared" si="52"/>
        <v/>
      </c>
    </row>
    <row r="298" spans="6:40" x14ac:dyDescent="0.2">
      <c r="F298" s="1" t="str">
        <f t="shared" si="45"/>
        <v/>
      </c>
      <c r="G298" s="713" t="str">
        <f t="shared" si="53"/>
        <v/>
      </c>
      <c r="H298" s="17" t="str">
        <f>IFERROR(VLOOKUP($G298,Table1[[Property]:[Exposure %]],4,0),"")</f>
        <v/>
      </c>
      <c r="I298" s="3" t="str">
        <f>IFERROR(VLOOKUP($G298,Table1[[Property]:[Exposure %]],6,0),"")</f>
        <v/>
      </c>
      <c r="J298" s="3" t="str">
        <f>IFERROR(VLOOKUP($G298,Table1[[Property]:[Exposure %]],7,0),"")</f>
        <v/>
      </c>
      <c r="K298"/>
      <c r="L298"/>
      <c r="M298"/>
      <c r="N298"/>
      <c r="O298"/>
      <c r="P298"/>
      <c r="Q298"/>
      <c r="R298" s="4" t="str">
        <f>IFERROR(VLOOKUP(IF(F298="Total",F297,F298),Table1[[Property]:['# Units]],7,0)*S298,"")</f>
        <v/>
      </c>
      <c r="S298" s="27" t="str">
        <f t="shared" si="46"/>
        <v/>
      </c>
      <c r="T298" s="531" t="str">
        <f>IFERROR(
 IF($F298="Total",
   SUMPRODUCT(
   INDEX(T:T, ROW()-COUNTIF($F$6:INDEX($F:$F, ROW()-1), $F297)) : INDEX(T:T, ROW()-1),
   INDEX(W:W, ROW()-COUNTIF($F$6:INDEX($F:$F, ROW()-1), $F297)) : INDEX(W:W, ROW()-1)
   )
   /SUM(INDEX(W:W, ROW()-COUNTIF($F$6:INDEX($F:$F, ROW()-1), $F297)) : INDEX(W:W, ROW()-1)),
   AVERAGEIFS(
     INDEX((unit_details[Asking Rent],unit_details[Asking PSF]),0,1,IF($U$3="Chunk Rent",1,2)),
     unit_details[Leased Date],"&gt;="&amp;($AM$2-T$5),
     unit_details[Leased Date],"&lt;"&amp;$AM$2,
     unit_details[Beds],$L298,
     unit_details[Baths],$M298,
     unit_details[Partial Baths],IF(ISNUMBER($N298),$N298,""),
     unit_details[Sqft],$P298,
     unit_details[Property Name],$F298)
 ),"")</f>
        <v/>
      </c>
      <c r="U298" s="552" t="str">
        <f>IFERROR(
 IF($F298="Total",
   SUMPRODUCT(
   INDEX(U:U, ROW()-COUNTIF($F$6:INDEX($F:$F, ROW()-1), $F297)) : INDEX(U:U, ROW()-1),
   INDEX(W:W, ROW()-COUNTIF($F$6:INDEX($F:$F, ROW()-1), $F297)) : INDEX(W:W, ROW()-1)
   )
   /SUM(INDEX(W:W, ROW()-COUNTIF($F$6:INDEX($F:$F, ROW()-1), $F297)) : INDEX(W:W, ROW()-1)),
   AVERAGEIFS(
     INDEX((unit_details[Effective Rent],unit_details[Effective PSF]),0,1,IF($U$3="Chunk Rent",1,2)),
     unit_details[Leased Date],"&gt;="&amp;($AM$2-T$5),
     unit_details[Leased Date],"&lt;"&amp;$AM$2,
     unit_details[Beds],$L298,
     unit_details[Baths],$M298,
     unit_details[Partial Baths],IF(ISNUMBER($N298),$N298,""),
     unit_details[Sqft],$P298,
     unit_details[Property Name],$F298)
 ),"")</f>
        <v/>
      </c>
      <c r="V298" s="27" t="str">
        <f t="shared" si="54"/>
        <v/>
      </c>
      <c r="W298" s="526">
        <f>IFERROR(
  IF($F298="Total",
    SUM(INDEX(W:W, ROW()-COUNTIF($F$6:INDEX($F:$F, ROW()-1), $F297)) : INDEX(W:W, ROW()-1)),
    COUNTIFS(
      unit_details[Leased Date], "&gt;="&amp;($AM$2-T$5),
      unit_details[Leased Date], "&lt;"&amp;$AM$2,
      unit_details[Beds], $L298,
      unit_details[Baths], $M298,
      unit_details[Partial Baths], IF(ISNUMBER($N298), $N298, ""),
      unit_details[Sqft],$P298,
      unit_details[Property Name], $F298
    )
  ),
"")</f>
        <v>0</v>
      </c>
      <c r="X298" s="531" t="str">
        <f>IFERROR(
 IF($F298="Total",
   SUMPRODUCT(
   INDEX(X:X, ROW()-COUNTIF($F$6:INDEX($F:$F, ROW()-1), $F297)) : INDEX(X:X, ROW()-1),
   INDEX(AA:AA, ROW()-COUNTIF($F$6:INDEX($F:$F, ROW()-1), $F297)) : INDEX(AA:AA, ROW()-1)
   )
   /SUM(INDEX(AA:AA, ROW()-COUNTIF($F$6:INDEX($F:$F, ROW()-1), $F297)) : INDEX(AA:AA, ROW()-1)),
   AVERAGEIFS(
     INDEX((unit_details[Asking Rent],unit_details[Asking PSF]),0,1,IF($U$3="Chunk Rent",1,2)),
     unit_details[Leased Date],"&gt;="&amp;($AM$2-X$5),
     unit_details[Leased Date],"&lt;"&amp;$AM$2,
     unit_details[Beds],$L298,
     unit_details[Baths],$M298,
     unit_details[Partial Baths],IF(ISNUMBER($N298),$N298,""),
     unit_details[Sqft],$P298,
     unit_details[Property Name],$F298)
 ),"")</f>
        <v/>
      </c>
      <c r="Y298" s="552" t="str">
        <f>IFERROR(
 IF($F298="Total",
   SUMPRODUCT(
   INDEX(Y:Y, ROW()-COUNTIF($F$6:INDEX($F:$F, ROW()-1), $F297)) : INDEX(Y:Y, ROW()-1),
   INDEX(AA:AA, ROW()-COUNTIF($F$6:INDEX($F:$F, ROW()-1), $F297)) : INDEX(AA:AA, ROW()-1)
   )
   /SUM(INDEX(AA:AA, ROW()-COUNTIF($F$6:INDEX($F:$F, ROW()-1), $F297)) : INDEX(AA:AA, ROW()-1)),
   AVERAGEIFS(
     INDEX((unit_details[Effective Rent],unit_details[Effective PSF]),0,1,IF($U$3="Chunk Rent",1,2)),
     unit_details[Leased Date],"&gt;="&amp;($AM$2-X$5),
     unit_details[Leased Date],"&lt;"&amp;$AM$2,
     unit_details[Beds],$L298,
     unit_details[Baths],$M298,
     unit_details[Partial Baths],IF(ISNUMBER($N298),$N298,""),
     unit_details[Sqft],$P298,
     unit_details[Property Name],$F298)
 ),"")</f>
        <v/>
      </c>
      <c r="Z298" s="27" t="str">
        <f t="shared" si="55"/>
        <v/>
      </c>
      <c r="AA298" s="526">
        <f>IFERROR(
  IF($F298="Total",
    SUM(INDEX(AA:AA, ROW()-COUNTIF($F$6:INDEX($F:$F, ROW()-1), $F297)) : INDEX(AA:AA, ROW()-1)),
    COUNTIFS(
      unit_details[Leased Date], "&gt;="&amp;($AM$2-X$5),
      unit_details[Leased Date], "&lt;"&amp;$AM$2,
      unit_details[Beds], $L298,
      unit_details[Baths], $M298,
      unit_details[Partial Baths], IF(ISNUMBER($N298), $N298, ""),
      unit_details[Sqft],$P298,
      unit_details[Property Name], $F298
    )
  ),
"")</f>
        <v>0</v>
      </c>
      <c r="AB298" s="290">
        <f>IF($F298="Total",
SUM(INDEX(AB:AB, ROW()-COUNTIF($F$6:INDEX($F:$F, ROW()-1), $F297)) : INDEX(AB:AB, ROW()-1)),
COUNTIFS(unit_details[Active Listing?],TRUE,
          unit_details[Property Name], $F298,
          unit_details[Beds], $L298,
          unit_details[Baths], $M298,
          unit_details[Partial Baths],IF(ISNUMBER($N298),$N298,""),
          unit_details[Sqft],$P298))</f>
        <v>0</v>
      </c>
      <c r="AC298" s="27" t="str">
        <f t="shared" si="47"/>
        <v/>
      </c>
      <c r="AD298" s="293" t="str">
        <f>IFERROR(IF(AE298="","",IF($F298="Total",
SUMPRODUCT(
   INDEX(AD:AD, ROW()-COUNTIF($F$6:INDEX($F:$F, ROW()-1), $F297)) : INDEX(AD:AD, ROW()-1),
   INDEX(AB:AB, ROW()-COUNTIF($F$6:INDEX($F:$F, ROW()-1), $F297)) : INDEX(AB:AB, ROW()-1)
   )
   /SUM(INDEX(AB:AB, ROW()-COUNTIF($F$6:INDEX($F:$F, ROW()-1), $F297)) : INDEX(AB:AB, ROW()-1)),
          _xlfn.MINIFS(unit_details[Asking Rent],
          unit_details[Active Listing?],TRUE,
          unit_details[Property Name], $F298,
          unit_details[Beds], $L298,
          unit_details[Baths], $M298,
          unit_details[Partial Baths], IF(ISNUMBER($N298),$N298,""),
          unit_details[Sqft],$P298
))),"")</f>
        <v/>
      </c>
      <c r="AE298" s="5" t="str">
        <f>IFERROR(IF($F298="Total",
          SUMPRODUCT(
   INDEX(AE:AE, ROW()-COUNTIF($F$6:INDEX($F:$F, ROW()-1), $F297)) : INDEX(AE:AE, ROW()-1),
   INDEX(AB:AB, ROW()-COUNTIF($F$6:INDEX($F:$F, ROW()-1), $F297)) : INDEX(AB:AB, ROW()-1)
   )
   /SUM(INDEX(AB:AB, ROW()-COUNTIF($F$6:INDEX($F:$F, ROW()-1), $F297)) : INDEX(AB:AB, ROW()-1)),
          AVERAGEIFS(unit_details[Asking Rent],
          unit_details[Active Listing?],TRUE,
          unit_details[Property Name], $F298,
          unit_details[Beds], $L298,
          unit_details[Baths], $M298,
          unit_details[Partial Baths], IF(ISNUMBER($N298),$N298,""),
          unit_details[Sqft],$P298
)),"")</f>
        <v/>
      </c>
      <c r="AF298" s="5" t="str">
        <f>IFERROR(IF(AE298="","",IF($F298="Total",
SUMPRODUCT(
   INDEX(AF:AF, ROW()-COUNTIF($F$6:INDEX($F:$F, ROW()-1), $F297)) : INDEX(AF:AF, ROW()-1),
   INDEX(AB:AB, ROW()-COUNTIF($F$6:INDEX($F:$F, ROW()-1), $F297)) : INDEX(AB:AB, ROW()-1)
   )
   /SUM(INDEX(AB:AB, ROW()-COUNTIF($F$6:INDEX($F:$F, ROW()-1), $F297)) : INDEX(AB:AB, ROW()-1)),
           _xlfn.MAXIFS(unit_details[Asking Rent],
          unit_details[Active Listing?],TRUE,
          unit_details[Property Name], $F298,
          unit_details[Beds], $L298,
          unit_details[Baths], $M298,
          unit_details[Partial Baths], IF(ISNUMBER($N298),$N298,""),
          unit_details[Sqft],$P298
))),"")</f>
        <v/>
      </c>
      <c r="AG298" s="6" t="str">
        <f>IFERROR(IF($F298="Total",
         SUMPRODUCT(
         INDEX(AG:AG, ROW()-COUNTIF($F$6:INDEX($F:$F, ROW()-1), $F297)) : INDEX(AG:AG, ROW()-1),
         INDEX(AB:AB, ROW()-COUNTIF($F$6:INDEX($F:$F, ROW()-1), $F297)) : INDEX(AB:AB, ROW()-1)
         )
         /SUM(INDEX(AB:AB, ROW()-COUNTIF($F$6:INDEX($F:$F, ROW()-1), $F297)) : INDEX(AB:AB, ROW()-1)),
          AVERAGEIFS(unit_details[Asking PSF],
          unit_details[Active Listing?],TRUE,
          unit_details[Property Name], $F298,
          unit_details[Beds], $L298,
          unit_details[Baths], $M298,
          unit_details[Partial Baths], IF(ISNUMBER($N298),$N298,""),
          unit_details[Sqft],$P298
)),"")</f>
        <v/>
      </c>
      <c r="AH298" s="293" t="str">
        <f>IFERROR(IF($F298="Total",
         SUMPRODUCT(
         INDEX(AH:AH, ROW()-COUNTIF($F$6:INDEX($F:$F, ROW()-1), $F297)) : INDEX(AH:AH, ROW()-1),
         INDEX(AB:AB, ROW()-COUNTIF($F$6:INDEX($F:$F, ROW()-1), $F297)) : INDEX(AB:AB, ROW()-1)
         )
         /SUM(INDEX(AB:AB, ROW()-COUNTIF($F$6:INDEX($F:$F, ROW()-1), $F297)) : INDEX(AB:AB, ROW()-1)),
          AVERAGEIFS(unit_details[Effective Rent],
          unit_details[Active Listing?],TRUE,
          unit_details[Property Name], $F298,
          unit_details[Beds], $L298,
          unit_details[Baths], $M298,
          unit_details[Partial Baths], IF(ISNUMBER($N298),$N298,""),
          unit_details[Sqft],$P298
)),"")</f>
        <v/>
      </c>
      <c r="AI298" s="6" t="str">
        <f>IFERROR(IF($F298="Total",
         SUMPRODUCT(
         INDEX(AI:AI, ROW()-COUNTIF($F$6:INDEX($F:$F, ROW()-1), $F297)) : INDEX(AI:AI, ROW()-1),
         INDEX(AB:AB, ROW()-COUNTIF($F$6:INDEX($F:$F, ROW()-1), $F297)) : INDEX(AB:AB, ROW()-1)
         )
         /SUM(INDEX(AB:AB, ROW()-COUNTIF($F$6:INDEX($F:$F, ROW()-1), $F297)) : INDEX(AB:AB, ROW()-1)),
           AVERAGEIFS(unit_details[Effective PSF],
          unit_details[Active Listing?],TRUE,
          unit_details[Property Name], $F298,
          unit_details[Beds], $L298,
          unit_details[Baths], $M298,
          unit_details[Partial Baths], IF(ISNUMBER($N298),$N298,""),
          unit_details[Sqft],$P298
)),"")</f>
        <v/>
      </c>
      <c r="AJ298" s="824" t="str">
        <f t="shared" si="48"/>
        <v/>
      </c>
      <c r="AK298" s="531" t="str">
        <f t="shared" si="49"/>
        <v/>
      </c>
      <c r="AL298" s="714" t="str">
        <f t="shared" si="50"/>
        <v/>
      </c>
      <c r="AM298" s="531" t="str">
        <f t="shared" si="51"/>
        <v/>
      </c>
      <c r="AN298" s="716" t="str">
        <f t="shared" si="52"/>
        <v/>
      </c>
    </row>
    <row r="299" spans="6:40" x14ac:dyDescent="0.2">
      <c r="F299" s="1" t="str">
        <f t="shared" si="45"/>
        <v/>
      </c>
      <c r="G299" s="713" t="str">
        <f t="shared" si="53"/>
        <v/>
      </c>
      <c r="H299" s="17" t="str">
        <f>IFERROR(VLOOKUP($G299,Table1[[Property]:[Exposure %]],4,0),"")</f>
        <v/>
      </c>
      <c r="I299" s="3" t="str">
        <f>IFERROR(VLOOKUP($G299,Table1[[Property]:[Exposure %]],6,0),"")</f>
        <v/>
      </c>
      <c r="J299" s="3" t="str">
        <f>IFERROR(VLOOKUP($G299,Table1[[Property]:[Exposure %]],7,0),"")</f>
        <v/>
      </c>
      <c r="K299"/>
      <c r="L299"/>
      <c r="M299"/>
      <c r="N299"/>
      <c r="O299"/>
      <c r="P299"/>
      <c r="Q299"/>
      <c r="R299" s="4" t="str">
        <f>IFERROR(VLOOKUP(IF(F299="Total",F298,F299),Table1[[Property]:['# Units]],7,0)*S299,"")</f>
        <v/>
      </c>
      <c r="S299" s="27" t="str">
        <f t="shared" si="46"/>
        <v/>
      </c>
      <c r="T299" s="531" t="str">
        <f>IFERROR(
 IF($F299="Total",
   SUMPRODUCT(
   INDEX(T:T, ROW()-COUNTIF($F$6:INDEX($F:$F, ROW()-1), $F298)) : INDEX(T:T, ROW()-1),
   INDEX(W:W, ROW()-COUNTIF($F$6:INDEX($F:$F, ROW()-1), $F298)) : INDEX(W:W, ROW()-1)
   )
   /SUM(INDEX(W:W, ROW()-COUNTIF($F$6:INDEX($F:$F, ROW()-1), $F298)) : INDEX(W:W, ROW()-1)),
   AVERAGEIFS(
     INDEX((unit_details[Asking Rent],unit_details[Asking PSF]),0,1,IF($U$3="Chunk Rent",1,2)),
     unit_details[Leased Date],"&gt;="&amp;($AM$2-T$5),
     unit_details[Leased Date],"&lt;"&amp;$AM$2,
     unit_details[Beds],$L299,
     unit_details[Baths],$M299,
     unit_details[Partial Baths],IF(ISNUMBER($N299),$N299,""),
     unit_details[Sqft],$P299,
     unit_details[Property Name],$F299)
 ),"")</f>
        <v/>
      </c>
      <c r="U299" s="552" t="str">
        <f>IFERROR(
 IF($F299="Total",
   SUMPRODUCT(
   INDEX(U:U, ROW()-COUNTIF($F$6:INDEX($F:$F, ROW()-1), $F298)) : INDEX(U:U, ROW()-1),
   INDEX(W:W, ROW()-COUNTIF($F$6:INDEX($F:$F, ROW()-1), $F298)) : INDEX(W:W, ROW()-1)
   )
   /SUM(INDEX(W:W, ROW()-COUNTIF($F$6:INDEX($F:$F, ROW()-1), $F298)) : INDEX(W:W, ROW()-1)),
   AVERAGEIFS(
     INDEX((unit_details[Effective Rent],unit_details[Effective PSF]),0,1,IF($U$3="Chunk Rent",1,2)),
     unit_details[Leased Date],"&gt;="&amp;($AM$2-T$5),
     unit_details[Leased Date],"&lt;"&amp;$AM$2,
     unit_details[Beds],$L299,
     unit_details[Baths],$M299,
     unit_details[Partial Baths],IF(ISNUMBER($N299),$N299,""),
     unit_details[Sqft],$P299,
     unit_details[Property Name],$F299)
 ),"")</f>
        <v/>
      </c>
      <c r="V299" s="27" t="str">
        <f t="shared" si="54"/>
        <v/>
      </c>
      <c r="W299" s="526">
        <f>IFERROR(
  IF($F299="Total",
    SUM(INDEX(W:W, ROW()-COUNTIF($F$6:INDEX($F:$F, ROW()-1), $F298)) : INDEX(W:W, ROW()-1)),
    COUNTIFS(
      unit_details[Leased Date], "&gt;="&amp;($AM$2-T$5),
      unit_details[Leased Date], "&lt;"&amp;$AM$2,
      unit_details[Beds], $L299,
      unit_details[Baths], $M299,
      unit_details[Partial Baths], IF(ISNUMBER($N299), $N299, ""),
      unit_details[Sqft],$P299,
      unit_details[Property Name], $F299
    )
  ),
"")</f>
        <v>0</v>
      </c>
      <c r="X299" s="531" t="str">
        <f>IFERROR(
 IF($F299="Total",
   SUMPRODUCT(
   INDEX(X:X, ROW()-COUNTIF($F$6:INDEX($F:$F, ROW()-1), $F298)) : INDEX(X:X, ROW()-1),
   INDEX(AA:AA, ROW()-COUNTIF($F$6:INDEX($F:$F, ROW()-1), $F298)) : INDEX(AA:AA, ROW()-1)
   )
   /SUM(INDEX(AA:AA, ROW()-COUNTIF($F$6:INDEX($F:$F, ROW()-1), $F298)) : INDEX(AA:AA, ROW()-1)),
   AVERAGEIFS(
     INDEX((unit_details[Asking Rent],unit_details[Asking PSF]),0,1,IF($U$3="Chunk Rent",1,2)),
     unit_details[Leased Date],"&gt;="&amp;($AM$2-X$5),
     unit_details[Leased Date],"&lt;"&amp;$AM$2,
     unit_details[Beds],$L299,
     unit_details[Baths],$M299,
     unit_details[Partial Baths],IF(ISNUMBER($N299),$N299,""),
     unit_details[Sqft],$P299,
     unit_details[Property Name],$F299)
 ),"")</f>
        <v/>
      </c>
      <c r="Y299" s="552" t="str">
        <f>IFERROR(
 IF($F299="Total",
   SUMPRODUCT(
   INDEX(Y:Y, ROW()-COUNTIF($F$6:INDEX($F:$F, ROW()-1), $F298)) : INDEX(Y:Y, ROW()-1),
   INDEX(AA:AA, ROW()-COUNTIF($F$6:INDEX($F:$F, ROW()-1), $F298)) : INDEX(AA:AA, ROW()-1)
   )
   /SUM(INDEX(AA:AA, ROW()-COUNTIF($F$6:INDEX($F:$F, ROW()-1), $F298)) : INDEX(AA:AA, ROW()-1)),
   AVERAGEIFS(
     INDEX((unit_details[Effective Rent],unit_details[Effective PSF]),0,1,IF($U$3="Chunk Rent",1,2)),
     unit_details[Leased Date],"&gt;="&amp;($AM$2-X$5),
     unit_details[Leased Date],"&lt;"&amp;$AM$2,
     unit_details[Beds],$L299,
     unit_details[Baths],$M299,
     unit_details[Partial Baths],IF(ISNUMBER($N299),$N299,""),
     unit_details[Sqft],$P299,
     unit_details[Property Name],$F299)
 ),"")</f>
        <v/>
      </c>
      <c r="Z299" s="27" t="str">
        <f t="shared" si="55"/>
        <v/>
      </c>
      <c r="AA299" s="526">
        <f>IFERROR(
  IF($F299="Total",
    SUM(INDEX(AA:AA, ROW()-COUNTIF($F$6:INDEX($F:$F, ROW()-1), $F298)) : INDEX(AA:AA, ROW()-1)),
    COUNTIFS(
      unit_details[Leased Date], "&gt;="&amp;($AM$2-X$5),
      unit_details[Leased Date], "&lt;"&amp;$AM$2,
      unit_details[Beds], $L299,
      unit_details[Baths], $M299,
      unit_details[Partial Baths], IF(ISNUMBER($N299), $N299, ""),
      unit_details[Sqft],$P299,
      unit_details[Property Name], $F299
    )
  ),
"")</f>
        <v>0</v>
      </c>
      <c r="AB299" s="290">
        <f>IF($F299="Total",
SUM(INDEX(AB:AB, ROW()-COUNTIF($F$6:INDEX($F:$F, ROW()-1), $F298)) : INDEX(AB:AB, ROW()-1)),
COUNTIFS(unit_details[Active Listing?],TRUE,
          unit_details[Property Name], $F299,
          unit_details[Beds], $L299,
          unit_details[Baths], $M299,
          unit_details[Partial Baths],IF(ISNUMBER($N299),$N299,""),
          unit_details[Sqft],$P299))</f>
        <v>0</v>
      </c>
      <c r="AC299" s="27" t="str">
        <f t="shared" si="47"/>
        <v/>
      </c>
      <c r="AD299" s="293" t="str">
        <f>IFERROR(IF(AE299="","",IF($F299="Total",
SUMPRODUCT(
   INDEX(AD:AD, ROW()-COUNTIF($F$6:INDEX($F:$F, ROW()-1), $F298)) : INDEX(AD:AD, ROW()-1),
   INDEX(AB:AB, ROW()-COUNTIF($F$6:INDEX($F:$F, ROW()-1), $F298)) : INDEX(AB:AB, ROW()-1)
   )
   /SUM(INDEX(AB:AB, ROW()-COUNTIF($F$6:INDEX($F:$F, ROW()-1), $F298)) : INDEX(AB:AB, ROW()-1)),
          _xlfn.MINIFS(unit_details[Asking Rent],
          unit_details[Active Listing?],TRUE,
          unit_details[Property Name], $F299,
          unit_details[Beds], $L299,
          unit_details[Baths], $M299,
          unit_details[Partial Baths], IF(ISNUMBER($N299),$N299,""),
          unit_details[Sqft],$P299
))),"")</f>
        <v/>
      </c>
      <c r="AE299" s="5" t="str">
        <f>IFERROR(IF($F299="Total",
          SUMPRODUCT(
   INDEX(AE:AE, ROW()-COUNTIF($F$6:INDEX($F:$F, ROW()-1), $F298)) : INDEX(AE:AE, ROW()-1),
   INDEX(AB:AB, ROW()-COUNTIF($F$6:INDEX($F:$F, ROW()-1), $F298)) : INDEX(AB:AB, ROW()-1)
   )
   /SUM(INDEX(AB:AB, ROW()-COUNTIF($F$6:INDEX($F:$F, ROW()-1), $F298)) : INDEX(AB:AB, ROW()-1)),
          AVERAGEIFS(unit_details[Asking Rent],
          unit_details[Active Listing?],TRUE,
          unit_details[Property Name], $F299,
          unit_details[Beds], $L299,
          unit_details[Baths], $M299,
          unit_details[Partial Baths], IF(ISNUMBER($N299),$N299,""),
          unit_details[Sqft],$P299
)),"")</f>
        <v/>
      </c>
      <c r="AF299" s="5" t="str">
        <f>IFERROR(IF(AE299="","",IF($F299="Total",
SUMPRODUCT(
   INDEX(AF:AF, ROW()-COUNTIF($F$6:INDEX($F:$F, ROW()-1), $F298)) : INDEX(AF:AF, ROW()-1),
   INDEX(AB:AB, ROW()-COUNTIF($F$6:INDEX($F:$F, ROW()-1), $F298)) : INDEX(AB:AB, ROW()-1)
   )
   /SUM(INDEX(AB:AB, ROW()-COUNTIF($F$6:INDEX($F:$F, ROW()-1), $F298)) : INDEX(AB:AB, ROW()-1)),
           _xlfn.MAXIFS(unit_details[Asking Rent],
          unit_details[Active Listing?],TRUE,
          unit_details[Property Name], $F299,
          unit_details[Beds], $L299,
          unit_details[Baths], $M299,
          unit_details[Partial Baths], IF(ISNUMBER($N299),$N299,""),
          unit_details[Sqft],$P299
))),"")</f>
        <v/>
      </c>
      <c r="AG299" s="6" t="str">
        <f>IFERROR(IF($F299="Total",
         SUMPRODUCT(
         INDEX(AG:AG, ROW()-COUNTIF($F$6:INDEX($F:$F, ROW()-1), $F298)) : INDEX(AG:AG, ROW()-1),
         INDEX(AB:AB, ROW()-COUNTIF($F$6:INDEX($F:$F, ROW()-1), $F298)) : INDEX(AB:AB, ROW()-1)
         )
         /SUM(INDEX(AB:AB, ROW()-COUNTIF($F$6:INDEX($F:$F, ROW()-1), $F298)) : INDEX(AB:AB, ROW()-1)),
          AVERAGEIFS(unit_details[Asking PSF],
          unit_details[Active Listing?],TRUE,
          unit_details[Property Name], $F299,
          unit_details[Beds], $L299,
          unit_details[Baths], $M299,
          unit_details[Partial Baths], IF(ISNUMBER($N299),$N299,""),
          unit_details[Sqft],$P299
)),"")</f>
        <v/>
      </c>
      <c r="AH299" s="293" t="str">
        <f>IFERROR(IF($F299="Total",
         SUMPRODUCT(
         INDEX(AH:AH, ROW()-COUNTIF($F$6:INDEX($F:$F, ROW()-1), $F298)) : INDEX(AH:AH, ROW()-1),
         INDEX(AB:AB, ROW()-COUNTIF($F$6:INDEX($F:$F, ROW()-1), $F298)) : INDEX(AB:AB, ROW()-1)
         )
         /SUM(INDEX(AB:AB, ROW()-COUNTIF($F$6:INDEX($F:$F, ROW()-1), $F298)) : INDEX(AB:AB, ROW()-1)),
          AVERAGEIFS(unit_details[Effective Rent],
          unit_details[Active Listing?],TRUE,
          unit_details[Property Name], $F299,
          unit_details[Beds], $L299,
          unit_details[Baths], $M299,
          unit_details[Partial Baths], IF(ISNUMBER($N299),$N299,""),
          unit_details[Sqft],$P299
)),"")</f>
        <v/>
      </c>
      <c r="AI299" s="6" t="str">
        <f>IFERROR(IF($F299="Total",
         SUMPRODUCT(
         INDEX(AI:AI, ROW()-COUNTIF($F$6:INDEX($F:$F, ROW()-1), $F298)) : INDEX(AI:AI, ROW()-1),
         INDEX(AB:AB, ROW()-COUNTIF($F$6:INDEX($F:$F, ROW()-1), $F298)) : INDEX(AB:AB, ROW()-1)
         )
         /SUM(INDEX(AB:AB, ROW()-COUNTIF($F$6:INDEX($F:$F, ROW()-1), $F298)) : INDEX(AB:AB, ROW()-1)),
           AVERAGEIFS(unit_details[Effective PSF],
          unit_details[Active Listing?],TRUE,
          unit_details[Property Name], $F299,
          unit_details[Beds], $L299,
          unit_details[Baths], $M299,
          unit_details[Partial Baths], IF(ISNUMBER($N299),$N299,""),
          unit_details[Sqft],$P299
)),"")</f>
        <v/>
      </c>
      <c r="AJ299" s="824" t="str">
        <f t="shared" si="48"/>
        <v/>
      </c>
      <c r="AK299" s="531" t="str">
        <f t="shared" si="49"/>
        <v/>
      </c>
      <c r="AL299" s="714" t="str">
        <f t="shared" si="50"/>
        <v/>
      </c>
      <c r="AM299" s="531" t="str">
        <f t="shared" si="51"/>
        <v/>
      </c>
      <c r="AN299" s="716" t="str">
        <f t="shared" si="52"/>
        <v/>
      </c>
    </row>
    <row r="300" spans="6:40" x14ac:dyDescent="0.2">
      <c r="F300" s="1" t="str">
        <f t="shared" si="45"/>
        <v/>
      </c>
      <c r="G300" s="713" t="str">
        <f t="shared" si="53"/>
        <v/>
      </c>
      <c r="H300" s="17" t="str">
        <f>IFERROR(VLOOKUP($G300,Table1[[Property]:[Exposure %]],4,0),"")</f>
        <v/>
      </c>
      <c r="I300" s="3" t="str">
        <f>IFERROR(VLOOKUP($G300,Table1[[Property]:[Exposure %]],6,0),"")</f>
        <v/>
      </c>
      <c r="J300" s="3" t="str">
        <f>IFERROR(VLOOKUP($G300,Table1[[Property]:[Exposure %]],7,0),"")</f>
        <v/>
      </c>
      <c r="K300"/>
      <c r="L300"/>
      <c r="M300"/>
      <c r="N300"/>
      <c r="O300"/>
      <c r="P300"/>
      <c r="Q300"/>
      <c r="R300" s="4" t="str">
        <f>IFERROR(VLOOKUP(IF(F300="Total",F299,F300),Table1[[Property]:['# Units]],7,0)*S300,"")</f>
        <v/>
      </c>
      <c r="S300" s="27" t="str">
        <f t="shared" si="46"/>
        <v/>
      </c>
      <c r="T300" s="531" t="str">
        <f>IFERROR(
 IF($F300="Total",
   SUMPRODUCT(
   INDEX(T:T, ROW()-COUNTIF($F$6:INDEX($F:$F, ROW()-1), $F299)) : INDEX(T:T, ROW()-1),
   INDEX(W:W, ROW()-COUNTIF($F$6:INDEX($F:$F, ROW()-1), $F299)) : INDEX(W:W, ROW()-1)
   )
   /SUM(INDEX(W:W, ROW()-COUNTIF($F$6:INDEX($F:$F, ROW()-1), $F299)) : INDEX(W:W, ROW()-1)),
   AVERAGEIFS(
     INDEX((unit_details[Asking Rent],unit_details[Asking PSF]),0,1,IF($U$3="Chunk Rent",1,2)),
     unit_details[Leased Date],"&gt;="&amp;($AM$2-T$5),
     unit_details[Leased Date],"&lt;"&amp;$AM$2,
     unit_details[Beds],$L300,
     unit_details[Baths],$M300,
     unit_details[Partial Baths],IF(ISNUMBER($N300),$N300,""),
     unit_details[Sqft],$P300,
     unit_details[Property Name],$F300)
 ),"")</f>
        <v/>
      </c>
      <c r="U300" s="552" t="str">
        <f>IFERROR(
 IF($F300="Total",
   SUMPRODUCT(
   INDEX(U:U, ROW()-COUNTIF($F$6:INDEX($F:$F, ROW()-1), $F299)) : INDEX(U:U, ROW()-1),
   INDEX(W:W, ROW()-COUNTIF($F$6:INDEX($F:$F, ROW()-1), $F299)) : INDEX(W:W, ROW()-1)
   )
   /SUM(INDEX(W:W, ROW()-COUNTIF($F$6:INDEX($F:$F, ROW()-1), $F299)) : INDEX(W:W, ROW()-1)),
   AVERAGEIFS(
     INDEX((unit_details[Effective Rent],unit_details[Effective PSF]),0,1,IF($U$3="Chunk Rent",1,2)),
     unit_details[Leased Date],"&gt;="&amp;($AM$2-T$5),
     unit_details[Leased Date],"&lt;"&amp;$AM$2,
     unit_details[Beds],$L300,
     unit_details[Baths],$M300,
     unit_details[Partial Baths],IF(ISNUMBER($N300),$N300,""),
     unit_details[Sqft],$P300,
     unit_details[Property Name],$F300)
 ),"")</f>
        <v/>
      </c>
      <c r="V300" s="27" t="str">
        <f t="shared" si="54"/>
        <v/>
      </c>
      <c r="W300" s="526">
        <f>IFERROR(
  IF($F300="Total",
    SUM(INDEX(W:W, ROW()-COUNTIF($F$6:INDEX($F:$F, ROW()-1), $F299)) : INDEX(W:W, ROW()-1)),
    COUNTIFS(
      unit_details[Leased Date], "&gt;="&amp;($AM$2-T$5),
      unit_details[Leased Date], "&lt;"&amp;$AM$2,
      unit_details[Beds], $L300,
      unit_details[Baths], $M300,
      unit_details[Partial Baths], IF(ISNUMBER($N300), $N300, ""),
      unit_details[Sqft],$P300,
      unit_details[Property Name], $F300
    )
  ),
"")</f>
        <v>0</v>
      </c>
      <c r="X300" s="531" t="str">
        <f>IFERROR(
 IF($F300="Total",
   SUMPRODUCT(
   INDEX(X:X, ROW()-COUNTIF($F$6:INDEX($F:$F, ROW()-1), $F299)) : INDEX(X:X, ROW()-1),
   INDEX(AA:AA, ROW()-COUNTIF($F$6:INDEX($F:$F, ROW()-1), $F299)) : INDEX(AA:AA, ROW()-1)
   )
   /SUM(INDEX(AA:AA, ROW()-COUNTIF($F$6:INDEX($F:$F, ROW()-1), $F299)) : INDEX(AA:AA, ROW()-1)),
   AVERAGEIFS(
     INDEX((unit_details[Asking Rent],unit_details[Asking PSF]),0,1,IF($U$3="Chunk Rent",1,2)),
     unit_details[Leased Date],"&gt;="&amp;($AM$2-X$5),
     unit_details[Leased Date],"&lt;"&amp;$AM$2,
     unit_details[Beds],$L300,
     unit_details[Baths],$M300,
     unit_details[Partial Baths],IF(ISNUMBER($N300),$N300,""),
     unit_details[Sqft],$P300,
     unit_details[Property Name],$F300)
 ),"")</f>
        <v/>
      </c>
      <c r="Y300" s="552" t="str">
        <f>IFERROR(
 IF($F300="Total",
   SUMPRODUCT(
   INDEX(Y:Y, ROW()-COUNTIF($F$6:INDEX($F:$F, ROW()-1), $F299)) : INDEX(Y:Y, ROW()-1),
   INDEX(AA:AA, ROW()-COUNTIF($F$6:INDEX($F:$F, ROW()-1), $F299)) : INDEX(AA:AA, ROW()-1)
   )
   /SUM(INDEX(AA:AA, ROW()-COUNTIF($F$6:INDEX($F:$F, ROW()-1), $F299)) : INDEX(AA:AA, ROW()-1)),
   AVERAGEIFS(
     INDEX((unit_details[Effective Rent],unit_details[Effective PSF]),0,1,IF($U$3="Chunk Rent",1,2)),
     unit_details[Leased Date],"&gt;="&amp;($AM$2-X$5),
     unit_details[Leased Date],"&lt;"&amp;$AM$2,
     unit_details[Beds],$L300,
     unit_details[Baths],$M300,
     unit_details[Partial Baths],IF(ISNUMBER($N300),$N300,""),
     unit_details[Sqft],$P300,
     unit_details[Property Name],$F300)
 ),"")</f>
        <v/>
      </c>
      <c r="Z300" s="27" t="str">
        <f t="shared" si="55"/>
        <v/>
      </c>
      <c r="AA300" s="526">
        <f>IFERROR(
  IF($F300="Total",
    SUM(INDEX(AA:AA, ROW()-COUNTIF($F$6:INDEX($F:$F, ROW()-1), $F299)) : INDEX(AA:AA, ROW()-1)),
    COUNTIFS(
      unit_details[Leased Date], "&gt;="&amp;($AM$2-X$5),
      unit_details[Leased Date], "&lt;"&amp;$AM$2,
      unit_details[Beds], $L300,
      unit_details[Baths], $M300,
      unit_details[Partial Baths], IF(ISNUMBER($N300), $N300, ""),
      unit_details[Sqft],$P300,
      unit_details[Property Name], $F300
    )
  ),
"")</f>
        <v>0</v>
      </c>
      <c r="AB300" s="290">
        <f>IF($F300="Total",
SUM(INDEX(AB:AB, ROW()-COUNTIF($F$6:INDEX($F:$F, ROW()-1), $F299)) : INDEX(AB:AB, ROW()-1)),
COUNTIFS(unit_details[Active Listing?],TRUE,
          unit_details[Property Name], $F300,
          unit_details[Beds], $L300,
          unit_details[Baths], $M300,
          unit_details[Partial Baths],IF(ISNUMBER($N300),$N300,""),
          unit_details[Sqft],$P300))</f>
        <v>0</v>
      </c>
      <c r="AC300" s="27" t="str">
        <f t="shared" si="47"/>
        <v/>
      </c>
      <c r="AD300" s="293" t="str">
        <f>IFERROR(IF(AE300="","",IF($F300="Total",
SUMPRODUCT(
   INDEX(AD:AD, ROW()-COUNTIF($F$6:INDEX($F:$F, ROW()-1), $F299)) : INDEX(AD:AD, ROW()-1),
   INDEX(AB:AB, ROW()-COUNTIF($F$6:INDEX($F:$F, ROW()-1), $F299)) : INDEX(AB:AB, ROW()-1)
   )
   /SUM(INDEX(AB:AB, ROW()-COUNTIF($F$6:INDEX($F:$F, ROW()-1), $F299)) : INDEX(AB:AB, ROW()-1)),
          _xlfn.MINIFS(unit_details[Asking Rent],
          unit_details[Active Listing?],TRUE,
          unit_details[Property Name], $F300,
          unit_details[Beds], $L300,
          unit_details[Baths], $M300,
          unit_details[Partial Baths], IF(ISNUMBER($N300),$N300,""),
          unit_details[Sqft],$P300
))),"")</f>
        <v/>
      </c>
      <c r="AE300" s="5" t="str">
        <f>IFERROR(IF($F300="Total",
          SUMPRODUCT(
   INDEX(AE:AE, ROW()-COUNTIF($F$6:INDEX($F:$F, ROW()-1), $F299)) : INDEX(AE:AE, ROW()-1),
   INDEX(AB:AB, ROW()-COUNTIF($F$6:INDEX($F:$F, ROW()-1), $F299)) : INDEX(AB:AB, ROW()-1)
   )
   /SUM(INDEX(AB:AB, ROW()-COUNTIF($F$6:INDEX($F:$F, ROW()-1), $F299)) : INDEX(AB:AB, ROW()-1)),
          AVERAGEIFS(unit_details[Asking Rent],
          unit_details[Active Listing?],TRUE,
          unit_details[Property Name], $F300,
          unit_details[Beds], $L300,
          unit_details[Baths], $M300,
          unit_details[Partial Baths], IF(ISNUMBER($N300),$N300,""),
          unit_details[Sqft],$P300
)),"")</f>
        <v/>
      </c>
      <c r="AF300" s="5" t="str">
        <f>IFERROR(IF(AE300="","",IF($F300="Total",
SUMPRODUCT(
   INDEX(AF:AF, ROW()-COUNTIF($F$6:INDEX($F:$F, ROW()-1), $F299)) : INDEX(AF:AF, ROW()-1),
   INDEX(AB:AB, ROW()-COUNTIF($F$6:INDEX($F:$F, ROW()-1), $F299)) : INDEX(AB:AB, ROW()-1)
   )
   /SUM(INDEX(AB:AB, ROW()-COUNTIF($F$6:INDEX($F:$F, ROW()-1), $F299)) : INDEX(AB:AB, ROW()-1)),
           _xlfn.MAXIFS(unit_details[Asking Rent],
          unit_details[Active Listing?],TRUE,
          unit_details[Property Name], $F300,
          unit_details[Beds], $L300,
          unit_details[Baths], $M300,
          unit_details[Partial Baths], IF(ISNUMBER($N300),$N300,""),
          unit_details[Sqft],$P300
))),"")</f>
        <v/>
      </c>
      <c r="AG300" s="6" t="str">
        <f>IFERROR(IF($F300="Total",
         SUMPRODUCT(
         INDEX(AG:AG, ROW()-COUNTIF($F$6:INDEX($F:$F, ROW()-1), $F299)) : INDEX(AG:AG, ROW()-1),
         INDEX(AB:AB, ROW()-COUNTIF($F$6:INDEX($F:$F, ROW()-1), $F299)) : INDEX(AB:AB, ROW()-1)
         )
         /SUM(INDEX(AB:AB, ROW()-COUNTIF($F$6:INDEX($F:$F, ROW()-1), $F299)) : INDEX(AB:AB, ROW()-1)),
          AVERAGEIFS(unit_details[Asking PSF],
          unit_details[Active Listing?],TRUE,
          unit_details[Property Name], $F300,
          unit_details[Beds], $L300,
          unit_details[Baths], $M300,
          unit_details[Partial Baths], IF(ISNUMBER($N300),$N300,""),
          unit_details[Sqft],$P300
)),"")</f>
        <v/>
      </c>
      <c r="AH300" s="293" t="str">
        <f>IFERROR(IF($F300="Total",
         SUMPRODUCT(
         INDEX(AH:AH, ROW()-COUNTIF($F$6:INDEX($F:$F, ROW()-1), $F299)) : INDEX(AH:AH, ROW()-1),
         INDEX(AB:AB, ROW()-COUNTIF($F$6:INDEX($F:$F, ROW()-1), $F299)) : INDEX(AB:AB, ROW()-1)
         )
         /SUM(INDEX(AB:AB, ROW()-COUNTIF($F$6:INDEX($F:$F, ROW()-1), $F299)) : INDEX(AB:AB, ROW()-1)),
          AVERAGEIFS(unit_details[Effective Rent],
          unit_details[Active Listing?],TRUE,
          unit_details[Property Name], $F300,
          unit_details[Beds], $L300,
          unit_details[Baths], $M300,
          unit_details[Partial Baths], IF(ISNUMBER($N300),$N300,""),
          unit_details[Sqft],$P300
)),"")</f>
        <v/>
      </c>
      <c r="AI300" s="6" t="str">
        <f>IFERROR(IF($F300="Total",
         SUMPRODUCT(
         INDEX(AI:AI, ROW()-COUNTIF($F$6:INDEX($F:$F, ROW()-1), $F299)) : INDEX(AI:AI, ROW()-1),
         INDEX(AB:AB, ROW()-COUNTIF($F$6:INDEX($F:$F, ROW()-1), $F299)) : INDEX(AB:AB, ROW()-1)
         )
         /SUM(INDEX(AB:AB, ROW()-COUNTIF($F$6:INDEX($F:$F, ROW()-1), $F299)) : INDEX(AB:AB, ROW()-1)),
           AVERAGEIFS(unit_details[Effective PSF],
          unit_details[Active Listing?],TRUE,
          unit_details[Property Name], $F300,
          unit_details[Beds], $L300,
          unit_details[Baths], $M300,
          unit_details[Partial Baths], IF(ISNUMBER($N300),$N300,""),
          unit_details[Sqft],$P300
)),"")</f>
        <v/>
      </c>
      <c r="AJ300" s="824" t="str">
        <f t="shared" si="48"/>
        <v/>
      </c>
      <c r="AK300" s="531" t="str">
        <f t="shared" si="49"/>
        <v/>
      </c>
      <c r="AL300" s="714" t="str">
        <f t="shared" si="50"/>
        <v/>
      </c>
      <c r="AM300" s="531" t="str">
        <f t="shared" si="51"/>
        <v/>
      </c>
      <c r="AN300" s="716" t="str">
        <f t="shared" si="52"/>
        <v/>
      </c>
    </row>
    <row r="301" spans="6:40" x14ac:dyDescent="0.2">
      <c r="F301" s="1" t="str">
        <f t="shared" si="45"/>
        <v/>
      </c>
      <c r="G301" s="713" t="str">
        <f t="shared" si="53"/>
        <v/>
      </c>
      <c r="H301" s="17" t="str">
        <f>IFERROR(VLOOKUP($G301,Table1[[Property]:[Exposure %]],4,0),"")</f>
        <v/>
      </c>
      <c r="I301" s="3" t="str">
        <f>IFERROR(VLOOKUP($G301,Table1[[Property]:[Exposure %]],6,0),"")</f>
        <v/>
      </c>
      <c r="J301" s="3" t="str">
        <f>IFERROR(VLOOKUP($G301,Table1[[Property]:[Exposure %]],7,0),"")</f>
        <v/>
      </c>
      <c r="K301"/>
      <c r="L301"/>
      <c r="M301"/>
      <c r="N301"/>
      <c r="O301"/>
      <c r="P301"/>
      <c r="Q301"/>
      <c r="R301" s="4" t="str">
        <f>IFERROR(VLOOKUP(IF(F301="Total",F300,F301),Table1[[Property]:['# Units]],7,0)*S301,"")</f>
        <v/>
      </c>
      <c r="S301" s="27" t="str">
        <f t="shared" si="46"/>
        <v/>
      </c>
      <c r="T301" s="531" t="str">
        <f>IFERROR(
 IF($F301="Total",
   SUMPRODUCT(
   INDEX(T:T, ROW()-COUNTIF($F$6:INDEX($F:$F, ROW()-1), $F300)) : INDEX(T:T, ROW()-1),
   INDEX(W:W, ROW()-COUNTIF($F$6:INDEX($F:$F, ROW()-1), $F300)) : INDEX(W:W, ROW()-1)
   )
   /SUM(INDEX(W:W, ROW()-COUNTIF($F$6:INDEX($F:$F, ROW()-1), $F300)) : INDEX(W:W, ROW()-1)),
   AVERAGEIFS(
     INDEX((unit_details[Asking Rent],unit_details[Asking PSF]),0,1,IF($U$3="Chunk Rent",1,2)),
     unit_details[Leased Date],"&gt;="&amp;($AM$2-T$5),
     unit_details[Leased Date],"&lt;"&amp;$AM$2,
     unit_details[Beds],$L301,
     unit_details[Baths],$M301,
     unit_details[Partial Baths],IF(ISNUMBER($N301),$N301,""),
     unit_details[Sqft],$P301,
     unit_details[Property Name],$F301)
 ),"")</f>
        <v/>
      </c>
      <c r="U301" s="552" t="str">
        <f>IFERROR(
 IF($F301="Total",
   SUMPRODUCT(
   INDEX(U:U, ROW()-COUNTIF($F$6:INDEX($F:$F, ROW()-1), $F300)) : INDEX(U:U, ROW()-1),
   INDEX(W:W, ROW()-COUNTIF($F$6:INDEX($F:$F, ROW()-1), $F300)) : INDEX(W:W, ROW()-1)
   )
   /SUM(INDEX(W:W, ROW()-COUNTIF($F$6:INDEX($F:$F, ROW()-1), $F300)) : INDEX(W:W, ROW()-1)),
   AVERAGEIFS(
     INDEX((unit_details[Effective Rent],unit_details[Effective PSF]),0,1,IF($U$3="Chunk Rent",1,2)),
     unit_details[Leased Date],"&gt;="&amp;($AM$2-T$5),
     unit_details[Leased Date],"&lt;"&amp;$AM$2,
     unit_details[Beds],$L301,
     unit_details[Baths],$M301,
     unit_details[Partial Baths],IF(ISNUMBER($N301),$N301,""),
     unit_details[Sqft],$P301,
     unit_details[Property Name],$F301)
 ),"")</f>
        <v/>
      </c>
      <c r="V301" s="27" t="str">
        <f t="shared" si="54"/>
        <v/>
      </c>
      <c r="W301" s="526">
        <f>IFERROR(
  IF($F301="Total",
    SUM(INDEX(W:W, ROW()-COUNTIF($F$6:INDEX($F:$F, ROW()-1), $F300)) : INDEX(W:W, ROW()-1)),
    COUNTIFS(
      unit_details[Leased Date], "&gt;="&amp;($AM$2-T$5),
      unit_details[Leased Date], "&lt;"&amp;$AM$2,
      unit_details[Beds], $L301,
      unit_details[Baths], $M301,
      unit_details[Partial Baths], IF(ISNUMBER($N301), $N301, ""),
      unit_details[Sqft],$P301,
      unit_details[Property Name], $F301
    )
  ),
"")</f>
        <v>0</v>
      </c>
      <c r="X301" s="531" t="str">
        <f>IFERROR(
 IF($F301="Total",
   SUMPRODUCT(
   INDEX(X:X, ROW()-COUNTIF($F$6:INDEX($F:$F, ROW()-1), $F300)) : INDEX(X:X, ROW()-1),
   INDEX(AA:AA, ROW()-COUNTIF($F$6:INDEX($F:$F, ROW()-1), $F300)) : INDEX(AA:AA, ROW()-1)
   )
   /SUM(INDEX(AA:AA, ROW()-COUNTIF($F$6:INDEX($F:$F, ROW()-1), $F300)) : INDEX(AA:AA, ROW()-1)),
   AVERAGEIFS(
     INDEX((unit_details[Asking Rent],unit_details[Asking PSF]),0,1,IF($U$3="Chunk Rent",1,2)),
     unit_details[Leased Date],"&gt;="&amp;($AM$2-X$5),
     unit_details[Leased Date],"&lt;"&amp;$AM$2,
     unit_details[Beds],$L301,
     unit_details[Baths],$M301,
     unit_details[Partial Baths],IF(ISNUMBER($N301),$N301,""),
     unit_details[Sqft],$P301,
     unit_details[Property Name],$F301)
 ),"")</f>
        <v/>
      </c>
      <c r="Y301" s="552" t="str">
        <f>IFERROR(
 IF($F301="Total",
   SUMPRODUCT(
   INDEX(Y:Y, ROW()-COUNTIF($F$6:INDEX($F:$F, ROW()-1), $F300)) : INDEX(Y:Y, ROW()-1),
   INDEX(AA:AA, ROW()-COUNTIF($F$6:INDEX($F:$F, ROW()-1), $F300)) : INDEX(AA:AA, ROW()-1)
   )
   /SUM(INDEX(AA:AA, ROW()-COUNTIF($F$6:INDEX($F:$F, ROW()-1), $F300)) : INDEX(AA:AA, ROW()-1)),
   AVERAGEIFS(
     INDEX((unit_details[Effective Rent],unit_details[Effective PSF]),0,1,IF($U$3="Chunk Rent",1,2)),
     unit_details[Leased Date],"&gt;="&amp;($AM$2-X$5),
     unit_details[Leased Date],"&lt;"&amp;$AM$2,
     unit_details[Beds],$L301,
     unit_details[Baths],$M301,
     unit_details[Partial Baths],IF(ISNUMBER($N301),$N301,""),
     unit_details[Sqft],$P301,
     unit_details[Property Name],$F301)
 ),"")</f>
        <v/>
      </c>
      <c r="Z301" s="27" t="str">
        <f t="shared" si="55"/>
        <v/>
      </c>
      <c r="AA301" s="526">
        <f>IFERROR(
  IF($F301="Total",
    SUM(INDEX(AA:AA, ROW()-COUNTIF($F$6:INDEX($F:$F, ROW()-1), $F300)) : INDEX(AA:AA, ROW()-1)),
    COUNTIFS(
      unit_details[Leased Date], "&gt;="&amp;($AM$2-X$5),
      unit_details[Leased Date], "&lt;"&amp;$AM$2,
      unit_details[Beds], $L301,
      unit_details[Baths], $M301,
      unit_details[Partial Baths], IF(ISNUMBER($N301), $N301, ""),
      unit_details[Sqft],$P301,
      unit_details[Property Name], $F301
    )
  ),
"")</f>
        <v>0</v>
      </c>
      <c r="AB301" s="290">
        <f>IF($F301="Total",
SUM(INDEX(AB:AB, ROW()-COUNTIF($F$6:INDEX($F:$F, ROW()-1), $F300)) : INDEX(AB:AB, ROW()-1)),
COUNTIFS(unit_details[Active Listing?],TRUE,
          unit_details[Property Name], $F301,
          unit_details[Beds], $L301,
          unit_details[Baths], $M301,
          unit_details[Partial Baths],IF(ISNUMBER($N301),$N301,""),
          unit_details[Sqft],$P301))</f>
        <v>0</v>
      </c>
      <c r="AC301" s="27" t="str">
        <f t="shared" si="47"/>
        <v/>
      </c>
      <c r="AD301" s="293" t="str">
        <f>IFERROR(IF(AE301="","",IF($F301="Total",
SUMPRODUCT(
   INDEX(AD:AD, ROW()-COUNTIF($F$6:INDEX($F:$F, ROW()-1), $F300)) : INDEX(AD:AD, ROW()-1),
   INDEX(AB:AB, ROW()-COUNTIF($F$6:INDEX($F:$F, ROW()-1), $F300)) : INDEX(AB:AB, ROW()-1)
   )
   /SUM(INDEX(AB:AB, ROW()-COUNTIF($F$6:INDEX($F:$F, ROW()-1), $F300)) : INDEX(AB:AB, ROW()-1)),
          _xlfn.MINIFS(unit_details[Asking Rent],
          unit_details[Active Listing?],TRUE,
          unit_details[Property Name], $F301,
          unit_details[Beds], $L301,
          unit_details[Baths], $M301,
          unit_details[Partial Baths], IF(ISNUMBER($N301),$N301,""),
          unit_details[Sqft],$P301
))),"")</f>
        <v/>
      </c>
      <c r="AE301" s="5" t="str">
        <f>IFERROR(IF($F301="Total",
          SUMPRODUCT(
   INDEX(AE:AE, ROW()-COUNTIF($F$6:INDEX($F:$F, ROW()-1), $F300)) : INDEX(AE:AE, ROW()-1),
   INDEX(AB:AB, ROW()-COUNTIF($F$6:INDEX($F:$F, ROW()-1), $F300)) : INDEX(AB:AB, ROW()-1)
   )
   /SUM(INDEX(AB:AB, ROW()-COUNTIF($F$6:INDEX($F:$F, ROW()-1), $F300)) : INDEX(AB:AB, ROW()-1)),
          AVERAGEIFS(unit_details[Asking Rent],
          unit_details[Active Listing?],TRUE,
          unit_details[Property Name], $F301,
          unit_details[Beds], $L301,
          unit_details[Baths], $M301,
          unit_details[Partial Baths], IF(ISNUMBER($N301),$N301,""),
          unit_details[Sqft],$P301
)),"")</f>
        <v/>
      </c>
      <c r="AF301" s="5" t="str">
        <f>IFERROR(IF(AE301="","",IF($F301="Total",
SUMPRODUCT(
   INDEX(AF:AF, ROW()-COUNTIF($F$6:INDEX($F:$F, ROW()-1), $F300)) : INDEX(AF:AF, ROW()-1),
   INDEX(AB:AB, ROW()-COUNTIF($F$6:INDEX($F:$F, ROW()-1), $F300)) : INDEX(AB:AB, ROW()-1)
   )
   /SUM(INDEX(AB:AB, ROW()-COUNTIF($F$6:INDEX($F:$F, ROW()-1), $F300)) : INDEX(AB:AB, ROW()-1)),
           _xlfn.MAXIFS(unit_details[Asking Rent],
          unit_details[Active Listing?],TRUE,
          unit_details[Property Name], $F301,
          unit_details[Beds], $L301,
          unit_details[Baths], $M301,
          unit_details[Partial Baths], IF(ISNUMBER($N301),$N301,""),
          unit_details[Sqft],$P301
))),"")</f>
        <v/>
      </c>
      <c r="AG301" s="6" t="str">
        <f>IFERROR(IF($F301="Total",
         SUMPRODUCT(
         INDEX(AG:AG, ROW()-COUNTIF($F$6:INDEX($F:$F, ROW()-1), $F300)) : INDEX(AG:AG, ROW()-1),
         INDEX(AB:AB, ROW()-COUNTIF($F$6:INDEX($F:$F, ROW()-1), $F300)) : INDEX(AB:AB, ROW()-1)
         )
         /SUM(INDEX(AB:AB, ROW()-COUNTIF($F$6:INDEX($F:$F, ROW()-1), $F300)) : INDEX(AB:AB, ROW()-1)),
          AVERAGEIFS(unit_details[Asking PSF],
          unit_details[Active Listing?],TRUE,
          unit_details[Property Name], $F301,
          unit_details[Beds], $L301,
          unit_details[Baths], $M301,
          unit_details[Partial Baths], IF(ISNUMBER($N301),$N301,""),
          unit_details[Sqft],$P301
)),"")</f>
        <v/>
      </c>
      <c r="AH301" s="293" t="str">
        <f>IFERROR(IF($F301="Total",
         SUMPRODUCT(
         INDEX(AH:AH, ROW()-COUNTIF($F$6:INDEX($F:$F, ROW()-1), $F300)) : INDEX(AH:AH, ROW()-1),
         INDEX(AB:AB, ROW()-COUNTIF($F$6:INDEX($F:$F, ROW()-1), $F300)) : INDEX(AB:AB, ROW()-1)
         )
         /SUM(INDEX(AB:AB, ROW()-COUNTIF($F$6:INDEX($F:$F, ROW()-1), $F300)) : INDEX(AB:AB, ROW()-1)),
          AVERAGEIFS(unit_details[Effective Rent],
          unit_details[Active Listing?],TRUE,
          unit_details[Property Name], $F301,
          unit_details[Beds], $L301,
          unit_details[Baths], $M301,
          unit_details[Partial Baths], IF(ISNUMBER($N301),$N301,""),
          unit_details[Sqft],$P301
)),"")</f>
        <v/>
      </c>
      <c r="AI301" s="6" t="str">
        <f>IFERROR(IF($F301="Total",
         SUMPRODUCT(
         INDEX(AI:AI, ROW()-COUNTIF($F$6:INDEX($F:$F, ROW()-1), $F300)) : INDEX(AI:AI, ROW()-1),
         INDEX(AB:AB, ROW()-COUNTIF($F$6:INDEX($F:$F, ROW()-1), $F300)) : INDEX(AB:AB, ROW()-1)
         )
         /SUM(INDEX(AB:AB, ROW()-COUNTIF($F$6:INDEX($F:$F, ROW()-1), $F300)) : INDEX(AB:AB, ROW()-1)),
           AVERAGEIFS(unit_details[Effective PSF],
          unit_details[Active Listing?],TRUE,
          unit_details[Property Name], $F301,
          unit_details[Beds], $L301,
          unit_details[Baths], $M301,
          unit_details[Partial Baths], IF(ISNUMBER($N301),$N301,""),
          unit_details[Sqft],$P301
)),"")</f>
        <v/>
      </c>
      <c r="AJ301" s="824" t="str">
        <f t="shared" si="48"/>
        <v/>
      </c>
      <c r="AK301" s="531" t="str">
        <f t="shared" si="49"/>
        <v/>
      </c>
      <c r="AL301" s="714" t="str">
        <f t="shared" si="50"/>
        <v/>
      </c>
      <c r="AM301" s="531" t="str">
        <f t="shared" si="51"/>
        <v/>
      </c>
      <c r="AN301" s="716" t="str">
        <f t="shared" si="52"/>
        <v/>
      </c>
    </row>
    <row r="302" spans="6:40" x14ac:dyDescent="0.2">
      <c r="F302" s="1" t="str">
        <f t="shared" si="45"/>
        <v/>
      </c>
      <c r="G302" s="713" t="str">
        <f t="shared" si="53"/>
        <v/>
      </c>
      <c r="H302" s="17" t="str">
        <f>IFERROR(VLOOKUP($G302,Table1[[Property]:[Exposure %]],4,0),"")</f>
        <v/>
      </c>
      <c r="I302" s="3" t="str">
        <f>IFERROR(VLOOKUP($G302,Table1[[Property]:[Exposure %]],6,0),"")</f>
        <v/>
      </c>
      <c r="J302" s="3" t="str">
        <f>IFERROR(VLOOKUP($G302,Table1[[Property]:[Exposure %]],7,0),"")</f>
        <v/>
      </c>
      <c r="K302"/>
      <c r="L302"/>
      <c r="M302"/>
      <c r="N302"/>
      <c r="O302"/>
      <c r="P302"/>
      <c r="Q302"/>
      <c r="R302" s="4" t="str">
        <f>IFERROR(VLOOKUP(IF(F302="Total",F301,F302),Table1[[Property]:['# Units]],7,0)*S302,"")</f>
        <v/>
      </c>
      <c r="S302" s="27" t="str">
        <f t="shared" si="46"/>
        <v/>
      </c>
      <c r="T302" s="531" t="str">
        <f>IFERROR(
 IF($F302="Total",
   SUMPRODUCT(
   INDEX(T:T, ROW()-COUNTIF($F$6:INDEX($F:$F, ROW()-1), $F301)) : INDEX(T:T, ROW()-1),
   INDEX(W:W, ROW()-COUNTIF($F$6:INDEX($F:$F, ROW()-1), $F301)) : INDEX(W:W, ROW()-1)
   )
   /SUM(INDEX(W:W, ROW()-COUNTIF($F$6:INDEX($F:$F, ROW()-1), $F301)) : INDEX(W:W, ROW()-1)),
   AVERAGEIFS(
     INDEX((unit_details[Asking Rent],unit_details[Asking PSF]),0,1,IF($U$3="Chunk Rent",1,2)),
     unit_details[Leased Date],"&gt;="&amp;($AM$2-T$5),
     unit_details[Leased Date],"&lt;"&amp;$AM$2,
     unit_details[Beds],$L302,
     unit_details[Baths],$M302,
     unit_details[Partial Baths],IF(ISNUMBER($N302),$N302,""),
     unit_details[Sqft],$P302,
     unit_details[Property Name],$F302)
 ),"")</f>
        <v/>
      </c>
      <c r="U302" s="552" t="str">
        <f>IFERROR(
 IF($F302="Total",
   SUMPRODUCT(
   INDEX(U:U, ROW()-COUNTIF($F$6:INDEX($F:$F, ROW()-1), $F301)) : INDEX(U:U, ROW()-1),
   INDEX(W:W, ROW()-COUNTIF($F$6:INDEX($F:$F, ROW()-1), $F301)) : INDEX(W:W, ROW()-1)
   )
   /SUM(INDEX(W:W, ROW()-COUNTIF($F$6:INDEX($F:$F, ROW()-1), $F301)) : INDEX(W:W, ROW()-1)),
   AVERAGEIFS(
     INDEX((unit_details[Effective Rent],unit_details[Effective PSF]),0,1,IF($U$3="Chunk Rent",1,2)),
     unit_details[Leased Date],"&gt;="&amp;($AM$2-T$5),
     unit_details[Leased Date],"&lt;"&amp;$AM$2,
     unit_details[Beds],$L302,
     unit_details[Baths],$M302,
     unit_details[Partial Baths],IF(ISNUMBER($N302),$N302,""),
     unit_details[Sqft],$P302,
     unit_details[Property Name],$F302)
 ),"")</f>
        <v/>
      </c>
      <c r="V302" s="27" t="str">
        <f t="shared" si="54"/>
        <v/>
      </c>
      <c r="W302" s="526">
        <f>IFERROR(
  IF($F302="Total",
    SUM(INDEX(W:W, ROW()-COUNTIF($F$6:INDEX($F:$F, ROW()-1), $F301)) : INDEX(W:W, ROW()-1)),
    COUNTIFS(
      unit_details[Leased Date], "&gt;="&amp;($AM$2-T$5),
      unit_details[Leased Date], "&lt;"&amp;$AM$2,
      unit_details[Beds], $L302,
      unit_details[Baths], $M302,
      unit_details[Partial Baths], IF(ISNUMBER($N302), $N302, ""),
      unit_details[Sqft],$P302,
      unit_details[Property Name], $F302
    )
  ),
"")</f>
        <v>0</v>
      </c>
      <c r="X302" s="531" t="str">
        <f>IFERROR(
 IF($F302="Total",
   SUMPRODUCT(
   INDEX(X:X, ROW()-COUNTIF($F$6:INDEX($F:$F, ROW()-1), $F301)) : INDEX(X:X, ROW()-1),
   INDEX(AA:AA, ROW()-COUNTIF($F$6:INDEX($F:$F, ROW()-1), $F301)) : INDEX(AA:AA, ROW()-1)
   )
   /SUM(INDEX(AA:AA, ROW()-COUNTIF($F$6:INDEX($F:$F, ROW()-1), $F301)) : INDEX(AA:AA, ROW()-1)),
   AVERAGEIFS(
     INDEX((unit_details[Asking Rent],unit_details[Asking PSF]),0,1,IF($U$3="Chunk Rent",1,2)),
     unit_details[Leased Date],"&gt;="&amp;($AM$2-X$5),
     unit_details[Leased Date],"&lt;"&amp;$AM$2,
     unit_details[Beds],$L302,
     unit_details[Baths],$M302,
     unit_details[Partial Baths],IF(ISNUMBER($N302),$N302,""),
     unit_details[Sqft],$P302,
     unit_details[Property Name],$F302)
 ),"")</f>
        <v/>
      </c>
      <c r="Y302" s="552" t="str">
        <f>IFERROR(
 IF($F302="Total",
   SUMPRODUCT(
   INDEX(Y:Y, ROW()-COUNTIF($F$6:INDEX($F:$F, ROW()-1), $F301)) : INDEX(Y:Y, ROW()-1),
   INDEX(AA:AA, ROW()-COUNTIF($F$6:INDEX($F:$F, ROW()-1), $F301)) : INDEX(AA:AA, ROW()-1)
   )
   /SUM(INDEX(AA:AA, ROW()-COUNTIF($F$6:INDEX($F:$F, ROW()-1), $F301)) : INDEX(AA:AA, ROW()-1)),
   AVERAGEIFS(
     INDEX((unit_details[Effective Rent],unit_details[Effective PSF]),0,1,IF($U$3="Chunk Rent",1,2)),
     unit_details[Leased Date],"&gt;="&amp;($AM$2-X$5),
     unit_details[Leased Date],"&lt;"&amp;$AM$2,
     unit_details[Beds],$L302,
     unit_details[Baths],$M302,
     unit_details[Partial Baths],IF(ISNUMBER($N302),$N302,""),
     unit_details[Sqft],$P302,
     unit_details[Property Name],$F302)
 ),"")</f>
        <v/>
      </c>
      <c r="Z302" s="27" t="str">
        <f t="shared" si="55"/>
        <v/>
      </c>
      <c r="AA302" s="526">
        <f>IFERROR(
  IF($F302="Total",
    SUM(INDEX(AA:AA, ROW()-COUNTIF($F$6:INDEX($F:$F, ROW()-1), $F301)) : INDEX(AA:AA, ROW()-1)),
    COUNTIFS(
      unit_details[Leased Date], "&gt;="&amp;($AM$2-X$5),
      unit_details[Leased Date], "&lt;"&amp;$AM$2,
      unit_details[Beds], $L302,
      unit_details[Baths], $M302,
      unit_details[Partial Baths], IF(ISNUMBER($N302), $N302, ""),
      unit_details[Sqft],$P302,
      unit_details[Property Name], $F302
    )
  ),
"")</f>
        <v>0</v>
      </c>
      <c r="AB302" s="290">
        <f>IF($F302="Total",
SUM(INDEX(AB:AB, ROW()-COUNTIF($F$6:INDEX($F:$F, ROW()-1), $F301)) : INDEX(AB:AB, ROW()-1)),
COUNTIFS(unit_details[Active Listing?],TRUE,
          unit_details[Property Name], $F302,
          unit_details[Beds], $L302,
          unit_details[Baths], $M302,
          unit_details[Partial Baths],IF(ISNUMBER($N302),$N302,""),
          unit_details[Sqft],$P302))</f>
        <v>0</v>
      </c>
      <c r="AC302" s="27" t="str">
        <f t="shared" si="47"/>
        <v/>
      </c>
      <c r="AD302" s="293" t="str">
        <f>IFERROR(IF(AE302="","",IF($F302="Total",
SUMPRODUCT(
   INDEX(AD:AD, ROW()-COUNTIF($F$6:INDEX($F:$F, ROW()-1), $F301)) : INDEX(AD:AD, ROW()-1),
   INDEX(AB:AB, ROW()-COUNTIF($F$6:INDEX($F:$F, ROW()-1), $F301)) : INDEX(AB:AB, ROW()-1)
   )
   /SUM(INDEX(AB:AB, ROW()-COUNTIF($F$6:INDEX($F:$F, ROW()-1), $F301)) : INDEX(AB:AB, ROW()-1)),
          _xlfn.MINIFS(unit_details[Asking Rent],
          unit_details[Active Listing?],TRUE,
          unit_details[Property Name], $F302,
          unit_details[Beds], $L302,
          unit_details[Baths], $M302,
          unit_details[Partial Baths], IF(ISNUMBER($N302),$N302,""),
          unit_details[Sqft],$P302
))),"")</f>
        <v/>
      </c>
      <c r="AE302" s="5" t="str">
        <f>IFERROR(IF($F302="Total",
          SUMPRODUCT(
   INDEX(AE:AE, ROW()-COUNTIF($F$6:INDEX($F:$F, ROW()-1), $F301)) : INDEX(AE:AE, ROW()-1),
   INDEX(AB:AB, ROW()-COUNTIF($F$6:INDEX($F:$F, ROW()-1), $F301)) : INDEX(AB:AB, ROW()-1)
   )
   /SUM(INDEX(AB:AB, ROW()-COUNTIF($F$6:INDEX($F:$F, ROW()-1), $F301)) : INDEX(AB:AB, ROW()-1)),
          AVERAGEIFS(unit_details[Asking Rent],
          unit_details[Active Listing?],TRUE,
          unit_details[Property Name], $F302,
          unit_details[Beds], $L302,
          unit_details[Baths], $M302,
          unit_details[Partial Baths], IF(ISNUMBER($N302),$N302,""),
          unit_details[Sqft],$P302
)),"")</f>
        <v/>
      </c>
      <c r="AF302" s="5" t="str">
        <f>IFERROR(IF(AE302="","",IF($F302="Total",
SUMPRODUCT(
   INDEX(AF:AF, ROW()-COUNTIF($F$6:INDEX($F:$F, ROW()-1), $F301)) : INDEX(AF:AF, ROW()-1),
   INDEX(AB:AB, ROW()-COUNTIF($F$6:INDEX($F:$F, ROW()-1), $F301)) : INDEX(AB:AB, ROW()-1)
   )
   /SUM(INDEX(AB:AB, ROW()-COUNTIF($F$6:INDEX($F:$F, ROW()-1), $F301)) : INDEX(AB:AB, ROW()-1)),
           _xlfn.MAXIFS(unit_details[Asking Rent],
          unit_details[Active Listing?],TRUE,
          unit_details[Property Name], $F302,
          unit_details[Beds], $L302,
          unit_details[Baths], $M302,
          unit_details[Partial Baths], IF(ISNUMBER($N302),$N302,""),
          unit_details[Sqft],$P302
))),"")</f>
        <v/>
      </c>
      <c r="AG302" s="6" t="str">
        <f>IFERROR(IF($F302="Total",
         SUMPRODUCT(
         INDEX(AG:AG, ROW()-COUNTIF($F$6:INDEX($F:$F, ROW()-1), $F301)) : INDEX(AG:AG, ROW()-1),
         INDEX(AB:AB, ROW()-COUNTIF($F$6:INDEX($F:$F, ROW()-1), $F301)) : INDEX(AB:AB, ROW()-1)
         )
         /SUM(INDEX(AB:AB, ROW()-COUNTIF($F$6:INDEX($F:$F, ROW()-1), $F301)) : INDEX(AB:AB, ROW()-1)),
          AVERAGEIFS(unit_details[Asking PSF],
          unit_details[Active Listing?],TRUE,
          unit_details[Property Name], $F302,
          unit_details[Beds], $L302,
          unit_details[Baths], $M302,
          unit_details[Partial Baths], IF(ISNUMBER($N302),$N302,""),
          unit_details[Sqft],$P302
)),"")</f>
        <v/>
      </c>
      <c r="AH302" s="293" t="str">
        <f>IFERROR(IF($F302="Total",
         SUMPRODUCT(
         INDEX(AH:AH, ROW()-COUNTIF($F$6:INDEX($F:$F, ROW()-1), $F301)) : INDEX(AH:AH, ROW()-1),
         INDEX(AB:AB, ROW()-COUNTIF($F$6:INDEX($F:$F, ROW()-1), $F301)) : INDEX(AB:AB, ROW()-1)
         )
         /SUM(INDEX(AB:AB, ROW()-COUNTIF($F$6:INDEX($F:$F, ROW()-1), $F301)) : INDEX(AB:AB, ROW()-1)),
          AVERAGEIFS(unit_details[Effective Rent],
          unit_details[Active Listing?],TRUE,
          unit_details[Property Name], $F302,
          unit_details[Beds], $L302,
          unit_details[Baths], $M302,
          unit_details[Partial Baths], IF(ISNUMBER($N302),$N302,""),
          unit_details[Sqft],$P302
)),"")</f>
        <v/>
      </c>
      <c r="AI302" s="6" t="str">
        <f>IFERROR(IF($F302="Total",
         SUMPRODUCT(
         INDEX(AI:AI, ROW()-COUNTIF($F$6:INDEX($F:$F, ROW()-1), $F301)) : INDEX(AI:AI, ROW()-1),
         INDEX(AB:AB, ROW()-COUNTIF($F$6:INDEX($F:$F, ROW()-1), $F301)) : INDEX(AB:AB, ROW()-1)
         )
         /SUM(INDEX(AB:AB, ROW()-COUNTIF($F$6:INDEX($F:$F, ROW()-1), $F301)) : INDEX(AB:AB, ROW()-1)),
           AVERAGEIFS(unit_details[Effective PSF],
          unit_details[Active Listing?],TRUE,
          unit_details[Property Name], $F302,
          unit_details[Beds], $L302,
          unit_details[Baths], $M302,
          unit_details[Partial Baths], IF(ISNUMBER($N302),$N302,""),
          unit_details[Sqft],$P302
)),"")</f>
        <v/>
      </c>
      <c r="AJ302" s="824" t="str">
        <f t="shared" si="48"/>
        <v/>
      </c>
      <c r="AK302" s="531" t="str">
        <f t="shared" si="49"/>
        <v/>
      </c>
      <c r="AL302" s="714" t="str">
        <f t="shared" si="50"/>
        <v/>
      </c>
      <c r="AM302" s="531" t="str">
        <f t="shared" si="51"/>
        <v/>
      </c>
      <c r="AN302" s="716" t="str">
        <f t="shared" si="52"/>
        <v/>
      </c>
    </row>
    <row r="303" spans="6:40" x14ac:dyDescent="0.2">
      <c r="F303" s="1" t="str">
        <f t="shared" si="45"/>
        <v/>
      </c>
      <c r="G303" s="713" t="str">
        <f t="shared" si="53"/>
        <v/>
      </c>
      <c r="H303" s="17" t="str">
        <f>IFERROR(VLOOKUP($G303,Table1[[Property]:[Exposure %]],4,0),"")</f>
        <v/>
      </c>
      <c r="I303" s="3" t="str">
        <f>IFERROR(VLOOKUP($G303,Table1[[Property]:[Exposure %]],6,0),"")</f>
        <v/>
      </c>
      <c r="J303" s="3" t="str">
        <f>IFERROR(VLOOKUP($G303,Table1[[Property]:[Exposure %]],7,0),"")</f>
        <v/>
      </c>
      <c r="K303"/>
      <c r="L303"/>
      <c r="M303"/>
      <c r="N303"/>
      <c r="O303"/>
      <c r="P303"/>
      <c r="Q303"/>
      <c r="R303" s="4" t="str">
        <f>IFERROR(VLOOKUP(IF(F303="Total",F302,F303),Table1[[Property]:['# Units]],7,0)*S303,"")</f>
        <v/>
      </c>
      <c r="S303" s="27" t="str">
        <f t="shared" si="46"/>
        <v/>
      </c>
      <c r="T303" s="531" t="str">
        <f>IFERROR(
 IF($F303="Total",
   SUMPRODUCT(
   INDEX(T:T, ROW()-COUNTIF($F$6:INDEX($F:$F, ROW()-1), $F302)) : INDEX(T:T, ROW()-1),
   INDEX(W:W, ROW()-COUNTIF($F$6:INDEX($F:$F, ROW()-1), $F302)) : INDEX(W:W, ROW()-1)
   )
   /SUM(INDEX(W:W, ROW()-COUNTIF($F$6:INDEX($F:$F, ROW()-1), $F302)) : INDEX(W:W, ROW()-1)),
   AVERAGEIFS(
     INDEX((unit_details[Asking Rent],unit_details[Asking PSF]),0,1,IF($U$3="Chunk Rent",1,2)),
     unit_details[Leased Date],"&gt;="&amp;($AM$2-T$5),
     unit_details[Leased Date],"&lt;"&amp;$AM$2,
     unit_details[Beds],$L303,
     unit_details[Baths],$M303,
     unit_details[Partial Baths],IF(ISNUMBER($N303),$N303,""),
     unit_details[Sqft],$P303,
     unit_details[Property Name],$F303)
 ),"")</f>
        <v/>
      </c>
      <c r="U303" s="552" t="str">
        <f>IFERROR(
 IF($F303="Total",
   SUMPRODUCT(
   INDEX(U:U, ROW()-COUNTIF($F$6:INDEX($F:$F, ROW()-1), $F302)) : INDEX(U:U, ROW()-1),
   INDEX(W:W, ROW()-COUNTIF($F$6:INDEX($F:$F, ROW()-1), $F302)) : INDEX(W:W, ROW()-1)
   )
   /SUM(INDEX(W:W, ROW()-COUNTIF($F$6:INDEX($F:$F, ROW()-1), $F302)) : INDEX(W:W, ROW()-1)),
   AVERAGEIFS(
     INDEX((unit_details[Effective Rent],unit_details[Effective PSF]),0,1,IF($U$3="Chunk Rent",1,2)),
     unit_details[Leased Date],"&gt;="&amp;($AM$2-T$5),
     unit_details[Leased Date],"&lt;"&amp;$AM$2,
     unit_details[Beds],$L303,
     unit_details[Baths],$M303,
     unit_details[Partial Baths],IF(ISNUMBER($N303),$N303,""),
     unit_details[Sqft],$P303,
     unit_details[Property Name],$F303)
 ),"")</f>
        <v/>
      </c>
      <c r="V303" s="27" t="str">
        <f t="shared" si="54"/>
        <v/>
      </c>
      <c r="W303" s="526">
        <f>IFERROR(
  IF($F303="Total",
    SUM(INDEX(W:W, ROW()-COUNTIF($F$6:INDEX($F:$F, ROW()-1), $F302)) : INDEX(W:W, ROW()-1)),
    COUNTIFS(
      unit_details[Leased Date], "&gt;="&amp;($AM$2-T$5),
      unit_details[Leased Date], "&lt;"&amp;$AM$2,
      unit_details[Beds], $L303,
      unit_details[Baths], $M303,
      unit_details[Partial Baths], IF(ISNUMBER($N303), $N303, ""),
      unit_details[Sqft],$P303,
      unit_details[Property Name], $F303
    )
  ),
"")</f>
        <v>0</v>
      </c>
      <c r="X303" s="531" t="str">
        <f>IFERROR(
 IF($F303="Total",
   SUMPRODUCT(
   INDEX(X:X, ROW()-COUNTIF($F$6:INDEX($F:$F, ROW()-1), $F302)) : INDEX(X:X, ROW()-1),
   INDEX(AA:AA, ROW()-COUNTIF($F$6:INDEX($F:$F, ROW()-1), $F302)) : INDEX(AA:AA, ROW()-1)
   )
   /SUM(INDEX(AA:AA, ROW()-COUNTIF($F$6:INDEX($F:$F, ROW()-1), $F302)) : INDEX(AA:AA, ROW()-1)),
   AVERAGEIFS(
     INDEX((unit_details[Asking Rent],unit_details[Asking PSF]),0,1,IF($U$3="Chunk Rent",1,2)),
     unit_details[Leased Date],"&gt;="&amp;($AM$2-X$5),
     unit_details[Leased Date],"&lt;"&amp;$AM$2,
     unit_details[Beds],$L303,
     unit_details[Baths],$M303,
     unit_details[Partial Baths],IF(ISNUMBER($N303),$N303,""),
     unit_details[Sqft],$P303,
     unit_details[Property Name],$F303)
 ),"")</f>
        <v/>
      </c>
      <c r="Y303" s="552" t="str">
        <f>IFERROR(
 IF($F303="Total",
   SUMPRODUCT(
   INDEX(Y:Y, ROW()-COUNTIF($F$6:INDEX($F:$F, ROW()-1), $F302)) : INDEX(Y:Y, ROW()-1),
   INDEX(AA:AA, ROW()-COUNTIF($F$6:INDEX($F:$F, ROW()-1), $F302)) : INDEX(AA:AA, ROW()-1)
   )
   /SUM(INDEX(AA:AA, ROW()-COUNTIF($F$6:INDEX($F:$F, ROW()-1), $F302)) : INDEX(AA:AA, ROW()-1)),
   AVERAGEIFS(
     INDEX((unit_details[Effective Rent],unit_details[Effective PSF]),0,1,IF($U$3="Chunk Rent",1,2)),
     unit_details[Leased Date],"&gt;="&amp;($AM$2-X$5),
     unit_details[Leased Date],"&lt;"&amp;$AM$2,
     unit_details[Beds],$L303,
     unit_details[Baths],$M303,
     unit_details[Partial Baths],IF(ISNUMBER($N303),$N303,""),
     unit_details[Sqft],$P303,
     unit_details[Property Name],$F303)
 ),"")</f>
        <v/>
      </c>
      <c r="Z303" s="27" t="str">
        <f t="shared" si="55"/>
        <v/>
      </c>
      <c r="AA303" s="526">
        <f>IFERROR(
  IF($F303="Total",
    SUM(INDEX(AA:AA, ROW()-COUNTIF($F$6:INDEX($F:$F, ROW()-1), $F302)) : INDEX(AA:AA, ROW()-1)),
    COUNTIFS(
      unit_details[Leased Date], "&gt;="&amp;($AM$2-X$5),
      unit_details[Leased Date], "&lt;"&amp;$AM$2,
      unit_details[Beds], $L303,
      unit_details[Baths], $M303,
      unit_details[Partial Baths], IF(ISNUMBER($N303), $N303, ""),
      unit_details[Sqft],$P303,
      unit_details[Property Name], $F303
    )
  ),
"")</f>
        <v>0</v>
      </c>
      <c r="AB303" s="290">
        <f>IF($F303="Total",
SUM(INDEX(AB:AB, ROW()-COUNTIF($F$6:INDEX($F:$F, ROW()-1), $F302)) : INDEX(AB:AB, ROW()-1)),
COUNTIFS(unit_details[Active Listing?],TRUE,
          unit_details[Property Name], $F303,
          unit_details[Beds], $L303,
          unit_details[Baths], $M303,
          unit_details[Partial Baths],IF(ISNUMBER($N303),$N303,""),
          unit_details[Sqft],$P303))</f>
        <v>0</v>
      </c>
      <c r="AC303" s="27" t="str">
        <f t="shared" si="47"/>
        <v/>
      </c>
      <c r="AD303" s="293" t="str">
        <f>IFERROR(IF(AE303="","",IF($F303="Total",
SUMPRODUCT(
   INDEX(AD:AD, ROW()-COUNTIF($F$6:INDEX($F:$F, ROW()-1), $F302)) : INDEX(AD:AD, ROW()-1),
   INDEX(AB:AB, ROW()-COUNTIF($F$6:INDEX($F:$F, ROW()-1), $F302)) : INDEX(AB:AB, ROW()-1)
   )
   /SUM(INDEX(AB:AB, ROW()-COUNTIF($F$6:INDEX($F:$F, ROW()-1), $F302)) : INDEX(AB:AB, ROW()-1)),
          _xlfn.MINIFS(unit_details[Asking Rent],
          unit_details[Active Listing?],TRUE,
          unit_details[Property Name], $F303,
          unit_details[Beds], $L303,
          unit_details[Baths], $M303,
          unit_details[Partial Baths], IF(ISNUMBER($N303),$N303,""),
          unit_details[Sqft],$P303
))),"")</f>
        <v/>
      </c>
      <c r="AE303" s="5" t="str">
        <f>IFERROR(IF($F303="Total",
          SUMPRODUCT(
   INDEX(AE:AE, ROW()-COUNTIF($F$6:INDEX($F:$F, ROW()-1), $F302)) : INDEX(AE:AE, ROW()-1),
   INDEX(AB:AB, ROW()-COUNTIF($F$6:INDEX($F:$F, ROW()-1), $F302)) : INDEX(AB:AB, ROW()-1)
   )
   /SUM(INDEX(AB:AB, ROW()-COUNTIF($F$6:INDEX($F:$F, ROW()-1), $F302)) : INDEX(AB:AB, ROW()-1)),
          AVERAGEIFS(unit_details[Asking Rent],
          unit_details[Active Listing?],TRUE,
          unit_details[Property Name], $F303,
          unit_details[Beds], $L303,
          unit_details[Baths], $M303,
          unit_details[Partial Baths], IF(ISNUMBER($N303),$N303,""),
          unit_details[Sqft],$P303
)),"")</f>
        <v/>
      </c>
      <c r="AF303" s="5" t="str">
        <f>IFERROR(IF(AE303="","",IF($F303="Total",
SUMPRODUCT(
   INDEX(AF:AF, ROW()-COUNTIF($F$6:INDEX($F:$F, ROW()-1), $F302)) : INDEX(AF:AF, ROW()-1),
   INDEX(AB:AB, ROW()-COUNTIF($F$6:INDEX($F:$F, ROW()-1), $F302)) : INDEX(AB:AB, ROW()-1)
   )
   /SUM(INDEX(AB:AB, ROW()-COUNTIF($F$6:INDEX($F:$F, ROW()-1), $F302)) : INDEX(AB:AB, ROW()-1)),
           _xlfn.MAXIFS(unit_details[Asking Rent],
          unit_details[Active Listing?],TRUE,
          unit_details[Property Name], $F303,
          unit_details[Beds], $L303,
          unit_details[Baths], $M303,
          unit_details[Partial Baths], IF(ISNUMBER($N303),$N303,""),
          unit_details[Sqft],$P303
))),"")</f>
        <v/>
      </c>
      <c r="AG303" s="6" t="str">
        <f>IFERROR(IF($F303="Total",
         SUMPRODUCT(
         INDEX(AG:AG, ROW()-COUNTIF($F$6:INDEX($F:$F, ROW()-1), $F302)) : INDEX(AG:AG, ROW()-1),
         INDEX(AB:AB, ROW()-COUNTIF($F$6:INDEX($F:$F, ROW()-1), $F302)) : INDEX(AB:AB, ROW()-1)
         )
         /SUM(INDEX(AB:AB, ROW()-COUNTIF($F$6:INDEX($F:$F, ROW()-1), $F302)) : INDEX(AB:AB, ROW()-1)),
          AVERAGEIFS(unit_details[Asking PSF],
          unit_details[Active Listing?],TRUE,
          unit_details[Property Name], $F303,
          unit_details[Beds], $L303,
          unit_details[Baths], $M303,
          unit_details[Partial Baths], IF(ISNUMBER($N303),$N303,""),
          unit_details[Sqft],$P303
)),"")</f>
        <v/>
      </c>
      <c r="AH303" s="293" t="str">
        <f>IFERROR(IF($F303="Total",
         SUMPRODUCT(
         INDEX(AH:AH, ROW()-COUNTIF($F$6:INDEX($F:$F, ROW()-1), $F302)) : INDEX(AH:AH, ROW()-1),
         INDEX(AB:AB, ROW()-COUNTIF($F$6:INDEX($F:$F, ROW()-1), $F302)) : INDEX(AB:AB, ROW()-1)
         )
         /SUM(INDEX(AB:AB, ROW()-COUNTIF($F$6:INDEX($F:$F, ROW()-1), $F302)) : INDEX(AB:AB, ROW()-1)),
          AVERAGEIFS(unit_details[Effective Rent],
          unit_details[Active Listing?],TRUE,
          unit_details[Property Name], $F303,
          unit_details[Beds], $L303,
          unit_details[Baths], $M303,
          unit_details[Partial Baths], IF(ISNUMBER($N303),$N303,""),
          unit_details[Sqft],$P303
)),"")</f>
        <v/>
      </c>
      <c r="AI303" s="6" t="str">
        <f>IFERROR(IF($F303="Total",
         SUMPRODUCT(
         INDEX(AI:AI, ROW()-COUNTIF($F$6:INDEX($F:$F, ROW()-1), $F302)) : INDEX(AI:AI, ROW()-1),
         INDEX(AB:AB, ROW()-COUNTIF($F$6:INDEX($F:$F, ROW()-1), $F302)) : INDEX(AB:AB, ROW()-1)
         )
         /SUM(INDEX(AB:AB, ROW()-COUNTIF($F$6:INDEX($F:$F, ROW()-1), $F302)) : INDEX(AB:AB, ROW()-1)),
           AVERAGEIFS(unit_details[Effective PSF],
          unit_details[Active Listing?],TRUE,
          unit_details[Property Name], $F303,
          unit_details[Beds], $L303,
          unit_details[Baths], $M303,
          unit_details[Partial Baths], IF(ISNUMBER($N303),$N303,""),
          unit_details[Sqft],$P303
)),"")</f>
        <v/>
      </c>
      <c r="AJ303" s="824" t="str">
        <f t="shared" si="48"/>
        <v/>
      </c>
      <c r="AK303" s="531" t="str">
        <f t="shared" si="49"/>
        <v/>
      </c>
      <c r="AL303" s="714" t="str">
        <f t="shared" si="50"/>
        <v/>
      </c>
      <c r="AM303" s="531" t="str">
        <f t="shared" si="51"/>
        <v/>
      </c>
      <c r="AN303" s="716" t="str">
        <f t="shared" si="52"/>
        <v/>
      </c>
    </row>
    <row r="304" spans="6:40" x14ac:dyDescent="0.2">
      <c r="F304" s="1" t="str">
        <f t="shared" si="45"/>
        <v/>
      </c>
      <c r="G304" s="713" t="str">
        <f t="shared" si="53"/>
        <v/>
      </c>
      <c r="H304" s="17" t="str">
        <f>IFERROR(VLOOKUP($G304,Table1[[Property]:[Exposure %]],4,0),"")</f>
        <v/>
      </c>
      <c r="I304" s="3" t="str">
        <f>IFERROR(VLOOKUP($G304,Table1[[Property]:[Exposure %]],6,0),"")</f>
        <v/>
      </c>
      <c r="J304" s="3" t="str">
        <f>IFERROR(VLOOKUP($G304,Table1[[Property]:[Exposure %]],7,0),"")</f>
        <v/>
      </c>
      <c r="K304"/>
      <c r="L304"/>
      <c r="M304"/>
      <c r="N304"/>
      <c r="O304"/>
      <c r="P304"/>
      <c r="Q304"/>
      <c r="R304" s="4" t="str">
        <f>IFERROR(VLOOKUP(IF(F304="Total",F303,F304),Table1[[Property]:['# Units]],7,0)*S304,"")</f>
        <v/>
      </c>
      <c r="S304" s="27" t="str">
        <f t="shared" si="46"/>
        <v/>
      </c>
      <c r="T304" s="531" t="str">
        <f>IFERROR(
 IF($F304="Total",
   SUMPRODUCT(
   INDEX(T:T, ROW()-COUNTIF($F$6:INDEX($F:$F, ROW()-1), $F303)) : INDEX(T:T, ROW()-1),
   INDEX(W:W, ROW()-COUNTIF($F$6:INDEX($F:$F, ROW()-1), $F303)) : INDEX(W:W, ROW()-1)
   )
   /SUM(INDEX(W:W, ROW()-COUNTIF($F$6:INDEX($F:$F, ROW()-1), $F303)) : INDEX(W:W, ROW()-1)),
   AVERAGEIFS(
     INDEX((unit_details[Asking Rent],unit_details[Asking PSF]),0,1,IF($U$3="Chunk Rent",1,2)),
     unit_details[Leased Date],"&gt;="&amp;($AM$2-T$5),
     unit_details[Leased Date],"&lt;"&amp;$AM$2,
     unit_details[Beds],$L304,
     unit_details[Baths],$M304,
     unit_details[Partial Baths],IF(ISNUMBER($N304),$N304,""),
     unit_details[Sqft],$P304,
     unit_details[Property Name],$F304)
 ),"")</f>
        <v/>
      </c>
      <c r="U304" s="552" t="str">
        <f>IFERROR(
 IF($F304="Total",
   SUMPRODUCT(
   INDEX(U:U, ROW()-COUNTIF($F$6:INDEX($F:$F, ROW()-1), $F303)) : INDEX(U:U, ROW()-1),
   INDEX(W:W, ROW()-COUNTIF($F$6:INDEX($F:$F, ROW()-1), $F303)) : INDEX(W:W, ROW()-1)
   )
   /SUM(INDEX(W:W, ROW()-COUNTIF($F$6:INDEX($F:$F, ROW()-1), $F303)) : INDEX(W:W, ROW()-1)),
   AVERAGEIFS(
     INDEX((unit_details[Effective Rent],unit_details[Effective PSF]),0,1,IF($U$3="Chunk Rent",1,2)),
     unit_details[Leased Date],"&gt;="&amp;($AM$2-T$5),
     unit_details[Leased Date],"&lt;"&amp;$AM$2,
     unit_details[Beds],$L304,
     unit_details[Baths],$M304,
     unit_details[Partial Baths],IF(ISNUMBER($N304),$N304,""),
     unit_details[Sqft],$P304,
     unit_details[Property Name],$F304)
 ),"")</f>
        <v/>
      </c>
      <c r="V304" s="27" t="str">
        <f t="shared" si="54"/>
        <v/>
      </c>
      <c r="W304" s="526">
        <f>IFERROR(
  IF($F304="Total",
    SUM(INDEX(W:W, ROW()-COUNTIF($F$6:INDEX($F:$F, ROW()-1), $F303)) : INDEX(W:W, ROW()-1)),
    COUNTIFS(
      unit_details[Leased Date], "&gt;="&amp;($AM$2-T$5),
      unit_details[Leased Date], "&lt;"&amp;$AM$2,
      unit_details[Beds], $L304,
      unit_details[Baths], $M304,
      unit_details[Partial Baths], IF(ISNUMBER($N304), $N304, ""),
      unit_details[Sqft],$P304,
      unit_details[Property Name], $F304
    )
  ),
"")</f>
        <v>0</v>
      </c>
      <c r="X304" s="531" t="str">
        <f>IFERROR(
 IF($F304="Total",
   SUMPRODUCT(
   INDEX(X:X, ROW()-COUNTIF($F$6:INDEX($F:$F, ROW()-1), $F303)) : INDEX(X:X, ROW()-1),
   INDEX(AA:AA, ROW()-COUNTIF($F$6:INDEX($F:$F, ROW()-1), $F303)) : INDEX(AA:AA, ROW()-1)
   )
   /SUM(INDEX(AA:AA, ROW()-COUNTIF($F$6:INDEX($F:$F, ROW()-1), $F303)) : INDEX(AA:AA, ROW()-1)),
   AVERAGEIFS(
     INDEX((unit_details[Asking Rent],unit_details[Asking PSF]),0,1,IF($U$3="Chunk Rent",1,2)),
     unit_details[Leased Date],"&gt;="&amp;($AM$2-X$5),
     unit_details[Leased Date],"&lt;"&amp;$AM$2,
     unit_details[Beds],$L304,
     unit_details[Baths],$M304,
     unit_details[Partial Baths],IF(ISNUMBER($N304),$N304,""),
     unit_details[Sqft],$P304,
     unit_details[Property Name],$F304)
 ),"")</f>
        <v/>
      </c>
      <c r="Y304" s="552" t="str">
        <f>IFERROR(
 IF($F304="Total",
   SUMPRODUCT(
   INDEX(Y:Y, ROW()-COUNTIF($F$6:INDEX($F:$F, ROW()-1), $F303)) : INDEX(Y:Y, ROW()-1),
   INDEX(AA:AA, ROW()-COUNTIF($F$6:INDEX($F:$F, ROW()-1), $F303)) : INDEX(AA:AA, ROW()-1)
   )
   /SUM(INDEX(AA:AA, ROW()-COUNTIF($F$6:INDEX($F:$F, ROW()-1), $F303)) : INDEX(AA:AA, ROW()-1)),
   AVERAGEIFS(
     INDEX((unit_details[Effective Rent],unit_details[Effective PSF]),0,1,IF($U$3="Chunk Rent",1,2)),
     unit_details[Leased Date],"&gt;="&amp;($AM$2-X$5),
     unit_details[Leased Date],"&lt;"&amp;$AM$2,
     unit_details[Beds],$L304,
     unit_details[Baths],$M304,
     unit_details[Partial Baths],IF(ISNUMBER($N304),$N304,""),
     unit_details[Sqft],$P304,
     unit_details[Property Name],$F304)
 ),"")</f>
        <v/>
      </c>
      <c r="Z304" s="27" t="str">
        <f t="shared" si="55"/>
        <v/>
      </c>
      <c r="AA304" s="526">
        <f>IFERROR(
  IF($F304="Total",
    SUM(INDEX(AA:AA, ROW()-COUNTIF($F$6:INDEX($F:$F, ROW()-1), $F303)) : INDEX(AA:AA, ROW()-1)),
    COUNTIFS(
      unit_details[Leased Date], "&gt;="&amp;($AM$2-X$5),
      unit_details[Leased Date], "&lt;"&amp;$AM$2,
      unit_details[Beds], $L304,
      unit_details[Baths], $M304,
      unit_details[Partial Baths], IF(ISNUMBER($N304), $N304, ""),
      unit_details[Sqft],$P304,
      unit_details[Property Name], $F304
    )
  ),
"")</f>
        <v>0</v>
      </c>
      <c r="AB304" s="290">
        <f>IF($F304="Total",
SUM(INDEX(AB:AB, ROW()-COUNTIF($F$6:INDEX($F:$F, ROW()-1), $F303)) : INDEX(AB:AB, ROW()-1)),
COUNTIFS(unit_details[Active Listing?],TRUE,
          unit_details[Property Name], $F304,
          unit_details[Beds], $L304,
          unit_details[Baths], $M304,
          unit_details[Partial Baths],IF(ISNUMBER($N304),$N304,""),
          unit_details[Sqft],$P304))</f>
        <v>0</v>
      </c>
      <c r="AC304" s="27" t="str">
        <f t="shared" si="47"/>
        <v/>
      </c>
      <c r="AD304" s="293" t="str">
        <f>IFERROR(IF(AE304="","",IF($F304="Total",
SUMPRODUCT(
   INDEX(AD:AD, ROW()-COUNTIF($F$6:INDEX($F:$F, ROW()-1), $F303)) : INDEX(AD:AD, ROW()-1),
   INDEX(AB:AB, ROW()-COUNTIF($F$6:INDEX($F:$F, ROW()-1), $F303)) : INDEX(AB:AB, ROW()-1)
   )
   /SUM(INDEX(AB:AB, ROW()-COUNTIF($F$6:INDEX($F:$F, ROW()-1), $F303)) : INDEX(AB:AB, ROW()-1)),
          _xlfn.MINIFS(unit_details[Asking Rent],
          unit_details[Active Listing?],TRUE,
          unit_details[Property Name], $F304,
          unit_details[Beds], $L304,
          unit_details[Baths], $M304,
          unit_details[Partial Baths], IF(ISNUMBER($N304),$N304,""),
          unit_details[Sqft],$P304
))),"")</f>
        <v/>
      </c>
      <c r="AE304" s="5" t="str">
        <f>IFERROR(IF($F304="Total",
          SUMPRODUCT(
   INDEX(AE:AE, ROW()-COUNTIF($F$6:INDEX($F:$F, ROW()-1), $F303)) : INDEX(AE:AE, ROW()-1),
   INDEX(AB:AB, ROW()-COUNTIF($F$6:INDEX($F:$F, ROW()-1), $F303)) : INDEX(AB:AB, ROW()-1)
   )
   /SUM(INDEX(AB:AB, ROW()-COUNTIF($F$6:INDEX($F:$F, ROW()-1), $F303)) : INDEX(AB:AB, ROW()-1)),
          AVERAGEIFS(unit_details[Asking Rent],
          unit_details[Active Listing?],TRUE,
          unit_details[Property Name], $F304,
          unit_details[Beds], $L304,
          unit_details[Baths], $M304,
          unit_details[Partial Baths], IF(ISNUMBER($N304),$N304,""),
          unit_details[Sqft],$P304
)),"")</f>
        <v/>
      </c>
      <c r="AF304" s="5" t="str">
        <f>IFERROR(IF(AE304="","",IF($F304="Total",
SUMPRODUCT(
   INDEX(AF:AF, ROW()-COUNTIF($F$6:INDEX($F:$F, ROW()-1), $F303)) : INDEX(AF:AF, ROW()-1),
   INDEX(AB:AB, ROW()-COUNTIF($F$6:INDEX($F:$F, ROW()-1), $F303)) : INDEX(AB:AB, ROW()-1)
   )
   /SUM(INDEX(AB:AB, ROW()-COUNTIF($F$6:INDEX($F:$F, ROW()-1), $F303)) : INDEX(AB:AB, ROW()-1)),
           _xlfn.MAXIFS(unit_details[Asking Rent],
          unit_details[Active Listing?],TRUE,
          unit_details[Property Name], $F304,
          unit_details[Beds], $L304,
          unit_details[Baths], $M304,
          unit_details[Partial Baths], IF(ISNUMBER($N304),$N304,""),
          unit_details[Sqft],$P304
))),"")</f>
        <v/>
      </c>
      <c r="AG304" s="6" t="str">
        <f>IFERROR(IF($F304="Total",
         SUMPRODUCT(
         INDEX(AG:AG, ROW()-COUNTIF($F$6:INDEX($F:$F, ROW()-1), $F303)) : INDEX(AG:AG, ROW()-1),
         INDEX(AB:AB, ROW()-COUNTIF($F$6:INDEX($F:$F, ROW()-1), $F303)) : INDEX(AB:AB, ROW()-1)
         )
         /SUM(INDEX(AB:AB, ROW()-COUNTIF($F$6:INDEX($F:$F, ROW()-1), $F303)) : INDEX(AB:AB, ROW()-1)),
          AVERAGEIFS(unit_details[Asking PSF],
          unit_details[Active Listing?],TRUE,
          unit_details[Property Name], $F304,
          unit_details[Beds], $L304,
          unit_details[Baths], $M304,
          unit_details[Partial Baths], IF(ISNUMBER($N304),$N304,""),
          unit_details[Sqft],$P304
)),"")</f>
        <v/>
      </c>
      <c r="AH304" s="293" t="str">
        <f>IFERROR(IF($F304="Total",
         SUMPRODUCT(
         INDEX(AH:AH, ROW()-COUNTIF($F$6:INDEX($F:$F, ROW()-1), $F303)) : INDEX(AH:AH, ROW()-1),
         INDEX(AB:AB, ROW()-COUNTIF($F$6:INDEX($F:$F, ROW()-1), $F303)) : INDEX(AB:AB, ROW()-1)
         )
         /SUM(INDEX(AB:AB, ROW()-COUNTIF($F$6:INDEX($F:$F, ROW()-1), $F303)) : INDEX(AB:AB, ROW()-1)),
          AVERAGEIFS(unit_details[Effective Rent],
          unit_details[Active Listing?],TRUE,
          unit_details[Property Name], $F304,
          unit_details[Beds], $L304,
          unit_details[Baths], $M304,
          unit_details[Partial Baths], IF(ISNUMBER($N304),$N304,""),
          unit_details[Sqft],$P304
)),"")</f>
        <v/>
      </c>
      <c r="AI304" s="6" t="str">
        <f>IFERROR(IF($F304="Total",
         SUMPRODUCT(
         INDEX(AI:AI, ROW()-COUNTIF($F$6:INDEX($F:$F, ROW()-1), $F303)) : INDEX(AI:AI, ROW()-1),
         INDEX(AB:AB, ROW()-COUNTIF($F$6:INDEX($F:$F, ROW()-1), $F303)) : INDEX(AB:AB, ROW()-1)
         )
         /SUM(INDEX(AB:AB, ROW()-COUNTIF($F$6:INDEX($F:$F, ROW()-1), $F303)) : INDEX(AB:AB, ROW()-1)),
           AVERAGEIFS(unit_details[Effective PSF],
          unit_details[Active Listing?],TRUE,
          unit_details[Property Name], $F304,
          unit_details[Beds], $L304,
          unit_details[Baths], $M304,
          unit_details[Partial Baths], IF(ISNUMBER($N304),$N304,""),
          unit_details[Sqft],$P304
)),"")</f>
        <v/>
      </c>
      <c r="AJ304" s="824" t="str">
        <f t="shared" si="48"/>
        <v/>
      </c>
      <c r="AK304" s="531" t="str">
        <f t="shared" si="49"/>
        <v/>
      </c>
      <c r="AL304" s="714" t="str">
        <f t="shared" si="50"/>
        <v/>
      </c>
      <c r="AM304" s="531" t="str">
        <f t="shared" si="51"/>
        <v/>
      </c>
      <c r="AN304" s="716" t="str">
        <f t="shared" si="52"/>
        <v/>
      </c>
    </row>
    <row r="305" spans="6:40" x14ac:dyDescent="0.2">
      <c r="F305" s="1" t="str">
        <f t="shared" si="45"/>
        <v/>
      </c>
      <c r="G305" s="713" t="str">
        <f t="shared" si="53"/>
        <v/>
      </c>
      <c r="H305" s="17" t="str">
        <f>IFERROR(VLOOKUP($G305,Table1[[Property]:[Exposure %]],4,0),"")</f>
        <v/>
      </c>
      <c r="I305" s="3" t="str">
        <f>IFERROR(VLOOKUP($G305,Table1[[Property]:[Exposure %]],6,0),"")</f>
        <v/>
      </c>
      <c r="J305" s="3" t="str">
        <f>IFERROR(VLOOKUP($G305,Table1[[Property]:[Exposure %]],7,0),"")</f>
        <v/>
      </c>
      <c r="K305"/>
      <c r="L305"/>
      <c r="M305"/>
      <c r="N305"/>
      <c r="O305"/>
      <c r="P305"/>
      <c r="Q305"/>
      <c r="R305" s="4" t="str">
        <f>IFERROR(VLOOKUP(IF(F305="Total",F304,F305),Table1[[Property]:['# Units]],7,0)*S305,"")</f>
        <v/>
      </c>
      <c r="S305" s="27" t="str">
        <f t="shared" si="46"/>
        <v/>
      </c>
      <c r="T305" s="531" t="str">
        <f>IFERROR(
 IF($F305="Total",
   SUMPRODUCT(
   INDEX(T:T, ROW()-COUNTIF($F$6:INDEX($F:$F, ROW()-1), $F304)) : INDEX(T:T, ROW()-1),
   INDEX(W:W, ROW()-COUNTIF($F$6:INDEX($F:$F, ROW()-1), $F304)) : INDEX(W:W, ROW()-1)
   )
   /SUM(INDEX(W:W, ROW()-COUNTIF($F$6:INDEX($F:$F, ROW()-1), $F304)) : INDEX(W:W, ROW()-1)),
   AVERAGEIFS(
     INDEX((unit_details[Asking Rent],unit_details[Asking PSF]),0,1,IF($U$3="Chunk Rent",1,2)),
     unit_details[Leased Date],"&gt;="&amp;($AM$2-T$5),
     unit_details[Leased Date],"&lt;"&amp;$AM$2,
     unit_details[Beds],$L305,
     unit_details[Baths],$M305,
     unit_details[Partial Baths],IF(ISNUMBER($N305),$N305,""),
     unit_details[Sqft],$P305,
     unit_details[Property Name],$F305)
 ),"")</f>
        <v/>
      </c>
      <c r="U305" s="552" t="str">
        <f>IFERROR(
 IF($F305="Total",
   SUMPRODUCT(
   INDEX(U:U, ROW()-COUNTIF($F$6:INDEX($F:$F, ROW()-1), $F304)) : INDEX(U:U, ROW()-1),
   INDEX(W:W, ROW()-COUNTIF($F$6:INDEX($F:$F, ROW()-1), $F304)) : INDEX(W:W, ROW()-1)
   )
   /SUM(INDEX(W:W, ROW()-COUNTIF($F$6:INDEX($F:$F, ROW()-1), $F304)) : INDEX(W:W, ROW()-1)),
   AVERAGEIFS(
     INDEX((unit_details[Effective Rent],unit_details[Effective PSF]),0,1,IF($U$3="Chunk Rent",1,2)),
     unit_details[Leased Date],"&gt;="&amp;($AM$2-T$5),
     unit_details[Leased Date],"&lt;"&amp;$AM$2,
     unit_details[Beds],$L305,
     unit_details[Baths],$M305,
     unit_details[Partial Baths],IF(ISNUMBER($N305),$N305,""),
     unit_details[Sqft],$P305,
     unit_details[Property Name],$F305)
 ),"")</f>
        <v/>
      </c>
      <c r="V305" s="27" t="str">
        <f t="shared" si="54"/>
        <v/>
      </c>
      <c r="W305" s="526">
        <f>IFERROR(
  IF($F305="Total",
    SUM(INDEX(W:W, ROW()-COUNTIF($F$6:INDEX($F:$F, ROW()-1), $F304)) : INDEX(W:W, ROW()-1)),
    COUNTIFS(
      unit_details[Leased Date], "&gt;="&amp;($AM$2-T$5),
      unit_details[Leased Date], "&lt;"&amp;$AM$2,
      unit_details[Beds], $L305,
      unit_details[Baths], $M305,
      unit_details[Partial Baths], IF(ISNUMBER($N305), $N305, ""),
      unit_details[Sqft],$P305,
      unit_details[Property Name], $F305
    )
  ),
"")</f>
        <v>0</v>
      </c>
      <c r="X305" s="531" t="str">
        <f>IFERROR(
 IF($F305="Total",
   SUMPRODUCT(
   INDEX(X:X, ROW()-COUNTIF($F$6:INDEX($F:$F, ROW()-1), $F304)) : INDEX(X:X, ROW()-1),
   INDEX(AA:AA, ROW()-COUNTIF($F$6:INDEX($F:$F, ROW()-1), $F304)) : INDEX(AA:AA, ROW()-1)
   )
   /SUM(INDEX(AA:AA, ROW()-COUNTIF($F$6:INDEX($F:$F, ROW()-1), $F304)) : INDEX(AA:AA, ROW()-1)),
   AVERAGEIFS(
     INDEX((unit_details[Asking Rent],unit_details[Asking PSF]),0,1,IF($U$3="Chunk Rent",1,2)),
     unit_details[Leased Date],"&gt;="&amp;($AM$2-X$5),
     unit_details[Leased Date],"&lt;"&amp;$AM$2,
     unit_details[Beds],$L305,
     unit_details[Baths],$M305,
     unit_details[Partial Baths],IF(ISNUMBER($N305),$N305,""),
     unit_details[Sqft],$P305,
     unit_details[Property Name],$F305)
 ),"")</f>
        <v/>
      </c>
      <c r="Y305" s="552" t="str">
        <f>IFERROR(
 IF($F305="Total",
   SUMPRODUCT(
   INDEX(Y:Y, ROW()-COUNTIF($F$6:INDEX($F:$F, ROW()-1), $F304)) : INDEX(Y:Y, ROW()-1),
   INDEX(AA:AA, ROW()-COUNTIF($F$6:INDEX($F:$F, ROW()-1), $F304)) : INDEX(AA:AA, ROW()-1)
   )
   /SUM(INDEX(AA:AA, ROW()-COUNTIF($F$6:INDEX($F:$F, ROW()-1), $F304)) : INDEX(AA:AA, ROW()-1)),
   AVERAGEIFS(
     INDEX((unit_details[Effective Rent],unit_details[Effective PSF]),0,1,IF($U$3="Chunk Rent",1,2)),
     unit_details[Leased Date],"&gt;="&amp;($AM$2-X$5),
     unit_details[Leased Date],"&lt;"&amp;$AM$2,
     unit_details[Beds],$L305,
     unit_details[Baths],$M305,
     unit_details[Partial Baths],IF(ISNUMBER($N305),$N305,""),
     unit_details[Sqft],$P305,
     unit_details[Property Name],$F305)
 ),"")</f>
        <v/>
      </c>
      <c r="Z305" s="27" t="str">
        <f t="shared" si="55"/>
        <v/>
      </c>
      <c r="AA305" s="526">
        <f>IFERROR(
  IF($F305="Total",
    SUM(INDEX(AA:AA, ROW()-COUNTIF($F$6:INDEX($F:$F, ROW()-1), $F304)) : INDEX(AA:AA, ROW()-1)),
    COUNTIFS(
      unit_details[Leased Date], "&gt;="&amp;($AM$2-X$5),
      unit_details[Leased Date], "&lt;"&amp;$AM$2,
      unit_details[Beds], $L305,
      unit_details[Baths], $M305,
      unit_details[Partial Baths], IF(ISNUMBER($N305), $N305, ""),
      unit_details[Sqft],$P305,
      unit_details[Property Name], $F305
    )
  ),
"")</f>
        <v>0</v>
      </c>
      <c r="AB305" s="290">
        <f>IF($F305="Total",
SUM(INDEX(AB:AB, ROW()-COUNTIF($F$6:INDEX($F:$F, ROW()-1), $F304)) : INDEX(AB:AB, ROW()-1)),
COUNTIFS(unit_details[Active Listing?],TRUE,
          unit_details[Property Name], $F305,
          unit_details[Beds], $L305,
          unit_details[Baths], $M305,
          unit_details[Partial Baths],IF(ISNUMBER($N305),$N305,""),
          unit_details[Sqft],$P305))</f>
        <v>0</v>
      </c>
      <c r="AC305" s="27" t="str">
        <f t="shared" si="47"/>
        <v/>
      </c>
      <c r="AD305" s="293" t="str">
        <f>IFERROR(IF(AE305="","",IF($F305="Total",
SUMPRODUCT(
   INDEX(AD:AD, ROW()-COUNTIF($F$6:INDEX($F:$F, ROW()-1), $F304)) : INDEX(AD:AD, ROW()-1),
   INDEX(AB:AB, ROW()-COUNTIF($F$6:INDEX($F:$F, ROW()-1), $F304)) : INDEX(AB:AB, ROW()-1)
   )
   /SUM(INDEX(AB:AB, ROW()-COUNTIF($F$6:INDEX($F:$F, ROW()-1), $F304)) : INDEX(AB:AB, ROW()-1)),
          _xlfn.MINIFS(unit_details[Asking Rent],
          unit_details[Active Listing?],TRUE,
          unit_details[Property Name], $F305,
          unit_details[Beds], $L305,
          unit_details[Baths], $M305,
          unit_details[Partial Baths], IF(ISNUMBER($N305),$N305,""),
          unit_details[Sqft],$P305
))),"")</f>
        <v/>
      </c>
      <c r="AE305" s="5" t="str">
        <f>IFERROR(IF($F305="Total",
          SUMPRODUCT(
   INDEX(AE:AE, ROW()-COUNTIF($F$6:INDEX($F:$F, ROW()-1), $F304)) : INDEX(AE:AE, ROW()-1),
   INDEX(AB:AB, ROW()-COUNTIF($F$6:INDEX($F:$F, ROW()-1), $F304)) : INDEX(AB:AB, ROW()-1)
   )
   /SUM(INDEX(AB:AB, ROW()-COUNTIF($F$6:INDEX($F:$F, ROW()-1), $F304)) : INDEX(AB:AB, ROW()-1)),
          AVERAGEIFS(unit_details[Asking Rent],
          unit_details[Active Listing?],TRUE,
          unit_details[Property Name], $F305,
          unit_details[Beds], $L305,
          unit_details[Baths], $M305,
          unit_details[Partial Baths], IF(ISNUMBER($N305),$N305,""),
          unit_details[Sqft],$P305
)),"")</f>
        <v/>
      </c>
      <c r="AF305" s="5" t="str">
        <f>IFERROR(IF(AE305="","",IF($F305="Total",
SUMPRODUCT(
   INDEX(AF:AF, ROW()-COUNTIF($F$6:INDEX($F:$F, ROW()-1), $F304)) : INDEX(AF:AF, ROW()-1),
   INDEX(AB:AB, ROW()-COUNTIF($F$6:INDEX($F:$F, ROW()-1), $F304)) : INDEX(AB:AB, ROW()-1)
   )
   /SUM(INDEX(AB:AB, ROW()-COUNTIF($F$6:INDEX($F:$F, ROW()-1), $F304)) : INDEX(AB:AB, ROW()-1)),
           _xlfn.MAXIFS(unit_details[Asking Rent],
          unit_details[Active Listing?],TRUE,
          unit_details[Property Name], $F305,
          unit_details[Beds], $L305,
          unit_details[Baths], $M305,
          unit_details[Partial Baths], IF(ISNUMBER($N305),$N305,""),
          unit_details[Sqft],$P305
))),"")</f>
        <v/>
      </c>
      <c r="AG305" s="6" t="str">
        <f>IFERROR(IF($F305="Total",
         SUMPRODUCT(
         INDEX(AG:AG, ROW()-COUNTIF($F$6:INDEX($F:$F, ROW()-1), $F304)) : INDEX(AG:AG, ROW()-1),
         INDEX(AB:AB, ROW()-COUNTIF($F$6:INDEX($F:$F, ROW()-1), $F304)) : INDEX(AB:AB, ROW()-1)
         )
         /SUM(INDEX(AB:AB, ROW()-COUNTIF($F$6:INDEX($F:$F, ROW()-1), $F304)) : INDEX(AB:AB, ROW()-1)),
          AVERAGEIFS(unit_details[Asking PSF],
          unit_details[Active Listing?],TRUE,
          unit_details[Property Name], $F305,
          unit_details[Beds], $L305,
          unit_details[Baths], $M305,
          unit_details[Partial Baths], IF(ISNUMBER($N305),$N305,""),
          unit_details[Sqft],$P305
)),"")</f>
        <v/>
      </c>
      <c r="AH305" s="293" t="str">
        <f>IFERROR(IF($F305="Total",
         SUMPRODUCT(
         INDEX(AH:AH, ROW()-COUNTIF($F$6:INDEX($F:$F, ROW()-1), $F304)) : INDEX(AH:AH, ROW()-1),
         INDEX(AB:AB, ROW()-COUNTIF($F$6:INDEX($F:$F, ROW()-1), $F304)) : INDEX(AB:AB, ROW()-1)
         )
         /SUM(INDEX(AB:AB, ROW()-COUNTIF($F$6:INDEX($F:$F, ROW()-1), $F304)) : INDEX(AB:AB, ROW()-1)),
          AVERAGEIFS(unit_details[Effective Rent],
          unit_details[Active Listing?],TRUE,
          unit_details[Property Name], $F305,
          unit_details[Beds], $L305,
          unit_details[Baths], $M305,
          unit_details[Partial Baths], IF(ISNUMBER($N305),$N305,""),
          unit_details[Sqft],$P305
)),"")</f>
        <v/>
      </c>
      <c r="AI305" s="6" t="str">
        <f>IFERROR(IF($F305="Total",
         SUMPRODUCT(
         INDEX(AI:AI, ROW()-COUNTIF($F$6:INDEX($F:$F, ROW()-1), $F304)) : INDEX(AI:AI, ROW()-1),
         INDEX(AB:AB, ROW()-COUNTIF($F$6:INDEX($F:$F, ROW()-1), $F304)) : INDEX(AB:AB, ROW()-1)
         )
         /SUM(INDEX(AB:AB, ROW()-COUNTIF($F$6:INDEX($F:$F, ROW()-1), $F304)) : INDEX(AB:AB, ROW()-1)),
           AVERAGEIFS(unit_details[Effective PSF],
          unit_details[Active Listing?],TRUE,
          unit_details[Property Name], $F305,
          unit_details[Beds], $L305,
          unit_details[Baths], $M305,
          unit_details[Partial Baths], IF(ISNUMBER($N305),$N305,""),
          unit_details[Sqft],$P305
)),"")</f>
        <v/>
      </c>
      <c r="AJ305" s="824" t="str">
        <f t="shared" si="48"/>
        <v/>
      </c>
      <c r="AK305" s="531" t="str">
        <f t="shared" si="49"/>
        <v/>
      </c>
      <c r="AL305" s="714" t="str">
        <f t="shared" si="50"/>
        <v/>
      </c>
      <c r="AM305" s="531" t="str">
        <f t="shared" si="51"/>
        <v/>
      </c>
      <c r="AN305" s="716" t="str">
        <f t="shared" si="52"/>
        <v/>
      </c>
    </row>
    <row r="306" spans="6:40" x14ac:dyDescent="0.2">
      <c r="F306" s="1" t="str">
        <f t="shared" si="45"/>
        <v/>
      </c>
      <c r="G306" s="713" t="str">
        <f t="shared" si="53"/>
        <v/>
      </c>
      <c r="H306" s="17" t="str">
        <f>IFERROR(VLOOKUP($G306,Table1[[Property]:[Exposure %]],4,0),"")</f>
        <v/>
      </c>
      <c r="I306" s="3" t="str">
        <f>IFERROR(VLOOKUP($G306,Table1[[Property]:[Exposure %]],6,0),"")</f>
        <v/>
      </c>
      <c r="J306" s="3" t="str">
        <f>IFERROR(VLOOKUP($G306,Table1[[Property]:[Exposure %]],7,0),"")</f>
        <v/>
      </c>
      <c r="K306"/>
      <c r="L306"/>
      <c r="M306"/>
      <c r="N306"/>
      <c r="O306"/>
      <c r="P306"/>
      <c r="Q306"/>
      <c r="R306" s="4" t="str">
        <f>IFERROR(VLOOKUP(IF(F306="Total",F305,F306),Table1[[Property]:['# Units]],7,0)*S306,"")</f>
        <v/>
      </c>
      <c r="S306" s="27" t="str">
        <f t="shared" si="46"/>
        <v/>
      </c>
      <c r="T306" s="531" t="str">
        <f>IFERROR(
 IF($F306="Total",
   SUMPRODUCT(
   INDEX(T:T, ROW()-COUNTIF($F$6:INDEX($F:$F, ROW()-1), $F305)) : INDEX(T:T, ROW()-1),
   INDEX(W:W, ROW()-COUNTIF($F$6:INDEX($F:$F, ROW()-1), $F305)) : INDEX(W:W, ROW()-1)
   )
   /SUM(INDEX(W:W, ROW()-COUNTIF($F$6:INDEX($F:$F, ROW()-1), $F305)) : INDEX(W:W, ROW()-1)),
   AVERAGEIFS(
     INDEX((unit_details[Asking Rent],unit_details[Asking PSF]),0,1,IF($U$3="Chunk Rent",1,2)),
     unit_details[Leased Date],"&gt;="&amp;($AM$2-T$5),
     unit_details[Leased Date],"&lt;"&amp;$AM$2,
     unit_details[Beds],$L306,
     unit_details[Baths],$M306,
     unit_details[Partial Baths],IF(ISNUMBER($N306),$N306,""),
     unit_details[Sqft],$P306,
     unit_details[Property Name],$F306)
 ),"")</f>
        <v/>
      </c>
      <c r="U306" s="552" t="str">
        <f>IFERROR(
 IF($F306="Total",
   SUMPRODUCT(
   INDEX(U:U, ROW()-COUNTIF($F$6:INDEX($F:$F, ROW()-1), $F305)) : INDEX(U:U, ROW()-1),
   INDEX(W:W, ROW()-COUNTIF($F$6:INDEX($F:$F, ROW()-1), $F305)) : INDEX(W:W, ROW()-1)
   )
   /SUM(INDEX(W:W, ROW()-COUNTIF($F$6:INDEX($F:$F, ROW()-1), $F305)) : INDEX(W:W, ROW()-1)),
   AVERAGEIFS(
     INDEX((unit_details[Effective Rent],unit_details[Effective PSF]),0,1,IF($U$3="Chunk Rent",1,2)),
     unit_details[Leased Date],"&gt;="&amp;($AM$2-T$5),
     unit_details[Leased Date],"&lt;"&amp;$AM$2,
     unit_details[Beds],$L306,
     unit_details[Baths],$M306,
     unit_details[Partial Baths],IF(ISNUMBER($N306),$N306,""),
     unit_details[Sqft],$P306,
     unit_details[Property Name],$F306)
 ),"")</f>
        <v/>
      </c>
      <c r="V306" s="27" t="str">
        <f t="shared" si="54"/>
        <v/>
      </c>
      <c r="W306" s="526">
        <f>IFERROR(
  IF($F306="Total",
    SUM(INDEX(W:W, ROW()-COUNTIF($F$6:INDEX($F:$F, ROW()-1), $F305)) : INDEX(W:W, ROW()-1)),
    COUNTIFS(
      unit_details[Leased Date], "&gt;="&amp;($AM$2-T$5),
      unit_details[Leased Date], "&lt;"&amp;$AM$2,
      unit_details[Beds], $L306,
      unit_details[Baths], $M306,
      unit_details[Partial Baths], IF(ISNUMBER($N306), $N306, ""),
      unit_details[Sqft],$P306,
      unit_details[Property Name], $F306
    )
  ),
"")</f>
        <v>0</v>
      </c>
      <c r="X306" s="531" t="str">
        <f>IFERROR(
 IF($F306="Total",
   SUMPRODUCT(
   INDEX(X:X, ROW()-COUNTIF($F$6:INDEX($F:$F, ROW()-1), $F305)) : INDEX(X:X, ROW()-1),
   INDEX(AA:AA, ROW()-COUNTIF($F$6:INDEX($F:$F, ROW()-1), $F305)) : INDEX(AA:AA, ROW()-1)
   )
   /SUM(INDEX(AA:AA, ROW()-COUNTIF($F$6:INDEX($F:$F, ROW()-1), $F305)) : INDEX(AA:AA, ROW()-1)),
   AVERAGEIFS(
     INDEX((unit_details[Asking Rent],unit_details[Asking PSF]),0,1,IF($U$3="Chunk Rent",1,2)),
     unit_details[Leased Date],"&gt;="&amp;($AM$2-X$5),
     unit_details[Leased Date],"&lt;"&amp;$AM$2,
     unit_details[Beds],$L306,
     unit_details[Baths],$M306,
     unit_details[Partial Baths],IF(ISNUMBER($N306),$N306,""),
     unit_details[Sqft],$P306,
     unit_details[Property Name],$F306)
 ),"")</f>
        <v/>
      </c>
      <c r="Y306" s="552" t="str">
        <f>IFERROR(
 IF($F306="Total",
   SUMPRODUCT(
   INDEX(Y:Y, ROW()-COUNTIF($F$6:INDEX($F:$F, ROW()-1), $F305)) : INDEX(Y:Y, ROW()-1),
   INDEX(AA:AA, ROW()-COUNTIF($F$6:INDEX($F:$F, ROW()-1), $F305)) : INDEX(AA:AA, ROW()-1)
   )
   /SUM(INDEX(AA:AA, ROW()-COUNTIF($F$6:INDEX($F:$F, ROW()-1), $F305)) : INDEX(AA:AA, ROW()-1)),
   AVERAGEIFS(
     INDEX((unit_details[Effective Rent],unit_details[Effective PSF]),0,1,IF($U$3="Chunk Rent",1,2)),
     unit_details[Leased Date],"&gt;="&amp;($AM$2-X$5),
     unit_details[Leased Date],"&lt;"&amp;$AM$2,
     unit_details[Beds],$L306,
     unit_details[Baths],$M306,
     unit_details[Partial Baths],IF(ISNUMBER($N306),$N306,""),
     unit_details[Sqft],$P306,
     unit_details[Property Name],$F306)
 ),"")</f>
        <v/>
      </c>
      <c r="Z306" s="27" t="str">
        <f t="shared" si="55"/>
        <v/>
      </c>
      <c r="AA306" s="526">
        <f>IFERROR(
  IF($F306="Total",
    SUM(INDEX(AA:AA, ROW()-COUNTIF($F$6:INDEX($F:$F, ROW()-1), $F305)) : INDEX(AA:AA, ROW()-1)),
    COUNTIFS(
      unit_details[Leased Date], "&gt;="&amp;($AM$2-X$5),
      unit_details[Leased Date], "&lt;"&amp;$AM$2,
      unit_details[Beds], $L306,
      unit_details[Baths], $M306,
      unit_details[Partial Baths], IF(ISNUMBER($N306), $N306, ""),
      unit_details[Sqft],$P306,
      unit_details[Property Name], $F306
    )
  ),
"")</f>
        <v>0</v>
      </c>
      <c r="AB306" s="290">
        <f>IF($F306="Total",
SUM(INDEX(AB:AB, ROW()-COUNTIF($F$6:INDEX($F:$F, ROW()-1), $F305)) : INDEX(AB:AB, ROW()-1)),
COUNTIFS(unit_details[Active Listing?],TRUE,
          unit_details[Property Name], $F306,
          unit_details[Beds], $L306,
          unit_details[Baths], $M306,
          unit_details[Partial Baths],IF(ISNUMBER($N306),$N306,""),
          unit_details[Sqft],$P306))</f>
        <v>0</v>
      </c>
      <c r="AC306" s="27" t="str">
        <f t="shared" si="47"/>
        <v/>
      </c>
      <c r="AD306" s="293" t="str">
        <f>IFERROR(IF(AE306="","",IF($F306="Total",
SUMPRODUCT(
   INDEX(AD:AD, ROW()-COUNTIF($F$6:INDEX($F:$F, ROW()-1), $F305)) : INDEX(AD:AD, ROW()-1),
   INDEX(AB:AB, ROW()-COUNTIF($F$6:INDEX($F:$F, ROW()-1), $F305)) : INDEX(AB:AB, ROW()-1)
   )
   /SUM(INDEX(AB:AB, ROW()-COUNTIF($F$6:INDEX($F:$F, ROW()-1), $F305)) : INDEX(AB:AB, ROW()-1)),
          _xlfn.MINIFS(unit_details[Asking Rent],
          unit_details[Active Listing?],TRUE,
          unit_details[Property Name], $F306,
          unit_details[Beds], $L306,
          unit_details[Baths], $M306,
          unit_details[Partial Baths], IF(ISNUMBER($N306),$N306,""),
          unit_details[Sqft],$P306
))),"")</f>
        <v/>
      </c>
      <c r="AE306" s="5" t="str">
        <f>IFERROR(IF($F306="Total",
          SUMPRODUCT(
   INDEX(AE:AE, ROW()-COUNTIF($F$6:INDEX($F:$F, ROW()-1), $F305)) : INDEX(AE:AE, ROW()-1),
   INDEX(AB:AB, ROW()-COUNTIF($F$6:INDEX($F:$F, ROW()-1), $F305)) : INDEX(AB:AB, ROW()-1)
   )
   /SUM(INDEX(AB:AB, ROW()-COUNTIF($F$6:INDEX($F:$F, ROW()-1), $F305)) : INDEX(AB:AB, ROW()-1)),
          AVERAGEIFS(unit_details[Asking Rent],
          unit_details[Active Listing?],TRUE,
          unit_details[Property Name], $F306,
          unit_details[Beds], $L306,
          unit_details[Baths], $M306,
          unit_details[Partial Baths], IF(ISNUMBER($N306),$N306,""),
          unit_details[Sqft],$P306
)),"")</f>
        <v/>
      </c>
      <c r="AF306" s="5" t="str">
        <f>IFERROR(IF(AE306="","",IF($F306="Total",
SUMPRODUCT(
   INDEX(AF:AF, ROW()-COUNTIF($F$6:INDEX($F:$F, ROW()-1), $F305)) : INDEX(AF:AF, ROW()-1),
   INDEX(AB:AB, ROW()-COUNTIF($F$6:INDEX($F:$F, ROW()-1), $F305)) : INDEX(AB:AB, ROW()-1)
   )
   /SUM(INDEX(AB:AB, ROW()-COUNTIF($F$6:INDEX($F:$F, ROW()-1), $F305)) : INDEX(AB:AB, ROW()-1)),
           _xlfn.MAXIFS(unit_details[Asking Rent],
          unit_details[Active Listing?],TRUE,
          unit_details[Property Name], $F306,
          unit_details[Beds], $L306,
          unit_details[Baths], $M306,
          unit_details[Partial Baths], IF(ISNUMBER($N306),$N306,""),
          unit_details[Sqft],$P306
))),"")</f>
        <v/>
      </c>
      <c r="AG306" s="6" t="str">
        <f>IFERROR(IF($F306="Total",
         SUMPRODUCT(
         INDEX(AG:AG, ROW()-COUNTIF($F$6:INDEX($F:$F, ROW()-1), $F305)) : INDEX(AG:AG, ROW()-1),
         INDEX(AB:AB, ROW()-COUNTIF($F$6:INDEX($F:$F, ROW()-1), $F305)) : INDEX(AB:AB, ROW()-1)
         )
         /SUM(INDEX(AB:AB, ROW()-COUNTIF($F$6:INDEX($F:$F, ROW()-1), $F305)) : INDEX(AB:AB, ROW()-1)),
          AVERAGEIFS(unit_details[Asking PSF],
          unit_details[Active Listing?],TRUE,
          unit_details[Property Name], $F306,
          unit_details[Beds], $L306,
          unit_details[Baths], $M306,
          unit_details[Partial Baths], IF(ISNUMBER($N306),$N306,""),
          unit_details[Sqft],$P306
)),"")</f>
        <v/>
      </c>
      <c r="AH306" s="293" t="str">
        <f>IFERROR(IF($F306="Total",
         SUMPRODUCT(
         INDEX(AH:AH, ROW()-COUNTIF($F$6:INDEX($F:$F, ROW()-1), $F305)) : INDEX(AH:AH, ROW()-1),
         INDEX(AB:AB, ROW()-COUNTIF($F$6:INDEX($F:$F, ROW()-1), $F305)) : INDEX(AB:AB, ROW()-1)
         )
         /SUM(INDEX(AB:AB, ROW()-COUNTIF($F$6:INDEX($F:$F, ROW()-1), $F305)) : INDEX(AB:AB, ROW()-1)),
          AVERAGEIFS(unit_details[Effective Rent],
          unit_details[Active Listing?],TRUE,
          unit_details[Property Name], $F306,
          unit_details[Beds], $L306,
          unit_details[Baths], $M306,
          unit_details[Partial Baths], IF(ISNUMBER($N306),$N306,""),
          unit_details[Sqft],$P306
)),"")</f>
        <v/>
      </c>
      <c r="AI306" s="6" t="str">
        <f>IFERROR(IF($F306="Total",
         SUMPRODUCT(
         INDEX(AI:AI, ROW()-COUNTIF($F$6:INDEX($F:$F, ROW()-1), $F305)) : INDEX(AI:AI, ROW()-1),
         INDEX(AB:AB, ROW()-COUNTIF($F$6:INDEX($F:$F, ROW()-1), $F305)) : INDEX(AB:AB, ROW()-1)
         )
         /SUM(INDEX(AB:AB, ROW()-COUNTIF($F$6:INDEX($F:$F, ROW()-1), $F305)) : INDEX(AB:AB, ROW()-1)),
           AVERAGEIFS(unit_details[Effective PSF],
          unit_details[Active Listing?],TRUE,
          unit_details[Property Name], $F306,
          unit_details[Beds], $L306,
          unit_details[Baths], $M306,
          unit_details[Partial Baths], IF(ISNUMBER($N306),$N306,""),
          unit_details[Sqft],$P306
)),"")</f>
        <v/>
      </c>
      <c r="AJ306" s="824" t="str">
        <f t="shared" si="48"/>
        <v/>
      </c>
      <c r="AK306" s="531" t="str">
        <f t="shared" si="49"/>
        <v/>
      </c>
      <c r="AL306" s="714" t="str">
        <f t="shared" si="50"/>
        <v/>
      </c>
      <c r="AM306" s="531" t="str">
        <f t="shared" si="51"/>
        <v/>
      </c>
      <c r="AN306" s="716" t="str">
        <f t="shared" si="52"/>
        <v/>
      </c>
    </row>
    <row r="307" spans="6:40" x14ac:dyDescent="0.2">
      <c r="F307" s="1" t="str">
        <f t="shared" si="45"/>
        <v/>
      </c>
      <c r="G307" s="713" t="str">
        <f t="shared" si="53"/>
        <v/>
      </c>
      <c r="H307" s="17" t="str">
        <f>IFERROR(VLOOKUP($G307,Table1[[Property]:[Exposure %]],4,0),"")</f>
        <v/>
      </c>
      <c r="I307" s="3" t="str">
        <f>IFERROR(VLOOKUP($G307,Table1[[Property]:[Exposure %]],6,0),"")</f>
        <v/>
      </c>
      <c r="J307" s="3" t="str">
        <f>IFERROR(VLOOKUP($G307,Table1[[Property]:[Exposure %]],7,0),"")</f>
        <v/>
      </c>
      <c r="K307"/>
      <c r="L307"/>
      <c r="M307"/>
      <c r="N307"/>
      <c r="O307"/>
      <c r="P307"/>
      <c r="Q307"/>
      <c r="R307" s="4" t="str">
        <f>IFERROR(VLOOKUP(IF(F307="Total",F306,F307),Table1[[Property]:['# Units]],7,0)*S307,"")</f>
        <v/>
      </c>
      <c r="S307" s="27" t="str">
        <f t="shared" si="46"/>
        <v/>
      </c>
      <c r="T307" s="531" t="str">
        <f>IFERROR(
 IF($F307="Total",
   SUMPRODUCT(
   INDEX(T:T, ROW()-COUNTIF($F$6:INDEX($F:$F, ROW()-1), $F306)) : INDEX(T:T, ROW()-1),
   INDEX(W:W, ROW()-COUNTIF($F$6:INDEX($F:$F, ROW()-1), $F306)) : INDEX(W:W, ROW()-1)
   )
   /SUM(INDEX(W:W, ROW()-COUNTIF($F$6:INDEX($F:$F, ROW()-1), $F306)) : INDEX(W:W, ROW()-1)),
   AVERAGEIFS(
     INDEX((unit_details[Asking Rent],unit_details[Asking PSF]),0,1,IF($U$3="Chunk Rent",1,2)),
     unit_details[Leased Date],"&gt;="&amp;($AM$2-T$5),
     unit_details[Leased Date],"&lt;"&amp;$AM$2,
     unit_details[Beds],$L307,
     unit_details[Baths],$M307,
     unit_details[Partial Baths],IF(ISNUMBER($N307),$N307,""),
     unit_details[Sqft],$P307,
     unit_details[Property Name],$F307)
 ),"")</f>
        <v/>
      </c>
      <c r="U307" s="552" t="str">
        <f>IFERROR(
 IF($F307="Total",
   SUMPRODUCT(
   INDEX(U:U, ROW()-COUNTIF($F$6:INDEX($F:$F, ROW()-1), $F306)) : INDEX(U:U, ROW()-1),
   INDEX(W:W, ROW()-COUNTIF($F$6:INDEX($F:$F, ROW()-1), $F306)) : INDEX(W:W, ROW()-1)
   )
   /SUM(INDEX(W:W, ROW()-COUNTIF($F$6:INDEX($F:$F, ROW()-1), $F306)) : INDEX(W:W, ROW()-1)),
   AVERAGEIFS(
     INDEX((unit_details[Effective Rent],unit_details[Effective PSF]),0,1,IF($U$3="Chunk Rent",1,2)),
     unit_details[Leased Date],"&gt;="&amp;($AM$2-T$5),
     unit_details[Leased Date],"&lt;"&amp;$AM$2,
     unit_details[Beds],$L307,
     unit_details[Baths],$M307,
     unit_details[Partial Baths],IF(ISNUMBER($N307),$N307,""),
     unit_details[Sqft],$P307,
     unit_details[Property Name],$F307)
 ),"")</f>
        <v/>
      </c>
      <c r="V307" s="27" t="str">
        <f t="shared" si="54"/>
        <v/>
      </c>
      <c r="W307" s="526">
        <f>IFERROR(
  IF($F307="Total",
    SUM(INDEX(W:W, ROW()-COUNTIF($F$6:INDEX($F:$F, ROW()-1), $F306)) : INDEX(W:W, ROW()-1)),
    COUNTIFS(
      unit_details[Leased Date], "&gt;="&amp;($AM$2-T$5),
      unit_details[Leased Date], "&lt;"&amp;$AM$2,
      unit_details[Beds], $L307,
      unit_details[Baths], $M307,
      unit_details[Partial Baths], IF(ISNUMBER($N307), $N307, ""),
      unit_details[Sqft],$P307,
      unit_details[Property Name], $F307
    )
  ),
"")</f>
        <v>0</v>
      </c>
      <c r="X307" s="531" t="str">
        <f>IFERROR(
 IF($F307="Total",
   SUMPRODUCT(
   INDEX(X:X, ROW()-COUNTIF($F$6:INDEX($F:$F, ROW()-1), $F306)) : INDEX(X:X, ROW()-1),
   INDEX(AA:AA, ROW()-COUNTIF($F$6:INDEX($F:$F, ROW()-1), $F306)) : INDEX(AA:AA, ROW()-1)
   )
   /SUM(INDEX(AA:AA, ROW()-COUNTIF($F$6:INDEX($F:$F, ROW()-1), $F306)) : INDEX(AA:AA, ROW()-1)),
   AVERAGEIFS(
     INDEX((unit_details[Asking Rent],unit_details[Asking PSF]),0,1,IF($U$3="Chunk Rent",1,2)),
     unit_details[Leased Date],"&gt;="&amp;($AM$2-X$5),
     unit_details[Leased Date],"&lt;"&amp;$AM$2,
     unit_details[Beds],$L307,
     unit_details[Baths],$M307,
     unit_details[Partial Baths],IF(ISNUMBER($N307),$N307,""),
     unit_details[Sqft],$P307,
     unit_details[Property Name],$F307)
 ),"")</f>
        <v/>
      </c>
      <c r="Y307" s="552" t="str">
        <f>IFERROR(
 IF($F307="Total",
   SUMPRODUCT(
   INDEX(Y:Y, ROW()-COUNTIF($F$6:INDEX($F:$F, ROW()-1), $F306)) : INDEX(Y:Y, ROW()-1),
   INDEX(AA:AA, ROW()-COUNTIF($F$6:INDEX($F:$F, ROW()-1), $F306)) : INDEX(AA:AA, ROW()-1)
   )
   /SUM(INDEX(AA:AA, ROW()-COUNTIF($F$6:INDEX($F:$F, ROW()-1), $F306)) : INDEX(AA:AA, ROW()-1)),
   AVERAGEIFS(
     INDEX((unit_details[Effective Rent],unit_details[Effective PSF]),0,1,IF($U$3="Chunk Rent",1,2)),
     unit_details[Leased Date],"&gt;="&amp;($AM$2-X$5),
     unit_details[Leased Date],"&lt;"&amp;$AM$2,
     unit_details[Beds],$L307,
     unit_details[Baths],$M307,
     unit_details[Partial Baths],IF(ISNUMBER($N307),$N307,""),
     unit_details[Sqft],$P307,
     unit_details[Property Name],$F307)
 ),"")</f>
        <v/>
      </c>
      <c r="Z307" s="27" t="str">
        <f t="shared" si="55"/>
        <v/>
      </c>
      <c r="AA307" s="526">
        <f>IFERROR(
  IF($F307="Total",
    SUM(INDEX(AA:AA, ROW()-COUNTIF($F$6:INDEX($F:$F, ROW()-1), $F306)) : INDEX(AA:AA, ROW()-1)),
    COUNTIFS(
      unit_details[Leased Date], "&gt;="&amp;($AM$2-X$5),
      unit_details[Leased Date], "&lt;"&amp;$AM$2,
      unit_details[Beds], $L307,
      unit_details[Baths], $M307,
      unit_details[Partial Baths], IF(ISNUMBER($N307), $N307, ""),
      unit_details[Sqft],$P307,
      unit_details[Property Name], $F307
    )
  ),
"")</f>
        <v>0</v>
      </c>
      <c r="AB307" s="290">
        <f>IF($F307="Total",
SUM(INDEX(AB:AB, ROW()-COUNTIF($F$6:INDEX($F:$F, ROW()-1), $F306)) : INDEX(AB:AB, ROW()-1)),
COUNTIFS(unit_details[Active Listing?],TRUE,
          unit_details[Property Name], $F307,
          unit_details[Beds], $L307,
          unit_details[Baths], $M307,
          unit_details[Partial Baths],IF(ISNUMBER($N307),$N307,""),
          unit_details[Sqft],$P307))</f>
        <v>0</v>
      </c>
      <c r="AC307" s="27" t="str">
        <f t="shared" si="47"/>
        <v/>
      </c>
      <c r="AD307" s="293" t="str">
        <f>IFERROR(IF(AE307="","",IF($F307="Total",
SUMPRODUCT(
   INDEX(AD:AD, ROW()-COUNTIF($F$6:INDEX($F:$F, ROW()-1), $F306)) : INDEX(AD:AD, ROW()-1),
   INDEX(AB:AB, ROW()-COUNTIF($F$6:INDEX($F:$F, ROW()-1), $F306)) : INDEX(AB:AB, ROW()-1)
   )
   /SUM(INDEX(AB:AB, ROW()-COUNTIF($F$6:INDEX($F:$F, ROW()-1), $F306)) : INDEX(AB:AB, ROW()-1)),
          _xlfn.MINIFS(unit_details[Asking Rent],
          unit_details[Active Listing?],TRUE,
          unit_details[Property Name], $F307,
          unit_details[Beds], $L307,
          unit_details[Baths], $M307,
          unit_details[Partial Baths], IF(ISNUMBER($N307),$N307,""),
          unit_details[Sqft],$P307
))),"")</f>
        <v/>
      </c>
      <c r="AE307" s="5" t="str">
        <f>IFERROR(IF($F307="Total",
          SUMPRODUCT(
   INDEX(AE:AE, ROW()-COUNTIF($F$6:INDEX($F:$F, ROW()-1), $F306)) : INDEX(AE:AE, ROW()-1),
   INDEX(AB:AB, ROW()-COUNTIF($F$6:INDEX($F:$F, ROW()-1), $F306)) : INDEX(AB:AB, ROW()-1)
   )
   /SUM(INDEX(AB:AB, ROW()-COUNTIF($F$6:INDEX($F:$F, ROW()-1), $F306)) : INDEX(AB:AB, ROW()-1)),
          AVERAGEIFS(unit_details[Asking Rent],
          unit_details[Active Listing?],TRUE,
          unit_details[Property Name], $F307,
          unit_details[Beds], $L307,
          unit_details[Baths], $M307,
          unit_details[Partial Baths], IF(ISNUMBER($N307),$N307,""),
          unit_details[Sqft],$P307
)),"")</f>
        <v/>
      </c>
      <c r="AF307" s="5" t="str">
        <f>IFERROR(IF(AE307="","",IF($F307="Total",
SUMPRODUCT(
   INDEX(AF:AF, ROW()-COUNTIF($F$6:INDEX($F:$F, ROW()-1), $F306)) : INDEX(AF:AF, ROW()-1),
   INDEX(AB:AB, ROW()-COUNTIF($F$6:INDEX($F:$F, ROW()-1), $F306)) : INDEX(AB:AB, ROW()-1)
   )
   /SUM(INDEX(AB:AB, ROW()-COUNTIF($F$6:INDEX($F:$F, ROW()-1), $F306)) : INDEX(AB:AB, ROW()-1)),
           _xlfn.MAXIFS(unit_details[Asking Rent],
          unit_details[Active Listing?],TRUE,
          unit_details[Property Name], $F307,
          unit_details[Beds], $L307,
          unit_details[Baths], $M307,
          unit_details[Partial Baths], IF(ISNUMBER($N307),$N307,""),
          unit_details[Sqft],$P307
))),"")</f>
        <v/>
      </c>
      <c r="AG307" s="6" t="str">
        <f>IFERROR(IF($F307="Total",
         SUMPRODUCT(
         INDEX(AG:AG, ROW()-COUNTIF($F$6:INDEX($F:$F, ROW()-1), $F306)) : INDEX(AG:AG, ROW()-1),
         INDEX(AB:AB, ROW()-COUNTIF($F$6:INDEX($F:$F, ROW()-1), $F306)) : INDEX(AB:AB, ROW()-1)
         )
         /SUM(INDEX(AB:AB, ROW()-COUNTIF($F$6:INDEX($F:$F, ROW()-1), $F306)) : INDEX(AB:AB, ROW()-1)),
          AVERAGEIFS(unit_details[Asking PSF],
          unit_details[Active Listing?],TRUE,
          unit_details[Property Name], $F307,
          unit_details[Beds], $L307,
          unit_details[Baths], $M307,
          unit_details[Partial Baths], IF(ISNUMBER($N307),$N307,""),
          unit_details[Sqft],$P307
)),"")</f>
        <v/>
      </c>
      <c r="AH307" s="293" t="str">
        <f>IFERROR(IF($F307="Total",
         SUMPRODUCT(
         INDEX(AH:AH, ROW()-COUNTIF($F$6:INDEX($F:$F, ROW()-1), $F306)) : INDEX(AH:AH, ROW()-1),
         INDEX(AB:AB, ROW()-COUNTIF($F$6:INDEX($F:$F, ROW()-1), $F306)) : INDEX(AB:AB, ROW()-1)
         )
         /SUM(INDEX(AB:AB, ROW()-COUNTIF($F$6:INDEX($F:$F, ROW()-1), $F306)) : INDEX(AB:AB, ROW()-1)),
          AVERAGEIFS(unit_details[Effective Rent],
          unit_details[Active Listing?],TRUE,
          unit_details[Property Name], $F307,
          unit_details[Beds], $L307,
          unit_details[Baths], $M307,
          unit_details[Partial Baths], IF(ISNUMBER($N307),$N307,""),
          unit_details[Sqft],$P307
)),"")</f>
        <v/>
      </c>
      <c r="AI307" s="6" t="str">
        <f>IFERROR(IF($F307="Total",
         SUMPRODUCT(
         INDEX(AI:AI, ROW()-COUNTIF($F$6:INDEX($F:$F, ROW()-1), $F306)) : INDEX(AI:AI, ROW()-1),
         INDEX(AB:AB, ROW()-COUNTIF($F$6:INDEX($F:$F, ROW()-1), $F306)) : INDEX(AB:AB, ROW()-1)
         )
         /SUM(INDEX(AB:AB, ROW()-COUNTIF($F$6:INDEX($F:$F, ROW()-1), $F306)) : INDEX(AB:AB, ROW()-1)),
           AVERAGEIFS(unit_details[Effective PSF],
          unit_details[Active Listing?],TRUE,
          unit_details[Property Name], $F307,
          unit_details[Beds], $L307,
          unit_details[Baths], $M307,
          unit_details[Partial Baths], IF(ISNUMBER($N307),$N307,""),
          unit_details[Sqft],$P307
)),"")</f>
        <v/>
      </c>
      <c r="AJ307" s="824" t="str">
        <f t="shared" si="48"/>
        <v/>
      </c>
      <c r="AK307" s="531" t="str">
        <f t="shared" si="49"/>
        <v/>
      </c>
      <c r="AL307" s="714" t="str">
        <f t="shared" si="50"/>
        <v/>
      </c>
      <c r="AM307" s="531" t="str">
        <f t="shared" si="51"/>
        <v/>
      </c>
      <c r="AN307" s="716" t="str">
        <f t="shared" si="52"/>
        <v/>
      </c>
    </row>
    <row r="308" spans="6:40" x14ac:dyDescent="0.2">
      <c r="F308" s="1" t="str">
        <f t="shared" si="45"/>
        <v/>
      </c>
      <c r="G308" s="713" t="str">
        <f t="shared" si="53"/>
        <v/>
      </c>
      <c r="H308" s="17" t="str">
        <f>IFERROR(VLOOKUP($G308,Table1[[Property]:[Exposure %]],4,0),"")</f>
        <v/>
      </c>
      <c r="I308" s="3" t="str">
        <f>IFERROR(VLOOKUP($G308,Table1[[Property]:[Exposure %]],6,0),"")</f>
        <v/>
      </c>
      <c r="J308" s="3" t="str">
        <f>IFERROR(VLOOKUP($G308,Table1[[Property]:[Exposure %]],7,0),"")</f>
        <v/>
      </c>
      <c r="K308"/>
      <c r="L308"/>
      <c r="M308"/>
      <c r="N308"/>
      <c r="O308"/>
      <c r="P308"/>
      <c r="Q308"/>
      <c r="R308" s="4" t="str">
        <f>IFERROR(VLOOKUP(IF(F308="Total",F307,F308),Table1[[Property]:['# Units]],7,0)*S308,"")</f>
        <v/>
      </c>
      <c r="S308" s="27" t="str">
        <f t="shared" si="46"/>
        <v/>
      </c>
      <c r="T308" s="531" t="str">
        <f>IFERROR(
 IF($F308="Total",
   SUMPRODUCT(
   INDEX(T:T, ROW()-COUNTIF($F$6:INDEX($F:$F, ROW()-1), $F307)) : INDEX(T:T, ROW()-1),
   INDEX(W:W, ROW()-COUNTIF($F$6:INDEX($F:$F, ROW()-1), $F307)) : INDEX(W:W, ROW()-1)
   )
   /SUM(INDEX(W:W, ROW()-COUNTIF($F$6:INDEX($F:$F, ROW()-1), $F307)) : INDEX(W:W, ROW()-1)),
   AVERAGEIFS(
     INDEX((unit_details[Asking Rent],unit_details[Asking PSF]),0,1,IF($U$3="Chunk Rent",1,2)),
     unit_details[Leased Date],"&gt;="&amp;($AM$2-T$5),
     unit_details[Leased Date],"&lt;"&amp;$AM$2,
     unit_details[Beds],$L308,
     unit_details[Baths],$M308,
     unit_details[Partial Baths],IF(ISNUMBER($N308),$N308,""),
     unit_details[Sqft],$P308,
     unit_details[Property Name],$F308)
 ),"")</f>
        <v/>
      </c>
      <c r="U308" s="552" t="str">
        <f>IFERROR(
 IF($F308="Total",
   SUMPRODUCT(
   INDEX(U:U, ROW()-COUNTIF($F$6:INDEX($F:$F, ROW()-1), $F307)) : INDEX(U:U, ROW()-1),
   INDEX(W:W, ROW()-COUNTIF($F$6:INDEX($F:$F, ROW()-1), $F307)) : INDEX(W:W, ROW()-1)
   )
   /SUM(INDEX(W:W, ROW()-COUNTIF($F$6:INDEX($F:$F, ROW()-1), $F307)) : INDEX(W:W, ROW()-1)),
   AVERAGEIFS(
     INDEX((unit_details[Effective Rent],unit_details[Effective PSF]),0,1,IF($U$3="Chunk Rent",1,2)),
     unit_details[Leased Date],"&gt;="&amp;($AM$2-T$5),
     unit_details[Leased Date],"&lt;"&amp;$AM$2,
     unit_details[Beds],$L308,
     unit_details[Baths],$M308,
     unit_details[Partial Baths],IF(ISNUMBER($N308),$N308,""),
     unit_details[Sqft],$P308,
     unit_details[Property Name],$F308)
 ),"")</f>
        <v/>
      </c>
      <c r="V308" s="27" t="str">
        <f t="shared" si="54"/>
        <v/>
      </c>
      <c r="W308" s="526">
        <f>IFERROR(
  IF($F308="Total",
    SUM(INDEX(W:W, ROW()-COUNTIF($F$6:INDEX($F:$F, ROW()-1), $F307)) : INDEX(W:W, ROW()-1)),
    COUNTIFS(
      unit_details[Leased Date], "&gt;="&amp;($AM$2-T$5),
      unit_details[Leased Date], "&lt;"&amp;$AM$2,
      unit_details[Beds], $L308,
      unit_details[Baths], $M308,
      unit_details[Partial Baths], IF(ISNUMBER($N308), $N308, ""),
      unit_details[Sqft],$P308,
      unit_details[Property Name], $F308
    )
  ),
"")</f>
        <v>0</v>
      </c>
      <c r="X308" s="531" t="str">
        <f>IFERROR(
 IF($F308="Total",
   SUMPRODUCT(
   INDEX(X:X, ROW()-COUNTIF($F$6:INDEX($F:$F, ROW()-1), $F307)) : INDEX(X:X, ROW()-1),
   INDEX(AA:AA, ROW()-COUNTIF($F$6:INDEX($F:$F, ROW()-1), $F307)) : INDEX(AA:AA, ROW()-1)
   )
   /SUM(INDEX(AA:AA, ROW()-COUNTIF($F$6:INDEX($F:$F, ROW()-1), $F307)) : INDEX(AA:AA, ROW()-1)),
   AVERAGEIFS(
     INDEX((unit_details[Asking Rent],unit_details[Asking PSF]),0,1,IF($U$3="Chunk Rent",1,2)),
     unit_details[Leased Date],"&gt;="&amp;($AM$2-X$5),
     unit_details[Leased Date],"&lt;"&amp;$AM$2,
     unit_details[Beds],$L308,
     unit_details[Baths],$M308,
     unit_details[Partial Baths],IF(ISNUMBER($N308),$N308,""),
     unit_details[Sqft],$P308,
     unit_details[Property Name],$F308)
 ),"")</f>
        <v/>
      </c>
      <c r="Y308" s="552" t="str">
        <f>IFERROR(
 IF($F308="Total",
   SUMPRODUCT(
   INDEX(Y:Y, ROW()-COUNTIF($F$6:INDEX($F:$F, ROW()-1), $F307)) : INDEX(Y:Y, ROW()-1),
   INDEX(AA:AA, ROW()-COUNTIF($F$6:INDEX($F:$F, ROW()-1), $F307)) : INDEX(AA:AA, ROW()-1)
   )
   /SUM(INDEX(AA:AA, ROW()-COUNTIF($F$6:INDEX($F:$F, ROW()-1), $F307)) : INDEX(AA:AA, ROW()-1)),
   AVERAGEIFS(
     INDEX((unit_details[Effective Rent],unit_details[Effective PSF]),0,1,IF($U$3="Chunk Rent",1,2)),
     unit_details[Leased Date],"&gt;="&amp;($AM$2-X$5),
     unit_details[Leased Date],"&lt;"&amp;$AM$2,
     unit_details[Beds],$L308,
     unit_details[Baths],$M308,
     unit_details[Partial Baths],IF(ISNUMBER($N308),$N308,""),
     unit_details[Sqft],$P308,
     unit_details[Property Name],$F308)
 ),"")</f>
        <v/>
      </c>
      <c r="Z308" s="27" t="str">
        <f t="shared" si="55"/>
        <v/>
      </c>
      <c r="AA308" s="526">
        <f>IFERROR(
  IF($F308="Total",
    SUM(INDEX(AA:AA, ROW()-COUNTIF($F$6:INDEX($F:$F, ROW()-1), $F307)) : INDEX(AA:AA, ROW()-1)),
    COUNTIFS(
      unit_details[Leased Date], "&gt;="&amp;($AM$2-X$5),
      unit_details[Leased Date], "&lt;"&amp;$AM$2,
      unit_details[Beds], $L308,
      unit_details[Baths], $M308,
      unit_details[Partial Baths], IF(ISNUMBER($N308), $N308, ""),
      unit_details[Sqft],$P308,
      unit_details[Property Name], $F308
    )
  ),
"")</f>
        <v>0</v>
      </c>
      <c r="AB308" s="290">
        <f>IF($F308="Total",
SUM(INDEX(AB:AB, ROW()-COUNTIF($F$6:INDEX($F:$F, ROW()-1), $F307)) : INDEX(AB:AB, ROW()-1)),
COUNTIFS(unit_details[Active Listing?],TRUE,
          unit_details[Property Name], $F308,
          unit_details[Beds], $L308,
          unit_details[Baths], $M308,
          unit_details[Partial Baths],IF(ISNUMBER($N308),$N308,""),
          unit_details[Sqft],$P308))</f>
        <v>0</v>
      </c>
      <c r="AC308" s="27" t="str">
        <f t="shared" si="47"/>
        <v/>
      </c>
      <c r="AD308" s="293" t="str">
        <f>IFERROR(IF(AE308="","",IF($F308="Total",
SUMPRODUCT(
   INDEX(AD:AD, ROW()-COUNTIF($F$6:INDEX($F:$F, ROW()-1), $F307)) : INDEX(AD:AD, ROW()-1),
   INDEX(AB:AB, ROW()-COUNTIF($F$6:INDEX($F:$F, ROW()-1), $F307)) : INDEX(AB:AB, ROW()-1)
   )
   /SUM(INDEX(AB:AB, ROW()-COUNTIF($F$6:INDEX($F:$F, ROW()-1), $F307)) : INDEX(AB:AB, ROW()-1)),
          _xlfn.MINIFS(unit_details[Asking Rent],
          unit_details[Active Listing?],TRUE,
          unit_details[Property Name], $F308,
          unit_details[Beds], $L308,
          unit_details[Baths], $M308,
          unit_details[Partial Baths], IF(ISNUMBER($N308),$N308,""),
          unit_details[Sqft],$P308
))),"")</f>
        <v/>
      </c>
      <c r="AE308" s="5" t="str">
        <f>IFERROR(IF($F308="Total",
          SUMPRODUCT(
   INDEX(AE:AE, ROW()-COUNTIF($F$6:INDEX($F:$F, ROW()-1), $F307)) : INDEX(AE:AE, ROW()-1),
   INDEX(AB:AB, ROW()-COUNTIF($F$6:INDEX($F:$F, ROW()-1), $F307)) : INDEX(AB:AB, ROW()-1)
   )
   /SUM(INDEX(AB:AB, ROW()-COUNTIF($F$6:INDEX($F:$F, ROW()-1), $F307)) : INDEX(AB:AB, ROW()-1)),
          AVERAGEIFS(unit_details[Asking Rent],
          unit_details[Active Listing?],TRUE,
          unit_details[Property Name], $F308,
          unit_details[Beds], $L308,
          unit_details[Baths], $M308,
          unit_details[Partial Baths], IF(ISNUMBER($N308),$N308,""),
          unit_details[Sqft],$P308
)),"")</f>
        <v/>
      </c>
      <c r="AF308" s="5" t="str">
        <f>IFERROR(IF(AE308="","",IF($F308="Total",
SUMPRODUCT(
   INDEX(AF:AF, ROW()-COUNTIF($F$6:INDEX($F:$F, ROW()-1), $F307)) : INDEX(AF:AF, ROW()-1),
   INDEX(AB:AB, ROW()-COUNTIF($F$6:INDEX($F:$F, ROW()-1), $F307)) : INDEX(AB:AB, ROW()-1)
   )
   /SUM(INDEX(AB:AB, ROW()-COUNTIF($F$6:INDEX($F:$F, ROW()-1), $F307)) : INDEX(AB:AB, ROW()-1)),
           _xlfn.MAXIFS(unit_details[Asking Rent],
          unit_details[Active Listing?],TRUE,
          unit_details[Property Name], $F308,
          unit_details[Beds], $L308,
          unit_details[Baths], $M308,
          unit_details[Partial Baths], IF(ISNUMBER($N308),$N308,""),
          unit_details[Sqft],$P308
))),"")</f>
        <v/>
      </c>
      <c r="AG308" s="6" t="str">
        <f>IFERROR(IF($F308="Total",
         SUMPRODUCT(
         INDEX(AG:AG, ROW()-COUNTIF($F$6:INDEX($F:$F, ROW()-1), $F307)) : INDEX(AG:AG, ROW()-1),
         INDEX(AB:AB, ROW()-COUNTIF($F$6:INDEX($F:$F, ROW()-1), $F307)) : INDEX(AB:AB, ROW()-1)
         )
         /SUM(INDEX(AB:AB, ROW()-COUNTIF($F$6:INDEX($F:$F, ROW()-1), $F307)) : INDEX(AB:AB, ROW()-1)),
          AVERAGEIFS(unit_details[Asking PSF],
          unit_details[Active Listing?],TRUE,
          unit_details[Property Name], $F308,
          unit_details[Beds], $L308,
          unit_details[Baths], $M308,
          unit_details[Partial Baths], IF(ISNUMBER($N308),$N308,""),
          unit_details[Sqft],$P308
)),"")</f>
        <v/>
      </c>
      <c r="AH308" s="293" t="str">
        <f>IFERROR(IF($F308="Total",
         SUMPRODUCT(
         INDEX(AH:AH, ROW()-COUNTIF($F$6:INDEX($F:$F, ROW()-1), $F307)) : INDEX(AH:AH, ROW()-1),
         INDEX(AB:AB, ROW()-COUNTIF($F$6:INDEX($F:$F, ROW()-1), $F307)) : INDEX(AB:AB, ROW()-1)
         )
         /SUM(INDEX(AB:AB, ROW()-COUNTIF($F$6:INDEX($F:$F, ROW()-1), $F307)) : INDEX(AB:AB, ROW()-1)),
          AVERAGEIFS(unit_details[Effective Rent],
          unit_details[Active Listing?],TRUE,
          unit_details[Property Name], $F308,
          unit_details[Beds], $L308,
          unit_details[Baths], $M308,
          unit_details[Partial Baths], IF(ISNUMBER($N308),$N308,""),
          unit_details[Sqft],$P308
)),"")</f>
        <v/>
      </c>
      <c r="AI308" s="6" t="str">
        <f>IFERROR(IF($F308="Total",
         SUMPRODUCT(
         INDEX(AI:AI, ROW()-COUNTIF($F$6:INDEX($F:$F, ROW()-1), $F307)) : INDEX(AI:AI, ROW()-1),
         INDEX(AB:AB, ROW()-COUNTIF($F$6:INDEX($F:$F, ROW()-1), $F307)) : INDEX(AB:AB, ROW()-1)
         )
         /SUM(INDEX(AB:AB, ROW()-COUNTIF($F$6:INDEX($F:$F, ROW()-1), $F307)) : INDEX(AB:AB, ROW()-1)),
           AVERAGEIFS(unit_details[Effective PSF],
          unit_details[Active Listing?],TRUE,
          unit_details[Property Name], $F308,
          unit_details[Beds], $L308,
          unit_details[Baths], $M308,
          unit_details[Partial Baths], IF(ISNUMBER($N308),$N308,""),
          unit_details[Sqft],$P308
)),"")</f>
        <v/>
      </c>
      <c r="AJ308" s="824" t="str">
        <f t="shared" si="48"/>
        <v/>
      </c>
      <c r="AK308" s="531" t="str">
        <f t="shared" si="49"/>
        <v/>
      </c>
      <c r="AL308" s="714" t="str">
        <f t="shared" si="50"/>
        <v/>
      </c>
      <c r="AM308" s="531" t="str">
        <f t="shared" si="51"/>
        <v/>
      </c>
      <c r="AN308" s="716" t="str">
        <f t="shared" si="52"/>
        <v/>
      </c>
    </row>
    <row r="309" spans="6:40" x14ac:dyDescent="0.2">
      <c r="F309" s="1" t="str">
        <f t="shared" si="45"/>
        <v/>
      </c>
      <c r="G309" s="713" t="str">
        <f t="shared" si="53"/>
        <v/>
      </c>
      <c r="H309" s="17" t="str">
        <f>IFERROR(VLOOKUP($G309,Table1[[Property]:[Exposure %]],4,0),"")</f>
        <v/>
      </c>
      <c r="I309" s="3" t="str">
        <f>IFERROR(VLOOKUP($G309,Table1[[Property]:[Exposure %]],6,0),"")</f>
        <v/>
      </c>
      <c r="J309" s="3" t="str">
        <f>IFERROR(VLOOKUP($G309,Table1[[Property]:[Exposure %]],7,0),"")</f>
        <v/>
      </c>
      <c r="K309"/>
      <c r="L309"/>
      <c r="M309"/>
      <c r="N309"/>
      <c r="O309"/>
      <c r="P309"/>
      <c r="Q309"/>
      <c r="R309" s="4" t="str">
        <f>IFERROR(VLOOKUP(IF(F309="Total",F308,F309),Table1[[Property]:['# Units]],7,0)*S309,"")</f>
        <v/>
      </c>
      <c r="S309" s="27" t="str">
        <f t="shared" si="46"/>
        <v/>
      </c>
      <c r="T309" s="531" t="str">
        <f>IFERROR(
 IF($F309="Total",
   SUMPRODUCT(
   INDEX(T:T, ROW()-COUNTIF($F$6:INDEX($F:$F, ROW()-1), $F308)) : INDEX(T:T, ROW()-1),
   INDEX(W:W, ROW()-COUNTIF($F$6:INDEX($F:$F, ROW()-1), $F308)) : INDEX(W:W, ROW()-1)
   )
   /SUM(INDEX(W:W, ROW()-COUNTIF($F$6:INDEX($F:$F, ROW()-1), $F308)) : INDEX(W:W, ROW()-1)),
   AVERAGEIFS(
     INDEX((unit_details[Asking Rent],unit_details[Asking PSF]),0,1,IF($U$3="Chunk Rent",1,2)),
     unit_details[Leased Date],"&gt;="&amp;($AM$2-T$5),
     unit_details[Leased Date],"&lt;"&amp;$AM$2,
     unit_details[Beds],$L309,
     unit_details[Baths],$M309,
     unit_details[Partial Baths],IF(ISNUMBER($N309),$N309,""),
     unit_details[Sqft],$P309,
     unit_details[Property Name],$F309)
 ),"")</f>
        <v/>
      </c>
      <c r="U309" s="552" t="str">
        <f>IFERROR(
 IF($F309="Total",
   SUMPRODUCT(
   INDEX(U:U, ROW()-COUNTIF($F$6:INDEX($F:$F, ROW()-1), $F308)) : INDEX(U:U, ROW()-1),
   INDEX(W:W, ROW()-COUNTIF($F$6:INDEX($F:$F, ROW()-1), $F308)) : INDEX(W:W, ROW()-1)
   )
   /SUM(INDEX(W:W, ROW()-COUNTIF($F$6:INDEX($F:$F, ROW()-1), $F308)) : INDEX(W:W, ROW()-1)),
   AVERAGEIFS(
     INDEX((unit_details[Effective Rent],unit_details[Effective PSF]),0,1,IF($U$3="Chunk Rent",1,2)),
     unit_details[Leased Date],"&gt;="&amp;($AM$2-T$5),
     unit_details[Leased Date],"&lt;"&amp;$AM$2,
     unit_details[Beds],$L309,
     unit_details[Baths],$M309,
     unit_details[Partial Baths],IF(ISNUMBER($N309),$N309,""),
     unit_details[Sqft],$P309,
     unit_details[Property Name],$F309)
 ),"")</f>
        <v/>
      </c>
      <c r="V309" s="27" t="str">
        <f t="shared" si="54"/>
        <v/>
      </c>
      <c r="W309" s="526">
        <f>IFERROR(
  IF($F309="Total",
    SUM(INDEX(W:W, ROW()-COUNTIF($F$6:INDEX($F:$F, ROW()-1), $F308)) : INDEX(W:W, ROW()-1)),
    COUNTIFS(
      unit_details[Leased Date], "&gt;="&amp;($AM$2-T$5),
      unit_details[Leased Date], "&lt;"&amp;$AM$2,
      unit_details[Beds], $L309,
      unit_details[Baths], $M309,
      unit_details[Partial Baths], IF(ISNUMBER($N309), $N309, ""),
      unit_details[Sqft],$P309,
      unit_details[Property Name], $F309
    )
  ),
"")</f>
        <v>0</v>
      </c>
      <c r="X309" s="531" t="str">
        <f>IFERROR(
 IF($F309="Total",
   SUMPRODUCT(
   INDEX(X:X, ROW()-COUNTIF($F$6:INDEX($F:$F, ROW()-1), $F308)) : INDEX(X:X, ROW()-1),
   INDEX(AA:AA, ROW()-COUNTIF($F$6:INDEX($F:$F, ROW()-1), $F308)) : INDEX(AA:AA, ROW()-1)
   )
   /SUM(INDEX(AA:AA, ROW()-COUNTIF($F$6:INDEX($F:$F, ROW()-1), $F308)) : INDEX(AA:AA, ROW()-1)),
   AVERAGEIFS(
     INDEX((unit_details[Asking Rent],unit_details[Asking PSF]),0,1,IF($U$3="Chunk Rent",1,2)),
     unit_details[Leased Date],"&gt;="&amp;($AM$2-X$5),
     unit_details[Leased Date],"&lt;"&amp;$AM$2,
     unit_details[Beds],$L309,
     unit_details[Baths],$M309,
     unit_details[Partial Baths],IF(ISNUMBER($N309),$N309,""),
     unit_details[Sqft],$P309,
     unit_details[Property Name],$F309)
 ),"")</f>
        <v/>
      </c>
      <c r="Y309" s="552" t="str">
        <f>IFERROR(
 IF($F309="Total",
   SUMPRODUCT(
   INDEX(Y:Y, ROW()-COUNTIF($F$6:INDEX($F:$F, ROW()-1), $F308)) : INDEX(Y:Y, ROW()-1),
   INDEX(AA:AA, ROW()-COUNTIF($F$6:INDEX($F:$F, ROW()-1), $F308)) : INDEX(AA:AA, ROW()-1)
   )
   /SUM(INDEX(AA:AA, ROW()-COUNTIF($F$6:INDEX($F:$F, ROW()-1), $F308)) : INDEX(AA:AA, ROW()-1)),
   AVERAGEIFS(
     INDEX((unit_details[Effective Rent],unit_details[Effective PSF]),0,1,IF($U$3="Chunk Rent",1,2)),
     unit_details[Leased Date],"&gt;="&amp;($AM$2-X$5),
     unit_details[Leased Date],"&lt;"&amp;$AM$2,
     unit_details[Beds],$L309,
     unit_details[Baths],$M309,
     unit_details[Partial Baths],IF(ISNUMBER($N309),$N309,""),
     unit_details[Sqft],$P309,
     unit_details[Property Name],$F309)
 ),"")</f>
        <v/>
      </c>
      <c r="Z309" s="27" t="str">
        <f t="shared" si="55"/>
        <v/>
      </c>
      <c r="AA309" s="526">
        <f>IFERROR(
  IF($F309="Total",
    SUM(INDEX(AA:AA, ROW()-COUNTIF($F$6:INDEX($F:$F, ROW()-1), $F308)) : INDEX(AA:AA, ROW()-1)),
    COUNTIFS(
      unit_details[Leased Date], "&gt;="&amp;($AM$2-X$5),
      unit_details[Leased Date], "&lt;"&amp;$AM$2,
      unit_details[Beds], $L309,
      unit_details[Baths], $M309,
      unit_details[Partial Baths], IF(ISNUMBER($N309), $N309, ""),
      unit_details[Sqft],$P309,
      unit_details[Property Name], $F309
    )
  ),
"")</f>
        <v>0</v>
      </c>
      <c r="AB309" s="290">
        <f>IF($F309="Total",
SUM(INDEX(AB:AB, ROW()-COUNTIF($F$6:INDEX($F:$F, ROW()-1), $F308)) : INDEX(AB:AB, ROW()-1)),
COUNTIFS(unit_details[Active Listing?],TRUE,
          unit_details[Property Name], $F309,
          unit_details[Beds], $L309,
          unit_details[Baths], $M309,
          unit_details[Partial Baths],IF(ISNUMBER($N309),$N309,""),
          unit_details[Sqft],$P309))</f>
        <v>0</v>
      </c>
      <c r="AC309" s="27" t="str">
        <f t="shared" si="47"/>
        <v/>
      </c>
      <c r="AD309" s="293" t="str">
        <f>IFERROR(IF(AE309="","",IF($F309="Total",
SUMPRODUCT(
   INDEX(AD:AD, ROW()-COUNTIF($F$6:INDEX($F:$F, ROW()-1), $F308)) : INDEX(AD:AD, ROW()-1),
   INDEX(AB:AB, ROW()-COUNTIF($F$6:INDEX($F:$F, ROW()-1), $F308)) : INDEX(AB:AB, ROW()-1)
   )
   /SUM(INDEX(AB:AB, ROW()-COUNTIF($F$6:INDEX($F:$F, ROW()-1), $F308)) : INDEX(AB:AB, ROW()-1)),
          _xlfn.MINIFS(unit_details[Asking Rent],
          unit_details[Active Listing?],TRUE,
          unit_details[Property Name], $F309,
          unit_details[Beds], $L309,
          unit_details[Baths], $M309,
          unit_details[Partial Baths], IF(ISNUMBER($N309),$N309,""),
          unit_details[Sqft],$P309
))),"")</f>
        <v/>
      </c>
      <c r="AE309" s="5" t="str">
        <f>IFERROR(IF($F309="Total",
          SUMPRODUCT(
   INDEX(AE:AE, ROW()-COUNTIF($F$6:INDEX($F:$F, ROW()-1), $F308)) : INDEX(AE:AE, ROW()-1),
   INDEX(AB:AB, ROW()-COUNTIF($F$6:INDEX($F:$F, ROW()-1), $F308)) : INDEX(AB:AB, ROW()-1)
   )
   /SUM(INDEX(AB:AB, ROW()-COUNTIF($F$6:INDEX($F:$F, ROW()-1), $F308)) : INDEX(AB:AB, ROW()-1)),
          AVERAGEIFS(unit_details[Asking Rent],
          unit_details[Active Listing?],TRUE,
          unit_details[Property Name], $F309,
          unit_details[Beds], $L309,
          unit_details[Baths], $M309,
          unit_details[Partial Baths], IF(ISNUMBER($N309),$N309,""),
          unit_details[Sqft],$P309
)),"")</f>
        <v/>
      </c>
      <c r="AF309" s="5" t="str">
        <f>IFERROR(IF(AE309="","",IF($F309="Total",
SUMPRODUCT(
   INDEX(AF:AF, ROW()-COUNTIF($F$6:INDEX($F:$F, ROW()-1), $F308)) : INDEX(AF:AF, ROW()-1),
   INDEX(AB:AB, ROW()-COUNTIF($F$6:INDEX($F:$F, ROW()-1), $F308)) : INDEX(AB:AB, ROW()-1)
   )
   /SUM(INDEX(AB:AB, ROW()-COUNTIF($F$6:INDEX($F:$F, ROW()-1), $F308)) : INDEX(AB:AB, ROW()-1)),
           _xlfn.MAXIFS(unit_details[Asking Rent],
          unit_details[Active Listing?],TRUE,
          unit_details[Property Name], $F309,
          unit_details[Beds], $L309,
          unit_details[Baths], $M309,
          unit_details[Partial Baths], IF(ISNUMBER($N309),$N309,""),
          unit_details[Sqft],$P309
))),"")</f>
        <v/>
      </c>
      <c r="AG309" s="6" t="str">
        <f>IFERROR(IF($F309="Total",
         SUMPRODUCT(
         INDEX(AG:AG, ROW()-COUNTIF($F$6:INDEX($F:$F, ROW()-1), $F308)) : INDEX(AG:AG, ROW()-1),
         INDEX(AB:AB, ROW()-COUNTIF($F$6:INDEX($F:$F, ROW()-1), $F308)) : INDEX(AB:AB, ROW()-1)
         )
         /SUM(INDEX(AB:AB, ROW()-COUNTIF($F$6:INDEX($F:$F, ROW()-1), $F308)) : INDEX(AB:AB, ROW()-1)),
          AVERAGEIFS(unit_details[Asking PSF],
          unit_details[Active Listing?],TRUE,
          unit_details[Property Name], $F309,
          unit_details[Beds], $L309,
          unit_details[Baths], $M309,
          unit_details[Partial Baths], IF(ISNUMBER($N309),$N309,""),
          unit_details[Sqft],$P309
)),"")</f>
        <v/>
      </c>
      <c r="AH309" s="293" t="str">
        <f>IFERROR(IF($F309="Total",
         SUMPRODUCT(
         INDEX(AH:AH, ROW()-COUNTIF($F$6:INDEX($F:$F, ROW()-1), $F308)) : INDEX(AH:AH, ROW()-1),
         INDEX(AB:AB, ROW()-COUNTIF($F$6:INDEX($F:$F, ROW()-1), $F308)) : INDEX(AB:AB, ROW()-1)
         )
         /SUM(INDEX(AB:AB, ROW()-COUNTIF($F$6:INDEX($F:$F, ROW()-1), $F308)) : INDEX(AB:AB, ROW()-1)),
          AVERAGEIFS(unit_details[Effective Rent],
          unit_details[Active Listing?],TRUE,
          unit_details[Property Name], $F309,
          unit_details[Beds], $L309,
          unit_details[Baths], $M309,
          unit_details[Partial Baths], IF(ISNUMBER($N309),$N309,""),
          unit_details[Sqft],$P309
)),"")</f>
        <v/>
      </c>
      <c r="AI309" s="6" t="str">
        <f>IFERROR(IF($F309="Total",
         SUMPRODUCT(
         INDEX(AI:AI, ROW()-COUNTIF($F$6:INDEX($F:$F, ROW()-1), $F308)) : INDEX(AI:AI, ROW()-1),
         INDEX(AB:AB, ROW()-COUNTIF($F$6:INDEX($F:$F, ROW()-1), $F308)) : INDEX(AB:AB, ROW()-1)
         )
         /SUM(INDEX(AB:AB, ROW()-COUNTIF($F$6:INDEX($F:$F, ROW()-1), $F308)) : INDEX(AB:AB, ROW()-1)),
           AVERAGEIFS(unit_details[Effective PSF],
          unit_details[Active Listing?],TRUE,
          unit_details[Property Name], $F309,
          unit_details[Beds], $L309,
          unit_details[Baths], $M309,
          unit_details[Partial Baths], IF(ISNUMBER($N309),$N309,""),
          unit_details[Sqft],$P309
)),"")</f>
        <v/>
      </c>
      <c r="AJ309" s="824" t="str">
        <f t="shared" si="48"/>
        <v/>
      </c>
      <c r="AK309" s="531" t="str">
        <f t="shared" si="49"/>
        <v/>
      </c>
      <c r="AL309" s="714" t="str">
        <f t="shared" si="50"/>
        <v/>
      </c>
      <c r="AM309" s="531" t="str">
        <f t="shared" si="51"/>
        <v/>
      </c>
      <c r="AN309" s="716" t="str">
        <f t="shared" si="52"/>
        <v/>
      </c>
    </row>
    <row r="310" spans="6:40" x14ac:dyDescent="0.2">
      <c r="F310" s="1" t="str">
        <f t="shared" si="45"/>
        <v/>
      </c>
      <c r="G310" s="713" t="str">
        <f t="shared" si="53"/>
        <v/>
      </c>
      <c r="H310" s="17" t="str">
        <f>IFERROR(VLOOKUP($G310,Table1[[Property]:[Exposure %]],4,0),"")</f>
        <v/>
      </c>
      <c r="I310" s="3" t="str">
        <f>IFERROR(VLOOKUP($G310,Table1[[Property]:[Exposure %]],6,0),"")</f>
        <v/>
      </c>
      <c r="J310" s="3" t="str">
        <f>IFERROR(VLOOKUP($G310,Table1[[Property]:[Exposure %]],7,0),"")</f>
        <v/>
      </c>
      <c r="K310"/>
      <c r="L310"/>
      <c r="M310"/>
      <c r="N310"/>
      <c r="O310"/>
      <c r="P310"/>
      <c r="Q310"/>
      <c r="R310" s="4" t="str">
        <f>IFERROR(VLOOKUP(IF(F310="Total",F309,F310),Table1[[Property]:['# Units]],7,0)*S310,"")</f>
        <v/>
      </c>
      <c r="S310" s="27" t="str">
        <f t="shared" si="46"/>
        <v/>
      </c>
      <c r="T310" s="531" t="str">
        <f>IFERROR(
 IF($F310="Total",
   SUMPRODUCT(
   INDEX(T:T, ROW()-COUNTIF($F$6:INDEX($F:$F, ROW()-1), $F309)) : INDEX(T:T, ROW()-1),
   INDEX(W:W, ROW()-COUNTIF($F$6:INDEX($F:$F, ROW()-1), $F309)) : INDEX(W:W, ROW()-1)
   )
   /SUM(INDEX(W:W, ROW()-COUNTIF($F$6:INDEX($F:$F, ROW()-1), $F309)) : INDEX(W:W, ROW()-1)),
   AVERAGEIFS(
     INDEX((unit_details[Asking Rent],unit_details[Asking PSF]),0,1,IF($U$3="Chunk Rent",1,2)),
     unit_details[Leased Date],"&gt;="&amp;($AM$2-T$5),
     unit_details[Leased Date],"&lt;"&amp;$AM$2,
     unit_details[Beds],$L310,
     unit_details[Baths],$M310,
     unit_details[Partial Baths],IF(ISNUMBER($N310),$N310,""),
     unit_details[Sqft],$P310,
     unit_details[Property Name],$F310)
 ),"")</f>
        <v/>
      </c>
      <c r="U310" s="552" t="str">
        <f>IFERROR(
 IF($F310="Total",
   SUMPRODUCT(
   INDEX(U:U, ROW()-COUNTIF($F$6:INDEX($F:$F, ROW()-1), $F309)) : INDEX(U:U, ROW()-1),
   INDEX(W:W, ROW()-COUNTIF($F$6:INDEX($F:$F, ROW()-1), $F309)) : INDEX(W:W, ROW()-1)
   )
   /SUM(INDEX(W:W, ROW()-COUNTIF($F$6:INDEX($F:$F, ROW()-1), $F309)) : INDEX(W:W, ROW()-1)),
   AVERAGEIFS(
     INDEX((unit_details[Effective Rent],unit_details[Effective PSF]),0,1,IF($U$3="Chunk Rent",1,2)),
     unit_details[Leased Date],"&gt;="&amp;($AM$2-T$5),
     unit_details[Leased Date],"&lt;"&amp;$AM$2,
     unit_details[Beds],$L310,
     unit_details[Baths],$M310,
     unit_details[Partial Baths],IF(ISNUMBER($N310),$N310,""),
     unit_details[Sqft],$P310,
     unit_details[Property Name],$F310)
 ),"")</f>
        <v/>
      </c>
      <c r="V310" s="27" t="str">
        <f t="shared" si="54"/>
        <v/>
      </c>
      <c r="W310" s="526">
        <f>IFERROR(
  IF($F310="Total",
    SUM(INDEX(W:W, ROW()-COUNTIF($F$6:INDEX($F:$F, ROW()-1), $F309)) : INDEX(W:W, ROW()-1)),
    COUNTIFS(
      unit_details[Leased Date], "&gt;="&amp;($AM$2-T$5),
      unit_details[Leased Date], "&lt;"&amp;$AM$2,
      unit_details[Beds], $L310,
      unit_details[Baths], $M310,
      unit_details[Partial Baths], IF(ISNUMBER($N310), $N310, ""),
      unit_details[Sqft],$P310,
      unit_details[Property Name], $F310
    )
  ),
"")</f>
        <v>0</v>
      </c>
      <c r="X310" s="531" t="str">
        <f>IFERROR(
 IF($F310="Total",
   SUMPRODUCT(
   INDEX(X:X, ROW()-COUNTIF($F$6:INDEX($F:$F, ROW()-1), $F309)) : INDEX(X:X, ROW()-1),
   INDEX(AA:AA, ROW()-COUNTIF($F$6:INDEX($F:$F, ROW()-1), $F309)) : INDEX(AA:AA, ROW()-1)
   )
   /SUM(INDEX(AA:AA, ROW()-COUNTIF($F$6:INDEX($F:$F, ROW()-1), $F309)) : INDEX(AA:AA, ROW()-1)),
   AVERAGEIFS(
     INDEX((unit_details[Asking Rent],unit_details[Asking PSF]),0,1,IF($U$3="Chunk Rent",1,2)),
     unit_details[Leased Date],"&gt;="&amp;($AM$2-X$5),
     unit_details[Leased Date],"&lt;"&amp;$AM$2,
     unit_details[Beds],$L310,
     unit_details[Baths],$M310,
     unit_details[Partial Baths],IF(ISNUMBER($N310),$N310,""),
     unit_details[Sqft],$P310,
     unit_details[Property Name],$F310)
 ),"")</f>
        <v/>
      </c>
      <c r="Y310" s="552" t="str">
        <f>IFERROR(
 IF($F310="Total",
   SUMPRODUCT(
   INDEX(Y:Y, ROW()-COUNTIF($F$6:INDEX($F:$F, ROW()-1), $F309)) : INDEX(Y:Y, ROW()-1),
   INDEX(AA:AA, ROW()-COUNTIF($F$6:INDEX($F:$F, ROW()-1), $F309)) : INDEX(AA:AA, ROW()-1)
   )
   /SUM(INDEX(AA:AA, ROW()-COUNTIF($F$6:INDEX($F:$F, ROW()-1), $F309)) : INDEX(AA:AA, ROW()-1)),
   AVERAGEIFS(
     INDEX((unit_details[Effective Rent],unit_details[Effective PSF]),0,1,IF($U$3="Chunk Rent",1,2)),
     unit_details[Leased Date],"&gt;="&amp;($AM$2-X$5),
     unit_details[Leased Date],"&lt;"&amp;$AM$2,
     unit_details[Beds],$L310,
     unit_details[Baths],$M310,
     unit_details[Partial Baths],IF(ISNUMBER($N310),$N310,""),
     unit_details[Sqft],$P310,
     unit_details[Property Name],$F310)
 ),"")</f>
        <v/>
      </c>
      <c r="Z310" s="27" t="str">
        <f t="shared" si="55"/>
        <v/>
      </c>
      <c r="AA310" s="526">
        <f>IFERROR(
  IF($F310="Total",
    SUM(INDEX(AA:AA, ROW()-COUNTIF($F$6:INDEX($F:$F, ROW()-1), $F309)) : INDEX(AA:AA, ROW()-1)),
    COUNTIFS(
      unit_details[Leased Date], "&gt;="&amp;($AM$2-X$5),
      unit_details[Leased Date], "&lt;"&amp;$AM$2,
      unit_details[Beds], $L310,
      unit_details[Baths], $M310,
      unit_details[Partial Baths], IF(ISNUMBER($N310), $N310, ""),
      unit_details[Sqft],$P310,
      unit_details[Property Name], $F310
    )
  ),
"")</f>
        <v>0</v>
      </c>
      <c r="AB310" s="290">
        <f>IF($F310="Total",
SUM(INDEX(AB:AB, ROW()-COUNTIF($F$6:INDEX($F:$F, ROW()-1), $F309)) : INDEX(AB:AB, ROW()-1)),
COUNTIFS(unit_details[Active Listing?],TRUE,
          unit_details[Property Name], $F310,
          unit_details[Beds], $L310,
          unit_details[Baths], $M310,
          unit_details[Partial Baths],IF(ISNUMBER($N310),$N310,""),
          unit_details[Sqft],$P310))</f>
        <v>0</v>
      </c>
      <c r="AC310" s="27" t="str">
        <f t="shared" si="47"/>
        <v/>
      </c>
      <c r="AD310" s="293" t="str">
        <f>IFERROR(IF(AE310="","",IF($F310="Total",
SUMPRODUCT(
   INDEX(AD:AD, ROW()-COUNTIF($F$6:INDEX($F:$F, ROW()-1), $F309)) : INDEX(AD:AD, ROW()-1),
   INDEX(AB:AB, ROW()-COUNTIF($F$6:INDEX($F:$F, ROW()-1), $F309)) : INDEX(AB:AB, ROW()-1)
   )
   /SUM(INDEX(AB:AB, ROW()-COUNTIF($F$6:INDEX($F:$F, ROW()-1), $F309)) : INDEX(AB:AB, ROW()-1)),
          _xlfn.MINIFS(unit_details[Asking Rent],
          unit_details[Active Listing?],TRUE,
          unit_details[Property Name], $F310,
          unit_details[Beds], $L310,
          unit_details[Baths], $M310,
          unit_details[Partial Baths], IF(ISNUMBER($N310),$N310,""),
          unit_details[Sqft],$P310
))),"")</f>
        <v/>
      </c>
      <c r="AE310" s="5" t="str">
        <f>IFERROR(IF($F310="Total",
          SUMPRODUCT(
   INDEX(AE:AE, ROW()-COUNTIF($F$6:INDEX($F:$F, ROW()-1), $F309)) : INDEX(AE:AE, ROW()-1),
   INDEX(AB:AB, ROW()-COUNTIF($F$6:INDEX($F:$F, ROW()-1), $F309)) : INDEX(AB:AB, ROW()-1)
   )
   /SUM(INDEX(AB:AB, ROW()-COUNTIF($F$6:INDEX($F:$F, ROW()-1), $F309)) : INDEX(AB:AB, ROW()-1)),
          AVERAGEIFS(unit_details[Asking Rent],
          unit_details[Active Listing?],TRUE,
          unit_details[Property Name], $F310,
          unit_details[Beds], $L310,
          unit_details[Baths], $M310,
          unit_details[Partial Baths], IF(ISNUMBER($N310),$N310,""),
          unit_details[Sqft],$P310
)),"")</f>
        <v/>
      </c>
      <c r="AF310" s="5" t="str">
        <f>IFERROR(IF(AE310="","",IF($F310="Total",
SUMPRODUCT(
   INDEX(AF:AF, ROW()-COUNTIF($F$6:INDEX($F:$F, ROW()-1), $F309)) : INDEX(AF:AF, ROW()-1),
   INDEX(AB:AB, ROW()-COUNTIF($F$6:INDEX($F:$F, ROW()-1), $F309)) : INDEX(AB:AB, ROW()-1)
   )
   /SUM(INDEX(AB:AB, ROW()-COUNTIF($F$6:INDEX($F:$F, ROW()-1), $F309)) : INDEX(AB:AB, ROW()-1)),
           _xlfn.MAXIFS(unit_details[Asking Rent],
          unit_details[Active Listing?],TRUE,
          unit_details[Property Name], $F310,
          unit_details[Beds], $L310,
          unit_details[Baths], $M310,
          unit_details[Partial Baths], IF(ISNUMBER($N310),$N310,""),
          unit_details[Sqft],$P310
))),"")</f>
        <v/>
      </c>
      <c r="AG310" s="6" t="str">
        <f>IFERROR(IF($F310="Total",
         SUMPRODUCT(
         INDEX(AG:AG, ROW()-COUNTIF($F$6:INDEX($F:$F, ROW()-1), $F309)) : INDEX(AG:AG, ROW()-1),
         INDEX(AB:AB, ROW()-COUNTIF($F$6:INDEX($F:$F, ROW()-1), $F309)) : INDEX(AB:AB, ROW()-1)
         )
         /SUM(INDEX(AB:AB, ROW()-COUNTIF($F$6:INDEX($F:$F, ROW()-1), $F309)) : INDEX(AB:AB, ROW()-1)),
          AVERAGEIFS(unit_details[Asking PSF],
          unit_details[Active Listing?],TRUE,
          unit_details[Property Name], $F310,
          unit_details[Beds], $L310,
          unit_details[Baths], $M310,
          unit_details[Partial Baths], IF(ISNUMBER($N310),$N310,""),
          unit_details[Sqft],$P310
)),"")</f>
        <v/>
      </c>
      <c r="AH310" s="293" t="str">
        <f>IFERROR(IF($F310="Total",
         SUMPRODUCT(
         INDEX(AH:AH, ROW()-COUNTIF($F$6:INDEX($F:$F, ROW()-1), $F309)) : INDEX(AH:AH, ROW()-1),
         INDEX(AB:AB, ROW()-COUNTIF($F$6:INDEX($F:$F, ROW()-1), $F309)) : INDEX(AB:AB, ROW()-1)
         )
         /SUM(INDEX(AB:AB, ROW()-COUNTIF($F$6:INDEX($F:$F, ROW()-1), $F309)) : INDEX(AB:AB, ROW()-1)),
          AVERAGEIFS(unit_details[Effective Rent],
          unit_details[Active Listing?],TRUE,
          unit_details[Property Name], $F310,
          unit_details[Beds], $L310,
          unit_details[Baths], $M310,
          unit_details[Partial Baths], IF(ISNUMBER($N310),$N310,""),
          unit_details[Sqft],$P310
)),"")</f>
        <v/>
      </c>
      <c r="AI310" s="6" t="str">
        <f>IFERROR(IF($F310="Total",
         SUMPRODUCT(
         INDEX(AI:AI, ROW()-COUNTIF($F$6:INDEX($F:$F, ROW()-1), $F309)) : INDEX(AI:AI, ROW()-1),
         INDEX(AB:AB, ROW()-COUNTIF($F$6:INDEX($F:$F, ROW()-1), $F309)) : INDEX(AB:AB, ROW()-1)
         )
         /SUM(INDEX(AB:AB, ROW()-COUNTIF($F$6:INDEX($F:$F, ROW()-1), $F309)) : INDEX(AB:AB, ROW()-1)),
           AVERAGEIFS(unit_details[Effective PSF],
          unit_details[Active Listing?],TRUE,
          unit_details[Property Name], $F310,
          unit_details[Beds], $L310,
          unit_details[Baths], $M310,
          unit_details[Partial Baths], IF(ISNUMBER($N310),$N310,""),
          unit_details[Sqft],$P310
)),"")</f>
        <v/>
      </c>
      <c r="AJ310" s="824" t="str">
        <f t="shared" si="48"/>
        <v/>
      </c>
      <c r="AK310" s="531" t="str">
        <f t="shared" si="49"/>
        <v/>
      </c>
      <c r="AL310" s="714" t="str">
        <f t="shared" si="50"/>
        <v/>
      </c>
      <c r="AM310" s="531" t="str">
        <f t="shared" si="51"/>
        <v/>
      </c>
      <c r="AN310" s="716" t="str">
        <f t="shared" si="52"/>
        <v/>
      </c>
    </row>
    <row r="311" spans="6:40" x14ac:dyDescent="0.2">
      <c r="F311" s="1" t="str">
        <f t="shared" si="45"/>
        <v/>
      </c>
      <c r="G311" s="713" t="str">
        <f t="shared" si="53"/>
        <v/>
      </c>
      <c r="H311" s="17" t="str">
        <f>IFERROR(VLOOKUP($G311,Table1[[Property]:[Exposure %]],4,0),"")</f>
        <v/>
      </c>
      <c r="I311" s="3" t="str">
        <f>IFERROR(VLOOKUP($G311,Table1[[Property]:[Exposure %]],6,0),"")</f>
        <v/>
      </c>
      <c r="J311" s="3" t="str">
        <f>IFERROR(VLOOKUP($G311,Table1[[Property]:[Exposure %]],7,0),"")</f>
        <v/>
      </c>
      <c r="K311"/>
      <c r="L311"/>
      <c r="M311"/>
      <c r="N311"/>
      <c r="O311"/>
      <c r="P311"/>
      <c r="Q311"/>
      <c r="R311" s="4" t="str">
        <f>IFERROR(VLOOKUP(IF(F311="Total",F310,F311),Table1[[Property]:['# Units]],7,0)*S311,"")</f>
        <v/>
      </c>
      <c r="S311" s="27" t="str">
        <f t="shared" si="46"/>
        <v/>
      </c>
      <c r="T311" s="531" t="str">
        <f>IFERROR(
 IF($F311="Total",
   SUMPRODUCT(
   INDEX(T:T, ROW()-COUNTIF($F$6:INDEX($F:$F, ROW()-1), $F310)) : INDEX(T:T, ROW()-1),
   INDEX(W:W, ROW()-COUNTIF($F$6:INDEX($F:$F, ROW()-1), $F310)) : INDEX(W:W, ROW()-1)
   )
   /SUM(INDEX(W:W, ROW()-COUNTIF($F$6:INDEX($F:$F, ROW()-1), $F310)) : INDEX(W:W, ROW()-1)),
   AVERAGEIFS(
     INDEX((unit_details[Asking Rent],unit_details[Asking PSF]),0,1,IF($U$3="Chunk Rent",1,2)),
     unit_details[Leased Date],"&gt;="&amp;($AM$2-T$5),
     unit_details[Leased Date],"&lt;"&amp;$AM$2,
     unit_details[Beds],$L311,
     unit_details[Baths],$M311,
     unit_details[Partial Baths],IF(ISNUMBER($N311),$N311,""),
     unit_details[Sqft],$P311,
     unit_details[Property Name],$F311)
 ),"")</f>
        <v/>
      </c>
      <c r="U311" s="552" t="str">
        <f>IFERROR(
 IF($F311="Total",
   SUMPRODUCT(
   INDEX(U:U, ROW()-COUNTIF($F$6:INDEX($F:$F, ROW()-1), $F310)) : INDEX(U:U, ROW()-1),
   INDEX(W:W, ROW()-COUNTIF($F$6:INDEX($F:$F, ROW()-1), $F310)) : INDEX(W:W, ROW()-1)
   )
   /SUM(INDEX(W:W, ROW()-COUNTIF($F$6:INDEX($F:$F, ROW()-1), $F310)) : INDEX(W:W, ROW()-1)),
   AVERAGEIFS(
     INDEX((unit_details[Effective Rent],unit_details[Effective PSF]),0,1,IF($U$3="Chunk Rent",1,2)),
     unit_details[Leased Date],"&gt;="&amp;($AM$2-T$5),
     unit_details[Leased Date],"&lt;"&amp;$AM$2,
     unit_details[Beds],$L311,
     unit_details[Baths],$M311,
     unit_details[Partial Baths],IF(ISNUMBER($N311),$N311,""),
     unit_details[Sqft],$P311,
     unit_details[Property Name],$F311)
 ),"")</f>
        <v/>
      </c>
      <c r="V311" s="27" t="str">
        <f t="shared" si="54"/>
        <v/>
      </c>
      <c r="W311" s="526">
        <f>IFERROR(
  IF($F311="Total",
    SUM(INDEX(W:W, ROW()-COUNTIF($F$6:INDEX($F:$F, ROW()-1), $F310)) : INDEX(W:W, ROW()-1)),
    COUNTIFS(
      unit_details[Leased Date], "&gt;="&amp;($AM$2-T$5),
      unit_details[Leased Date], "&lt;"&amp;$AM$2,
      unit_details[Beds], $L311,
      unit_details[Baths], $M311,
      unit_details[Partial Baths], IF(ISNUMBER($N311), $N311, ""),
      unit_details[Sqft],$P311,
      unit_details[Property Name], $F311
    )
  ),
"")</f>
        <v>0</v>
      </c>
      <c r="X311" s="531" t="str">
        <f>IFERROR(
 IF($F311="Total",
   SUMPRODUCT(
   INDEX(X:X, ROW()-COUNTIF($F$6:INDEX($F:$F, ROW()-1), $F310)) : INDEX(X:X, ROW()-1),
   INDEX(AA:AA, ROW()-COUNTIF($F$6:INDEX($F:$F, ROW()-1), $F310)) : INDEX(AA:AA, ROW()-1)
   )
   /SUM(INDEX(AA:AA, ROW()-COUNTIF($F$6:INDEX($F:$F, ROW()-1), $F310)) : INDEX(AA:AA, ROW()-1)),
   AVERAGEIFS(
     INDEX((unit_details[Asking Rent],unit_details[Asking PSF]),0,1,IF($U$3="Chunk Rent",1,2)),
     unit_details[Leased Date],"&gt;="&amp;($AM$2-X$5),
     unit_details[Leased Date],"&lt;"&amp;$AM$2,
     unit_details[Beds],$L311,
     unit_details[Baths],$M311,
     unit_details[Partial Baths],IF(ISNUMBER($N311),$N311,""),
     unit_details[Sqft],$P311,
     unit_details[Property Name],$F311)
 ),"")</f>
        <v/>
      </c>
      <c r="Y311" s="552" t="str">
        <f>IFERROR(
 IF($F311="Total",
   SUMPRODUCT(
   INDEX(Y:Y, ROW()-COUNTIF($F$6:INDEX($F:$F, ROW()-1), $F310)) : INDEX(Y:Y, ROW()-1),
   INDEX(AA:AA, ROW()-COUNTIF($F$6:INDEX($F:$F, ROW()-1), $F310)) : INDEX(AA:AA, ROW()-1)
   )
   /SUM(INDEX(AA:AA, ROW()-COUNTIF($F$6:INDEX($F:$F, ROW()-1), $F310)) : INDEX(AA:AA, ROW()-1)),
   AVERAGEIFS(
     INDEX((unit_details[Effective Rent],unit_details[Effective PSF]),0,1,IF($U$3="Chunk Rent",1,2)),
     unit_details[Leased Date],"&gt;="&amp;($AM$2-X$5),
     unit_details[Leased Date],"&lt;"&amp;$AM$2,
     unit_details[Beds],$L311,
     unit_details[Baths],$M311,
     unit_details[Partial Baths],IF(ISNUMBER($N311),$N311,""),
     unit_details[Sqft],$P311,
     unit_details[Property Name],$F311)
 ),"")</f>
        <v/>
      </c>
      <c r="Z311" s="27" t="str">
        <f t="shared" si="55"/>
        <v/>
      </c>
      <c r="AA311" s="526">
        <f>IFERROR(
  IF($F311="Total",
    SUM(INDEX(AA:AA, ROW()-COUNTIF($F$6:INDEX($F:$F, ROW()-1), $F310)) : INDEX(AA:AA, ROW()-1)),
    COUNTIFS(
      unit_details[Leased Date], "&gt;="&amp;($AM$2-X$5),
      unit_details[Leased Date], "&lt;"&amp;$AM$2,
      unit_details[Beds], $L311,
      unit_details[Baths], $M311,
      unit_details[Partial Baths], IF(ISNUMBER($N311), $N311, ""),
      unit_details[Sqft],$P311,
      unit_details[Property Name], $F311
    )
  ),
"")</f>
        <v>0</v>
      </c>
      <c r="AB311" s="290">
        <f>IF($F311="Total",
SUM(INDEX(AB:AB, ROW()-COUNTIF($F$6:INDEX($F:$F, ROW()-1), $F310)) : INDEX(AB:AB, ROW()-1)),
COUNTIFS(unit_details[Active Listing?],TRUE,
          unit_details[Property Name], $F311,
          unit_details[Beds], $L311,
          unit_details[Baths], $M311,
          unit_details[Partial Baths],IF(ISNUMBER($N311),$N311,""),
          unit_details[Sqft],$P311))</f>
        <v>0</v>
      </c>
      <c r="AC311" s="27" t="str">
        <f t="shared" si="47"/>
        <v/>
      </c>
      <c r="AD311" s="293" t="str">
        <f>IFERROR(IF(AE311="","",IF($F311="Total",
SUMPRODUCT(
   INDEX(AD:AD, ROW()-COUNTIF($F$6:INDEX($F:$F, ROW()-1), $F310)) : INDEX(AD:AD, ROW()-1),
   INDEX(AB:AB, ROW()-COUNTIF($F$6:INDEX($F:$F, ROW()-1), $F310)) : INDEX(AB:AB, ROW()-1)
   )
   /SUM(INDEX(AB:AB, ROW()-COUNTIF($F$6:INDEX($F:$F, ROW()-1), $F310)) : INDEX(AB:AB, ROW()-1)),
          _xlfn.MINIFS(unit_details[Asking Rent],
          unit_details[Active Listing?],TRUE,
          unit_details[Property Name], $F311,
          unit_details[Beds], $L311,
          unit_details[Baths], $M311,
          unit_details[Partial Baths], IF(ISNUMBER($N311),$N311,""),
          unit_details[Sqft],$P311
))),"")</f>
        <v/>
      </c>
      <c r="AE311" s="5" t="str">
        <f>IFERROR(IF($F311="Total",
          SUMPRODUCT(
   INDEX(AE:AE, ROW()-COUNTIF($F$6:INDEX($F:$F, ROW()-1), $F310)) : INDEX(AE:AE, ROW()-1),
   INDEX(AB:AB, ROW()-COUNTIF($F$6:INDEX($F:$F, ROW()-1), $F310)) : INDEX(AB:AB, ROW()-1)
   )
   /SUM(INDEX(AB:AB, ROW()-COUNTIF($F$6:INDEX($F:$F, ROW()-1), $F310)) : INDEX(AB:AB, ROW()-1)),
          AVERAGEIFS(unit_details[Asking Rent],
          unit_details[Active Listing?],TRUE,
          unit_details[Property Name], $F311,
          unit_details[Beds], $L311,
          unit_details[Baths], $M311,
          unit_details[Partial Baths], IF(ISNUMBER($N311),$N311,""),
          unit_details[Sqft],$P311
)),"")</f>
        <v/>
      </c>
      <c r="AF311" s="5" t="str">
        <f>IFERROR(IF(AE311="","",IF($F311="Total",
SUMPRODUCT(
   INDEX(AF:AF, ROW()-COUNTIF($F$6:INDEX($F:$F, ROW()-1), $F310)) : INDEX(AF:AF, ROW()-1),
   INDEX(AB:AB, ROW()-COUNTIF($F$6:INDEX($F:$F, ROW()-1), $F310)) : INDEX(AB:AB, ROW()-1)
   )
   /SUM(INDEX(AB:AB, ROW()-COUNTIF($F$6:INDEX($F:$F, ROW()-1), $F310)) : INDEX(AB:AB, ROW()-1)),
           _xlfn.MAXIFS(unit_details[Asking Rent],
          unit_details[Active Listing?],TRUE,
          unit_details[Property Name], $F311,
          unit_details[Beds], $L311,
          unit_details[Baths], $M311,
          unit_details[Partial Baths], IF(ISNUMBER($N311),$N311,""),
          unit_details[Sqft],$P311
))),"")</f>
        <v/>
      </c>
      <c r="AG311" s="6" t="str">
        <f>IFERROR(IF($F311="Total",
         SUMPRODUCT(
         INDEX(AG:AG, ROW()-COUNTIF($F$6:INDEX($F:$F, ROW()-1), $F310)) : INDEX(AG:AG, ROW()-1),
         INDEX(AB:AB, ROW()-COUNTIF($F$6:INDEX($F:$F, ROW()-1), $F310)) : INDEX(AB:AB, ROW()-1)
         )
         /SUM(INDEX(AB:AB, ROW()-COUNTIF($F$6:INDEX($F:$F, ROW()-1), $F310)) : INDEX(AB:AB, ROW()-1)),
          AVERAGEIFS(unit_details[Asking PSF],
          unit_details[Active Listing?],TRUE,
          unit_details[Property Name], $F311,
          unit_details[Beds], $L311,
          unit_details[Baths], $M311,
          unit_details[Partial Baths], IF(ISNUMBER($N311),$N311,""),
          unit_details[Sqft],$P311
)),"")</f>
        <v/>
      </c>
      <c r="AH311" s="293" t="str">
        <f>IFERROR(IF($F311="Total",
         SUMPRODUCT(
         INDEX(AH:AH, ROW()-COUNTIF($F$6:INDEX($F:$F, ROW()-1), $F310)) : INDEX(AH:AH, ROW()-1),
         INDEX(AB:AB, ROW()-COUNTIF($F$6:INDEX($F:$F, ROW()-1), $F310)) : INDEX(AB:AB, ROW()-1)
         )
         /SUM(INDEX(AB:AB, ROW()-COUNTIF($F$6:INDEX($F:$F, ROW()-1), $F310)) : INDEX(AB:AB, ROW()-1)),
          AVERAGEIFS(unit_details[Effective Rent],
          unit_details[Active Listing?],TRUE,
          unit_details[Property Name], $F311,
          unit_details[Beds], $L311,
          unit_details[Baths], $M311,
          unit_details[Partial Baths], IF(ISNUMBER($N311),$N311,""),
          unit_details[Sqft],$P311
)),"")</f>
        <v/>
      </c>
      <c r="AI311" s="6" t="str">
        <f>IFERROR(IF($F311="Total",
         SUMPRODUCT(
         INDEX(AI:AI, ROW()-COUNTIF($F$6:INDEX($F:$F, ROW()-1), $F310)) : INDEX(AI:AI, ROW()-1),
         INDEX(AB:AB, ROW()-COUNTIF($F$6:INDEX($F:$F, ROW()-1), $F310)) : INDEX(AB:AB, ROW()-1)
         )
         /SUM(INDEX(AB:AB, ROW()-COUNTIF($F$6:INDEX($F:$F, ROW()-1), $F310)) : INDEX(AB:AB, ROW()-1)),
           AVERAGEIFS(unit_details[Effective PSF],
          unit_details[Active Listing?],TRUE,
          unit_details[Property Name], $F311,
          unit_details[Beds], $L311,
          unit_details[Baths], $M311,
          unit_details[Partial Baths], IF(ISNUMBER($N311),$N311,""),
          unit_details[Sqft],$P311
)),"")</f>
        <v/>
      </c>
      <c r="AJ311" s="824" t="str">
        <f t="shared" si="48"/>
        <v/>
      </c>
      <c r="AK311" s="531" t="str">
        <f t="shared" si="49"/>
        <v/>
      </c>
      <c r="AL311" s="714" t="str">
        <f t="shared" si="50"/>
        <v/>
      </c>
      <c r="AM311" s="531" t="str">
        <f t="shared" si="51"/>
        <v/>
      </c>
      <c r="AN311" s="716" t="str">
        <f t="shared" si="52"/>
        <v/>
      </c>
    </row>
    <row r="312" spans="6:40" x14ac:dyDescent="0.2">
      <c r="F312" s="1" t="str">
        <f t="shared" si="45"/>
        <v/>
      </c>
      <c r="G312" s="713" t="str">
        <f t="shared" si="53"/>
        <v/>
      </c>
      <c r="H312" s="17" t="str">
        <f>IFERROR(VLOOKUP($G312,Table1[[Property]:[Exposure %]],4,0),"")</f>
        <v/>
      </c>
      <c r="I312" s="3" t="str">
        <f>IFERROR(VLOOKUP($G312,Table1[[Property]:[Exposure %]],6,0),"")</f>
        <v/>
      </c>
      <c r="J312" s="3" t="str">
        <f>IFERROR(VLOOKUP($G312,Table1[[Property]:[Exposure %]],7,0),"")</f>
        <v/>
      </c>
      <c r="K312"/>
      <c r="L312"/>
      <c r="M312"/>
      <c r="N312"/>
      <c r="O312"/>
      <c r="P312"/>
      <c r="Q312"/>
      <c r="R312" s="4" t="str">
        <f>IFERROR(VLOOKUP(IF(F312="Total",F311,F312),Table1[[Property]:['# Units]],7,0)*S312,"")</f>
        <v/>
      </c>
      <c r="S312" s="27" t="str">
        <f t="shared" si="46"/>
        <v/>
      </c>
      <c r="T312" s="531" t="str">
        <f>IFERROR(
 IF($F312="Total",
   SUMPRODUCT(
   INDEX(T:T, ROW()-COUNTIF($F$6:INDEX($F:$F, ROW()-1), $F311)) : INDEX(T:T, ROW()-1),
   INDEX(W:W, ROW()-COUNTIF($F$6:INDEX($F:$F, ROW()-1), $F311)) : INDEX(W:W, ROW()-1)
   )
   /SUM(INDEX(W:W, ROW()-COUNTIF($F$6:INDEX($F:$F, ROW()-1), $F311)) : INDEX(W:W, ROW()-1)),
   AVERAGEIFS(
     INDEX((unit_details[Asking Rent],unit_details[Asking PSF]),0,1,IF($U$3="Chunk Rent",1,2)),
     unit_details[Leased Date],"&gt;="&amp;($AM$2-T$5),
     unit_details[Leased Date],"&lt;"&amp;$AM$2,
     unit_details[Beds],$L312,
     unit_details[Baths],$M312,
     unit_details[Partial Baths],IF(ISNUMBER($N312),$N312,""),
     unit_details[Sqft],$P312,
     unit_details[Property Name],$F312)
 ),"")</f>
        <v/>
      </c>
      <c r="U312" s="552" t="str">
        <f>IFERROR(
 IF($F312="Total",
   SUMPRODUCT(
   INDEX(U:U, ROW()-COUNTIF($F$6:INDEX($F:$F, ROW()-1), $F311)) : INDEX(U:U, ROW()-1),
   INDEX(W:W, ROW()-COUNTIF($F$6:INDEX($F:$F, ROW()-1), $F311)) : INDEX(W:W, ROW()-1)
   )
   /SUM(INDEX(W:W, ROW()-COUNTIF($F$6:INDEX($F:$F, ROW()-1), $F311)) : INDEX(W:W, ROW()-1)),
   AVERAGEIFS(
     INDEX((unit_details[Effective Rent],unit_details[Effective PSF]),0,1,IF($U$3="Chunk Rent",1,2)),
     unit_details[Leased Date],"&gt;="&amp;($AM$2-T$5),
     unit_details[Leased Date],"&lt;"&amp;$AM$2,
     unit_details[Beds],$L312,
     unit_details[Baths],$M312,
     unit_details[Partial Baths],IF(ISNUMBER($N312),$N312,""),
     unit_details[Sqft],$P312,
     unit_details[Property Name],$F312)
 ),"")</f>
        <v/>
      </c>
      <c r="V312" s="27" t="str">
        <f t="shared" si="54"/>
        <v/>
      </c>
      <c r="W312" s="526">
        <f>IFERROR(
  IF($F312="Total",
    SUM(INDEX(W:W, ROW()-COUNTIF($F$6:INDEX($F:$F, ROW()-1), $F311)) : INDEX(W:W, ROW()-1)),
    COUNTIFS(
      unit_details[Leased Date], "&gt;="&amp;($AM$2-T$5),
      unit_details[Leased Date], "&lt;"&amp;$AM$2,
      unit_details[Beds], $L312,
      unit_details[Baths], $M312,
      unit_details[Partial Baths], IF(ISNUMBER($N312), $N312, ""),
      unit_details[Sqft],$P312,
      unit_details[Property Name], $F312
    )
  ),
"")</f>
        <v>0</v>
      </c>
      <c r="X312" s="531" t="str">
        <f>IFERROR(
 IF($F312="Total",
   SUMPRODUCT(
   INDEX(X:X, ROW()-COUNTIF($F$6:INDEX($F:$F, ROW()-1), $F311)) : INDEX(X:X, ROW()-1),
   INDEX(AA:AA, ROW()-COUNTIF($F$6:INDEX($F:$F, ROW()-1), $F311)) : INDEX(AA:AA, ROW()-1)
   )
   /SUM(INDEX(AA:AA, ROW()-COUNTIF($F$6:INDEX($F:$F, ROW()-1), $F311)) : INDEX(AA:AA, ROW()-1)),
   AVERAGEIFS(
     INDEX((unit_details[Asking Rent],unit_details[Asking PSF]),0,1,IF($U$3="Chunk Rent",1,2)),
     unit_details[Leased Date],"&gt;="&amp;($AM$2-X$5),
     unit_details[Leased Date],"&lt;"&amp;$AM$2,
     unit_details[Beds],$L312,
     unit_details[Baths],$M312,
     unit_details[Partial Baths],IF(ISNUMBER($N312),$N312,""),
     unit_details[Sqft],$P312,
     unit_details[Property Name],$F312)
 ),"")</f>
        <v/>
      </c>
      <c r="Y312" s="552" t="str">
        <f>IFERROR(
 IF($F312="Total",
   SUMPRODUCT(
   INDEX(Y:Y, ROW()-COUNTIF($F$6:INDEX($F:$F, ROW()-1), $F311)) : INDEX(Y:Y, ROW()-1),
   INDEX(AA:AA, ROW()-COUNTIF($F$6:INDEX($F:$F, ROW()-1), $F311)) : INDEX(AA:AA, ROW()-1)
   )
   /SUM(INDEX(AA:AA, ROW()-COUNTIF($F$6:INDEX($F:$F, ROW()-1), $F311)) : INDEX(AA:AA, ROW()-1)),
   AVERAGEIFS(
     INDEX((unit_details[Effective Rent],unit_details[Effective PSF]),0,1,IF($U$3="Chunk Rent",1,2)),
     unit_details[Leased Date],"&gt;="&amp;($AM$2-X$5),
     unit_details[Leased Date],"&lt;"&amp;$AM$2,
     unit_details[Beds],$L312,
     unit_details[Baths],$M312,
     unit_details[Partial Baths],IF(ISNUMBER($N312),$N312,""),
     unit_details[Sqft],$P312,
     unit_details[Property Name],$F312)
 ),"")</f>
        <v/>
      </c>
      <c r="Z312" s="27" t="str">
        <f t="shared" si="55"/>
        <v/>
      </c>
      <c r="AA312" s="526">
        <f>IFERROR(
  IF($F312="Total",
    SUM(INDEX(AA:AA, ROW()-COUNTIF($F$6:INDEX($F:$F, ROW()-1), $F311)) : INDEX(AA:AA, ROW()-1)),
    COUNTIFS(
      unit_details[Leased Date], "&gt;="&amp;($AM$2-X$5),
      unit_details[Leased Date], "&lt;"&amp;$AM$2,
      unit_details[Beds], $L312,
      unit_details[Baths], $M312,
      unit_details[Partial Baths], IF(ISNUMBER($N312), $N312, ""),
      unit_details[Sqft],$P312,
      unit_details[Property Name], $F312
    )
  ),
"")</f>
        <v>0</v>
      </c>
      <c r="AB312" s="290">
        <f>IF($F312="Total",
SUM(INDEX(AB:AB, ROW()-COUNTIF($F$6:INDEX($F:$F, ROW()-1), $F311)) : INDEX(AB:AB, ROW()-1)),
COUNTIFS(unit_details[Active Listing?],TRUE,
          unit_details[Property Name], $F312,
          unit_details[Beds], $L312,
          unit_details[Baths], $M312,
          unit_details[Partial Baths],IF(ISNUMBER($N312),$N312,""),
          unit_details[Sqft],$P312))</f>
        <v>0</v>
      </c>
      <c r="AC312" s="27" t="str">
        <f t="shared" si="47"/>
        <v/>
      </c>
      <c r="AD312" s="293" t="str">
        <f>IFERROR(IF(AE312="","",IF($F312="Total",
SUMPRODUCT(
   INDEX(AD:AD, ROW()-COUNTIF($F$6:INDEX($F:$F, ROW()-1), $F311)) : INDEX(AD:AD, ROW()-1),
   INDEX(AB:AB, ROW()-COUNTIF($F$6:INDEX($F:$F, ROW()-1), $F311)) : INDEX(AB:AB, ROW()-1)
   )
   /SUM(INDEX(AB:AB, ROW()-COUNTIF($F$6:INDEX($F:$F, ROW()-1), $F311)) : INDEX(AB:AB, ROW()-1)),
          _xlfn.MINIFS(unit_details[Asking Rent],
          unit_details[Active Listing?],TRUE,
          unit_details[Property Name], $F312,
          unit_details[Beds], $L312,
          unit_details[Baths], $M312,
          unit_details[Partial Baths], IF(ISNUMBER($N312),$N312,""),
          unit_details[Sqft],$P312
))),"")</f>
        <v/>
      </c>
      <c r="AE312" s="5" t="str">
        <f>IFERROR(IF($F312="Total",
          SUMPRODUCT(
   INDEX(AE:AE, ROW()-COUNTIF($F$6:INDEX($F:$F, ROW()-1), $F311)) : INDEX(AE:AE, ROW()-1),
   INDEX(AB:AB, ROW()-COUNTIF($F$6:INDEX($F:$F, ROW()-1), $F311)) : INDEX(AB:AB, ROW()-1)
   )
   /SUM(INDEX(AB:AB, ROW()-COUNTIF($F$6:INDEX($F:$F, ROW()-1), $F311)) : INDEX(AB:AB, ROW()-1)),
          AVERAGEIFS(unit_details[Asking Rent],
          unit_details[Active Listing?],TRUE,
          unit_details[Property Name], $F312,
          unit_details[Beds], $L312,
          unit_details[Baths], $M312,
          unit_details[Partial Baths], IF(ISNUMBER($N312),$N312,""),
          unit_details[Sqft],$P312
)),"")</f>
        <v/>
      </c>
      <c r="AF312" s="5" t="str">
        <f>IFERROR(IF(AE312="","",IF($F312="Total",
SUMPRODUCT(
   INDEX(AF:AF, ROW()-COUNTIF($F$6:INDEX($F:$F, ROW()-1), $F311)) : INDEX(AF:AF, ROW()-1),
   INDEX(AB:AB, ROW()-COUNTIF($F$6:INDEX($F:$F, ROW()-1), $F311)) : INDEX(AB:AB, ROW()-1)
   )
   /SUM(INDEX(AB:AB, ROW()-COUNTIF($F$6:INDEX($F:$F, ROW()-1), $F311)) : INDEX(AB:AB, ROW()-1)),
           _xlfn.MAXIFS(unit_details[Asking Rent],
          unit_details[Active Listing?],TRUE,
          unit_details[Property Name], $F312,
          unit_details[Beds], $L312,
          unit_details[Baths], $M312,
          unit_details[Partial Baths], IF(ISNUMBER($N312),$N312,""),
          unit_details[Sqft],$P312
))),"")</f>
        <v/>
      </c>
      <c r="AG312" s="6" t="str">
        <f>IFERROR(IF($F312="Total",
         SUMPRODUCT(
         INDEX(AG:AG, ROW()-COUNTIF($F$6:INDEX($F:$F, ROW()-1), $F311)) : INDEX(AG:AG, ROW()-1),
         INDEX(AB:AB, ROW()-COUNTIF($F$6:INDEX($F:$F, ROW()-1), $F311)) : INDEX(AB:AB, ROW()-1)
         )
         /SUM(INDEX(AB:AB, ROW()-COUNTIF($F$6:INDEX($F:$F, ROW()-1), $F311)) : INDEX(AB:AB, ROW()-1)),
          AVERAGEIFS(unit_details[Asking PSF],
          unit_details[Active Listing?],TRUE,
          unit_details[Property Name], $F312,
          unit_details[Beds], $L312,
          unit_details[Baths], $M312,
          unit_details[Partial Baths], IF(ISNUMBER($N312),$N312,""),
          unit_details[Sqft],$P312
)),"")</f>
        <v/>
      </c>
      <c r="AH312" s="293" t="str">
        <f>IFERROR(IF($F312="Total",
         SUMPRODUCT(
         INDEX(AH:AH, ROW()-COUNTIF($F$6:INDEX($F:$F, ROW()-1), $F311)) : INDEX(AH:AH, ROW()-1),
         INDEX(AB:AB, ROW()-COUNTIF($F$6:INDEX($F:$F, ROW()-1), $F311)) : INDEX(AB:AB, ROW()-1)
         )
         /SUM(INDEX(AB:AB, ROW()-COUNTIF($F$6:INDEX($F:$F, ROW()-1), $F311)) : INDEX(AB:AB, ROW()-1)),
          AVERAGEIFS(unit_details[Effective Rent],
          unit_details[Active Listing?],TRUE,
          unit_details[Property Name], $F312,
          unit_details[Beds], $L312,
          unit_details[Baths], $M312,
          unit_details[Partial Baths], IF(ISNUMBER($N312),$N312,""),
          unit_details[Sqft],$P312
)),"")</f>
        <v/>
      </c>
      <c r="AI312" s="6" t="str">
        <f>IFERROR(IF($F312="Total",
         SUMPRODUCT(
         INDEX(AI:AI, ROW()-COUNTIF($F$6:INDEX($F:$F, ROW()-1), $F311)) : INDEX(AI:AI, ROW()-1),
         INDEX(AB:AB, ROW()-COUNTIF($F$6:INDEX($F:$F, ROW()-1), $F311)) : INDEX(AB:AB, ROW()-1)
         )
         /SUM(INDEX(AB:AB, ROW()-COUNTIF($F$6:INDEX($F:$F, ROW()-1), $F311)) : INDEX(AB:AB, ROW()-1)),
           AVERAGEIFS(unit_details[Effective PSF],
          unit_details[Active Listing?],TRUE,
          unit_details[Property Name], $F312,
          unit_details[Beds], $L312,
          unit_details[Baths], $M312,
          unit_details[Partial Baths], IF(ISNUMBER($N312),$N312,""),
          unit_details[Sqft],$P312
)),"")</f>
        <v/>
      </c>
      <c r="AJ312" s="824" t="str">
        <f t="shared" si="48"/>
        <v/>
      </c>
      <c r="AK312" s="531" t="str">
        <f t="shared" si="49"/>
        <v/>
      </c>
      <c r="AL312" s="714" t="str">
        <f t="shared" si="50"/>
        <v/>
      </c>
      <c r="AM312" s="531" t="str">
        <f t="shared" si="51"/>
        <v/>
      </c>
      <c r="AN312" s="716" t="str">
        <f t="shared" si="52"/>
        <v/>
      </c>
    </row>
    <row r="313" spans="6:40" x14ac:dyDescent="0.2">
      <c r="F313" s="1" t="str">
        <f t="shared" si="45"/>
        <v/>
      </c>
      <c r="G313" s="713" t="str">
        <f t="shared" si="53"/>
        <v/>
      </c>
      <c r="H313" s="17" t="str">
        <f>IFERROR(VLOOKUP($G313,Table1[[Property]:[Exposure %]],4,0),"")</f>
        <v/>
      </c>
      <c r="I313" s="3" t="str">
        <f>IFERROR(VLOOKUP($G313,Table1[[Property]:[Exposure %]],6,0),"")</f>
        <v/>
      </c>
      <c r="J313" s="3" t="str">
        <f>IFERROR(VLOOKUP($G313,Table1[[Property]:[Exposure %]],7,0),"")</f>
        <v/>
      </c>
      <c r="K313"/>
      <c r="L313"/>
      <c r="M313"/>
      <c r="N313"/>
      <c r="O313"/>
      <c r="P313"/>
      <c r="Q313"/>
      <c r="R313" s="4" t="str">
        <f>IFERROR(VLOOKUP(IF(F313="Total",F312,F313),Table1[[Property]:['# Units]],7,0)*S313,"")</f>
        <v/>
      </c>
      <c r="S313" s="27" t="str">
        <f t="shared" si="46"/>
        <v/>
      </c>
      <c r="T313" s="531" t="str">
        <f>IFERROR(
 IF($F313="Total",
   SUMPRODUCT(
   INDEX(T:T, ROW()-COUNTIF($F$6:INDEX($F:$F, ROW()-1), $F312)) : INDEX(T:T, ROW()-1),
   INDEX(W:W, ROW()-COUNTIF($F$6:INDEX($F:$F, ROW()-1), $F312)) : INDEX(W:W, ROW()-1)
   )
   /SUM(INDEX(W:W, ROW()-COUNTIF($F$6:INDEX($F:$F, ROW()-1), $F312)) : INDEX(W:W, ROW()-1)),
   AVERAGEIFS(
     INDEX((unit_details[Asking Rent],unit_details[Asking PSF]),0,1,IF($U$3="Chunk Rent",1,2)),
     unit_details[Leased Date],"&gt;="&amp;($AM$2-T$5),
     unit_details[Leased Date],"&lt;"&amp;$AM$2,
     unit_details[Beds],$L313,
     unit_details[Baths],$M313,
     unit_details[Partial Baths],IF(ISNUMBER($N313),$N313,""),
     unit_details[Sqft],$P313,
     unit_details[Property Name],$F313)
 ),"")</f>
        <v/>
      </c>
      <c r="U313" s="552" t="str">
        <f>IFERROR(
 IF($F313="Total",
   SUMPRODUCT(
   INDEX(U:U, ROW()-COUNTIF($F$6:INDEX($F:$F, ROW()-1), $F312)) : INDEX(U:U, ROW()-1),
   INDEX(W:W, ROW()-COUNTIF($F$6:INDEX($F:$F, ROW()-1), $F312)) : INDEX(W:W, ROW()-1)
   )
   /SUM(INDEX(W:W, ROW()-COUNTIF($F$6:INDEX($F:$F, ROW()-1), $F312)) : INDEX(W:W, ROW()-1)),
   AVERAGEIFS(
     INDEX((unit_details[Effective Rent],unit_details[Effective PSF]),0,1,IF($U$3="Chunk Rent",1,2)),
     unit_details[Leased Date],"&gt;="&amp;($AM$2-T$5),
     unit_details[Leased Date],"&lt;"&amp;$AM$2,
     unit_details[Beds],$L313,
     unit_details[Baths],$M313,
     unit_details[Partial Baths],IF(ISNUMBER($N313),$N313,""),
     unit_details[Sqft],$P313,
     unit_details[Property Name],$F313)
 ),"")</f>
        <v/>
      </c>
      <c r="V313" s="27" t="str">
        <f t="shared" si="54"/>
        <v/>
      </c>
      <c r="W313" s="526">
        <f>IFERROR(
  IF($F313="Total",
    SUM(INDEX(W:W, ROW()-COUNTIF($F$6:INDEX($F:$F, ROW()-1), $F312)) : INDEX(W:W, ROW()-1)),
    COUNTIFS(
      unit_details[Leased Date], "&gt;="&amp;($AM$2-T$5),
      unit_details[Leased Date], "&lt;"&amp;$AM$2,
      unit_details[Beds], $L313,
      unit_details[Baths], $M313,
      unit_details[Partial Baths], IF(ISNUMBER($N313), $N313, ""),
      unit_details[Sqft],$P313,
      unit_details[Property Name], $F313
    )
  ),
"")</f>
        <v>0</v>
      </c>
      <c r="X313" s="531" t="str">
        <f>IFERROR(
 IF($F313="Total",
   SUMPRODUCT(
   INDEX(X:X, ROW()-COUNTIF($F$6:INDEX($F:$F, ROW()-1), $F312)) : INDEX(X:X, ROW()-1),
   INDEX(AA:AA, ROW()-COUNTIF($F$6:INDEX($F:$F, ROW()-1), $F312)) : INDEX(AA:AA, ROW()-1)
   )
   /SUM(INDEX(AA:AA, ROW()-COUNTIF($F$6:INDEX($F:$F, ROW()-1), $F312)) : INDEX(AA:AA, ROW()-1)),
   AVERAGEIFS(
     INDEX((unit_details[Asking Rent],unit_details[Asking PSF]),0,1,IF($U$3="Chunk Rent",1,2)),
     unit_details[Leased Date],"&gt;="&amp;($AM$2-X$5),
     unit_details[Leased Date],"&lt;"&amp;$AM$2,
     unit_details[Beds],$L313,
     unit_details[Baths],$M313,
     unit_details[Partial Baths],IF(ISNUMBER($N313),$N313,""),
     unit_details[Sqft],$P313,
     unit_details[Property Name],$F313)
 ),"")</f>
        <v/>
      </c>
      <c r="Y313" s="552" t="str">
        <f>IFERROR(
 IF($F313="Total",
   SUMPRODUCT(
   INDEX(Y:Y, ROW()-COUNTIF($F$6:INDEX($F:$F, ROW()-1), $F312)) : INDEX(Y:Y, ROW()-1),
   INDEX(AA:AA, ROW()-COUNTIF($F$6:INDEX($F:$F, ROW()-1), $F312)) : INDEX(AA:AA, ROW()-1)
   )
   /SUM(INDEX(AA:AA, ROW()-COUNTIF($F$6:INDEX($F:$F, ROW()-1), $F312)) : INDEX(AA:AA, ROW()-1)),
   AVERAGEIFS(
     INDEX((unit_details[Effective Rent],unit_details[Effective PSF]),0,1,IF($U$3="Chunk Rent",1,2)),
     unit_details[Leased Date],"&gt;="&amp;($AM$2-X$5),
     unit_details[Leased Date],"&lt;"&amp;$AM$2,
     unit_details[Beds],$L313,
     unit_details[Baths],$M313,
     unit_details[Partial Baths],IF(ISNUMBER($N313),$N313,""),
     unit_details[Sqft],$P313,
     unit_details[Property Name],$F313)
 ),"")</f>
        <v/>
      </c>
      <c r="Z313" s="27" t="str">
        <f t="shared" si="55"/>
        <v/>
      </c>
      <c r="AA313" s="526">
        <f>IFERROR(
  IF($F313="Total",
    SUM(INDEX(AA:AA, ROW()-COUNTIF($F$6:INDEX($F:$F, ROW()-1), $F312)) : INDEX(AA:AA, ROW()-1)),
    COUNTIFS(
      unit_details[Leased Date], "&gt;="&amp;($AM$2-X$5),
      unit_details[Leased Date], "&lt;"&amp;$AM$2,
      unit_details[Beds], $L313,
      unit_details[Baths], $M313,
      unit_details[Partial Baths], IF(ISNUMBER($N313), $N313, ""),
      unit_details[Sqft],$P313,
      unit_details[Property Name], $F313
    )
  ),
"")</f>
        <v>0</v>
      </c>
      <c r="AB313" s="290">
        <f>IF($F313="Total",
SUM(INDEX(AB:AB, ROW()-COUNTIF($F$6:INDEX($F:$F, ROW()-1), $F312)) : INDEX(AB:AB, ROW()-1)),
COUNTIFS(unit_details[Active Listing?],TRUE,
          unit_details[Property Name], $F313,
          unit_details[Beds], $L313,
          unit_details[Baths], $M313,
          unit_details[Partial Baths],IF(ISNUMBER($N313),$N313,""),
          unit_details[Sqft],$P313))</f>
        <v>0</v>
      </c>
      <c r="AC313" s="27" t="str">
        <f t="shared" si="47"/>
        <v/>
      </c>
      <c r="AD313" s="293" t="str">
        <f>IFERROR(IF(AE313="","",IF($F313="Total",
SUMPRODUCT(
   INDEX(AD:AD, ROW()-COUNTIF($F$6:INDEX($F:$F, ROW()-1), $F312)) : INDEX(AD:AD, ROW()-1),
   INDEX(AB:AB, ROW()-COUNTIF($F$6:INDEX($F:$F, ROW()-1), $F312)) : INDEX(AB:AB, ROW()-1)
   )
   /SUM(INDEX(AB:AB, ROW()-COUNTIF($F$6:INDEX($F:$F, ROW()-1), $F312)) : INDEX(AB:AB, ROW()-1)),
          _xlfn.MINIFS(unit_details[Asking Rent],
          unit_details[Active Listing?],TRUE,
          unit_details[Property Name], $F313,
          unit_details[Beds], $L313,
          unit_details[Baths], $M313,
          unit_details[Partial Baths], IF(ISNUMBER($N313),$N313,""),
          unit_details[Sqft],$P313
))),"")</f>
        <v/>
      </c>
      <c r="AE313" s="5" t="str">
        <f>IFERROR(IF($F313="Total",
          SUMPRODUCT(
   INDEX(AE:AE, ROW()-COUNTIF($F$6:INDEX($F:$F, ROW()-1), $F312)) : INDEX(AE:AE, ROW()-1),
   INDEX(AB:AB, ROW()-COUNTIF($F$6:INDEX($F:$F, ROW()-1), $F312)) : INDEX(AB:AB, ROW()-1)
   )
   /SUM(INDEX(AB:AB, ROW()-COUNTIF($F$6:INDEX($F:$F, ROW()-1), $F312)) : INDEX(AB:AB, ROW()-1)),
          AVERAGEIFS(unit_details[Asking Rent],
          unit_details[Active Listing?],TRUE,
          unit_details[Property Name], $F313,
          unit_details[Beds], $L313,
          unit_details[Baths], $M313,
          unit_details[Partial Baths], IF(ISNUMBER($N313),$N313,""),
          unit_details[Sqft],$P313
)),"")</f>
        <v/>
      </c>
      <c r="AF313" s="5" t="str">
        <f>IFERROR(IF(AE313="","",IF($F313="Total",
SUMPRODUCT(
   INDEX(AF:AF, ROW()-COUNTIF($F$6:INDEX($F:$F, ROW()-1), $F312)) : INDEX(AF:AF, ROW()-1),
   INDEX(AB:AB, ROW()-COUNTIF($F$6:INDEX($F:$F, ROW()-1), $F312)) : INDEX(AB:AB, ROW()-1)
   )
   /SUM(INDEX(AB:AB, ROW()-COUNTIF($F$6:INDEX($F:$F, ROW()-1), $F312)) : INDEX(AB:AB, ROW()-1)),
           _xlfn.MAXIFS(unit_details[Asking Rent],
          unit_details[Active Listing?],TRUE,
          unit_details[Property Name], $F313,
          unit_details[Beds], $L313,
          unit_details[Baths], $M313,
          unit_details[Partial Baths], IF(ISNUMBER($N313),$N313,""),
          unit_details[Sqft],$P313
))),"")</f>
        <v/>
      </c>
      <c r="AG313" s="6" t="str">
        <f>IFERROR(IF($F313="Total",
         SUMPRODUCT(
         INDEX(AG:AG, ROW()-COUNTIF($F$6:INDEX($F:$F, ROW()-1), $F312)) : INDEX(AG:AG, ROW()-1),
         INDEX(AB:AB, ROW()-COUNTIF($F$6:INDEX($F:$F, ROW()-1), $F312)) : INDEX(AB:AB, ROW()-1)
         )
         /SUM(INDEX(AB:AB, ROW()-COUNTIF($F$6:INDEX($F:$F, ROW()-1), $F312)) : INDEX(AB:AB, ROW()-1)),
          AVERAGEIFS(unit_details[Asking PSF],
          unit_details[Active Listing?],TRUE,
          unit_details[Property Name], $F313,
          unit_details[Beds], $L313,
          unit_details[Baths], $M313,
          unit_details[Partial Baths], IF(ISNUMBER($N313),$N313,""),
          unit_details[Sqft],$P313
)),"")</f>
        <v/>
      </c>
      <c r="AH313" s="293" t="str">
        <f>IFERROR(IF($F313="Total",
         SUMPRODUCT(
         INDEX(AH:AH, ROW()-COUNTIF($F$6:INDEX($F:$F, ROW()-1), $F312)) : INDEX(AH:AH, ROW()-1),
         INDEX(AB:AB, ROW()-COUNTIF($F$6:INDEX($F:$F, ROW()-1), $F312)) : INDEX(AB:AB, ROW()-1)
         )
         /SUM(INDEX(AB:AB, ROW()-COUNTIF($F$6:INDEX($F:$F, ROW()-1), $F312)) : INDEX(AB:AB, ROW()-1)),
          AVERAGEIFS(unit_details[Effective Rent],
          unit_details[Active Listing?],TRUE,
          unit_details[Property Name], $F313,
          unit_details[Beds], $L313,
          unit_details[Baths], $M313,
          unit_details[Partial Baths], IF(ISNUMBER($N313),$N313,""),
          unit_details[Sqft],$P313
)),"")</f>
        <v/>
      </c>
      <c r="AI313" s="6" t="str">
        <f>IFERROR(IF($F313="Total",
         SUMPRODUCT(
         INDEX(AI:AI, ROW()-COUNTIF($F$6:INDEX($F:$F, ROW()-1), $F312)) : INDEX(AI:AI, ROW()-1),
         INDEX(AB:AB, ROW()-COUNTIF($F$6:INDEX($F:$F, ROW()-1), $F312)) : INDEX(AB:AB, ROW()-1)
         )
         /SUM(INDEX(AB:AB, ROW()-COUNTIF($F$6:INDEX($F:$F, ROW()-1), $F312)) : INDEX(AB:AB, ROW()-1)),
           AVERAGEIFS(unit_details[Effective PSF],
          unit_details[Active Listing?],TRUE,
          unit_details[Property Name], $F313,
          unit_details[Beds], $L313,
          unit_details[Baths], $M313,
          unit_details[Partial Baths], IF(ISNUMBER($N313),$N313,""),
          unit_details[Sqft],$P313
)),"")</f>
        <v/>
      </c>
      <c r="AJ313" s="824" t="str">
        <f t="shared" si="48"/>
        <v/>
      </c>
      <c r="AK313" s="531" t="str">
        <f t="shared" si="49"/>
        <v/>
      </c>
      <c r="AL313" s="714" t="str">
        <f t="shared" si="50"/>
        <v/>
      </c>
      <c r="AM313" s="531" t="str">
        <f t="shared" si="51"/>
        <v/>
      </c>
      <c r="AN313" s="716" t="str">
        <f t="shared" si="52"/>
        <v/>
      </c>
    </row>
    <row r="314" spans="6:40" x14ac:dyDescent="0.2">
      <c r="F314" s="1" t="str">
        <f t="shared" si="45"/>
        <v/>
      </c>
      <c r="G314" s="713" t="str">
        <f t="shared" si="53"/>
        <v/>
      </c>
      <c r="H314" s="17" t="str">
        <f>IFERROR(VLOOKUP($G314,Table1[[Property]:[Exposure %]],4,0),"")</f>
        <v/>
      </c>
      <c r="I314" s="3" t="str">
        <f>IFERROR(VLOOKUP($G314,Table1[[Property]:[Exposure %]],6,0),"")</f>
        <v/>
      </c>
      <c r="J314" s="3" t="str">
        <f>IFERROR(VLOOKUP($G314,Table1[[Property]:[Exposure %]],7,0),"")</f>
        <v/>
      </c>
      <c r="K314"/>
      <c r="L314"/>
      <c r="M314"/>
      <c r="N314"/>
      <c r="O314"/>
      <c r="P314"/>
      <c r="Q314"/>
      <c r="R314" s="4" t="str">
        <f>IFERROR(VLOOKUP(IF(F314="Total",F313,F314),Table1[[Property]:['# Units]],7,0)*S314,"")</f>
        <v/>
      </c>
      <c r="S314" s="27" t="str">
        <f t="shared" si="46"/>
        <v/>
      </c>
      <c r="T314" s="531" t="str">
        <f>IFERROR(
 IF($F314="Total",
   SUMPRODUCT(
   INDEX(T:T, ROW()-COUNTIF($F$6:INDEX($F:$F, ROW()-1), $F313)) : INDEX(T:T, ROW()-1),
   INDEX(W:W, ROW()-COUNTIF($F$6:INDEX($F:$F, ROW()-1), $F313)) : INDEX(W:W, ROW()-1)
   )
   /SUM(INDEX(W:W, ROW()-COUNTIF($F$6:INDEX($F:$F, ROW()-1), $F313)) : INDEX(W:W, ROW()-1)),
   AVERAGEIFS(
     INDEX((unit_details[Asking Rent],unit_details[Asking PSF]),0,1,IF($U$3="Chunk Rent",1,2)),
     unit_details[Leased Date],"&gt;="&amp;($AM$2-T$5),
     unit_details[Leased Date],"&lt;"&amp;$AM$2,
     unit_details[Beds],$L314,
     unit_details[Baths],$M314,
     unit_details[Partial Baths],IF(ISNUMBER($N314),$N314,""),
     unit_details[Sqft],$P314,
     unit_details[Property Name],$F314)
 ),"")</f>
        <v/>
      </c>
      <c r="U314" s="552" t="str">
        <f>IFERROR(
 IF($F314="Total",
   SUMPRODUCT(
   INDEX(U:U, ROW()-COUNTIF($F$6:INDEX($F:$F, ROW()-1), $F313)) : INDEX(U:U, ROW()-1),
   INDEX(W:W, ROW()-COUNTIF($F$6:INDEX($F:$F, ROW()-1), $F313)) : INDEX(W:W, ROW()-1)
   )
   /SUM(INDEX(W:W, ROW()-COUNTIF($F$6:INDEX($F:$F, ROW()-1), $F313)) : INDEX(W:W, ROW()-1)),
   AVERAGEIFS(
     INDEX((unit_details[Effective Rent],unit_details[Effective PSF]),0,1,IF($U$3="Chunk Rent",1,2)),
     unit_details[Leased Date],"&gt;="&amp;($AM$2-T$5),
     unit_details[Leased Date],"&lt;"&amp;$AM$2,
     unit_details[Beds],$L314,
     unit_details[Baths],$M314,
     unit_details[Partial Baths],IF(ISNUMBER($N314),$N314,""),
     unit_details[Sqft],$P314,
     unit_details[Property Name],$F314)
 ),"")</f>
        <v/>
      </c>
      <c r="V314" s="27" t="str">
        <f t="shared" si="54"/>
        <v/>
      </c>
      <c r="W314" s="526">
        <f>IFERROR(
  IF($F314="Total",
    SUM(INDEX(W:W, ROW()-COUNTIF($F$6:INDEX($F:$F, ROW()-1), $F313)) : INDEX(W:W, ROW()-1)),
    COUNTIFS(
      unit_details[Leased Date], "&gt;="&amp;($AM$2-T$5),
      unit_details[Leased Date], "&lt;"&amp;$AM$2,
      unit_details[Beds], $L314,
      unit_details[Baths], $M314,
      unit_details[Partial Baths], IF(ISNUMBER($N314), $N314, ""),
      unit_details[Sqft],$P314,
      unit_details[Property Name], $F314
    )
  ),
"")</f>
        <v>0</v>
      </c>
      <c r="X314" s="531" t="str">
        <f>IFERROR(
 IF($F314="Total",
   SUMPRODUCT(
   INDEX(X:X, ROW()-COUNTIF($F$6:INDEX($F:$F, ROW()-1), $F313)) : INDEX(X:X, ROW()-1),
   INDEX(AA:AA, ROW()-COUNTIF($F$6:INDEX($F:$F, ROW()-1), $F313)) : INDEX(AA:AA, ROW()-1)
   )
   /SUM(INDEX(AA:AA, ROW()-COUNTIF($F$6:INDEX($F:$F, ROW()-1), $F313)) : INDEX(AA:AA, ROW()-1)),
   AVERAGEIFS(
     INDEX((unit_details[Asking Rent],unit_details[Asking PSF]),0,1,IF($U$3="Chunk Rent",1,2)),
     unit_details[Leased Date],"&gt;="&amp;($AM$2-X$5),
     unit_details[Leased Date],"&lt;"&amp;$AM$2,
     unit_details[Beds],$L314,
     unit_details[Baths],$M314,
     unit_details[Partial Baths],IF(ISNUMBER($N314),$N314,""),
     unit_details[Sqft],$P314,
     unit_details[Property Name],$F314)
 ),"")</f>
        <v/>
      </c>
      <c r="Y314" s="552" t="str">
        <f>IFERROR(
 IF($F314="Total",
   SUMPRODUCT(
   INDEX(Y:Y, ROW()-COUNTIF($F$6:INDEX($F:$F, ROW()-1), $F313)) : INDEX(Y:Y, ROW()-1),
   INDEX(AA:AA, ROW()-COUNTIF($F$6:INDEX($F:$F, ROW()-1), $F313)) : INDEX(AA:AA, ROW()-1)
   )
   /SUM(INDEX(AA:AA, ROW()-COUNTIF($F$6:INDEX($F:$F, ROW()-1), $F313)) : INDEX(AA:AA, ROW()-1)),
   AVERAGEIFS(
     INDEX((unit_details[Effective Rent],unit_details[Effective PSF]),0,1,IF($U$3="Chunk Rent",1,2)),
     unit_details[Leased Date],"&gt;="&amp;($AM$2-X$5),
     unit_details[Leased Date],"&lt;"&amp;$AM$2,
     unit_details[Beds],$L314,
     unit_details[Baths],$M314,
     unit_details[Partial Baths],IF(ISNUMBER($N314),$N314,""),
     unit_details[Sqft],$P314,
     unit_details[Property Name],$F314)
 ),"")</f>
        <v/>
      </c>
      <c r="Z314" s="27" t="str">
        <f t="shared" si="55"/>
        <v/>
      </c>
      <c r="AA314" s="526">
        <f>IFERROR(
  IF($F314="Total",
    SUM(INDEX(AA:AA, ROW()-COUNTIF($F$6:INDEX($F:$F, ROW()-1), $F313)) : INDEX(AA:AA, ROW()-1)),
    COUNTIFS(
      unit_details[Leased Date], "&gt;="&amp;($AM$2-X$5),
      unit_details[Leased Date], "&lt;"&amp;$AM$2,
      unit_details[Beds], $L314,
      unit_details[Baths], $M314,
      unit_details[Partial Baths], IF(ISNUMBER($N314), $N314, ""),
      unit_details[Sqft],$P314,
      unit_details[Property Name], $F314
    )
  ),
"")</f>
        <v>0</v>
      </c>
      <c r="AB314" s="290">
        <f>IF($F314="Total",
SUM(INDEX(AB:AB, ROW()-COUNTIF($F$6:INDEX($F:$F, ROW()-1), $F313)) : INDEX(AB:AB, ROW()-1)),
COUNTIFS(unit_details[Active Listing?],TRUE,
          unit_details[Property Name], $F314,
          unit_details[Beds], $L314,
          unit_details[Baths], $M314,
          unit_details[Partial Baths],IF(ISNUMBER($N314),$N314,""),
          unit_details[Sqft],$P314))</f>
        <v>0</v>
      </c>
      <c r="AC314" s="27" t="str">
        <f t="shared" si="47"/>
        <v/>
      </c>
      <c r="AD314" s="293" t="str">
        <f>IFERROR(IF(AE314="","",IF($F314="Total",
SUMPRODUCT(
   INDEX(AD:AD, ROW()-COUNTIF($F$6:INDEX($F:$F, ROW()-1), $F313)) : INDEX(AD:AD, ROW()-1),
   INDEX(AB:AB, ROW()-COUNTIF($F$6:INDEX($F:$F, ROW()-1), $F313)) : INDEX(AB:AB, ROW()-1)
   )
   /SUM(INDEX(AB:AB, ROW()-COUNTIF($F$6:INDEX($F:$F, ROW()-1), $F313)) : INDEX(AB:AB, ROW()-1)),
          _xlfn.MINIFS(unit_details[Asking Rent],
          unit_details[Active Listing?],TRUE,
          unit_details[Property Name], $F314,
          unit_details[Beds], $L314,
          unit_details[Baths], $M314,
          unit_details[Partial Baths], IF(ISNUMBER($N314),$N314,""),
          unit_details[Sqft],$P314
))),"")</f>
        <v/>
      </c>
      <c r="AE314" s="5" t="str">
        <f>IFERROR(IF($F314="Total",
          SUMPRODUCT(
   INDEX(AE:AE, ROW()-COUNTIF($F$6:INDEX($F:$F, ROW()-1), $F313)) : INDEX(AE:AE, ROW()-1),
   INDEX(AB:AB, ROW()-COUNTIF($F$6:INDEX($F:$F, ROW()-1), $F313)) : INDEX(AB:AB, ROW()-1)
   )
   /SUM(INDEX(AB:AB, ROW()-COUNTIF($F$6:INDEX($F:$F, ROW()-1), $F313)) : INDEX(AB:AB, ROW()-1)),
          AVERAGEIFS(unit_details[Asking Rent],
          unit_details[Active Listing?],TRUE,
          unit_details[Property Name], $F314,
          unit_details[Beds], $L314,
          unit_details[Baths], $M314,
          unit_details[Partial Baths], IF(ISNUMBER($N314),$N314,""),
          unit_details[Sqft],$P314
)),"")</f>
        <v/>
      </c>
      <c r="AF314" s="5" t="str">
        <f>IFERROR(IF(AE314="","",IF($F314="Total",
SUMPRODUCT(
   INDEX(AF:AF, ROW()-COUNTIF($F$6:INDEX($F:$F, ROW()-1), $F313)) : INDEX(AF:AF, ROW()-1),
   INDEX(AB:AB, ROW()-COUNTIF($F$6:INDEX($F:$F, ROW()-1), $F313)) : INDEX(AB:AB, ROW()-1)
   )
   /SUM(INDEX(AB:AB, ROW()-COUNTIF($F$6:INDEX($F:$F, ROW()-1), $F313)) : INDEX(AB:AB, ROW()-1)),
           _xlfn.MAXIFS(unit_details[Asking Rent],
          unit_details[Active Listing?],TRUE,
          unit_details[Property Name], $F314,
          unit_details[Beds], $L314,
          unit_details[Baths], $M314,
          unit_details[Partial Baths], IF(ISNUMBER($N314),$N314,""),
          unit_details[Sqft],$P314
))),"")</f>
        <v/>
      </c>
      <c r="AG314" s="6" t="str">
        <f>IFERROR(IF($F314="Total",
         SUMPRODUCT(
         INDEX(AG:AG, ROW()-COUNTIF($F$6:INDEX($F:$F, ROW()-1), $F313)) : INDEX(AG:AG, ROW()-1),
         INDEX(AB:AB, ROW()-COUNTIF($F$6:INDEX($F:$F, ROW()-1), $F313)) : INDEX(AB:AB, ROW()-1)
         )
         /SUM(INDEX(AB:AB, ROW()-COUNTIF($F$6:INDEX($F:$F, ROW()-1), $F313)) : INDEX(AB:AB, ROW()-1)),
          AVERAGEIFS(unit_details[Asking PSF],
          unit_details[Active Listing?],TRUE,
          unit_details[Property Name], $F314,
          unit_details[Beds], $L314,
          unit_details[Baths], $M314,
          unit_details[Partial Baths], IF(ISNUMBER($N314),$N314,""),
          unit_details[Sqft],$P314
)),"")</f>
        <v/>
      </c>
      <c r="AH314" s="293" t="str">
        <f>IFERROR(IF($F314="Total",
         SUMPRODUCT(
         INDEX(AH:AH, ROW()-COUNTIF($F$6:INDEX($F:$F, ROW()-1), $F313)) : INDEX(AH:AH, ROW()-1),
         INDEX(AB:AB, ROW()-COUNTIF($F$6:INDEX($F:$F, ROW()-1), $F313)) : INDEX(AB:AB, ROW()-1)
         )
         /SUM(INDEX(AB:AB, ROW()-COUNTIF($F$6:INDEX($F:$F, ROW()-1), $F313)) : INDEX(AB:AB, ROW()-1)),
          AVERAGEIFS(unit_details[Effective Rent],
          unit_details[Active Listing?],TRUE,
          unit_details[Property Name], $F314,
          unit_details[Beds], $L314,
          unit_details[Baths], $M314,
          unit_details[Partial Baths], IF(ISNUMBER($N314),$N314,""),
          unit_details[Sqft],$P314
)),"")</f>
        <v/>
      </c>
      <c r="AI314" s="6" t="str">
        <f>IFERROR(IF($F314="Total",
         SUMPRODUCT(
         INDEX(AI:AI, ROW()-COUNTIF($F$6:INDEX($F:$F, ROW()-1), $F313)) : INDEX(AI:AI, ROW()-1),
         INDEX(AB:AB, ROW()-COUNTIF($F$6:INDEX($F:$F, ROW()-1), $F313)) : INDEX(AB:AB, ROW()-1)
         )
         /SUM(INDEX(AB:AB, ROW()-COUNTIF($F$6:INDEX($F:$F, ROW()-1), $F313)) : INDEX(AB:AB, ROW()-1)),
           AVERAGEIFS(unit_details[Effective PSF],
          unit_details[Active Listing?],TRUE,
          unit_details[Property Name], $F314,
          unit_details[Beds], $L314,
          unit_details[Baths], $M314,
          unit_details[Partial Baths], IF(ISNUMBER($N314),$N314,""),
          unit_details[Sqft],$P314
)),"")</f>
        <v/>
      </c>
      <c r="AJ314" s="824" t="str">
        <f t="shared" si="48"/>
        <v/>
      </c>
      <c r="AK314" s="531" t="str">
        <f t="shared" si="49"/>
        <v/>
      </c>
      <c r="AL314" s="714" t="str">
        <f t="shared" si="50"/>
        <v/>
      </c>
      <c r="AM314" s="531" t="str">
        <f t="shared" si="51"/>
        <v/>
      </c>
      <c r="AN314" s="716" t="str">
        <f t="shared" si="52"/>
        <v/>
      </c>
    </row>
    <row r="315" spans="6:40" x14ac:dyDescent="0.2">
      <c r="F315" s="1" t="str">
        <f t="shared" si="45"/>
        <v/>
      </c>
      <c r="G315" s="713" t="str">
        <f t="shared" si="53"/>
        <v/>
      </c>
      <c r="H315" s="17" t="str">
        <f>IFERROR(VLOOKUP($G315,Table1[[Property]:[Exposure %]],4,0),"")</f>
        <v/>
      </c>
      <c r="I315" s="3" t="str">
        <f>IFERROR(VLOOKUP($G315,Table1[[Property]:[Exposure %]],6,0),"")</f>
        <v/>
      </c>
      <c r="J315" s="3" t="str">
        <f>IFERROR(VLOOKUP($G315,Table1[[Property]:[Exposure %]],7,0),"")</f>
        <v/>
      </c>
      <c r="K315"/>
      <c r="L315"/>
      <c r="M315"/>
      <c r="N315"/>
      <c r="O315"/>
      <c r="P315"/>
      <c r="Q315"/>
      <c r="R315" s="4" t="str">
        <f>IFERROR(VLOOKUP(IF(F315="Total",F314,F315),Table1[[Property]:['# Units]],7,0)*S315,"")</f>
        <v/>
      </c>
      <c r="S315" s="27" t="str">
        <f t="shared" si="46"/>
        <v/>
      </c>
      <c r="T315" s="531" t="str">
        <f>IFERROR(
 IF($F315="Total",
   SUMPRODUCT(
   INDEX(T:T, ROW()-COUNTIF($F$6:INDEX($F:$F, ROW()-1), $F314)) : INDEX(T:T, ROW()-1),
   INDEX(W:W, ROW()-COUNTIF($F$6:INDEX($F:$F, ROW()-1), $F314)) : INDEX(W:W, ROW()-1)
   )
   /SUM(INDEX(W:W, ROW()-COUNTIF($F$6:INDEX($F:$F, ROW()-1), $F314)) : INDEX(W:W, ROW()-1)),
   AVERAGEIFS(
     INDEX((unit_details[Asking Rent],unit_details[Asking PSF]),0,1,IF($U$3="Chunk Rent",1,2)),
     unit_details[Leased Date],"&gt;="&amp;($AM$2-T$5),
     unit_details[Leased Date],"&lt;"&amp;$AM$2,
     unit_details[Beds],$L315,
     unit_details[Baths],$M315,
     unit_details[Partial Baths],IF(ISNUMBER($N315),$N315,""),
     unit_details[Sqft],$P315,
     unit_details[Property Name],$F315)
 ),"")</f>
        <v/>
      </c>
      <c r="U315" s="552" t="str">
        <f>IFERROR(
 IF($F315="Total",
   SUMPRODUCT(
   INDEX(U:U, ROW()-COUNTIF($F$6:INDEX($F:$F, ROW()-1), $F314)) : INDEX(U:U, ROW()-1),
   INDEX(W:W, ROW()-COUNTIF($F$6:INDEX($F:$F, ROW()-1), $F314)) : INDEX(W:W, ROW()-1)
   )
   /SUM(INDEX(W:W, ROW()-COUNTIF($F$6:INDEX($F:$F, ROW()-1), $F314)) : INDEX(W:W, ROW()-1)),
   AVERAGEIFS(
     INDEX((unit_details[Effective Rent],unit_details[Effective PSF]),0,1,IF($U$3="Chunk Rent",1,2)),
     unit_details[Leased Date],"&gt;="&amp;($AM$2-T$5),
     unit_details[Leased Date],"&lt;"&amp;$AM$2,
     unit_details[Beds],$L315,
     unit_details[Baths],$M315,
     unit_details[Partial Baths],IF(ISNUMBER($N315),$N315,""),
     unit_details[Sqft],$P315,
     unit_details[Property Name],$F315)
 ),"")</f>
        <v/>
      </c>
      <c r="V315" s="27" t="str">
        <f t="shared" si="54"/>
        <v/>
      </c>
      <c r="W315" s="526">
        <f>IFERROR(
  IF($F315="Total",
    SUM(INDEX(W:W, ROW()-COUNTIF($F$6:INDEX($F:$F, ROW()-1), $F314)) : INDEX(W:W, ROW()-1)),
    COUNTIFS(
      unit_details[Leased Date], "&gt;="&amp;($AM$2-T$5),
      unit_details[Leased Date], "&lt;"&amp;$AM$2,
      unit_details[Beds], $L315,
      unit_details[Baths], $M315,
      unit_details[Partial Baths], IF(ISNUMBER($N315), $N315, ""),
      unit_details[Sqft],$P315,
      unit_details[Property Name], $F315
    )
  ),
"")</f>
        <v>0</v>
      </c>
      <c r="X315" s="531" t="str">
        <f>IFERROR(
 IF($F315="Total",
   SUMPRODUCT(
   INDEX(X:X, ROW()-COUNTIF($F$6:INDEX($F:$F, ROW()-1), $F314)) : INDEX(X:X, ROW()-1),
   INDEX(AA:AA, ROW()-COUNTIF($F$6:INDEX($F:$F, ROW()-1), $F314)) : INDEX(AA:AA, ROW()-1)
   )
   /SUM(INDEX(AA:AA, ROW()-COUNTIF($F$6:INDEX($F:$F, ROW()-1), $F314)) : INDEX(AA:AA, ROW()-1)),
   AVERAGEIFS(
     INDEX((unit_details[Asking Rent],unit_details[Asking PSF]),0,1,IF($U$3="Chunk Rent",1,2)),
     unit_details[Leased Date],"&gt;="&amp;($AM$2-X$5),
     unit_details[Leased Date],"&lt;"&amp;$AM$2,
     unit_details[Beds],$L315,
     unit_details[Baths],$M315,
     unit_details[Partial Baths],IF(ISNUMBER($N315),$N315,""),
     unit_details[Sqft],$P315,
     unit_details[Property Name],$F315)
 ),"")</f>
        <v/>
      </c>
      <c r="Y315" s="552" t="str">
        <f>IFERROR(
 IF($F315="Total",
   SUMPRODUCT(
   INDEX(Y:Y, ROW()-COUNTIF($F$6:INDEX($F:$F, ROW()-1), $F314)) : INDEX(Y:Y, ROW()-1),
   INDEX(AA:AA, ROW()-COUNTIF($F$6:INDEX($F:$F, ROW()-1), $F314)) : INDEX(AA:AA, ROW()-1)
   )
   /SUM(INDEX(AA:AA, ROW()-COUNTIF($F$6:INDEX($F:$F, ROW()-1), $F314)) : INDEX(AA:AA, ROW()-1)),
   AVERAGEIFS(
     INDEX((unit_details[Effective Rent],unit_details[Effective PSF]),0,1,IF($U$3="Chunk Rent",1,2)),
     unit_details[Leased Date],"&gt;="&amp;($AM$2-X$5),
     unit_details[Leased Date],"&lt;"&amp;$AM$2,
     unit_details[Beds],$L315,
     unit_details[Baths],$M315,
     unit_details[Partial Baths],IF(ISNUMBER($N315),$N315,""),
     unit_details[Sqft],$P315,
     unit_details[Property Name],$F315)
 ),"")</f>
        <v/>
      </c>
      <c r="Z315" s="27" t="str">
        <f t="shared" si="55"/>
        <v/>
      </c>
      <c r="AA315" s="526">
        <f>IFERROR(
  IF($F315="Total",
    SUM(INDEX(AA:AA, ROW()-COUNTIF($F$6:INDEX($F:$F, ROW()-1), $F314)) : INDEX(AA:AA, ROW()-1)),
    COUNTIFS(
      unit_details[Leased Date], "&gt;="&amp;($AM$2-X$5),
      unit_details[Leased Date], "&lt;"&amp;$AM$2,
      unit_details[Beds], $L315,
      unit_details[Baths], $M315,
      unit_details[Partial Baths], IF(ISNUMBER($N315), $N315, ""),
      unit_details[Sqft],$P315,
      unit_details[Property Name], $F315
    )
  ),
"")</f>
        <v>0</v>
      </c>
      <c r="AB315" s="290">
        <f>IF($F315="Total",
SUM(INDEX(AB:AB, ROW()-COUNTIF($F$6:INDEX($F:$F, ROW()-1), $F314)) : INDEX(AB:AB, ROW()-1)),
COUNTIFS(unit_details[Active Listing?],TRUE,
          unit_details[Property Name], $F315,
          unit_details[Beds], $L315,
          unit_details[Baths], $M315,
          unit_details[Partial Baths],IF(ISNUMBER($N315),$N315,""),
          unit_details[Sqft],$P315))</f>
        <v>0</v>
      </c>
      <c r="AC315" s="27" t="str">
        <f t="shared" si="47"/>
        <v/>
      </c>
      <c r="AD315" s="293" t="str">
        <f>IFERROR(IF(AE315="","",IF($F315="Total",
SUMPRODUCT(
   INDEX(AD:AD, ROW()-COUNTIF($F$6:INDEX($F:$F, ROW()-1), $F314)) : INDEX(AD:AD, ROW()-1),
   INDEX(AB:AB, ROW()-COUNTIF($F$6:INDEX($F:$F, ROW()-1), $F314)) : INDEX(AB:AB, ROW()-1)
   )
   /SUM(INDEX(AB:AB, ROW()-COUNTIF($F$6:INDEX($F:$F, ROW()-1), $F314)) : INDEX(AB:AB, ROW()-1)),
          _xlfn.MINIFS(unit_details[Asking Rent],
          unit_details[Active Listing?],TRUE,
          unit_details[Property Name], $F315,
          unit_details[Beds], $L315,
          unit_details[Baths], $M315,
          unit_details[Partial Baths], IF(ISNUMBER($N315),$N315,""),
          unit_details[Sqft],$P315
))),"")</f>
        <v/>
      </c>
      <c r="AE315" s="5" t="str">
        <f>IFERROR(IF($F315="Total",
          SUMPRODUCT(
   INDEX(AE:AE, ROW()-COUNTIF($F$6:INDEX($F:$F, ROW()-1), $F314)) : INDEX(AE:AE, ROW()-1),
   INDEX(AB:AB, ROW()-COUNTIF($F$6:INDEX($F:$F, ROW()-1), $F314)) : INDEX(AB:AB, ROW()-1)
   )
   /SUM(INDEX(AB:AB, ROW()-COUNTIF($F$6:INDEX($F:$F, ROW()-1), $F314)) : INDEX(AB:AB, ROW()-1)),
          AVERAGEIFS(unit_details[Asking Rent],
          unit_details[Active Listing?],TRUE,
          unit_details[Property Name], $F315,
          unit_details[Beds], $L315,
          unit_details[Baths], $M315,
          unit_details[Partial Baths], IF(ISNUMBER($N315),$N315,""),
          unit_details[Sqft],$P315
)),"")</f>
        <v/>
      </c>
      <c r="AF315" s="5" t="str">
        <f>IFERROR(IF(AE315="","",IF($F315="Total",
SUMPRODUCT(
   INDEX(AF:AF, ROW()-COUNTIF($F$6:INDEX($F:$F, ROW()-1), $F314)) : INDEX(AF:AF, ROW()-1),
   INDEX(AB:AB, ROW()-COUNTIF($F$6:INDEX($F:$F, ROW()-1), $F314)) : INDEX(AB:AB, ROW()-1)
   )
   /SUM(INDEX(AB:AB, ROW()-COUNTIF($F$6:INDEX($F:$F, ROW()-1), $F314)) : INDEX(AB:AB, ROW()-1)),
           _xlfn.MAXIFS(unit_details[Asking Rent],
          unit_details[Active Listing?],TRUE,
          unit_details[Property Name], $F315,
          unit_details[Beds], $L315,
          unit_details[Baths], $M315,
          unit_details[Partial Baths], IF(ISNUMBER($N315),$N315,""),
          unit_details[Sqft],$P315
))),"")</f>
        <v/>
      </c>
      <c r="AG315" s="6" t="str">
        <f>IFERROR(IF($F315="Total",
         SUMPRODUCT(
         INDEX(AG:AG, ROW()-COUNTIF($F$6:INDEX($F:$F, ROW()-1), $F314)) : INDEX(AG:AG, ROW()-1),
         INDEX(AB:AB, ROW()-COUNTIF($F$6:INDEX($F:$F, ROW()-1), $F314)) : INDEX(AB:AB, ROW()-1)
         )
         /SUM(INDEX(AB:AB, ROW()-COUNTIF($F$6:INDEX($F:$F, ROW()-1), $F314)) : INDEX(AB:AB, ROW()-1)),
          AVERAGEIFS(unit_details[Asking PSF],
          unit_details[Active Listing?],TRUE,
          unit_details[Property Name], $F315,
          unit_details[Beds], $L315,
          unit_details[Baths], $M315,
          unit_details[Partial Baths], IF(ISNUMBER($N315),$N315,""),
          unit_details[Sqft],$P315
)),"")</f>
        <v/>
      </c>
      <c r="AH315" s="293" t="str">
        <f>IFERROR(IF($F315="Total",
         SUMPRODUCT(
         INDEX(AH:AH, ROW()-COUNTIF($F$6:INDEX($F:$F, ROW()-1), $F314)) : INDEX(AH:AH, ROW()-1),
         INDEX(AB:AB, ROW()-COUNTIF($F$6:INDEX($F:$F, ROW()-1), $F314)) : INDEX(AB:AB, ROW()-1)
         )
         /SUM(INDEX(AB:AB, ROW()-COUNTIF($F$6:INDEX($F:$F, ROW()-1), $F314)) : INDEX(AB:AB, ROW()-1)),
          AVERAGEIFS(unit_details[Effective Rent],
          unit_details[Active Listing?],TRUE,
          unit_details[Property Name], $F315,
          unit_details[Beds], $L315,
          unit_details[Baths], $M315,
          unit_details[Partial Baths], IF(ISNUMBER($N315),$N315,""),
          unit_details[Sqft],$P315
)),"")</f>
        <v/>
      </c>
      <c r="AI315" s="6" t="str">
        <f>IFERROR(IF($F315="Total",
         SUMPRODUCT(
         INDEX(AI:AI, ROW()-COUNTIF($F$6:INDEX($F:$F, ROW()-1), $F314)) : INDEX(AI:AI, ROW()-1),
         INDEX(AB:AB, ROW()-COUNTIF($F$6:INDEX($F:$F, ROW()-1), $F314)) : INDEX(AB:AB, ROW()-1)
         )
         /SUM(INDEX(AB:AB, ROW()-COUNTIF($F$6:INDEX($F:$F, ROW()-1), $F314)) : INDEX(AB:AB, ROW()-1)),
           AVERAGEIFS(unit_details[Effective PSF],
          unit_details[Active Listing?],TRUE,
          unit_details[Property Name], $F315,
          unit_details[Beds], $L315,
          unit_details[Baths], $M315,
          unit_details[Partial Baths], IF(ISNUMBER($N315),$N315,""),
          unit_details[Sqft],$P315
)),"")</f>
        <v/>
      </c>
      <c r="AJ315" s="824" t="str">
        <f t="shared" si="48"/>
        <v/>
      </c>
      <c r="AK315" s="531" t="str">
        <f t="shared" si="49"/>
        <v/>
      </c>
      <c r="AL315" s="714" t="str">
        <f t="shared" si="50"/>
        <v/>
      </c>
      <c r="AM315" s="531" t="str">
        <f t="shared" si="51"/>
        <v/>
      </c>
      <c r="AN315" s="716" t="str">
        <f t="shared" si="52"/>
        <v/>
      </c>
    </row>
    <row r="316" spans="6:40" x14ac:dyDescent="0.2">
      <c r="F316" s="1" t="str">
        <f t="shared" si="45"/>
        <v/>
      </c>
      <c r="G316" s="713" t="str">
        <f t="shared" si="53"/>
        <v/>
      </c>
      <c r="H316" s="17" t="str">
        <f>IFERROR(VLOOKUP($G316,Table1[[Property]:[Exposure %]],4,0),"")</f>
        <v/>
      </c>
      <c r="I316" s="3" t="str">
        <f>IFERROR(VLOOKUP($G316,Table1[[Property]:[Exposure %]],6,0),"")</f>
        <v/>
      </c>
      <c r="J316" s="3" t="str">
        <f>IFERROR(VLOOKUP($G316,Table1[[Property]:[Exposure %]],7,0),"")</f>
        <v/>
      </c>
      <c r="K316"/>
      <c r="L316"/>
      <c r="M316"/>
      <c r="N316"/>
      <c r="O316"/>
      <c r="P316"/>
      <c r="Q316"/>
      <c r="R316" s="4" t="str">
        <f>IFERROR(VLOOKUP(IF(F316="Total",F315,F316),Table1[[Property]:['# Units]],7,0)*S316,"")</f>
        <v/>
      </c>
      <c r="S316" s="27" t="str">
        <f t="shared" si="46"/>
        <v/>
      </c>
      <c r="T316" s="531" t="str">
        <f>IFERROR(
 IF($F316="Total",
   SUMPRODUCT(
   INDEX(T:T, ROW()-COUNTIF($F$6:INDEX($F:$F, ROW()-1), $F315)) : INDEX(T:T, ROW()-1),
   INDEX(W:W, ROW()-COUNTIF($F$6:INDEX($F:$F, ROW()-1), $F315)) : INDEX(W:W, ROW()-1)
   )
   /SUM(INDEX(W:W, ROW()-COUNTIF($F$6:INDEX($F:$F, ROW()-1), $F315)) : INDEX(W:W, ROW()-1)),
   AVERAGEIFS(
     INDEX((unit_details[Asking Rent],unit_details[Asking PSF]),0,1,IF($U$3="Chunk Rent",1,2)),
     unit_details[Leased Date],"&gt;="&amp;($AM$2-T$5),
     unit_details[Leased Date],"&lt;"&amp;$AM$2,
     unit_details[Beds],$L316,
     unit_details[Baths],$M316,
     unit_details[Partial Baths],IF(ISNUMBER($N316),$N316,""),
     unit_details[Sqft],$P316,
     unit_details[Property Name],$F316)
 ),"")</f>
        <v/>
      </c>
      <c r="U316" s="552" t="str">
        <f>IFERROR(
 IF($F316="Total",
   SUMPRODUCT(
   INDEX(U:U, ROW()-COUNTIF($F$6:INDEX($F:$F, ROW()-1), $F315)) : INDEX(U:U, ROW()-1),
   INDEX(W:W, ROW()-COUNTIF($F$6:INDEX($F:$F, ROW()-1), $F315)) : INDEX(W:W, ROW()-1)
   )
   /SUM(INDEX(W:W, ROW()-COUNTIF($F$6:INDEX($F:$F, ROW()-1), $F315)) : INDEX(W:W, ROW()-1)),
   AVERAGEIFS(
     INDEX((unit_details[Effective Rent],unit_details[Effective PSF]),0,1,IF($U$3="Chunk Rent",1,2)),
     unit_details[Leased Date],"&gt;="&amp;($AM$2-T$5),
     unit_details[Leased Date],"&lt;"&amp;$AM$2,
     unit_details[Beds],$L316,
     unit_details[Baths],$M316,
     unit_details[Partial Baths],IF(ISNUMBER($N316),$N316,""),
     unit_details[Sqft],$P316,
     unit_details[Property Name],$F316)
 ),"")</f>
        <v/>
      </c>
      <c r="V316" s="27" t="str">
        <f t="shared" si="54"/>
        <v/>
      </c>
      <c r="W316" s="526">
        <f>IFERROR(
  IF($F316="Total",
    SUM(INDEX(W:W, ROW()-COUNTIF($F$6:INDEX($F:$F, ROW()-1), $F315)) : INDEX(W:W, ROW()-1)),
    COUNTIFS(
      unit_details[Leased Date], "&gt;="&amp;($AM$2-T$5),
      unit_details[Leased Date], "&lt;"&amp;$AM$2,
      unit_details[Beds], $L316,
      unit_details[Baths], $M316,
      unit_details[Partial Baths], IF(ISNUMBER($N316), $N316, ""),
      unit_details[Sqft],$P316,
      unit_details[Property Name], $F316
    )
  ),
"")</f>
        <v>0</v>
      </c>
      <c r="X316" s="531" t="str">
        <f>IFERROR(
 IF($F316="Total",
   SUMPRODUCT(
   INDEX(X:X, ROW()-COUNTIF($F$6:INDEX($F:$F, ROW()-1), $F315)) : INDEX(X:X, ROW()-1),
   INDEX(AA:AA, ROW()-COUNTIF($F$6:INDEX($F:$F, ROW()-1), $F315)) : INDEX(AA:AA, ROW()-1)
   )
   /SUM(INDEX(AA:AA, ROW()-COUNTIF($F$6:INDEX($F:$F, ROW()-1), $F315)) : INDEX(AA:AA, ROW()-1)),
   AVERAGEIFS(
     INDEX((unit_details[Asking Rent],unit_details[Asking PSF]),0,1,IF($U$3="Chunk Rent",1,2)),
     unit_details[Leased Date],"&gt;="&amp;($AM$2-X$5),
     unit_details[Leased Date],"&lt;"&amp;$AM$2,
     unit_details[Beds],$L316,
     unit_details[Baths],$M316,
     unit_details[Partial Baths],IF(ISNUMBER($N316),$N316,""),
     unit_details[Sqft],$P316,
     unit_details[Property Name],$F316)
 ),"")</f>
        <v/>
      </c>
      <c r="Y316" s="552" t="str">
        <f>IFERROR(
 IF($F316="Total",
   SUMPRODUCT(
   INDEX(Y:Y, ROW()-COUNTIF($F$6:INDEX($F:$F, ROW()-1), $F315)) : INDEX(Y:Y, ROW()-1),
   INDEX(AA:AA, ROW()-COUNTIF($F$6:INDEX($F:$F, ROW()-1), $F315)) : INDEX(AA:AA, ROW()-1)
   )
   /SUM(INDEX(AA:AA, ROW()-COUNTIF($F$6:INDEX($F:$F, ROW()-1), $F315)) : INDEX(AA:AA, ROW()-1)),
   AVERAGEIFS(
     INDEX((unit_details[Effective Rent],unit_details[Effective PSF]),0,1,IF($U$3="Chunk Rent",1,2)),
     unit_details[Leased Date],"&gt;="&amp;($AM$2-X$5),
     unit_details[Leased Date],"&lt;"&amp;$AM$2,
     unit_details[Beds],$L316,
     unit_details[Baths],$M316,
     unit_details[Partial Baths],IF(ISNUMBER($N316),$N316,""),
     unit_details[Sqft],$P316,
     unit_details[Property Name],$F316)
 ),"")</f>
        <v/>
      </c>
      <c r="Z316" s="27" t="str">
        <f t="shared" si="55"/>
        <v/>
      </c>
      <c r="AA316" s="526">
        <f>IFERROR(
  IF($F316="Total",
    SUM(INDEX(AA:AA, ROW()-COUNTIF($F$6:INDEX($F:$F, ROW()-1), $F315)) : INDEX(AA:AA, ROW()-1)),
    COUNTIFS(
      unit_details[Leased Date], "&gt;="&amp;($AM$2-X$5),
      unit_details[Leased Date], "&lt;"&amp;$AM$2,
      unit_details[Beds], $L316,
      unit_details[Baths], $M316,
      unit_details[Partial Baths], IF(ISNUMBER($N316), $N316, ""),
      unit_details[Sqft],$P316,
      unit_details[Property Name], $F316
    )
  ),
"")</f>
        <v>0</v>
      </c>
      <c r="AB316" s="290">
        <f>IF($F316="Total",
SUM(INDEX(AB:AB, ROW()-COUNTIF($F$6:INDEX($F:$F, ROW()-1), $F315)) : INDEX(AB:AB, ROW()-1)),
COUNTIFS(unit_details[Active Listing?],TRUE,
          unit_details[Property Name], $F316,
          unit_details[Beds], $L316,
          unit_details[Baths], $M316,
          unit_details[Partial Baths],IF(ISNUMBER($N316),$N316,""),
          unit_details[Sqft],$P316))</f>
        <v>0</v>
      </c>
      <c r="AC316" s="27" t="str">
        <f t="shared" si="47"/>
        <v/>
      </c>
      <c r="AD316" s="293" t="str">
        <f>IFERROR(IF(AE316="","",IF($F316="Total",
SUMPRODUCT(
   INDEX(AD:AD, ROW()-COUNTIF($F$6:INDEX($F:$F, ROW()-1), $F315)) : INDEX(AD:AD, ROW()-1),
   INDEX(AB:AB, ROW()-COUNTIF($F$6:INDEX($F:$F, ROW()-1), $F315)) : INDEX(AB:AB, ROW()-1)
   )
   /SUM(INDEX(AB:AB, ROW()-COUNTIF($F$6:INDEX($F:$F, ROW()-1), $F315)) : INDEX(AB:AB, ROW()-1)),
          _xlfn.MINIFS(unit_details[Asking Rent],
          unit_details[Active Listing?],TRUE,
          unit_details[Property Name], $F316,
          unit_details[Beds], $L316,
          unit_details[Baths], $M316,
          unit_details[Partial Baths], IF(ISNUMBER($N316),$N316,""),
          unit_details[Sqft],$P316
))),"")</f>
        <v/>
      </c>
      <c r="AE316" s="5" t="str">
        <f>IFERROR(IF($F316="Total",
          SUMPRODUCT(
   INDEX(AE:AE, ROW()-COUNTIF($F$6:INDEX($F:$F, ROW()-1), $F315)) : INDEX(AE:AE, ROW()-1),
   INDEX(AB:AB, ROW()-COUNTIF($F$6:INDEX($F:$F, ROW()-1), $F315)) : INDEX(AB:AB, ROW()-1)
   )
   /SUM(INDEX(AB:AB, ROW()-COUNTIF($F$6:INDEX($F:$F, ROW()-1), $F315)) : INDEX(AB:AB, ROW()-1)),
          AVERAGEIFS(unit_details[Asking Rent],
          unit_details[Active Listing?],TRUE,
          unit_details[Property Name], $F316,
          unit_details[Beds], $L316,
          unit_details[Baths], $M316,
          unit_details[Partial Baths], IF(ISNUMBER($N316),$N316,""),
          unit_details[Sqft],$P316
)),"")</f>
        <v/>
      </c>
      <c r="AF316" s="5" t="str">
        <f>IFERROR(IF(AE316="","",IF($F316="Total",
SUMPRODUCT(
   INDEX(AF:AF, ROW()-COUNTIF($F$6:INDEX($F:$F, ROW()-1), $F315)) : INDEX(AF:AF, ROW()-1),
   INDEX(AB:AB, ROW()-COUNTIF($F$6:INDEX($F:$F, ROW()-1), $F315)) : INDEX(AB:AB, ROW()-1)
   )
   /SUM(INDEX(AB:AB, ROW()-COUNTIF($F$6:INDEX($F:$F, ROW()-1), $F315)) : INDEX(AB:AB, ROW()-1)),
           _xlfn.MAXIFS(unit_details[Asking Rent],
          unit_details[Active Listing?],TRUE,
          unit_details[Property Name], $F316,
          unit_details[Beds], $L316,
          unit_details[Baths], $M316,
          unit_details[Partial Baths], IF(ISNUMBER($N316),$N316,""),
          unit_details[Sqft],$P316
))),"")</f>
        <v/>
      </c>
      <c r="AG316" s="6" t="str">
        <f>IFERROR(IF($F316="Total",
         SUMPRODUCT(
         INDEX(AG:AG, ROW()-COUNTIF($F$6:INDEX($F:$F, ROW()-1), $F315)) : INDEX(AG:AG, ROW()-1),
         INDEX(AB:AB, ROW()-COUNTIF($F$6:INDEX($F:$F, ROW()-1), $F315)) : INDEX(AB:AB, ROW()-1)
         )
         /SUM(INDEX(AB:AB, ROW()-COUNTIF($F$6:INDEX($F:$F, ROW()-1), $F315)) : INDEX(AB:AB, ROW()-1)),
          AVERAGEIFS(unit_details[Asking PSF],
          unit_details[Active Listing?],TRUE,
          unit_details[Property Name], $F316,
          unit_details[Beds], $L316,
          unit_details[Baths], $M316,
          unit_details[Partial Baths], IF(ISNUMBER($N316),$N316,""),
          unit_details[Sqft],$P316
)),"")</f>
        <v/>
      </c>
      <c r="AH316" s="293" t="str">
        <f>IFERROR(IF($F316="Total",
         SUMPRODUCT(
         INDEX(AH:AH, ROW()-COUNTIF($F$6:INDEX($F:$F, ROW()-1), $F315)) : INDEX(AH:AH, ROW()-1),
         INDEX(AB:AB, ROW()-COUNTIF($F$6:INDEX($F:$F, ROW()-1), $F315)) : INDEX(AB:AB, ROW()-1)
         )
         /SUM(INDEX(AB:AB, ROW()-COUNTIF($F$6:INDEX($F:$F, ROW()-1), $F315)) : INDEX(AB:AB, ROW()-1)),
          AVERAGEIFS(unit_details[Effective Rent],
          unit_details[Active Listing?],TRUE,
          unit_details[Property Name], $F316,
          unit_details[Beds], $L316,
          unit_details[Baths], $M316,
          unit_details[Partial Baths], IF(ISNUMBER($N316),$N316,""),
          unit_details[Sqft],$P316
)),"")</f>
        <v/>
      </c>
      <c r="AI316" s="6" t="str">
        <f>IFERROR(IF($F316="Total",
         SUMPRODUCT(
         INDEX(AI:AI, ROW()-COUNTIF($F$6:INDEX($F:$F, ROW()-1), $F315)) : INDEX(AI:AI, ROW()-1),
         INDEX(AB:AB, ROW()-COUNTIF($F$6:INDEX($F:$F, ROW()-1), $F315)) : INDEX(AB:AB, ROW()-1)
         )
         /SUM(INDEX(AB:AB, ROW()-COUNTIF($F$6:INDEX($F:$F, ROW()-1), $F315)) : INDEX(AB:AB, ROW()-1)),
           AVERAGEIFS(unit_details[Effective PSF],
          unit_details[Active Listing?],TRUE,
          unit_details[Property Name], $F316,
          unit_details[Beds], $L316,
          unit_details[Baths], $M316,
          unit_details[Partial Baths], IF(ISNUMBER($N316),$N316,""),
          unit_details[Sqft],$P316
)),"")</f>
        <v/>
      </c>
      <c r="AJ316" s="824" t="str">
        <f t="shared" si="48"/>
        <v/>
      </c>
      <c r="AK316" s="531" t="str">
        <f t="shared" si="49"/>
        <v/>
      </c>
      <c r="AL316" s="714" t="str">
        <f t="shared" si="50"/>
        <v/>
      </c>
      <c r="AM316" s="531" t="str">
        <f t="shared" si="51"/>
        <v/>
      </c>
      <c r="AN316" s="716" t="str">
        <f t="shared" si="52"/>
        <v/>
      </c>
    </row>
    <row r="317" spans="6:40" x14ac:dyDescent="0.2">
      <c r="F317" s="1" t="str">
        <f t="shared" si="45"/>
        <v/>
      </c>
      <c r="G317" s="713" t="str">
        <f t="shared" si="53"/>
        <v/>
      </c>
      <c r="H317" s="17" t="str">
        <f>IFERROR(VLOOKUP($G317,Table1[[Property]:[Exposure %]],4,0),"")</f>
        <v/>
      </c>
      <c r="I317" s="3" t="str">
        <f>IFERROR(VLOOKUP($G317,Table1[[Property]:[Exposure %]],6,0),"")</f>
        <v/>
      </c>
      <c r="J317" s="3" t="str">
        <f>IFERROR(VLOOKUP($G317,Table1[[Property]:[Exposure %]],7,0),"")</f>
        <v/>
      </c>
      <c r="K317"/>
      <c r="L317"/>
      <c r="M317"/>
      <c r="N317"/>
      <c r="O317"/>
      <c r="P317"/>
      <c r="Q317"/>
      <c r="R317" s="4" t="str">
        <f>IFERROR(VLOOKUP(IF(F317="Total",F316,F317),Table1[[Property]:['# Units]],7,0)*S317,"")</f>
        <v/>
      </c>
      <c r="S317" s="27" t="str">
        <f t="shared" si="46"/>
        <v/>
      </c>
      <c r="T317" s="531" t="str">
        <f>IFERROR(
 IF($F317="Total",
   SUMPRODUCT(
   INDEX(T:T, ROW()-COUNTIF($F$6:INDEX($F:$F, ROW()-1), $F316)) : INDEX(T:T, ROW()-1),
   INDEX(W:W, ROW()-COUNTIF($F$6:INDEX($F:$F, ROW()-1), $F316)) : INDEX(W:W, ROW()-1)
   )
   /SUM(INDEX(W:W, ROW()-COUNTIF($F$6:INDEX($F:$F, ROW()-1), $F316)) : INDEX(W:W, ROW()-1)),
   AVERAGEIFS(
     INDEX((unit_details[Asking Rent],unit_details[Asking PSF]),0,1,IF($U$3="Chunk Rent",1,2)),
     unit_details[Leased Date],"&gt;="&amp;($AM$2-T$5),
     unit_details[Leased Date],"&lt;"&amp;$AM$2,
     unit_details[Beds],$L317,
     unit_details[Baths],$M317,
     unit_details[Partial Baths],IF(ISNUMBER($N317),$N317,""),
     unit_details[Sqft],$P317,
     unit_details[Property Name],$F317)
 ),"")</f>
        <v/>
      </c>
      <c r="U317" s="552" t="str">
        <f>IFERROR(
 IF($F317="Total",
   SUMPRODUCT(
   INDEX(U:U, ROW()-COUNTIF($F$6:INDEX($F:$F, ROW()-1), $F316)) : INDEX(U:U, ROW()-1),
   INDEX(W:W, ROW()-COUNTIF($F$6:INDEX($F:$F, ROW()-1), $F316)) : INDEX(W:W, ROW()-1)
   )
   /SUM(INDEX(W:W, ROW()-COUNTIF($F$6:INDEX($F:$F, ROW()-1), $F316)) : INDEX(W:W, ROW()-1)),
   AVERAGEIFS(
     INDEX((unit_details[Effective Rent],unit_details[Effective PSF]),0,1,IF($U$3="Chunk Rent",1,2)),
     unit_details[Leased Date],"&gt;="&amp;($AM$2-T$5),
     unit_details[Leased Date],"&lt;"&amp;$AM$2,
     unit_details[Beds],$L317,
     unit_details[Baths],$M317,
     unit_details[Partial Baths],IF(ISNUMBER($N317),$N317,""),
     unit_details[Sqft],$P317,
     unit_details[Property Name],$F317)
 ),"")</f>
        <v/>
      </c>
      <c r="V317" s="27" t="str">
        <f t="shared" si="54"/>
        <v/>
      </c>
      <c r="W317" s="526">
        <f>IFERROR(
  IF($F317="Total",
    SUM(INDEX(W:W, ROW()-COUNTIF($F$6:INDEX($F:$F, ROW()-1), $F316)) : INDEX(W:W, ROW()-1)),
    COUNTIFS(
      unit_details[Leased Date], "&gt;="&amp;($AM$2-T$5),
      unit_details[Leased Date], "&lt;"&amp;$AM$2,
      unit_details[Beds], $L317,
      unit_details[Baths], $M317,
      unit_details[Partial Baths], IF(ISNUMBER($N317), $N317, ""),
      unit_details[Sqft],$P317,
      unit_details[Property Name], $F317
    )
  ),
"")</f>
        <v>0</v>
      </c>
      <c r="X317" s="531" t="str">
        <f>IFERROR(
 IF($F317="Total",
   SUMPRODUCT(
   INDEX(X:X, ROW()-COUNTIF($F$6:INDEX($F:$F, ROW()-1), $F316)) : INDEX(X:X, ROW()-1),
   INDEX(AA:AA, ROW()-COUNTIF($F$6:INDEX($F:$F, ROW()-1), $F316)) : INDEX(AA:AA, ROW()-1)
   )
   /SUM(INDEX(AA:AA, ROW()-COUNTIF($F$6:INDEX($F:$F, ROW()-1), $F316)) : INDEX(AA:AA, ROW()-1)),
   AVERAGEIFS(
     INDEX((unit_details[Asking Rent],unit_details[Asking PSF]),0,1,IF($U$3="Chunk Rent",1,2)),
     unit_details[Leased Date],"&gt;="&amp;($AM$2-X$5),
     unit_details[Leased Date],"&lt;"&amp;$AM$2,
     unit_details[Beds],$L317,
     unit_details[Baths],$M317,
     unit_details[Partial Baths],IF(ISNUMBER($N317),$N317,""),
     unit_details[Sqft],$P317,
     unit_details[Property Name],$F317)
 ),"")</f>
        <v/>
      </c>
      <c r="Y317" s="552" t="str">
        <f>IFERROR(
 IF($F317="Total",
   SUMPRODUCT(
   INDEX(Y:Y, ROW()-COUNTIF($F$6:INDEX($F:$F, ROW()-1), $F316)) : INDEX(Y:Y, ROW()-1),
   INDEX(AA:AA, ROW()-COUNTIF($F$6:INDEX($F:$F, ROW()-1), $F316)) : INDEX(AA:AA, ROW()-1)
   )
   /SUM(INDEX(AA:AA, ROW()-COUNTIF($F$6:INDEX($F:$F, ROW()-1), $F316)) : INDEX(AA:AA, ROW()-1)),
   AVERAGEIFS(
     INDEX((unit_details[Effective Rent],unit_details[Effective PSF]),0,1,IF($U$3="Chunk Rent",1,2)),
     unit_details[Leased Date],"&gt;="&amp;($AM$2-X$5),
     unit_details[Leased Date],"&lt;"&amp;$AM$2,
     unit_details[Beds],$L317,
     unit_details[Baths],$M317,
     unit_details[Partial Baths],IF(ISNUMBER($N317),$N317,""),
     unit_details[Sqft],$P317,
     unit_details[Property Name],$F317)
 ),"")</f>
        <v/>
      </c>
      <c r="Z317" s="27" t="str">
        <f t="shared" si="55"/>
        <v/>
      </c>
      <c r="AA317" s="526">
        <f>IFERROR(
  IF($F317="Total",
    SUM(INDEX(AA:AA, ROW()-COUNTIF($F$6:INDEX($F:$F, ROW()-1), $F316)) : INDEX(AA:AA, ROW()-1)),
    COUNTIFS(
      unit_details[Leased Date], "&gt;="&amp;($AM$2-X$5),
      unit_details[Leased Date], "&lt;"&amp;$AM$2,
      unit_details[Beds], $L317,
      unit_details[Baths], $M317,
      unit_details[Partial Baths], IF(ISNUMBER($N317), $N317, ""),
      unit_details[Sqft],$P317,
      unit_details[Property Name], $F317
    )
  ),
"")</f>
        <v>0</v>
      </c>
      <c r="AB317" s="290">
        <f>IF($F317="Total",
SUM(INDEX(AB:AB, ROW()-COUNTIF($F$6:INDEX($F:$F, ROW()-1), $F316)) : INDEX(AB:AB, ROW()-1)),
COUNTIFS(unit_details[Active Listing?],TRUE,
          unit_details[Property Name], $F317,
          unit_details[Beds], $L317,
          unit_details[Baths], $M317,
          unit_details[Partial Baths],IF(ISNUMBER($N317),$N317,""),
          unit_details[Sqft],$P317))</f>
        <v>0</v>
      </c>
      <c r="AC317" s="27" t="str">
        <f t="shared" si="47"/>
        <v/>
      </c>
      <c r="AD317" s="293" t="str">
        <f>IFERROR(IF(AE317="","",IF($F317="Total",
SUMPRODUCT(
   INDEX(AD:AD, ROW()-COUNTIF($F$6:INDEX($F:$F, ROW()-1), $F316)) : INDEX(AD:AD, ROW()-1),
   INDEX(AB:AB, ROW()-COUNTIF($F$6:INDEX($F:$F, ROW()-1), $F316)) : INDEX(AB:AB, ROW()-1)
   )
   /SUM(INDEX(AB:AB, ROW()-COUNTIF($F$6:INDEX($F:$F, ROW()-1), $F316)) : INDEX(AB:AB, ROW()-1)),
          _xlfn.MINIFS(unit_details[Asking Rent],
          unit_details[Active Listing?],TRUE,
          unit_details[Property Name], $F317,
          unit_details[Beds], $L317,
          unit_details[Baths], $M317,
          unit_details[Partial Baths], IF(ISNUMBER($N317),$N317,""),
          unit_details[Sqft],$P317
))),"")</f>
        <v/>
      </c>
      <c r="AE317" s="5" t="str">
        <f>IFERROR(IF($F317="Total",
          SUMPRODUCT(
   INDEX(AE:AE, ROW()-COUNTIF($F$6:INDEX($F:$F, ROW()-1), $F316)) : INDEX(AE:AE, ROW()-1),
   INDEX(AB:AB, ROW()-COUNTIF($F$6:INDEX($F:$F, ROW()-1), $F316)) : INDEX(AB:AB, ROW()-1)
   )
   /SUM(INDEX(AB:AB, ROW()-COUNTIF($F$6:INDEX($F:$F, ROW()-1), $F316)) : INDEX(AB:AB, ROW()-1)),
          AVERAGEIFS(unit_details[Asking Rent],
          unit_details[Active Listing?],TRUE,
          unit_details[Property Name], $F317,
          unit_details[Beds], $L317,
          unit_details[Baths], $M317,
          unit_details[Partial Baths], IF(ISNUMBER($N317),$N317,""),
          unit_details[Sqft],$P317
)),"")</f>
        <v/>
      </c>
      <c r="AF317" s="5" t="str">
        <f>IFERROR(IF(AE317="","",IF($F317="Total",
SUMPRODUCT(
   INDEX(AF:AF, ROW()-COUNTIF($F$6:INDEX($F:$F, ROW()-1), $F316)) : INDEX(AF:AF, ROW()-1),
   INDEX(AB:AB, ROW()-COUNTIF($F$6:INDEX($F:$F, ROW()-1), $F316)) : INDEX(AB:AB, ROW()-1)
   )
   /SUM(INDEX(AB:AB, ROW()-COUNTIF($F$6:INDEX($F:$F, ROW()-1), $F316)) : INDEX(AB:AB, ROW()-1)),
           _xlfn.MAXIFS(unit_details[Asking Rent],
          unit_details[Active Listing?],TRUE,
          unit_details[Property Name], $F317,
          unit_details[Beds], $L317,
          unit_details[Baths], $M317,
          unit_details[Partial Baths], IF(ISNUMBER($N317),$N317,""),
          unit_details[Sqft],$P317
))),"")</f>
        <v/>
      </c>
      <c r="AG317" s="6" t="str">
        <f>IFERROR(IF($F317="Total",
         SUMPRODUCT(
         INDEX(AG:AG, ROW()-COUNTIF($F$6:INDEX($F:$F, ROW()-1), $F316)) : INDEX(AG:AG, ROW()-1),
         INDEX(AB:AB, ROW()-COUNTIF($F$6:INDEX($F:$F, ROW()-1), $F316)) : INDEX(AB:AB, ROW()-1)
         )
         /SUM(INDEX(AB:AB, ROW()-COUNTIF($F$6:INDEX($F:$F, ROW()-1), $F316)) : INDEX(AB:AB, ROW()-1)),
          AVERAGEIFS(unit_details[Asking PSF],
          unit_details[Active Listing?],TRUE,
          unit_details[Property Name], $F317,
          unit_details[Beds], $L317,
          unit_details[Baths], $M317,
          unit_details[Partial Baths], IF(ISNUMBER($N317),$N317,""),
          unit_details[Sqft],$P317
)),"")</f>
        <v/>
      </c>
      <c r="AH317" s="293" t="str">
        <f>IFERROR(IF($F317="Total",
         SUMPRODUCT(
         INDEX(AH:AH, ROW()-COUNTIF($F$6:INDEX($F:$F, ROW()-1), $F316)) : INDEX(AH:AH, ROW()-1),
         INDEX(AB:AB, ROW()-COUNTIF($F$6:INDEX($F:$F, ROW()-1), $F316)) : INDEX(AB:AB, ROW()-1)
         )
         /SUM(INDEX(AB:AB, ROW()-COUNTIF($F$6:INDEX($F:$F, ROW()-1), $F316)) : INDEX(AB:AB, ROW()-1)),
          AVERAGEIFS(unit_details[Effective Rent],
          unit_details[Active Listing?],TRUE,
          unit_details[Property Name], $F317,
          unit_details[Beds], $L317,
          unit_details[Baths], $M317,
          unit_details[Partial Baths], IF(ISNUMBER($N317),$N317,""),
          unit_details[Sqft],$P317
)),"")</f>
        <v/>
      </c>
      <c r="AI317" s="6" t="str">
        <f>IFERROR(IF($F317="Total",
         SUMPRODUCT(
         INDEX(AI:AI, ROW()-COUNTIF($F$6:INDEX($F:$F, ROW()-1), $F316)) : INDEX(AI:AI, ROW()-1),
         INDEX(AB:AB, ROW()-COUNTIF($F$6:INDEX($F:$F, ROW()-1), $F316)) : INDEX(AB:AB, ROW()-1)
         )
         /SUM(INDEX(AB:AB, ROW()-COUNTIF($F$6:INDEX($F:$F, ROW()-1), $F316)) : INDEX(AB:AB, ROW()-1)),
           AVERAGEIFS(unit_details[Effective PSF],
          unit_details[Active Listing?],TRUE,
          unit_details[Property Name], $F317,
          unit_details[Beds], $L317,
          unit_details[Baths], $M317,
          unit_details[Partial Baths], IF(ISNUMBER($N317),$N317,""),
          unit_details[Sqft],$P317
)),"")</f>
        <v/>
      </c>
      <c r="AJ317" s="824" t="str">
        <f t="shared" si="48"/>
        <v/>
      </c>
      <c r="AK317" s="531" t="str">
        <f t="shared" si="49"/>
        <v/>
      </c>
      <c r="AL317" s="714" t="str">
        <f t="shared" si="50"/>
        <v/>
      </c>
      <c r="AM317" s="531" t="str">
        <f t="shared" si="51"/>
        <v/>
      </c>
      <c r="AN317" s="716" t="str">
        <f t="shared" si="52"/>
        <v/>
      </c>
    </row>
    <row r="318" spans="6:40" x14ac:dyDescent="0.2">
      <c r="F318" s="1" t="str">
        <f t="shared" si="45"/>
        <v/>
      </c>
      <c r="G318" s="713" t="str">
        <f t="shared" si="53"/>
        <v/>
      </c>
      <c r="H318" s="17" t="str">
        <f>IFERROR(VLOOKUP($G318,Table1[[Property]:[Exposure %]],4,0),"")</f>
        <v/>
      </c>
      <c r="I318" s="3" t="str">
        <f>IFERROR(VLOOKUP($G318,Table1[[Property]:[Exposure %]],6,0),"")</f>
        <v/>
      </c>
      <c r="J318" s="3" t="str">
        <f>IFERROR(VLOOKUP($G318,Table1[[Property]:[Exposure %]],7,0),"")</f>
        <v/>
      </c>
      <c r="K318"/>
      <c r="L318"/>
      <c r="M318"/>
      <c r="N318"/>
      <c r="O318"/>
      <c r="P318"/>
      <c r="Q318"/>
      <c r="R318" s="4" t="str">
        <f>IFERROR(VLOOKUP(IF(F318="Total",F317,F318),Table1[[Property]:['# Units]],7,0)*S318,"")</f>
        <v/>
      </c>
      <c r="S318" s="27" t="str">
        <f t="shared" si="46"/>
        <v/>
      </c>
      <c r="T318" s="531" t="str">
        <f>IFERROR(
 IF($F318="Total",
   SUMPRODUCT(
   INDEX(T:T, ROW()-COUNTIF($F$6:INDEX($F:$F, ROW()-1), $F317)) : INDEX(T:T, ROW()-1),
   INDEX(W:W, ROW()-COUNTIF($F$6:INDEX($F:$F, ROW()-1), $F317)) : INDEX(W:W, ROW()-1)
   )
   /SUM(INDEX(W:W, ROW()-COUNTIF($F$6:INDEX($F:$F, ROW()-1), $F317)) : INDEX(W:W, ROW()-1)),
   AVERAGEIFS(
     INDEX((unit_details[Asking Rent],unit_details[Asking PSF]),0,1,IF($U$3="Chunk Rent",1,2)),
     unit_details[Leased Date],"&gt;="&amp;($AM$2-T$5),
     unit_details[Leased Date],"&lt;"&amp;$AM$2,
     unit_details[Beds],$L318,
     unit_details[Baths],$M318,
     unit_details[Partial Baths],IF(ISNUMBER($N318),$N318,""),
     unit_details[Sqft],$P318,
     unit_details[Property Name],$F318)
 ),"")</f>
        <v/>
      </c>
      <c r="U318" s="552" t="str">
        <f>IFERROR(
 IF($F318="Total",
   SUMPRODUCT(
   INDEX(U:U, ROW()-COUNTIF($F$6:INDEX($F:$F, ROW()-1), $F317)) : INDEX(U:U, ROW()-1),
   INDEX(W:W, ROW()-COUNTIF($F$6:INDEX($F:$F, ROW()-1), $F317)) : INDEX(W:W, ROW()-1)
   )
   /SUM(INDEX(W:W, ROW()-COUNTIF($F$6:INDEX($F:$F, ROW()-1), $F317)) : INDEX(W:W, ROW()-1)),
   AVERAGEIFS(
     INDEX((unit_details[Effective Rent],unit_details[Effective PSF]),0,1,IF($U$3="Chunk Rent",1,2)),
     unit_details[Leased Date],"&gt;="&amp;($AM$2-T$5),
     unit_details[Leased Date],"&lt;"&amp;$AM$2,
     unit_details[Beds],$L318,
     unit_details[Baths],$M318,
     unit_details[Partial Baths],IF(ISNUMBER($N318),$N318,""),
     unit_details[Sqft],$P318,
     unit_details[Property Name],$F318)
 ),"")</f>
        <v/>
      </c>
      <c r="V318" s="27" t="str">
        <f t="shared" si="54"/>
        <v/>
      </c>
      <c r="W318" s="526">
        <f>IFERROR(
  IF($F318="Total",
    SUM(INDEX(W:W, ROW()-COUNTIF($F$6:INDEX($F:$F, ROW()-1), $F317)) : INDEX(W:W, ROW()-1)),
    COUNTIFS(
      unit_details[Leased Date], "&gt;="&amp;($AM$2-T$5),
      unit_details[Leased Date], "&lt;"&amp;$AM$2,
      unit_details[Beds], $L318,
      unit_details[Baths], $M318,
      unit_details[Partial Baths], IF(ISNUMBER($N318), $N318, ""),
      unit_details[Sqft],$P318,
      unit_details[Property Name], $F318
    )
  ),
"")</f>
        <v>0</v>
      </c>
      <c r="X318" s="531" t="str">
        <f>IFERROR(
 IF($F318="Total",
   SUMPRODUCT(
   INDEX(X:X, ROW()-COUNTIF($F$6:INDEX($F:$F, ROW()-1), $F317)) : INDEX(X:X, ROW()-1),
   INDEX(AA:AA, ROW()-COUNTIF($F$6:INDEX($F:$F, ROW()-1), $F317)) : INDEX(AA:AA, ROW()-1)
   )
   /SUM(INDEX(AA:AA, ROW()-COUNTIF($F$6:INDEX($F:$F, ROW()-1), $F317)) : INDEX(AA:AA, ROW()-1)),
   AVERAGEIFS(
     INDEX((unit_details[Asking Rent],unit_details[Asking PSF]),0,1,IF($U$3="Chunk Rent",1,2)),
     unit_details[Leased Date],"&gt;="&amp;($AM$2-X$5),
     unit_details[Leased Date],"&lt;"&amp;$AM$2,
     unit_details[Beds],$L318,
     unit_details[Baths],$M318,
     unit_details[Partial Baths],IF(ISNUMBER($N318),$N318,""),
     unit_details[Sqft],$P318,
     unit_details[Property Name],$F318)
 ),"")</f>
        <v/>
      </c>
      <c r="Y318" s="552" t="str">
        <f>IFERROR(
 IF($F318="Total",
   SUMPRODUCT(
   INDEX(Y:Y, ROW()-COUNTIF($F$6:INDEX($F:$F, ROW()-1), $F317)) : INDEX(Y:Y, ROW()-1),
   INDEX(AA:AA, ROW()-COUNTIF($F$6:INDEX($F:$F, ROW()-1), $F317)) : INDEX(AA:AA, ROW()-1)
   )
   /SUM(INDEX(AA:AA, ROW()-COUNTIF($F$6:INDEX($F:$F, ROW()-1), $F317)) : INDEX(AA:AA, ROW()-1)),
   AVERAGEIFS(
     INDEX((unit_details[Effective Rent],unit_details[Effective PSF]),0,1,IF($U$3="Chunk Rent",1,2)),
     unit_details[Leased Date],"&gt;="&amp;($AM$2-X$5),
     unit_details[Leased Date],"&lt;"&amp;$AM$2,
     unit_details[Beds],$L318,
     unit_details[Baths],$M318,
     unit_details[Partial Baths],IF(ISNUMBER($N318),$N318,""),
     unit_details[Sqft],$P318,
     unit_details[Property Name],$F318)
 ),"")</f>
        <v/>
      </c>
      <c r="Z318" s="27" t="str">
        <f t="shared" si="55"/>
        <v/>
      </c>
      <c r="AA318" s="526">
        <f>IFERROR(
  IF($F318="Total",
    SUM(INDEX(AA:AA, ROW()-COUNTIF($F$6:INDEX($F:$F, ROW()-1), $F317)) : INDEX(AA:AA, ROW()-1)),
    COUNTIFS(
      unit_details[Leased Date], "&gt;="&amp;($AM$2-X$5),
      unit_details[Leased Date], "&lt;"&amp;$AM$2,
      unit_details[Beds], $L318,
      unit_details[Baths], $M318,
      unit_details[Partial Baths], IF(ISNUMBER($N318), $N318, ""),
      unit_details[Sqft],$P318,
      unit_details[Property Name], $F318
    )
  ),
"")</f>
        <v>0</v>
      </c>
      <c r="AB318" s="290">
        <f>IF($F318="Total",
SUM(INDEX(AB:AB, ROW()-COUNTIF($F$6:INDEX($F:$F, ROW()-1), $F317)) : INDEX(AB:AB, ROW()-1)),
COUNTIFS(unit_details[Active Listing?],TRUE,
          unit_details[Property Name], $F318,
          unit_details[Beds], $L318,
          unit_details[Baths], $M318,
          unit_details[Partial Baths],IF(ISNUMBER($N318),$N318,""),
          unit_details[Sqft],$P318))</f>
        <v>0</v>
      </c>
      <c r="AC318" s="27" t="str">
        <f t="shared" si="47"/>
        <v/>
      </c>
      <c r="AD318" s="293" t="str">
        <f>IFERROR(IF(AE318="","",IF($F318="Total",
SUMPRODUCT(
   INDEX(AD:AD, ROW()-COUNTIF($F$6:INDEX($F:$F, ROW()-1), $F317)) : INDEX(AD:AD, ROW()-1),
   INDEX(AB:AB, ROW()-COUNTIF($F$6:INDEX($F:$F, ROW()-1), $F317)) : INDEX(AB:AB, ROW()-1)
   )
   /SUM(INDEX(AB:AB, ROW()-COUNTIF($F$6:INDEX($F:$F, ROW()-1), $F317)) : INDEX(AB:AB, ROW()-1)),
          _xlfn.MINIFS(unit_details[Asking Rent],
          unit_details[Active Listing?],TRUE,
          unit_details[Property Name], $F318,
          unit_details[Beds], $L318,
          unit_details[Baths], $M318,
          unit_details[Partial Baths], IF(ISNUMBER($N318),$N318,""),
          unit_details[Sqft],$P318
))),"")</f>
        <v/>
      </c>
      <c r="AE318" s="5" t="str">
        <f>IFERROR(IF($F318="Total",
          SUMPRODUCT(
   INDEX(AE:AE, ROW()-COUNTIF($F$6:INDEX($F:$F, ROW()-1), $F317)) : INDEX(AE:AE, ROW()-1),
   INDEX(AB:AB, ROW()-COUNTIF($F$6:INDEX($F:$F, ROW()-1), $F317)) : INDEX(AB:AB, ROW()-1)
   )
   /SUM(INDEX(AB:AB, ROW()-COUNTIF($F$6:INDEX($F:$F, ROW()-1), $F317)) : INDEX(AB:AB, ROW()-1)),
          AVERAGEIFS(unit_details[Asking Rent],
          unit_details[Active Listing?],TRUE,
          unit_details[Property Name], $F318,
          unit_details[Beds], $L318,
          unit_details[Baths], $M318,
          unit_details[Partial Baths], IF(ISNUMBER($N318),$N318,""),
          unit_details[Sqft],$P318
)),"")</f>
        <v/>
      </c>
      <c r="AF318" s="5" t="str">
        <f>IFERROR(IF(AE318="","",IF($F318="Total",
SUMPRODUCT(
   INDEX(AF:AF, ROW()-COUNTIF($F$6:INDEX($F:$F, ROW()-1), $F317)) : INDEX(AF:AF, ROW()-1),
   INDEX(AB:AB, ROW()-COUNTIF($F$6:INDEX($F:$F, ROW()-1), $F317)) : INDEX(AB:AB, ROW()-1)
   )
   /SUM(INDEX(AB:AB, ROW()-COUNTIF($F$6:INDEX($F:$F, ROW()-1), $F317)) : INDEX(AB:AB, ROW()-1)),
           _xlfn.MAXIFS(unit_details[Asking Rent],
          unit_details[Active Listing?],TRUE,
          unit_details[Property Name], $F318,
          unit_details[Beds], $L318,
          unit_details[Baths], $M318,
          unit_details[Partial Baths], IF(ISNUMBER($N318),$N318,""),
          unit_details[Sqft],$P318
))),"")</f>
        <v/>
      </c>
      <c r="AG318" s="6" t="str">
        <f>IFERROR(IF($F318="Total",
         SUMPRODUCT(
         INDEX(AG:AG, ROW()-COUNTIF($F$6:INDEX($F:$F, ROW()-1), $F317)) : INDEX(AG:AG, ROW()-1),
         INDEX(AB:AB, ROW()-COUNTIF($F$6:INDEX($F:$F, ROW()-1), $F317)) : INDEX(AB:AB, ROW()-1)
         )
         /SUM(INDEX(AB:AB, ROW()-COUNTIF($F$6:INDEX($F:$F, ROW()-1), $F317)) : INDEX(AB:AB, ROW()-1)),
          AVERAGEIFS(unit_details[Asking PSF],
          unit_details[Active Listing?],TRUE,
          unit_details[Property Name], $F318,
          unit_details[Beds], $L318,
          unit_details[Baths], $M318,
          unit_details[Partial Baths], IF(ISNUMBER($N318),$N318,""),
          unit_details[Sqft],$P318
)),"")</f>
        <v/>
      </c>
      <c r="AH318" s="293" t="str">
        <f>IFERROR(IF($F318="Total",
         SUMPRODUCT(
         INDEX(AH:AH, ROW()-COUNTIF($F$6:INDEX($F:$F, ROW()-1), $F317)) : INDEX(AH:AH, ROW()-1),
         INDEX(AB:AB, ROW()-COUNTIF($F$6:INDEX($F:$F, ROW()-1), $F317)) : INDEX(AB:AB, ROW()-1)
         )
         /SUM(INDEX(AB:AB, ROW()-COUNTIF($F$6:INDEX($F:$F, ROW()-1), $F317)) : INDEX(AB:AB, ROW()-1)),
          AVERAGEIFS(unit_details[Effective Rent],
          unit_details[Active Listing?],TRUE,
          unit_details[Property Name], $F318,
          unit_details[Beds], $L318,
          unit_details[Baths], $M318,
          unit_details[Partial Baths], IF(ISNUMBER($N318),$N318,""),
          unit_details[Sqft],$P318
)),"")</f>
        <v/>
      </c>
      <c r="AI318" s="6" t="str">
        <f>IFERROR(IF($F318="Total",
         SUMPRODUCT(
         INDEX(AI:AI, ROW()-COUNTIF($F$6:INDEX($F:$F, ROW()-1), $F317)) : INDEX(AI:AI, ROW()-1),
         INDEX(AB:AB, ROW()-COUNTIF($F$6:INDEX($F:$F, ROW()-1), $F317)) : INDEX(AB:AB, ROW()-1)
         )
         /SUM(INDEX(AB:AB, ROW()-COUNTIF($F$6:INDEX($F:$F, ROW()-1), $F317)) : INDEX(AB:AB, ROW()-1)),
           AVERAGEIFS(unit_details[Effective PSF],
          unit_details[Active Listing?],TRUE,
          unit_details[Property Name], $F318,
          unit_details[Beds], $L318,
          unit_details[Baths], $M318,
          unit_details[Partial Baths], IF(ISNUMBER($N318),$N318,""),
          unit_details[Sqft],$P318
)),"")</f>
        <v/>
      </c>
      <c r="AJ318" s="824" t="str">
        <f t="shared" si="48"/>
        <v/>
      </c>
      <c r="AK318" s="531" t="str">
        <f t="shared" si="49"/>
        <v/>
      </c>
      <c r="AL318" s="714" t="str">
        <f t="shared" si="50"/>
        <v/>
      </c>
      <c r="AM318" s="531" t="str">
        <f t="shared" si="51"/>
        <v/>
      </c>
      <c r="AN318" s="716" t="str">
        <f t="shared" si="52"/>
        <v/>
      </c>
    </row>
    <row r="319" spans="6:40" x14ac:dyDescent="0.2">
      <c r="F319" s="1" t="str">
        <f t="shared" si="45"/>
        <v/>
      </c>
      <c r="G319" s="713" t="str">
        <f t="shared" si="53"/>
        <v/>
      </c>
      <c r="H319" s="17" t="str">
        <f>IFERROR(VLOOKUP($G319,Table1[[Property]:[Exposure %]],4,0),"")</f>
        <v/>
      </c>
      <c r="I319" s="3" t="str">
        <f>IFERROR(VLOOKUP($G319,Table1[[Property]:[Exposure %]],6,0),"")</f>
        <v/>
      </c>
      <c r="J319" s="3" t="str">
        <f>IFERROR(VLOOKUP($G319,Table1[[Property]:[Exposure %]],7,0),"")</f>
        <v/>
      </c>
      <c r="K319"/>
      <c r="L319"/>
      <c r="M319"/>
      <c r="N319"/>
      <c r="O319"/>
      <c r="P319"/>
      <c r="Q319"/>
      <c r="R319" s="4" t="str">
        <f>IFERROR(VLOOKUP(IF(F319="Total",F318,F319),Table1[[Property]:['# Units]],7,0)*S319,"")</f>
        <v/>
      </c>
      <c r="S319" s="27" t="str">
        <f t="shared" si="46"/>
        <v/>
      </c>
      <c r="T319" s="531" t="str">
        <f>IFERROR(
 IF($F319="Total",
   SUMPRODUCT(
   INDEX(T:T, ROW()-COUNTIF($F$6:INDEX($F:$F, ROW()-1), $F318)) : INDEX(T:T, ROW()-1),
   INDEX(W:W, ROW()-COUNTIF($F$6:INDEX($F:$F, ROW()-1), $F318)) : INDEX(W:W, ROW()-1)
   )
   /SUM(INDEX(W:W, ROW()-COUNTIF($F$6:INDEX($F:$F, ROW()-1), $F318)) : INDEX(W:W, ROW()-1)),
   AVERAGEIFS(
     INDEX((unit_details[Asking Rent],unit_details[Asking PSF]),0,1,IF($U$3="Chunk Rent",1,2)),
     unit_details[Leased Date],"&gt;="&amp;($AM$2-T$5),
     unit_details[Leased Date],"&lt;"&amp;$AM$2,
     unit_details[Beds],$L319,
     unit_details[Baths],$M319,
     unit_details[Partial Baths],IF(ISNUMBER($N319),$N319,""),
     unit_details[Sqft],$P319,
     unit_details[Property Name],$F319)
 ),"")</f>
        <v/>
      </c>
      <c r="U319" s="552" t="str">
        <f>IFERROR(
 IF($F319="Total",
   SUMPRODUCT(
   INDEX(U:U, ROW()-COUNTIF($F$6:INDEX($F:$F, ROW()-1), $F318)) : INDEX(U:U, ROW()-1),
   INDEX(W:W, ROW()-COUNTIF($F$6:INDEX($F:$F, ROW()-1), $F318)) : INDEX(W:W, ROW()-1)
   )
   /SUM(INDEX(W:W, ROW()-COUNTIF($F$6:INDEX($F:$F, ROW()-1), $F318)) : INDEX(W:W, ROW()-1)),
   AVERAGEIFS(
     INDEX((unit_details[Effective Rent],unit_details[Effective PSF]),0,1,IF($U$3="Chunk Rent",1,2)),
     unit_details[Leased Date],"&gt;="&amp;($AM$2-T$5),
     unit_details[Leased Date],"&lt;"&amp;$AM$2,
     unit_details[Beds],$L319,
     unit_details[Baths],$M319,
     unit_details[Partial Baths],IF(ISNUMBER($N319),$N319,""),
     unit_details[Sqft],$P319,
     unit_details[Property Name],$F319)
 ),"")</f>
        <v/>
      </c>
      <c r="V319" s="27" t="str">
        <f t="shared" si="54"/>
        <v/>
      </c>
      <c r="W319" s="526">
        <f>IFERROR(
  IF($F319="Total",
    SUM(INDEX(W:W, ROW()-COUNTIF($F$6:INDEX($F:$F, ROW()-1), $F318)) : INDEX(W:W, ROW()-1)),
    COUNTIFS(
      unit_details[Leased Date], "&gt;="&amp;($AM$2-T$5),
      unit_details[Leased Date], "&lt;"&amp;$AM$2,
      unit_details[Beds], $L319,
      unit_details[Baths], $M319,
      unit_details[Partial Baths], IF(ISNUMBER($N319), $N319, ""),
      unit_details[Sqft],$P319,
      unit_details[Property Name], $F319
    )
  ),
"")</f>
        <v>0</v>
      </c>
      <c r="X319" s="531" t="str">
        <f>IFERROR(
 IF($F319="Total",
   SUMPRODUCT(
   INDEX(X:X, ROW()-COUNTIF($F$6:INDEX($F:$F, ROW()-1), $F318)) : INDEX(X:X, ROW()-1),
   INDEX(AA:AA, ROW()-COUNTIF($F$6:INDEX($F:$F, ROW()-1), $F318)) : INDEX(AA:AA, ROW()-1)
   )
   /SUM(INDEX(AA:AA, ROW()-COUNTIF($F$6:INDEX($F:$F, ROW()-1), $F318)) : INDEX(AA:AA, ROW()-1)),
   AVERAGEIFS(
     INDEX((unit_details[Asking Rent],unit_details[Asking PSF]),0,1,IF($U$3="Chunk Rent",1,2)),
     unit_details[Leased Date],"&gt;="&amp;($AM$2-X$5),
     unit_details[Leased Date],"&lt;"&amp;$AM$2,
     unit_details[Beds],$L319,
     unit_details[Baths],$M319,
     unit_details[Partial Baths],IF(ISNUMBER($N319),$N319,""),
     unit_details[Sqft],$P319,
     unit_details[Property Name],$F319)
 ),"")</f>
        <v/>
      </c>
      <c r="Y319" s="552" t="str">
        <f>IFERROR(
 IF($F319="Total",
   SUMPRODUCT(
   INDEX(Y:Y, ROW()-COUNTIF($F$6:INDEX($F:$F, ROW()-1), $F318)) : INDEX(Y:Y, ROW()-1),
   INDEX(AA:AA, ROW()-COUNTIF($F$6:INDEX($F:$F, ROW()-1), $F318)) : INDEX(AA:AA, ROW()-1)
   )
   /SUM(INDEX(AA:AA, ROW()-COUNTIF($F$6:INDEX($F:$F, ROW()-1), $F318)) : INDEX(AA:AA, ROW()-1)),
   AVERAGEIFS(
     INDEX((unit_details[Effective Rent],unit_details[Effective PSF]),0,1,IF($U$3="Chunk Rent",1,2)),
     unit_details[Leased Date],"&gt;="&amp;($AM$2-X$5),
     unit_details[Leased Date],"&lt;"&amp;$AM$2,
     unit_details[Beds],$L319,
     unit_details[Baths],$M319,
     unit_details[Partial Baths],IF(ISNUMBER($N319),$N319,""),
     unit_details[Sqft],$P319,
     unit_details[Property Name],$F319)
 ),"")</f>
        <v/>
      </c>
      <c r="Z319" s="27" t="str">
        <f t="shared" si="55"/>
        <v/>
      </c>
      <c r="AA319" s="526">
        <f>IFERROR(
  IF($F319="Total",
    SUM(INDEX(AA:AA, ROW()-COUNTIF($F$6:INDEX($F:$F, ROW()-1), $F318)) : INDEX(AA:AA, ROW()-1)),
    COUNTIFS(
      unit_details[Leased Date], "&gt;="&amp;($AM$2-X$5),
      unit_details[Leased Date], "&lt;"&amp;$AM$2,
      unit_details[Beds], $L319,
      unit_details[Baths], $M319,
      unit_details[Partial Baths], IF(ISNUMBER($N319), $N319, ""),
      unit_details[Sqft],$P319,
      unit_details[Property Name], $F319
    )
  ),
"")</f>
        <v>0</v>
      </c>
      <c r="AB319" s="290">
        <f>IF($F319="Total",
SUM(INDEX(AB:AB, ROW()-COUNTIF($F$6:INDEX($F:$F, ROW()-1), $F318)) : INDEX(AB:AB, ROW()-1)),
COUNTIFS(unit_details[Active Listing?],TRUE,
          unit_details[Property Name], $F319,
          unit_details[Beds], $L319,
          unit_details[Baths], $M319,
          unit_details[Partial Baths],IF(ISNUMBER($N319),$N319,""),
          unit_details[Sqft],$P319))</f>
        <v>0</v>
      </c>
      <c r="AC319" s="27" t="str">
        <f t="shared" si="47"/>
        <v/>
      </c>
      <c r="AD319" s="293" t="str">
        <f>IFERROR(IF(AE319="","",IF($F319="Total",
SUMPRODUCT(
   INDEX(AD:AD, ROW()-COUNTIF($F$6:INDEX($F:$F, ROW()-1), $F318)) : INDEX(AD:AD, ROW()-1),
   INDEX(AB:AB, ROW()-COUNTIF($F$6:INDEX($F:$F, ROW()-1), $F318)) : INDEX(AB:AB, ROW()-1)
   )
   /SUM(INDEX(AB:AB, ROW()-COUNTIF($F$6:INDEX($F:$F, ROW()-1), $F318)) : INDEX(AB:AB, ROW()-1)),
          _xlfn.MINIFS(unit_details[Asking Rent],
          unit_details[Active Listing?],TRUE,
          unit_details[Property Name], $F319,
          unit_details[Beds], $L319,
          unit_details[Baths], $M319,
          unit_details[Partial Baths], IF(ISNUMBER($N319),$N319,""),
          unit_details[Sqft],$P319
))),"")</f>
        <v/>
      </c>
      <c r="AE319" s="5" t="str">
        <f>IFERROR(IF($F319="Total",
          SUMPRODUCT(
   INDEX(AE:AE, ROW()-COUNTIF($F$6:INDEX($F:$F, ROW()-1), $F318)) : INDEX(AE:AE, ROW()-1),
   INDEX(AB:AB, ROW()-COUNTIF($F$6:INDEX($F:$F, ROW()-1), $F318)) : INDEX(AB:AB, ROW()-1)
   )
   /SUM(INDEX(AB:AB, ROW()-COUNTIF($F$6:INDEX($F:$F, ROW()-1), $F318)) : INDEX(AB:AB, ROW()-1)),
          AVERAGEIFS(unit_details[Asking Rent],
          unit_details[Active Listing?],TRUE,
          unit_details[Property Name], $F319,
          unit_details[Beds], $L319,
          unit_details[Baths], $M319,
          unit_details[Partial Baths], IF(ISNUMBER($N319),$N319,""),
          unit_details[Sqft],$P319
)),"")</f>
        <v/>
      </c>
      <c r="AF319" s="5" t="str">
        <f>IFERROR(IF(AE319="","",IF($F319="Total",
SUMPRODUCT(
   INDEX(AF:AF, ROW()-COUNTIF($F$6:INDEX($F:$F, ROW()-1), $F318)) : INDEX(AF:AF, ROW()-1),
   INDEX(AB:AB, ROW()-COUNTIF($F$6:INDEX($F:$F, ROW()-1), $F318)) : INDEX(AB:AB, ROW()-1)
   )
   /SUM(INDEX(AB:AB, ROW()-COUNTIF($F$6:INDEX($F:$F, ROW()-1), $F318)) : INDEX(AB:AB, ROW()-1)),
           _xlfn.MAXIFS(unit_details[Asking Rent],
          unit_details[Active Listing?],TRUE,
          unit_details[Property Name], $F319,
          unit_details[Beds], $L319,
          unit_details[Baths], $M319,
          unit_details[Partial Baths], IF(ISNUMBER($N319),$N319,""),
          unit_details[Sqft],$P319
))),"")</f>
        <v/>
      </c>
      <c r="AG319" s="6" t="str">
        <f>IFERROR(IF($F319="Total",
         SUMPRODUCT(
         INDEX(AG:AG, ROW()-COUNTIF($F$6:INDEX($F:$F, ROW()-1), $F318)) : INDEX(AG:AG, ROW()-1),
         INDEX(AB:AB, ROW()-COUNTIF($F$6:INDEX($F:$F, ROW()-1), $F318)) : INDEX(AB:AB, ROW()-1)
         )
         /SUM(INDEX(AB:AB, ROW()-COUNTIF($F$6:INDEX($F:$F, ROW()-1), $F318)) : INDEX(AB:AB, ROW()-1)),
          AVERAGEIFS(unit_details[Asking PSF],
          unit_details[Active Listing?],TRUE,
          unit_details[Property Name], $F319,
          unit_details[Beds], $L319,
          unit_details[Baths], $M319,
          unit_details[Partial Baths], IF(ISNUMBER($N319),$N319,""),
          unit_details[Sqft],$P319
)),"")</f>
        <v/>
      </c>
      <c r="AH319" s="293" t="str">
        <f>IFERROR(IF($F319="Total",
         SUMPRODUCT(
         INDEX(AH:AH, ROW()-COUNTIF($F$6:INDEX($F:$F, ROW()-1), $F318)) : INDEX(AH:AH, ROW()-1),
         INDEX(AB:AB, ROW()-COUNTIF($F$6:INDEX($F:$F, ROW()-1), $F318)) : INDEX(AB:AB, ROW()-1)
         )
         /SUM(INDEX(AB:AB, ROW()-COUNTIF($F$6:INDEX($F:$F, ROW()-1), $F318)) : INDEX(AB:AB, ROW()-1)),
          AVERAGEIFS(unit_details[Effective Rent],
          unit_details[Active Listing?],TRUE,
          unit_details[Property Name], $F319,
          unit_details[Beds], $L319,
          unit_details[Baths], $M319,
          unit_details[Partial Baths], IF(ISNUMBER($N319),$N319,""),
          unit_details[Sqft],$P319
)),"")</f>
        <v/>
      </c>
      <c r="AI319" s="6" t="str">
        <f>IFERROR(IF($F319="Total",
         SUMPRODUCT(
         INDEX(AI:AI, ROW()-COUNTIF($F$6:INDEX($F:$F, ROW()-1), $F318)) : INDEX(AI:AI, ROW()-1),
         INDEX(AB:AB, ROW()-COUNTIF($F$6:INDEX($F:$F, ROW()-1), $F318)) : INDEX(AB:AB, ROW()-1)
         )
         /SUM(INDEX(AB:AB, ROW()-COUNTIF($F$6:INDEX($F:$F, ROW()-1), $F318)) : INDEX(AB:AB, ROW()-1)),
           AVERAGEIFS(unit_details[Effective PSF],
          unit_details[Active Listing?],TRUE,
          unit_details[Property Name], $F319,
          unit_details[Beds], $L319,
          unit_details[Baths], $M319,
          unit_details[Partial Baths], IF(ISNUMBER($N319),$N319,""),
          unit_details[Sqft],$P319
)),"")</f>
        <v/>
      </c>
      <c r="AJ319" s="824" t="str">
        <f t="shared" si="48"/>
        <v/>
      </c>
      <c r="AK319" s="531" t="str">
        <f t="shared" si="49"/>
        <v/>
      </c>
      <c r="AL319" s="714" t="str">
        <f t="shared" si="50"/>
        <v/>
      </c>
      <c r="AM319" s="531" t="str">
        <f t="shared" si="51"/>
        <v/>
      </c>
      <c r="AN319" s="716" t="str">
        <f t="shared" si="52"/>
        <v/>
      </c>
    </row>
    <row r="320" spans="6:40" x14ac:dyDescent="0.2">
      <c r="F320" s="1" t="str">
        <f t="shared" si="45"/>
        <v/>
      </c>
      <c r="G320" s="713" t="str">
        <f t="shared" si="53"/>
        <v/>
      </c>
      <c r="H320" s="17" t="str">
        <f>IFERROR(VLOOKUP($G320,Table1[[Property]:[Exposure %]],4,0),"")</f>
        <v/>
      </c>
      <c r="I320" s="3" t="str">
        <f>IFERROR(VLOOKUP($G320,Table1[[Property]:[Exposure %]],6,0),"")</f>
        <v/>
      </c>
      <c r="J320" s="3" t="str">
        <f>IFERROR(VLOOKUP($G320,Table1[[Property]:[Exposure %]],7,0),"")</f>
        <v/>
      </c>
      <c r="K320"/>
      <c r="L320"/>
      <c r="M320"/>
      <c r="N320"/>
      <c r="O320"/>
      <c r="P320"/>
      <c r="Q320"/>
      <c r="R320" s="4" t="str">
        <f>IFERROR(VLOOKUP(IF(F320="Total",F319,F320),Table1[[Property]:['# Units]],7,0)*S320,"")</f>
        <v/>
      </c>
      <c r="S320" s="27" t="str">
        <f t="shared" si="46"/>
        <v/>
      </c>
      <c r="T320" s="531" t="str">
        <f>IFERROR(
 IF($F320="Total",
   SUMPRODUCT(
   INDEX(T:T, ROW()-COUNTIF($F$6:INDEX($F:$F, ROW()-1), $F319)) : INDEX(T:T, ROW()-1),
   INDEX(W:W, ROW()-COUNTIF($F$6:INDEX($F:$F, ROW()-1), $F319)) : INDEX(W:W, ROW()-1)
   )
   /SUM(INDEX(W:W, ROW()-COUNTIF($F$6:INDEX($F:$F, ROW()-1), $F319)) : INDEX(W:W, ROW()-1)),
   AVERAGEIFS(
     INDEX((unit_details[Asking Rent],unit_details[Asking PSF]),0,1,IF($U$3="Chunk Rent",1,2)),
     unit_details[Leased Date],"&gt;="&amp;($AM$2-T$5),
     unit_details[Leased Date],"&lt;"&amp;$AM$2,
     unit_details[Beds],$L320,
     unit_details[Baths],$M320,
     unit_details[Partial Baths],IF(ISNUMBER($N320),$N320,""),
     unit_details[Sqft],$P320,
     unit_details[Property Name],$F320)
 ),"")</f>
        <v/>
      </c>
      <c r="U320" s="552" t="str">
        <f>IFERROR(
 IF($F320="Total",
   SUMPRODUCT(
   INDEX(U:U, ROW()-COUNTIF($F$6:INDEX($F:$F, ROW()-1), $F319)) : INDEX(U:U, ROW()-1),
   INDEX(W:W, ROW()-COUNTIF($F$6:INDEX($F:$F, ROW()-1), $F319)) : INDEX(W:W, ROW()-1)
   )
   /SUM(INDEX(W:W, ROW()-COUNTIF($F$6:INDEX($F:$F, ROW()-1), $F319)) : INDEX(W:W, ROW()-1)),
   AVERAGEIFS(
     INDEX((unit_details[Effective Rent],unit_details[Effective PSF]),0,1,IF($U$3="Chunk Rent",1,2)),
     unit_details[Leased Date],"&gt;="&amp;($AM$2-T$5),
     unit_details[Leased Date],"&lt;"&amp;$AM$2,
     unit_details[Beds],$L320,
     unit_details[Baths],$M320,
     unit_details[Partial Baths],IF(ISNUMBER($N320),$N320,""),
     unit_details[Sqft],$P320,
     unit_details[Property Name],$F320)
 ),"")</f>
        <v/>
      </c>
      <c r="V320" s="27" t="str">
        <f t="shared" si="54"/>
        <v/>
      </c>
      <c r="W320" s="526">
        <f>IFERROR(
  IF($F320="Total",
    SUM(INDEX(W:W, ROW()-COUNTIF($F$6:INDEX($F:$F, ROW()-1), $F319)) : INDEX(W:W, ROW()-1)),
    COUNTIFS(
      unit_details[Leased Date], "&gt;="&amp;($AM$2-T$5),
      unit_details[Leased Date], "&lt;"&amp;$AM$2,
      unit_details[Beds], $L320,
      unit_details[Baths], $M320,
      unit_details[Partial Baths], IF(ISNUMBER($N320), $N320, ""),
      unit_details[Sqft],$P320,
      unit_details[Property Name], $F320
    )
  ),
"")</f>
        <v>0</v>
      </c>
      <c r="X320" s="531" t="str">
        <f>IFERROR(
 IF($F320="Total",
   SUMPRODUCT(
   INDEX(X:X, ROW()-COUNTIF($F$6:INDEX($F:$F, ROW()-1), $F319)) : INDEX(X:X, ROW()-1),
   INDEX(AA:AA, ROW()-COUNTIF($F$6:INDEX($F:$F, ROW()-1), $F319)) : INDEX(AA:AA, ROW()-1)
   )
   /SUM(INDEX(AA:AA, ROW()-COUNTIF($F$6:INDEX($F:$F, ROW()-1), $F319)) : INDEX(AA:AA, ROW()-1)),
   AVERAGEIFS(
     INDEX((unit_details[Asking Rent],unit_details[Asking PSF]),0,1,IF($U$3="Chunk Rent",1,2)),
     unit_details[Leased Date],"&gt;="&amp;($AM$2-X$5),
     unit_details[Leased Date],"&lt;"&amp;$AM$2,
     unit_details[Beds],$L320,
     unit_details[Baths],$M320,
     unit_details[Partial Baths],IF(ISNUMBER($N320),$N320,""),
     unit_details[Sqft],$P320,
     unit_details[Property Name],$F320)
 ),"")</f>
        <v/>
      </c>
      <c r="Y320" s="552" t="str">
        <f>IFERROR(
 IF($F320="Total",
   SUMPRODUCT(
   INDEX(Y:Y, ROW()-COUNTIF($F$6:INDEX($F:$F, ROW()-1), $F319)) : INDEX(Y:Y, ROW()-1),
   INDEX(AA:AA, ROW()-COUNTIF($F$6:INDEX($F:$F, ROW()-1), $F319)) : INDEX(AA:AA, ROW()-1)
   )
   /SUM(INDEX(AA:AA, ROW()-COUNTIF($F$6:INDEX($F:$F, ROW()-1), $F319)) : INDEX(AA:AA, ROW()-1)),
   AVERAGEIFS(
     INDEX((unit_details[Effective Rent],unit_details[Effective PSF]),0,1,IF($U$3="Chunk Rent",1,2)),
     unit_details[Leased Date],"&gt;="&amp;($AM$2-X$5),
     unit_details[Leased Date],"&lt;"&amp;$AM$2,
     unit_details[Beds],$L320,
     unit_details[Baths],$M320,
     unit_details[Partial Baths],IF(ISNUMBER($N320),$N320,""),
     unit_details[Sqft],$P320,
     unit_details[Property Name],$F320)
 ),"")</f>
        <v/>
      </c>
      <c r="Z320" s="27" t="str">
        <f t="shared" si="55"/>
        <v/>
      </c>
      <c r="AA320" s="526">
        <f>IFERROR(
  IF($F320="Total",
    SUM(INDEX(AA:AA, ROW()-COUNTIF($F$6:INDEX($F:$F, ROW()-1), $F319)) : INDEX(AA:AA, ROW()-1)),
    COUNTIFS(
      unit_details[Leased Date], "&gt;="&amp;($AM$2-X$5),
      unit_details[Leased Date], "&lt;"&amp;$AM$2,
      unit_details[Beds], $L320,
      unit_details[Baths], $M320,
      unit_details[Partial Baths], IF(ISNUMBER($N320), $N320, ""),
      unit_details[Sqft],$P320,
      unit_details[Property Name], $F320
    )
  ),
"")</f>
        <v>0</v>
      </c>
      <c r="AB320" s="290">
        <f>IF($F320="Total",
SUM(INDEX(AB:AB, ROW()-COUNTIF($F$6:INDEX($F:$F, ROW()-1), $F319)) : INDEX(AB:AB, ROW()-1)),
COUNTIFS(unit_details[Active Listing?],TRUE,
          unit_details[Property Name], $F320,
          unit_details[Beds], $L320,
          unit_details[Baths], $M320,
          unit_details[Partial Baths],IF(ISNUMBER($N320),$N320,""),
          unit_details[Sqft],$P320))</f>
        <v>0</v>
      </c>
      <c r="AC320" s="27" t="str">
        <f t="shared" si="47"/>
        <v/>
      </c>
      <c r="AD320" s="293" t="str">
        <f>IFERROR(IF(AE320="","",IF($F320="Total",
SUMPRODUCT(
   INDEX(AD:AD, ROW()-COUNTIF($F$6:INDEX($F:$F, ROW()-1), $F319)) : INDEX(AD:AD, ROW()-1),
   INDEX(AB:AB, ROW()-COUNTIF($F$6:INDEX($F:$F, ROW()-1), $F319)) : INDEX(AB:AB, ROW()-1)
   )
   /SUM(INDEX(AB:AB, ROW()-COUNTIF($F$6:INDEX($F:$F, ROW()-1), $F319)) : INDEX(AB:AB, ROW()-1)),
          _xlfn.MINIFS(unit_details[Asking Rent],
          unit_details[Active Listing?],TRUE,
          unit_details[Property Name], $F320,
          unit_details[Beds], $L320,
          unit_details[Baths], $M320,
          unit_details[Partial Baths], IF(ISNUMBER($N320),$N320,""),
          unit_details[Sqft],$P320
))),"")</f>
        <v/>
      </c>
      <c r="AE320" s="5" t="str">
        <f>IFERROR(IF($F320="Total",
          SUMPRODUCT(
   INDEX(AE:AE, ROW()-COUNTIF($F$6:INDEX($F:$F, ROW()-1), $F319)) : INDEX(AE:AE, ROW()-1),
   INDEX(AB:AB, ROW()-COUNTIF($F$6:INDEX($F:$F, ROW()-1), $F319)) : INDEX(AB:AB, ROW()-1)
   )
   /SUM(INDEX(AB:AB, ROW()-COUNTIF($F$6:INDEX($F:$F, ROW()-1), $F319)) : INDEX(AB:AB, ROW()-1)),
          AVERAGEIFS(unit_details[Asking Rent],
          unit_details[Active Listing?],TRUE,
          unit_details[Property Name], $F320,
          unit_details[Beds], $L320,
          unit_details[Baths], $M320,
          unit_details[Partial Baths], IF(ISNUMBER($N320),$N320,""),
          unit_details[Sqft],$P320
)),"")</f>
        <v/>
      </c>
      <c r="AF320" s="5" t="str">
        <f>IFERROR(IF(AE320="","",IF($F320="Total",
SUMPRODUCT(
   INDEX(AF:AF, ROW()-COUNTIF($F$6:INDEX($F:$F, ROW()-1), $F319)) : INDEX(AF:AF, ROW()-1),
   INDEX(AB:AB, ROW()-COUNTIF($F$6:INDEX($F:$F, ROW()-1), $F319)) : INDEX(AB:AB, ROW()-1)
   )
   /SUM(INDEX(AB:AB, ROW()-COUNTIF($F$6:INDEX($F:$F, ROW()-1), $F319)) : INDEX(AB:AB, ROW()-1)),
           _xlfn.MAXIFS(unit_details[Asking Rent],
          unit_details[Active Listing?],TRUE,
          unit_details[Property Name], $F320,
          unit_details[Beds], $L320,
          unit_details[Baths], $M320,
          unit_details[Partial Baths], IF(ISNUMBER($N320),$N320,""),
          unit_details[Sqft],$P320
))),"")</f>
        <v/>
      </c>
      <c r="AG320" s="6" t="str">
        <f>IFERROR(IF($F320="Total",
         SUMPRODUCT(
         INDEX(AG:AG, ROW()-COUNTIF($F$6:INDEX($F:$F, ROW()-1), $F319)) : INDEX(AG:AG, ROW()-1),
         INDEX(AB:AB, ROW()-COUNTIF($F$6:INDEX($F:$F, ROW()-1), $F319)) : INDEX(AB:AB, ROW()-1)
         )
         /SUM(INDEX(AB:AB, ROW()-COUNTIF($F$6:INDEX($F:$F, ROW()-1), $F319)) : INDEX(AB:AB, ROW()-1)),
          AVERAGEIFS(unit_details[Asking PSF],
          unit_details[Active Listing?],TRUE,
          unit_details[Property Name], $F320,
          unit_details[Beds], $L320,
          unit_details[Baths], $M320,
          unit_details[Partial Baths], IF(ISNUMBER($N320),$N320,""),
          unit_details[Sqft],$P320
)),"")</f>
        <v/>
      </c>
      <c r="AH320" s="293" t="str">
        <f>IFERROR(IF($F320="Total",
         SUMPRODUCT(
         INDEX(AH:AH, ROW()-COUNTIF($F$6:INDEX($F:$F, ROW()-1), $F319)) : INDEX(AH:AH, ROW()-1),
         INDEX(AB:AB, ROW()-COUNTIF($F$6:INDEX($F:$F, ROW()-1), $F319)) : INDEX(AB:AB, ROW()-1)
         )
         /SUM(INDEX(AB:AB, ROW()-COUNTIF($F$6:INDEX($F:$F, ROW()-1), $F319)) : INDEX(AB:AB, ROW()-1)),
          AVERAGEIFS(unit_details[Effective Rent],
          unit_details[Active Listing?],TRUE,
          unit_details[Property Name], $F320,
          unit_details[Beds], $L320,
          unit_details[Baths], $M320,
          unit_details[Partial Baths], IF(ISNUMBER($N320),$N320,""),
          unit_details[Sqft],$P320
)),"")</f>
        <v/>
      </c>
      <c r="AI320" s="6" t="str">
        <f>IFERROR(IF($F320="Total",
         SUMPRODUCT(
         INDEX(AI:AI, ROW()-COUNTIF($F$6:INDEX($F:$F, ROW()-1), $F319)) : INDEX(AI:AI, ROW()-1),
         INDEX(AB:AB, ROW()-COUNTIF($F$6:INDEX($F:$F, ROW()-1), $F319)) : INDEX(AB:AB, ROW()-1)
         )
         /SUM(INDEX(AB:AB, ROW()-COUNTIF($F$6:INDEX($F:$F, ROW()-1), $F319)) : INDEX(AB:AB, ROW()-1)),
           AVERAGEIFS(unit_details[Effective PSF],
          unit_details[Active Listing?],TRUE,
          unit_details[Property Name], $F320,
          unit_details[Beds], $L320,
          unit_details[Baths], $M320,
          unit_details[Partial Baths], IF(ISNUMBER($N320),$N320,""),
          unit_details[Sqft],$P320
)),"")</f>
        <v/>
      </c>
      <c r="AJ320" s="824" t="str">
        <f t="shared" si="48"/>
        <v/>
      </c>
      <c r="AK320" s="531" t="str">
        <f t="shared" si="49"/>
        <v/>
      </c>
      <c r="AL320" s="714" t="str">
        <f t="shared" si="50"/>
        <v/>
      </c>
      <c r="AM320" s="531" t="str">
        <f t="shared" si="51"/>
        <v/>
      </c>
      <c r="AN320" s="716" t="str">
        <f t="shared" si="52"/>
        <v/>
      </c>
    </row>
    <row r="321" spans="6:40" x14ac:dyDescent="0.2">
      <c r="F321" s="1" t="str">
        <f t="shared" si="45"/>
        <v/>
      </c>
      <c r="G321" s="713" t="str">
        <f t="shared" si="53"/>
        <v/>
      </c>
      <c r="H321" s="17" t="str">
        <f>IFERROR(VLOOKUP($G321,Table1[[Property]:[Exposure %]],4,0),"")</f>
        <v/>
      </c>
      <c r="I321" s="3" t="str">
        <f>IFERROR(VLOOKUP($G321,Table1[[Property]:[Exposure %]],6,0),"")</f>
        <v/>
      </c>
      <c r="J321" s="3" t="str">
        <f>IFERROR(VLOOKUP($G321,Table1[[Property]:[Exposure %]],7,0),"")</f>
        <v/>
      </c>
      <c r="K321"/>
      <c r="L321"/>
      <c r="M321"/>
      <c r="N321"/>
      <c r="O321"/>
      <c r="P321"/>
      <c r="Q321"/>
      <c r="R321" s="4" t="str">
        <f>IFERROR(VLOOKUP(IF(F321="Total",F320,F321),Table1[[Property]:['# Units]],7,0)*S321,"")</f>
        <v/>
      </c>
      <c r="S321" s="27" t="str">
        <f t="shared" si="46"/>
        <v/>
      </c>
      <c r="T321" s="531" t="str">
        <f>IFERROR(
 IF($F321="Total",
   SUMPRODUCT(
   INDEX(T:T, ROW()-COUNTIF($F$6:INDEX($F:$F, ROW()-1), $F320)) : INDEX(T:T, ROW()-1),
   INDEX(W:W, ROW()-COUNTIF($F$6:INDEX($F:$F, ROW()-1), $F320)) : INDEX(W:W, ROW()-1)
   )
   /SUM(INDEX(W:W, ROW()-COUNTIF($F$6:INDEX($F:$F, ROW()-1), $F320)) : INDEX(W:W, ROW()-1)),
   AVERAGEIFS(
     INDEX((unit_details[Asking Rent],unit_details[Asking PSF]),0,1,IF($U$3="Chunk Rent",1,2)),
     unit_details[Leased Date],"&gt;="&amp;($AM$2-T$5),
     unit_details[Leased Date],"&lt;"&amp;$AM$2,
     unit_details[Beds],$L321,
     unit_details[Baths],$M321,
     unit_details[Partial Baths],IF(ISNUMBER($N321),$N321,""),
     unit_details[Sqft],$P321,
     unit_details[Property Name],$F321)
 ),"")</f>
        <v/>
      </c>
      <c r="U321" s="552" t="str">
        <f>IFERROR(
 IF($F321="Total",
   SUMPRODUCT(
   INDEX(U:U, ROW()-COUNTIF($F$6:INDEX($F:$F, ROW()-1), $F320)) : INDEX(U:U, ROW()-1),
   INDEX(W:W, ROW()-COUNTIF($F$6:INDEX($F:$F, ROW()-1), $F320)) : INDEX(W:W, ROW()-1)
   )
   /SUM(INDEX(W:W, ROW()-COUNTIF($F$6:INDEX($F:$F, ROW()-1), $F320)) : INDEX(W:W, ROW()-1)),
   AVERAGEIFS(
     INDEX((unit_details[Effective Rent],unit_details[Effective PSF]),0,1,IF($U$3="Chunk Rent",1,2)),
     unit_details[Leased Date],"&gt;="&amp;($AM$2-T$5),
     unit_details[Leased Date],"&lt;"&amp;$AM$2,
     unit_details[Beds],$L321,
     unit_details[Baths],$M321,
     unit_details[Partial Baths],IF(ISNUMBER($N321),$N321,""),
     unit_details[Sqft],$P321,
     unit_details[Property Name],$F321)
 ),"")</f>
        <v/>
      </c>
      <c r="V321" s="27" t="str">
        <f t="shared" si="54"/>
        <v/>
      </c>
      <c r="W321" s="526">
        <f>IFERROR(
  IF($F321="Total",
    SUM(INDEX(W:W, ROW()-COUNTIF($F$6:INDEX($F:$F, ROW()-1), $F320)) : INDEX(W:W, ROW()-1)),
    COUNTIFS(
      unit_details[Leased Date], "&gt;="&amp;($AM$2-T$5),
      unit_details[Leased Date], "&lt;"&amp;$AM$2,
      unit_details[Beds], $L321,
      unit_details[Baths], $M321,
      unit_details[Partial Baths], IF(ISNUMBER($N321), $N321, ""),
      unit_details[Sqft],$P321,
      unit_details[Property Name], $F321
    )
  ),
"")</f>
        <v>0</v>
      </c>
      <c r="X321" s="531" t="str">
        <f>IFERROR(
 IF($F321="Total",
   SUMPRODUCT(
   INDEX(X:X, ROW()-COUNTIF($F$6:INDEX($F:$F, ROW()-1), $F320)) : INDEX(X:X, ROW()-1),
   INDEX(AA:AA, ROW()-COUNTIF($F$6:INDEX($F:$F, ROW()-1), $F320)) : INDEX(AA:AA, ROW()-1)
   )
   /SUM(INDEX(AA:AA, ROW()-COUNTIF($F$6:INDEX($F:$F, ROW()-1), $F320)) : INDEX(AA:AA, ROW()-1)),
   AVERAGEIFS(
     INDEX((unit_details[Asking Rent],unit_details[Asking PSF]),0,1,IF($U$3="Chunk Rent",1,2)),
     unit_details[Leased Date],"&gt;="&amp;($AM$2-X$5),
     unit_details[Leased Date],"&lt;"&amp;$AM$2,
     unit_details[Beds],$L321,
     unit_details[Baths],$M321,
     unit_details[Partial Baths],IF(ISNUMBER($N321),$N321,""),
     unit_details[Sqft],$P321,
     unit_details[Property Name],$F321)
 ),"")</f>
        <v/>
      </c>
      <c r="Y321" s="552" t="str">
        <f>IFERROR(
 IF($F321="Total",
   SUMPRODUCT(
   INDEX(Y:Y, ROW()-COUNTIF($F$6:INDEX($F:$F, ROW()-1), $F320)) : INDEX(Y:Y, ROW()-1),
   INDEX(AA:AA, ROW()-COUNTIF($F$6:INDEX($F:$F, ROW()-1), $F320)) : INDEX(AA:AA, ROW()-1)
   )
   /SUM(INDEX(AA:AA, ROW()-COUNTIF($F$6:INDEX($F:$F, ROW()-1), $F320)) : INDEX(AA:AA, ROW()-1)),
   AVERAGEIFS(
     INDEX((unit_details[Effective Rent],unit_details[Effective PSF]),0,1,IF($U$3="Chunk Rent",1,2)),
     unit_details[Leased Date],"&gt;="&amp;($AM$2-X$5),
     unit_details[Leased Date],"&lt;"&amp;$AM$2,
     unit_details[Beds],$L321,
     unit_details[Baths],$M321,
     unit_details[Partial Baths],IF(ISNUMBER($N321),$N321,""),
     unit_details[Sqft],$P321,
     unit_details[Property Name],$F321)
 ),"")</f>
        <v/>
      </c>
      <c r="Z321" s="27" t="str">
        <f t="shared" si="55"/>
        <v/>
      </c>
      <c r="AA321" s="526">
        <f>IFERROR(
  IF($F321="Total",
    SUM(INDEX(AA:AA, ROW()-COUNTIF($F$6:INDEX($F:$F, ROW()-1), $F320)) : INDEX(AA:AA, ROW()-1)),
    COUNTIFS(
      unit_details[Leased Date], "&gt;="&amp;($AM$2-X$5),
      unit_details[Leased Date], "&lt;"&amp;$AM$2,
      unit_details[Beds], $L321,
      unit_details[Baths], $M321,
      unit_details[Partial Baths], IF(ISNUMBER($N321), $N321, ""),
      unit_details[Sqft],$P321,
      unit_details[Property Name], $F321
    )
  ),
"")</f>
        <v>0</v>
      </c>
      <c r="AB321" s="290">
        <f>IF($F321="Total",
SUM(INDEX(AB:AB, ROW()-COUNTIF($F$6:INDEX($F:$F, ROW()-1), $F320)) : INDEX(AB:AB, ROW()-1)),
COUNTIFS(unit_details[Active Listing?],TRUE,
          unit_details[Property Name], $F321,
          unit_details[Beds], $L321,
          unit_details[Baths], $M321,
          unit_details[Partial Baths],IF(ISNUMBER($N321),$N321,""),
          unit_details[Sqft],$P321))</f>
        <v>0</v>
      </c>
      <c r="AC321" s="27" t="str">
        <f t="shared" si="47"/>
        <v/>
      </c>
      <c r="AD321" s="293" t="str">
        <f>IFERROR(IF(AE321="","",IF($F321="Total",
SUMPRODUCT(
   INDEX(AD:AD, ROW()-COUNTIF($F$6:INDEX($F:$F, ROW()-1), $F320)) : INDEX(AD:AD, ROW()-1),
   INDEX(AB:AB, ROW()-COUNTIF($F$6:INDEX($F:$F, ROW()-1), $F320)) : INDEX(AB:AB, ROW()-1)
   )
   /SUM(INDEX(AB:AB, ROW()-COUNTIF($F$6:INDEX($F:$F, ROW()-1), $F320)) : INDEX(AB:AB, ROW()-1)),
          _xlfn.MINIFS(unit_details[Asking Rent],
          unit_details[Active Listing?],TRUE,
          unit_details[Property Name], $F321,
          unit_details[Beds], $L321,
          unit_details[Baths], $M321,
          unit_details[Partial Baths], IF(ISNUMBER($N321),$N321,""),
          unit_details[Sqft],$P321
))),"")</f>
        <v/>
      </c>
      <c r="AE321" s="5" t="str">
        <f>IFERROR(IF($F321="Total",
          SUMPRODUCT(
   INDEX(AE:AE, ROW()-COUNTIF($F$6:INDEX($F:$F, ROW()-1), $F320)) : INDEX(AE:AE, ROW()-1),
   INDEX(AB:AB, ROW()-COUNTIF($F$6:INDEX($F:$F, ROW()-1), $F320)) : INDEX(AB:AB, ROW()-1)
   )
   /SUM(INDEX(AB:AB, ROW()-COUNTIF($F$6:INDEX($F:$F, ROW()-1), $F320)) : INDEX(AB:AB, ROW()-1)),
          AVERAGEIFS(unit_details[Asking Rent],
          unit_details[Active Listing?],TRUE,
          unit_details[Property Name], $F321,
          unit_details[Beds], $L321,
          unit_details[Baths], $M321,
          unit_details[Partial Baths], IF(ISNUMBER($N321),$N321,""),
          unit_details[Sqft],$P321
)),"")</f>
        <v/>
      </c>
      <c r="AF321" s="5" t="str">
        <f>IFERROR(IF(AE321="","",IF($F321="Total",
SUMPRODUCT(
   INDEX(AF:AF, ROW()-COUNTIF($F$6:INDEX($F:$F, ROW()-1), $F320)) : INDEX(AF:AF, ROW()-1),
   INDEX(AB:AB, ROW()-COUNTIF($F$6:INDEX($F:$F, ROW()-1), $F320)) : INDEX(AB:AB, ROW()-1)
   )
   /SUM(INDEX(AB:AB, ROW()-COUNTIF($F$6:INDEX($F:$F, ROW()-1), $F320)) : INDEX(AB:AB, ROW()-1)),
           _xlfn.MAXIFS(unit_details[Asking Rent],
          unit_details[Active Listing?],TRUE,
          unit_details[Property Name], $F321,
          unit_details[Beds], $L321,
          unit_details[Baths], $M321,
          unit_details[Partial Baths], IF(ISNUMBER($N321),$N321,""),
          unit_details[Sqft],$P321
))),"")</f>
        <v/>
      </c>
      <c r="AG321" s="6" t="str">
        <f>IFERROR(IF($F321="Total",
         SUMPRODUCT(
         INDEX(AG:AG, ROW()-COUNTIF($F$6:INDEX($F:$F, ROW()-1), $F320)) : INDEX(AG:AG, ROW()-1),
         INDEX(AB:AB, ROW()-COUNTIF($F$6:INDEX($F:$F, ROW()-1), $F320)) : INDEX(AB:AB, ROW()-1)
         )
         /SUM(INDEX(AB:AB, ROW()-COUNTIF($F$6:INDEX($F:$F, ROW()-1), $F320)) : INDEX(AB:AB, ROW()-1)),
          AVERAGEIFS(unit_details[Asking PSF],
          unit_details[Active Listing?],TRUE,
          unit_details[Property Name], $F321,
          unit_details[Beds], $L321,
          unit_details[Baths], $M321,
          unit_details[Partial Baths], IF(ISNUMBER($N321),$N321,""),
          unit_details[Sqft],$P321
)),"")</f>
        <v/>
      </c>
      <c r="AH321" s="293" t="str">
        <f>IFERROR(IF($F321="Total",
         SUMPRODUCT(
         INDEX(AH:AH, ROW()-COUNTIF($F$6:INDEX($F:$F, ROW()-1), $F320)) : INDEX(AH:AH, ROW()-1),
         INDEX(AB:AB, ROW()-COUNTIF($F$6:INDEX($F:$F, ROW()-1), $F320)) : INDEX(AB:AB, ROW()-1)
         )
         /SUM(INDEX(AB:AB, ROW()-COUNTIF($F$6:INDEX($F:$F, ROW()-1), $F320)) : INDEX(AB:AB, ROW()-1)),
          AVERAGEIFS(unit_details[Effective Rent],
          unit_details[Active Listing?],TRUE,
          unit_details[Property Name], $F321,
          unit_details[Beds], $L321,
          unit_details[Baths], $M321,
          unit_details[Partial Baths], IF(ISNUMBER($N321),$N321,""),
          unit_details[Sqft],$P321
)),"")</f>
        <v/>
      </c>
      <c r="AI321" s="6" t="str">
        <f>IFERROR(IF($F321="Total",
         SUMPRODUCT(
         INDEX(AI:AI, ROW()-COUNTIF($F$6:INDEX($F:$F, ROW()-1), $F320)) : INDEX(AI:AI, ROW()-1),
         INDEX(AB:AB, ROW()-COUNTIF($F$6:INDEX($F:$F, ROW()-1), $F320)) : INDEX(AB:AB, ROW()-1)
         )
         /SUM(INDEX(AB:AB, ROW()-COUNTIF($F$6:INDEX($F:$F, ROW()-1), $F320)) : INDEX(AB:AB, ROW()-1)),
           AVERAGEIFS(unit_details[Effective PSF],
          unit_details[Active Listing?],TRUE,
          unit_details[Property Name], $F321,
          unit_details[Beds], $L321,
          unit_details[Baths], $M321,
          unit_details[Partial Baths], IF(ISNUMBER($N321),$N321,""),
          unit_details[Sqft],$P321
)),"")</f>
        <v/>
      </c>
      <c r="AJ321" s="824" t="str">
        <f t="shared" si="48"/>
        <v/>
      </c>
      <c r="AK321" s="531" t="str">
        <f t="shared" si="49"/>
        <v/>
      </c>
      <c r="AL321" s="714" t="str">
        <f t="shared" si="50"/>
        <v/>
      </c>
      <c r="AM321" s="531" t="str">
        <f t="shared" si="51"/>
        <v/>
      </c>
      <c r="AN321" s="716" t="str">
        <f t="shared" si="52"/>
        <v/>
      </c>
    </row>
    <row r="322" spans="6:40" x14ac:dyDescent="0.2">
      <c r="F322" s="1" t="str">
        <f t="shared" si="45"/>
        <v/>
      </c>
      <c r="G322" s="713" t="str">
        <f t="shared" si="53"/>
        <v/>
      </c>
      <c r="H322" s="17" t="str">
        <f>IFERROR(VLOOKUP($G322,Table1[[Property]:[Exposure %]],4,0),"")</f>
        <v/>
      </c>
      <c r="I322" s="3" t="str">
        <f>IFERROR(VLOOKUP($G322,Table1[[Property]:[Exposure %]],6,0),"")</f>
        <v/>
      </c>
      <c r="J322" s="3" t="str">
        <f>IFERROR(VLOOKUP($G322,Table1[[Property]:[Exposure %]],7,0),"")</f>
        <v/>
      </c>
      <c r="K322"/>
      <c r="L322"/>
      <c r="M322"/>
      <c r="N322"/>
      <c r="O322"/>
      <c r="P322"/>
      <c r="Q322"/>
      <c r="R322" s="4" t="str">
        <f>IFERROR(VLOOKUP(IF(F322="Total",F321,F322),Table1[[Property]:['# Units]],7,0)*S322,"")</f>
        <v/>
      </c>
      <c r="S322" s="27" t="str">
        <f t="shared" si="46"/>
        <v/>
      </c>
      <c r="T322" s="531" t="str">
        <f>IFERROR(
 IF($F322="Total",
   SUMPRODUCT(
   INDEX(T:T, ROW()-COUNTIF($F$6:INDEX($F:$F, ROW()-1), $F321)) : INDEX(T:T, ROW()-1),
   INDEX(W:W, ROW()-COUNTIF($F$6:INDEX($F:$F, ROW()-1), $F321)) : INDEX(W:W, ROW()-1)
   )
   /SUM(INDEX(W:W, ROW()-COUNTIF($F$6:INDEX($F:$F, ROW()-1), $F321)) : INDEX(W:W, ROW()-1)),
   AVERAGEIFS(
     INDEX((unit_details[Asking Rent],unit_details[Asking PSF]),0,1,IF($U$3="Chunk Rent",1,2)),
     unit_details[Leased Date],"&gt;="&amp;($AM$2-T$5),
     unit_details[Leased Date],"&lt;"&amp;$AM$2,
     unit_details[Beds],$L322,
     unit_details[Baths],$M322,
     unit_details[Partial Baths],IF(ISNUMBER($N322),$N322,""),
     unit_details[Sqft],$P322,
     unit_details[Property Name],$F322)
 ),"")</f>
        <v/>
      </c>
      <c r="U322" s="552" t="str">
        <f>IFERROR(
 IF($F322="Total",
   SUMPRODUCT(
   INDEX(U:U, ROW()-COUNTIF($F$6:INDEX($F:$F, ROW()-1), $F321)) : INDEX(U:U, ROW()-1),
   INDEX(W:W, ROW()-COUNTIF($F$6:INDEX($F:$F, ROW()-1), $F321)) : INDEX(W:W, ROW()-1)
   )
   /SUM(INDEX(W:W, ROW()-COUNTIF($F$6:INDEX($F:$F, ROW()-1), $F321)) : INDEX(W:W, ROW()-1)),
   AVERAGEIFS(
     INDEX((unit_details[Effective Rent],unit_details[Effective PSF]),0,1,IF($U$3="Chunk Rent",1,2)),
     unit_details[Leased Date],"&gt;="&amp;($AM$2-T$5),
     unit_details[Leased Date],"&lt;"&amp;$AM$2,
     unit_details[Beds],$L322,
     unit_details[Baths],$M322,
     unit_details[Partial Baths],IF(ISNUMBER($N322),$N322,""),
     unit_details[Sqft],$P322,
     unit_details[Property Name],$F322)
 ),"")</f>
        <v/>
      </c>
      <c r="V322" s="27" t="str">
        <f t="shared" si="54"/>
        <v/>
      </c>
      <c r="W322" s="526">
        <f>IFERROR(
  IF($F322="Total",
    SUM(INDEX(W:W, ROW()-COUNTIF($F$6:INDEX($F:$F, ROW()-1), $F321)) : INDEX(W:W, ROW()-1)),
    COUNTIFS(
      unit_details[Leased Date], "&gt;="&amp;($AM$2-T$5),
      unit_details[Leased Date], "&lt;"&amp;$AM$2,
      unit_details[Beds], $L322,
      unit_details[Baths], $M322,
      unit_details[Partial Baths], IF(ISNUMBER($N322), $N322, ""),
      unit_details[Sqft],$P322,
      unit_details[Property Name], $F322
    )
  ),
"")</f>
        <v>0</v>
      </c>
      <c r="X322" s="531" t="str">
        <f>IFERROR(
 IF($F322="Total",
   SUMPRODUCT(
   INDEX(X:X, ROW()-COUNTIF($F$6:INDEX($F:$F, ROW()-1), $F321)) : INDEX(X:X, ROW()-1),
   INDEX(AA:AA, ROW()-COUNTIF($F$6:INDEX($F:$F, ROW()-1), $F321)) : INDEX(AA:AA, ROW()-1)
   )
   /SUM(INDEX(AA:AA, ROW()-COUNTIF($F$6:INDEX($F:$F, ROW()-1), $F321)) : INDEX(AA:AA, ROW()-1)),
   AVERAGEIFS(
     INDEX((unit_details[Asking Rent],unit_details[Asking PSF]),0,1,IF($U$3="Chunk Rent",1,2)),
     unit_details[Leased Date],"&gt;="&amp;($AM$2-X$5),
     unit_details[Leased Date],"&lt;"&amp;$AM$2,
     unit_details[Beds],$L322,
     unit_details[Baths],$M322,
     unit_details[Partial Baths],IF(ISNUMBER($N322),$N322,""),
     unit_details[Sqft],$P322,
     unit_details[Property Name],$F322)
 ),"")</f>
        <v/>
      </c>
      <c r="Y322" s="552" t="str">
        <f>IFERROR(
 IF($F322="Total",
   SUMPRODUCT(
   INDEX(Y:Y, ROW()-COUNTIF($F$6:INDEX($F:$F, ROW()-1), $F321)) : INDEX(Y:Y, ROW()-1),
   INDEX(AA:AA, ROW()-COUNTIF($F$6:INDEX($F:$F, ROW()-1), $F321)) : INDEX(AA:AA, ROW()-1)
   )
   /SUM(INDEX(AA:AA, ROW()-COUNTIF($F$6:INDEX($F:$F, ROW()-1), $F321)) : INDEX(AA:AA, ROW()-1)),
   AVERAGEIFS(
     INDEX((unit_details[Effective Rent],unit_details[Effective PSF]),0,1,IF($U$3="Chunk Rent",1,2)),
     unit_details[Leased Date],"&gt;="&amp;($AM$2-X$5),
     unit_details[Leased Date],"&lt;"&amp;$AM$2,
     unit_details[Beds],$L322,
     unit_details[Baths],$M322,
     unit_details[Partial Baths],IF(ISNUMBER($N322),$N322,""),
     unit_details[Sqft],$P322,
     unit_details[Property Name],$F322)
 ),"")</f>
        <v/>
      </c>
      <c r="Z322" s="27" t="str">
        <f t="shared" si="55"/>
        <v/>
      </c>
      <c r="AA322" s="526">
        <f>IFERROR(
  IF($F322="Total",
    SUM(INDEX(AA:AA, ROW()-COUNTIF($F$6:INDEX($F:$F, ROW()-1), $F321)) : INDEX(AA:AA, ROW()-1)),
    COUNTIFS(
      unit_details[Leased Date], "&gt;="&amp;($AM$2-X$5),
      unit_details[Leased Date], "&lt;"&amp;$AM$2,
      unit_details[Beds], $L322,
      unit_details[Baths], $M322,
      unit_details[Partial Baths], IF(ISNUMBER($N322), $N322, ""),
      unit_details[Sqft],$P322,
      unit_details[Property Name], $F322
    )
  ),
"")</f>
        <v>0</v>
      </c>
      <c r="AB322" s="290">
        <f>IF($F322="Total",
SUM(INDEX(AB:AB, ROW()-COUNTIF($F$6:INDEX($F:$F, ROW()-1), $F321)) : INDEX(AB:AB, ROW()-1)),
COUNTIFS(unit_details[Active Listing?],TRUE,
          unit_details[Property Name], $F322,
          unit_details[Beds], $L322,
          unit_details[Baths], $M322,
          unit_details[Partial Baths],IF(ISNUMBER($N322),$N322,""),
          unit_details[Sqft],$P322))</f>
        <v>0</v>
      </c>
      <c r="AC322" s="27" t="str">
        <f t="shared" si="47"/>
        <v/>
      </c>
      <c r="AD322" s="293" t="str">
        <f>IFERROR(IF(AE322="","",IF($F322="Total",
SUMPRODUCT(
   INDEX(AD:AD, ROW()-COUNTIF($F$6:INDEX($F:$F, ROW()-1), $F321)) : INDEX(AD:AD, ROW()-1),
   INDEX(AB:AB, ROW()-COUNTIF($F$6:INDEX($F:$F, ROW()-1), $F321)) : INDEX(AB:AB, ROW()-1)
   )
   /SUM(INDEX(AB:AB, ROW()-COUNTIF($F$6:INDEX($F:$F, ROW()-1), $F321)) : INDEX(AB:AB, ROW()-1)),
          _xlfn.MINIFS(unit_details[Asking Rent],
          unit_details[Active Listing?],TRUE,
          unit_details[Property Name], $F322,
          unit_details[Beds], $L322,
          unit_details[Baths], $M322,
          unit_details[Partial Baths], IF(ISNUMBER($N322),$N322,""),
          unit_details[Sqft],$P322
))),"")</f>
        <v/>
      </c>
      <c r="AE322" s="5" t="str">
        <f>IFERROR(IF($F322="Total",
          SUMPRODUCT(
   INDEX(AE:AE, ROW()-COUNTIF($F$6:INDEX($F:$F, ROW()-1), $F321)) : INDEX(AE:AE, ROW()-1),
   INDEX(AB:AB, ROW()-COUNTIF($F$6:INDEX($F:$F, ROW()-1), $F321)) : INDEX(AB:AB, ROW()-1)
   )
   /SUM(INDEX(AB:AB, ROW()-COUNTIF($F$6:INDEX($F:$F, ROW()-1), $F321)) : INDEX(AB:AB, ROW()-1)),
          AVERAGEIFS(unit_details[Asking Rent],
          unit_details[Active Listing?],TRUE,
          unit_details[Property Name], $F322,
          unit_details[Beds], $L322,
          unit_details[Baths], $M322,
          unit_details[Partial Baths], IF(ISNUMBER($N322),$N322,""),
          unit_details[Sqft],$P322
)),"")</f>
        <v/>
      </c>
      <c r="AF322" s="5" t="str">
        <f>IFERROR(IF(AE322="","",IF($F322="Total",
SUMPRODUCT(
   INDEX(AF:AF, ROW()-COUNTIF($F$6:INDEX($F:$F, ROW()-1), $F321)) : INDEX(AF:AF, ROW()-1),
   INDEX(AB:AB, ROW()-COUNTIF($F$6:INDEX($F:$F, ROW()-1), $F321)) : INDEX(AB:AB, ROW()-1)
   )
   /SUM(INDEX(AB:AB, ROW()-COUNTIF($F$6:INDEX($F:$F, ROW()-1), $F321)) : INDEX(AB:AB, ROW()-1)),
           _xlfn.MAXIFS(unit_details[Asking Rent],
          unit_details[Active Listing?],TRUE,
          unit_details[Property Name], $F322,
          unit_details[Beds], $L322,
          unit_details[Baths], $M322,
          unit_details[Partial Baths], IF(ISNUMBER($N322),$N322,""),
          unit_details[Sqft],$P322
))),"")</f>
        <v/>
      </c>
      <c r="AG322" s="6" t="str">
        <f>IFERROR(IF($F322="Total",
         SUMPRODUCT(
         INDEX(AG:AG, ROW()-COUNTIF($F$6:INDEX($F:$F, ROW()-1), $F321)) : INDEX(AG:AG, ROW()-1),
         INDEX(AB:AB, ROW()-COUNTIF($F$6:INDEX($F:$F, ROW()-1), $F321)) : INDEX(AB:AB, ROW()-1)
         )
         /SUM(INDEX(AB:AB, ROW()-COUNTIF($F$6:INDEX($F:$F, ROW()-1), $F321)) : INDEX(AB:AB, ROW()-1)),
          AVERAGEIFS(unit_details[Asking PSF],
          unit_details[Active Listing?],TRUE,
          unit_details[Property Name], $F322,
          unit_details[Beds], $L322,
          unit_details[Baths], $M322,
          unit_details[Partial Baths], IF(ISNUMBER($N322),$N322,""),
          unit_details[Sqft],$P322
)),"")</f>
        <v/>
      </c>
      <c r="AH322" s="293" t="str">
        <f>IFERROR(IF($F322="Total",
         SUMPRODUCT(
         INDEX(AH:AH, ROW()-COUNTIF($F$6:INDEX($F:$F, ROW()-1), $F321)) : INDEX(AH:AH, ROW()-1),
         INDEX(AB:AB, ROW()-COUNTIF($F$6:INDEX($F:$F, ROW()-1), $F321)) : INDEX(AB:AB, ROW()-1)
         )
         /SUM(INDEX(AB:AB, ROW()-COUNTIF($F$6:INDEX($F:$F, ROW()-1), $F321)) : INDEX(AB:AB, ROW()-1)),
          AVERAGEIFS(unit_details[Effective Rent],
          unit_details[Active Listing?],TRUE,
          unit_details[Property Name], $F322,
          unit_details[Beds], $L322,
          unit_details[Baths], $M322,
          unit_details[Partial Baths], IF(ISNUMBER($N322),$N322,""),
          unit_details[Sqft],$P322
)),"")</f>
        <v/>
      </c>
      <c r="AI322" s="6" t="str">
        <f>IFERROR(IF($F322="Total",
         SUMPRODUCT(
         INDEX(AI:AI, ROW()-COUNTIF($F$6:INDEX($F:$F, ROW()-1), $F321)) : INDEX(AI:AI, ROW()-1),
         INDEX(AB:AB, ROW()-COUNTIF($F$6:INDEX($F:$F, ROW()-1), $F321)) : INDEX(AB:AB, ROW()-1)
         )
         /SUM(INDEX(AB:AB, ROW()-COUNTIF($F$6:INDEX($F:$F, ROW()-1), $F321)) : INDEX(AB:AB, ROW()-1)),
           AVERAGEIFS(unit_details[Effective PSF],
          unit_details[Active Listing?],TRUE,
          unit_details[Property Name], $F322,
          unit_details[Beds], $L322,
          unit_details[Baths], $M322,
          unit_details[Partial Baths], IF(ISNUMBER($N322),$N322,""),
          unit_details[Sqft],$P322
)),"")</f>
        <v/>
      </c>
      <c r="AJ322" s="824" t="str">
        <f t="shared" si="48"/>
        <v/>
      </c>
      <c r="AK322" s="531" t="str">
        <f t="shared" si="49"/>
        <v/>
      </c>
      <c r="AL322" s="714" t="str">
        <f t="shared" si="50"/>
        <v/>
      </c>
      <c r="AM322" s="531" t="str">
        <f t="shared" si="51"/>
        <v/>
      </c>
      <c r="AN322" s="716" t="str">
        <f t="shared" si="52"/>
        <v/>
      </c>
    </row>
    <row r="323" spans="6:40" x14ac:dyDescent="0.2">
      <c r="F323" s="1" t="str">
        <f t="shared" si="45"/>
        <v/>
      </c>
      <c r="G323" s="713" t="str">
        <f t="shared" si="53"/>
        <v/>
      </c>
      <c r="H323" s="17" t="str">
        <f>IFERROR(VLOOKUP($G323,Table1[[Property]:[Exposure %]],4,0),"")</f>
        <v/>
      </c>
      <c r="I323" s="3" t="str">
        <f>IFERROR(VLOOKUP($G323,Table1[[Property]:[Exposure %]],6,0),"")</f>
        <v/>
      </c>
      <c r="J323" s="3" t="str">
        <f>IFERROR(VLOOKUP($G323,Table1[[Property]:[Exposure %]],7,0),"")</f>
        <v/>
      </c>
      <c r="K323"/>
      <c r="L323"/>
      <c r="M323"/>
      <c r="N323"/>
      <c r="O323"/>
      <c r="P323"/>
      <c r="Q323"/>
      <c r="R323" s="4" t="str">
        <f>IFERROR(VLOOKUP(IF(F323="Total",F322,F323),Table1[[Property]:['# Units]],7,0)*S323,"")</f>
        <v/>
      </c>
      <c r="S323" s="27" t="str">
        <f t="shared" si="46"/>
        <v/>
      </c>
      <c r="T323" s="531" t="str">
        <f>IFERROR(
 IF($F323="Total",
   SUMPRODUCT(
   INDEX(T:T, ROW()-COUNTIF($F$6:INDEX($F:$F, ROW()-1), $F322)) : INDEX(T:T, ROW()-1),
   INDEX(W:W, ROW()-COUNTIF($F$6:INDEX($F:$F, ROW()-1), $F322)) : INDEX(W:W, ROW()-1)
   )
   /SUM(INDEX(W:W, ROW()-COUNTIF($F$6:INDEX($F:$F, ROW()-1), $F322)) : INDEX(W:W, ROW()-1)),
   AVERAGEIFS(
     INDEX((unit_details[Asking Rent],unit_details[Asking PSF]),0,1,IF($U$3="Chunk Rent",1,2)),
     unit_details[Leased Date],"&gt;="&amp;($AM$2-T$5),
     unit_details[Leased Date],"&lt;"&amp;$AM$2,
     unit_details[Beds],$L323,
     unit_details[Baths],$M323,
     unit_details[Partial Baths],IF(ISNUMBER($N323),$N323,""),
     unit_details[Sqft],$P323,
     unit_details[Property Name],$F323)
 ),"")</f>
        <v/>
      </c>
      <c r="U323" s="552" t="str">
        <f>IFERROR(
 IF($F323="Total",
   SUMPRODUCT(
   INDEX(U:U, ROW()-COUNTIF($F$6:INDEX($F:$F, ROW()-1), $F322)) : INDEX(U:U, ROW()-1),
   INDEX(W:W, ROW()-COUNTIF($F$6:INDEX($F:$F, ROW()-1), $F322)) : INDEX(W:W, ROW()-1)
   )
   /SUM(INDEX(W:W, ROW()-COUNTIF($F$6:INDEX($F:$F, ROW()-1), $F322)) : INDEX(W:W, ROW()-1)),
   AVERAGEIFS(
     INDEX((unit_details[Effective Rent],unit_details[Effective PSF]),0,1,IF($U$3="Chunk Rent",1,2)),
     unit_details[Leased Date],"&gt;="&amp;($AM$2-T$5),
     unit_details[Leased Date],"&lt;"&amp;$AM$2,
     unit_details[Beds],$L323,
     unit_details[Baths],$M323,
     unit_details[Partial Baths],IF(ISNUMBER($N323),$N323,""),
     unit_details[Sqft],$P323,
     unit_details[Property Name],$F323)
 ),"")</f>
        <v/>
      </c>
      <c r="V323" s="27" t="str">
        <f t="shared" si="54"/>
        <v/>
      </c>
      <c r="W323" s="526">
        <f>IFERROR(
  IF($F323="Total",
    SUM(INDEX(W:W, ROW()-COUNTIF($F$6:INDEX($F:$F, ROW()-1), $F322)) : INDEX(W:W, ROW()-1)),
    COUNTIFS(
      unit_details[Leased Date], "&gt;="&amp;($AM$2-T$5),
      unit_details[Leased Date], "&lt;"&amp;$AM$2,
      unit_details[Beds], $L323,
      unit_details[Baths], $M323,
      unit_details[Partial Baths], IF(ISNUMBER($N323), $N323, ""),
      unit_details[Sqft],$P323,
      unit_details[Property Name], $F323
    )
  ),
"")</f>
        <v>0</v>
      </c>
      <c r="X323" s="531" t="str">
        <f>IFERROR(
 IF($F323="Total",
   SUMPRODUCT(
   INDEX(X:X, ROW()-COUNTIF($F$6:INDEX($F:$F, ROW()-1), $F322)) : INDEX(X:X, ROW()-1),
   INDEX(AA:AA, ROW()-COUNTIF($F$6:INDEX($F:$F, ROW()-1), $F322)) : INDEX(AA:AA, ROW()-1)
   )
   /SUM(INDEX(AA:AA, ROW()-COUNTIF($F$6:INDEX($F:$F, ROW()-1), $F322)) : INDEX(AA:AA, ROW()-1)),
   AVERAGEIFS(
     INDEX((unit_details[Asking Rent],unit_details[Asking PSF]),0,1,IF($U$3="Chunk Rent",1,2)),
     unit_details[Leased Date],"&gt;="&amp;($AM$2-X$5),
     unit_details[Leased Date],"&lt;"&amp;$AM$2,
     unit_details[Beds],$L323,
     unit_details[Baths],$M323,
     unit_details[Partial Baths],IF(ISNUMBER($N323),$N323,""),
     unit_details[Sqft],$P323,
     unit_details[Property Name],$F323)
 ),"")</f>
        <v/>
      </c>
      <c r="Y323" s="552" t="str">
        <f>IFERROR(
 IF($F323="Total",
   SUMPRODUCT(
   INDEX(Y:Y, ROW()-COUNTIF($F$6:INDEX($F:$F, ROW()-1), $F322)) : INDEX(Y:Y, ROW()-1),
   INDEX(AA:AA, ROW()-COUNTIF($F$6:INDEX($F:$F, ROW()-1), $F322)) : INDEX(AA:AA, ROW()-1)
   )
   /SUM(INDEX(AA:AA, ROW()-COUNTIF($F$6:INDEX($F:$F, ROW()-1), $F322)) : INDEX(AA:AA, ROW()-1)),
   AVERAGEIFS(
     INDEX((unit_details[Effective Rent],unit_details[Effective PSF]),0,1,IF($U$3="Chunk Rent",1,2)),
     unit_details[Leased Date],"&gt;="&amp;($AM$2-X$5),
     unit_details[Leased Date],"&lt;"&amp;$AM$2,
     unit_details[Beds],$L323,
     unit_details[Baths],$M323,
     unit_details[Partial Baths],IF(ISNUMBER($N323),$N323,""),
     unit_details[Sqft],$P323,
     unit_details[Property Name],$F323)
 ),"")</f>
        <v/>
      </c>
      <c r="Z323" s="27" t="str">
        <f t="shared" si="55"/>
        <v/>
      </c>
      <c r="AA323" s="526">
        <f>IFERROR(
  IF($F323="Total",
    SUM(INDEX(AA:AA, ROW()-COUNTIF($F$6:INDEX($F:$F, ROW()-1), $F322)) : INDEX(AA:AA, ROW()-1)),
    COUNTIFS(
      unit_details[Leased Date], "&gt;="&amp;($AM$2-X$5),
      unit_details[Leased Date], "&lt;"&amp;$AM$2,
      unit_details[Beds], $L323,
      unit_details[Baths], $M323,
      unit_details[Partial Baths], IF(ISNUMBER($N323), $N323, ""),
      unit_details[Sqft],$P323,
      unit_details[Property Name], $F323
    )
  ),
"")</f>
        <v>0</v>
      </c>
      <c r="AB323" s="290">
        <f>IF($F323="Total",
SUM(INDEX(AB:AB, ROW()-COUNTIF($F$6:INDEX($F:$F, ROW()-1), $F322)) : INDEX(AB:AB, ROW()-1)),
COUNTIFS(unit_details[Active Listing?],TRUE,
          unit_details[Property Name], $F323,
          unit_details[Beds], $L323,
          unit_details[Baths], $M323,
          unit_details[Partial Baths],IF(ISNUMBER($N323),$N323,""),
          unit_details[Sqft],$P323))</f>
        <v>0</v>
      </c>
      <c r="AC323" s="27" t="str">
        <f t="shared" si="47"/>
        <v/>
      </c>
      <c r="AD323" s="293" t="str">
        <f>IFERROR(IF(AE323="","",IF($F323="Total",
SUMPRODUCT(
   INDEX(AD:AD, ROW()-COUNTIF($F$6:INDEX($F:$F, ROW()-1), $F322)) : INDEX(AD:AD, ROW()-1),
   INDEX(AB:AB, ROW()-COUNTIF($F$6:INDEX($F:$F, ROW()-1), $F322)) : INDEX(AB:AB, ROW()-1)
   )
   /SUM(INDEX(AB:AB, ROW()-COUNTIF($F$6:INDEX($F:$F, ROW()-1), $F322)) : INDEX(AB:AB, ROW()-1)),
          _xlfn.MINIFS(unit_details[Asking Rent],
          unit_details[Active Listing?],TRUE,
          unit_details[Property Name], $F323,
          unit_details[Beds], $L323,
          unit_details[Baths], $M323,
          unit_details[Partial Baths], IF(ISNUMBER($N323),$N323,""),
          unit_details[Sqft],$P323
))),"")</f>
        <v/>
      </c>
      <c r="AE323" s="5" t="str">
        <f>IFERROR(IF($F323="Total",
          SUMPRODUCT(
   INDEX(AE:AE, ROW()-COUNTIF($F$6:INDEX($F:$F, ROW()-1), $F322)) : INDEX(AE:AE, ROW()-1),
   INDEX(AB:AB, ROW()-COUNTIF($F$6:INDEX($F:$F, ROW()-1), $F322)) : INDEX(AB:AB, ROW()-1)
   )
   /SUM(INDEX(AB:AB, ROW()-COUNTIF($F$6:INDEX($F:$F, ROW()-1), $F322)) : INDEX(AB:AB, ROW()-1)),
          AVERAGEIFS(unit_details[Asking Rent],
          unit_details[Active Listing?],TRUE,
          unit_details[Property Name], $F323,
          unit_details[Beds], $L323,
          unit_details[Baths], $M323,
          unit_details[Partial Baths], IF(ISNUMBER($N323),$N323,""),
          unit_details[Sqft],$P323
)),"")</f>
        <v/>
      </c>
      <c r="AF323" s="5" t="str">
        <f>IFERROR(IF(AE323="","",IF($F323="Total",
SUMPRODUCT(
   INDEX(AF:AF, ROW()-COUNTIF($F$6:INDEX($F:$F, ROW()-1), $F322)) : INDEX(AF:AF, ROW()-1),
   INDEX(AB:AB, ROW()-COUNTIF($F$6:INDEX($F:$F, ROW()-1), $F322)) : INDEX(AB:AB, ROW()-1)
   )
   /SUM(INDEX(AB:AB, ROW()-COUNTIF($F$6:INDEX($F:$F, ROW()-1), $F322)) : INDEX(AB:AB, ROW()-1)),
           _xlfn.MAXIFS(unit_details[Asking Rent],
          unit_details[Active Listing?],TRUE,
          unit_details[Property Name], $F323,
          unit_details[Beds], $L323,
          unit_details[Baths], $M323,
          unit_details[Partial Baths], IF(ISNUMBER($N323),$N323,""),
          unit_details[Sqft],$P323
))),"")</f>
        <v/>
      </c>
      <c r="AG323" s="6" t="str">
        <f>IFERROR(IF($F323="Total",
         SUMPRODUCT(
         INDEX(AG:AG, ROW()-COUNTIF($F$6:INDEX($F:$F, ROW()-1), $F322)) : INDEX(AG:AG, ROW()-1),
         INDEX(AB:AB, ROW()-COUNTIF($F$6:INDEX($F:$F, ROW()-1), $F322)) : INDEX(AB:AB, ROW()-1)
         )
         /SUM(INDEX(AB:AB, ROW()-COUNTIF($F$6:INDEX($F:$F, ROW()-1), $F322)) : INDEX(AB:AB, ROW()-1)),
          AVERAGEIFS(unit_details[Asking PSF],
          unit_details[Active Listing?],TRUE,
          unit_details[Property Name], $F323,
          unit_details[Beds], $L323,
          unit_details[Baths], $M323,
          unit_details[Partial Baths], IF(ISNUMBER($N323),$N323,""),
          unit_details[Sqft],$P323
)),"")</f>
        <v/>
      </c>
      <c r="AH323" s="293" t="str">
        <f>IFERROR(IF($F323="Total",
         SUMPRODUCT(
         INDEX(AH:AH, ROW()-COUNTIF($F$6:INDEX($F:$F, ROW()-1), $F322)) : INDEX(AH:AH, ROW()-1),
         INDEX(AB:AB, ROW()-COUNTIF($F$6:INDEX($F:$F, ROW()-1), $F322)) : INDEX(AB:AB, ROW()-1)
         )
         /SUM(INDEX(AB:AB, ROW()-COUNTIF($F$6:INDEX($F:$F, ROW()-1), $F322)) : INDEX(AB:AB, ROW()-1)),
          AVERAGEIFS(unit_details[Effective Rent],
          unit_details[Active Listing?],TRUE,
          unit_details[Property Name], $F323,
          unit_details[Beds], $L323,
          unit_details[Baths], $M323,
          unit_details[Partial Baths], IF(ISNUMBER($N323),$N323,""),
          unit_details[Sqft],$P323
)),"")</f>
        <v/>
      </c>
      <c r="AI323" s="6" t="str">
        <f>IFERROR(IF($F323="Total",
         SUMPRODUCT(
         INDEX(AI:AI, ROW()-COUNTIF($F$6:INDEX($F:$F, ROW()-1), $F322)) : INDEX(AI:AI, ROW()-1),
         INDEX(AB:AB, ROW()-COUNTIF($F$6:INDEX($F:$F, ROW()-1), $F322)) : INDEX(AB:AB, ROW()-1)
         )
         /SUM(INDEX(AB:AB, ROW()-COUNTIF($F$6:INDEX($F:$F, ROW()-1), $F322)) : INDEX(AB:AB, ROW()-1)),
           AVERAGEIFS(unit_details[Effective PSF],
          unit_details[Active Listing?],TRUE,
          unit_details[Property Name], $F323,
          unit_details[Beds], $L323,
          unit_details[Baths], $M323,
          unit_details[Partial Baths], IF(ISNUMBER($N323),$N323,""),
          unit_details[Sqft],$P323
)),"")</f>
        <v/>
      </c>
      <c r="AJ323" s="824" t="str">
        <f t="shared" si="48"/>
        <v/>
      </c>
      <c r="AK323" s="531" t="str">
        <f t="shared" si="49"/>
        <v/>
      </c>
      <c r="AL323" s="714" t="str">
        <f t="shared" si="50"/>
        <v/>
      </c>
      <c r="AM323" s="531" t="str">
        <f t="shared" si="51"/>
        <v/>
      </c>
      <c r="AN323" s="716" t="str">
        <f t="shared" si="52"/>
        <v/>
      </c>
    </row>
    <row r="324" spans="6:40" x14ac:dyDescent="0.2">
      <c r="F324" s="1" t="str">
        <f t="shared" si="45"/>
        <v/>
      </c>
      <c r="G324" s="713" t="str">
        <f t="shared" si="53"/>
        <v/>
      </c>
      <c r="H324" s="17" t="str">
        <f>IFERROR(VLOOKUP($G324,Table1[[Property]:[Exposure %]],4,0),"")</f>
        <v/>
      </c>
      <c r="I324" s="3" t="str">
        <f>IFERROR(VLOOKUP($G324,Table1[[Property]:[Exposure %]],6,0),"")</f>
        <v/>
      </c>
      <c r="J324" s="3" t="str">
        <f>IFERROR(VLOOKUP($G324,Table1[[Property]:[Exposure %]],7,0),"")</f>
        <v/>
      </c>
      <c r="K324"/>
      <c r="L324"/>
      <c r="M324"/>
      <c r="N324"/>
      <c r="O324"/>
      <c r="P324"/>
      <c r="Q324"/>
      <c r="R324" s="4" t="str">
        <f>IFERROR(VLOOKUP(IF(F324="Total",F323,F324),Table1[[Property]:['# Units]],7,0)*S324,"")</f>
        <v/>
      </c>
      <c r="S324" s="27" t="str">
        <f t="shared" si="46"/>
        <v/>
      </c>
      <c r="T324" s="531" t="str">
        <f>IFERROR(
 IF($F324="Total",
   SUMPRODUCT(
   INDEX(T:T, ROW()-COUNTIF($F$6:INDEX($F:$F, ROW()-1), $F323)) : INDEX(T:T, ROW()-1),
   INDEX(W:W, ROW()-COUNTIF($F$6:INDEX($F:$F, ROW()-1), $F323)) : INDEX(W:W, ROW()-1)
   )
   /SUM(INDEX(W:W, ROW()-COUNTIF($F$6:INDEX($F:$F, ROW()-1), $F323)) : INDEX(W:W, ROW()-1)),
   AVERAGEIFS(
     INDEX((unit_details[Asking Rent],unit_details[Asking PSF]),0,1,IF($U$3="Chunk Rent",1,2)),
     unit_details[Leased Date],"&gt;="&amp;($AM$2-T$5),
     unit_details[Leased Date],"&lt;"&amp;$AM$2,
     unit_details[Beds],$L324,
     unit_details[Baths],$M324,
     unit_details[Partial Baths],IF(ISNUMBER($N324),$N324,""),
     unit_details[Sqft],$P324,
     unit_details[Property Name],$F324)
 ),"")</f>
        <v/>
      </c>
      <c r="U324" s="552" t="str">
        <f>IFERROR(
 IF($F324="Total",
   SUMPRODUCT(
   INDEX(U:U, ROW()-COUNTIF($F$6:INDEX($F:$F, ROW()-1), $F323)) : INDEX(U:U, ROW()-1),
   INDEX(W:W, ROW()-COUNTIF($F$6:INDEX($F:$F, ROW()-1), $F323)) : INDEX(W:W, ROW()-1)
   )
   /SUM(INDEX(W:W, ROW()-COUNTIF($F$6:INDEX($F:$F, ROW()-1), $F323)) : INDEX(W:W, ROW()-1)),
   AVERAGEIFS(
     INDEX((unit_details[Effective Rent],unit_details[Effective PSF]),0,1,IF($U$3="Chunk Rent",1,2)),
     unit_details[Leased Date],"&gt;="&amp;($AM$2-T$5),
     unit_details[Leased Date],"&lt;"&amp;$AM$2,
     unit_details[Beds],$L324,
     unit_details[Baths],$M324,
     unit_details[Partial Baths],IF(ISNUMBER($N324),$N324,""),
     unit_details[Sqft],$P324,
     unit_details[Property Name],$F324)
 ),"")</f>
        <v/>
      </c>
      <c r="V324" s="27" t="str">
        <f t="shared" si="54"/>
        <v/>
      </c>
      <c r="W324" s="526">
        <f>IFERROR(
  IF($F324="Total",
    SUM(INDEX(W:W, ROW()-COUNTIF($F$6:INDEX($F:$F, ROW()-1), $F323)) : INDEX(W:W, ROW()-1)),
    COUNTIFS(
      unit_details[Leased Date], "&gt;="&amp;($AM$2-T$5),
      unit_details[Leased Date], "&lt;"&amp;$AM$2,
      unit_details[Beds], $L324,
      unit_details[Baths], $M324,
      unit_details[Partial Baths], IF(ISNUMBER($N324), $N324, ""),
      unit_details[Sqft],$P324,
      unit_details[Property Name], $F324
    )
  ),
"")</f>
        <v>0</v>
      </c>
      <c r="X324" s="531" t="str">
        <f>IFERROR(
 IF($F324="Total",
   SUMPRODUCT(
   INDEX(X:X, ROW()-COUNTIF($F$6:INDEX($F:$F, ROW()-1), $F323)) : INDEX(X:X, ROW()-1),
   INDEX(AA:AA, ROW()-COUNTIF($F$6:INDEX($F:$F, ROW()-1), $F323)) : INDEX(AA:AA, ROW()-1)
   )
   /SUM(INDEX(AA:AA, ROW()-COUNTIF($F$6:INDEX($F:$F, ROW()-1), $F323)) : INDEX(AA:AA, ROW()-1)),
   AVERAGEIFS(
     INDEX((unit_details[Asking Rent],unit_details[Asking PSF]),0,1,IF($U$3="Chunk Rent",1,2)),
     unit_details[Leased Date],"&gt;="&amp;($AM$2-X$5),
     unit_details[Leased Date],"&lt;"&amp;$AM$2,
     unit_details[Beds],$L324,
     unit_details[Baths],$M324,
     unit_details[Partial Baths],IF(ISNUMBER($N324),$N324,""),
     unit_details[Sqft],$P324,
     unit_details[Property Name],$F324)
 ),"")</f>
        <v/>
      </c>
      <c r="Y324" s="552" t="str">
        <f>IFERROR(
 IF($F324="Total",
   SUMPRODUCT(
   INDEX(Y:Y, ROW()-COUNTIF($F$6:INDEX($F:$F, ROW()-1), $F323)) : INDEX(Y:Y, ROW()-1),
   INDEX(AA:AA, ROW()-COUNTIF($F$6:INDEX($F:$F, ROW()-1), $F323)) : INDEX(AA:AA, ROW()-1)
   )
   /SUM(INDEX(AA:AA, ROW()-COUNTIF($F$6:INDEX($F:$F, ROW()-1), $F323)) : INDEX(AA:AA, ROW()-1)),
   AVERAGEIFS(
     INDEX((unit_details[Effective Rent],unit_details[Effective PSF]),0,1,IF($U$3="Chunk Rent",1,2)),
     unit_details[Leased Date],"&gt;="&amp;($AM$2-X$5),
     unit_details[Leased Date],"&lt;"&amp;$AM$2,
     unit_details[Beds],$L324,
     unit_details[Baths],$M324,
     unit_details[Partial Baths],IF(ISNUMBER($N324),$N324,""),
     unit_details[Sqft],$P324,
     unit_details[Property Name],$F324)
 ),"")</f>
        <v/>
      </c>
      <c r="Z324" s="27" t="str">
        <f t="shared" si="55"/>
        <v/>
      </c>
      <c r="AA324" s="526">
        <f>IFERROR(
  IF($F324="Total",
    SUM(INDEX(AA:AA, ROW()-COUNTIF($F$6:INDEX($F:$F, ROW()-1), $F323)) : INDEX(AA:AA, ROW()-1)),
    COUNTIFS(
      unit_details[Leased Date], "&gt;="&amp;($AM$2-X$5),
      unit_details[Leased Date], "&lt;"&amp;$AM$2,
      unit_details[Beds], $L324,
      unit_details[Baths], $M324,
      unit_details[Partial Baths], IF(ISNUMBER($N324), $N324, ""),
      unit_details[Sqft],$P324,
      unit_details[Property Name], $F324
    )
  ),
"")</f>
        <v>0</v>
      </c>
      <c r="AB324" s="290">
        <f>IF($F324="Total",
SUM(INDEX(AB:AB, ROW()-COUNTIF($F$6:INDEX($F:$F, ROW()-1), $F323)) : INDEX(AB:AB, ROW()-1)),
COUNTIFS(unit_details[Active Listing?],TRUE,
          unit_details[Property Name], $F324,
          unit_details[Beds], $L324,
          unit_details[Baths], $M324,
          unit_details[Partial Baths],IF(ISNUMBER($N324),$N324,""),
          unit_details[Sqft],$P324))</f>
        <v>0</v>
      </c>
      <c r="AC324" s="27" t="str">
        <f t="shared" si="47"/>
        <v/>
      </c>
      <c r="AD324" s="293" t="str">
        <f>IFERROR(IF(AE324="","",IF($F324="Total",
SUMPRODUCT(
   INDEX(AD:AD, ROW()-COUNTIF($F$6:INDEX($F:$F, ROW()-1), $F323)) : INDEX(AD:AD, ROW()-1),
   INDEX(AB:AB, ROW()-COUNTIF($F$6:INDEX($F:$F, ROW()-1), $F323)) : INDEX(AB:AB, ROW()-1)
   )
   /SUM(INDEX(AB:AB, ROW()-COUNTIF($F$6:INDEX($F:$F, ROW()-1), $F323)) : INDEX(AB:AB, ROW()-1)),
          _xlfn.MINIFS(unit_details[Asking Rent],
          unit_details[Active Listing?],TRUE,
          unit_details[Property Name], $F324,
          unit_details[Beds], $L324,
          unit_details[Baths], $M324,
          unit_details[Partial Baths], IF(ISNUMBER($N324),$N324,""),
          unit_details[Sqft],$P324
))),"")</f>
        <v/>
      </c>
      <c r="AE324" s="5" t="str">
        <f>IFERROR(IF($F324="Total",
          SUMPRODUCT(
   INDEX(AE:AE, ROW()-COUNTIF($F$6:INDEX($F:$F, ROW()-1), $F323)) : INDEX(AE:AE, ROW()-1),
   INDEX(AB:AB, ROW()-COUNTIF($F$6:INDEX($F:$F, ROW()-1), $F323)) : INDEX(AB:AB, ROW()-1)
   )
   /SUM(INDEX(AB:AB, ROW()-COUNTIF($F$6:INDEX($F:$F, ROW()-1), $F323)) : INDEX(AB:AB, ROW()-1)),
          AVERAGEIFS(unit_details[Asking Rent],
          unit_details[Active Listing?],TRUE,
          unit_details[Property Name], $F324,
          unit_details[Beds], $L324,
          unit_details[Baths], $M324,
          unit_details[Partial Baths], IF(ISNUMBER($N324),$N324,""),
          unit_details[Sqft],$P324
)),"")</f>
        <v/>
      </c>
      <c r="AF324" s="5" t="str">
        <f>IFERROR(IF(AE324="","",IF($F324="Total",
SUMPRODUCT(
   INDEX(AF:AF, ROW()-COUNTIF($F$6:INDEX($F:$F, ROW()-1), $F323)) : INDEX(AF:AF, ROW()-1),
   INDEX(AB:AB, ROW()-COUNTIF($F$6:INDEX($F:$F, ROW()-1), $F323)) : INDEX(AB:AB, ROW()-1)
   )
   /SUM(INDEX(AB:AB, ROW()-COUNTIF($F$6:INDEX($F:$F, ROW()-1), $F323)) : INDEX(AB:AB, ROW()-1)),
           _xlfn.MAXIFS(unit_details[Asking Rent],
          unit_details[Active Listing?],TRUE,
          unit_details[Property Name], $F324,
          unit_details[Beds], $L324,
          unit_details[Baths], $M324,
          unit_details[Partial Baths], IF(ISNUMBER($N324),$N324,""),
          unit_details[Sqft],$P324
))),"")</f>
        <v/>
      </c>
      <c r="AG324" s="6" t="str">
        <f>IFERROR(IF($F324="Total",
         SUMPRODUCT(
         INDEX(AG:AG, ROW()-COUNTIF($F$6:INDEX($F:$F, ROW()-1), $F323)) : INDEX(AG:AG, ROW()-1),
         INDEX(AB:AB, ROW()-COUNTIF($F$6:INDEX($F:$F, ROW()-1), $F323)) : INDEX(AB:AB, ROW()-1)
         )
         /SUM(INDEX(AB:AB, ROW()-COUNTIF($F$6:INDEX($F:$F, ROW()-1), $F323)) : INDEX(AB:AB, ROW()-1)),
          AVERAGEIFS(unit_details[Asking PSF],
          unit_details[Active Listing?],TRUE,
          unit_details[Property Name], $F324,
          unit_details[Beds], $L324,
          unit_details[Baths], $M324,
          unit_details[Partial Baths], IF(ISNUMBER($N324),$N324,""),
          unit_details[Sqft],$P324
)),"")</f>
        <v/>
      </c>
      <c r="AH324" s="293" t="str">
        <f>IFERROR(IF($F324="Total",
         SUMPRODUCT(
         INDEX(AH:AH, ROW()-COUNTIF($F$6:INDEX($F:$F, ROW()-1), $F323)) : INDEX(AH:AH, ROW()-1),
         INDEX(AB:AB, ROW()-COUNTIF($F$6:INDEX($F:$F, ROW()-1), $F323)) : INDEX(AB:AB, ROW()-1)
         )
         /SUM(INDEX(AB:AB, ROW()-COUNTIF($F$6:INDEX($F:$F, ROW()-1), $F323)) : INDEX(AB:AB, ROW()-1)),
          AVERAGEIFS(unit_details[Effective Rent],
          unit_details[Active Listing?],TRUE,
          unit_details[Property Name], $F324,
          unit_details[Beds], $L324,
          unit_details[Baths], $M324,
          unit_details[Partial Baths], IF(ISNUMBER($N324),$N324,""),
          unit_details[Sqft],$P324
)),"")</f>
        <v/>
      </c>
      <c r="AI324" s="6" t="str">
        <f>IFERROR(IF($F324="Total",
         SUMPRODUCT(
         INDEX(AI:AI, ROW()-COUNTIF($F$6:INDEX($F:$F, ROW()-1), $F323)) : INDEX(AI:AI, ROW()-1),
         INDEX(AB:AB, ROW()-COUNTIF($F$6:INDEX($F:$F, ROW()-1), $F323)) : INDEX(AB:AB, ROW()-1)
         )
         /SUM(INDEX(AB:AB, ROW()-COUNTIF($F$6:INDEX($F:$F, ROW()-1), $F323)) : INDEX(AB:AB, ROW()-1)),
           AVERAGEIFS(unit_details[Effective PSF],
          unit_details[Active Listing?],TRUE,
          unit_details[Property Name], $F324,
          unit_details[Beds], $L324,
          unit_details[Baths], $M324,
          unit_details[Partial Baths], IF(ISNUMBER($N324),$N324,""),
          unit_details[Sqft],$P324
)),"")</f>
        <v/>
      </c>
      <c r="AJ324" s="824" t="str">
        <f t="shared" si="48"/>
        <v/>
      </c>
      <c r="AK324" s="531" t="str">
        <f t="shared" si="49"/>
        <v/>
      </c>
      <c r="AL324" s="714" t="str">
        <f t="shared" si="50"/>
        <v/>
      </c>
      <c r="AM324" s="531" t="str">
        <f t="shared" si="51"/>
        <v/>
      </c>
      <c r="AN324" s="716" t="str">
        <f t="shared" si="52"/>
        <v/>
      </c>
    </row>
    <row r="325" spans="6:40" x14ac:dyDescent="0.2">
      <c r="F325" s="1" t="str">
        <f t="shared" si="45"/>
        <v/>
      </c>
      <c r="G325" s="713" t="str">
        <f t="shared" si="53"/>
        <v/>
      </c>
      <c r="H325" s="17" t="str">
        <f>IFERROR(VLOOKUP($G325,Table1[[Property]:[Exposure %]],4,0),"")</f>
        <v/>
      </c>
      <c r="I325" s="3" t="str">
        <f>IFERROR(VLOOKUP($G325,Table1[[Property]:[Exposure %]],6,0),"")</f>
        <v/>
      </c>
      <c r="J325" s="3" t="str">
        <f>IFERROR(VLOOKUP($G325,Table1[[Property]:[Exposure %]],7,0),"")</f>
        <v/>
      </c>
      <c r="K325"/>
      <c r="L325"/>
      <c r="M325"/>
      <c r="N325"/>
      <c r="O325"/>
      <c r="P325"/>
      <c r="Q325"/>
      <c r="R325" s="4" t="str">
        <f>IFERROR(VLOOKUP(IF(F325="Total",F324,F325),Table1[[Property]:['# Units]],7,0)*S325,"")</f>
        <v/>
      </c>
      <c r="S325" s="27" t="str">
        <f t="shared" si="46"/>
        <v/>
      </c>
      <c r="T325" s="531" t="str">
        <f>IFERROR(
 IF($F325="Total",
   SUMPRODUCT(
   INDEX(T:T, ROW()-COUNTIF($F$6:INDEX($F:$F, ROW()-1), $F324)) : INDEX(T:T, ROW()-1),
   INDEX(W:W, ROW()-COUNTIF($F$6:INDEX($F:$F, ROW()-1), $F324)) : INDEX(W:W, ROW()-1)
   )
   /SUM(INDEX(W:W, ROW()-COUNTIF($F$6:INDEX($F:$F, ROW()-1), $F324)) : INDEX(W:W, ROW()-1)),
   AVERAGEIFS(
     INDEX((unit_details[Asking Rent],unit_details[Asking PSF]),0,1,IF($U$3="Chunk Rent",1,2)),
     unit_details[Leased Date],"&gt;="&amp;($AM$2-T$5),
     unit_details[Leased Date],"&lt;"&amp;$AM$2,
     unit_details[Beds],$L325,
     unit_details[Baths],$M325,
     unit_details[Partial Baths],IF(ISNUMBER($N325),$N325,""),
     unit_details[Sqft],$P325,
     unit_details[Property Name],$F325)
 ),"")</f>
        <v/>
      </c>
      <c r="U325" s="552" t="str">
        <f>IFERROR(
 IF($F325="Total",
   SUMPRODUCT(
   INDEX(U:U, ROW()-COUNTIF($F$6:INDEX($F:$F, ROW()-1), $F324)) : INDEX(U:U, ROW()-1),
   INDEX(W:W, ROW()-COUNTIF($F$6:INDEX($F:$F, ROW()-1), $F324)) : INDEX(W:W, ROW()-1)
   )
   /SUM(INDEX(W:W, ROW()-COUNTIF($F$6:INDEX($F:$F, ROW()-1), $F324)) : INDEX(W:W, ROW()-1)),
   AVERAGEIFS(
     INDEX((unit_details[Effective Rent],unit_details[Effective PSF]),0,1,IF($U$3="Chunk Rent",1,2)),
     unit_details[Leased Date],"&gt;="&amp;($AM$2-T$5),
     unit_details[Leased Date],"&lt;"&amp;$AM$2,
     unit_details[Beds],$L325,
     unit_details[Baths],$M325,
     unit_details[Partial Baths],IF(ISNUMBER($N325),$N325,""),
     unit_details[Sqft],$P325,
     unit_details[Property Name],$F325)
 ),"")</f>
        <v/>
      </c>
      <c r="V325" s="27" t="str">
        <f t="shared" si="54"/>
        <v/>
      </c>
      <c r="W325" s="526">
        <f>IFERROR(
  IF($F325="Total",
    SUM(INDEX(W:W, ROW()-COUNTIF($F$6:INDEX($F:$F, ROW()-1), $F324)) : INDEX(W:W, ROW()-1)),
    COUNTIFS(
      unit_details[Leased Date], "&gt;="&amp;($AM$2-T$5),
      unit_details[Leased Date], "&lt;"&amp;$AM$2,
      unit_details[Beds], $L325,
      unit_details[Baths], $M325,
      unit_details[Partial Baths], IF(ISNUMBER($N325), $N325, ""),
      unit_details[Sqft],$P325,
      unit_details[Property Name], $F325
    )
  ),
"")</f>
        <v>0</v>
      </c>
      <c r="X325" s="531" t="str">
        <f>IFERROR(
 IF($F325="Total",
   SUMPRODUCT(
   INDEX(X:X, ROW()-COUNTIF($F$6:INDEX($F:$F, ROW()-1), $F324)) : INDEX(X:X, ROW()-1),
   INDEX(AA:AA, ROW()-COUNTIF($F$6:INDEX($F:$F, ROW()-1), $F324)) : INDEX(AA:AA, ROW()-1)
   )
   /SUM(INDEX(AA:AA, ROW()-COUNTIF($F$6:INDEX($F:$F, ROW()-1), $F324)) : INDEX(AA:AA, ROW()-1)),
   AVERAGEIFS(
     INDEX((unit_details[Asking Rent],unit_details[Asking PSF]),0,1,IF($U$3="Chunk Rent",1,2)),
     unit_details[Leased Date],"&gt;="&amp;($AM$2-X$5),
     unit_details[Leased Date],"&lt;"&amp;$AM$2,
     unit_details[Beds],$L325,
     unit_details[Baths],$M325,
     unit_details[Partial Baths],IF(ISNUMBER($N325),$N325,""),
     unit_details[Sqft],$P325,
     unit_details[Property Name],$F325)
 ),"")</f>
        <v/>
      </c>
      <c r="Y325" s="552" t="str">
        <f>IFERROR(
 IF($F325="Total",
   SUMPRODUCT(
   INDEX(Y:Y, ROW()-COUNTIF($F$6:INDEX($F:$F, ROW()-1), $F324)) : INDEX(Y:Y, ROW()-1),
   INDEX(AA:AA, ROW()-COUNTIF($F$6:INDEX($F:$F, ROW()-1), $F324)) : INDEX(AA:AA, ROW()-1)
   )
   /SUM(INDEX(AA:AA, ROW()-COUNTIF($F$6:INDEX($F:$F, ROW()-1), $F324)) : INDEX(AA:AA, ROW()-1)),
   AVERAGEIFS(
     INDEX((unit_details[Effective Rent],unit_details[Effective PSF]),0,1,IF($U$3="Chunk Rent",1,2)),
     unit_details[Leased Date],"&gt;="&amp;($AM$2-X$5),
     unit_details[Leased Date],"&lt;"&amp;$AM$2,
     unit_details[Beds],$L325,
     unit_details[Baths],$M325,
     unit_details[Partial Baths],IF(ISNUMBER($N325),$N325,""),
     unit_details[Sqft],$P325,
     unit_details[Property Name],$F325)
 ),"")</f>
        <v/>
      </c>
      <c r="Z325" s="27" t="str">
        <f t="shared" si="55"/>
        <v/>
      </c>
      <c r="AA325" s="526">
        <f>IFERROR(
  IF($F325="Total",
    SUM(INDEX(AA:AA, ROW()-COUNTIF($F$6:INDEX($F:$F, ROW()-1), $F324)) : INDEX(AA:AA, ROW()-1)),
    COUNTIFS(
      unit_details[Leased Date], "&gt;="&amp;($AM$2-X$5),
      unit_details[Leased Date], "&lt;"&amp;$AM$2,
      unit_details[Beds], $L325,
      unit_details[Baths], $M325,
      unit_details[Partial Baths], IF(ISNUMBER($N325), $N325, ""),
      unit_details[Sqft],$P325,
      unit_details[Property Name], $F325
    )
  ),
"")</f>
        <v>0</v>
      </c>
      <c r="AB325" s="290">
        <f>IF($F325="Total",
SUM(INDEX(AB:AB, ROW()-COUNTIF($F$6:INDEX($F:$F, ROW()-1), $F324)) : INDEX(AB:AB, ROW()-1)),
COUNTIFS(unit_details[Active Listing?],TRUE,
          unit_details[Property Name], $F325,
          unit_details[Beds], $L325,
          unit_details[Baths], $M325,
          unit_details[Partial Baths],IF(ISNUMBER($N325),$N325,""),
          unit_details[Sqft],$P325))</f>
        <v>0</v>
      </c>
      <c r="AC325" s="27" t="str">
        <f t="shared" si="47"/>
        <v/>
      </c>
      <c r="AD325" s="293" t="str">
        <f>IFERROR(IF(AE325="","",IF($F325="Total",
SUMPRODUCT(
   INDEX(AD:AD, ROW()-COUNTIF($F$6:INDEX($F:$F, ROW()-1), $F324)) : INDEX(AD:AD, ROW()-1),
   INDEX(AB:AB, ROW()-COUNTIF($F$6:INDEX($F:$F, ROW()-1), $F324)) : INDEX(AB:AB, ROW()-1)
   )
   /SUM(INDEX(AB:AB, ROW()-COUNTIF($F$6:INDEX($F:$F, ROW()-1), $F324)) : INDEX(AB:AB, ROW()-1)),
          _xlfn.MINIFS(unit_details[Asking Rent],
          unit_details[Active Listing?],TRUE,
          unit_details[Property Name], $F325,
          unit_details[Beds], $L325,
          unit_details[Baths], $M325,
          unit_details[Partial Baths], IF(ISNUMBER($N325),$N325,""),
          unit_details[Sqft],$P325
))),"")</f>
        <v/>
      </c>
      <c r="AE325" s="5" t="str">
        <f>IFERROR(IF($F325="Total",
          SUMPRODUCT(
   INDEX(AE:AE, ROW()-COUNTIF($F$6:INDEX($F:$F, ROW()-1), $F324)) : INDEX(AE:AE, ROW()-1),
   INDEX(AB:AB, ROW()-COUNTIF($F$6:INDEX($F:$F, ROW()-1), $F324)) : INDEX(AB:AB, ROW()-1)
   )
   /SUM(INDEX(AB:AB, ROW()-COUNTIF($F$6:INDEX($F:$F, ROW()-1), $F324)) : INDEX(AB:AB, ROW()-1)),
          AVERAGEIFS(unit_details[Asking Rent],
          unit_details[Active Listing?],TRUE,
          unit_details[Property Name], $F325,
          unit_details[Beds], $L325,
          unit_details[Baths], $M325,
          unit_details[Partial Baths], IF(ISNUMBER($N325),$N325,""),
          unit_details[Sqft],$P325
)),"")</f>
        <v/>
      </c>
      <c r="AF325" s="5" t="str">
        <f>IFERROR(IF(AE325="","",IF($F325="Total",
SUMPRODUCT(
   INDEX(AF:AF, ROW()-COUNTIF($F$6:INDEX($F:$F, ROW()-1), $F324)) : INDEX(AF:AF, ROW()-1),
   INDEX(AB:AB, ROW()-COUNTIF($F$6:INDEX($F:$F, ROW()-1), $F324)) : INDEX(AB:AB, ROW()-1)
   )
   /SUM(INDEX(AB:AB, ROW()-COUNTIF($F$6:INDEX($F:$F, ROW()-1), $F324)) : INDEX(AB:AB, ROW()-1)),
           _xlfn.MAXIFS(unit_details[Asking Rent],
          unit_details[Active Listing?],TRUE,
          unit_details[Property Name], $F325,
          unit_details[Beds], $L325,
          unit_details[Baths], $M325,
          unit_details[Partial Baths], IF(ISNUMBER($N325),$N325,""),
          unit_details[Sqft],$P325
))),"")</f>
        <v/>
      </c>
      <c r="AG325" s="6" t="str">
        <f>IFERROR(IF($F325="Total",
         SUMPRODUCT(
         INDEX(AG:AG, ROW()-COUNTIF($F$6:INDEX($F:$F, ROW()-1), $F324)) : INDEX(AG:AG, ROW()-1),
         INDEX(AB:AB, ROW()-COUNTIF($F$6:INDEX($F:$F, ROW()-1), $F324)) : INDEX(AB:AB, ROW()-1)
         )
         /SUM(INDEX(AB:AB, ROW()-COUNTIF($F$6:INDEX($F:$F, ROW()-1), $F324)) : INDEX(AB:AB, ROW()-1)),
          AVERAGEIFS(unit_details[Asking PSF],
          unit_details[Active Listing?],TRUE,
          unit_details[Property Name], $F325,
          unit_details[Beds], $L325,
          unit_details[Baths], $M325,
          unit_details[Partial Baths], IF(ISNUMBER($N325),$N325,""),
          unit_details[Sqft],$P325
)),"")</f>
        <v/>
      </c>
      <c r="AH325" s="293" t="str">
        <f>IFERROR(IF($F325="Total",
         SUMPRODUCT(
         INDEX(AH:AH, ROW()-COUNTIF($F$6:INDEX($F:$F, ROW()-1), $F324)) : INDEX(AH:AH, ROW()-1),
         INDEX(AB:AB, ROW()-COUNTIF($F$6:INDEX($F:$F, ROW()-1), $F324)) : INDEX(AB:AB, ROW()-1)
         )
         /SUM(INDEX(AB:AB, ROW()-COUNTIF($F$6:INDEX($F:$F, ROW()-1), $F324)) : INDEX(AB:AB, ROW()-1)),
          AVERAGEIFS(unit_details[Effective Rent],
          unit_details[Active Listing?],TRUE,
          unit_details[Property Name], $F325,
          unit_details[Beds], $L325,
          unit_details[Baths], $M325,
          unit_details[Partial Baths], IF(ISNUMBER($N325),$N325,""),
          unit_details[Sqft],$P325
)),"")</f>
        <v/>
      </c>
      <c r="AI325" s="6" t="str">
        <f>IFERROR(IF($F325="Total",
         SUMPRODUCT(
         INDEX(AI:AI, ROW()-COUNTIF($F$6:INDEX($F:$F, ROW()-1), $F324)) : INDEX(AI:AI, ROW()-1),
         INDEX(AB:AB, ROW()-COUNTIF($F$6:INDEX($F:$F, ROW()-1), $F324)) : INDEX(AB:AB, ROW()-1)
         )
         /SUM(INDEX(AB:AB, ROW()-COUNTIF($F$6:INDEX($F:$F, ROW()-1), $F324)) : INDEX(AB:AB, ROW()-1)),
           AVERAGEIFS(unit_details[Effective PSF],
          unit_details[Active Listing?],TRUE,
          unit_details[Property Name], $F325,
          unit_details[Beds], $L325,
          unit_details[Baths], $M325,
          unit_details[Partial Baths], IF(ISNUMBER($N325),$N325,""),
          unit_details[Sqft],$P325
)),"")</f>
        <v/>
      </c>
      <c r="AJ325" s="824" t="str">
        <f t="shared" si="48"/>
        <v/>
      </c>
      <c r="AK325" s="531" t="str">
        <f t="shared" si="49"/>
        <v/>
      </c>
      <c r="AL325" s="714" t="str">
        <f t="shared" si="50"/>
        <v/>
      </c>
      <c r="AM325" s="531" t="str">
        <f t="shared" si="51"/>
        <v/>
      </c>
      <c r="AN325" s="716" t="str">
        <f t="shared" si="52"/>
        <v/>
      </c>
    </row>
    <row r="326" spans="6:40" x14ac:dyDescent="0.2">
      <c r="F326" s="1" t="str">
        <f t="shared" si="45"/>
        <v/>
      </c>
      <c r="G326" s="713" t="str">
        <f t="shared" si="53"/>
        <v/>
      </c>
      <c r="H326" s="17" t="str">
        <f>IFERROR(VLOOKUP($G326,Table1[[Property]:[Exposure %]],4,0),"")</f>
        <v/>
      </c>
      <c r="I326" s="3" t="str">
        <f>IFERROR(VLOOKUP($G326,Table1[[Property]:[Exposure %]],6,0),"")</f>
        <v/>
      </c>
      <c r="J326" s="3" t="str">
        <f>IFERROR(VLOOKUP($G326,Table1[[Property]:[Exposure %]],7,0),"")</f>
        <v/>
      </c>
      <c r="K326"/>
      <c r="L326"/>
      <c r="M326"/>
      <c r="N326"/>
      <c r="O326"/>
      <c r="P326"/>
      <c r="Q326"/>
      <c r="R326" s="4" t="str">
        <f>IFERROR(VLOOKUP(IF(F326="Total",F325,F326),Table1[[Property]:['# Units]],7,0)*S326,"")</f>
        <v/>
      </c>
      <c r="S326" s="27" t="str">
        <f t="shared" si="46"/>
        <v/>
      </c>
      <c r="T326" s="531" t="str">
        <f>IFERROR(
 IF($F326="Total",
   SUMPRODUCT(
   INDEX(T:T, ROW()-COUNTIF($F$6:INDEX($F:$F, ROW()-1), $F325)) : INDEX(T:T, ROW()-1),
   INDEX(W:W, ROW()-COUNTIF($F$6:INDEX($F:$F, ROW()-1), $F325)) : INDEX(W:W, ROW()-1)
   )
   /SUM(INDEX(W:W, ROW()-COUNTIF($F$6:INDEX($F:$F, ROW()-1), $F325)) : INDEX(W:W, ROW()-1)),
   AVERAGEIFS(
     INDEX((unit_details[Asking Rent],unit_details[Asking PSF]),0,1,IF($U$3="Chunk Rent",1,2)),
     unit_details[Leased Date],"&gt;="&amp;($AM$2-T$5),
     unit_details[Leased Date],"&lt;"&amp;$AM$2,
     unit_details[Beds],$L326,
     unit_details[Baths],$M326,
     unit_details[Partial Baths],IF(ISNUMBER($N326),$N326,""),
     unit_details[Sqft],$P326,
     unit_details[Property Name],$F326)
 ),"")</f>
        <v/>
      </c>
      <c r="U326" s="552" t="str">
        <f>IFERROR(
 IF($F326="Total",
   SUMPRODUCT(
   INDEX(U:U, ROW()-COUNTIF($F$6:INDEX($F:$F, ROW()-1), $F325)) : INDEX(U:U, ROW()-1),
   INDEX(W:W, ROW()-COUNTIF($F$6:INDEX($F:$F, ROW()-1), $F325)) : INDEX(W:W, ROW()-1)
   )
   /SUM(INDEX(W:W, ROW()-COUNTIF($F$6:INDEX($F:$F, ROW()-1), $F325)) : INDEX(W:W, ROW()-1)),
   AVERAGEIFS(
     INDEX((unit_details[Effective Rent],unit_details[Effective PSF]),0,1,IF($U$3="Chunk Rent",1,2)),
     unit_details[Leased Date],"&gt;="&amp;($AM$2-T$5),
     unit_details[Leased Date],"&lt;"&amp;$AM$2,
     unit_details[Beds],$L326,
     unit_details[Baths],$M326,
     unit_details[Partial Baths],IF(ISNUMBER($N326),$N326,""),
     unit_details[Sqft],$P326,
     unit_details[Property Name],$F326)
 ),"")</f>
        <v/>
      </c>
      <c r="V326" s="27" t="str">
        <f t="shared" si="54"/>
        <v/>
      </c>
      <c r="W326" s="526">
        <f>IFERROR(
  IF($F326="Total",
    SUM(INDEX(W:W, ROW()-COUNTIF($F$6:INDEX($F:$F, ROW()-1), $F325)) : INDEX(W:W, ROW()-1)),
    COUNTIFS(
      unit_details[Leased Date], "&gt;="&amp;($AM$2-T$5),
      unit_details[Leased Date], "&lt;"&amp;$AM$2,
      unit_details[Beds], $L326,
      unit_details[Baths], $M326,
      unit_details[Partial Baths], IF(ISNUMBER($N326), $N326, ""),
      unit_details[Sqft],$P326,
      unit_details[Property Name], $F326
    )
  ),
"")</f>
        <v>0</v>
      </c>
      <c r="X326" s="531" t="str">
        <f>IFERROR(
 IF($F326="Total",
   SUMPRODUCT(
   INDEX(X:X, ROW()-COUNTIF($F$6:INDEX($F:$F, ROW()-1), $F325)) : INDEX(X:X, ROW()-1),
   INDEX(AA:AA, ROW()-COUNTIF($F$6:INDEX($F:$F, ROW()-1), $F325)) : INDEX(AA:AA, ROW()-1)
   )
   /SUM(INDEX(AA:AA, ROW()-COUNTIF($F$6:INDEX($F:$F, ROW()-1), $F325)) : INDEX(AA:AA, ROW()-1)),
   AVERAGEIFS(
     INDEX((unit_details[Asking Rent],unit_details[Asking PSF]),0,1,IF($U$3="Chunk Rent",1,2)),
     unit_details[Leased Date],"&gt;="&amp;($AM$2-X$5),
     unit_details[Leased Date],"&lt;"&amp;$AM$2,
     unit_details[Beds],$L326,
     unit_details[Baths],$M326,
     unit_details[Partial Baths],IF(ISNUMBER($N326),$N326,""),
     unit_details[Sqft],$P326,
     unit_details[Property Name],$F326)
 ),"")</f>
        <v/>
      </c>
      <c r="Y326" s="552" t="str">
        <f>IFERROR(
 IF($F326="Total",
   SUMPRODUCT(
   INDEX(Y:Y, ROW()-COUNTIF($F$6:INDEX($F:$F, ROW()-1), $F325)) : INDEX(Y:Y, ROW()-1),
   INDEX(AA:AA, ROW()-COUNTIF($F$6:INDEX($F:$F, ROW()-1), $F325)) : INDEX(AA:AA, ROW()-1)
   )
   /SUM(INDEX(AA:AA, ROW()-COUNTIF($F$6:INDEX($F:$F, ROW()-1), $F325)) : INDEX(AA:AA, ROW()-1)),
   AVERAGEIFS(
     INDEX((unit_details[Effective Rent],unit_details[Effective PSF]),0,1,IF($U$3="Chunk Rent",1,2)),
     unit_details[Leased Date],"&gt;="&amp;($AM$2-X$5),
     unit_details[Leased Date],"&lt;"&amp;$AM$2,
     unit_details[Beds],$L326,
     unit_details[Baths],$M326,
     unit_details[Partial Baths],IF(ISNUMBER($N326),$N326,""),
     unit_details[Sqft],$P326,
     unit_details[Property Name],$F326)
 ),"")</f>
        <v/>
      </c>
      <c r="Z326" s="27" t="str">
        <f t="shared" si="55"/>
        <v/>
      </c>
      <c r="AA326" s="526">
        <f>IFERROR(
  IF($F326="Total",
    SUM(INDEX(AA:AA, ROW()-COUNTIF($F$6:INDEX($F:$F, ROW()-1), $F325)) : INDEX(AA:AA, ROW()-1)),
    COUNTIFS(
      unit_details[Leased Date], "&gt;="&amp;($AM$2-X$5),
      unit_details[Leased Date], "&lt;"&amp;$AM$2,
      unit_details[Beds], $L326,
      unit_details[Baths], $M326,
      unit_details[Partial Baths], IF(ISNUMBER($N326), $N326, ""),
      unit_details[Sqft],$P326,
      unit_details[Property Name], $F326
    )
  ),
"")</f>
        <v>0</v>
      </c>
      <c r="AB326" s="290">
        <f>IF($F326="Total",
SUM(INDEX(AB:AB, ROW()-COUNTIF($F$6:INDEX($F:$F, ROW()-1), $F325)) : INDEX(AB:AB, ROW()-1)),
COUNTIFS(unit_details[Active Listing?],TRUE,
          unit_details[Property Name], $F326,
          unit_details[Beds], $L326,
          unit_details[Baths], $M326,
          unit_details[Partial Baths],IF(ISNUMBER($N326),$N326,""),
          unit_details[Sqft],$P326))</f>
        <v>0</v>
      </c>
      <c r="AC326" s="27" t="str">
        <f t="shared" si="47"/>
        <v/>
      </c>
      <c r="AD326" s="293" t="str">
        <f>IFERROR(IF(AE326="","",IF($F326="Total",
SUMPRODUCT(
   INDEX(AD:AD, ROW()-COUNTIF($F$6:INDEX($F:$F, ROW()-1), $F325)) : INDEX(AD:AD, ROW()-1),
   INDEX(AB:AB, ROW()-COUNTIF($F$6:INDEX($F:$F, ROW()-1), $F325)) : INDEX(AB:AB, ROW()-1)
   )
   /SUM(INDEX(AB:AB, ROW()-COUNTIF($F$6:INDEX($F:$F, ROW()-1), $F325)) : INDEX(AB:AB, ROW()-1)),
          _xlfn.MINIFS(unit_details[Asking Rent],
          unit_details[Active Listing?],TRUE,
          unit_details[Property Name], $F326,
          unit_details[Beds], $L326,
          unit_details[Baths], $M326,
          unit_details[Partial Baths], IF(ISNUMBER($N326),$N326,""),
          unit_details[Sqft],$P326
))),"")</f>
        <v/>
      </c>
      <c r="AE326" s="5" t="str">
        <f>IFERROR(IF($F326="Total",
          SUMPRODUCT(
   INDEX(AE:AE, ROW()-COUNTIF($F$6:INDEX($F:$F, ROW()-1), $F325)) : INDEX(AE:AE, ROW()-1),
   INDEX(AB:AB, ROW()-COUNTIF($F$6:INDEX($F:$F, ROW()-1), $F325)) : INDEX(AB:AB, ROW()-1)
   )
   /SUM(INDEX(AB:AB, ROW()-COUNTIF($F$6:INDEX($F:$F, ROW()-1), $F325)) : INDEX(AB:AB, ROW()-1)),
          AVERAGEIFS(unit_details[Asking Rent],
          unit_details[Active Listing?],TRUE,
          unit_details[Property Name], $F326,
          unit_details[Beds], $L326,
          unit_details[Baths], $M326,
          unit_details[Partial Baths], IF(ISNUMBER($N326),$N326,""),
          unit_details[Sqft],$P326
)),"")</f>
        <v/>
      </c>
      <c r="AF326" s="5" t="str">
        <f>IFERROR(IF(AE326="","",IF($F326="Total",
SUMPRODUCT(
   INDEX(AF:AF, ROW()-COUNTIF($F$6:INDEX($F:$F, ROW()-1), $F325)) : INDEX(AF:AF, ROW()-1),
   INDEX(AB:AB, ROW()-COUNTIF($F$6:INDEX($F:$F, ROW()-1), $F325)) : INDEX(AB:AB, ROW()-1)
   )
   /SUM(INDEX(AB:AB, ROW()-COUNTIF($F$6:INDEX($F:$F, ROW()-1), $F325)) : INDEX(AB:AB, ROW()-1)),
           _xlfn.MAXIFS(unit_details[Asking Rent],
          unit_details[Active Listing?],TRUE,
          unit_details[Property Name], $F326,
          unit_details[Beds], $L326,
          unit_details[Baths], $M326,
          unit_details[Partial Baths], IF(ISNUMBER($N326),$N326,""),
          unit_details[Sqft],$P326
))),"")</f>
        <v/>
      </c>
      <c r="AG326" s="6" t="str">
        <f>IFERROR(IF($F326="Total",
         SUMPRODUCT(
         INDEX(AG:AG, ROW()-COUNTIF($F$6:INDEX($F:$F, ROW()-1), $F325)) : INDEX(AG:AG, ROW()-1),
         INDEX(AB:AB, ROW()-COUNTIF($F$6:INDEX($F:$F, ROW()-1), $F325)) : INDEX(AB:AB, ROW()-1)
         )
         /SUM(INDEX(AB:AB, ROW()-COUNTIF($F$6:INDEX($F:$F, ROW()-1), $F325)) : INDEX(AB:AB, ROW()-1)),
          AVERAGEIFS(unit_details[Asking PSF],
          unit_details[Active Listing?],TRUE,
          unit_details[Property Name], $F326,
          unit_details[Beds], $L326,
          unit_details[Baths], $M326,
          unit_details[Partial Baths], IF(ISNUMBER($N326),$N326,""),
          unit_details[Sqft],$P326
)),"")</f>
        <v/>
      </c>
      <c r="AH326" s="293" t="str">
        <f>IFERROR(IF($F326="Total",
         SUMPRODUCT(
         INDEX(AH:AH, ROW()-COUNTIF($F$6:INDEX($F:$F, ROW()-1), $F325)) : INDEX(AH:AH, ROW()-1),
         INDEX(AB:AB, ROW()-COUNTIF($F$6:INDEX($F:$F, ROW()-1), $F325)) : INDEX(AB:AB, ROW()-1)
         )
         /SUM(INDEX(AB:AB, ROW()-COUNTIF($F$6:INDEX($F:$F, ROW()-1), $F325)) : INDEX(AB:AB, ROW()-1)),
          AVERAGEIFS(unit_details[Effective Rent],
          unit_details[Active Listing?],TRUE,
          unit_details[Property Name], $F326,
          unit_details[Beds], $L326,
          unit_details[Baths], $M326,
          unit_details[Partial Baths], IF(ISNUMBER($N326),$N326,""),
          unit_details[Sqft],$P326
)),"")</f>
        <v/>
      </c>
      <c r="AI326" s="6" t="str">
        <f>IFERROR(IF($F326="Total",
         SUMPRODUCT(
         INDEX(AI:AI, ROW()-COUNTIF($F$6:INDEX($F:$F, ROW()-1), $F325)) : INDEX(AI:AI, ROW()-1),
         INDEX(AB:AB, ROW()-COUNTIF($F$6:INDEX($F:$F, ROW()-1), $F325)) : INDEX(AB:AB, ROW()-1)
         )
         /SUM(INDEX(AB:AB, ROW()-COUNTIF($F$6:INDEX($F:$F, ROW()-1), $F325)) : INDEX(AB:AB, ROW()-1)),
           AVERAGEIFS(unit_details[Effective PSF],
          unit_details[Active Listing?],TRUE,
          unit_details[Property Name], $F326,
          unit_details[Beds], $L326,
          unit_details[Baths], $M326,
          unit_details[Partial Baths], IF(ISNUMBER($N326),$N326,""),
          unit_details[Sqft],$P326
)),"")</f>
        <v/>
      </c>
      <c r="AJ326" s="824" t="str">
        <f t="shared" si="48"/>
        <v/>
      </c>
      <c r="AK326" s="531" t="str">
        <f t="shared" si="49"/>
        <v/>
      </c>
      <c r="AL326" s="714" t="str">
        <f t="shared" si="50"/>
        <v/>
      </c>
      <c r="AM326" s="531" t="str">
        <f t="shared" si="51"/>
        <v/>
      </c>
      <c r="AN326" s="716" t="str">
        <f t="shared" si="52"/>
        <v/>
      </c>
    </row>
    <row r="327" spans="6:40" x14ac:dyDescent="0.2">
      <c r="F327" s="1" t="str">
        <f t="shared" ref="F327:F390" si="56">IF(RIGHT(K327,5)="Total","Total",IF(ISTEXT(K327),K327,IF(F326="Total","",F326)))</f>
        <v/>
      </c>
      <c r="G327" s="713" t="str">
        <f t="shared" si="53"/>
        <v/>
      </c>
      <c r="H327" s="17" t="str">
        <f>IFERROR(VLOOKUP($G327,Table1[[Property]:[Exposure %]],4,0),"")</f>
        <v/>
      </c>
      <c r="I327" s="3" t="str">
        <f>IFERROR(VLOOKUP($G327,Table1[[Property]:[Exposure %]],6,0),"")</f>
        <v/>
      </c>
      <c r="J327" s="3" t="str">
        <f>IFERROR(VLOOKUP($G327,Table1[[Property]:[Exposure %]],7,0),"")</f>
        <v/>
      </c>
      <c r="K327"/>
      <c r="L327"/>
      <c r="M327"/>
      <c r="N327"/>
      <c r="O327"/>
      <c r="P327"/>
      <c r="Q327"/>
      <c r="R327" s="4" t="str">
        <f>IFERROR(VLOOKUP(IF(F327="Total",F326,F327),Table1[[Property]:['# Units]],7,0)*S327,"")</f>
        <v/>
      </c>
      <c r="S327" s="27" t="str">
        <f t="shared" ref="S327:S390" si="57">IF(Q327=0,"",Q327)</f>
        <v/>
      </c>
      <c r="T327" s="531" t="str">
        <f>IFERROR(
 IF($F327="Total",
   SUMPRODUCT(
   INDEX(T:T, ROW()-COUNTIF($F$6:INDEX($F:$F, ROW()-1), $F326)) : INDEX(T:T, ROW()-1),
   INDEX(W:W, ROW()-COUNTIF($F$6:INDEX($F:$F, ROW()-1), $F326)) : INDEX(W:W, ROW()-1)
   )
   /SUM(INDEX(W:W, ROW()-COUNTIF($F$6:INDEX($F:$F, ROW()-1), $F326)) : INDEX(W:W, ROW()-1)),
   AVERAGEIFS(
     INDEX((unit_details[Asking Rent],unit_details[Asking PSF]),0,1,IF($U$3="Chunk Rent",1,2)),
     unit_details[Leased Date],"&gt;="&amp;($AM$2-T$5),
     unit_details[Leased Date],"&lt;"&amp;$AM$2,
     unit_details[Beds],$L327,
     unit_details[Baths],$M327,
     unit_details[Partial Baths],IF(ISNUMBER($N327),$N327,""),
     unit_details[Sqft],$P327,
     unit_details[Property Name],$F327)
 ),"")</f>
        <v/>
      </c>
      <c r="U327" s="552" t="str">
        <f>IFERROR(
 IF($F327="Total",
   SUMPRODUCT(
   INDEX(U:U, ROW()-COUNTIF($F$6:INDEX($F:$F, ROW()-1), $F326)) : INDEX(U:U, ROW()-1),
   INDEX(W:W, ROW()-COUNTIF($F$6:INDEX($F:$F, ROW()-1), $F326)) : INDEX(W:W, ROW()-1)
   )
   /SUM(INDEX(W:W, ROW()-COUNTIF($F$6:INDEX($F:$F, ROW()-1), $F326)) : INDEX(W:W, ROW()-1)),
   AVERAGEIFS(
     INDEX((unit_details[Effective Rent],unit_details[Effective PSF]),0,1,IF($U$3="Chunk Rent",1,2)),
     unit_details[Leased Date],"&gt;="&amp;($AM$2-T$5),
     unit_details[Leased Date],"&lt;"&amp;$AM$2,
     unit_details[Beds],$L327,
     unit_details[Baths],$M327,
     unit_details[Partial Baths],IF(ISNUMBER($N327),$N327,""),
     unit_details[Sqft],$P327,
     unit_details[Property Name],$F327)
 ),"")</f>
        <v/>
      </c>
      <c r="V327" s="27" t="str">
        <f t="shared" si="54"/>
        <v/>
      </c>
      <c r="W327" s="526">
        <f>IFERROR(
  IF($F327="Total",
    SUM(INDEX(W:W, ROW()-COUNTIF($F$6:INDEX($F:$F, ROW()-1), $F326)) : INDEX(W:W, ROW()-1)),
    COUNTIFS(
      unit_details[Leased Date], "&gt;="&amp;($AM$2-T$5),
      unit_details[Leased Date], "&lt;"&amp;$AM$2,
      unit_details[Beds], $L327,
      unit_details[Baths], $M327,
      unit_details[Partial Baths], IF(ISNUMBER($N327), $N327, ""),
      unit_details[Sqft],$P327,
      unit_details[Property Name], $F327
    )
  ),
"")</f>
        <v>0</v>
      </c>
      <c r="X327" s="531" t="str">
        <f>IFERROR(
 IF($F327="Total",
   SUMPRODUCT(
   INDEX(X:X, ROW()-COUNTIF($F$6:INDEX($F:$F, ROW()-1), $F326)) : INDEX(X:X, ROW()-1),
   INDEX(AA:AA, ROW()-COUNTIF($F$6:INDEX($F:$F, ROW()-1), $F326)) : INDEX(AA:AA, ROW()-1)
   )
   /SUM(INDEX(AA:AA, ROW()-COUNTIF($F$6:INDEX($F:$F, ROW()-1), $F326)) : INDEX(AA:AA, ROW()-1)),
   AVERAGEIFS(
     INDEX((unit_details[Asking Rent],unit_details[Asking PSF]),0,1,IF($U$3="Chunk Rent",1,2)),
     unit_details[Leased Date],"&gt;="&amp;($AM$2-X$5),
     unit_details[Leased Date],"&lt;"&amp;$AM$2,
     unit_details[Beds],$L327,
     unit_details[Baths],$M327,
     unit_details[Partial Baths],IF(ISNUMBER($N327),$N327,""),
     unit_details[Sqft],$P327,
     unit_details[Property Name],$F327)
 ),"")</f>
        <v/>
      </c>
      <c r="Y327" s="552" t="str">
        <f>IFERROR(
 IF($F327="Total",
   SUMPRODUCT(
   INDEX(Y:Y, ROW()-COUNTIF($F$6:INDEX($F:$F, ROW()-1), $F326)) : INDEX(Y:Y, ROW()-1),
   INDEX(AA:AA, ROW()-COUNTIF($F$6:INDEX($F:$F, ROW()-1), $F326)) : INDEX(AA:AA, ROW()-1)
   )
   /SUM(INDEX(AA:AA, ROW()-COUNTIF($F$6:INDEX($F:$F, ROW()-1), $F326)) : INDEX(AA:AA, ROW()-1)),
   AVERAGEIFS(
     INDEX((unit_details[Effective Rent],unit_details[Effective PSF]),0,1,IF($U$3="Chunk Rent",1,2)),
     unit_details[Leased Date],"&gt;="&amp;($AM$2-X$5),
     unit_details[Leased Date],"&lt;"&amp;$AM$2,
     unit_details[Beds],$L327,
     unit_details[Baths],$M327,
     unit_details[Partial Baths],IF(ISNUMBER($N327),$N327,""),
     unit_details[Sqft],$P327,
     unit_details[Property Name],$F327)
 ),"")</f>
        <v/>
      </c>
      <c r="Z327" s="27" t="str">
        <f t="shared" si="55"/>
        <v/>
      </c>
      <c r="AA327" s="526">
        <f>IFERROR(
  IF($F327="Total",
    SUM(INDEX(AA:AA, ROW()-COUNTIF($F$6:INDEX($F:$F, ROW()-1), $F326)) : INDEX(AA:AA, ROW()-1)),
    COUNTIFS(
      unit_details[Leased Date], "&gt;="&amp;($AM$2-X$5),
      unit_details[Leased Date], "&lt;"&amp;$AM$2,
      unit_details[Beds], $L327,
      unit_details[Baths], $M327,
      unit_details[Partial Baths], IF(ISNUMBER($N327), $N327, ""),
      unit_details[Sqft],$P327,
      unit_details[Property Name], $F327
    )
  ),
"")</f>
        <v>0</v>
      </c>
      <c r="AB327" s="290">
        <f>IF($F327="Total",
SUM(INDEX(AB:AB, ROW()-COUNTIF($F$6:INDEX($F:$F, ROW()-1), $F326)) : INDEX(AB:AB, ROW()-1)),
COUNTIFS(unit_details[Active Listing?],TRUE,
          unit_details[Property Name], $F327,
          unit_details[Beds], $L327,
          unit_details[Baths], $M327,
          unit_details[Partial Baths],IF(ISNUMBER($N327),$N327,""),
          unit_details[Sqft],$P327))</f>
        <v>0</v>
      </c>
      <c r="AC327" s="27" t="str">
        <f t="shared" ref="AC327:AC390" si="58">IFERROR(AB327/R327,"")</f>
        <v/>
      </c>
      <c r="AD327" s="293" t="str">
        <f>IFERROR(IF(AE327="","",IF($F327="Total",
SUMPRODUCT(
   INDEX(AD:AD, ROW()-COUNTIF($F$6:INDEX($F:$F, ROW()-1), $F326)) : INDEX(AD:AD, ROW()-1),
   INDEX(AB:AB, ROW()-COUNTIF($F$6:INDEX($F:$F, ROW()-1), $F326)) : INDEX(AB:AB, ROW()-1)
   )
   /SUM(INDEX(AB:AB, ROW()-COUNTIF($F$6:INDEX($F:$F, ROW()-1), $F326)) : INDEX(AB:AB, ROW()-1)),
          _xlfn.MINIFS(unit_details[Asking Rent],
          unit_details[Active Listing?],TRUE,
          unit_details[Property Name], $F327,
          unit_details[Beds], $L327,
          unit_details[Baths], $M327,
          unit_details[Partial Baths], IF(ISNUMBER($N327),$N327,""),
          unit_details[Sqft],$P327
))),"")</f>
        <v/>
      </c>
      <c r="AE327" s="5" t="str">
        <f>IFERROR(IF($F327="Total",
          SUMPRODUCT(
   INDEX(AE:AE, ROW()-COUNTIF($F$6:INDEX($F:$F, ROW()-1), $F326)) : INDEX(AE:AE, ROW()-1),
   INDEX(AB:AB, ROW()-COUNTIF($F$6:INDEX($F:$F, ROW()-1), $F326)) : INDEX(AB:AB, ROW()-1)
   )
   /SUM(INDEX(AB:AB, ROW()-COUNTIF($F$6:INDEX($F:$F, ROW()-1), $F326)) : INDEX(AB:AB, ROW()-1)),
          AVERAGEIFS(unit_details[Asking Rent],
          unit_details[Active Listing?],TRUE,
          unit_details[Property Name], $F327,
          unit_details[Beds], $L327,
          unit_details[Baths], $M327,
          unit_details[Partial Baths], IF(ISNUMBER($N327),$N327,""),
          unit_details[Sqft],$P327
)),"")</f>
        <v/>
      </c>
      <c r="AF327" s="5" t="str">
        <f>IFERROR(IF(AE327="","",IF($F327="Total",
SUMPRODUCT(
   INDEX(AF:AF, ROW()-COUNTIF($F$6:INDEX($F:$F, ROW()-1), $F326)) : INDEX(AF:AF, ROW()-1),
   INDEX(AB:AB, ROW()-COUNTIF($F$6:INDEX($F:$F, ROW()-1), $F326)) : INDEX(AB:AB, ROW()-1)
   )
   /SUM(INDEX(AB:AB, ROW()-COUNTIF($F$6:INDEX($F:$F, ROW()-1), $F326)) : INDEX(AB:AB, ROW()-1)),
           _xlfn.MAXIFS(unit_details[Asking Rent],
          unit_details[Active Listing?],TRUE,
          unit_details[Property Name], $F327,
          unit_details[Beds], $L327,
          unit_details[Baths], $M327,
          unit_details[Partial Baths], IF(ISNUMBER($N327),$N327,""),
          unit_details[Sqft],$P327
))),"")</f>
        <v/>
      </c>
      <c r="AG327" s="6" t="str">
        <f>IFERROR(IF($F327="Total",
         SUMPRODUCT(
         INDEX(AG:AG, ROW()-COUNTIF($F$6:INDEX($F:$F, ROW()-1), $F326)) : INDEX(AG:AG, ROW()-1),
         INDEX(AB:AB, ROW()-COUNTIF($F$6:INDEX($F:$F, ROW()-1), $F326)) : INDEX(AB:AB, ROW()-1)
         )
         /SUM(INDEX(AB:AB, ROW()-COUNTIF($F$6:INDEX($F:$F, ROW()-1), $F326)) : INDEX(AB:AB, ROW()-1)),
          AVERAGEIFS(unit_details[Asking PSF],
          unit_details[Active Listing?],TRUE,
          unit_details[Property Name], $F327,
          unit_details[Beds], $L327,
          unit_details[Baths], $M327,
          unit_details[Partial Baths], IF(ISNUMBER($N327),$N327,""),
          unit_details[Sqft],$P327
)),"")</f>
        <v/>
      </c>
      <c r="AH327" s="293" t="str">
        <f>IFERROR(IF($F327="Total",
         SUMPRODUCT(
         INDEX(AH:AH, ROW()-COUNTIF($F$6:INDEX($F:$F, ROW()-1), $F326)) : INDEX(AH:AH, ROW()-1),
         INDEX(AB:AB, ROW()-COUNTIF($F$6:INDEX($F:$F, ROW()-1), $F326)) : INDEX(AB:AB, ROW()-1)
         )
         /SUM(INDEX(AB:AB, ROW()-COUNTIF($F$6:INDEX($F:$F, ROW()-1), $F326)) : INDEX(AB:AB, ROW()-1)),
          AVERAGEIFS(unit_details[Effective Rent],
          unit_details[Active Listing?],TRUE,
          unit_details[Property Name], $F327,
          unit_details[Beds], $L327,
          unit_details[Baths], $M327,
          unit_details[Partial Baths], IF(ISNUMBER($N327),$N327,""),
          unit_details[Sqft],$P327
)),"")</f>
        <v/>
      </c>
      <c r="AI327" s="6" t="str">
        <f>IFERROR(IF($F327="Total",
         SUMPRODUCT(
         INDEX(AI:AI, ROW()-COUNTIF($F$6:INDEX($F:$F, ROW()-1), $F326)) : INDEX(AI:AI, ROW()-1),
         INDEX(AB:AB, ROW()-COUNTIF($F$6:INDEX($F:$F, ROW()-1), $F326)) : INDEX(AB:AB, ROW()-1)
         )
         /SUM(INDEX(AB:AB, ROW()-COUNTIF($F$6:INDEX($F:$F, ROW()-1), $F326)) : INDEX(AB:AB, ROW()-1)),
           AVERAGEIFS(unit_details[Effective PSF],
          unit_details[Active Listing?],TRUE,
          unit_details[Property Name], $F327,
          unit_details[Beds], $L327,
          unit_details[Baths], $M327,
          unit_details[Partial Baths], IF(ISNUMBER($N327),$N327,""),
          unit_details[Sqft],$P327
)),"")</f>
        <v/>
      </c>
      <c r="AJ327" s="824" t="str">
        <f t="shared" ref="AJ327:AJ390" si="59">IFERROR((AE327-AH327)/AE327,"")</f>
        <v/>
      </c>
      <c r="AK327" s="531" t="str">
        <f t="shared" ref="AK327:AK390" si="60">IFERROR(
IF(AND($AM$3="Asking Rent",$U$3="Chunk Rent"),$AE327-$T327,
IF(AND($AM$3="Effective Rent",$U$3="Chunk Rent"),$AH327-$U327,
IF(AND($AM$3="Asking Rent",$U$3="Rent PSF"),$AG327-$T327,$AI327-$U327))),"")</f>
        <v/>
      </c>
      <c r="AL327" s="714" t="str">
        <f t="shared" ref="AL327:AL390" si="61">IFERROR(AK327/(IF($AM$3="Asking Rent",T327,U327)),"")</f>
        <v/>
      </c>
      <c r="AM327" s="531" t="str">
        <f t="shared" ref="AM327:AM390" si="62">IFERROR(
IF(AND($AM$3="Asking Rent",$U$3="Chunk Rent"),$AE327-$X327,
IF(AND($AM$3="Effective Rent",$U$3="Chunk Rent"),$AH327-$Y327,
IF(AND($AM$3="Asking Rent",$U$3="Rent PSF"),$AG327-$X327,$AI327-$Y327))),"")</f>
        <v/>
      </c>
      <c r="AN327" s="716" t="str">
        <f t="shared" ref="AN327:AN390" si="63">IFERROR(AM327/(IF($AM$3="Asking Rent",X327,Y327)),"")</f>
        <v/>
      </c>
    </row>
    <row r="328" spans="6:40" x14ac:dyDescent="0.2">
      <c r="F328" s="1" t="str">
        <f t="shared" si="56"/>
        <v/>
      </c>
      <c r="G328" s="713" t="str">
        <f t="shared" ref="G328:G391" si="64">IF(F328=F327,"",F328)</f>
        <v/>
      </c>
      <c r="H328" s="17" t="str">
        <f>IFERROR(VLOOKUP($G328,Table1[[Property]:[Exposure %]],4,0),"")</f>
        <v/>
      </c>
      <c r="I328" s="3" t="str">
        <f>IFERROR(VLOOKUP($G328,Table1[[Property]:[Exposure %]],6,0),"")</f>
        <v/>
      </c>
      <c r="J328" s="3" t="str">
        <f>IFERROR(VLOOKUP($G328,Table1[[Property]:[Exposure %]],7,0),"")</f>
        <v/>
      </c>
      <c r="K328"/>
      <c r="L328"/>
      <c r="M328"/>
      <c r="N328"/>
      <c r="O328"/>
      <c r="P328"/>
      <c r="Q328"/>
      <c r="R328" s="4" t="str">
        <f>IFERROR(VLOOKUP(IF(F328="Total",F327,F328),Table1[[Property]:['# Units]],7,0)*S328,"")</f>
        <v/>
      </c>
      <c r="S328" s="27" t="str">
        <f t="shared" si="57"/>
        <v/>
      </c>
      <c r="T328" s="531" t="str">
        <f>IFERROR(
 IF($F328="Total",
   SUMPRODUCT(
   INDEX(T:T, ROW()-COUNTIF($F$6:INDEX($F:$F, ROW()-1), $F327)) : INDEX(T:T, ROW()-1),
   INDEX(W:W, ROW()-COUNTIF($F$6:INDEX($F:$F, ROW()-1), $F327)) : INDEX(W:W, ROW()-1)
   )
   /SUM(INDEX(W:W, ROW()-COUNTIF($F$6:INDEX($F:$F, ROW()-1), $F327)) : INDEX(W:W, ROW()-1)),
   AVERAGEIFS(
     INDEX((unit_details[Asking Rent],unit_details[Asking PSF]),0,1,IF($U$3="Chunk Rent",1,2)),
     unit_details[Leased Date],"&gt;="&amp;($AM$2-T$5),
     unit_details[Leased Date],"&lt;"&amp;$AM$2,
     unit_details[Beds],$L328,
     unit_details[Baths],$M328,
     unit_details[Partial Baths],IF(ISNUMBER($N328),$N328,""),
     unit_details[Sqft],$P328,
     unit_details[Property Name],$F328)
 ),"")</f>
        <v/>
      </c>
      <c r="U328" s="552" t="str">
        <f>IFERROR(
 IF($F328="Total",
   SUMPRODUCT(
   INDEX(U:U, ROW()-COUNTIF($F$6:INDEX($F:$F, ROW()-1), $F327)) : INDEX(U:U, ROW()-1),
   INDEX(W:W, ROW()-COUNTIF($F$6:INDEX($F:$F, ROW()-1), $F327)) : INDEX(W:W, ROW()-1)
   )
   /SUM(INDEX(W:W, ROW()-COUNTIF($F$6:INDEX($F:$F, ROW()-1), $F327)) : INDEX(W:W, ROW()-1)),
   AVERAGEIFS(
     INDEX((unit_details[Effective Rent],unit_details[Effective PSF]),0,1,IF($U$3="Chunk Rent",1,2)),
     unit_details[Leased Date],"&gt;="&amp;($AM$2-T$5),
     unit_details[Leased Date],"&lt;"&amp;$AM$2,
     unit_details[Beds],$L328,
     unit_details[Baths],$M328,
     unit_details[Partial Baths],IF(ISNUMBER($N328),$N328,""),
     unit_details[Sqft],$P328,
     unit_details[Property Name],$F328)
 ),"")</f>
        <v/>
      </c>
      <c r="V328" s="27" t="str">
        <f t="shared" ref="V328:V391" si="65">IFERROR(IF((T328-U328)/T328=0,"",(T328-U328)/T328),"")</f>
        <v/>
      </c>
      <c r="W328" s="526">
        <f>IFERROR(
  IF($F328="Total",
    SUM(INDEX(W:W, ROW()-COUNTIF($F$6:INDEX($F:$F, ROW()-1), $F327)) : INDEX(W:W, ROW()-1)),
    COUNTIFS(
      unit_details[Leased Date], "&gt;="&amp;($AM$2-T$5),
      unit_details[Leased Date], "&lt;"&amp;$AM$2,
      unit_details[Beds], $L328,
      unit_details[Baths], $M328,
      unit_details[Partial Baths], IF(ISNUMBER($N328), $N328, ""),
      unit_details[Sqft],$P328,
      unit_details[Property Name], $F328
    )
  ),
"")</f>
        <v>0</v>
      </c>
      <c r="X328" s="531" t="str">
        <f>IFERROR(
 IF($F328="Total",
   SUMPRODUCT(
   INDEX(X:X, ROW()-COUNTIF($F$6:INDEX($F:$F, ROW()-1), $F327)) : INDEX(X:X, ROW()-1),
   INDEX(AA:AA, ROW()-COUNTIF($F$6:INDEX($F:$F, ROW()-1), $F327)) : INDEX(AA:AA, ROW()-1)
   )
   /SUM(INDEX(AA:AA, ROW()-COUNTIF($F$6:INDEX($F:$F, ROW()-1), $F327)) : INDEX(AA:AA, ROW()-1)),
   AVERAGEIFS(
     INDEX((unit_details[Asking Rent],unit_details[Asking PSF]),0,1,IF($U$3="Chunk Rent",1,2)),
     unit_details[Leased Date],"&gt;="&amp;($AM$2-X$5),
     unit_details[Leased Date],"&lt;"&amp;$AM$2,
     unit_details[Beds],$L328,
     unit_details[Baths],$M328,
     unit_details[Partial Baths],IF(ISNUMBER($N328),$N328,""),
     unit_details[Sqft],$P328,
     unit_details[Property Name],$F328)
 ),"")</f>
        <v/>
      </c>
      <c r="Y328" s="552" t="str">
        <f>IFERROR(
 IF($F328="Total",
   SUMPRODUCT(
   INDEX(Y:Y, ROW()-COUNTIF($F$6:INDEX($F:$F, ROW()-1), $F327)) : INDEX(Y:Y, ROW()-1),
   INDEX(AA:AA, ROW()-COUNTIF($F$6:INDEX($F:$F, ROW()-1), $F327)) : INDEX(AA:AA, ROW()-1)
   )
   /SUM(INDEX(AA:AA, ROW()-COUNTIF($F$6:INDEX($F:$F, ROW()-1), $F327)) : INDEX(AA:AA, ROW()-1)),
   AVERAGEIFS(
     INDEX((unit_details[Effective Rent],unit_details[Effective PSF]),0,1,IF($U$3="Chunk Rent",1,2)),
     unit_details[Leased Date],"&gt;="&amp;($AM$2-X$5),
     unit_details[Leased Date],"&lt;"&amp;$AM$2,
     unit_details[Beds],$L328,
     unit_details[Baths],$M328,
     unit_details[Partial Baths],IF(ISNUMBER($N328),$N328,""),
     unit_details[Sqft],$P328,
     unit_details[Property Name],$F328)
 ),"")</f>
        <v/>
      </c>
      <c r="Z328" s="27" t="str">
        <f t="shared" ref="Z328:Z391" si="66">IFERROR(IF((X328-Y328)/X328=0,"",(X328-Y328)/X328),"")</f>
        <v/>
      </c>
      <c r="AA328" s="526">
        <f>IFERROR(
  IF($F328="Total",
    SUM(INDEX(AA:AA, ROW()-COUNTIF($F$6:INDEX($F:$F, ROW()-1), $F327)) : INDEX(AA:AA, ROW()-1)),
    COUNTIFS(
      unit_details[Leased Date], "&gt;="&amp;($AM$2-X$5),
      unit_details[Leased Date], "&lt;"&amp;$AM$2,
      unit_details[Beds], $L328,
      unit_details[Baths], $M328,
      unit_details[Partial Baths], IF(ISNUMBER($N328), $N328, ""),
      unit_details[Sqft],$P328,
      unit_details[Property Name], $F328
    )
  ),
"")</f>
        <v>0</v>
      </c>
      <c r="AB328" s="290">
        <f>IF($F328="Total",
SUM(INDEX(AB:AB, ROW()-COUNTIF($F$6:INDEX($F:$F, ROW()-1), $F327)) : INDEX(AB:AB, ROW()-1)),
COUNTIFS(unit_details[Active Listing?],TRUE,
          unit_details[Property Name], $F328,
          unit_details[Beds], $L328,
          unit_details[Baths], $M328,
          unit_details[Partial Baths],IF(ISNUMBER($N328),$N328,""),
          unit_details[Sqft],$P328))</f>
        <v>0</v>
      </c>
      <c r="AC328" s="27" t="str">
        <f t="shared" si="58"/>
        <v/>
      </c>
      <c r="AD328" s="293" t="str">
        <f>IFERROR(IF(AE328="","",IF($F328="Total",
SUMPRODUCT(
   INDEX(AD:AD, ROW()-COUNTIF($F$6:INDEX($F:$F, ROW()-1), $F327)) : INDEX(AD:AD, ROW()-1),
   INDEX(AB:AB, ROW()-COUNTIF($F$6:INDEX($F:$F, ROW()-1), $F327)) : INDEX(AB:AB, ROW()-1)
   )
   /SUM(INDEX(AB:AB, ROW()-COUNTIF($F$6:INDEX($F:$F, ROW()-1), $F327)) : INDEX(AB:AB, ROW()-1)),
          _xlfn.MINIFS(unit_details[Asking Rent],
          unit_details[Active Listing?],TRUE,
          unit_details[Property Name], $F328,
          unit_details[Beds], $L328,
          unit_details[Baths], $M328,
          unit_details[Partial Baths], IF(ISNUMBER($N328),$N328,""),
          unit_details[Sqft],$P328
))),"")</f>
        <v/>
      </c>
      <c r="AE328" s="5" t="str">
        <f>IFERROR(IF($F328="Total",
          SUMPRODUCT(
   INDEX(AE:AE, ROW()-COUNTIF($F$6:INDEX($F:$F, ROW()-1), $F327)) : INDEX(AE:AE, ROW()-1),
   INDEX(AB:AB, ROW()-COUNTIF($F$6:INDEX($F:$F, ROW()-1), $F327)) : INDEX(AB:AB, ROW()-1)
   )
   /SUM(INDEX(AB:AB, ROW()-COUNTIF($F$6:INDEX($F:$F, ROW()-1), $F327)) : INDEX(AB:AB, ROW()-1)),
          AVERAGEIFS(unit_details[Asking Rent],
          unit_details[Active Listing?],TRUE,
          unit_details[Property Name], $F328,
          unit_details[Beds], $L328,
          unit_details[Baths], $M328,
          unit_details[Partial Baths], IF(ISNUMBER($N328),$N328,""),
          unit_details[Sqft],$P328
)),"")</f>
        <v/>
      </c>
      <c r="AF328" s="5" t="str">
        <f>IFERROR(IF(AE328="","",IF($F328="Total",
SUMPRODUCT(
   INDEX(AF:AF, ROW()-COUNTIF($F$6:INDEX($F:$F, ROW()-1), $F327)) : INDEX(AF:AF, ROW()-1),
   INDEX(AB:AB, ROW()-COUNTIF($F$6:INDEX($F:$F, ROW()-1), $F327)) : INDEX(AB:AB, ROW()-1)
   )
   /SUM(INDEX(AB:AB, ROW()-COUNTIF($F$6:INDEX($F:$F, ROW()-1), $F327)) : INDEX(AB:AB, ROW()-1)),
           _xlfn.MAXIFS(unit_details[Asking Rent],
          unit_details[Active Listing?],TRUE,
          unit_details[Property Name], $F328,
          unit_details[Beds], $L328,
          unit_details[Baths], $M328,
          unit_details[Partial Baths], IF(ISNUMBER($N328),$N328,""),
          unit_details[Sqft],$P328
))),"")</f>
        <v/>
      </c>
      <c r="AG328" s="6" t="str">
        <f>IFERROR(IF($F328="Total",
         SUMPRODUCT(
         INDEX(AG:AG, ROW()-COUNTIF($F$6:INDEX($F:$F, ROW()-1), $F327)) : INDEX(AG:AG, ROW()-1),
         INDEX(AB:AB, ROW()-COUNTIF($F$6:INDEX($F:$F, ROW()-1), $F327)) : INDEX(AB:AB, ROW()-1)
         )
         /SUM(INDEX(AB:AB, ROW()-COUNTIF($F$6:INDEX($F:$F, ROW()-1), $F327)) : INDEX(AB:AB, ROW()-1)),
          AVERAGEIFS(unit_details[Asking PSF],
          unit_details[Active Listing?],TRUE,
          unit_details[Property Name], $F328,
          unit_details[Beds], $L328,
          unit_details[Baths], $M328,
          unit_details[Partial Baths], IF(ISNUMBER($N328),$N328,""),
          unit_details[Sqft],$P328
)),"")</f>
        <v/>
      </c>
      <c r="AH328" s="293" t="str">
        <f>IFERROR(IF($F328="Total",
         SUMPRODUCT(
         INDEX(AH:AH, ROW()-COUNTIF($F$6:INDEX($F:$F, ROW()-1), $F327)) : INDEX(AH:AH, ROW()-1),
         INDEX(AB:AB, ROW()-COUNTIF($F$6:INDEX($F:$F, ROW()-1), $F327)) : INDEX(AB:AB, ROW()-1)
         )
         /SUM(INDEX(AB:AB, ROW()-COUNTIF($F$6:INDEX($F:$F, ROW()-1), $F327)) : INDEX(AB:AB, ROW()-1)),
          AVERAGEIFS(unit_details[Effective Rent],
          unit_details[Active Listing?],TRUE,
          unit_details[Property Name], $F328,
          unit_details[Beds], $L328,
          unit_details[Baths], $M328,
          unit_details[Partial Baths], IF(ISNUMBER($N328),$N328,""),
          unit_details[Sqft],$P328
)),"")</f>
        <v/>
      </c>
      <c r="AI328" s="6" t="str">
        <f>IFERROR(IF($F328="Total",
         SUMPRODUCT(
         INDEX(AI:AI, ROW()-COUNTIF($F$6:INDEX($F:$F, ROW()-1), $F327)) : INDEX(AI:AI, ROW()-1),
         INDEX(AB:AB, ROW()-COUNTIF($F$6:INDEX($F:$F, ROW()-1), $F327)) : INDEX(AB:AB, ROW()-1)
         )
         /SUM(INDEX(AB:AB, ROW()-COUNTIF($F$6:INDEX($F:$F, ROW()-1), $F327)) : INDEX(AB:AB, ROW()-1)),
           AVERAGEIFS(unit_details[Effective PSF],
          unit_details[Active Listing?],TRUE,
          unit_details[Property Name], $F328,
          unit_details[Beds], $L328,
          unit_details[Baths], $M328,
          unit_details[Partial Baths], IF(ISNUMBER($N328),$N328,""),
          unit_details[Sqft],$P328
)),"")</f>
        <v/>
      </c>
      <c r="AJ328" s="824" t="str">
        <f t="shared" si="59"/>
        <v/>
      </c>
      <c r="AK328" s="531" t="str">
        <f t="shared" si="60"/>
        <v/>
      </c>
      <c r="AL328" s="714" t="str">
        <f t="shared" si="61"/>
        <v/>
      </c>
      <c r="AM328" s="531" t="str">
        <f t="shared" si="62"/>
        <v/>
      </c>
      <c r="AN328" s="716" t="str">
        <f t="shared" si="63"/>
        <v/>
      </c>
    </row>
    <row r="329" spans="6:40" x14ac:dyDescent="0.2">
      <c r="F329" s="1" t="str">
        <f t="shared" si="56"/>
        <v/>
      </c>
      <c r="G329" s="713" t="str">
        <f t="shared" si="64"/>
        <v/>
      </c>
      <c r="H329" s="17" t="str">
        <f>IFERROR(VLOOKUP($G329,Table1[[Property]:[Exposure %]],4,0),"")</f>
        <v/>
      </c>
      <c r="I329" s="3" t="str">
        <f>IFERROR(VLOOKUP($G329,Table1[[Property]:[Exposure %]],6,0),"")</f>
        <v/>
      </c>
      <c r="J329" s="3" t="str">
        <f>IFERROR(VLOOKUP($G329,Table1[[Property]:[Exposure %]],7,0),"")</f>
        <v/>
      </c>
      <c r="K329"/>
      <c r="L329"/>
      <c r="M329"/>
      <c r="N329"/>
      <c r="O329"/>
      <c r="P329"/>
      <c r="Q329"/>
      <c r="R329" s="4" t="str">
        <f>IFERROR(VLOOKUP(IF(F329="Total",F328,F329),Table1[[Property]:['# Units]],7,0)*S329,"")</f>
        <v/>
      </c>
      <c r="S329" s="27" t="str">
        <f t="shared" si="57"/>
        <v/>
      </c>
      <c r="T329" s="531" t="str">
        <f>IFERROR(
 IF($F329="Total",
   SUMPRODUCT(
   INDEX(T:T, ROW()-COUNTIF($F$6:INDEX($F:$F, ROW()-1), $F328)) : INDEX(T:T, ROW()-1),
   INDEX(W:W, ROW()-COUNTIF($F$6:INDEX($F:$F, ROW()-1), $F328)) : INDEX(W:W, ROW()-1)
   )
   /SUM(INDEX(W:W, ROW()-COUNTIF($F$6:INDEX($F:$F, ROW()-1), $F328)) : INDEX(W:W, ROW()-1)),
   AVERAGEIFS(
     INDEX((unit_details[Asking Rent],unit_details[Asking PSF]),0,1,IF($U$3="Chunk Rent",1,2)),
     unit_details[Leased Date],"&gt;="&amp;($AM$2-T$5),
     unit_details[Leased Date],"&lt;"&amp;$AM$2,
     unit_details[Beds],$L329,
     unit_details[Baths],$M329,
     unit_details[Partial Baths],IF(ISNUMBER($N329),$N329,""),
     unit_details[Sqft],$P329,
     unit_details[Property Name],$F329)
 ),"")</f>
        <v/>
      </c>
      <c r="U329" s="552" t="str">
        <f>IFERROR(
 IF($F329="Total",
   SUMPRODUCT(
   INDEX(U:U, ROW()-COUNTIF($F$6:INDEX($F:$F, ROW()-1), $F328)) : INDEX(U:U, ROW()-1),
   INDEX(W:W, ROW()-COUNTIF($F$6:INDEX($F:$F, ROW()-1), $F328)) : INDEX(W:W, ROW()-1)
   )
   /SUM(INDEX(W:W, ROW()-COUNTIF($F$6:INDEX($F:$F, ROW()-1), $F328)) : INDEX(W:W, ROW()-1)),
   AVERAGEIFS(
     INDEX((unit_details[Effective Rent],unit_details[Effective PSF]),0,1,IF($U$3="Chunk Rent",1,2)),
     unit_details[Leased Date],"&gt;="&amp;($AM$2-T$5),
     unit_details[Leased Date],"&lt;"&amp;$AM$2,
     unit_details[Beds],$L329,
     unit_details[Baths],$M329,
     unit_details[Partial Baths],IF(ISNUMBER($N329),$N329,""),
     unit_details[Sqft],$P329,
     unit_details[Property Name],$F329)
 ),"")</f>
        <v/>
      </c>
      <c r="V329" s="27" t="str">
        <f t="shared" si="65"/>
        <v/>
      </c>
      <c r="W329" s="526">
        <f>IFERROR(
  IF($F329="Total",
    SUM(INDEX(W:W, ROW()-COUNTIF($F$6:INDEX($F:$F, ROW()-1), $F328)) : INDEX(W:W, ROW()-1)),
    COUNTIFS(
      unit_details[Leased Date], "&gt;="&amp;($AM$2-T$5),
      unit_details[Leased Date], "&lt;"&amp;$AM$2,
      unit_details[Beds], $L329,
      unit_details[Baths], $M329,
      unit_details[Partial Baths], IF(ISNUMBER($N329), $N329, ""),
      unit_details[Sqft],$P329,
      unit_details[Property Name], $F329
    )
  ),
"")</f>
        <v>0</v>
      </c>
      <c r="X329" s="531" t="str">
        <f>IFERROR(
 IF($F329="Total",
   SUMPRODUCT(
   INDEX(X:X, ROW()-COUNTIF($F$6:INDEX($F:$F, ROW()-1), $F328)) : INDEX(X:X, ROW()-1),
   INDEX(AA:AA, ROW()-COUNTIF($F$6:INDEX($F:$F, ROW()-1), $F328)) : INDEX(AA:AA, ROW()-1)
   )
   /SUM(INDEX(AA:AA, ROW()-COUNTIF($F$6:INDEX($F:$F, ROW()-1), $F328)) : INDEX(AA:AA, ROW()-1)),
   AVERAGEIFS(
     INDEX((unit_details[Asking Rent],unit_details[Asking PSF]),0,1,IF($U$3="Chunk Rent",1,2)),
     unit_details[Leased Date],"&gt;="&amp;($AM$2-X$5),
     unit_details[Leased Date],"&lt;"&amp;$AM$2,
     unit_details[Beds],$L329,
     unit_details[Baths],$M329,
     unit_details[Partial Baths],IF(ISNUMBER($N329),$N329,""),
     unit_details[Sqft],$P329,
     unit_details[Property Name],$F329)
 ),"")</f>
        <v/>
      </c>
      <c r="Y329" s="552" t="str">
        <f>IFERROR(
 IF($F329="Total",
   SUMPRODUCT(
   INDEX(Y:Y, ROW()-COUNTIF($F$6:INDEX($F:$F, ROW()-1), $F328)) : INDEX(Y:Y, ROW()-1),
   INDEX(AA:AA, ROW()-COUNTIF($F$6:INDEX($F:$F, ROW()-1), $F328)) : INDEX(AA:AA, ROW()-1)
   )
   /SUM(INDEX(AA:AA, ROW()-COUNTIF($F$6:INDEX($F:$F, ROW()-1), $F328)) : INDEX(AA:AA, ROW()-1)),
   AVERAGEIFS(
     INDEX((unit_details[Effective Rent],unit_details[Effective PSF]),0,1,IF($U$3="Chunk Rent",1,2)),
     unit_details[Leased Date],"&gt;="&amp;($AM$2-X$5),
     unit_details[Leased Date],"&lt;"&amp;$AM$2,
     unit_details[Beds],$L329,
     unit_details[Baths],$M329,
     unit_details[Partial Baths],IF(ISNUMBER($N329),$N329,""),
     unit_details[Sqft],$P329,
     unit_details[Property Name],$F329)
 ),"")</f>
        <v/>
      </c>
      <c r="Z329" s="27" t="str">
        <f t="shared" si="66"/>
        <v/>
      </c>
      <c r="AA329" s="526">
        <f>IFERROR(
  IF($F329="Total",
    SUM(INDEX(AA:AA, ROW()-COUNTIF($F$6:INDEX($F:$F, ROW()-1), $F328)) : INDEX(AA:AA, ROW()-1)),
    COUNTIFS(
      unit_details[Leased Date], "&gt;="&amp;($AM$2-X$5),
      unit_details[Leased Date], "&lt;"&amp;$AM$2,
      unit_details[Beds], $L329,
      unit_details[Baths], $M329,
      unit_details[Partial Baths], IF(ISNUMBER($N329), $N329, ""),
      unit_details[Sqft],$P329,
      unit_details[Property Name], $F329
    )
  ),
"")</f>
        <v>0</v>
      </c>
      <c r="AB329" s="290">
        <f>IF($F329="Total",
SUM(INDEX(AB:AB, ROW()-COUNTIF($F$6:INDEX($F:$F, ROW()-1), $F328)) : INDEX(AB:AB, ROW()-1)),
COUNTIFS(unit_details[Active Listing?],TRUE,
          unit_details[Property Name], $F329,
          unit_details[Beds], $L329,
          unit_details[Baths], $M329,
          unit_details[Partial Baths],IF(ISNUMBER($N329),$N329,""),
          unit_details[Sqft],$P329))</f>
        <v>0</v>
      </c>
      <c r="AC329" s="27" t="str">
        <f t="shared" si="58"/>
        <v/>
      </c>
      <c r="AD329" s="293" t="str">
        <f>IFERROR(IF(AE329="","",IF($F329="Total",
SUMPRODUCT(
   INDEX(AD:AD, ROW()-COUNTIF($F$6:INDEX($F:$F, ROW()-1), $F328)) : INDEX(AD:AD, ROW()-1),
   INDEX(AB:AB, ROW()-COUNTIF($F$6:INDEX($F:$F, ROW()-1), $F328)) : INDEX(AB:AB, ROW()-1)
   )
   /SUM(INDEX(AB:AB, ROW()-COUNTIF($F$6:INDEX($F:$F, ROW()-1), $F328)) : INDEX(AB:AB, ROW()-1)),
          _xlfn.MINIFS(unit_details[Asking Rent],
          unit_details[Active Listing?],TRUE,
          unit_details[Property Name], $F329,
          unit_details[Beds], $L329,
          unit_details[Baths], $M329,
          unit_details[Partial Baths], IF(ISNUMBER($N329),$N329,""),
          unit_details[Sqft],$P329
))),"")</f>
        <v/>
      </c>
      <c r="AE329" s="5" t="str">
        <f>IFERROR(IF($F329="Total",
          SUMPRODUCT(
   INDEX(AE:AE, ROW()-COUNTIF($F$6:INDEX($F:$F, ROW()-1), $F328)) : INDEX(AE:AE, ROW()-1),
   INDEX(AB:AB, ROW()-COUNTIF($F$6:INDEX($F:$F, ROW()-1), $F328)) : INDEX(AB:AB, ROW()-1)
   )
   /SUM(INDEX(AB:AB, ROW()-COUNTIF($F$6:INDEX($F:$F, ROW()-1), $F328)) : INDEX(AB:AB, ROW()-1)),
          AVERAGEIFS(unit_details[Asking Rent],
          unit_details[Active Listing?],TRUE,
          unit_details[Property Name], $F329,
          unit_details[Beds], $L329,
          unit_details[Baths], $M329,
          unit_details[Partial Baths], IF(ISNUMBER($N329),$N329,""),
          unit_details[Sqft],$P329
)),"")</f>
        <v/>
      </c>
      <c r="AF329" s="5" t="str">
        <f>IFERROR(IF(AE329="","",IF($F329="Total",
SUMPRODUCT(
   INDEX(AF:AF, ROW()-COUNTIF($F$6:INDEX($F:$F, ROW()-1), $F328)) : INDEX(AF:AF, ROW()-1),
   INDEX(AB:AB, ROW()-COUNTIF($F$6:INDEX($F:$F, ROW()-1), $F328)) : INDEX(AB:AB, ROW()-1)
   )
   /SUM(INDEX(AB:AB, ROW()-COUNTIF($F$6:INDEX($F:$F, ROW()-1), $F328)) : INDEX(AB:AB, ROW()-1)),
           _xlfn.MAXIFS(unit_details[Asking Rent],
          unit_details[Active Listing?],TRUE,
          unit_details[Property Name], $F329,
          unit_details[Beds], $L329,
          unit_details[Baths], $M329,
          unit_details[Partial Baths], IF(ISNUMBER($N329),$N329,""),
          unit_details[Sqft],$P329
))),"")</f>
        <v/>
      </c>
      <c r="AG329" s="6" t="str">
        <f>IFERROR(IF($F329="Total",
         SUMPRODUCT(
         INDEX(AG:AG, ROW()-COUNTIF($F$6:INDEX($F:$F, ROW()-1), $F328)) : INDEX(AG:AG, ROW()-1),
         INDEX(AB:AB, ROW()-COUNTIF($F$6:INDEX($F:$F, ROW()-1), $F328)) : INDEX(AB:AB, ROW()-1)
         )
         /SUM(INDEX(AB:AB, ROW()-COUNTIF($F$6:INDEX($F:$F, ROW()-1), $F328)) : INDEX(AB:AB, ROW()-1)),
          AVERAGEIFS(unit_details[Asking PSF],
          unit_details[Active Listing?],TRUE,
          unit_details[Property Name], $F329,
          unit_details[Beds], $L329,
          unit_details[Baths], $M329,
          unit_details[Partial Baths], IF(ISNUMBER($N329),$N329,""),
          unit_details[Sqft],$P329
)),"")</f>
        <v/>
      </c>
      <c r="AH329" s="293" t="str">
        <f>IFERROR(IF($F329="Total",
         SUMPRODUCT(
         INDEX(AH:AH, ROW()-COUNTIF($F$6:INDEX($F:$F, ROW()-1), $F328)) : INDEX(AH:AH, ROW()-1),
         INDEX(AB:AB, ROW()-COUNTIF($F$6:INDEX($F:$F, ROW()-1), $F328)) : INDEX(AB:AB, ROW()-1)
         )
         /SUM(INDEX(AB:AB, ROW()-COUNTIF($F$6:INDEX($F:$F, ROW()-1), $F328)) : INDEX(AB:AB, ROW()-1)),
          AVERAGEIFS(unit_details[Effective Rent],
          unit_details[Active Listing?],TRUE,
          unit_details[Property Name], $F329,
          unit_details[Beds], $L329,
          unit_details[Baths], $M329,
          unit_details[Partial Baths], IF(ISNUMBER($N329),$N329,""),
          unit_details[Sqft],$P329
)),"")</f>
        <v/>
      </c>
      <c r="AI329" s="6" t="str">
        <f>IFERROR(IF($F329="Total",
         SUMPRODUCT(
         INDEX(AI:AI, ROW()-COUNTIF($F$6:INDEX($F:$F, ROW()-1), $F328)) : INDEX(AI:AI, ROW()-1),
         INDEX(AB:AB, ROW()-COUNTIF($F$6:INDEX($F:$F, ROW()-1), $F328)) : INDEX(AB:AB, ROW()-1)
         )
         /SUM(INDEX(AB:AB, ROW()-COUNTIF($F$6:INDEX($F:$F, ROW()-1), $F328)) : INDEX(AB:AB, ROW()-1)),
           AVERAGEIFS(unit_details[Effective PSF],
          unit_details[Active Listing?],TRUE,
          unit_details[Property Name], $F329,
          unit_details[Beds], $L329,
          unit_details[Baths], $M329,
          unit_details[Partial Baths], IF(ISNUMBER($N329),$N329,""),
          unit_details[Sqft],$P329
)),"")</f>
        <v/>
      </c>
      <c r="AJ329" s="824" t="str">
        <f t="shared" si="59"/>
        <v/>
      </c>
      <c r="AK329" s="531" t="str">
        <f t="shared" si="60"/>
        <v/>
      </c>
      <c r="AL329" s="714" t="str">
        <f t="shared" si="61"/>
        <v/>
      </c>
      <c r="AM329" s="531" t="str">
        <f t="shared" si="62"/>
        <v/>
      </c>
      <c r="AN329" s="716" t="str">
        <f t="shared" si="63"/>
        <v/>
      </c>
    </row>
    <row r="330" spans="6:40" x14ac:dyDescent="0.2">
      <c r="F330" s="1" t="str">
        <f t="shared" si="56"/>
        <v/>
      </c>
      <c r="G330" s="713" t="str">
        <f t="shared" si="64"/>
        <v/>
      </c>
      <c r="H330" s="17" t="str">
        <f>IFERROR(VLOOKUP($G330,Table1[[Property]:[Exposure %]],4,0),"")</f>
        <v/>
      </c>
      <c r="I330" s="3" t="str">
        <f>IFERROR(VLOOKUP($G330,Table1[[Property]:[Exposure %]],6,0),"")</f>
        <v/>
      </c>
      <c r="J330" s="3" t="str">
        <f>IFERROR(VLOOKUP($G330,Table1[[Property]:[Exposure %]],7,0),"")</f>
        <v/>
      </c>
      <c r="K330"/>
      <c r="L330"/>
      <c r="M330"/>
      <c r="N330"/>
      <c r="O330"/>
      <c r="P330"/>
      <c r="Q330"/>
      <c r="R330" s="4" t="str">
        <f>IFERROR(VLOOKUP(IF(F330="Total",F329,F330),Table1[[Property]:['# Units]],7,0)*S330,"")</f>
        <v/>
      </c>
      <c r="S330" s="27" t="str">
        <f t="shared" si="57"/>
        <v/>
      </c>
      <c r="T330" s="531" t="str">
        <f>IFERROR(
 IF($F330="Total",
   SUMPRODUCT(
   INDEX(T:T, ROW()-COUNTIF($F$6:INDEX($F:$F, ROW()-1), $F329)) : INDEX(T:T, ROW()-1),
   INDEX(W:W, ROW()-COUNTIF($F$6:INDEX($F:$F, ROW()-1), $F329)) : INDEX(W:W, ROW()-1)
   )
   /SUM(INDEX(W:W, ROW()-COUNTIF($F$6:INDEX($F:$F, ROW()-1), $F329)) : INDEX(W:W, ROW()-1)),
   AVERAGEIFS(
     INDEX((unit_details[Asking Rent],unit_details[Asking PSF]),0,1,IF($U$3="Chunk Rent",1,2)),
     unit_details[Leased Date],"&gt;="&amp;($AM$2-T$5),
     unit_details[Leased Date],"&lt;"&amp;$AM$2,
     unit_details[Beds],$L330,
     unit_details[Baths],$M330,
     unit_details[Partial Baths],IF(ISNUMBER($N330),$N330,""),
     unit_details[Sqft],$P330,
     unit_details[Property Name],$F330)
 ),"")</f>
        <v/>
      </c>
      <c r="U330" s="552" t="str">
        <f>IFERROR(
 IF($F330="Total",
   SUMPRODUCT(
   INDEX(U:U, ROW()-COUNTIF($F$6:INDEX($F:$F, ROW()-1), $F329)) : INDEX(U:U, ROW()-1),
   INDEX(W:W, ROW()-COUNTIF($F$6:INDEX($F:$F, ROW()-1), $F329)) : INDEX(W:W, ROW()-1)
   )
   /SUM(INDEX(W:W, ROW()-COUNTIF($F$6:INDEX($F:$F, ROW()-1), $F329)) : INDEX(W:W, ROW()-1)),
   AVERAGEIFS(
     INDEX((unit_details[Effective Rent],unit_details[Effective PSF]),0,1,IF($U$3="Chunk Rent",1,2)),
     unit_details[Leased Date],"&gt;="&amp;($AM$2-T$5),
     unit_details[Leased Date],"&lt;"&amp;$AM$2,
     unit_details[Beds],$L330,
     unit_details[Baths],$M330,
     unit_details[Partial Baths],IF(ISNUMBER($N330),$N330,""),
     unit_details[Sqft],$P330,
     unit_details[Property Name],$F330)
 ),"")</f>
        <v/>
      </c>
      <c r="V330" s="27" t="str">
        <f t="shared" si="65"/>
        <v/>
      </c>
      <c r="W330" s="526">
        <f>IFERROR(
  IF($F330="Total",
    SUM(INDEX(W:W, ROW()-COUNTIF($F$6:INDEX($F:$F, ROW()-1), $F329)) : INDEX(W:W, ROW()-1)),
    COUNTIFS(
      unit_details[Leased Date], "&gt;="&amp;($AM$2-T$5),
      unit_details[Leased Date], "&lt;"&amp;$AM$2,
      unit_details[Beds], $L330,
      unit_details[Baths], $M330,
      unit_details[Partial Baths], IF(ISNUMBER($N330), $N330, ""),
      unit_details[Sqft],$P330,
      unit_details[Property Name], $F330
    )
  ),
"")</f>
        <v>0</v>
      </c>
      <c r="X330" s="531" t="str">
        <f>IFERROR(
 IF($F330="Total",
   SUMPRODUCT(
   INDEX(X:X, ROW()-COUNTIF($F$6:INDEX($F:$F, ROW()-1), $F329)) : INDEX(X:X, ROW()-1),
   INDEX(AA:AA, ROW()-COUNTIF($F$6:INDEX($F:$F, ROW()-1), $F329)) : INDEX(AA:AA, ROW()-1)
   )
   /SUM(INDEX(AA:AA, ROW()-COUNTIF($F$6:INDEX($F:$F, ROW()-1), $F329)) : INDEX(AA:AA, ROW()-1)),
   AVERAGEIFS(
     INDEX((unit_details[Asking Rent],unit_details[Asking PSF]),0,1,IF($U$3="Chunk Rent",1,2)),
     unit_details[Leased Date],"&gt;="&amp;($AM$2-X$5),
     unit_details[Leased Date],"&lt;"&amp;$AM$2,
     unit_details[Beds],$L330,
     unit_details[Baths],$M330,
     unit_details[Partial Baths],IF(ISNUMBER($N330),$N330,""),
     unit_details[Sqft],$P330,
     unit_details[Property Name],$F330)
 ),"")</f>
        <v/>
      </c>
      <c r="Y330" s="552" t="str">
        <f>IFERROR(
 IF($F330="Total",
   SUMPRODUCT(
   INDEX(Y:Y, ROW()-COUNTIF($F$6:INDEX($F:$F, ROW()-1), $F329)) : INDEX(Y:Y, ROW()-1),
   INDEX(AA:AA, ROW()-COUNTIF($F$6:INDEX($F:$F, ROW()-1), $F329)) : INDEX(AA:AA, ROW()-1)
   )
   /SUM(INDEX(AA:AA, ROW()-COUNTIF($F$6:INDEX($F:$F, ROW()-1), $F329)) : INDEX(AA:AA, ROW()-1)),
   AVERAGEIFS(
     INDEX((unit_details[Effective Rent],unit_details[Effective PSF]),0,1,IF($U$3="Chunk Rent",1,2)),
     unit_details[Leased Date],"&gt;="&amp;($AM$2-X$5),
     unit_details[Leased Date],"&lt;"&amp;$AM$2,
     unit_details[Beds],$L330,
     unit_details[Baths],$M330,
     unit_details[Partial Baths],IF(ISNUMBER($N330),$N330,""),
     unit_details[Sqft],$P330,
     unit_details[Property Name],$F330)
 ),"")</f>
        <v/>
      </c>
      <c r="Z330" s="27" t="str">
        <f t="shared" si="66"/>
        <v/>
      </c>
      <c r="AA330" s="526">
        <f>IFERROR(
  IF($F330="Total",
    SUM(INDEX(AA:AA, ROW()-COUNTIF($F$6:INDEX($F:$F, ROW()-1), $F329)) : INDEX(AA:AA, ROW()-1)),
    COUNTIFS(
      unit_details[Leased Date], "&gt;="&amp;($AM$2-X$5),
      unit_details[Leased Date], "&lt;"&amp;$AM$2,
      unit_details[Beds], $L330,
      unit_details[Baths], $M330,
      unit_details[Partial Baths], IF(ISNUMBER($N330), $N330, ""),
      unit_details[Sqft],$P330,
      unit_details[Property Name], $F330
    )
  ),
"")</f>
        <v>0</v>
      </c>
      <c r="AB330" s="290">
        <f>IF($F330="Total",
SUM(INDEX(AB:AB, ROW()-COUNTIF($F$6:INDEX($F:$F, ROW()-1), $F329)) : INDEX(AB:AB, ROW()-1)),
COUNTIFS(unit_details[Active Listing?],TRUE,
          unit_details[Property Name], $F330,
          unit_details[Beds], $L330,
          unit_details[Baths], $M330,
          unit_details[Partial Baths],IF(ISNUMBER($N330),$N330,""),
          unit_details[Sqft],$P330))</f>
        <v>0</v>
      </c>
      <c r="AC330" s="27" t="str">
        <f t="shared" si="58"/>
        <v/>
      </c>
      <c r="AD330" s="293" t="str">
        <f>IFERROR(IF(AE330="","",IF($F330="Total",
SUMPRODUCT(
   INDEX(AD:AD, ROW()-COUNTIF($F$6:INDEX($F:$F, ROW()-1), $F329)) : INDEX(AD:AD, ROW()-1),
   INDEX(AB:AB, ROW()-COUNTIF($F$6:INDEX($F:$F, ROW()-1), $F329)) : INDEX(AB:AB, ROW()-1)
   )
   /SUM(INDEX(AB:AB, ROW()-COUNTIF($F$6:INDEX($F:$F, ROW()-1), $F329)) : INDEX(AB:AB, ROW()-1)),
          _xlfn.MINIFS(unit_details[Asking Rent],
          unit_details[Active Listing?],TRUE,
          unit_details[Property Name], $F330,
          unit_details[Beds], $L330,
          unit_details[Baths], $M330,
          unit_details[Partial Baths], IF(ISNUMBER($N330),$N330,""),
          unit_details[Sqft],$P330
))),"")</f>
        <v/>
      </c>
      <c r="AE330" s="5" t="str">
        <f>IFERROR(IF($F330="Total",
          SUMPRODUCT(
   INDEX(AE:AE, ROW()-COUNTIF($F$6:INDEX($F:$F, ROW()-1), $F329)) : INDEX(AE:AE, ROW()-1),
   INDEX(AB:AB, ROW()-COUNTIF($F$6:INDEX($F:$F, ROW()-1), $F329)) : INDEX(AB:AB, ROW()-1)
   )
   /SUM(INDEX(AB:AB, ROW()-COUNTIF($F$6:INDEX($F:$F, ROW()-1), $F329)) : INDEX(AB:AB, ROW()-1)),
          AVERAGEIFS(unit_details[Asking Rent],
          unit_details[Active Listing?],TRUE,
          unit_details[Property Name], $F330,
          unit_details[Beds], $L330,
          unit_details[Baths], $M330,
          unit_details[Partial Baths], IF(ISNUMBER($N330),$N330,""),
          unit_details[Sqft],$P330
)),"")</f>
        <v/>
      </c>
      <c r="AF330" s="5" t="str">
        <f>IFERROR(IF(AE330="","",IF($F330="Total",
SUMPRODUCT(
   INDEX(AF:AF, ROW()-COUNTIF($F$6:INDEX($F:$F, ROW()-1), $F329)) : INDEX(AF:AF, ROW()-1),
   INDEX(AB:AB, ROW()-COUNTIF($F$6:INDEX($F:$F, ROW()-1), $F329)) : INDEX(AB:AB, ROW()-1)
   )
   /SUM(INDEX(AB:AB, ROW()-COUNTIF($F$6:INDEX($F:$F, ROW()-1), $F329)) : INDEX(AB:AB, ROW()-1)),
           _xlfn.MAXIFS(unit_details[Asking Rent],
          unit_details[Active Listing?],TRUE,
          unit_details[Property Name], $F330,
          unit_details[Beds], $L330,
          unit_details[Baths], $M330,
          unit_details[Partial Baths], IF(ISNUMBER($N330),$N330,""),
          unit_details[Sqft],$P330
))),"")</f>
        <v/>
      </c>
      <c r="AG330" s="6" t="str">
        <f>IFERROR(IF($F330="Total",
         SUMPRODUCT(
         INDEX(AG:AG, ROW()-COUNTIF($F$6:INDEX($F:$F, ROW()-1), $F329)) : INDEX(AG:AG, ROW()-1),
         INDEX(AB:AB, ROW()-COUNTIF($F$6:INDEX($F:$F, ROW()-1), $F329)) : INDEX(AB:AB, ROW()-1)
         )
         /SUM(INDEX(AB:AB, ROW()-COUNTIF($F$6:INDEX($F:$F, ROW()-1), $F329)) : INDEX(AB:AB, ROW()-1)),
          AVERAGEIFS(unit_details[Asking PSF],
          unit_details[Active Listing?],TRUE,
          unit_details[Property Name], $F330,
          unit_details[Beds], $L330,
          unit_details[Baths], $M330,
          unit_details[Partial Baths], IF(ISNUMBER($N330),$N330,""),
          unit_details[Sqft],$P330
)),"")</f>
        <v/>
      </c>
      <c r="AH330" s="293" t="str">
        <f>IFERROR(IF($F330="Total",
         SUMPRODUCT(
         INDEX(AH:AH, ROW()-COUNTIF($F$6:INDEX($F:$F, ROW()-1), $F329)) : INDEX(AH:AH, ROW()-1),
         INDEX(AB:AB, ROW()-COUNTIF($F$6:INDEX($F:$F, ROW()-1), $F329)) : INDEX(AB:AB, ROW()-1)
         )
         /SUM(INDEX(AB:AB, ROW()-COUNTIF($F$6:INDEX($F:$F, ROW()-1), $F329)) : INDEX(AB:AB, ROW()-1)),
          AVERAGEIFS(unit_details[Effective Rent],
          unit_details[Active Listing?],TRUE,
          unit_details[Property Name], $F330,
          unit_details[Beds], $L330,
          unit_details[Baths], $M330,
          unit_details[Partial Baths], IF(ISNUMBER($N330),$N330,""),
          unit_details[Sqft],$P330
)),"")</f>
        <v/>
      </c>
      <c r="AI330" s="6" t="str">
        <f>IFERROR(IF($F330="Total",
         SUMPRODUCT(
         INDEX(AI:AI, ROW()-COUNTIF($F$6:INDEX($F:$F, ROW()-1), $F329)) : INDEX(AI:AI, ROW()-1),
         INDEX(AB:AB, ROW()-COUNTIF($F$6:INDEX($F:$F, ROW()-1), $F329)) : INDEX(AB:AB, ROW()-1)
         )
         /SUM(INDEX(AB:AB, ROW()-COUNTIF($F$6:INDEX($F:$F, ROW()-1), $F329)) : INDEX(AB:AB, ROW()-1)),
           AVERAGEIFS(unit_details[Effective PSF],
          unit_details[Active Listing?],TRUE,
          unit_details[Property Name], $F330,
          unit_details[Beds], $L330,
          unit_details[Baths], $M330,
          unit_details[Partial Baths], IF(ISNUMBER($N330),$N330,""),
          unit_details[Sqft],$P330
)),"")</f>
        <v/>
      </c>
      <c r="AJ330" s="824" t="str">
        <f t="shared" si="59"/>
        <v/>
      </c>
      <c r="AK330" s="531" t="str">
        <f t="shared" si="60"/>
        <v/>
      </c>
      <c r="AL330" s="714" t="str">
        <f t="shared" si="61"/>
        <v/>
      </c>
      <c r="AM330" s="531" t="str">
        <f t="shared" si="62"/>
        <v/>
      </c>
      <c r="AN330" s="716" t="str">
        <f t="shared" si="63"/>
        <v/>
      </c>
    </row>
    <row r="331" spans="6:40" x14ac:dyDescent="0.2">
      <c r="F331" s="1" t="str">
        <f t="shared" si="56"/>
        <v/>
      </c>
      <c r="G331" s="713" t="str">
        <f t="shared" si="64"/>
        <v/>
      </c>
      <c r="H331" s="17" t="str">
        <f>IFERROR(VLOOKUP($G331,Table1[[Property]:[Exposure %]],4,0),"")</f>
        <v/>
      </c>
      <c r="I331" s="3" t="str">
        <f>IFERROR(VLOOKUP($G331,Table1[[Property]:[Exposure %]],6,0),"")</f>
        <v/>
      </c>
      <c r="J331" s="3" t="str">
        <f>IFERROR(VLOOKUP($G331,Table1[[Property]:[Exposure %]],7,0),"")</f>
        <v/>
      </c>
      <c r="K331"/>
      <c r="L331"/>
      <c r="M331"/>
      <c r="N331"/>
      <c r="O331"/>
      <c r="P331"/>
      <c r="Q331"/>
      <c r="R331" s="4" t="str">
        <f>IFERROR(VLOOKUP(IF(F331="Total",F330,F331),Table1[[Property]:['# Units]],7,0)*S331,"")</f>
        <v/>
      </c>
      <c r="S331" s="27" t="str">
        <f t="shared" si="57"/>
        <v/>
      </c>
      <c r="T331" s="531" t="str">
        <f>IFERROR(
 IF($F331="Total",
   SUMPRODUCT(
   INDEX(T:T, ROW()-COUNTIF($F$6:INDEX($F:$F, ROW()-1), $F330)) : INDEX(T:T, ROW()-1),
   INDEX(W:W, ROW()-COUNTIF($F$6:INDEX($F:$F, ROW()-1), $F330)) : INDEX(W:W, ROW()-1)
   )
   /SUM(INDEX(W:W, ROW()-COUNTIF($F$6:INDEX($F:$F, ROW()-1), $F330)) : INDEX(W:W, ROW()-1)),
   AVERAGEIFS(
     INDEX((unit_details[Asking Rent],unit_details[Asking PSF]),0,1,IF($U$3="Chunk Rent",1,2)),
     unit_details[Leased Date],"&gt;="&amp;($AM$2-T$5),
     unit_details[Leased Date],"&lt;"&amp;$AM$2,
     unit_details[Beds],$L331,
     unit_details[Baths],$M331,
     unit_details[Partial Baths],IF(ISNUMBER($N331),$N331,""),
     unit_details[Sqft],$P331,
     unit_details[Property Name],$F331)
 ),"")</f>
        <v/>
      </c>
      <c r="U331" s="552" t="str">
        <f>IFERROR(
 IF($F331="Total",
   SUMPRODUCT(
   INDEX(U:U, ROW()-COUNTIF($F$6:INDEX($F:$F, ROW()-1), $F330)) : INDEX(U:U, ROW()-1),
   INDEX(W:W, ROW()-COUNTIF($F$6:INDEX($F:$F, ROW()-1), $F330)) : INDEX(W:W, ROW()-1)
   )
   /SUM(INDEX(W:W, ROW()-COUNTIF($F$6:INDEX($F:$F, ROW()-1), $F330)) : INDEX(W:W, ROW()-1)),
   AVERAGEIFS(
     INDEX((unit_details[Effective Rent],unit_details[Effective PSF]),0,1,IF($U$3="Chunk Rent",1,2)),
     unit_details[Leased Date],"&gt;="&amp;($AM$2-T$5),
     unit_details[Leased Date],"&lt;"&amp;$AM$2,
     unit_details[Beds],$L331,
     unit_details[Baths],$M331,
     unit_details[Partial Baths],IF(ISNUMBER($N331),$N331,""),
     unit_details[Sqft],$P331,
     unit_details[Property Name],$F331)
 ),"")</f>
        <v/>
      </c>
      <c r="V331" s="27" t="str">
        <f t="shared" si="65"/>
        <v/>
      </c>
      <c r="W331" s="526">
        <f>IFERROR(
  IF($F331="Total",
    SUM(INDEX(W:W, ROW()-COUNTIF($F$6:INDEX($F:$F, ROW()-1), $F330)) : INDEX(W:W, ROW()-1)),
    COUNTIFS(
      unit_details[Leased Date], "&gt;="&amp;($AM$2-T$5),
      unit_details[Leased Date], "&lt;"&amp;$AM$2,
      unit_details[Beds], $L331,
      unit_details[Baths], $M331,
      unit_details[Partial Baths], IF(ISNUMBER($N331), $N331, ""),
      unit_details[Sqft],$P331,
      unit_details[Property Name], $F331
    )
  ),
"")</f>
        <v>0</v>
      </c>
      <c r="X331" s="531" t="str">
        <f>IFERROR(
 IF($F331="Total",
   SUMPRODUCT(
   INDEX(X:X, ROW()-COUNTIF($F$6:INDEX($F:$F, ROW()-1), $F330)) : INDEX(X:X, ROW()-1),
   INDEX(AA:AA, ROW()-COUNTIF($F$6:INDEX($F:$F, ROW()-1), $F330)) : INDEX(AA:AA, ROW()-1)
   )
   /SUM(INDEX(AA:AA, ROW()-COUNTIF($F$6:INDEX($F:$F, ROW()-1), $F330)) : INDEX(AA:AA, ROW()-1)),
   AVERAGEIFS(
     INDEX((unit_details[Asking Rent],unit_details[Asking PSF]),0,1,IF($U$3="Chunk Rent",1,2)),
     unit_details[Leased Date],"&gt;="&amp;($AM$2-X$5),
     unit_details[Leased Date],"&lt;"&amp;$AM$2,
     unit_details[Beds],$L331,
     unit_details[Baths],$M331,
     unit_details[Partial Baths],IF(ISNUMBER($N331),$N331,""),
     unit_details[Sqft],$P331,
     unit_details[Property Name],$F331)
 ),"")</f>
        <v/>
      </c>
      <c r="Y331" s="552" t="str">
        <f>IFERROR(
 IF($F331="Total",
   SUMPRODUCT(
   INDEX(Y:Y, ROW()-COUNTIF($F$6:INDEX($F:$F, ROW()-1), $F330)) : INDEX(Y:Y, ROW()-1),
   INDEX(AA:AA, ROW()-COUNTIF($F$6:INDEX($F:$F, ROW()-1), $F330)) : INDEX(AA:AA, ROW()-1)
   )
   /SUM(INDEX(AA:AA, ROW()-COUNTIF($F$6:INDEX($F:$F, ROW()-1), $F330)) : INDEX(AA:AA, ROW()-1)),
   AVERAGEIFS(
     INDEX((unit_details[Effective Rent],unit_details[Effective PSF]),0,1,IF($U$3="Chunk Rent",1,2)),
     unit_details[Leased Date],"&gt;="&amp;($AM$2-X$5),
     unit_details[Leased Date],"&lt;"&amp;$AM$2,
     unit_details[Beds],$L331,
     unit_details[Baths],$M331,
     unit_details[Partial Baths],IF(ISNUMBER($N331),$N331,""),
     unit_details[Sqft],$P331,
     unit_details[Property Name],$F331)
 ),"")</f>
        <v/>
      </c>
      <c r="Z331" s="27" t="str">
        <f t="shared" si="66"/>
        <v/>
      </c>
      <c r="AA331" s="526">
        <f>IFERROR(
  IF($F331="Total",
    SUM(INDEX(AA:AA, ROW()-COUNTIF($F$6:INDEX($F:$F, ROW()-1), $F330)) : INDEX(AA:AA, ROW()-1)),
    COUNTIFS(
      unit_details[Leased Date], "&gt;="&amp;($AM$2-X$5),
      unit_details[Leased Date], "&lt;"&amp;$AM$2,
      unit_details[Beds], $L331,
      unit_details[Baths], $M331,
      unit_details[Partial Baths], IF(ISNUMBER($N331), $N331, ""),
      unit_details[Sqft],$P331,
      unit_details[Property Name], $F331
    )
  ),
"")</f>
        <v>0</v>
      </c>
      <c r="AB331" s="290">
        <f>IF($F331="Total",
SUM(INDEX(AB:AB, ROW()-COUNTIF($F$6:INDEX($F:$F, ROW()-1), $F330)) : INDEX(AB:AB, ROW()-1)),
COUNTIFS(unit_details[Active Listing?],TRUE,
          unit_details[Property Name], $F331,
          unit_details[Beds], $L331,
          unit_details[Baths], $M331,
          unit_details[Partial Baths],IF(ISNUMBER($N331),$N331,""),
          unit_details[Sqft],$P331))</f>
        <v>0</v>
      </c>
      <c r="AC331" s="27" t="str">
        <f t="shared" si="58"/>
        <v/>
      </c>
      <c r="AD331" s="293" t="str">
        <f>IFERROR(IF(AE331="","",IF($F331="Total",
SUMPRODUCT(
   INDEX(AD:AD, ROW()-COUNTIF($F$6:INDEX($F:$F, ROW()-1), $F330)) : INDEX(AD:AD, ROW()-1),
   INDEX(AB:AB, ROW()-COUNTIF($F$6:INDEX($F:$F, ROW()-1), $F330)) : INDEX(AB:AB, ROW()-1)
   )
   /SUM(INDEX(AB:AB, ROW()-COUNTIF($F$6:INDEX($F:$F, ROW()-1), $F330)) : INDEX(AB:AB, ROW()-1)),
          _xlfn.MINIFS(unit_details[Asking Rent],
          unit_details[Active Listing?],TRUE,
          unit_details[Property Name], $F331,
          unit_details[Beds], $L331,
          unit_details[Baths], $M331,
          unit_details[Partial Baths], IF(ISNUMBER($N331),$N331,""),
          unit_details[Sqft],$P331
))),"")</f>
        <v/>
      </c>
      <c r="AE331" s="5" t="str">
        <f>IFERROR(IF($F331="Total",
          SUMPRODUCT(
   INDEX(AE:AE, ROW()-COUNTIF($F$6:INDEX($F:$F, ROW()-1), $F330)) : INDEX(AE:AE, ROW()-1),
   INDEX(AB:AB, ROW()-COUNTIF($F$6:INDEX($F:$F, ROW()-1), $F330)) : INDEX(AB:AB, ROW()-1)
   )
   /SUM(INDEX(AB:AB, ROW()-COUNTIF($F$6:INDEX($F:$F, ROW()-1), $F330)) : INDEX(AB:AB, ROW()-1)),
          AVERAGEIFS(unit_details[Asking Rent],
          unit_details[Active Listing?],TRUE,
          unit_details[Property Name], $F331,
          unit_details[Beds], $L331,
          unit_details[Baths], $M331,
          unit_details[Partial Baths], IF(ISNUMBER($N331),$N331,""),
          unit_details[Sqft],$P331
)),"")</f>
        <v/>
      </c>
      <c r="AF331" s="5" t="str">
        <f>IFERROR(IF(AE331="","",IF($F331="Total",
SUMPRODUCT(
   INDEX(AF:AF, ROW()-COUNTIF($F$6:INDEX($F:$F, ROW()-1), $F330)) : INDEX(AF:AF, ROW()-1),
   INDEX(AB:AB, ROW()-COUNTIF($F$6:INDEX($F:$F, ROW()-1), $F330)) : INDEX(AB:AB, ROW()-1)
   )
   /SUM(INDEX(AB:AB, ROW()-COUNTIF($F$6:INDEX($F:$F, ROW()-1), $F330)) : INDEX(AB:AB, ROW()-1)),
           _xlfn.MAXIFS(unit_details[Asking Rent],
          unit_details[Active Listing?],TRUE,
          unit_details[Property Name], $F331,
          unit_details[Beds], $L331,
          unit_details[Baths], $M331,
          unit_details[Partial Baths], IF(ISNUMBER($N331),$N331,""),
          unit_details[Sqft],$P331
))),"")</f>
        <v/>
      </c>
      <c r="AG331" s="6" t="str">
        <f>IFERROR(IF($F331="Total",
         SUMPRODUCT(
         INDEX(AG:AG, ROW()-COUNTIF($F$6:INDEX($F:$F, ROW()-1), $F330)) : INDEX(AG:AG, ROW()-1),
         INDEX(AB:AB, ROW()-COUNTIF($F$6:INDEX($F:$F, ROW()-1), $F330)) : INDEX(AB:AB, ROW()-1)
         )
         /SUM(INDEX(AB:AB, ROW()-COUNTIF($F$6:INDEX($F:$F, ROW()-1), $F330)) : INDEX(AB:AB, ROW()-1)),
          AVERAGEIFS(unit_details[Asking PSF],
          unit_details[Active Listing?],TRUE,
          unit_details[Property Name], $F331,
          unit_details[Beds], $L331,
          unit_details[Baths], $M331,
          unit_details[Partial Baths], IF(ISNUMBER($N331),$N331,""),
          unit_details[Sqft],$P331
)),"")</f>
        <v/>
      </c>
      <c r="AH331" s="293" t="str">
        <f>IFERROR(IF($F331="Total",
         SUMPRODUCT(
         INDEX(AH:AH, ROW()-COUNTIF($F$6:INDEX($F:$F, ROW()-1), $F330)) : INDEX(AH:AH, ROW()-1),
         INDEX(AB:AB, ROW()-COUNTIF($F$6:INDEX($F:$F, ROW()-1), $F330)) : INDEX(AB:AB, ROW()-1)
         )
         /SUM(INDEX(AB:AB, ROW()-COUNTIF($F$6:INDEX($F:$F, ROW()-1), $F330)) : INDEX(AB:AB, ROW()-1)),
          AVERAGEIFS(unit_details[Effective Rent],
          unit_details[Active Listing?],TRUE,
          unit_details[Property Name], $F331,
          unit_details[Beds], $L331,
          unit_details[Baths], $M331,
          unit_details[Partial Baths], IF(ISNUMBER($N331),$N331,""),
          unit_details[Sqft],$P331
)),"")</f>
        <v/>
      </c>
      <c r="AI331" s="6" t="str">
        <f>IFERROR(IF($F331="Total",
         SUMPRODUCT(
         INDEX(AI:AI, ROW()-COUNTIF($F$6:INDEX($F:$F, ROW()-1), $F330)) : INDEX(AI:AI, ROW()-1),
         INDEX(AB:AB, ROW()-COUNTIF($F$6:INDEX($F:$F, ROW()-1), $F330)) : INDEX(AB:AB, ROW()-1)
         )
         /SUM(INDEX(AB:AB, ROW()-COUNTIF($F$6:INDEX($F:$F, ROW()-1), $F330)) : INDEX(AB:AB, ROW()-1)),
           AVERAGEIFS(unit_details[Effective PSF],
          unit_details[Active Listing?],TRUE,
          unit_details[Property Name], $F331,
          unit_details[Beds], $L331,
          unit_details[Baths], $M331,
          unit_details[Partial Baths], IF(ISNUMBER($N331),$N331,""),
          unit_details[Sqft],$P331
)),"")</f>
        <v/>
      </c>
      <c r="AJ331" s="824" t="str">
        <f t="shared" si="59"/>
        <v/>
      </c>
      <c r="AK331" s="531" t="str">
        <f t="shared" si="60"/>
        <v/>
      </c>
      <c r="AL331" s="714" t="str">
        <f t="shared" si="61"/>
        <v/>
      </c>
      <c r="AM331" s="531" t="str">
        <f t="shared" si="62"/>
        <v/>
      </c>
      <c r="AN331" s="716" t="str">
        <f t="shared" si="63"/>
        <v/>
      </c>
    </row>
    <row r="332" spans="6:40" x14ac:dyDescent="0.2">
      <c r="F332" s="1" t="str">
        <f t="shared" si="56"/>
        <v/>
      </c>
      <c r="G332" s="713" t="str">
        <f t="shared" si="64"/>
        <v/>
      </c>
      <c r="H332" s="17" t="str">
        <f>IFERROR(VLOOKUP($G332,Table1[[Property]:[Exposure %]],4,0),"")</f>
        <v/>
      </c>
      <c r="I332" s="3" t="str">
        <f>IFERROR(VLOOKUP($G332,Table1[[Property]:[Exposure %]],6,0),"")</f>
        <v/>
      </c>
      <c r="J332" s="3" t="str">
        <f>IFERROR(VLOOKUP($G332,Table1[[Property]:[Exposure %]],7,0),"")</f>
        <v/>
      </c>
      <c r="K332"/>
      <c r="L332"/>
      <c r="M332"/>
      <c r="N332"/>
      <c r="O332"/>
      <c r="P332"/>
      <c r="Q332"/>
      <c r="R332" s="4" t="str">
        <f>IFERROR(VLOOKUP(IF(F332="Total",F331,F332),Table1[[Property]:['# Units]],7,0)*S332,"")</f>
        <v/>
      </c>
      <c r="S332" s="27" t="str">
        <f t="shared" si="57"/>
        <v/>
      </c>
      <c r="T332" s="531" t="str">
        <f>IFERROR(
 IF($F332="Total",
   SUMPRODUCT(
   INDEX(T:T, ROW()-COUNTIF($F$6:INDEX($F:$F, ROW()-1), $F331)) : INDEX(T:T, ROW()-1),
   INDEX(W:W, ROW()-COUNTIF($F$6:INDEX($F:$F, ROW()-1), $F331)) : INDEX(W:W, ROW()-1)
   )
   /SUM(INDEX(W:W, ROW()-COUNTIF($F$6:INDEX($F:$F, ROW()-1), $F331)) : INDEX(W:W, ROW()-1)),
   AVERAGEIFS(
     INDEX((unit_details[Asking Rent],unit_details[Asking PSF]),0,1,IF($U$3="Chunk Rent",1,2)),
     unit_details[Leased Date],"&gt;="&amp;($AM$2-T$5),
     unit_details[Leased Date],"&lt;"&amp;$AM$2,
     unit_details[Beds],$L332,
     unit_details[Baths],$M332,
     unit_details[Partial Baths],IF(ISNUMBER($N332),$N332,""),
     unit_details[Sqft],$P332,
     unit_details[Property Name],$F332)
 ),"")</f>
        <v/>
      </c>
      <c r="U332" s="552" t="str">
        <f>IFERROR(
 IF($F332="Total",
   SUMPRODUCT(
   INDEX(U:U, ROW()-COUNTIF($F$6:INDEX($F:$F, ROW()-1), $F331)) : INDEX(U:U, ROW()-1),
   INDEX(W:W, ROW()-COUNTIF($F$6:INDEX($F:$F, ROW()-1), $F331)) : INDEX(W:W, ROW()-1)
   )
   /SUM(INDEX(W:W, ROW()-COUNTIF($F$6:INDEX($F:$F, ROW()-1), $F331)) : INDEX(W:W, ROW()-1)),
   AVERAGEIFS(
     INDEX((unit_details[Effective Rent],unit_details[Effective PSF]),0,1,IF($U$3="Chunk Rent",1,2)),
     unit_details[Leased Date],"&gt;="&amp;($AM$2-T$5),
     unit_details[Leased Date],"&lt;"&amp;$AM$2,
     unit_details[Beds],$L332,
     unit_details[Baths],$M332,
     unit_details[Partial Baths],IF(ISNUMBER($N332),$N332,""),
     unit_details[Sqft],$P332,
     unit_details[Property Name],$F332)
 ),"")</f>
        <v/>
      </c>
      <c r="V332" s="27" t="str">
        <f t="shared" si="65"/>
        <v/>
      </c>
      <c r="W332" s="526">
        <f>IFERROR(
  IF($F332="Total",
    SUM(INDEX(W:W, ROW()-COUNTIF($F$6:INDEX($F:$F, ROW()-1), $F331)) : INDEX(W:W, ROW()-1)),
    COUNTIFS(
      unit_details[Leased Date], "&gt;="&amp;($AM$2-T$5),
      unit_details[Leased Date], "&lt;"&amp;$AM$2,
      unit_details[Beds], $L332,
      unit_details[Baths], $M332,
      unit_details[Partial Baths], IF(ISNUMBER($N332), $N332, ""),
      unit_details[Sqft],$P332,
      unit_details[Property Name], $F332
    )
  ),
"")</f>
        <v>0</v>
      </c>
      <c r="X332" s="531" t="str">
        <f>IFERROR(
 IF($F332="Total",
   SUMPRODUCT(
   INDEX(X:X, ROW()-COUNTIF($F$6:INDEX($F:$F, ROW()-1), $F331)) : INDEX(X:X, ROW()-1),
   INDEX(AA:AA, ROW()-COUNTIF($F$6:INDEX($F:$F, ROW()-1), $F331)) : INDEX(AA:AA, ROW()-1)
   )
   /SUM(INDEX(AA:AA, ROW()-COUNTIF($F$6:INDEX($F:$F, ROW()-1), $F331)) : INDEX(AA:AA, ROW()-1)),
   AVERAGEIFS(
     INDEX((unit_details[Asking Rent],unit_details[Asking PSF]),0,1,IF($U$3="Chunk Rent",1,2)),
     unit_details[Leased Date],"&gt;="&amp;($AM$2-X$5),
     unit_details[Leased Date],"&lt;"&amp;$AM$2,
     unit_details[Beds],$L332,
     unit_details[Baths],$M332,
     unit_details[Partial Baths],IF(ISNUMBER($N332),$N332,""),
     unit_details[Sqft],$P332,
     unit_details[Property Name],$F332)
 ),"")</f>
        <v/>
      </c>
      <c r="Y332" s="552" t="str">
        <f>IFERROR(
 IF($F332="Total",
   SUMPRODUCT(
   INDEX(Y:Y, ROW()-COUNTIF($F$6:INDEX($F:$F, ROW()-1), $F331)) : INDEX(Y:Y, ROW()-1),
   INDEX(AA:AA, ROW()-COUNTIF($F$6:INDEX($F:$F, ROW()-1), $F331)) : INDEX(AA:AA, ROW()-1)
   )
   /SUM(INDEX(AA:AA, ROW()-COUNTIF($F$6:INDEX($F:$F, ROW()-1), $F331)) : INDEX(AA:AA, ROW()-1)),
   AVERAGEIFS(
     INDEX((unit_details[Effective Rent],unit_details[Effective PSF]),0,1,IF($U$3="Chunk Rent",1,2)),
     unit_details[Leased Date],"&gt;="&amp;($AM$2-X$5),
     unit_details[Leased Date],"&lt;"&amp;$AM$2,
     unit_details[Beds],$L332,
     unit_details[Baths],$M332,
     unit_details[Partial Baths],IF(ISNUMBER($N332),$N332,""),
     unit_details[Sqft],$P332,
     unit_details[Property Name],$F332)
 ),"")</f>
        <v/>
      </c>
      <c r="Z332" s="27" t="str">
        <f t="shared" si="66"/>
        <v/>
      </c>
      <c r="AA332" s="526">
        <f>IFERROR(
  IF($F332="Total",
    SUM(INDEX(AA:AA, ROW()-COUNTIF($F$6:INDEX($F:$F, ROW()-1), $F331)) : INDEX(AA:AA, ROW()-1)),
    COUNTIFS(
      unit_details[Leased Date], "&gt;="&amp;($AM$2-X$5),
      unit_details[Leased Date], "&lt;"&amp;$AM$2,
      unit_details[Beds], $L332,
      unit_details[Baths], $M332,
      unit_details[Partial Baths], IF(ISNUMBER($N332), $N332, ""),
      unit_details[Sqft],$P332,
      unit_details[Property Name], $F332
    )
  ),
"")</f>
        <v>0</v>
      </c>
      <c r="AB332" s="290">
        <f>IF($F332="Total",
SUM(INDEX(AB:AB, ROW()-COUNTIF($F$6:INDEX($F:$F, ROW()-1), $F331)) : INDEX(AB:AB, ROW()-1)),
COUNTIFS(unit_details[Active Listing?],TRUE,
          unit_details[Property Name], $F332,
          unit_details[Beds], $L332,
          unit_details[Baths], $M332,
          unit_details[Partial Baths],IF(ISNUMBER($N332),$N332,""),
          unit_details[Sqft],$P332))</f>
        <v>0</v>
      </c>
      <c r="AC332" s="27" t="str">
        <f t="shared" si="58"/>
        <v/>
      </c>
      <c r="AD332" s="293" t="str">
        <f>IFERROR(IF(AE332="","",IF($F332="Total",
SUMPRODUCT(
   INDEX(AD:AD, ROW()-COUNTIF($F$6:INDEX($F:$F, ROW()-1), $F331)) : INDEX(AD:AD, ROW()-1),
   INDEX(AB:AB, ROW()-COUNTIF($F$6:INDEX($F:$F, ROW()-1), $F331)) : INDEX(AB:AB, ROW()-1)
   )
   /SUM(INDEX(AB:AB, ROW()-COUNTIF($F$6:INDEX($F:$F, ROW()-1), $F331)) : INDEX(AB:AB, ROW()-1)),
          _xlfn.MINIFS(unit_details[Asking Rent],
          unit_details[Active Listing?],TRUE,
          unit_details[Property Name], $F332,
          unit_details[Beds], $L332,
          unit_details[Baths], $M332,
          unit_details[Partial Baths], IF(ISNUMBER($N332),$N332,""),
          unit_details[Sqft],$P332
))),"")</f>
        <v/>
      </c>
      <c r="AE332" s="5" t="str">
        <f>IFERROR(IF($F332="Total",
          SUMPRODUCT(
   INDEX(AE:AE, ROW()-COUNTIF($F$6:INDEX($F:$F, ROW()-1), $F331)) : INDEX(AE:AE, ROW()-1),
   INDEX(AB:AB, ROW()-COUNTIF($F$6:INDEX($F:$F, ROW()-1), $F331)) : INDEX(AB:AB, ROW()-1)
   )
   /SUM(INDEX(AB:AB, ROW()-COUNTIF($F$6:INDEX($F:$F, ROW()-1), $F331)) : INDEX(AB:AB, ROW()-1)),
          AVERAGEIFS(unit_details[Asking Rent],
          unit_details[Active Listing?],TRUE,
          unit_details[Property Name], $F332,
          unit_details[Beds], $L332,
          unit_details[Baths], $M332,
          unit_details[Partial Baths], IF(ISNUMBER($N332),$N332,""),
          unit_details[Sqft],$P332
)),"")</f>
        <v/>
      </c>
      <c r="AF332" s="5" t="str">
        <f>IFERROR(IF(AE332="","",IF($F332="Total",
SUMPRODUCT(
   INDEX(AF:AF, ROW()-COUNTIF($F$6:INDEX($F:$F, ROW()-1), $F331)) : INDEX(AF:AF, ROW()-1),
   INDEX(AB:AB, ROW()-COUNTIF($F$6:INDEX($F:$F, ROW()-1), $F331)) : INDEX(AB:AB, ROW()-1)
   )
   /SUM(INDEX(AB:AB, ROW()-COUNTIF($F$6:INDEX($F:$F, ROW()-1), $F331)) : INDEX(AB:AB, ROW()-1)),
           _xlfn.MAXIFS(unit_details[Asking Rent],
          unit_details[Active Listing?],TRUE,
          unit_details[Property Name], $F332,
          unit_details[Beds], $L332,
          unit_details[Baths], $M332,
          unit_details[Partial Baths], IF(ISNUMBER($N332),$N332,""),
          unit_details[Sqft],$P332
))),"")</f>
        <v/>
      </c>
      <c r="AG332" s="6" t="str">
        <f>IFERROR(IF($F332="Total",
         SUMPRODUCT(
         INDEX(AG:AG, ROW()-COUNTIF($F$6:INDEX($F:$F, ROW()-1), $F331)) : INDEX(AG:AG, ROW()-1),
         INDEX(AB:AB, ROW()-COUNTIF($F$6:INDEX($F:$F, ROW()-1), $F331)) : INDEX(AB:AB, ROW()-1)
         )
         /SUM(INDEX(AB:AB, ROW()-COUNTIF($F$6:INDEX($F:$F, ROW()-1), $F331)) : INDEX(AB:AB, ROW()-1)),
          AVERAGEIFS(unit_details[Asking PSF],
          unit_details[Active Listing?],TRUE,
          unit_details[Property Name], $F332,
          unit_details[Beds], $L332,
          unit_details[Baths], $M332,
          unit_details[Partial Baths], IF(ISNUMBER($N332),$N332,""),
          unit_details[Sqft],$P332
)),"")</f>
        <v/>
      </c>
      <c r="AH332" s="293" t="str">
        <f>IFERROR(IF($F332="Total",
         SUMPRODUCT(
         INDEX(AH:AH, ROW()-COUNTIF($F$6:INDEX($F:$F, ROW()-1), $F331)) : INDEX(AH:AH, ROW()-1),
         INDEX(AB:AB, ROW()-COUNTIF($F$6:INDEX($F:$F, ROW()-1), $F331)) : INDEX(AB:AB, ROW()-1)
         )
         /SUM(INDEX(AB:AB, ROW()-COUNTIF($F$6:INDEX($F:$F, ROW()-1), $F331)) : INDEX(AB:AB, ROW()-1)),
          AVERAGEIFS(unit_details[Effective Rent],
          unit_details[Active Listing?],TRUE,
          unit_details[Property Name], $F332,
          unit_details[Beds], $L332,
          unit_details[Baths], $M332,
          unit_details[Partial Baths], IF(ISNUMBER($N332),$N332,""),
          unit_details[Sqft],$P332
)),"")</f>
        <v/>
      </c>
      <c r="AI332" s="6" t="str">
        <f>IFERROR(IF($F332="Total",
         SUMPRODUCT(
         INDEX(AI:AI, ROW()-COUNTIF($F$6:INDEX($F:$F, ROW()-1), $F331)) : INDEX(AI:AI, ROW()-1),
         INDEX(AB:AB, ROW()-COUNTIF($F$6:INDEX($F:$F, ROW()-1), $F331)) : INDEX(AB:AB, ROW()-1)
         )
         /SUM(INDEX(AB:AB, ROW()-COUNTIF($F$6:INDEX($F:$F, ROW()-1), $F331)) : INDEX(AB:AB, ROW()-1)),
           AVERAGEIFS(unit_details[Effective PSF],
          unit_details[Active Listing?],TRUE,
          unit_details[Property Name], $F332,
          unit_details[Beds], $L332,
          unit_details[Baths], $M332,
          unit_details[Partial Baths], IF(ISNUMBER($N332),$N332,""),
          unit_details[Sqft],$P332
)),"")</f>
        <v/>
      </c>
      <c r="AJ332" s="824" t="str">
        <f t="shared" si="59"/>
        <v/>
      </c>
      <c r="AK332" s="531" t="str">
        <f t="shared" si="60"/>
        <v/>
      </c>
      <c r="AL332" s="714" t="str">
        <f t="shared" si="61"/>
        <v/>
      </c>
      <c r="AM332" s="531" t="str">
        <f t="shared" si="62"/>
        <v/>
      </c>
      <c r="AN332" s="716" t="str">
        <f t="shared" si="63"/>
        <v/>
      </c>
    </row>
    <row r="333" spans="6:40" x14ac:dyDescent="0.2">
      <c r="F333" s="1" t="str">
        <f t="shared" si="56"/>
        <v/>
      </c>
      <c r="G333" s="713" t="str">
        <f t="shared" si="64"/>
        <v/>
      </c>
      <c r="H333" s="17" t="str">
        <f>IFERROR(VLOOKUP($G333,Table1[[Property]:[Exposure %]],4,0),"")</f>
        <v/>
      </c>
      <c r="I333" s="3" t="str">
        <f>IFERROR(VLOOKUP($G333,Table1[[Property]:[Exposure %]],6,0),"")</f>
        <v/>
      </c>
      <c r="J333" s="3" t="str">
        <f>IFERROR(VLOOKUP($G333,Table1[[Property]:[Exposure %]],7,0),"")</f>
        <v/>
      </c>
      <c r="K333"/>
      <c r="L333"/>
      <c r="M333"/>
      <c r="N333"/>
      <c r="O333"/>
      <c r="P333"/>
      <c r="Q333"/>
      <c r="R333" s="4" t="str">
        <f>IFERROR(VLOOKUP(IF(F333="Total",F332,F333),Table1[[Property]:['# Units]],7,0)*S333,"")</f>
        <v/>
      </c>
      <c r="S333" s="27" t="str">
        <f t="shared" si="57"/>
        <v/>
      </c>
      <c r="T333" s="531" t="str">
        <f>IFERROR(
 IF($F333="Total",
   SUMPRODUCT(
   INDEX(T:T, ROW()-COUNTIF($F$6:INDEX($F:$F, ROW()-1), $F332)) : INDEX(T:T, ROW()-1),
   INDEX(W:W, ROW()-COUNTIF($F$6:INDEX($F:$F, ROW()-1), $F332)) : INDEX(W:W, ROW()-1)
   )
   /SUM(INDEX(W:W, ROW()-COUNTIF($F$6:INDEX($F:$F, ROW()-1), $F332)) : INDEX(W:W, ROW()-1)),
   AVERAGEIFS(
     INDEX((unit_details[Asking Rent],unit_details[Asking PSF]),0,1,IF($U$3="Chunk Rent",1,2)),
     unit_details[Leased Date],"&gt;="&amp;($AM$2-T$5),
     unit_details[Leased Date],"&lt;"&amp;$AM$2,
     unit_details[Beds],$L333,
     unit_details[Baths],$M333,
     unit_details[Partial Baths],IF(ISNUMBER($N333),$N333,""),
     unit_details[Sqft],$P333,
     unit_details[Property Name],$F333)
 ),"")</f>
        <v/>
      </c>
      <c r="U333" s="552" t="str">
        <f>IFERROR(
 IF($F333="Total",
   SUMPRODUCT(
   INDEX(U:U, ROW()-COUNTIF($F$6:INDEX($F:$F, ROW()-1), $F332)) : INDEX(U:U, ROW()-1),
   INDEX(W:W, ROW()-COUNTIF($F$6:INDEX($F:$F, ROW()-1), $F332)) : INDEX(W:W, ROW()-1)
   )
   /SUM(INDEX(W:W, ROW()-COUNTIF($F$6:INDEX($F:$F, ROW()-1), $F332)) : INDEX(W:W, ROW()-1)),
   AVERAGEIFS(
     INDEX((unit_details[Effective Rent],unit_details[Effective PSF]),0,1,IF($U$3="Chunk Rent",1,2)),
     unit_details[Leased Date],"&gt;="&amp;($AM$2-T$5),
     unit_details[Leased Date],"&lt;"&amp;$AM$2,
     unit_details[Beds],$L333,
     unit_details[Baths],$M333,
     unit_details[Partial Baths],IF(ISNUMBER($N333),$N333,""),
     unit_details[Sqft],$P333,
     unit_details[Property Name],$F333)
 ),"")</f>
        <v/>
      </c>
      <c r="V333" s="27" t="str">
        <f t="shared" si="65"/>
        <v/>
      </c>
      <c r="W333" s="526">
        <f>IFERROR(
  IF($F333="Total",
    SUM(INDEX(W:W, ROW()-COUNTIF($F$6:INDEX($F:$F, ROW()-1), $F332)) : INDEX(W:W, ROW()-1)),
    COUNTIFS(
      unit_details[Leased Date], "&gt;="&amp;($AM$2-T$5),
      unit_details[Leased Date], "&lt;"&amp;$AM$2,
      unit_details[Beds], $L333,
      unit_details[Baths], $M333,
      unit_details[Partial Baths], IF(ISNUMBER($N333), $N333, ""),
      unit_details[Sqft],$P333,
      unit_details[Property Name], $F333
    )
  ),
"")</f>
        <v>0</v>
      </c>
      <c r="X333" s="531" t="str">
        <f>IFERROR(
 IF($F333="Total",
   SUMPRODUCT(
   INDEX(X:X, ROW()-COUNTIF($F$6:INDEX($F:$F, ROW()-1), $F332)) : INDEX(X:X, ROW()-1),
   INDEX(AA:AA, ROW()-COUNTIF($F$6:INDEX($F:$F, ROW()-1), $F332)) : INDEX(AA:AA, ROW()-1)
   )
   /SUM(INDEX(AA:AA, ROW()-COUNTIF($F$6:INDEX($F:$F, ROW()-1), $F332)) : INDEX(AA:AA, ROW()-1)),
   AVERAGEIFS(
     INDEX((unit_details[Asking Rent],unit_details[Asking PSF]),0,1,IF($U$3="Chunk Rent",1,2)),
     unit_details[Leased Date],"&gt;="&amp;($AM$2-X$5),
     unit_details[Leased Date],"&lt;"&amp;$AM$2,
     unit_details[Beds],$L333,
     unit_details[Baths],$M333,
     unit_details[Partial Baths],IF(ISNUMBER($N333),$N333,""),
     unit_details[Sqft],$P333,
     unit_details[Property Name],$F333)
 ),"")</f>
        <v/>
      </c>
      <c r="Y333" s="552" t="str">
        <f>IFERROR(
 IF($F333="Total",
   SUMPRODUCT(
   INDEX(Y:Y, ROW()-COUNTIF($F$6:INDEX($F:$F, ROW()-1), $F332)) : INDEX(Y:Y, ROW()-1),
   INDEX(AA:AA, ROW()-COUNTIF($F$6:INDEX($F:$F, ROW()-1), $F332)) : INDEX(AA:AA, ROW()-1)
   )
   /SUM(INDEX(AA:AA, ROW()-COUNTIF($F$6:INDEX($F:$F, ROW()-1), $F332)) : INDEX(AA:AA, ROW()-1)),
   AVERAGEIFS(
     INDEX((unit_details[Effective Rent],unit_details[Effective PSF]),0,1,IF($U$3="Chunk Rent",1,2)),
     unit_details[Leased Date],"&gt;="&amp;($AM$2-X$5),
     unit_details[Leased Date],"&lt;"&amp;$AM$2,
     unit_details[Beds],$L333,
     unit_details[Baths],$M333,
     unit_details[Partial Baths],IF(ISNUMBER($N333),$N333,""),
     unit_details[Sqft],$P333,
     unit_details[Property Name],$F333)
 ),"")</f>
        <v/>
      </c>
      <c r="Z333" s="27" t="str">
        <f t="shared" si="66"/>
        <v/>
      </c>
      <c r="AA333" s="526">
        <f>IFERROR(
  IF($F333="Total",
    SUM(INDEX(AA:AA, ROW()-COUNTIF($F$6:INDEX($F:$F, ROW()-1), $F332)) : INDEX(AA:AA, ROW()-1)),
    COUNTIFS(
      unit_details[Leased Date], "&gt;="&amp;($AM$2-X$5),
      unit_details[Leased Date], "&lt;"&amp;$AM$2,
      unit_details[Beds], $L333,
      unit_details[Baths], $M333,
      unit_details[Partial Baths], IF(ISNUMBER($N333), $N333, ""),
      unit_details[Sqft],$P333,
      unit_details[Property Name], $F333
    )
  ),
"")</f>
        <v>0</v>
      </c>
      <c r="AB333" s="290">
        <f>IF($F333="Total",
SUM(INDEX(AB:AB, ROW()-COUNTIF($F$6:INDEX($F:$F, ROW()-1), $F332)) : INDEX(AB:AB, ROW()-1)),
COUNTIFS(unit_details[Active Listing?],TRUE,
          unit_details[Property Name], $F333,
          unit_details[Beds], $L333,
          unit_details[Baths], $M333,
          unit_details[Partial Baths],IF(ISNUMBER($N333),$N333,""),
          unit_details[Sqft],$P333))</f>
        <v>0</v>
      </c>
      <c r="AC333" s="27" t="str">
        <f t="shared" si="58"/>
        <v/>
      </c>
      <c r="AD333" s="293" t="str">
        <f>IFERROR(IF(AE333="","",IF($F333="Total",
SUMPRODUCT(
   INDEX(AD:AD, ROW()-COUNTIF($F$6:INDEX($F:$F, ROW()-1), $F332)) : INDEX(AD:AD, ROW()-1),
   INDEX(AB:AB, ROW()-COUNTIF($F$6:INDEX($F:$F, ROW()-1), $F332)) : INDEX(AB:AB, ROW()-1)
   )
   /SUM(INDEX(AB:AB, ROW()-COUNTIF($F$6:INDEX($F:$F, ROW()-1), $F332)) : INDEX(AB:AB, ROW()-1)),
          _xlfn.MINIFS(unit_details[Asking Rent],
          unit_details[Active Listing?],TRUE,
          unit_details[Property Name], $F333,
          unit_details[Beds], $L333,
          unit_details[Baths], $M333,
          unit_details[Partial Baths], IF(ISNUMBER($N333),$N333,""),
          unit_details[Sqft],$P333
))),"")</f>
        <v/>
      </c>
      <c r="AE333" s="5" t="str">
        <f>IFERROR(IF($F333="Total",
          SUMPRODUCT(
   INDEX(AE:AE, ROW()-COUNTIF($F$6:INDEX($F:$F, ROW()-1), $F332)) : INDEX(AE:AE, ROW()-1),
   INDEX(AB:AB, ROW()-COUNTIF($F$6:INDEX($F:$F, ROW()-1), $F332)) : INDEX(AB:AB, ROW()-1)
   )
   /SUM(INDEX(AB:AB, ROW()-COUNTIF($F$6:INDEX($F:$F, ROW()-1), $F332)) : INDEX(AB:AB, ROW()-1)),
          AVERAGEIFS(unit_details[Asking Rent],
          unit_details[Active Listing?],TRUE,
          unit_details[Property Name], $F333,
          unit_details[Beds], $L333,
          unit_details[Baths], $M333,
          unit_details[Partial Baths], IF(ISNUMBER($N333),$N333,""),
          unit_details[Sqft],$P333
)),"")</f>
        <v/>
      </c>
      <c r="AF333" s="5" t="str">
        <f>IFERROR(IF(AE333="","",IF($F333="Total",
SUMPRODUCT(
   INDEX(AF:AF, ROW()-COUNTIF($F$6:INDEX($F:$F, ROW()-1), $F332)) : INDEX(AF:AF, ROW()-1),
   INDEX(AB:AB, ROW()-COUNTIF($F$6:INDEX($F:$F, ROW()-1), $F332)) : INDEX(AB:AB, ROW()-1)
   )
   /SUM(INDEX(AB:AB, ROW()-COUNTIF($F$6:INDEX($F:$F, ROW()-1), $F332)) : INDEX(AB:AB, ROW()-1)),
           _xlfn.MAXIFS(unit_details[Asking Rent],
          unit_details[Active Listing?],TRUE,
          unit_details[Property Name], $F333,
          unit_details[Beds], $L333,
          unit_details[Baths], $M333,
          unit_details[Partial Baths], IF(ISNUMBER($N333),$N333,""),
          unit_details[Sqft],$P333
))),"")</f>
        <v/>
      </c>
      <c r="AG333" s="6" t="str">
        <f>IFERROR(IF($F333="Total",
         SUMPRODUCT(
         INDEX(AG:AG, ROW()-COUNTIF($F$6:INDEX($F:$F, ROW()-1), $F332)) : INDEX(AG:AG, ROW()-1),
         INDEX(AB:AB, ROW()-COUNTIF($F$6:INDEX($F:$F, ROW()-1), $F332)) : INDEX(AB:AB, ROW()-1)
         )
         /SUM(INDEX(AB:AB, ROW()-COUNTIF($F$6:INDEX($F:$F, ROW()-1), $F332)) : INDEX(AB:AB, ROW()-1)),
          AVERAGEIFS(unit_details[Asking PSF],
          unit_details[Active Listing?],TRUE,
          unit_details[Property Name], $F333,
          unit_details[Beds], $L333,
          unit_details[Baths], $M333,
          unit_details[Partial Baths], IF(ISNUMBER($N333),$N333,""),
          unit_details[Sqft],$P333
)),"")</f>
        <v/>
      </c>
      <c r="AH333" s="293" t="str">
        <f>IFERROR(IF($F333="Total",
         SUMPRODUCT(
         INDEX(AH:AH, ROW()-COUNTIF($F$6:INDEX($F:$F, ROW()-1), $F332)) : INDEX(AH:AH, ROW()-1),
         INDEX(AB:AB, ROW()-COUNTIF($F$6:INDEX($F:$F, ROW()-1), $F332)) : INDEX(AB:AB, ROW()-1)
         )
         /SUM(INDEX(AB:AB, ROW()-COUNTIF($F$6:INDEX($F:$F, ROW()-1), $F332)) : INDEX(AB:AB, ROW()-1)),
          AVERAGEIFS(unit_details[Effective Rent],
          unit_details[Active Listing?],TRUE,
          unit_details[Property Name], $F333,
          unit_details[Beds], $L333,
          unit_details[Baths], $M333,
          unit_details[Partial Baths], IF(ISNUMBER($N333),$N333,""),
          unit_details[Sqft],$P333
)),"")</f>
        <v/>
      </c>
      <c r="AI333" s="6" t="str">
        <f>IFERROR(IF($F333="Total",
         SUMPRODUCT(
         INDEX(AI:AI, ROW()-COUNTIF($F$6:INDEX($F:$F, ROW()-1), $F332)) : INDEX(AI:AI, ROW()-1),
         INDEX(AB:AB, ROW()-COUNTIF($F$6:INDEX($F:$F, ROW()-1), $F332)) : INDEX(AB:AB, ROW()-1)
         )
         /SUM(INDEX(AB:AB, ROW()-COUNTIF($F$6:INDEX($F:$F, ROW()-1), $F332)) : INDEX(AB:AB, ROW()-1)),
           AVERAGEIFS(unit_details[Effective PSF],
          unit_details[Active Listing?],TRUE,
          unit_details[Property Name], $F333,
          unit_details[Beds], $L333,
          unit_details[Baths], $M333,
          unit_details[Partial Baths], IF(ISNUMBER($N333),$N333,""),
          unit_details[Sqft],$P333
)),"")</f>
        <v/>
      </c>
      <c r="AJ333" s="824" t="str">
        <f t="shared" si="59"/>
        <v/>
      </c>
      <c r="AK333" s="531" t="str">
        <f t="shared" si="60"/>
        <v/>
      </c>
      <c r="AL333" s="714" t="str">
        <f t="shared" si="61"/>
        <v/>
      </c>
      <c r="AM333" s="531" t="str">
        <f t="shared" si="62"/>
        <v/>
      </c>
      <c r="AN333" s="716" t="str">
        <f t="shared" si="63"/>
        <v/>
      </c>
    </row>
    <row r="334" spans="6:40" x14ac:dyDescent="0.2">
      <c r="F334" s="1" t="str">
        <f t="shared" si="56"/>
        <v/>
      </c>
      <c r="G334" s="713" t="str">
        <f t="shared" si="64"/>
        <v/>
      </c>
      <c r="H334" s="17" t="str">
        <f>IFERROR(VLOOKUP($G334,Table1[[Property]:[Exposure %]],4,0),"")</f>
        <v/>
      </c>
      <c r="I334" s="3" t="str">
        <f>IFERROR(VLOOKUP($G334,Table1[[Property]:[Exposure %]],6,0),"")</f>
        <v/>
      </c>
      <c r="J334" s="3" t="str">
        <f>IFERROR(VLOOKUP($G334,Table1[[Property]:[Exposure %]],7,0),"")</f>
        <v/>
      </c>
      <c r="K334"/>
      <c r="L334"/>
      <c r="M334"/>
      <c r="N334"/>
      <c r="O334"/>
      <c r="P334"/>
      <c r="Q334"/>
      <c r="R334" s="4" t="str">
        <f>IFERROR(VLOOKUP(IF(F334="Total",F333,F334),Table1[[Property]:['# Units]],7,0)*S334,"")</f>
        <v/>
      </c>
      <c r="S334" s="27" t="str">
        <f t="shared" si="57"/>
        <v/>
      </c>
      <c r="T334" s="531" t="str">
        <f>IFERROR(
 IF($F334="Total",
   SUMPRODUCT(
   INDEX(T:T, ROW()-COUNTIF($F$6:INDEX($F:$F, ROW()-1), $F333)) : INDEX(T:T, ROW()-1),
   INDEX(W:W, ROW()-COUNTIF($F$6:INDEX($F:$F, ROW()-1), $F333)) : INDEX(W:W, ROW()-1)
   )
   /SUM(INDEX(W:W, ROW()-COUNTIF($F$6:INDEX($F:$F, ROW()-1), $F333)) : INDEX(W:W, ROW()-1)),
   AVERAGEIFS(
     INDEX((unit_details[Asking Rent],unit_details[Asking PSF]),0,1,IF($U$3="Chunk Rent",1,2)),
     unit_details[Leased Date],"&gt;="&amp;($AM$2-T$5),
     unit_details[Leased Date],"&lt;"&amp;$AM$2,
     unit_details[Beds],$L334,
     unit_details[Baths],$M334,
     unit_details[Partial Baths],IF(ISNUMBER($N334),$N334,""),
     unit_details[Sqft],$P334,
     unit_details[Property Name],$F334)
 ),"")</f>
        <v/>
      </c>
      <c r="U334" s="552" t="str">
        <f>IFERROR(
 IF($F334="Total",
   SUMPRODUCT(
   INDEX(U:U, ROW()-COUNTIF($F$6:INDEX($F:$F, ROW()-1), $F333)) : INDEX(U:U, ROW()-1),
   INDEX(W:W, ROW()-COUNTIF($F$6:INDEX($F:$F, ROW()-1), $F333)) : INDEX(W:W, ROW()-1)
   )
   /SUM(INDEX(W:W, ROW()-COUNTIF($F$6:INDEX($F:$F, ROW()-1), $F333)) : INDEX(W:W, ROW()-1)),
   AVERAGEIFS(
     INDEX((unit_details[Effective Rent],unit_details[Effective PSF]),0,1,IF($U$3="Chunk Rent",1,2)),
     unit_details[Leased Date],"&gt;="&amp;($AM$2-T$5),
     unit_details[Leased Date],"&lt;"&amp;$AM$2,
     unit_details[Beds],$L334,
     unit_details[Baths],$M334,
     unit_details[Partial Baths],IF(ISNUMBER($N334),$N334,""),
     unit_details[Sqft],$P334,
     unit_details[Property Name],$F334)
 ),"")</f>
        <v/>
      </c>
      <c r="V334" s="27" t="str">
        <f t="shared" si="65"/>
        <v/>
      </c>
      <c r="W334" s="526">
        <f>IFERROR(
  IF($F334="Total",
    SUM(INDEX(W:W, ROW()-COUNTIF($F$6:INDEX($F:$F, ROW()-1), $F333)) : INDEX(W:W, ROW()-1)),
    COUNTIFS(
      unit_details[Leased Date], "&gt;="&amp;($AM$2-T$5),
      unit_details[Leased Date], "&lt;"&amp;$AM$2,
      unit_details[Beds], $L334,
      unit_details[Baths], $M334,
      unit_details[Partial Baths], IF(ISNUMBER($N334), $N334, ""),
      unit_details[Sqft],$P334,
      unit_details[Property Name], $F334
    )
  ),
"")</f>
        <v>0</v>
      </c>
      <c r="X334" s="531" t="str">
        <f>IFERROR(
 IF($F334="Total",
   SUMPRODUCT(
   INDEX(X:X, ROW()-COUNTIF($F$6:INDEX($F:$F, ROW()-1), $F333)) : INDEX(X:X, ROW()-1),
   INDEX(AA:AA, ROW()-COUNTIF($F$6:INDEX($F:$F, ROW()-1), $F333)) : INDEX(AA:AA, ROW()-1)
   )
   /SUM(INDEX(AA:AA, ROW()-COUNTIF($F$6:INDEX($F:$F, ROW()-1), $F333)) : INDEX(AA:AA, ROW()-1)),
   AVERAGEIFS(
     INDEX((unit_details[Asking Rent],unit_details[Asking PSF]),0,1,IF($U$3="Chunk Rent",1,2)),
     unit_details[Leased Date],"&gt;="&amp;($AM$2-X$5),
     unit_details[Leased Date],"&lt;"&amp;$AM$2,
     unit_details[Beds],$L334,
     unit_details[Baths],$M334,
     unit_details[Partial Baths],IF(ISNUMBER($N334),$N334,""),
     unit_details[Sqft],$P334,
     unit_details[Property Name],$F334)
 ),"")</f>
        <v/>
      </c>
      <c r="Y334" s="552" t="str">
        <f>IFERROR(
 IF($F334="Total",
   SUMPRODUCT(
   INDEX(Y:Y, ROW()-COUNTIF($F$6:INDEX($F:$F, ROW()-1), $F333)) : INDEX(Y:Y, ROW()-1),
   INDEX(AA:AA, ROW()-COUNTIF($F$6:INDEX($F:$F, ROW()-1), $F333)) : INDEX(AA:AA, ROW()-1)
   )
   /SUM(INDEX(AA:AA, ROW()-COUNTIF($F$6:INDEX($F:$F, ROW()-1), $F333)) : INDEX(AA:AA, ROW()-1)),
   AVERAGEIFS(
     INDEX((unit_details[Effective Rent],unit_details[Effective PSF]),0,1,IF($U$3="Chunk Rent",1,2)),
     unit_details[Leased Date],"&gt;="&amp;($AM$2-X$5),
     unit_details[Leased Date],"&lt;"&amp;$AM$2,
     unit_details[Beds],$L334,
     unit_details[Baths],$M334,
     unit_details[Partial Baths],IF(ISNUMBER($N334),$N334,""),
     unit_details[Sqft],$P334,
     unit_details[Property Name],$F334)
 ),"")</f>
        <v/>
      </c>
      <c r="Z334" s="27" t="str">
        <f t="shared" si="66"/>
        <v/>
      </c>
      <c r="AA334" s="526">
        <f>IFERROR(
  IF($F334="Total",
    SUM(INDEX(AA:AA, ROW()-COUNTIF($F$6:INDEX($F:$F, ROW()-1), $F333)) : INDEX(AA:AA, ROW()-1)),
    COUNTIFS(
      unit_details[Leased Date], "&gt;="&amp;($AM$2-X$5),
      unit_details[Leased Date], "&lt;"&amp;$AM$2,
      unit_details[Beds], $L334,
      unit_details[Baths], $M334,
      unit_details[Partial Baths], IF(ISNUMBER($N334), $N334, ""),
      unit_details[Sqft],$P334,
      unit_details[Property Name], $F334
    )
  ),
"")</f>
        <v>0</v>
      </c>
      <c r="AB334" s="290">
        <f>IF($F334="Total",
SUM(INDEX(AB:AB, ROW()-COUNTIF($F$6:INDEX($F:$F, ROW()-1), $F333)) : INDEX(AB:AB, ROW()-1)),
COUNTIFS(unit_details[Active Listing?],TRUE,
          unit_details[Property Name], $F334,
          unit_details[Beds], $L334,
          unit_details[Baths], $M334,
          unit_details[Partial Baths],IF(ISNUMBER($N334),$N334,""),
          unit_details[Sqft],$P334))</f>
        <v>0</v>
      </c>
      <c r="AC334" s="27" t="str">
        <f t="shared" si="58"/>
        <v/>
      </c>
      <c r="AD334" s="293" t="str">
        <f>IFERROR(IF(AE334="","",IF($F334="Total",
SUMPRODUCT(
   INDEX(AD:AD, ROW()-COUNTIF($F$6:INDEX($F:$F, ROW()-1), $F333)) : INDEX(AD:AD, ROW()-1),
   INDEX(AB:AB, ROW()-COUNTIF($F$6:INDEX($F:$F, ROW()-1), $F333)) : INDEX(AB:AB, ROW()-1)
   )
   /SUM(INDEX(AB:AB, ROW()-COUNTIF($F$6:INDEX($F:$F, ROW()-1), $F333)) : INDEX(AB:AB, ROW()-1)),
          _xlfn.MINIFS(unit_details[Asking Rent],
          unit_details[Active Listing?],TRUE,
          unit_details[Property Name], $F334,
          unit_details[Beds], $L334,
          unit_details[Baths], $M334,
          unit_details[Partial Baths], IF(ISNUMBER($N334),$N334,""),
          unit_details[Sqft],$P334
))),"")</f>
        <v/>
      </c>
      <c r="AE334" s="5" t="str">
        <f>IFERROR(IF($F334="Total",
          SUMPRODUCT(
   INDEX(AE:AE, ROW()-COUNTIF($F$6:INDEX($F:$F, ROW()-1), $F333)) : INDEX(AE:AE, ROW()-1),
   INDEX(AB:AB, ROW()-COUNTIF($F$6:INDEX($F:$F, ROW()-1), $F333)) : INDEX(AB:AB, ROW()-1)
   )
   /SUM(INDEX(AB:AB, ROW()-COUNTIF($F$6:INDEX($F:$F, ROW()-1), $F333)) : INDEX(AB:AB, ROW()-1)),
          AVERAGEIFS(unit_details[Asking Rent],
          unit_details[Active Listing?],TRUE,
          unit_details[Property Name], $F334,
          unit_details[Beds], $L334,
          unit_details[Baths], $M334,
          unit_details[Partial Baths], IF(ISNUMBER($N334),$N334,""),
          unit_details[Sqft],$P334
)),"")</f>
        <v/>
      </c>
      <c r="AF334" s="5" t="str">
        <f>IFERROR(IF(AE334="","",IF($F334="Total",
SUMPRODUCT(
   INDEX(AF:AF, ROW()-COUNTIF($F$6:INDEX($F:$F, ROW()-1), $F333)) : INDEX(AF:AF, ROW()-1),
   INDEX(AB:AB, ROW()-COUNTIF($F$6:INDEX($F:$F, ROW()-1), $F333)) : INDEX(AB:AB, ROW()-1)
   )
   /SUM(INDEX(AB:AB, ROW()-COUNTIF($F$6:INDEX($F:$F, ROW()-1), $F333)) : INDEX(AB:AB, ROW()-1)),
           _xlfn.MAXIFS(unit_details[Asking Rent],
          unit_details[Active Listing?],TRUE,
          unit_details[Property Name], $F334,
          unit_details[Beds], $L334,
          unit_details[Baths], $M334,
          unit_details[Partial Baths], IF(ISNUMBER($N334),$N334,""),
          unit_details[Sqft],$P334
))),"")</f>
        <v/>
      </c>
      <c r="AG334" s="6" t="str">
        <f>IFERROR(IF($F334="Total",
         SUMPRODUCT(
         INDEX(AG:AG, ROW()-COUNTIF($F$6:INDEX($F:$F, ROW()-1), $F333)) : INDEX(AG:AG, ROW()-1),
         INDEX(AB:AB, ROW()-COUNTIF($F$6:INDEX($F:$F, ROW()-1), $F333)) : INDEX(AB:AB, ROW()-1)
         )
         /SUM(INDEX(AB:AB, ROW()-COUNTIF($F$6:INDEX($F:$F, ROW()-1), $F333)) : INDEX(AB:AB, ROW()-1)),
          AVERAGEIFS(unit_details[Asking PSF],
          unit_details[Active Listing?],TRUE,
          unit_details[Property Name], $F334,
          unit_details[Beds], $L334,
          unit_details[Baths], $M334,
          unit_details[Partial Baths], IF(ISNUMBER($N334),$N334,""),
          unit_details[Sqft],$P334
)),"")</f>
        <v/>
      </c>
      <c r="AH334" s="293" t="str">
        <f>IFERROR(IF($F334="Total",
         SUMPRODUCT(
         INDEX(AH:AH, ROW()-COUNTIF($F$6:INDEX($F:$F, ROW()-1), $F333)) : INDEX(AH:AH, ROW()-1),
         INDEX(AB:AB, ROW()-COUNTIF($F$6:INDEX($F:$F, ROW()-1), $F333)) : INDEX(AB:AB, ROW()-1)
         )
         /SUM(INDEX(AB:AB, ROW()-COUNTIF($F$6:INDEX($F:$F, ROW()-1), $F333)) : INDEX(AB:AB, ROW()-1)),
          AVERAGEIFS(unit_details[Effective Rent],
          unit_details[Active Listing?],TRUE,
          unit_details[Property Name], $F334,
          unit_details[Beds], $L334,
          unit_details[Baths], $M334,
          unit_details[Partial Baths], IF(ISNUMBER($N334),$N334,""),
          unit_details[Sqft],$P334
)),"")</f>
        <v/>
      </c>
      <c r="AI334" s="6" t="str">
        <f>IFERROR(IF($F334="Total",
         SUMPRODUCT(
         INDEX(AI:AI, ROW()-COUNTIF($F$6:INDEX($F:$F, ROW()-1), $F333)) : INDEX(AI:AI, ROW()-1),
         INDEX(AB:AB, ROW()-COUNTIF($F$6:INDEX($F:$F, ROW()-1), $F333)) : INDEX(AB:AB, ROW()-1)
         )
         /SUM(INDEX(AB:AB, ROW()-COUNTIF($F$6:INDEX($F:$F, ROW()-1), $F333)) : INDEX(AB:AB, ROW()-1)),
           AVERAGEIFS(unit_details[Effective PSF],
          unit_details[Active Listing?],TRUE,
          unit_details[Property Name], $F334,
          unit_details[Beds], $L334,
          unit_details[Baths], $M334,
          unit_details[Partial Baths], IF(ISNUMBER($N334),$N334,""),
          unit_details[Sqft],$P334
)),"")</f>
        <v/>
      </c>
      <c r="AJ334" s="824" t="str">
        <f t="shared" si="59"/>
        <v/>
      </c>
      <c r="AK334" s="531" t="str">
        <f t="shared" si="60"/>
        <v/>
      </c>
      <c r="AL334" s="714" t="str">
        <f t="shared" si="61"/>
        <v/>
      </c>
      <c r="AM334" s="531" t="str">
        <f t="shared" si="62"/>
        <v/>
      </c>
      <c r="AN334" s="716" t="str">
        <f t="shared" si="63"/>
        <v/>
      </c>
    </row>
    <row r="335" spans="6:40" x14ac:dyDescent="0.2">
      <c r="F335" s="1" t="str">
        <f t="shared" si="56"/>
        <v/>
      </c>
      <c r="G335" s="713" t="str">
        <f t="shared" si="64"/>
        <v/>
      </c>
      <c r="H335" s="17" t="str">
        <f>IFERROR(VLOOKUP($G335,Table1[[Property]:[Exposure %]],4,0),"")</f>
        <v/>
      </c>
      <c r="I335" s="3" t="str">
        <f>IFERROR(VLOOKUP($G335,Table1[[Property]:[Exposure %]],6,0),"")</f>
        <v/>
      </c>
      <c r="J335" s="3" t="str">
        <f>IFERROR(VLOOKUP($G335,Table1[[Property]:[Exposure %]],7,0),"")</f>
        <v/>
      </c>
      <c r="K335"/>
      <c r="L335"/>
      <c r="M335"/>
      <c r="N335"/>
      <c r="O335"/>
      <c r="P335"/>
      <c r="Q335"/>
      <c r="R335" s="4" t="str">
        <f>IFERROR(VLOOKUP(IF(F335="Total",F334,F335),Table1[[Property]:['# Units]],7,0)*S335,"")</f>
        <v/>
      </c>
      <c r="S335" s="27" t="str">
        <f t="shared" si="57"/>
        <v/>
      </c>
      <c r="T335" s="531" t="str">
        <f>IFERROR(
 IF($F335="Total",
   SUMPRODUCT(
   INDEX(T:T, ROW()-COUNTIF($F$6:INDEX($F:$F, ROW()-1), $F334)) : INDEX(T:T, ROW()-1),
   INDEX(W:W, ROW()-COUNTIF($F$6:INDEX($F:$F, ROW()-1), $F334)) : INDEX(W:W, ROW()-1)
   )
   /SUM(INDEX(W:W, ROW()-COUNTIF($F$6:INDEX($F:$F, ROW()-1), $F334)) : INDEX(W:W, ROW()-1)),
   AVERAGEIFS(
     INDEX((unit_details[Asking Rent],unit_details[Asking PSF]),0,1,IF($U$3="Chunk Rent",1,2)),
     unit_details[Leased Date],"&gt;="&amp;($AM$2-T$5),
     unit_details[Leased Date],"&lt;"&amp;$AM$2,
     unit_details[Beds],$L335,
     unit_details[Baths],$M335,
     unit_details[Partial Baths],IF(ISNUMBER($N335),$N335,""),
     unit_details[Sqft],$P335,
     unit_details[Property Name],$F335)
 ),"")</f>
        <v/>
      </c>
      <c r="U335" s="552" t="str">
        <f>IFERROR(
 IF($F335="Total",
   SUMPRODUCT(
   INDEX(U:U, ROW()-COUNTIF($F$6:INDEX($F:$F, ROW()-1), $F334)) : INDEX(U:U, ROW()-1),
   INDEX(W:W, ROW()-COUNTIF($F$6:INDEX($F:$F, ROW()-1), $F334)) : INDEX(W:W, ROW()-1)
   )
   /SUM(INDEX(W:W, ROW()-COUNTIF($F$6:INDEX($F:$F, ROW()-1), $F334)) : INDEX(W:W, ROW()-1)),
   AVERAGEIFS(
     INDEX((unit_details[Effective Rent],unit_details[Effective PSF]),0,1,IF($U$3="Chunk Rent",1,2)),
     unit_details[Leased Date],"&gt;="&amp;($AM$2-T$5),
     unit_details[Leased Date],"&lt;"&amp;$AM$2,
     unit_details[Beds],$L335,
     unit_details[Baths],$M335,
     unit_details[Partial Baths],IF(ISNUMBER($N335),$N335,""),
     unit_details[Sqft],$P335,
     unit_details[Property Name],$F335)
 ),"")</f>
        <v/>
      </c>
      <c r="V335" s="27" t="str">
        <f t="shared" si="65"/>
        <v/>
      </c>
      <c r="W335" s="526">
        <f>IFERROR(
  IF($F335="Total",
    SUM(INDEX(W:W, ROW()-COUNTIF($F$6:INDEX($F:$F, ROW()-1), $F334)) : INDEX(W:W, ROW()-1)),
    COUNTIFS(
      unit_details[Leased Date], "&gt;="&amp;($AM$2-T$5),
      unit_details[Leased Date], "&lt;"&amp;$AM$2,
      unit_details[Beds], $L335,
      unit_details[Baths], $M335,
      unit_details[Partial Baths], IF(ISNUMBER($N335), $N335, ""),
      unit_details[Sqft],$P335,
      unit_details[Property Name], $F335
    )
  ),
"")</f>
        <v>0</v>
      </c>
      <c r="X335" s="531" t="str">
        <f>IFERROR(
 IF($F335="Total",
   SUMPRODUCT(
   INDEX(X:X, ROW()-COUNTIF($F$6:INDEX($F:$F, ROW()-1), $F334)) : INDEX(X:X, ROW()-1),
   INDEX(AA:AA, ROW()-COUNTIF($F$6:INDEX($F:$F, ROW()-1), $F334)) : INDEX(AA:AA, ROW()-1)
   )
   /SUM(INDEX(AA:AA, ROW()-COUNTIF($F$6:INDEX($F:$F, ROW()-1), $F334)) : INDEX(AA:AA, ROW()-1)),
   AVERAGEIFS(
     INDEX((unit_details[Asking Rent],unit_details[Asking PSF]),0,1,IF($U$3="Chunk Rent",1,2)),
     unit_details[Leased Date],"&gt;="&amp;($AM$2-X$5),
     unit_details[Leased Date],"&lt;"&amp;$AM$2,
     unit_details[Beds],$L335,
     unit_details[Baths],$M335,
     unit_details[Partial Baths],IF(ISNUMBER($N335),$N335,""),
     unit_details[Sqft],$P335,
     unit_details[Property Name],$F335)
 ),"")</f>
        <v/>
      </c>
      <c r="Y335" s="552" t="str">
        <f>IFERROR(
 IF($F335="Total",
   SUMPRODUCT(
   INDEX(Y:Y, ROW()-COUNTIF($F$6:INDEX($F:$F, ROW()-1), $F334)) : INDEX(Y:Y, ROW()-1),
   INDEX(AA:AA, ROW()-COUNTIF($F$6:INDEX($F:$F, ROW()-1), $F334)) : INDEX(AA:AA, ROW()-1)
   )
   /SUM(INDEX(AA:AA, ROW()-COUNTIF($F$6:INDEX($F:$F, ROW()-1), $F334)) : INDEX(AA:AA, ROW()-1)),
   AVERAGEIFS(
     INDEX((unit_details[Effective Rent],unit_details[Effective PSF]),0,1,IF($U$3="Chunk Rent",1,2)),
     unit_details[Leased Date],"&gt;="&amp;($AM$2-X$5),
     unit_details[Leased Date],"&lt;"&amp;$AM$2,
     unit_details[Beds],$L335,
     unit_details[Baths],$M335,
     unit_details[Partial Baths],IF(ISNUMBER($N335),$N335,""),
     unit_details[Sqft],$P335,
     unit_details[Property Name],$F335)
 ),"")</f>
        <v/>
      </c>
      <c r="Z335" s="27" t="str">
        <f t="shared" si="66"/>
        <v/>
      </c>
      <c r="AA335" s="526">
        <f>IFERROR(
  IF($F335="Total",
    SUM(INDEX(AA:AA, ROW()-COUNTIF($F$6:INDEX($F:$F, ROW()-1), $F334)) : INDEX(AA:AA, ROW()-1)),
    COUNTIFS(
      unit_details[Leased Date], "&gt;="&amp;($AM$2-X$5),
      unit_details[Leased Date], "&lt;"&amp;$AM$2,
      unit_details[Beds], $L335,
      unit_details[Baths], $M335,
      unit_details[Partial Baths], IF(ISNUMBER($N335), $N335, ""),
      unit_details[Sqft],$P335,
      unit_details[Property Name], $F335
    )
  ),
"")</f>
        <v>0</v>
      </c>
      <c r="AB335" s="290">
        <f>IF($F335="Total",
SUM(INDEX(AB:AB, ROW()-COUNTIF($F$6:INDEX($F:$F, ROW()-1), $F334)) : INDEX(AB:AB, ROW()-1)),
COUNTIFS(unit_details[Active Listing?],TRUE,
          unit_details[Property Name], $F335,
          unit_details[Beds], $L335,
          unit_details[Baths], $M335,
          unit_details[Partial Baths],IF(ISNUMBER($N335),$N335,""),
          unit_details[Sqft],$P335))</f>
        <v>0</v>
      </c>
      <c r="AC335" s="27" t="str">
        <f t="shared" si="58"/>
        <v/>
      </c>
      <c r="AD335" s="293" t="str">
        <f>IFERROR(IF(AE335="","",IF($F335="Total",
SUMPRODUCT(
   INDEX(AD:AD, ROW()-COUNTIF($F$6:INDEX($F:$F, ROW()-1), $F334)) : INDEX(AD:AD, ROW()-1),
   INDEX(AB:AB, ROW()-COUNTIF($F$6:INDEX($F:$F, ROW()-1), $F334)) : INDEX(AB:AB, ROW()-1)
   )
   /SUM(INDEX(AB:AB, ROW()-COUNTIF($F$6:INDEX($F:$F, ROW()-1), $F334)) : INDEX(AB:AB, ROW()-1)),
          _xlfn.MINIFS(unit_details[Asking Rent],
          unit_details[Active Listing?],TRUE,
          unit_details[Property Name], $F335,
          unit_details[Beds], $L335,
          unit_details[Baths], $M335,
          unit_details[Partial Baths], IF(ISNUMBER($N335),$N335,""),
          unit_details[Sqft],$P335
))),"")</f>
        <v/>
      </c>
      <c r="AE335" s="5" t="str">
        <f>IFERROR(IF($F335="Total",
          SUMPRODUCT(
   INDEX(AE:AE, ROW()-COUNTIF($F$6:INDEX($F:$F, ROW()-1), $F334)) : INDEX(AE:AE, ROW()-1),
   INDEX(AB:AB, ROW()-COUNTIF($F$6:INDEX($F:$F, ROW()-1), $F334)) : INDEX(AB:AB, ROW()-1)
   )
   /SUM(INDEX(AB:AB, ROW()-COUNTIF($F$6:INDEX($F:$F, ROW()-1), $F334)) : INDEX(AB:AB, ROW()-1)),
          AVERAGEIFS(unit_details[Asking Rent],
          unit_details[Active Listing?],TRUE,
          unit_details[Property Name], $F335,
          unit_details[Beds], $L335,
          unit_details[Baths], $M335,
          unit_details[Partial Baths], IF(ISNUMBER($N335),$N335,""),
          unit_details[Sqft],$P335
)),"")</f>
        <v/>
      </c>
      <c r="AF335" s="5" t="str">
        <f>IFERROR(IF(AE335="","",IF($F335="Total",
SUMPRODUCT(
   INDEX(AF:AF, ROW()-COUNTIF($F$6:INDEX($F:$F, ROW()-1), $F334)) : INDEX(AF:AF, ROW()-1),
   INDEX(AB:AB, ROW()-COUNTIF($F$6:INDEX($F:$F, ROW()-1), $F334)) : INDEX(AB:AB, ROW()-1)
   )
   /SUM(INDEX(AB:AB, ROW()-COUNTIF($F$6:INDEX($F:$F, ROW()-1), $F334)) : INDEX(AB:AB, ROW()-1)),
           _xlfn.MAXIFS(unit_details[Asking Rent],
          unit_details[Active Listing?],TRUE,
          unit_details[Property Name], $F335,
          unit_details[Beds], $L335,
          unit_details[Baths], $M335,
          unit_details[Partial Baths], IF(ISNUMBER($N335),$N335,""),
          unit_details[Sqft],$P335
))),"")</f>
        <v/>
      </c>
      <c r="AG335" s="6" t="str">
        <f>IFERROR(IF($F335="Total",
         SUMPRODUCT(
         INDEX(AG:AG, ROW()-COUNTIF($F$6:INDEX($F:$F, ROW()-1), $F334)) : INDEX(AG:AG, ROW()-1),
         INDEX(AB:AB, ROW()-COUNTIF($F$6:INDEX($F:$F, ROW()-1), $F334)) : INDEX(AB:AB, ROW()-1)
         )
         /SUM(INDEX(AB:AB, ROW()-COUNTIF($F$6:INDEX($F:$F, ROW()-1), $F334)) : INDEX(AB:AB, ROW()-1)),
          AVERAGEIFS(unit_details[Asking PSF],
          unit_details[Active Listing?],TRUE,
          unit_details[Property Name], $F335,
          unit_details[Beds], $L335,
          unit_details[Baths], $M335,
          unit_details[Partial Baths], IF(ISNUMBER($N335),$N335,""),
          unit_details[Sqft],$P335
)),"")</f>
        <v/>
      </c>
      <c r="AH335" s="293" t="str">
        <f>IFERROR(IF($F335="Total",
         SUMPRODUCT(
         INDEX(AH:AH, ROW()-COUNTIF($F$6:INDEX($F:$F, ROW()-1), $F334)) : INDEX(AH:AH, ROW()-1),
         INDEX(AB:AB, ROW()-COUNTIF($F$6:INDEX($F:$F, ROW()-1), $F334)) : INDEX(AB:AB, ROW()-1)
         )
         /SUM(INDEX(AB:AB, ROW()-COUNTIF($F$6:INDEX($F:$F, ROW()-1), $F334)) : INDEX(AB:AB, ROW()-1)),
          AVERAGEIFS(unit_details[Effective Rent],
          unit_details[Active Listing?],TRUE,
          unit_details[Property Name], $F335,
          unit_details[Beds], $L335,
          unit_details[Baths], $M335,
          unit_details[Partial Baths], IF(ISNUMBER($N335),$N335,""),
          unit_details[Sqft],$P335
)),"")</f>
        <v/>
      </c>
      <c r="AI335" s="6" t="str">
        <f>IFERROR(IF($F335="Total",
         SUMPRODUCT(
         INDEX(AI:AI, ROW()-COUNTIF($F$6:INDEX($F:$F, ROW()-1), $F334)) : INDEX(AI:AI, ROW()-1),
         INDEX(AB:AB, ROW()-COUNTIF($F$6:INDEX($F:$F, ROW()-1), $F334)) : INDEX(AB:AB, ROW()-1)
         )
         /SUM(INDEX(AB:AB, ROW()-COUNTIF($F$6:INDEX($F:$F, ROW()-1), $F334)) : INDEX(AB:AB, ROW()-1)),
           AVERAGEIFS(unit_details[Effective PSF],
          unit_details[Active Listing?],TRUE,
          unit_details[Property Name], $F335,
          unit_details[Beds], $L335,
          unit_details[Baths], $M335,
          unit_details[Partial Baths], IF(ISNUMBER($N335),$N335,""),
          unit_details[Sqft],$P335
)),"")</f>
        <v/>
      </c>
      <c r="AJ335" s="824" t="str">
        <f t="shared" si="59"/>
        <v/>
      </c>
      <c r="AK335" s="531" t="str">
        <f t="shared" si="60"/>
        <v/>
      </c>
      <c r="AL335" s="714" t="str">
        <f t="shared" si="61"/>
        <v/>
      </c>
      <c r="AM335" s="531" t="str">
        <f t="shared" si="62"/>
        <v/>
      </c>
      <c r="AN335" s="716" t="str">
        <f t="shared" si="63"/>
        <v/>
      </c>
    </row>
    <row r="336" spans="6:40" x14ac:dyDescent="0.2">
      <c r="F336" s="1" t="str">
        <f t="shared" si="56"/>
        <v/>
      </c>
      <c r="G336" s="713" t="str">
        <f t="shared" si="64"/>
        <v/>
      </c>
      <c r="H336" s="17" t="str">
        <f>IFERROR(VLOOKUP($G336,Table1[[Property]:[Exposure %]],4,0),"")</f>
        <v/>
      </c>
      <c r="I336" s="3" t="str">
        <f>IFERROR(VLOOKUP($G336,Table1[[Property]:[Exposure %]],6,0),"")</f>
        <v/>
      </c>
      <c r="J336" s="3" t="str">
        <f>IFERROR(VLOOKUP($G336,Table1[[Property]:[Exposure %]],7,0),"")</f>
        <v/>
      </c>
      <c r="K336"/>
      <c r="L336"/>
      <c r="M336"/>
      <c r="N336"/>
      <c r="O336"/>
      <c r="P336"/>
      <c r="Q336"/>
      <c r="R336" s="4" t="str">
        <f>IFERROR(VLOOKUP(IF(F336="Total",F335,F336),Table1[[Property]:['# Units]],7,0)*S336,"")</f>
        <v/>
      </c>
      <c r="S336" s="27" t="str">
        <f t="shared" si="57"/>
        <v/>
      </c>
      <c r="T336" s="531" t="str">
        <f>IFERROR(
 IF($F336="Total",
   SUMPRODUCT(
   INDEX(T:T, ROW()-COUNTIF($F$6:INDEX($F:$F, ROW()-1), $F335)) : INDEX(T:T, ROW()-1),
   INDEX(W:W, ROW()-COUNTIF($F$6:INDEX($F:$F, ROW()-1), $F335)) : INDEX(W:W, ROW()-1)
   )
   /SUM(INDEX(W:W, ROW()-COUNTIF($F$6:INDEX($F:$F, ROW()-1), $F335)) : INDEX(W:W, ROW()-1)),
   AVERAGEIFS(
     INDEX((unit_details[Asking Rent],unit_details[Asking PSF]),0,1,IF($U$3="Chunk Rent",1,2)),
     unit_details[Leased Date],"&gt;="&amp;($AM$2-T$5),
     unit_details[Leased Date],"&lt;"&amp;$AM$2,
     unit_details[Beds],$L336,
     unit_details[Baths],$M336,
     unit_details[Partial Baths],IF(ISNUMBER($N336),$N336,""),
     unit_details[Sqft],$P336,
     unit_details[Property Name],$F336)
 ),"")</f>
        <v/>
      </c>
      <c r="U336" s="552" t="str">
        <f>IFERROR(
 IF($F336="Total",
   SUMPRODUCT(
   INDEX(U:U, ROW()-COUNTIF($F$6:INDEX($F:$F, ROW()-1), $F335)) : INDEX(U:U, ROW()-1),
   INDEX(W:W, ROW()-COUNTIF($F$6:INDEX($F:$F, ROW()-1), $F335)) : INDEX(W:W, ROW()-1)
   )
   /SUM(INDEX(W:W, ROW()-COUNTIF($F$6:INDEX($F:$F, ROW()-1), $F335)) : INDEX(W:W, ROW()-1)),
   AVERAGEIFS(
     INDEX((unit_details[Effective Rent],unit_details[Effective PSF]),0,1,IF($U$3="Chunk Rent",1,2)),
     unit_details[Leased Date],"&gt;="&amp;($AM$2-T$5),
     unit_details[Leased Date],"&lt;"&amp;$AM$2,
     unit_details[Beds],$L336,
     unit_details[Baths],$M336,
     unit_details[Partial Baths],IF(ISNUMBER($N336),$N336,""),
     unit_details[Sqft],$P336,
     unit_details[Property Name],$F336)
 ),"")</f>
        <v/>
      </c>
      <c r="V336" s="27" t="str">
        <f t="shared" si="65"/>
        <v/>
      </c>
      <c r="W336" s="526">
        <f>IFERROR(
  IF($F336="Total",
    SUM(INDEX(W:W, ROW()-COUNTIF($F$6:INDEX($F:$F, ROW()-1), $F335)) : INDEX(W:W, ROW()-1)),
    COUNTIFS(
      unit_details[Leased Date], "&gt;="&amp;($AM$2-T$5),
      unit_details[Leased Date], "&lt;"&amp;$AM$2,
      unit_details[Beds], $L336,
      unit_details[Baths], $M336,
      unit_details[Partial Baths], IF(ISNUMBER($N336), $N336, ""),
      unit_details[Sqft],$P336,
      unit_details[Property Name], $F336
    )
  ),
"")</f>
        <v>0</v>
      </c>
      <c r="X336" s="531" t="str">
        <f>IFERROR(
 IF($F336="Total",
   SUMPRODUCT(
   INDEX(X:X, ROW()-COUNTIF($F$6:INDEX($F:$F, ROW()-1), $F335)) : INDEX(X:X, ROW()-1),
   INDEX(AA:AA, ROW()-COUNTIF($F$6:INDEX($F:$F, ROW()-1), $F335)) : INDEX(AA:AA, ROW()-1)
   )
   /SUM(INDEX(AA:AA, ROW()-COUNTIF($F$6:INDEX($F:$F, ROW()-1), $F335)) : INDEX(AA:AA, ROW()-1)),
   AVERAGEIFS(
     INDEX((unit_details[Asking Rent],unit_details[Asking PSF]),0,1,IF($U$3="Chunk Rent",1,2)),
     unit_details[Leased Date],"&gt;="&amp;($AM$2-X$5),
     unit_details[Leased Date],"&lt;"&amp;$AM$2,
     unit_details[Beds],$L336,
     unit_details[Baths],$M336,
     unit_details[Partial Baths],IF(ISNUMBER($N336),$N336,""),
     unit_details[Sqft],$P336,
     unit_details[Property Name],$F336)
 ),"")</f>
        <v/>
      </c>
      <c r="Y336" s="552" t="str">
        <f>IFERROR(
 IF($F336="Total",
   SUMPRODUCT(
   INDEX(Y:Y, ROW()-COUNTIF($F$6:INDEX($F:$F, ROW()-1), $F335)) : INDEX(Y:Y, ROW()-1),
   INDEX(AA:AA, ROW()-COUNTIF($F$6:INDEX($F:$F, ROW()-1), $F335)) : INDEX(AA:AA, ROW()-1)
   )
   /SUM(INDEX(AA:AA, ROW()-COUNTIF($F$6:INDEX($F:$F, ROW()-1), $F335)) : INDEX(AA:AA, ROW()-1)),
   AVERAGEIFS(
     INDEX((unit_details[Effective Rent],unit_details[Effective PSF]),0,1,IF($U$3="Chunk Rent",1,2)),
     unit_details[Leased Date],"&gt;="&amp;($AM$2-X$5),
     unit_details[Leased Date],"&lt;"&amp;$AM$2,
     unit_details[Beds],$L336,
     unit_details[Baths],$M336,
     unit_details[Partial Baths],IF(ISNUMBER($N336),$N336,""),
     unit_details[Sqft],$P336,
     unit_details[Property Name],$F336)
 ),"")</f>
        <v/>
      </c>
      <c r="Z336" s="27" t="str">
        <f t="shared" si="66"/>
        <v/>
      </c>
      <c r="AA336" s="526">
        <f>IFERROR(
  IF($F336="Total",
    SUM(INDEX(AA:AA, ROW()-COUNTIF($F$6:INDEX($F:$F, ROW()-1), $F335)) : INDEX(AA:AA, ROW()-1)),
    COUNTIFS(
      unit_details[Leased Date], "&gt;="&amp;($AM$2-X$5),
      unit_details[Leased Date], "&lt;"&amp;$AM$2,
      unit_details[Beds], $L336,
      unit_details[Baths], $M336,
      unit_details[Partial Baths], IF(ISNUMBER($N336), $N336, ""),
      unit_details[Sqft],$P336,
      unit_details[Property Name], $F336
    )
  ),
"")</f>
        <v>0</v>
      </c>
      <c r="AB336" s="290">
        <f>IF($F336="Total",
SUM(INDEX(AB:AB, ROW()-COUNTIF($F$6:INDEX($F:$F, ROW()-1), $F335)) : INDEX(AB:AB, ROW()-1)),
COUNTIFS(unit_details[Active Listing?],TRUE,
          unit_details[Property Name], $F336,
          unit_details[Beds], $L336,
          unit_details[Baths], $M336,
          unit_details[Partial Baths],IF(ISNUMBER($N336),$N336,""),
          unit_details[Sqft],$P336))</f>
        <v>0</v>
      </c>
      <c r="AC336" s="27" t="str">
        <f t="shared" si="58"/>
        <v/>
      </c>
      <c r="AD336" s="293" t="str">
        <f>IFERROR(IF(AE336="","",IF($F336="Total",
SUMPRODUCT(
   INDEX(AD:AD, ROW()-COUNTIF($F$6:INDEX($F:$F, ROW()-1), $F335)) : INDEX(AD:AD, ROW()-1),
   INDEX(AB:AB, ROW()-COUNTIF($F$6:INDEX($F:$F, ROW()-1), $F335)) : INDEX(AB:AB, ROW()-1)
   )
   /SUM(INDEX(AB:AB, ROW()-COUNTIF($F$6:INDEX($F:$F, ROW()-1), $F335)) : INDEX(AB:AB, ROW()-1)),
          _xlfn.MINIFS(unit_details[Asking Rent],
          unit_details[Active Listing?],TRUE,
          unit_details[Property Name], $F336,
          unit_details[Beds], $L336,
          unit_details[Baths], $M336,
          unit_details[Partial Baths], IF(ISNUMBER($N336),$N336,""),
          unit_details[Sqft],$P336
))),"")</f>
        <v/>
      </c>
      <c r="AE336" s="5" t="str">
        <f>IFERROR(IF($F336="Total",
          SUMPRODUCT(
   INDEX(AE:AE, ROW()-COUNTIF($F$6:INDEX($F:$F, ROW()-1), $F335)) : INDEX(AE:AE, ROW()-1),
   INDEX(AB:AB, ROW()-COUNTIF($F$6:INDEX($F:$F, ROW()-1), $F335)) : INDEX(AB:AB, ROW()-1)
   )
   /SUM(INDEX(AB:AB, ROW()-COUNTIF($F$6:INDEX($F:$F, ROW()-1), $F335)) : INDEX(AB:AB, ROW()-1)),
          AVERAGEIFS(unit_details[Asking Rent],
          unit_details[Active Listing?],TRUE,
          unit_details[Property Name], $F336,
          unit_details[Beds], $L336,
          unit_details[Baths], $M336,
          unit_details[Partial Baths], IF(ISNUMBER($N336),$N336,""),
          unit_details[Sqft],$P336
)),"")</f>
        <v/>
      </c>
      <c r="AF336" s="5" t="str">
        <f>IFERROR(IF(AE336="","",IF($F336="Total",
SUMPRODUCT(
   INDEX(AF:AF, ROW()-COUNTIF($F$6:INDEX($F:$F, ROW()-1), $F335)) : INDEX(AF:AF, ROW()-1),
   INDEX(AB:AB, ROW()-COUNTIF($F$6:INDEX($F:$F, ROW()-1), $F335)) : INDEX(AB:AB, ROW()-1)
   )
   /SUM(INDEX(AB:AB, ROW()-COUNTIF($F$6:INDEX($F:$F, ROW()-1), $F335)) : INDEX(AB:AB, ROW()-1)),
           _xlfn.MAXIFS(unit_details[Asking Rent],
          unit_details[Active Listing?],TRUE,
          unit_details[Property Name], $F336,
          unit_details[Beds], $L336,
          unit_details[Baths], $M336,
          unit_details[Partial Baths], IF(ISNUMBER($N336),$N336,""),
          unit_details[Sqft],$P336
))),"")</f>
        <v/>
      </c>
      <c r="AG336" s="6" t="str">
        <f>IFERROR(IF($F336="Total",
         SUMPRODUCT(
         INDEX(AG:AG, ROW()-COUNTIF($F$6:INDEX($F:$F, ROW()-1), $F335)) : INDEX(AG:AG, ROW()-1),
         INDEX(AB:AB, ROW()-COUNTIF($F$6:INDEX($F:$F, ROW()-1), $F335)) : INDEX(AB:AB, ROW()-1)
         )
         /SUM(INDEX(AB:AB, ROW()-COUNTIF($F$6:INDEX($F:$F, ROW()-1), $F335)) : INDEX(AB:AB, ROW()-1)),
          AVERAGEIFS(unit_details[Asking PSF],
          unit_details[Active Listing?],TRUE,
          unit_details[Property Name], $F336,
          unit_details[Beds], $L336,
          unit_details[Baths], $M336,
          unit_details[Partial Baths], IF(ISNUMBER($N336),$N336,""),
          unit_details[Sqft],$P336
)),"")</f>
        <v/>
      </c>
      <c r="AH336" s="293" t="str">
        <f>IFERROR(IF($F336="Total",
         SUMPRODUCT(
         INDEX(AH:AH, ROW()-COUNTIF($F$6:INDEX($F:$F, ROW()-1), $F335)) : INDEX(AH:AH, ROW()-1),
         INDEX(AB:AB, ROW()-COUNTIF($F$6:INDEX($F:$F, ROW()-1), $F335)) : INDEX(AB:AB, ROW()-1)
         )
         /SUM(INDEX(AB:AB, ROW()-COUNTIF($F$6:INDEX($F:$F, ROW()-1), $F335)) : INDEX(AB:AB, ROW()-1)),
          AVERAGEIFS(unit_details[Effective Rent],
          unit_details[Active Listing?],TRUE,
          unit_details[Property Name], $F336,
          unit_details[Beds], $L336,
          unit_details[Baths], $M336,
          unit_details[Partial Baths], IF(ISNUMBER($N336),$N336,""),
          unit_details[Sqft],$P336
)),"")</f>
        <v/>
      </c>
      <c r="AI336" s="6" t="str">
        <f>IFERROR(IF($F336="Total",
         SUMPRODUCT(
         INDEX(AI:AI, ROW()-COUNTIF($F$6:INDEX($F:$F, ROW()-1), $F335)) : INDEX(AI:AI, ROW()-1),
         INDEX(AB:AB, ROW()-COUNTIF($F$6:INDEX($F:$F, ROW()-1), $F335)) : INDEX(AB:AB, ROW()-1)
         )
         /SUM(INDEX(AB:AB, ROW()-COUNTIF($F$6:INDEX($F:$F, ROW()-1), $F335)) : INDEX(AB:AB, ROW()-1)),
           AVERAGEIFS(unit_details[Effective PSF],
          unit_details[Active Listing?],TRUE,
          unit_details[Property Name], $F336,
          unit_details[Beds], $L336,
          unit_details[Baths], $M336,
          unit_details[Partial Baths], IF(ISNUMBER($N336),$N336,""),
          unit_details[Sqft],$P336
)),"")</f>
        <v/>
      </c>
      <c r="AJ336" s="824" t="str">
        <f t="shared" si="59"/>
        <v/>
      </c>
      <c r="AK336" s="531" t="str">
        <f t="shared" si="60"/>
        <v/>
      </c>
      <c r="AL336" s="714" t="str">
        <f t="shared" si="61"/>
        <v/>
      </c>
      <c r="AM336" s="531" t="str">
        <f t="shared" si="62"/>
        <v/>
      </c>
      <c r="AN336" s="716" t="str">
        <f t="shared" si="63"/>
        <v/>
      </c>
    </row>
    <row r="337" spans="6:40" x14ac:dyDescent="0.2">
      <c r="F337" s="1" t="str">
        <f t="shared" si="56"/>
        <v/>
      </c>
      <c r="G337" s="713" t="str">
        <f t="shared" si="64"/>
        <v/>
      </c>
      <c r="H337" s="17" t="str">
        <f>IFERROR(VLOOKUP($G337,Table1[[Property]:[Exposure %]],4,0),"")</f>
        <v/>
      </c>
      <c r="I337" s="3" t="str">
        <f>IFERROR(VLOOKUP($G337,Table1[[Property]:[Exposure %]],6,0),"")</f>
        <v/>
      </c>
      <c r="J337" s="3" t="str">
        <f>IFERROR(VLOOKUP($G337,Table1[[Property]:[Exposure %]],7,0),"")</f>
        <v/>
      </c>
      <c r="R337" s="4" t="str">
        <f>IFERROR(VLOOKUP(IF(F337="Total",F336,F337),Table1[[Property]:['# Units]],7,0)*S337,"")</f>
        <v/>
      </c>
      <c r="S337" s="27" t="str">
        <f t="shared" si="57"/>
        <v/>
      </c>
      <c r="T337" s="531" t="str">
        <f>IFERROR(
 IF($F337="Total",
   SUMPRODUCT(
   INDEX(T:T, ROW()-COUNTIF($F$6:INDEX($F:$F, ROW()-1), $F336)) : INDEX(T:T, ROW()-1),
   INDEX(W:W, ROW()-COUNTIF($F$6:INDEX($F:$F, ROW()-1), $F336)) : INDEX(W:W, ROW()-1)
   )
   /SUM(INDEX(W:W, ROW()-COUNTIF($F$6:INDEX($F:$F, ROW()-1), $F336)) : INDEX(W:W, ROW()-1)),
   AVERAGEIFS(
     INDEX((unit_details[Asking Rent],unit_details[Asking PSF]),0,1,IF($U$3="Chunk Rent",1,2)),
     unit_details[Leased Date],"&gt;="&amp;($AM$2-T$5),
     unit_details[Leased Date],"&lt;"&amp;$AM$2,
     unit_details[Beds],$L337,
     unit_details[Baths],$M337,
     unit_details[Partial Baths],IF(ISNUMBER($N337),$N337,""),
     unit_details[Sqft],$P337,
     unit_details[Property Name],$F337)
 ),"")</f>
        <v/>
      </c>
      <c r="U337" s="552" t="str">
        <f>IFERROR(
 IF($F337="Total",
   SUMPRODUCT(
   INDEX(U:U, ROW()-COUNTIF($F$6:INDEX($F:$F, ROW()-1), $F336)) : INDEX(U:U, ROW()-1),
   INDEX(W:W, ROW()-COUNTIF($F$6:INDEX($F:$F, ROW()-1), $F336)) : INDEX(W:W, ROW()-1)
   )
   /SUM(INDEX(W:W, ROW()-COUNTIF($F$6:INDEX($F:$F, ROW()-1), $F336)) : INDEX(W:W, ROW()-1)),
   AVERAGEIFS(
     INDEX((unit_details[Effective Rent],unit_details[Effective PSF]),0,1,IF($U$3="Chunk Rent",1,2)),
     unit_details[Leased Date],"&gt;="&amp;($AM$2-T$5),
     unit_details[Leased Date],"&lt;"&amp;$AM$2,
     unit_details[Beds],$L337,
     unit_details[Baths],$M337,
     unit_details[Partial Baths],IF(ISNUMBER($N337),$N337,""),
     unit_details[Sqft],$P337,
     unit_details[Property Name],$F337)
 ),"")</f>
        <v/>
      </c>
      <c r="V337" s="27" t="str">
        <f t="shared" si="65"/>
        <v/>
      </c>
      <c r="W337" s="526">
        <f>IFERROR(
  IF($F337="Total",
    SUM(INDEX(W:W, ROW()-COUNTIF($F$6:INDEX($F:$F, ROW()-1), $F336)) : INDEX(W:W, ROW()-1)),
    COUNTIFS(
      unit_details[Leased Date], "&gt;="&amp;($AM$2-T$5),
      unit_details[Leased Date], "&lt;"&amp;$AM$2,
      unit_details[Beds], $L337,
      unit_details[Baths], $M337,
      unit_details[Partial Baths], IF(ISNUMBER($N337), $N337, ""),
      unit_details[Sqft],$P337,
      unit_details[Property Name], $F337
    )
  ),
"")</f>
        <v>0</v>
      </c>
      <c r="X337" s="531" t="str">
        <f>IFERROR(
 IF($F337="Total",
   SUMPRODUCT(
   INDEX(X:X, ROW()-COUNTIF($F$6:INDEX($F:$F, ROW()-1), $F336)) : INDEX(X:X, ROW()-1),
   INDEX(AA:AA, ROW()-COUNTIF($F$6:INDEX($F:$F, ROW()-1), $F336)) : INDEX(AA:AA, ROW()-1)
   )
   /SUM(INDEX(AA:AA, ROW()-COUNTIF($F$6:INDEX($F:$F, ROW()-1), $F336)) : INDEX(AA:AA, ROW()-1)),
   AVERAGEIFS(
     INDEX((unit_details[Asking Rent],unit_details[Asking PSF]),0,1,IF($U$3="Chunk Rent",1,2)),
     unit_details[Leased Date],"&gt;="&amp;($AM$2-X$5),
     unit_details[Leased Date],"&lt;"&amp;$AM$2,
     unit_details[Beds],$L337,
     unit_details[Baths],$M337,
     unit_details[Partial Baths],IF(ISNUMBER($N337),$N337,""),
     unit_details[Sqft],$P337,
     unit_details[Property Name],$F337)
 ),"")</f>
        <v/>
      </c>
      <c r="Y337" s="552" t="str">
        <f>IFERROR(
 IF($F337="Total",
   SUMPRODUCT(
   INDEX(Y:Y, ROW()-COUNTIF($F$6:INDEX($F:$F, ROW()-1), $F336)) : INDEX(Y:Y, ROW()-1),
   INDEX(AA:AA, ROW()-COUNTIF($F$6:INDEX($F:$F, ROW()-1), $F336)) : INDEX(AA:AA, ROW()-1)
   )
   /SUM(INDEX(AA:AA, ROW()-COUNTIF($F$6:INDEX($F:$F, ROW()-1), $F336)) : INDEX(AA:AA, ROW()-1)),
   AVERAGEIFS(
     INDEX((unit_details[Effective Rent],unit_details[Effective PSF]),0,1,IF($U$3="Chunk Rent",1,2)),
     unit_details[Leased Date],"&gt;="&amp;($AM$2-X$5),
     unit_details[Leased Date],"&lt;"&amp;$AM$2,
     unit_details[Beds],$L337,
     unit_details[Baths],$M337,
     unit_details[Partial Baths],IF(ISNUMBER($N337),$N337,""),
     unit_details[Sqft],$P337,
     unit_details[Property Name],$F337)
 ),"")</f>
        <v/>
      </c>
      <c r="Z337" s="27" t="str">
        <f t="shared" si="66"/>
        <v/>
      </c>
      <c r="AA337" s="526">
        <f>IFERROR(
  IF($F337="Total",
    SUM(INDEX(AA:AA, ROW()-COUNTIF($F$6:INDEX($F:$F, ROW()-1), $F336)) : INDEX(AA:AA, ROW()-1)),
    COUNTIFS(
      unit_details[Leased Date], "&gt;="&amp;($AM$2-X$5),
      unit_details[Leased Date], "&lt;"&amp;$AM$2,
      unit_details[Beds], $L337,
      unit_details[Baths], $M337,
      unit_details[Partial Baths], IF(ISNUMBER($N337), $N337, ""),
      unit_details[Sqft],$P337,
      unit_details[Property Name], $F337
    )
  ),
"")</f>
        <v>0</v>
      </c>
      <c r="AB337" s="290">
        <f>IF($F337="Total",
SUM(INDEX(AB:AB, ROW()-COUNTIF($F$6:INDEX($F:$F, ROW()-1), $F336)) : INDEX(AB:AB, ROW()-1)),
COUNTIFS(unit_details[Active Listing?],TRUE,
          unit_details[Property Name], $F337,
          unit_details[Beds], $L337,
          unit_details[Baths], $M337,
          unit_details[Partial Baths],IF(ISNUMBER($N337),$N337,""),
          unit_details[Sqft],$P337))</f>
        <v>0</v>
      </c>
      <c r="AC337" s="27" t="str">
        <f t="shared" si="58"/>
        <v/>
      </c>
      <c r="AD337" s="293" t="str">
        <f>IFERROR(IF(AE337="","",IF($F337="Total",
SUMPRODUCT(
   INDEX(AD:AD, ROW()-COUNTIF($F$6:INDEX($F:$F, ROW()-1), $F336)) : INDEX(AD:AD, ROW()-1),
   INDEX(AB:AB, ROW()-COUNTIF($F$6:INDEX($F:$F, ROW()-1), $F336)) : INDEX(AB:AB, ROW()-1)
   )
   /SUM(INDEX(AB:AB, ROW()-COUNTIF($F$6:INDEX($F:$F, ROW()-1), $F336)) : INDEX(AB:AB, ROW()-1)),
          _xlfn.MINIFS(unit_details[Asking Rent],
          unit_details[Active Listing?],TRUE,
          unit_details[Property Name], $F337,
          unit_details[Beds], $L337,
          unit_details[Baths], $M337,
          unit_details[Partial Baths], IF(ISNUMBER($N337),$N337,""),
          unit_details[Sqft],$P337
))),"")</f>
        <v/>
      </c>
      <c r="AE337" s="5" t="str">
        <f>IFERROR(IF($F337="Total",
          SUMPRODUCT(
   INDEX(AE:AE, ROW()-COUNTIF($F$6:INDEX($F:$F, ROW()-1), $F336)) : INDEX(AE:AE, ROW()-1),
   INDEX(AB:AB, ROW()-COUNTIF($F$6:INDEX($F:$F, ROW()-1), $F336)) : INDEX(AB:AB, ROW()-1)
   )
   /SUM(INDEX(AB:AB, ROW()-COUNTIF($F$6:INDEX($F:$F, ROW()-1), $F336)) : INDEX(AB:AB, ROW()-1)),
          AVERAGEIFS(unit_details[Asking Rent],
          unit_details[Active Listing?],TRUE,
          unit_details[Property Name], $F337,
          unit_details[Beds], $L337,
          unit_details[Baths], $M337,
          unit_details[Partial Baths], IF(ISNUMBER($N337),$N337,""),
          unit_details[Sqft],$P337
)),"")</f>
        <v/>
      </c>
      <c r="AF337" s="5" t="str">
        <f>IFERROR(IF(AE337="","",IF($F337="Total",
SUMPRODUCT(
   INDEX(AF:AF, ROW()-COUNTIF($F$6:INDEX($F:$F, ROW()-1), $F336)) : INDEX(AF:AF, ROW()-1),
   INDEX(AB:AB, ROW()-COUNTIF($F$6:INDEX($F:$F, ROW()-1), $F336)) : INDEX(AB:AB, ROW()-1)
   )
   /SUM(INDEX(AB:AB, ROW()-COUNTIF($F$6:INDEX($F:$F, ROW()-1), $F336)) : INDEX(AB:AB, ROW()-1)),
           _xlfn.MAXIFS(unit_details[Asking Rent],
          unit_details[Active Listing?],TRUE,
          unit_details[Property Name], $F337,
          unit_details[Beds], $L337,
          unit_details[Baths], $M337,
          unit_details[Partial Baths], IF(ISNUMBER($N337),$N337,""),
          unit_details[Sqft],$P337
))),"")</f>
        <v/>
      </c>
      <c r="AG337" s="6" t="str">
        <f>IFERROR(IF($F337="Total",
         SUMPRODUCT(
         INDEX(AG:AG, ROW()-COUNTIF($F$6:INDEX($F:$F, ROW()-1), $F336)) : INDEX(AG:AG, ROW()-1),
         INDEX(AB:AB, ROW()-COUNTIF($F$6:INDEX($F:$F, ROW()-1), $F336)) : INDEX(AB:AB, ROW()-1)
         )
         /SUM(INDEX(AB:AB, ROW()-COUNTIF($F$6:INDEX($F:$F, ROW()-1), $F336)) : INDEX(AB:AB, ROW()-1)),
          AVERAGEIFS(unit_details[Asking PSF],
          unit_details[Active Listing?],TRUE,
          unit_details[Property Name], $F337,
          unit_details[Beds], $L337,
          unit_details[Baths], $M337,
          unit_details[Partial Baths], IF(ISNUMBER($N337),$N337,""),
          unit_details[Sqft],$P337
)),"")</f>
        <v/>
      </c>
      <c r="AH337" s="293" t="str">
        <f>IFERROR(IF($F337="Total",
         SUMPRODUCT(
         INDEX(AH:AH, ROW()-COUNTIF($F$6:INDEX($F:$F, ROW()-1), $F336)) : INDEX(AH:AH, ROW()-1),
         INDEX(AB:AB, ROW()-COUNTIF($F$6:INDEX($F:$F, ROW()-1), $F336)) : INDEX(AB:AB, ROW()-1)
         )
         /SUM(INDEX(AB:AB, ROW()-COUNTIF($F$6:INDEX($F:$F, ROW()-1), $F336)) : INDEX(AB:AB, ROW()-1)),
          AVERAGEIFS(unit_details[Effective Rent],
          unit_details[Active Listing?],TRUE,
          unit_details[Property Name], $F337,
          unit_details[Beds], $L337,
          unit_details[Baths], $M337,
          unit_details[Partial Baths], IF(ISNUMBER($N337),$N337,""),
          unit_details[Sqft],$P337
)),"")</f>
        <v/>
      </c>
      <c r="AI337" s="6" t="str">
        <f>IFERROR(IF($F337="Total",
         SUMPRODUCT(
         INDEX(AI:AI, ROW()-COUNTIF($F$6:INDEX($F:$F, ROW()-1), $F336)) : INDEX(AI:AI, ROW()-1),
         INDEX(AB:AB, ROW()-COUNTIF($F$6:INDEX($F:$F, ROW()-1), $F336)) : INDEX(AB:AB, ROW()-1)
         )
         /SUM(INDEX(AB:AB, ROW()-COUNTIF($F$6:INDEX($F:$F, ROW()-1), $F336)) : INDEX(AB:AB, ROW()-1)),
           AVERAGEIFS(unit_details[Effective PSF],
          unit_details[Active Listing?],TRUE,
          unit_details[Property Name], $F337,
          unit_details[Beds], $L337,
          unit_details[Baths], $M337,
          unit_details[Partial Baths], IF(ISNUMBER($N337),$N337,""),
          unit_details[Sqft],$P337
)),"")</f>
        <v/>
      </c>
      <c r="AJ337" s="824" t="str">
        <f t="shared" si="59"/>
        <v/>
      </c>
      <c r="AK337" s="531" t="str">
        <f t="shared" si="60"/>
        <v/>
      </c>
      <c r="AL337" s="714" t="str">
        <f t="shared" si="61"/>
        <v/>
      </c>
      <c r="AM337" s="531" t="str">
        <f t="shared" si="62"/>
        <v/>
      </c>
      <c r="AN337" s="716" t="str">
        <f t="shared" si="63"/>
        <v/>
      </c>
    </row>
    <row r="338" spans="6:40" x14ac:dyDescent="0.2">
      <c r="F338" s="1" t="str">
        <f t="shared" si="56"/>
        <v/>
      </c>
      <c r="G338" s="713" t="str">
        <f t="shared" si="64"/>
        <v/>
      </c>
      <c r="H338" s="17" t="str">
        <f>IFERROR(VLOOKUP($G338,Table1[[Property]:[Exposure %]],4,0),"")</f>
        <v/>
      </c>
      <c r="I338" s="3" t="str">
        <f>IFERROR(VLOOKUP($G338,Table1[[Property]:[Exposure %]],6,0),"")</f>
        <v/>
      </c>
      <c r="J338" s="3" t="str">
        <f>IFERROR(VLOOKUP($G338,Table1[[Property]:[Exposure %]],7,0),"")</f>
        <v/>
      </c>
      <c r="R338" s="4" t="str">
        <f>IFERROR(VLOOKUP(IF(F338="Total",F337,F338),Table1[[Property]:['# Units]],7,0)*S338,"")</f>
        <v/>
      </c>
      <c r="S338" s="27" t="str">
        <f t="shared" si="57"/>
        <v/>
      </c>
      <c r="T338" s="531" t="str">
        <f>IFERROR(
 IF($F338="Total",
   SUMPRODUCT(
   INDEX(T:T, ROW()-COUNTIF($F$6:INDEX($F:$F, ROW()-1), $F337)) : INDEX(T:T, ROW()-1),
   INDEX(W:W, ROW()-COUNTIF($F$6:INDEX($F:$F, ROW()-1), $F337)) : INDEX(W:W, ROW()-1)
   )
   /SUM(INDEX(W:W, ROW()-COUNTIF($F$6:INDEX($F:$F, ROW()-1), $F337)) : INDEX(W:W, ROW()-1)),
   AVERAGEIFS(
     INDEX((unit_details[Asking Rent],unit_details[Asking PSF]),0,1,IF($U$3="Chunk Rent",1,2)),
     unit_details[Leased Date],"&gt;="&amp;($AM$2-T$5),
     unit_details[Leased Date],"&lt;"&amp;$AM$2,
     unit_details[Beds],$L338,
     unit_details[Baths],$M338,
     unit_details[Partial Baths],IF(ISNUMBER($N338),$N338,""),
     unit_details[Sqft],$P338,
     unit_details[Property Name],$F338)
 ),"")</f>
        <v/>
      </c>
      <c r="U338" s="552" t="str">
        <f>IFERROR(
 IF($F338="Total",
   SUMPRODUCT(
   INDEX(U:U, ROW()-COUNTIF($F$6:INDEX($F:$F, ROW()-1), $F337)) : INDEX(U:U, ROW()-1),
   INDEX(W:W, ROW()-COUNTIF($F$6:INDEX($F:$F, ROW()-1), $F337)) : INDEX(W:W, ROW()-1)
   )
   /SUM(INDEX(W:W, ROW()-COUNTIF($F$6:INDEX($F:$F, ROW()-1), $F337)) : INDEX(W:W, ROW()-1)),
   AVERAGEIFS(
     INDEX((unit_details[Effective Rent],unit_details[Effective PSF]),0,1,IF($U$3="Chunk Rent",1,2)),
     unit_details[Leased Date],"&gt;="&amp;($AM$2-T$5),
     unit_details[Leased Date],"&lt;"&amp;$AM$2,
     unit_details[Beds],$L338,
     unit_details[Baths],$M338,
     unit_details[Partial Baths],IF(ISNUMBER($N338),$N338,""),
     unit_details[Sqft],$P338,
     unit_details[Property Name],$F338)
 ),"")</f>
        <v/>
      </c>
      <c r="V338" s="27" t="str">
        <f t="shared" si="65"/>
        <v/>
      </c>
      <c r="W338" s="526">
        <f>IFERROR(
  IF($F338="Total",
    SUM(INDEX(W:W, ROW()-COUNTIF($F$6:INDEX($F:$F, ROW()-1), $F337)) : INDEX(W:W, ROW()-1)),
    COUNTIFS(
      unit_details[Leased Date], "&gt;="&amp;($AM$2-T$5),
      unit_details[Leased Date], "&lt;"&amp;$AM$2,
      unit_details[Beds], $L338,
      unit_details[Baths], $M338,
      unit_details[Partial Baths], IF(ISNUMBER($N338), $N338, ""),
      unit_details[Sqft],$P338,
      unit_details[Property Name], $F338
    )
  ),
"")</f>
        <v>0</v>
      </c>
      <c r="X338" s="531" t="str">
        <f>IFERROR(
 IF($F338="Total",
   SUMPRODUCT(
   INDEX(X:X, ROW()-COUNTIF($F$6:INDEX($F:$F, ROW()-1), $F337)) : INDEX(X:X, ROW()-1),
   INDEX(AA:AA, ROW()-COUNTIF($F$6:INDEX($F:$F, ROW()-1), $F337)) : INDEX(AA:AA, ROW()-1)
   )
   /SUM(INDEX(AA:AA, ROW()-COUNTIF($F$6:INDEX($F:$F, ROW()-1), $F337)) : INDEX(AA:AA, ROW()-1)),
   AVERAGEIFS(
     INDEX((unit_details[Asking Rent],unit_details[Asking PSF]),0,1,IF($U$3="Chunk Rent",1,2)),
     unit_details[Leased Date],"&gt;="&amp;($AM$2-X$5),
     unit_details[Leased Date],"&lt;"&amp;$AM$2,
     unit_details[Beds],$L338,
     unit_details[Baths],$M338,
     unit_details[Partial Baths],IF(ISNUMBER($N338),$N338,""),
     unit_details[Sqft],$P338,
     unit_details[Property Name],$F338)
 ),"")</f>
        <v/>
      </c>
      <c r="Y338" s="552" t="str">
        <f>IFERROR(
 IF($F338="Total",
   SUMPRODUCT(
   INDEX(Y:Y, ROW()-COUNTIF($F$6:INDEX($F:$F, ROW()-1), $F337)) : INDEX(Y:Y, ROW()-1),
   INDEX(AA:AA, ROW()-COUNTIF($F$6:INDEX($F:$F, ROW()-1), $F337)) : INDEX(AA:AA, ROW()-1)
   )
   /SUM(INDEX(AA:AA, ROW()-COUNTIF($F$6:INDEX($F:$F, ROW()-1), $F337)) : INDEX(AA:AA, ROW()-1)),
   AVERAGEIFS(
     INDEX((unit_details[Effective Rent],unit_details[Effective PSF]),0,1,IF($U$3="Chunk Rent",1,2)),
     unit_details[Leased Date],"&gt;="&amp;($AM$2-X$5),
     unit_details[Leased Date],"&lt;"&amp;$AM$2,
     unit_details[Beds],$L338,
     unit_details[Baths],$M338,
     unit_details[Partial Baths],IF(ISNUMBER($N338),$N338,""),
     unit_details[Sqft],$P338,
     unit_details[Property Name],$F338)
 ),"")</f>
        <v/>
      </c>
      <c r="Z338" s="27" t="str">
        <f t="shared" si="66"/>
        <v/>
      </c>
      <c r="AA338" s="526">
        <f>IFERROR(
  IF($F338="Total",
    SUM(INDEX(AA:AA, ROW()-COUNTIF($F$6:INDEX($F:$F, ROW()-1), $F337)) : INDEX(AA:AA, ROW()-1)),
    COUNTIFS(
      unit_details[Leased Date], "&gt;="&amp;($AM$2-X$5),
      unit_details[Leased Date], "&lt;"&amp;$AM$2,
      unit_details[Beds], $L338,
      unit_details[Baths], $M338,
      unit_details[Partial Baths], IF(ISNUMBER($N338), $N338, ""),
      unit_details[Sqft],$P338,
      unit_details[Property Name], $F338
    )
  ),
"")</f>
        <v>0</v>
      </c>
      <c r="AB338" s="290">
        <f>IF($F338="Total",
SUM(INDEX(AB:AB, ROW()-COUNTIF($F$6:INDEX($F:$F, ROW()-1), $F337)) : INDEX(AB:AB, ROW()-1)),
COUNTIFS(unit_details[Active Listing?],TRUE,
          unit_details[Property Name], $F338,
          unit_details[Beds], $L338,
          unit_details[Baths], $M338,
          unit_details[Partial Baths],IF(ISNUMBER($N338),$N338,""),
          unit_details[Sqft],$P338))</f>
        <v>0</v>
      </c>
      <c r="AC338" s="27" t="str">
        <f t="shared" si="58"/>
        <v/>
      </c>
      <c r="AD338" s="293" t="str">
        <f>IFERROR(IF(AE338="","",IF($F338="Total",
SUMPRODUCT(
   INDEX(AD:AD, ROW()-COUNTIF($F$6:INDEX($F:$F, ROW()-1), $F337)) : INDEX(AD:AD, ROW()-1),
   INDEX(AB:AB, ROW()-COUNTIF($F$6:INDEX($F:$F, ROW()-1), $F337)) : INDEX(AB:AB, ROW()-1)
   )
   /SUM(INDEX(AB:AB, ROW()-COUNTIF($F$6:INDEX($F:$F, ROW()-1), $F337)) : INDEX(AB:AB, ROW()-1)),
          _xlfn.MINIFS(unit_details[Asking Rent],
          unit_details[Active Listing?],TRUE,
          unit_details[Property Name], $F338,
          unit_details[Beds], $L338,
          unit_details[Baths], $M338,
          unit_details[Partial Baths], IF(ISNUMBER($N338),$N338,""),
          unit_details[Sqft],$P338
))),"")</f>
        <v/>
      </c>
      <c r="AE338" s="5" t="str">
        <f>IFERROR(IF($F338="Total",
          SUMPRODUCT(
   INDEX(AE:AE, ROW()-COUNTIF($F$6:INDEX($F:$F, ROW()-1), $F337)) : INDEX(AE:AE, ROW()-1),
   INDEX(AB:AB, ROW()-COUNTIF($F$6:INDEX($F:$F, ROW()-1), $F337)) : INDEX(AB:AB, ROW()-1)
   )
   /SUM(INDEX(AB:AB, ROW()-COUNTIF($F$6:INDEX($F:$F, ROW()-1), $F337)) : INDEX(AB:AB, ROW()-1)),
          AVERAGEIFS(unit_details[Asking Rent],
          unit_details[Active Listing?],TRUE,
          unit_details[Property Name], $F338,
          unit_details[Beds], $L338,
          unit_details[Baths], $M338,
          unit_details[Partial Baths], IF(ISNUMBER($N338),$N338,""),
          unit_details[Sqft],$P338
)),"")</f>
        <v/>
      </c>
      <c r="AF338" s="5" t="str">
        <f>IFERROR(IF(AE338="","",IF($F338="Total",
SUMPRODUCT(
   INDEX(AF:AF, ROW()-COUNTIF($F$6:INDEX($F:$F, ROW()-1), $F337)) : INDEX(AF:AF, ROW()-1),
   INDEX(AB:AB, ROW()-COUNTIF($F$6:INDEX($F:$F, ROW()-1), $F337)) : INDEX(AB:AB, ROW()-1)
   )
   /SUM(INDEX(AB:AB, ROW()-COUNTIF($F$6:INDEX($F:$F, ROW()-1), $F337)) : INDEX(AB:AB, ROW()-1)),
           _xlfn.MAXIFS(unit_details[Asking Rent],
          unit_details[Active Listing?],TRUE,
          unit_details[Property Name], $F338,
          unit_details[Beds], $L338,
          unit_details[Baths], $M338,
          unit_details[Partial Baths], IF(ISNUMBER($N338),$N338,""),
          unit_details[Sqft],$P338
))),"")</f>
        <v/>
      </c>
      <c r="AG338" s="6" t="str">
        <f>IFERROR(IF($F338="Total",
         SUMPRODUCT(
         INDEX(AG:AG, ROW()-COUNTIF($F$6:INDEX($F:$F, ROW()-1), $F337)) : INDEX(AG:AG, ROW()-1),
         INDEX(AB:AB, ROW()-COUNTIF($F$6:INDEX($F:$F, ROW()-1), $F337)) : INDEX(AB:AB, ROW()-1)
         )
         /SUM(INDEX(AB:AB, ROW()-COUNTIF($F$6:INDEX($F:$F, ROW()-1), $F337)) : INDEX(AB:AB, ROW()-1)),
          AVERAGEIFS(unit_details[Asking PSF],
          unit_details[Active Listing?],TRUE,
          unit_details[Property Name], $F338,
          unit_details[Beds], $L338,
          unit_details[Baths], $M338,
          unit_details[Partial Baths], IF(ISNUMBER($N338),$N338,""),
          unit_details[Sqft],$P338
)),"")</f>
        <v/>
      </c>
      <c r="AH338" s="293" t="str">
        <f>IFERROR(IF($F338="Total",
         SUMPRODUCT(
         INDEX(AH:AH, ROW()-COUNTIF($F$6:INDEX($F:$F, ROW()-1), $F337)) : INDEX(AH:AH, ROW()-1),
         INDEX(AB:AB, ROW()-COUNTIF($F$6:INDEX($F:$F, ROW()-1), $F337)) : INDEX(AB:AB, ROW()-1)
         )
         /SUM(INDEX(AB:AB, ROW()-COUNTIF($F$6:INDEX($F:$F, ROW()-1), $F337)) : INDEX(AB:AB, ROW()-1)),
          AVERAGEIFS(unit_details[Effective Rent],
          unit_details[Active Listing?],TRUE,
          unit_details[Property Name], $F338,
          unit_details[Beds], $L338,
          unit_details[Baths], $M338,
          unit_details[Partial Baths], IF(ISNUMBER($N338),$N338,""),
          unit_details[Sqft],$P338
)),"")</f>
        <v/>
      </c>
      <c r="AI338" s="6" t="str">
        <f>IFERROR(IF($F338="Total",
         SUMPRODUCT(
         INDEX(AI:AI, ROW()-COUNTIF($F$6:INDEX($F:$F, ROW()-1), $F337)) : INDEX(AI:AI, ROW()-1),
         INDEX(AB:AB, ROW()-COUNTIF($F$6:INDEX($F:$F, ROW()-1), $F337)) : INDEX(AB:AB, ROW()-1)
         )
         /SUM(INDEX(AB:AB, ROW()-COUNTIF($F$6:INDEX($F:$F, ROW()-1), $F337)) : INDEX(AB:AB, ROW()-1)),
           AVERAGEIFS(unit_details[Effective PSF],
          unit_details[Active Listing?],TRUE,
          unit_details[Property Name], $F338,
          unit_details[Beds], $L338,
          unit_details[Baths], $M338,
          unit_details[Partial Baths], IF(ISNUMBER($N338),$N338,""),
          unit_details[Sqft],$P338
)),"")</f>
        <v/>
      </c>
      <c r="AJ338" s="824" t="str">
        <f t="shared" si="59"/>
        <v/>
      </c>
      <c r="AK338" s="531" t="str">
        <f t="shared" si="60"/>
        <v/>
      </c>
      <c r="AL338" s="714" t="str">
        <f t="shared" si="61"/>
        <v/>
      </c>
      <c r="AM338" s="531" t="str">
        <f t="shared" si="62"/>
        <v/>
      </c>
      <c r="AN338" s="716" t="str">
        <f t="shared" si="63"/>
        <v/>
      </c>
    </row>
    <row r="339" spans="6:40" x14ac:dyDescent="0.2">
      <c r="F339" s="1" t="str">
        <f t="shared" si="56"/>
        <v/>
      </c>
      <c r="G339" s="713" t="str">
        <f t="shared" si="64"/>
        <v/>
      </c>
      <c r="H339" s="17" t="str">
        <f>IFERROR(VLOOKUP($G339,Table1[[Property]:[Exposure %]],4,0),"")</f>
        <v/>
      </c>
      <c r="I339" s="3" t="str">
        <f>IFERROR(VLOOKUP($G339,Table1[[Property]:[Exposure %]],6,0),"")</f>
        <v/>
      </c>
      <c r="J339" s="3" t="str">
        <f>IFERROR(VLOOKUP($G339,Table1[[Property]:[Exposure %]],7,0),"")</f>
        <v/>
      </c>
      <c r="R339" s="4" t="str">
        <f>IFERROR(VLOOKUP(IF(F339="Total",F338,F339),Table1[[Property]:['# Units]],7,0)*S339,"")</f>
        <v/>
      </c>
      <c r="S339" s="27" t="str">
        <f t="shared" si="57"/>
        <v/>
      </c>
      <c r="T339" s="531" t="str">
        <f>IFERROR(
 IF($F339="Total",
   SUMPRODUCT(
   INDEX(T:T, ROW()-COUNTIF($F$6:INDEX($F:$F, ROW()-1), $F338)) : INDEX(T:T, ROW()-1),
   INDEX(W:W, ROW()-COUNTIF($F$6:INDEX($F:$F, ROW()-1), $F338)) : INDEX(W:W, ROW()-1)
   )
   /SUM(INDEX(W:W, ROW()-COUNTIF($F$6:INDEX($F:$F, ROW()-1), $F338)) : INDEX(W:W, ROW()-1)),
   AVERAGEIFS(
     INDEX((unit_details[Asking Rent],unit_details[Asking PSF]),0,1,IF($U$3="Chunk Rent",1,2)),
     unit_details[Leased Date],"&gt;="&amp;($AM$2-T$5),
     unit_details[Leased Date],"&lt;"&amp;$AM$2,
     unit_details[Beds],$L339,
     unit_details[Baths],$M339,
     unit_details[Partial Baths],IF(ISNUMBER($N339),$N339,""),
     unit_details[Sqft],$P339,
     unit_details[Property Name],$F339)
 ),"")</f>
        <v/>
      </c>
      <c r="U339" s="552" t="str">
        <f>IFERROR(
 IF($F339="Total",
   SUMPRODUCT(
   INDEX(U:U, ROW()-COUNTIF($F$6:INDEX($F:$F, ROW()-1), $F338)) : INDEX(U:U, ROW()-1),
   INDEX(W:W, ROW()-COUNTIF($F$6:INDEX($F:$F, ROW()-1), $F338)) : INDEX(W:W, ROW()-1)
   )
   /SUM(INDEX(W:W, ROW()-COUNTIF($F$6:INDEX($F:$F, ROW()-1), $F338)) : INDEX(W:W, ROW()-1)),
   AVERAGEIFS(
     INDEX((unit_details[Effective Rent],unit_details[Effective PSF]),0,1,IF($U$3="Chunk Rent",1,2)),
     unit_details[Leased Date],"&gt;="&amp;($AM$2-T$5),
     unit_details[Leased Date],"&lt;"&amp;$AM$2,
     unit_details[Beds],$L339,
     unit_details[Baths],$M339,
     unit_details[Partial Baths],IF(ISNUMBER($N339),$N339,""),
     unit_details[Sqft],$P339,
     unit_details[Property Name],$F339)
 ),"")</f>
        <v/>
      </c>
      <c r="V339" s="27" t="str">
        <f t="shared" si="65"/>
        <v/>
      </c>
      <c r="W339" s="526">
        <f>IFERROR(
  IF($F339="Total",
    SUM(INDEX(W:W, ROW()-COUNTIF($F$6:INDEX($F:$F, ROW()-1), $F338)) : INDEX(W:W, ROW()-1)),
    COUNTIFS(
      unit_details[Leased Date], "&gt;="&amp;($AM$2-T$5),
      unit_details[Leased Date], "&lt;"&amp;$AM$2,
      unit_details[Beds], $L339,
      unit_details[Baths], $M339,
      unit_details[Partial Baths], IF(ISNUMBER($N339), $N339, ""),
      unit_details[Sqft],$P339,
      unit_details[Property Name], $F339
    )
  ),
"")</f>
        <v>0</v>
      </c>
      <c r="X339" s="531" t="str">
        <f>IFERROR(
 IF($F339="Total",
   SUMPRODUCT(
   INDEX(X:X, ROW()-COUNTIF($F$6:INDEX($F:$F, ROW()-1), $F338)) : INDEX(X:X, ROW()-1),
   INDEX(AA:AA, ROW()-COUNTIF($F$6:INDEX($F:$F, ROW()-1), $F338)) : INDEX(AA:AA, ROW()-1)
   )
   /SUM(INDEX(AA:AA, ROW()-COUNTIF($F$6:INDEX($F:$F, ROW()-1), $F338)) : INDEX(AA:AA, ROW()-1)),
   AVERAGEIFS(
     INDEX((unit_details[Asking Rent],unit_details[Asking PSF]),0,1,IF($U$3="Chunk Rent",1,2)),
     unit_details[Leased Date],"&gt;="&amp;($AM$2-X$5),
     unit_details[Leased Date],"&lt;"&amp;$AM$2,
     unit_details[Beds],$L339,
     unit_details[Baths],$M339,
     unit_details[Partial Baths],IF(ISNUMBER($N339),$N339,""),
     unit_details[Sqft],$P339,
     unit_details[Property Name],$F339)
 ),"")</f>
        <v/>
      </c>
      <c r="Y339" s="552" t="str">
        <f>IFERROR(
 IF($F339="Total",
   SUMPRODUCT(
   INDEX(Y:Y, ROW()-COUNTIF($F$6:INDEX($F:$F, ROW()-1), $F338)) : INDEX(Y:Y, ROW()-1),
   INDEX(AA:AA, ROW()-COUNTIF($F$6:INDEX($F:$F, ROW()-1), $F338)) : INDEX(AA:AA, ROW()-1)
   )
   /SUM(INDEX(AA:AA, ROW()-COUNTIF($F$6:INDEX($F:$F, ROW()-1), $F338)) : INDEX(AA:AA, ROW()-1)),
   AVERAGEIFS(
     INDEX((unit_details[Effective Rent],unit_details[Effective PSF]),0,1,IF($U$3="Chunk Rent",1,2)),
     unit_details[Leased Date],"&gt;="&amp;($AM$2-X$5),
     unit_details[Leased Date],"&lt;"&amp;$AM$2,
     unit_details[Beds],$L339,
     unit_details[Baths],$M339,
     unit_details[Partial Baths],IF(ISNUMBER($N339),$N339,""),
     unit_details[Sqft],$P339,
     unit_details[Property Name],$F339)
 ),"")</f>
        <v/>
      </c>
      <c r="Z339" s="27" t="str">
        <f t="shared" si="66"/>
        <v/>
      </c>
      <c r="AA339" s="526">
        <f>IFERROR(
  IF($F339="Total",
    SUM(INDEX(AA:AA, ROW()-COUNTIF($F$6:INDEX($F:$F, ROW()-1), $F338)) : INDEX(AA:AA, ROW()-1)),
    COUNTIFS(
      unit_details[Leased Date], "&gt;="&amp;($AM$2-X$5),
      unit_details[Leased Date], "&lt;"&amp;$AM$2,
      unit_details[Beds], $L339,
      unit_details[Baths], $M339,
      unit_details[Partial Baths], IF(ISNUMBER($N339), $N339, ""),
      unit_details[Sqft],$P339,
      unit_details[Property Name], $F339
    )
  ),
"")</f>
        <v>0</v>
      </c>
      <c r="AB339" s="290">
        <f>IF($F339="Total",
SUM(INDEX(AB:AB, ROW()-COUNTIF($F$6:INDEX($F:$F, ROW()-1), $F338)) : INDEX(AB:AB, ROW()-1)),
COUNTIFS(unit_details[Active Listing?],TRUE,
          unit_details[Property Name], $F339,
          unit_details[Beds], $L339,
          unit_details[Baths], $M339,
          unit_details[Partial Baths],IF(ISNUMBER($N339),$N339,""),
          unit_details[Sqft],$P339))</f>
        <v>0</v>
      </c>
      <c r="AC339" s="27" t="str">
        <f t="shared" si="58"/>
        <v/>
      </c>
      <c r="AD339" s="293" t="str">
        <f>IFERROR(IF(AE339="","",IF($F339="Total",
SUMPRODUCT(
   INDEX(AD:AD, ROW()-COUNTIF($F$6:INDEX($F:$F, ROW()-1), $F338)) : INDEX(AD:AD, ROW()-1),
   INDEX(AB:AB, ROW()-COUNTIF($F$6:INDEX($F:$F, ROW()-1), $F338)) : INDEX(AB:AB, ROW()-1)
   )
   /SUM(INDEX(AB:AB, ROW()-COUNTIF($F$6:INDEX($F:$F, ROW()-1), $F338)) : INDEX(AB:AB, ROW()-1)),
          _xlfn.MINIFS(unit_details[Asking Rent],
          unit_details[Active Listing?],TRUE,
          unit_details[Property Name], $F339,
          unit_details[Beds], $L339,
          unit_details[Baths], $M339,
          unit_details[Partial Baths], IF(ISNUMBER($N339),$N339,""),
          unit_details[Sqft],$P339
))),"")</f>
        <v/>
      </c>
      <c r="AE339" s="5" t="str">
        <f>IFERROR(IF($F339="Total",
          SUMPRODUCT(
   INDEX(AE:AE, ROW()-COUNTIF($F$6:INDEX($F:$F, ROW()-1), $F338)) : INDEX(AE:AE, ROW()-1),
   INDEX(AB:AB, ROW()-COUNTIF($F$6:INDEX($F:$F, ROW()-1), $F338)) : INDEX(AB:AB, ROW()-1)
   )
   /SUM(INDEX(AB:AB, ROW()-COUNTIF($F$6:INDEX($F:$F, ROW()-1), $F338)) : INDEX(AB:AB, ROW()-1)),
          AVERAGEIFS(unit_details[Asking Rent],
          unit_details[Active Listing?],TRUE,
          unit_details[Property Name], $F339,
          unit_details[Beds], $L339,
          unit_details[Baths], $M339,
          unit_details[Partial Baths], IF(ISNUMBER($N339),$N339,""),
          unit_details[Sqft],$P339
)),"")</f>
        <v/>
      </c>
      <c r="AF339" s="5" t="str">
        <f>IFERROR(IF(AE339="","",IF($F339="Total",
SUMPRODUCT(
   INDEX(AF:AF, ROW()-COUNTIF($F$6:INDEX($F:$F, ROW()-1), $F338)) : INDEX(AF:AF, ROW()-1),
   INDEX(AB:AB, ROW()-COUNTIF($F$6:INDEX($F:$F, ROW()-1), $F338)) : INDEX(AB:AB, ROW()-1)
   )
   /SUM(INDEX(AB:AB, ROW()-COUNTIF($F$6:INDEX($F:$F, ROW()-1), $F338)) : INDEX(AB:AB, ROW()-1)),
           _xlfn.MAXIFS(unit_details[Asking Rent],
          unit_details[Active Listing?],TRUE,
          unit_details[Property Name], $F339,
          unit_details[Beds], $L339,
          unit_details[Baths], $M339,
          unit_details[Partial Baths], IF(ISNUMBER($N339),$N339,""),
          unit_details[Sqft],$P339
))),"")</f>
        <v/>
      </c>
      <c r="AG339" s="6" t="str">
        <f>IFERROR(IF($F339="Total",
         SUMPRODUCT(
         INDEX(AG:AG, ROW()-COUNTIF($F$6:INDEX($F:$F, ROW()-1), $F338)) : INDEX(AG:AG, ROW()-1),
         INDEX(AB:AB, ROW()-COUNTIF($F$6:INDEX($F:$F, ROW()-1), $F338)) : INDEX(AB:AB, ROW()-1)
         )
         /SUM(INDEX(AB:AB, ROW()-COUNTIF($F$6:INDEX($F:$F, ROW()-1), $F338)) : INDEX(AB:AB, ROW()-1)),
          AVERAGEIFS(unit_details[Asking PSF],
          unit_details[Active Listing?],TRUE,
          unit_details[Property Name], $F339,
          unit_details[Beds], $L339,
          unit_details[Baths], $M339,
          unit_details[Partial Baths], IF(ISNUMBER($N339),$N339,""),
          unit_details[Sqft],$P339
)),"")</f>
        <v/>
      </c>
      <c r="AH339" s="293" t="str">
        <f>IFERROR(IF($F339="Total",
         SUMPRODUCT(
         INDEX(AH:AH, ROW()-COUNTIF($F$6:INDEX($F:$F, ROW()-1), $F338)) : INDEX(AH:AH, ROW()-1),
         INDEX(AB:AB, ROW()-COUNTIF($F$6:INDEX($F:$F, ROW()-1), $F338)) : INDEX(AB:AB, ROW()-1)
         )
         /SUM(INDEX(AB:AB, ROW()-COUNTIF($F$6:INDEX($F:$F, ROW()-1), $F338)) : INDEX(AB:AB, ROW()-1)),
          AVERAGEIFS(unit_details[Effective Rent],
          unit_details[Active Listing?],TRUE,
          unit_details[Property Name], $F339,
          unit_details[Beds], $L339,
          unit_details[Baths], $M339,
          unit_details[Partial Baths], IF(ISNUMBER($N339),$N339,""),
          unit_details[Sqft],$P339
)),"")</f>
        <v/>
      </c>
      <c r="AI339" s="6" t="str">
        <f>IFERROR(IF($F339="Total",
         SUMPRODUCT(
         INDEX(AI:AI, ROW()-COUNTIF($F$6:INDEX($F:$F, ROW()-1), $F338)) : INDEX(AI:AI, ROW()-1),
         INDEX(AB:AB, ROW()-COUNTIF($F$6:INDEX($F:$F, ROW()-1), $F338)) : INDEX(AB:AB, ROW()-1)
         )
         /SUM(INDEX(AB:AB, ROW()-COUNTIF($F$6:INDEX($F:$F, ROW()-1), $F338)) : INDEX(AB:AB, ROW()-1)),
           AVERAGEIFS(unit_details[Effective PSF],
          unit_details[Active Listing?],TRUE,
          unit_details[Property Name], $F339,
          unit_details[Beds], $L339,
          unit_details[Baths], $M339,
          unit_details[Partial Baths], IF(ISNUMBER($N339),$N339,""),
          unit_details[Sqft],$P339
)),"")</f>
        <v/>
      </c>
      <c r="AJ339" s="824" t="str">
        <f t="shared" si="59"/>
        <v/>
      </c>
      <c r="AK339" s="531" t="str">
        <f t="shared" si="60"/>
        <v/>
      </c>
      <c r="AL339" s="714" t="str">
        <f t="shared" si="61"/>
        <v/>
      </c>
      <c r="AM339" s="531" t="str">
        <f t="shared" si="62"/>
        <v/>
      </c>
      <c r="AN339" s="716" t="str">
        <f t="shared" si="63"/>
        <v/>
      </c>
    </row>
    <row r="340" spans="6:40" x14ac:dyDescent="0.2">
      <c r="F340" s="1" t="str">
        <f t="shared" si="56"/>
        <v/>
      </c>
      <c r="G340" s="713" t="str">
        <f t="shared" si="64"/>
        <v/>
      </c>
      <c r="H340" s="17" t="str">
        <f>IFERROR(VLOOKUP($G340,Table1[[Property]:[Exposure %]],4,0),"")</f>
        <v/>
      </c>
      <c r="I340" s="3" t="str">
        <f>IFERROR(VLOOKUP($G340,Table1[[Property]:[Exposure %]],6,0),"")</f>
        <v/>
      </c>
      <c r="J340" s="3" t="str">
        <f>IFERROR(VLOOKUP($G340,Table1[[Property]:[Exposure %]],7,0),"")</f>
        <v/>
      </c>
      <c r="R340" s="4" t="str">
        <f>IFERROR(VLOOKUP(IF(F340="Total",F339,F340),Table1[[Property]:['# Units]],7,0)*S340,"")</f>
        <v/>
      </c>
      <c r="S340" s="27" t="str">
        <f t="shared" si="57"/>
        <v/>
      </c>
      <c r="T340" s="531" t="str">
        <f>IFERROR(
 IF($F340="Total",
   SUMPRODUCT(
   INDEX(T:T, ROW()-COUNTIF($F$6:INDEX($F:$F, ROW()-1), $F339)) : INDEX(T:T, ROW()-1),
   INDEX(W:W, ROW()-COUNTIF($F$6:INDEX($F:$F, ROW()-1), $F339)) : INDEX(W:W, ROW()-1)
   )
   /SUM(INDEX(W:W, ROW()-COUNTIF($F$6:INDEX($F:$F, ROW()-1), $F339)) : INDEX(W:W, ROW()-1)),
   AVERAGEIFS(
     INDEX((unit_details[Asking Rent],unit_details[Asking PSF]),0,1,IF($U$3="Chunk Rent",1,2)),
     unit_details[Leased Date],"&gt;="&amp;($AM$2-T$5),
     unit_details[Leased Date],"&lt;"&amp;$AM$2,
     unit_details[Beds],$L340,
     unit_details[Baths],$M340,
     unit_details[Partial Baths],IF(ISNUMBER($N340),$N340,""),
     unit_details[Sqft],$P340,
     unit_details[Property Name],$F340)
 ),"")</f>
        <v/>
      </c>
      <c r="U340" s="552" t="str">
        <f>IFERROR(
 IF($F340="Total",
   SUMPRODUCT(
   INDEX(U:U, ROW()-COUNTIF($F$6:INDEX($F:$F, ROW()-1), $F339)) : INDEX(U:U, ROW()-1),
   INDEX(W:W, ROW()-COUNTIF($F$6:INDEX($F:$F, ROW()-1), $F339)) : INDEX(W:W, ROW()-1)
   )
   /SUM(INDEX(W:W, ROW()-COUNTIF($F$6:INDEX($F:$F, ROW()-1), $F339)) : INDEX(W:W, ROW()-1)),
   AVERAGEIFS(
     INDEX((unit_details[Effective Rent],unit_details[Effective PSF]),0,1,IF($U$3="Chunk Rent",1,2)),
     unit_details[Leased Date],"&gt;="&amp;($AM$2-T$5),
     unit_details[Leased Date],"&lt;"&amp;$AM$2,
     unit_details[Beds],$L340,
     unit_details[Baths],$M340,
     unit_details[Partial Baths],IF(ISNUMBER($N340),$N340,""),
     unit_details[Sqft],$P340,
     unit_details[Property Name],$F340)
 ),"")</f>
        <v/>
      </c>
      <c r="V340" s="27" t="str">
        <f t="shared" si="65"/>
        <v/>
      </c>
      <c r="W340" s="526">
        <f>IFERROR(
  IF($F340="Total",
    SUM(INDEX(W:W, ROW()-COUNTIF($F$6:INDEX($F:$F, ROW()-1), $F339)) : INDEX(W:W, ROW()-1)),
    COUNTIFS(
      unit_details[Leased Date], "&gt;="&amp;($AM$2-T$5),
      unit_details[Leased Date], "&lt;"&amp;$AM$2,
      unit_details[Beds], $L340,
      unit_details[Baths], $M340,
      unit_details[Partial Baths], IF(ISNUMBER($N340), $N340, ""),
      unit_details[Sqft],$P340,
      unit_details[Property Name], $F340
    )
  ),
"")</f>
        <v>0</v>
      </c>
      <c r="X340" s="531" t="str">
        <f>IFERROR(
 IF($F340="Total",
   SUMPRODUCT(
   INDEX(X:X, ROW()-COUNTIF($F$6:INDEX($F:$F, ROW()-1), $F339)) : INDEX(X:X, ROW()-1),
   INDEX(AA:AA, ROW()-COUNTIF($F$6:INDEX($F:$F, ROW()-1), $F339)) : INDEX(AA:AA, ROW()-1)
   )
   /SUM(INDEX(AA:AA, ROW()-COUNTIF($F$6:INDEX($F:$F, ROW()-1), $F339)) : INDEX(AA:AA, ROW()-1)),
   AVERAGEIFS(
     INDEX((unit_details[Asking Rent],unit_details[Asking PSF]),0,1,IF($U$3="Chunk Rent",1,2)),
     unit_details[Leased Date],"&gt;="&amp;($AM$2-X$5),
     unit_details[Leased Date],"&lt;"&amp;$AM$2,
     unit_details[Beds],$L340,
     unit_details[Baths],$M340,
     unit_details[Partial Baths],IF(ISNUMBER($N340),$N340,""),
     unit_details[Sqft],$P340,
     unit_details[Property Name],$F340)
 ),"")</f>
        <v/>
      </c>
      <c r="Y340" s="552" t="str">
        <f>IFERROR(
 IF($F340="Total",
   SUMPRODUCT(
   INDEX(Y:Y, ROW()-COUNTIF($F$6:INDEX($F:$F, ROW()-1), $F339)) : INDEX(Y:Y, ROW()-1),
   INDEX(AA:AA, ROW()-COUNTIF($F$6:INDEX($F:$F, ROW()-1), $F339)) : INDEX(AA:AA, ROW()-1)
   )
   /SUM(INDEX(AA:AA, ROW()-COUNTIF($F$6:INDEX($F:$F, ROW()-1), $F339)) : INDEX(AA:AA, ROW()-1)),
   AVERAGEIFS(
     INDEX((unit_details[Effective Rent],unit_details[Effective PSF]),0,1,IF($U$3="Chunk Rent",1,2)),
     unit_details[Leased Date],"&gt;="&amp;($AM$2-X$5),
     unit_details[Leased Date],"&lt;"&amp;$AM$2,
     unit_details[Beds],$L340,
     unit_details[Baths],$M340,
     unit_details[Partial Baths],IF(ISNUMBER($N340),$N340,""),
     unit_details[Sqft],$P340,
     unit_details[Property Name],$F340)
 ),"")</f>
        <v/>
      </c>
      <c r="Z340" s="27" t="str">
        <f t="shared" si="66"/>
        <v/>
      </c>
      <c r="AA340" s="526">
        <f>IFERROR(
  IF($F340="Total",
    SUM(INDEX(AA:AA, ROW()-COUNTIF($F$6:INDEX($F:$F, ROW()-1), $F339)) : INDEX(AA:AA, ROW()-1)),
    COUNTIFS(
      unit_details[Leased Date], "&gt;="&amp;($AM$2-X$5),
      unit_details[Leased Date], "&lt;"&amp;$AM$2,
      unit_details[Beds], $L340,
      unit_details[Baths], $M340,
      unit_details[Partial Baths], IF(ISNUMBER($N340), $N340, ""),
      unit_details[Sqft],$P340,
      unit_details[Property Name], $F340
    )
  ),
"")</f>
        <v>0</v>
      </c>
      <c r="AB340" s="290">
        <f>IF($F340="Total",
SUM(INDEX(AB:AB, ROW()-COUNTIF($F$6:INDEX($F:$F, ROW()-1), $F339)) : INDEX(AB:AB, ROW()-1)),
COUNTIFS(unit_details[Active Listing?],TRUE,
          unit_details[Property Name], $F340,
          unit_details[Beds], $L340,
          unit_details[Baths], $M340,
          unit_details[Partial Baths],IF(ISNUMBER($N340),$N340,""),
          unit_details[Sqft],$P340))</f>
        <v>0</v>
      </c>
      <c r="AC340" s="27" t="str">
        <f t="shared" si="58"/>
        <v/>
      </c>
      <c r="AD340" s="293" t="str">
        <f>IFERROR(IF(AE340="","",IF($F340="Total",
SUMPRODUCT(
   INDEX(AD:AD, ROW()-COUNTIF($F$6:INDEX($F:$F, ROW()-1), $F339)) : INDEX(AD:AD, ROW()-1),
   INDEX(AB:AB, ROW()-COUNTIF($F$6:INDEX($F:$F, ROW()-1), $F339)) : INDEX(AB:AB, ROW()-1)
   )
   /SUM(INDEX(AB:AB, ROW()-COUNTIF($F$6:INDEX($F:$F, ROW()-1), $F339)) : INDEX(AB:AB, ROW()-1)),
          _xlfn.MINIFS(unit_details[Asking Rent],
          unit_details[Active Listing?],TRUE,
          unit_details[Property Name], $F340,
          unit_details[Beds], $L340,
          unit_details[Baths], $M340,
          unit_details[Partial Baths], IF(ISNUMBER($N340),$N340,""),
          unit_details[Sqft],$P340
))),"")</f>
        <v/>
      </c>
      <c r="AE340" s="5" t="str">
        <f>IFERROR(IF($F340="Total",
          SUMPRODUCT(
   INDEX(AE:AE, ROW()-COUNTIF($F$6:INDEX($F:$F, ROW()-1), $F339)) : INDEX(AE:AE, ROW()-1),
   INDEX(AB:AB, ROW()-COUNTIF($F$6:INDEX($F:$F, ROW()-1), $F339)) : INDEX(AB:AB, ROW()-1)
   )
   /SUM(INDEX(AB:AB, ROW()-COUNTIF($F$6:INDEX($F:$F, ROW()-1), $F339)) : INDEX(AB:AB, ROW()-1)),
          AVERAGEIFS(unit_details[Asking Rent],
          unit_details[Active Listing?],TRUE,
          unit_details[Property Name], $F340,
          unit_details[Beds], $L340,
          unit_details[Baths], $M340,
          unit_details[Partial Baths], IF(ISNUMBER($N340),$N340,""),
          unit_details[Sqft],$P340
)),"")</f>
        <v/>
      </c>
      <c r="AF340" s="5" t="str">
        <f>IFERROR(IF(AE340="","",IF($F340="Total",
SUMPRODUCT(
   INDEX(AF:AF, ROW()-COUNTIF($F$6:INDEX($F:$F, ROW()-1), $F339)) : INDEX(AF:AF, ROW()-1),
   INDEX(AB:AB, ROW()-COUNTIF($F$6:INDEX($F:$F, ROW()-1), $F339)) : INDEX(AB:AB, ROW()-1)
   )
   /SUM(INDEX(AB:AB, ROW()-COUNTIF($F$6:INDEX($F:$F, ROW()-1), $F339)) : INDEX(AB:AB, ROW()-1)),
           _xlfn.MAXIFS(unit_details[Asking Rent],
          unit_details[Active Listing?],TRUE,
          unit_details[Property Name], $F340,
          unit_details[Beds], $L340,
          unit_details[Baths], $M340,
          unit_details[Partial Baths], IF(ISNUMBER($N340),$N340,""),
          unit_details[Sqft],$P340
))),"")</f>
        <v/>
      </c>
      <c r="AG340" s="6" t="str">
        <f>IFERROR(IF($F340="Total",
         SUMPRODUCT(
         INDEX(AG:AG, ROW()-COUNTIF($F$6:INDEX($F:$F, ROW()-1), $F339)) : INDEX(AG:AG, ROW()-1),
         INDEX(AB:AB, ROW()-COUNTIF($F$6:INDEX($F:$F, ROW()-1), $F339)) : INDEX(AB:AB, ROW()-1)
         )
         /SUM(INDEX(AB:AB, ROW()-COUNTIF($F$6:INDEX($F:$F, ROW()-1), $F339)) : INDEX(AB:AB, ROW()-1)),
          AVERAGEIFS(unit_details[Asking PSF],
          unit_details[Active Listing?],TRUE,
          unit_details[Property Name], $F340,
          unit_details[Beds], $L340,
          unit_details[Baths], $M340,
          unit_details[Partial Baths], IF(ISNUMBER($N340),$N340,""),
          unit_details[Sqft],$P340
)),"")</f>
        <v/>
      </c>
      <c r="AH340" s="293" t="str">
        <f>IFERROR(IF($F340="Total",
         SUMPRODUCT(
         INDEX(AH:AH, ROW()-COUNTIF($F$6:INDEX($F:$F, ROW()-1), $F339)) : INDEX(AH:AH, ROW()-1),
         INDEX(AB:AB, ROW()-COUNTIF($F$6:INDEX($F:$F, ROW()-1), $F339)) : INDEX(AB:AB, ROW()-1)
         )
         /SUM(INDEX(AB:AB, ROW()-COUNTIF($F$6:INDEX($F:$F, ROW()-1), $F339)) : INDEX(AB:AB, ROW()-1)),
          AVERAGEIFS(unit_details[Effective Rent],
          unit_details[Active Listing?],TRUE,
          unit_details[Property Name], $F340,
          unit_details[Beds], $L340,
          unit_details[Baths], $M340,
          unit_details[Partial Baths], IF(ISNUMBER($N340),$N340,""),
          unit_details[Sqft],$P340
)),"")</f>
        <v/>
      </c>
      <c r="AI340" s="6" t="str">
        <f>IFERROR(IF($F340="Total",
         SUMPRODUCT(
         INDEX(AI:AI, ROW()-COUNTIF($F$6:INDEX($F:$F, ROW()-1), $F339)) : INDEX(AI:AI, ROW()-1),
         INDEX(AB:AB, ROW()-COUNTIF($F$6:INDEX($F:$F, ROW()-1), $F339)) : INDEX(AB:AB, ROW()-1)
         )
         /SUM(INDEX(AB:AB, ROW()-COUNTIF($F$6:INDEX($F:$F, ROW()-1), $F339)) : INDEX(AB:AB, ROW()-1)),
           AVERAGEIFS(unit_details[Effective PSF],
          unit_details[Active Listing?],TRUE,
          unit_details[Property Name], $F340,
          unit_details[Beds], $L340,
          unit_details[Baths], $M340,
          unit_details[Partial Baths], IF(ISNUMBER($N340),$N340,""),
          unit_details[Sqft],$P340
)),"")</f>
        <v/>
      </c>
      <c r="AJ340" s="824" t="str">
        <f t="shared" si="59"/>
        <v/>
      </c>
      <c r="AK340" s="531" t="str">
        <f t="shared" si="60"/>
        <v/>
      </c>
      <c r="AL340" s="714" t="str">
        <f t="shared" si="61"/>
        <v/>
      </c>
      <c r="AM340" s="531" t="str">
        <f t="shared" si="62"/>
        <v/>
      </c>
      <c r="AN340" s="716" t="str">
        <f t="shared" si="63"/>
        <v/>
      </c>
    </row>
    <row r="341" spans="6:40" x14ac:dyDescent="0.2">
      <c r="F341" s="1" t="str">
        <f t="shared" si="56"/>
        <v/>
      </c>
      <c r="G341" s="713" t="str">
        <f t="shared" si="64"/>
        <v/>
      </c>
      <c r="H341" s="17" t="str">
        <f>IFERROR(VLOOKUP($G341,Table1[[Property]:[Exposure %]],4,0),"")</f>
        <v/>
      </c>
      <c r="I341" s="3" t="str">
        <f>IFERROR(VLOOKUP($G341,Table1[[Property]:[Exposure %]],6,0),"")</f>
        <v/>
      </c>
      <c r="J341" s="3" t="str">
        <f>IFERROR(VLOOKUP($G341,Table1[[Property]:[Exposure %]],7,0),"")</f>
        <v/>
      </c>
      <c r="R341" s="4" t="str">
        <f>IFERROR(VLOOKUP(IF(F341="Total",F340,F341),Table1[[Property]:['# Units]],7,0)*S341,"")</f>
        <v/>
      </c>
      <c r="S341" s="27" t="str">
        <f t="shared" si="57"/>
        <v/>
      </c>
      <c r="T341" s="531" t="str">
        <f>IFERROR(
 IF($F341="Total",
   SUMPRODUCT(
   INDEX(T:T, ROW()-COUNTIF($F$6:INDEX($F:$F, ROW()-1), $F340)) : INDEX(T:T, ROW()-1),
   INDEX(W:W, ROW()-COUNTIF($F$6:INDEX($F:$F, ROW()-1), $F340)) : INDEX(W:W, ROW()-1)
   )
   /SUM(INDEX(W:W, ROW()-COUNTIF($F$6:INDEX($F:$F, ROW()-1), $F340)) : INDEX(W:W, ROW()-1)),
   AVERAGEIFS(
     INDEX((unit_details[Asking Rent],unit_details[Asking PSF]),0,1,IF($U$3="Chunk Rent",1,2)),
     unit_details[Leased Date],"&gt;="&amp;($AM$2-T$5),
     unit_details[Leased Date],"&lt;"&amp;$AM$2,
     unit_details[Beds],$L341,
     unit_details[Baths],$M341,
     unit_details[Partial Baths],IF(ISNUMBER($N341),$N341,""),
     unit_details[Sqft],$P341,
     unit_details[Property Name],$F341)
 ),"")</f>
        <v/>
      </c>
      <c r="U341" s="552" t="str">
        <f>IFERROR(
 IF($F341="Total",
   SUMPRODUCT(
   INDEX(U:U, ROW()-COUNTIF($F$6:INDEX($F:$F, ROW()-1), $F340)) : INDEX(U:U, ROW()-1),
   INDEX(W:W, ROW()-COUNTIF($F$6:INDEX($F:$F, ROW()-1), $F340)) : INDEX(W:W, ROW()-1)
   )
   /SUM(INDEX(W:W, ROW()-COUNTIF($F$6:INDEX($F:$F, ROW()-1), $F340)) : INDEX(W:W, ROW()-1)),
   AVERAGEIFS(
     INDEX((unit_details[Effective Rent],unit_details[Effective PSF]),0,1,IF($U$3="Chunk Rent",1,2)),
     unit_details[Leased Date],"&gt;="&amp;($AM$2-T$5),
     unit_details[Leased Date],"&lt;"&amp;$AM$2,
     unit_details[Beds],$L341,
     unit_details[Baths],$M341,
     unit_details[Partial Baths],IF(ISNUMBER($N341),$N341,""),
     unit_details[Sqft],$P341,
     unit_details[Property Name],$F341)
 ),"")</f>
        <v/>
      </c>
      <c r="V341" s="27" t="str">
        <f t="shared" si="65"/>
        <v/>
      </c>
      <c r="W341" s="526">
        <f>IFERROR(
  IF($F341="Total",
    SUM(INDEX(W:W, ROW()-COUNTIF($F$6:INDEX($F:$F, ROW()-1), $F340)) : INDEX(W:W, ROW()-1)),
    COUNTIFS(
      unit_details[Leased Date], "&gt;="&amp;($AM$2-T$5),
      unit_details[Leased Date], "&lt;"&amp;$AM$2,
      unit_details[Beds], $L341,
      unit_details[Baths], $M341,
      unit_details[Partial Baths], IF(ISNUMBER($N341), $N341, ""),
      unit_details[Sqft],$P341,
      unit_details[Property Name], $F341
    )
  ),
"")</f>
        <v>0</v>
      </c>
      <c r="X341" s="531" t="str">
        <f>IFERROR(
 IF($F341="Total",
   SUMPRODUCT(
   INDEX(X:X, ROW()-COUNTIF($F$6:INDEX($F:$F, ROW()-1), $F340)) : INDEX(X:X, ROW()-1),
   INDEX(AA:AA, ROW()-COUNTIF($F$6:INDEX($F:$F, ROW()-1), $F340)) : INDEX(AA:AA, ROW()-1)
   )
   /SUM(INDEX(AA:AA, ROW()-COUNTIF($F$6:INDEX($F:$F, ROW()-1), $F340)) : INDEX(AA:AA, ROW()-1)),
   AVERAGEIFS(
     INDEX((unit_details[Asking Rent],unit_details[Asking PSF]),0,1,IF($U$3="Chunk Rent",1,2)),
     unit_details[Leased Date],"&gt;="&amp;($AM$2-X$5),
     unit_details[Leased Date],"&lt;"&amp;$AM$2,
     unit_details[Beds],$L341,
     unit_details[Baths],$M341,
     unit_details[Partial Baths],IF(ISNUMBER($N341),$N341,""),
     unit_details[Sqft],$P341,
     unit_details[Property Name],$F341)
 ),"")</f>
        <v/>
      </c>
      <c r="Y341" s="552" t="str">
        <f>IFERROR(
 IF($F341="Total",
   SUMPRODUCT(
   INDEX(Y:Y, ROW()-COUNTIF($F$6:INDEX($F:$F, ROW()-1), $F340)) : INDEX(Y:Y, ROW()-1),
   INDEX(AA:AA, ROW()-COUNTIF($F$6:INDEX($F:$F, ROW()-1), $F340)) : INDEX(AA:AA, ROW()-1)
   )
   /SUM(INDEX(AA:AA, ROW()-COUNTIF($F$6:INDEX($F:$F, ROW()-1), $F340)) : INDEX(AA:AA, ROW()-1)),
   AVERAGEIFS(
     INDEX((unit_details[Effective Rent],unit_details[Effective PSF]),0,1,IF($U$3="Chunk Rent",1,2)),
     unit_details[Leased Date],"&gt;="&amp;($AM$2-X$5),
     unit_details[Leased Date],"&lt;"&amp;$AM$2,
     unit_details[Beds],$L341,
     unit_details[Baths],$M341,
     unit_details[Partial Baths],IF(ISNUMBER($N341),$N341,""),
     unit_details[Sqft],$P341,
     unit_details[Property Name],$F341)
 ),"")</f>
        <v/>
      </c>
      <c r="Z341" s="27" t="str">
        <f t="shared" si="66"/>
        <v/>
      </c>
      <c r="AA341" s="526">
        <f>IFERROR(
  IF($F341="Total",
    SUM(INDEX(AA:AA, ROW()-COUNTIF($F$6:INDEX($F:$F, ROW()-1), $F340)) : INDEX(AA:AA, ROW()-1)),
    COUNTIFS(
      unit_details[Leased Date], "&gt;="&amp;($AM$2-X$5),
      unit_details[Leased Date], "&lt;"&amp;$AM$2,
      unit_details[Beds], $L341,
      unit_details[Baths], $M341,
      unit_details[Partial Baths], IF(ISNUMBER($N341), $N341, ""),
      unit_details[Sqft],$P341,
      unit_details[Property Name], $F341
    )
  ),
"")</f>
        <v>0</v>
      </c>
      <c r="AB341" s="290">
        <f>IF($F341="Total",
SUM(INDEX(AB:AB, ROW()-COUNTIF($F$6:INDEX($F:$F, ROW()-1), $F340)) : INDEX(AB:AB, ROW()-1)),
COUNTIFS(unit_details[Active Listing?],TRUE,
          unit_details[Property Name], $F341,
          unit_details[Beds], $L341,
          unit_details[Baths], $M341,
          unit_details[Partial Baths],IF(ISNUMBER($N341),$N341,""),
          unit_details[Sqft],$P341))</f>
        <v>0</v>
      </c>
      <c r="AC341" s="27" t="str">
        <f t="shared" si="58"/>
        <v/>
      </c>
      <c r="AD341" s="293" t="str">
        <f>IFERROR(IF(AE341="","",IF($F341="Total",
SUMPRODUCT(
   INDEX(AD:AD, ROW()-COUNTIF($F$6:INDEX($F:$F, ROW()-1), $F340)) : INDEX(AD:AD, ROW()-1),
   INDEX(AB:AB, ROW()-COUNTIF($F$6:INDEX($F:$F, ROW()-1), $F340)) : INDEX(AB:AB, ROW()-1)
   )
   /SUM(INDEX(AB:AB, ROW()-COUNTIF($F$6:INDEX($F:$F, ROW()-1), $F340)) : INDEX(AB:AB, ROW()-1)),
          _xlfn.MINIFS(unit_details[Asking Rent],
          unit_details[Active Listing?],TRUE,
          unit_details[Property Name], $F341,
          unit_details[Beds], $L341,
          unit_details[Baths], $M341,
          unit_details[Partial Baths], IF(ISNUMBER($N341),$N341,""),
          unit_details[Sqft],$P341
))),"")</f>
        <v/>
      </c>
      <c r="AE341" s="5" t="str">
        <f>IFERROR(IF($F341="Total",
          SUMPRODUCT(
   INDEX(AE:AE, ROW()-COUNTIF($F$6:INDEX($F:$F, ROW()-1), $F340)) : INDEX(AE:AE, ROW()-1),
   INDEX(AB:AB, ROW()-COUNTIF($F$6:INDEX($F:$F, ROW()-1), $F340)) : INDEX(AB:AB, ROW()-1)
   )
   /SUM(INDEX(AB:AB, ROW()-COUNTIF($F$6:INDEX($F:$F, ROW()-1), $F340)) : INDEX(AB:AB, ROW()-1)),
          AVERAGEIFS(unit_details[Asking Rent],
          unit_details[Active Listing?],TRUE,
          unit_details[Property Name], $F341,
          unit_details[Beds], $L341,
          unit_details[Baths], $M341,
          unit_details[Partial Baths], IF(ISNUMBER($N341),$N341,""),
          unit_details[Sqft],$P341
)),"")</f>
        <v/>
      </c>
      <c r="AF341" s="5" t="str">
        <f>IFERROR(IF(AE341="","",IF($F341="Total",
SUMPRODUCT(
   INDEX(AF:AF, ROW()-COUNTIF($F$6:INDEX($F:$F, ROW()-1), $F340)) : INDEX(AF:AF, ROW()-1),
   INDEX(AB:AB, ROW()-COUNTIF($F$6:INDEX($F:$F, ROW()-1), $F340)) : INDEX(AB:AB, ROW()-1)
   )
   /SUM(INDEX(AB:AB, ROW()-COUNTIF($F$6:INDEX($F:$F, ROW()-1), $F340)) : INDEX(AB:AB, ROW()-1)),
           _xlfn.MAXIFS(unit_details[Asking Rent],
          unit_details[Active Listing?],TRUE,
          unit_details[Property Name], $F341,
          unit_details[Beds], $L341,
          unit_details[Baths], $M341,
          unit_details[Partial Baths], IF(ISNUMBER($N341),$N341,""),
          unit_details[Sqft],$P341
))),"")</f>
        <v/>
      </c>
      <c r="AG341" s="6" t="str">
        <f>IFERROR(IF($F341="Total",
         SUMPRODUCT(
         INDEX(AG:AG, ROW()-COUNTIF($F$6:INDEX($F:$F, ROW()-1), $F340)) : INDEX(AG:AG, ROW()-1),
         INDEX(AB:AB, ROW()-COUNTIF($F$6:INDEX($F:$F, ROW()-1), $F340)) : INDEX(AB:AB, ROW()-1)
         )
         /SUM(INDEX(AB:AB, ROW()-COUNTIF($F$6:INDEX($F:$F, ROW()-1), $F340)) : INDEX(AB:AB, ROW()-1)),
          AVERAGEIFS(unit_details[Asking PSF],
          unit_details[Active Listing?],TRUE,
          unit_details[Property Name], $F341,
          unit_details[Beds], $L341,
          unit_details[Baths], $M341,
          unit_details[Partial Baths], IF(ISNUMBER($N341),$N341,""),
          unit_details[Sqft],$P341
)),"")</f>
        <v/>
      </c>
      <c r="AH341" s="293" t="str">
        <f>IFERROR(IF($F341="Total",
         SUMPRODUCT(
         INDEX(AH:AH, ROW()-COUNTIF($F$6:INDEX($F:$F, ROW()-1), $F340)) : INDEX(AH:AH, ROW()-1),
         INDEX(AB:AB, ROW()-COUNTIF($F$6:INDEX($F:$F, ROW()-1), $F340)) : INDEX(AB:AB, ROW()-1)
         )
         /SUM(INDEX(AB:AB, ROW()-COUNTIF($F$6:INDEX($F:$F, ROW()-1), $F340)) : INDEX(AB:AB, ROW()-1)),
          AVERAGEIFS(unit_details[Effective Rent],
          unit_details[Active Listing?],TRUE,
          unit_details[Property Name], $F341,
          unit_details[Beds], $L341,
          unit_details[Baths], $M341,
          unit_details[Partial Baths], IF(ISNUMBER($N341),$N341,""),
          unit_details[Sqft],$P341
)),"")</f>
        <v/>
      </c>
      <c r="AI341" s="6" t="str">
        <f>IFERROR(IF($F341="Total",
         SUMPRODUCT(
         INDEX(AI:AI, ROW()-COUNTIF($F$6:INDEX($F:$F, ROW()-1), $F340)) : INDEX(AI:AI, ROW()-1),
         INDEX(AB:AB, ROW()-COUNTIF($F$6:INDEX($F:$F, ROW()-1), $F340)) : INDEX(AB:AB, ROW()-1)
         )
         /SUM(INDEX(AB:AB, ROW()-COUNTIF($F$6:INDEX($F:$F, ROW()-1), $F340)) : INDEX(AB:AB, ROW()-1)),
           AVERAGEIFS(unit_details[Effective PSF],
          unit_details[Active Listing?],TRUE,
          unit_details[Property Name], $F341,
          unit_details[Beds], $L341,
          unit_details[Baths], $M341,
          unit_details[Partial Baths], IF(ISNUMBER($N341),$N341,""),
          unit_details[Sqft],$P341
)),"")</f>
        <v/>
      </c>
      <c r="AJ341" s="824" t="str">
        <f t="shared" si="59"/>
        <v/>
      </c>
      <c r="AK341" s="531" t="str">
        <f t="shared" si="60"/>
        <v/>
      </c>
      <c r="AL341" s="714" t="str">
        <f t="shared" si="61"/>
        <v/>
      </c>
      <c r="AM341" s="531" t="str">
        <f t="shared" si="62"/>
        <v/>
      </c>
      <c r="AN341" s="716" t="str">
        <f t="shared" si="63"/>
        <v/>
      </c>
    </row>
    <row r="342" spans="6:40" x14ac:dyDescent="0.2">
      <c r="F342" s="1" t="str">
        <f t="shared" si="56"/>
        <v/>
      </c>
      <c r="G342" s="713" t="str">
        <f t="shared" si="64"/>
        <v/>
      </c>
      <c r="H342" s="17" t="str">
        <f>IFERROR(VLOOKUP($G342,Table1[[Property]:[Exposure %]],4,0),"")</f>
        <v/>
      </c>
      <c r="I342" s="3" t="str">
        <f>IFERROR(VLOOKUP($G342,Table1[[Property]:[Exposure %]],6,0),"")</f>
        <v/>
      </c>
      <c r="J342" s="3" t="str">
        <f>IFERROR(VLOOKUP($G342,Table1[[Property]:[Exposure %]],7,0),"")</f>
        <v/>
      </c>
      <c r="R342" s="4" t="str">
        <f>IFERROR(VLOOKUP(IF(F342="Total",F341,F342),Table1[[Property]:['# Units]],7,0)*S342,"")</f>
        <v/>
      </c>
      <c r="S342" s="27" t="str">
        <f t="shared" si="57"/>
        <v/>
      </c>
      <c r="T342" s="531" t="str">
        <f>IFERROR(
 IF($F342="Total",
   SUMPRODUCT(
   INDEX(T:T, ROW()-COUNTIF($F$6:INDEX($F:$F, ROW()-1), $F341)) : INDEX(T:T, ROW()-1),
   INDEX(W:W, ROW()-COUNTIF($F$6:INDEX($F:$F, ROW()-1), $F341)) : INDEX(W:W, ROW()-1)
   )
   /SUM(INDEX(W:W, ROW()-COUNTIF($F$6:INDEX($F:$F, ROW()-1), $F341)) : INDEX(W:W, ROW()-1)),
   AVERAGEIFS(
     INDEX((unit_details[Asking Rent],unit_details[Asking PSF]),0,1,IF($U$3="Chunk Rent",1,2)),
     unit_details[Leased Date],"&gt;="&amp;($AM$2-T$5),
     unit_details[Leased Date],"&lt;"&amp;$AM$2,
     unit_details[Beds],$L342,
     unit_details[Baths],$M342,
     unit_details[Partial Baths],IF(ISNUMBER($N342),$N342,""),
     unit_details[Sqft],$P342,
     unit_details[Property Name],$F342)
 ),"")</f>
        <v/>
      </c>
      <c r="U342" s="552" t="str">
        <f>IFERROR(
 IF($F342="Total",
   SUMPRODUCT(
   INDEX(U:U, ROW()-COUNTIF($F$6:INDEX($F:$F, ROW()-1), $F341)) : INDEX(U:U, ROW()-1),
   INDEX(W:W, ROW()-COUNTIF($F$6:INDEX($F:$F, ROW()-1), $F341)) : INDEX(W:W, ROW()-1)
   )
   /SUM(INDEX(W:W, ROW()-COUNTIF($F$6:INDEX($F:$F, ROW()-1), $F341)) : INDEX(W:W, ROW()-1)),
   AVERAGEIFS(
     INDEX((unit_details[Effective Rent],unit_details[Effective PSF]),0,1,IF($U$3="Chunk Rent",1,2)),
     unit_details[Leased Date],"&gt;="&amp;($AM$2-T$5),
     unit_details[Leased Date],"&lt;"&amp;$AM$2,
     unit_details[Beds],$L342,
     unit_details[Baths],$M342,
     unit_details[Partial Baths],IF(ISNUMBER($N342),$N342,""),
     unit_details[Sqft],$P342,
     unit_details[Property Name],$F342)
 ),"")</f>
        <v/>
      </c>
      <c r="V342" s="27" t="str">
        <f t="shared" si="65"/>
        <v/>
      </c>
      <c r="W342" s="526">
        <f>IFERROR(
  IF($F342="Total",
    SUM(INDEX(W:W, ROW()-COUNTIF($F$6:INDEX($F:$F, ROW()-1), $F341)) : INDEX(W:W, ROW()-1)),
    COUNTIFS(
      unit_details[Leased Date], "&gt;="&amp;($AM$2-T$5),
      unit_details[Leased Date], "&lt;"&amp;$AM$2,
      unit_details[Beds], $L342,
      unit_details[Baths], $M342,
      unit_details[Partial Baths], IF(ISNUMBER($N342), $N342, ""),
      unit_details[Sqft],$P342,
      unit_details[Property Name], $F342
    )
  ),
"")</f>
        <v>0</v>
      </c>
      <c r="X342" s="531" t="str">
        <f>IFERROR(
 IF($F342="Total",
   SUMPRODUCT(
   INDEX(X:X, ROW()-COUNTIF($F$6:INDEX($F:$F, ROW()-1), $F341)) : INDEX(X:X, ROW()-1),
   INDEX(AA:AA, ROW()-COUNTIF($F$6:INDEX($F:$F, ROW()-1), $F341)) : INDEX(AA:AA, ROW()-1)
   )
   /SUM(INDEX(AA:AA, ROW()-COUNTIF($F$6:INDEX($F:$F, ROW()-1), $F341)) : INDEX(AA:AA, ROW()-1)),
   AVERAGEIFS(
     INDEX((unit_details[Asking Rent],unit_details[Asking PSF]),0,1,IF($U$3="Chunk Rent",1,2)),
     unit_details[Leased Date],"&gt;="&amp;($AM$2-X$5),
     unit_details[Leased Date],"&lt;"&amp;$AM$2,
     unit_details[Beds],$L342,
     unit_details[Baths],$M342,
     unit_details[Partial Baths],IF(ISNUMBER($N342),$N342,""),
     unit_details[Sqft],$P342,
     unit_details[Property Name],$F342)
 ),"")</f>
        <v/>
      </c>
      <c r="Y342" s="552" t="str">
        <f>IFERROR(
 IF($F342="Total",
   SUMPRODUCT(
   INDEX(Y:Y, ROW()-COUNTIF($F$6:INDEX($F:$F, ROW()-1), $F341)) : INDEX(Y:Y, ROW()-1),
   INDEX(AA:AA, ROW()-COUNTIF($F$6:INDEX($F:$F, ROW()-1), $F341)) : INDEX(AA:AA, ROW()-1)
   )
   /SUM(INDEX(AA:AA, ROW()-COUNTIF($F$6:INDEX($F:$F, ROW()-1), $F341)) : INDEX(AA:AA, ROW()-1)),
   AVERAGEIFS(
     INDEX((unit_details[Effective Rent],unit_details[Effective PSF]),0,1,IF($U$3="Chunk Rent",1,2)),
     unit_details[Leased Date],"&gt;="&amp;($AM$2-X$5),
     unit_details[Leased Date],"&lt;"&amp;$AM$2,
     unit_details[Beds],$L342,
     unit_details[Baths],$M342,
     unit_details[Partial Baths],IF(ISNUMBER($N342),$N342,""),
     unit_details[Sqft],$P342,
     unit_details[Property Name],$F342)
 ),"")</f>
        <v/>
      </c>
      <c r="Z342" s="27" t="str">
        <f t="shared" si="66"/>
        <v/>
      </c>
      <c r="AA342" s="526">
        <f>IFERROR(
  IF($F342="Total",
    SUM(INDEX(AA:AA, ROW()-COUNTIF($F$6:INDEX($F:$F, ROW()-1), $F341)) : INDEX(AA:AA, ROW()-1)),
    COUNTIFS(
      unit_details[Leased Date], "&gt;="&amp;($AM$2-X$5),
      unit_details[Leased Date], "&lt;"&amp;$AM$2,
      unit_details[Beds], $L342,
      unit_details[Baths], $M342,
      unit_details[Partial Baths], IF(ISNUMBER($N342), $N342, ""),
      unit_details[Sqft],$P342,
      unit_details[Property Name], $F342
    )
  ),
"")</f>
        <v>0</v>
      </c>
      <c r="AB342" s="290">
        <f>IF($F342="Total",
SUM(INDEX(AB:AB, ROW()-COUNTIF($F$6:INDEX($F:$F, ROW()-1), $F341)) : INDEX(AB:AB, ROW()-1)),
COUNTIFS(unit_details[Active Listing?],TRUE,
          unit_details[Property Name], $F342,
          unit_details[Beds], $L342,
          unit_details[Baths], $M342,
          unit_details[Partial Baths],IF(ISNUMBER($N342),$N342,""),
          unit_details[Sqft],$P342))</f>
        <v>0</v>
      </c>
      <c r="AC342" s="27" t="str">
        <f t="shared" si="58"/>
        <v/>
      </c>
      <c r="AD342" s="293" t="str">
        <f>IFERROR(IF(AE342="","",IF($F342="Total",
SUMPRODUCT(
   INDEX(AD:AD, ROW()-COUNTIF($F$6:INDEX($F:$F, ROW()-1), $F341)) : INDEX(AD:AD, ROW()-1),
   INDEX(AB:AB, ROW()-COUNTIF($F$6:INDEX($F:$F, ROW()-1), $F341)) : INDEX(AB:AB, ROW()-1)
   )
   /SUM(INDEX(AB:AB, ROW()-COUNTIF($F$6:INDEX($F:$F, ROW()-1), $F341)) : INDEX(AB:AB, ROW()-1)),
          _xlfn.MINIFS(unit_details[Asking Rent],
          unit_details[Active Listing?],TRUE,
          unit_details[Property Name], $F342,
          unit_details[Beds], $L342,
          unit_details[Baths], $M342,
          unit_details[Partial Baths], IF(ISNUMBER($N342),$N342,""),
          unit_details[Sqft],$P342
))),"")</f>
        <v/>
      </c>
      <c r="AE342" s="5" t="str">
        <f>IFERROR(IF($F342="Total",
          SUMPRODUCT(
   INDEX(AE:AE, ROW()-COUNTIF($F$6:INDEX($F:$F, ROW()-1), $F341)) : INDEX(AE:AE, ROW()-1),
   INDEX(AB:AB, ROW()-COUNTIF($F$6:INDEX($F:$F, ROW()-1), $F341)) : INDEX(AB:AB, ROW()-1)
   )
   /SUM(INDEX(AB:AB, ROW()-COUNTIF($F$6:INDEX($F:$F, ROW()-1), $F341)) : INDEX(AB:AB, ROW()-1)),
          AVERAGEIFS(unit_details[Asking Rent],
          unit_details[Active Listing?],TRUE,
          unit_details[Property Name], $F342,
          unit_details[Beds], $L342,
          unit_details[Baths], $M342,
          unit_details[Partial Baths], IF(ISNUMBER($N342),$N342,""),
          unit_details[Sqft],$P342
)),"")</f>
        <v/>
      </c>
      <c r="AF342" s="5" t="str">
        <f>IFERROR(IF(AE342="","",IF($F342="Total",
SUMPRODUCT(
   INDEX(AF:AF, ROW()-COUNTIF($F$6:INDEX($F:$F, ROW()-1), $F341)) : INDEX(AF:AF, ROW()-1),
   INDEX(AB:AB, ROW()-COUNTIF($F$6:INDEX($F:$F, ROW()-1), $F341)) : INDEX(AB:AB, ROW()-1)
   )
   /SUM(INDEX(AB:AB, ROW()-COUNTIF($F$6:INDEX($F:$F, ROW()-1), $F341)) : INDEX(AB:AB, ROW()-1)),
           _xlfn.MAXIFS(unit_details[Asking Rent],
          unit_details[Active Listing?],TRUE,
          unit_details[Property Name], $F342,
          unit_details[Beds], $L342,
          unit_details[Baths], $M342,
          unit_details[Partial Baths], IF(ISNUMBER($N342),$N342,""),
          unit_details[Sqft],$P342
))),"")</f>
        <v/>
      </c>
      <c r="AG342" s="6" t="str">
        <f>IFERROR(IF($F342="Total",
         SUMPRODUCT(
         INDEX(AG:AG, ROW()-COUNTIF($F$6:INDEX($F:$F, ROW()-1), $F341)) : INDEX(AG:AG, ROW()-1),
         INDEX(AB:AB, ROW()-COUNTIF($F$6:INDEX($F:$F, ROW()-1), $F341)) : INDEX(AB:AB, ROW()-1)
         )
         /SUM(INDEX(AB:AB, ROW()-COUNTIF($F$6:INDEX($F:$F, ROW()-1), $F341)) : INDEX(AB:AB, ROW()-1)),
          AVERAGEIFS(unit_details[Asking PSF],
          unit_details[Active Listing?],TRUE,
          unit_details[Property Name], $F342,
          unit_details[Beds], $L342,
          unit_details[Baths], $M342,
          unit_details[Partial Baths], IF(ISNUMBER($N342),$N342,""),
          unit_details[Sqft],$P342
)),"")</f>
        <v/>
      </c>
      <c r="AH342" s="293" t="str">
        <f>IFERROR(IF($F342="Total",
         SUMPRODUCT(
         INDEX(AH:AH, ROW()-COUNTIF($F$6:INDEX($F:$F, ROW()-1), $F341)) : INDEX(AH:AH, ROW()-1),
         INDEX(AB:AB, ROW()-COUNTIF($F$6:INDEX($F:$F, ROW()-1), $F341)) : INDEX(AB:AB, ROW()-1)
         )
         /SUM(INDEX(AB:AB, ROW()-COUNTIF($F$6:INDEX($F:$F, ROW()-1), $F341)) : INDEX(AB:AB, ROW()-1)),
          AVERAGEIFS(unit_details[Effective Rent],
          unit_details[Active Listing?],TRUE,
          unit_details[Property Name], $F342,
          unit_details[Beds], $L342,
          unit_details[Baths], $M342,
          unit_details[Partial Baths], IF(ISNUMBER($N342),$N342,""),
          unit_details[Sqft],$P342
)),"")</f>
        <v/>
      </c>
      <c r="AI342" s="6" t="str">
        <f>IFERROR(IF($F342="Total",
         SUMPRODUCT(
         INDEX(AI:AI, ROW()-COUNTIF($F$6:INDEX($F:$F, ROW()-1), $F341)) : INDEX(AI:AI, ROW()-1),
         INDEX(AB:AB, ROW()-COUNTIF($F$6:INDEX($F:$F, ROW()-1), $F341)) : INDEX(AB:AB, ROW()-1)
         )
         /SUM(INDEX(AB:AB, ROW()-COUNTIF($F$6:INDEX($F:$F, ROW()-1), $F341)) : INDEX(AB:AB, ROW()-1)),
           AVERAGEIFS(unit_details[Effective PSF],
          unit_details[Active Listing?],TRUE,
          unit_details[Property Name], $F342,
          unit_details[Beds], $L342,
          unit_details[Baths], $M342,
          unit_details[Partial Baths], IF(ISNUMBER($N342),$N342,""),
          unit_details[Sqft],$P342
)),"")</f>
        <v/>
      </c>
      <c r="AJ342" s="824" t="str">
        <f t="shared" si="59"/>
        <v/>
      </c>
      <c r="AK342" s="531" t="str">
        <f t="shared" si="60"/>
        <v/>
      </c>
      <c r="AL342" s="714" t="str">
        <f t="shared" si="61"/>
        <v/>
      </c>
      <c r="AM342" s="531" t="str">
        <f t="shared" si="62"/>
        <v/>
      </c>
      <c r="AN342" s="716" t="str">
        <f t="shared" si="63"/>
        <v/>
      </c>
    </row>
    <row r="343" spans="6:40" x14ac:dyDescent="0.2">
      <c r="F343" s="1" t="str">
        <f t="shared" si="56"/>
        <v/>
      </c>
      <c r="G343" s="713" t="str">
        <f t="shared" si="64"/>
        <v/>
      </c>
      <c r="H343" s="17" t="str">
        <f>IFERROR(VLOOKUP($G343,Table1[[Property]:[Exposure %]],4,0),"")</f>
        <v/>
      </c>
      <c r="I343" s="3" t="str">
        <f>IFERROR(VLOOKUP($G343,Table1[[Property]:[Exposure %]],6,0),"")</f>
        <v/>
      </c>
      <c r="J343" s="3" t="str">
        <f>IFERROR(VLOOKUP($G343,Table1[[Property]:[Exposure %]],7,0),"")</f>
        <v/>
      </c>
      <c r="R343" s="4" t="str">
        <f>IFERROR(VLOOKUP(IF(F343="Total",F342,F343),Table1[[Property]:['# Units]],7,0)*S343,"")</f>
        <v/>
      </c>
      <c r="S343" s="27" t="str">
        <f t="shared" si="57"/>
        <v/>
      </c>
      <c r="T343" s="531" t="str">
        <f>IFERROR(
 IF($F343="Total",
   SUMPRODUCT(
   INDEX(T:T, ROW()-COUNTIF($F$6:INDEX($F:$F, ROW()-1), $F342)) : INDEX(T:T, ROW()-1),
   INDEX(W:W, ROW()-COUNTIF($F$6:INDEX($F:$F, ROW()-1), $F342)) : INDEX(W:W, ROW()-1)
   )
   /SUM(INDEX(W:W, ROW()-COUNTIF($F$6:INDEX($F:$F, ROW()-1), $F342)) : INDEX(W:W, ROW()-1)),
   AVERAGEIFS(
     INDEX((unit_details[Asking Rent],unit_details[Asking PSF]),0,1,IF($U$3="Chunk Rent",1,2)),
     unit_details[Leased Date],"&gt;="&amp;($AM$2-T$5),
     unit_details[Leased Date],"&lt;"&amp;$AM$2,
     unit_details[Beds],$L343,
     unit_details[Baths],$M343,
     unit_details[Partial Baths],IF(ISNUMBER($N343),$N343,""),
     unit_details[Sqft],$P343,
     unit_details[Property Name],$F343)
 ),"")</f>
        <v/>
      </c>
      <c r="U343" s="552" t="str">
        <f>IFERROR(
 IF($F343="Total",
   SUMPRODUCT(
   INDEX(U:U, ROW()-COUNTIF($F$6:INDEX($F:$F, ROW()-1), $F342)) : INDEX(U:U, ROW()-1),
   INDEX(W:W, ROW()-COUNTIF($F$6:INDEX($F:$F, ROW()-1), $F342)) : INDEX(W:W, ROW()-1)
   )
   /SUM(INDEX(W:W, ROW()-COUNTIF($F$6:INDEX($F:$F, ROW()-1), $F342)) : INDEX(W:W, ROW()-1)),
   AVERAGEIFS(
     INDEX((unit_details[Effective Rent],unit_details[Effective PSF]),0,1,IF($U$3="Chunk Rent",1,2)),
     unit_details[Leased Date],"&gt;="&amp;($AM$2-T$5),
     unit_details[Leased Date],"&lt;"&amp;$AM$2,
     unit_details[Beds],$L343,
     unit_details[Baths],$M343,
     unit_details[Partial Baths],IF(ISNUMBER($N343),$N343,""),
     unit_details[Sqft],$P343,
     unit_details[Property Name],$F343)
 ),"")</f>
        <v/>
      </c>
      <c r="V343" s="27" t="str">
        <f t="shared" si="65"/>
        <v/>
      </c>
      <c r="W343" s="526">
        <f>IFERROR(
  IF($F343="Total",
    SUM(INDEX(W:W, ROW()-COUNTIF($F$6:INDEX($F:$F, ROW()-1), $F342)) : INDEX(W:W, ROW()-1)),
    COUNTIFS(
      unit_details[Leased Date], "&gt;="&amp;($AM$2-T$5),
      unit_details[Leased Date], "&lt;"&amp;$AM$2,
      unit_details[Beds], $L343,
      unit_details[Baths], $M343,
      unit_details[Partial Baths], IF(ISNUMBER($N343), $N343, ""),
      unit_details[Sqft],$P343,
      unit_details[Property Name], $F343
    )
  ),
"")</f>
        <v>0</v>
      </c>
      <c r="X343" s="531" t="str">
        <f>IFERROR(
 IF($F343="Total",
   SUMPRODUCT(
   INDEX(X:X, ROW()-COUNTIF($F$6:INDEX($F:$F, ROW()-1), $F342)) : INDEX(X:X, ROW()-1),
   INDEX(AA:AA, ROW()-COUNTIF($F$6:INDEX($F:$F, ROW()-1), $F342)) : INDEX(AA:AA, ROW()-1)
   )
   /SUM(INDEX(AA:AA, ROW()-COUNTIF($F$6:INDEX($F:$F, ROW()-1), $F342)) : INDEX(AA:AA, ROW()-1)),
   AVERAGEIFS(
     INDEX((unit_details[Asking Rent],unit_details[Asking PSF]),0,1,IF($U$3="Chunk Rent",1,2)),
     unit_details[Leased Date],"&gt;="&amp;($AM$2-X$5),
     unit_details[Leased Date],"&lt;"&amp;$AM$2,
     unit_details[Beds],$L343,
     unit_details[Baths],$M343,
     unit_details[Partial Baths],IF(ISNUMBER($N343),$N343,""),
     unit_details[Sqft],$P343,
     unit_details[Property Name],$F343)
 ),"")</f>
        <v/>
      </c>
      <c r="Y343" s="552" t="str">
        <f>IFERROR(
 IF($F343="Total",
   SUMPRODUCT(
   INDEX(Y:Y, ROW()-COUNTIF($F$6:INDEX($F:$F, ROW()-1), $F342)) : INDEX(Y:Y, ROW()-1),
   INDEX(AA:AA, ROW()-COUNTIF($F$6:INDEX($F:$F, ROW()-1), $F342)) : INDEX(AA:AA, ROW()-1)
   )
   /SUM(INDEX(AA:AA, ROW()-COUNTIF($F$6:INDEX($F:$F, ROW()-1), $F342)) : INDEX(AA:AA, ROW()-1)),
   AVERAGEIFS(
     INDEX((unit_details[Effective Rent],unit_details[Effective PSF]),0,1,IF($U$3="Chunk Rent",1,2)),
     unit_details[Leased Date],"&gt;="&amp;($AM$2-X$5),
     unit_details[Leased Date],"&lt;"&amp;$AM$2,
     unit_details[Beds],$L343,
     unit_details[Baths],$M343,
     unit_details[Partial Baths],IF(ISNUMBER($N343),$N343,""),
     unit_details[Sqft],$P343,
     unit_details[Property Name],$F343)
 ),"")</f>
        <v/>
      </c>
      <c r="Z343" s="27" t="str">
        <f t="shared" si="66"/>
        <v/>
      </c>
      <c r="AA343" s="526">
        <f>IFERROR(
  IF($F343="Total",
    SUM(INDEX(AA:AA, ROW()-COUNTIF($F$6:INDEX($F:$F, ROW()-1), $F342)) : INDEX(AA:AA, ROW()-1)),
    COUNTIFS(
      unit_details[Leased Date], "&gt;="&amp;($AM$2-X$5),
      unit_details[Leased Date], "&lt;"&amp;$AM$2,
      unit_details[Beds], $L343,
      unit_details[Baths], $M343,
      unit_details[Partial Baths], IF(ISNUMBER($N343), $N343, ""),
      unit_details[Sqft],$P343,
      unit_details[Property Name], $F343
    )
  ),
"")</f>
        <v>0</v>
      </c>
      <c r="AB343" s="290">
        <f>IF($F343="Total",
SUM(INDEX(AB:AB, ROW()-COUNTIF($F$6:INDEX($F:$F, ROW()-1), $F342)) : INDEX(AB:AB, ROW()-1)),
COUNTIFS(unit_details[Active Listing?],TRUE,
          unit_details[Property Name], $F343,
          unit_details[Beds], $L343,
          unit_details[Baths], $M343,
          unit_details[Partial Baths],IF(ISNUMBER($N343),$N343,""),
          unit_details[Sqft],$P343))</f>
        <v>0</v>
      </c>
      <c r="AC343" s="27" t="str">
        <f t="shared" si="58"/>
        <v/>
      </c>
      <c r="AD343" s="293" t="str">
        <f>IFERROR(IF(AE343="","",IF($F343="Total",
SUMPRODUCT(
   INDEX(AD:AD, ROW()-COUNTIF($F$6:INDEX($F:$F, ROW()-1), $F342)) : INDEX(AD:AD, ROW()-1),
   INDEX(AB:AB, ROW()-COUNTIF($F$6:INDEX($F:$F, ROW()-1), $F342)) : INDEX(AB:AB, ROW()-1)
   )
   /SUM(INDEX(AB:AB, ROW()-COUNTIF($F$6:INDEX($F:$F, ROW()-1), $F342)) : INDEX(AB:AB, ROW()-1)),
          _xlfn.MINIFS(unit_details[Asking Rent],
          unit_details[Active Listing?],TRUE,
          unit_details[Property Name], $F343,
          unit_details[Beds], $L343,
          unit_details[Baths], $M343,
          unit_details[Partial Baths], IF(ISNUMBER($N343),$N343,""),
          unit_details[Sqft],$P343
))),"")</f>
        <v/>
      </c>
      <c r="AE343" s="5" t="str">
        <f>IFERROR(IF($F343="Total",
          SUMPRODUCT(
   INDEX(AE:AE, ROW()-COUNTIF($F$6:INDEX($F:$F, ROW()-1), $F342)) : INDEX(AE:AE, ROW()-1),
   INDEX(AB:AB, ROW()-COUNTIF($F$6:INDEX($F:$F, ROW()-1), $F342)) : INDEX(AB:AB, ROW()-1)
   )
   /SUM(INDEX(AB:AB, ROW()-COUNTIF($F$6:INDEX($F:$F, ROW()-1), $F342)) : INDEX(AB:AB, ROW()-1)),
          AVERAGEIFS(unit_details[Asking Rent],
          unit_details[Active Listing?],TRUE,
          unit_details[Property Name], $F343,
          unit_details[Beds], $L343,
          unit_details[Baths], $M343,
          unit_details[Partial Baths], IF(ISNUMBER($N343),$N343,""),
          unit_details[Sqft],$P343
)),"")</f>
        <v/>
      </c>
      <c r="AF343" s="5" t="str">
        <f>IFERROR(IF(AE343="","",IF($F343="Total",
SUMPRODUCT(
   INDEX(AF:AF, ROW()-COUNTIF($F$6:INDEX($F:$F, ROW()-1), $F342)) : INDEX(AF:AF, ROW()-1),
   INDEX(AB:AB, ROW()-COUNTIF($F$6:INDEX($F:$F, ROW()-1), $F342)) : INDEX(AB:AB, ROW()-1)
   )
   /SUM(INDEX(AB:AB, ROW()-COUNTIF($F$6:INDEX($F:$F, ROW()-1), $F342)) : INDEX(AB:AB, ROW()-1)),
           _xlfn.MAXIFS(unit_details[Asking Rent],
          unit_details[Active Listing?],TRUE,
          unit_details[Property Name], $F343,
          unit_details[Beds], $L343,
          unit_details[Baths], $M343,
          unit_details[Partial Baths], IF(ISNUMBER($N343),$N343,""),
          unit_details[Sqft],$P343
))),"")</f>
        <v/>
      </c>
      <c r="AG343" s="6" t="str">
        <f>IFERROR(IF($F343="Total",
         SUMPRODUCT(
         INDEX(AG:AG, ROW()-COUNTIF($F$6:INDEX($F:$F, ROW()-1), $F342)) : INDEX(AG:AG, ROW()-1),
         INDEX(AB:AB, ROW()-COUNTIF($F$6:INDEX($F:$F, ROW()-1), $F342)) : INDEX(AB:AB, ROW()-1)
         )
         /SUM(INDEX(AB:AB, ROW()-COUNTIF($F$6:INDEX($F:$F, ROW()-1), $F342)) : INDEX(AB:AB, ROW()-1)),
          AVERAGEIFS(unit_details[Asking PSF],
          unit_details[Active Listing?],TRUE,
          unit_details[Property Name], $F343,
          unit_details[Beds], $L343,
          unit_details[Baths], $M343,
          unit_details[Partial Baths], IF(ISNUMBER($N343),$N343,""),
          unit_details[Sqft],$P343
)),"")</f>
        <v/>
      </c>
      <c r="AH343" s="293" t="str">
        <f>IFERROR(IF($F343="Total",
         SUMPRODUCT(
         INDEX(AH:AH, ROW()-COUNTIF($F$6:INDEX($F:$F, ROW()-1), $F342)) : INDEX(AH:AH, ROW()-1),
         INDEX(AB:AB, ROW()-COUNTIF($F$6:INDEX($F:$F, ROW()-1), $F342)) : INDEX(AB:AB, ROW()-1)
         )
         /SUM(INDEX(AB:AB, ROW()-COUNTIF($F$6:INDEX($F:$F, ROW()-1), $F342)) : INDEX(AB:AB, ROW()-1)),
          AVERAGEIFS(unit_details[Effective Rent],
          unit_details[Active Listing?],TRUE,
          unit_details[Property Name], $F343,
          unit_details[Beds], $L343,
          unit_details[Baths], $M343,
          unit_details[Partial Baths], IF(ISNUMBER($N343),$N343,""),
          unit_details[Sqft],$P343
)),"")</f>
        <v/>
      </c>
      <c r="AI343" s="6" t="str">
        <f>IFERROR(IF($F343="Total",
         SUMPRODUCT(
         INDEX(AI:AI, ROW()-COUNTIF($F$6:INDEX($F:$F, ROW()-1), $F342)) : INDEX(AI:AI, ROW()-1),
         INDEX(AB:AB, ROW()-COUNTIF($F$6:INDEX($F:$F, ROW()-1), $F342)) : INDEX(AB:AB, ROW()-1)
         )
         /SUM(INDEX(AB:AB, ROW()-COUNTIF($F$6:INDEX($F:$F, ROW()-1), $F342)) : INDEX(AB:AB, ROW()-1)),
           AVERAGEIFS(unit_details[Effective PSF],
          unit_details[Active Listing?],TRUE,
          unit_details[Property Name], $F343,
          unit_details[Beds], $L343,
          unit_details[Baths], $M343,
          unit_details[Partial Baths], IF(ISNUMBER($N343),$N343,""),
          unit_details[Sqft],$P343
)),"")</f>
        <v/>
      </c>
      <c r="AJ343" s="824" t="str">
        <f t="shared" si="59"/>
        <v/>
      </c>
      <c r="AK343" s="531" t="str">
        <f t="shared" si="60"/>
        <v/>
      </c>
      <c r="AL343" s="714" t="str">
        <f t="shared" si="61"/>
        <v/>
      </c>
      <c r="AM343" s="531" t="str">
        <f t="shared" si="62"/>
        <v/>
      </c>
      <c r="AN343" s="716" t="str">
        <f t="shared" si="63"/>
        <v/>
      </c>
    </row>
    <row r="344" spans="6:40" x14ac:dyDescent="0.2">
      <c r="F344" s="1" t="str">
        <f t="shared" si="56"/>
        <v/>
      </c>
      <c r="G344" s="713" t="str">
        <f t="shared" si="64"/>
        <v/>
      </c>
      <c r="H344" s="17" t="str">
        <f>IFERROR(VLOOKUP($G344,Table1[[Property]:[Exposure %]],4,0),"")</f>
        <v/>
      </c>
      <c r="I344" s="3" t="str">
        <f>IFERROR(VLOOKUP($G344,Table1[[Property]:[Exposure %]],6,0),"")</f>
        <v/>
      </c>
      <c r="J344" s="3" t="str">
        <f>IFERROR(VLOOKUP($G344,Table1[[Property]:[Exposure %]],7,0),"")</f>
        <v/>
      </c>
      <c r="R344" s="4" t="str">
        <f>IFERROR(VLOOKUP(IF(F344="Total",F343,F344),Table1[[Property]:['# Units]],7,0)*S344,"")</f>
        <v/>
      </c>
      <c r="S344" s="27" t="str">
        <f t="shared" si="57"/>
        <v/>
      </c>
      <c r="T344" s="531" t="str">
        <f>IFERROR(
 IF($F344="Total",
   SUMPRODUCT(
   INDEX(T:T, ROW()-COUNTIF($F$6:INDEX($F:$F, ROW()-1), $F343)) : INDEX(T:T, ROW()-1),
   INDEX(W:W, ROW()-COUNTIF($F$6:INDEX($F:$F, ROW()-1), $F343)) : INDEX(W:W, ROW()-1)
   )
   /SUM(INDEX(W:W, ROW()-COUNTIF($F$6:INDEX($F:$F, ROW()-1), $F343)) : INDEX(W:W, ROW()-1)),
   AVERAGEIFS(
     INDEX((unit_details[Asking Rent],unit_details[Asking PSF]),0,1,IF($U$3="Chunk Rent",1,2)),
     unit_details[Leased Date],"&gt;="&amp;($AM$2-T$5),
     unit_details[Leased Date],"&lt;"&amp;$AM$2,
     unit_details[Beds],$L344,
     unit_details[Baths],$M344,
     unit_details[Partial Baths],IF(ISNUMBER($N344),$N344,""),
     unit_details[Sqft],$P344,
     unit_details[Property Name],$F344)
 ),"")</f>
        <v/>
      </c>
      <c r="U344" s="552" t="str">
        <f>IFERROR(
 IF($F344="Total",
   SUMPRODUCT(
   INDEX(U:U, ROW()-COUNTIF($F$6:INDEX($F:$F, ROW()-1), $F343)) : INDEX(U:U, ROW()-1),
   INDEX(W:W, ROW()-COUNTIF($F$6:INDEX($F:$F, ROW()-1), $F343)) : INDEX(W:W, ROW()-1)
   )
   /SUM(INDEX(W:W, ROW()-COUNTIF($F$6:INDEX($F:$F, ROW()-1), $F343)) : INDEX(W:W, ROW()-1)),
   AVERAGEIFS(
     INDEX((unit_details[Effective Rent],unit_details[Effective PSF]),0,1,IF($U$3="Chunk Rent",1,2)),
     unit_details[Leased Date],"&gt;="&amp;($AM$2-T$5),
     unit_details[Leased Date],"&lt;"&amp;$AM$2,
     unit_details[Beds],$L344,
     unit_details[Baths],$M344,
     unit_details[Partial Baths],IF(ISNUMBER($N344),$N344,""),
     unit_details[Sqft],$P344,
     unit_details[Property Name],$F344)
 ),"")</f>
        <v/>
      </c>
      <c r="V344" s="27" t="str">
        <f t="shared" si="65"/>
        <v/>
      </c>
      <c r="W344" s="526">
        <f>IFERROR(
  IF($F344="Total",
    SUM(INDEX(W:W, ROW()-COUNTIF($F$6:INDEX($F:$F, ROW()-1), $F343)) : INDEX(W:W, ROW()-1)),
    COUNTIFS(
      unit_details[Leased Date], "&gt;="&amp;($AM$2-T$5),
      unit_details[Leased Date], "&lt;"&amp;$AM$2,
      unit_details[Beds], $L344,
      unit_details[Baths], $M344,
      unit_details[Partial Baths], IF(ISNUMBER($N344), $N344, ""),
      unit_details[Sqft],$P344,
      unit_details[Property Name], $F344
    )
  ),
"")</f>
        <v>0</v>
      </c>
      <c r="X344" s="531" t="str">
        <f>IFERROR(
 IF($F344="Total",
   SUMPRODUCT(
   INDEX(X:X, ROW()-COUNTIF($F$6:INDEX($F:$F, ROW()-1), $F343)) : INDEX(X:X, ROW()-1),
   INDEX(AA:AA, ROW()-COUNTIF($F$6:INDEX($F:$F, ROW()-1), $F343)) : INDEX(AA:AA, ROW()-1)
   )
   /SUM(INDEX(AA:AA, ROW()-COUNTIF($F$6:INDEX($F:$F, ROW()-1), $F343)) : INDEX(AA:AA, ROW()-1)),
   AVERAGEIFS(
     INDEX((unit_details[Asking Rent],unit_details[Asking PSF]),0,1,IF($U$3="Chunk Rent",1,2)),
     unit_details[Leased Date],"&gt;="&amp;($AM$2-X$5),
     unit_details[Leased Date],"&lt;"&amp;$AM$2,
     unit_details[Beds],$L344,
     unit_details[Baths],$M344,
     unit_details[Partial Baths],IF(ISNUMBER($N344),$N344,""),
     unit_details[Sqft],$P344,
     unit_details[Property Name],$F344)
 ),"")</f>
        <v/>
      </c>
      <c r="Y344" s="552" t="str">
        <f>IFERROR(
 IF($F344="Total",
   SUMPRODUCT(
   INDEX(Y:Y, ROW()-COUNTIF($F$6:INDEX($F:$F, ROW()-1), $F343)) : INDEX(Y:Y, ROW()-1),
   INDEX(AA:AA, ROW()-COUNTIF($F$6:INDEX($F:$F, ROW()-1), $F343)) : INDEX(AA:AA, ROW()-1)
   )
   /SUM(INDEX(AA:AA, ROW()-COUNTIF($F$6:INDEX($F:$F, ROW()-1), $F343)) : INDEX(AA:AA, ROW()-1)),
   AVERAGEIFS(
     INDEX((unit_details[Effective Rent],unit_details[Effective PSF]),0,1,IF($U$3="Chunk Rent",1,2)),
     unit_details[Leased Date],"&gt;="&amp;($AM$2-X$5),
     unit_details[Leased Date],"&lt;"&amp;$AM$2,
     unit_details[Beds],$L344,
     unit_details[Baths],$M344,
     unit_details[Partial Baths],IF(ISNUMBER($N344),$N344,""),
     unit_details[Sqft],$P344,
     unit_details[Property Name],$F344)
 ),"")</f>
        <v/>
      </c>
      <c r="Z344" s="27" t="str">
        <f t="shared" si="66"/>
        <v/>
      </c>
      <c r="AA344" s="526">
        <f>IFERROR(
  IF($F344="Total",
    SUM(INDEX(AA:AA, ROW()-COUNTIF($F$6:INDEX($F:$F, ROW()-1), $F343)) : INDEX(AA:AA, ROW()-1)),
    COUNTIFS(
      unit_details[Leased Date], "&gt;="&amp;($AM$2-X$5),
      unit_details[Leased Date], "&lt;"&amp;$AM$2,
      unit_details[Beds], $L344,
      unit_details[Baths], $M344,
      unit_details[Partial Baths], IF(ISNUMBER($N344), $N344, ""),
      unit_details[Sqft],$P344,
      unit_details[Property Name], $F344
    )
  ),
"")</f>
        <v>0</v>
      </c>
      <c r="AB344" s="290">
        <f>IF($F344="Total",
SUM(INDEX(AB:AB, ROW()-COUNTIF($F$6:INDEX($F:$F, ROW()-1), $F343)) : INDEX(AB:AB, ROW()-1)),
COUNTIFS(unit_details[Active Listing?],TRUE,
          unit_details[Property Name], $F344,
          unit_details[Beds], $L344,
          unit_details[Baths], $M344,
          unit_details[Partial Baths],IF(ISNUMBER($N344),$N344,""),
          unit_details[Sqft],$P344))</f>
        <v>0</v>
      </c>
      <c r="AC344" s="27" t="str">
        <f t="shared" si="58"/>
        <v/>
      </c>
      <c r="AD344" s="293" t="str">
        <f>IFERROR(IF(AE344="","",IF($F344="Total",
SUMPRODUCT(
   INDEX(AD:AD, ROW()-COUNTIF($F$6:INDEX($F:$F, ROW()-1), $F343)) : INDEX(AD:AD, ROW()-1),
   INDEX(AB:AB, ROW()-COUNTIF($F$6:INDEX($F:$F, ROW()-1), $F343)) : INDEX(AB:AB, ROW()-1)
   )
   /SUM(INDEX(AB:AB, ROW()-COUNTIF($F$6:INDEX($F:$F, ROW()-1), $F343)) : INDEX(AB:AB, ROW()-1)),
          _xlfn.MINIFS(unit_details[Asking Rent],
          unit_details[Active Listing?],TRUE,
          unit_details[Property Name], $F344,
          unit_details[Beds], $L344,
          unit_details[Baths], $M344,
          unit_details[Partial Baths], IF(ISNUMBER($N344),$N344,""),
          unit_details[Sqft],$P344
))),"")</f>
        <v/>
      </c>
      <c r="AE344" s="5" t="str">
        <f>IFERROR(IF($F344="Total",
          SUMPRODUCT(
   INDEX(AE:AE, ROW()-COUNTIF($F$6:INDEX($F:$F, ROW()-1), $F343)) : INDEX(AE:AE, ROW()-1),
   INDEX(AB:AB, ROW()-COUNTIF($F$6:INDEX($F:$F, ROW()-1), $F343)) : INDEX(AB:AB, ROW()-1)
   )
   /SUM(INDEX(AB:AB, ROW()-COUNTIF($F$6:INDEX($F:$F, ROW()-1), $F343)) : INDEX(AB:AB, ROW()-1)),
          AVERAGEIFS(unit_details[Asking Rent],
          unit_details[Active Listing?],TRUE,
          unit_details[Property Name], $F344,
          unit_details[Beds], $L344,
          unit_details[Baths], $M344,
          unit_details[Partial Baths], IF(ISNUMBER($N344),$N344,""),
          unit_details[Sqft],$P344
)),"")</f>
        <v/>
      </c>
      <c r="AF344" s="5" t="str">
        <f>IFERROR(IF(AE344="","",IF($F344="Total",
SUMPRODUCT(
   INDEX(AF:AF, ROW()-COUNTIF($F$6:INDEX($F:$F, ROW()-1), $F343)) : INDEX(AF:AF, ROW()-1),
   INDEX(AB:AB, ROW()-COUNTIF($F$6:INDEX($F:$F, ROW()-1), $F343)) : INDEX(AB:AB, ROW()-1)
   )
   /SUM(INDEX(AB:AB, ROW()-COUNTIF($F$6:INDEX($F:$F, ROW()-1), $F343)) : INDEX(AB:AB, ROW()-1)),
           _xlfn.MAXIFS(unit_details[Asking Rent],
          unit_details[Active Listing?],TRUE,
          unit_details[Property Name], $F344,
          unit_details[Beds], $L344,
          unit_details[Baths], $M344,
          unit_details[Partial Baths], IF(ISNUMBER($N344),$N344,""),
          unit_details[Sqft],$P344
))),"")</f>
        <v/>
      </c>
      <c r="AG344" s="6" t="str">
        <f>IFERROR(IF($F344="Total",
         SUMPRODUCT(
         INDEX(AG:AG, ROW()-COUNTIF($F$6:INDEX($F:$F, ROW()-1), $F343)) : INDEX(AG:AG, ROW()-1),
         INDEX(AB:AB, ROW()-COUNTIF($F$6:INDEX($F:$F, ROW()-1), $F343)) : INDEX(AB:AB, ROW()-1)
         )
         /SUM(INDEX(AB:AB, ROW()-COUNTIF($F$6:INDEX($F:$F, ROW()-1), $F343)) : INDEX(AB:AB, ROW()-1)),
          AVERAGEIFS(unit_details[Asking PSF],
          unit_details[Active Listing?],TRUE,
          unit_details[Property Name], $F344,
          unit_details[Beds], $L344,
          unit_details[Baths], $M344,
          unit_details[Partial Baths], IF(ISNUMBER($N344),$N344,""),
          unit_details[Sqft],$P344
)),"")</f>
        <v/>
      </c>
      <c r="AH344" s="293" t="str">
        <f>IFERROR(IF($F344="Total",
         SUMPRODUCT(
         INDEX(AH:AH, ROW()-COUNTIF($F$6:INDEX($F:$F, ROW()-1), $F343)) : INDEX(AH:AH, ROW()-1),
         INDEX(AB:AB, ROW()-COUNTIF($F$6:INDEX($F:$F, ROW()-1), $F343)) : INDEX(AB:AB, ROW()-1)
         )
         /SUM(INDEX(AB:AB, ROW()-COUNTIF($F$6:INDEX($F:$F, ROW()-1), $F343)) : INDEX(AB:AB, ROW()-1)),
          AVERAGEIFS(unit_details[Effective Rent],
          unit_details[Active Listing?],TRUE,
          unit_details[Property Name], $F344,
          unit_details[Beds], $L344,
          unit_details[Baths], $M344,
          unit_details[Partial Baths], IF(ISNUMBER($N344),$N344,""),
          unit_details[Sqft],$P344
)),"")</f>
        <v/>
      </c>
      <c r="AI344" s="6" t="str">
        <f>IFERROR(IF($F344="Total",
         SUMPRODUCT(
         INDEX(AI:AI, ROW()-COUNTIF($F$6:INDEX($F:$F, ROW()-1), $F343)) : INDEX(AI:AI, ROW()-1),
         INDEX(AB:AB, ROW()-COUNTIF($F$6:INDEX($F:$F, ROW()-1), $F343)) : INDEX(AB:AB, ROW()-1)
         )
         /SUM(INDEX(AB:AB, ROW()-COUNTIF($F$6:INDEX($F:$F, ROW()-1), $F343)) : INDEX(AB:AB, ROW()-1)),
           AVERAGEIFS(unit_details[Effective PSF],
          unit_details[Active Listing?],TRUE,
          unit_details[Property Name], $F344,
          unit_details[Beds], $L344,
          unit_details[Baths], $M344,
          unit_details[Partial Baths], IF(ISNUMBER($N344),$N344,""),
          unit_details[Sqft],$P344
)),"")</f>
        <v/>
      </c>
      <c r="AJ344" s="824" t="str">
        <f t="shared" si="59"/>
        <v/>
      </c>
      <c r="AK344" s="531" t="str">
        <f t="shared" si="60"/>
        <v/>
      </c>
      <c r="AL344" s="714" t="str">
        <f t="shared" si="61"/>
        <v/>
      </c>
      <c r="AM344" s="531" t="str">
        <f t="shared" si="62"/>
        <v/>
      </c>
      <c r="AN344" s="716" t="str">
        <f t="shared" si="63"/>
        <v/>
      </c>
    </row>
    <row r="345" spans="6:40" x14ac:dyDescent="0.2">
      <c r="F345" s="1" t="str">
        <f t="shared" si="56"/>
        <v/>
      </c>
      <c r="G345" s="713" t="str">
        <f t="shared" si="64"/>
        <v/>
      </c>
      <c r="H345" s="17" t="str">
        <f>IFERROR(VLOOKUP($G345,Table1[[Property]:[Exposure %]],4,0),"")</f>
        <v/>
      </c>
      <c r="I345" s="3" t="str">
        <f>IFERROR(VLOOKUP($G345,Table1[[Property]:[Exposure %]],6,0),"")</f>
        <v/>
      </c>
      <c r="J345" s="3" t="str">
        <f>IFERROR(VLOOKUP($G345,Table1[[Property]:[Exposure %]],7,0),"")</f>
        <v/>
      </c>
      <c r="R345" s="4" t="str">
        <f>IFERROR(VLOOKUP(IF(F345="Total",F344,F345),Table1[[Property]:['# Units]],7,0)*S345,"")</f>
        <v/>
      </c>
      <c r="S345" s="27" t="str">
        <f t="shared" si="57"/>
        <v/>
      </c>
      <c r="T345" s="531" t="str">
        <f>IFERROR(
 IF($F345="Total",
   SUMPRODUCT(
   INDEX(T:T, ROW()-COUNTIF($F$6:INDEX($F:$F, ROW()-1), $F344)) : INDEX(T:T, ROW()-1),
   INDEX(W:W, ROW()-COUNTIF($F$6:INDEX($F:$F, ROW()-1), $F344)) : INDEX(W:W, ROW()-1)
   )
   /SUM(INDEX(W:W, ROW()-COUNTIF($F$6:INDEX($F:$F, ROW()-1), $F344)) : INDEX(W:W, ROW()-1)),
   AVERAGEIFS(
     INDEX((unit_details[Asking Rent],unit_details[Asking PSF]),0,1,IF($U$3="Chunk Rent",1,2)),
     unit_details[Leased Date],"&gt;="&amp;($AM$2-T$5),
     unit_details[Leased Date],"&lt;"&amp;$AM$2,
     unit_details[Beds],$L345,
     unit_details[Baths],$M345,
     unit_details[Partial Baths],IF(ISNUMBER($N345),$N345,""),
     unit_details[Sqft],$P345,
     unit_details[Property Name],$F345)
 ),"")</f>
        <v/>
      </c>
      <c r="U345" s="552" t="str">
        <f>IFERROR(
 IF($F345="Total",
   SUMPRODUCT(
   INDEX(U:U, ROW()-COUNTIF($F$6:INDEX($F:$F, ROW()-1), $F344)) : INDEX(U:U, ROW()-1),
   INDEX(W:W, ROW()-COUNTIF($F$6:INDEX($F:$F, ROW()-1), $F344)) : INDEX(W:W, ROW()-1)
   )
   /SUM(INDEX(W:W, ROW()-COUNTIF($F$6:INDEX($F:$F, ROW()-1), $F344)) : INDEX(W:W, ROW()-1)),
   AVERAGEIFS(
     INDEX((unit_details[Effective Rent],unit_details[Effective PSF]),0,1,IF($U$3="Chunk Rent",1,2)),
     unit_details[Leased Date],"&gt;="&amp;($AM$2-T$5),
     unit_details[Leased Date],"&lt;"&amp;$AM$2,
     unit_details[Beds],$L345,
     unit_details[Baths],$M345,
     unit_details[Partial Baths],IF(ISNUMBER($N345),$N345,""),
     unit_details[Sqft],$P345,
     unit_details[Property Name],$F345)
 ),"")</f>
        <v/>
      </c>
      <c r="V345" s="27" t="str">
        <f t="shared" si="65"/>
        <v/>
      </c>
      <c r="W345" s="526">
        <f>IFERROR(
  IF($F345="Total",
    SUM(INDEX(W:W, ROW()-COUNTIF($F$6:INDEX($F:$F, ROW()-1), $F344)) : INDEX(W:W, ROW()-1)),
    COUNTIFS(
      unit_details[Leased Date], "&gt;="&amp;($AM$2-T$5),
      unit_details[Leased Date], "&lt;"&amp;$AM$2,
      unit_details[Beds], $L345,
      unit_details[Baths], $M345,
      unit_details[Partial Baths], IF(ISNUMBER($N345), $N345, ""),
      unit_details[Sqft],$P345,
      unit_details[Property Name], $F345
    )
  ),
"")</f>
        <v>0</v>
      </c>
      <c r="X345" s="531" t="str">
        <f>IFERROR(
 IF($F345="Total",
   SUMPRODUCT(
   INDEX(X:X, ROW()-COUNTIF($F$6:INDEX($F:$F, ROW()-1), $F344)) : INDEX(X:X, ROW()-1),
   INDEX(AA:AA, ROW()-COUNTIF($F$6:INDEX($F:$F, ROW()-1), $F344)) : INDEX(AA:AA, ROW()-1)
   )
   /SUM(INDEX(AA:AA, ROW()-COUNTIF($F$6:INDEX($F:$F, ROW()-1), $F344)) : INDEX(AA:AA, ROW()-1)),
   AVERAGEIFS(
     INDEX((unit_details[Asking Rent],unit_details[Asking PSF]),0,1,IF($U$3="Chunk Rent",1,2)),
     unit_details[Leased Date],"&gt;="&amp;($AM$2-X$5),
     unit_details[Leased Date],"&lt;"&amp;$AM$2,
     unit_details[Beds],$L345,
     unit_details[Baths],$M345,
     unit_details[Partial Baths],IF(ISNUMBER($N345),$N345,""),
     unit_details[Sqft],$P345,
     unit_details[Property Name],$F345)
 ),"")</f>
        <v/>
      </c>
      <c r="Y345" s="552" t="str">
        <f>IFERROR(
 IF($F345="Total",
   SUMPRODUCT(
   INDEX(Y:Y, ROW()-COUNTIF($F$6:INDEX($F:$F, ROW()-1), $F344)) : INDEX(Y:Y, ROW()-1),
   INDEX(AA:AA, ROW()-COUNTIF($F$6:INDEX($F:$F, ROW()-1), $F344)) : INDEX(AA:AA, ROW()-1)
   )
   /SUM(INDEX(AA:AA, ROW()-COUNTIF($F$6:INDEX($F:$F, ROW()-1), $F344)) : INDEX(AA:AA, ROW()-1)),
   AVERAGEIFS(
     INDEX((unit_details[Effective Rent],unit_details[Effective PSF]),0,1,IF($U$3="Chunk Rent",1,2)),
     unit_details[Leased Date],"&gt;="&amp;($AM$2-X$5),
     unit_details[Leased Date],"&lt;"&amp;$AM$2,
     unit_details[Beds],$L345,
     unit_details[Baths],$M345,
     unit_details[Partial Baths],IF(ISNUMBER($N345),$N345,""),
     unit_details[Sqft],$P345,
     unit_details[Property Name],$F345)
 ),"")</f>
        <v/>
      </c>
      <c r="Z345" s="27" t="str">
        <f t="shared" si="66"/>
        <v/>
      </c>
      <c r="AA345" s="526">
        <f>IFERROR(
  IF($F345="Total",
    SUM(INDEX(AA:AA, ROW()-COUNTIF($F$6:INDEX($F:$F, ROW()-1), $F344)) : INDEX(AA:AA, ROW()-1)),
    COUNTIFS(
      unit_details[Leased Date], "&gt;="&amp;($AM$2-X$5),
      unit_details[Leased Date], "&lt;"&amp;$AM$2,
      unit_details[Beds], $L345,
      unit_details[Baths], $M345,
      unit_details[Partial Baths], IF(ISNUMBER($N345), $N345, ""),
      unit_details[Sqft],$P345,
      unit_details[Property Name], $F345
    )
  ),
"")</f>
        <v>0</v>
      </c>
      <c r="AB345" s="290">
        <f>IF($F345="Total",
SUM(INDEX(AB:AB, ROW()-COUNTIF($F$6:INDEX($F:$F, ROW()-1), $F344)) : INDEX(AB:AB, ROW()-1)),
COUNTIFS(unit_details[Active Listing?],TRUE,
          unit_details[Property Name], $F345,
          unit_details[Beds], $L345,
          unit_details[Baths], $M345,
          unit_details[Partial Baths],IF(ISNUMBER($N345),$N345,""),
          unit_details[Sqft],$P345))</f>
        <v>0</v>
      </c>
      <c r="AC345" s="27" t="str">
        <f t="shared" si="58"/>
        <v/>
      </c>
      <c r="AD345" s="293" t="str">
        <f>IFERROR(IF(AE345="","",IF($F345="Total",
SUMPRODUCT(
   INDEX(AD:AD, ROW()-COUNTIF($F$6:INDEX($F:$F, ROW()-1), $F344)) : INDEX(AD:AD, ROW()-1),
   INDEX(AB:AB, ROW()-COUNTIF($F$6:INDEX($F:$F, ROW()-1), $F344)) : INDEX(AB:AB, ROW()-1)
   )
   /SUM(INDEX(AB:AB, ROW()-COUNTIF($F$6:INDEX($F:$F, ROW()-1), $F344)) : INDEX(AB:AB, ROW()-1)),
          _xlfn.MINIFS(unit_details[Asking Rent],
          unit_details[Active Listing?],TRUE,
          unit_details[Property Name], $F345,
          unit_details[Beds], $L345,
          unit_details[Baths], $M345,
          unit_details[Partial Baths], IF(ISNUMBER($N345),$N345,""),
          unit_details[Sqft],$P345
))),"")</f>
        <v/>
      </c>
      <c r="AE345" s="5" t="str">
        <f>IFERROR(IF($F345="Total",
          SUMPRODUCT(
   INDEX(AE:AE, ROW()-COUNTIF($F$6:INDEX($F:$F, ROW()-1), $F344)) : INDEX(AE:AE, ROW()-1),
   INDEX(AB:AB, ROW()-COUNTIF($F$6:INDEX($F:$F, ROW()-1), $F344)) : INDEX(AB:AB, ROW()-1)
   )
   /SUM(INDEX(AB:AB, ROW()-COUNTIF($F$6:INDEX($F:$F, ROW()-1), $F344)) : INDEX(AB:AB, ROW()-1)),
          AVERAGEIFS(unit_details[Asking Rent],
          unit_details[Active Listing?],TRUE,
          unit_details[Property Name], $F345,
          unit_details[Beds], $L345,
          unit_details[Baths], $M345,
          unit_details[Partial Baths], IF(ISNUMBER($N345),$N345,""),
          unit_details[Sqft],$P345
)),"")</f>
        <v/>
      </c>
      <c r="AF345" s="5" t="str">
        <f>IFERROR(IF(AE345="","",IF($F345="Total",
SUMPRODUCT(
   INDEX(AF:AF, ROW()-COUNTIF($F$6:INDEX($F:$F, ROW()-1), $F344)) : INDEX(AF:AF, ROW()-1),
   INDEX(AB:AB, ROW()-COUNTIF($F$6:INDEX($F:$F, ROW()-1), $F344)) : INDEX(AB:AB, ROW()-1)
   )
   /SUM(INDEX(AB:AB, ROW()-COUNTIF($F$6:INDEX($F:$F, ROW()-1), $F344)) : INDEX(AB:AB, ROW()-1)),
           _xlfn.MAXIFS(unit_details[Asking Rent],
          unit_details[Active Listing?],TRUE,
          unit_details[Property Name], $F345,
          unit_details[Beds], $L345,
          unit_details[Baths], $M345,
          unit_details[Partial Baths], IF(ISNUMBER($N345),$N345,""),
          unit_details[Sqft],$P345
))),"")</f>
        <v/>
      </c>
      <c r="AG345" s="6" t="str">
        <f>IFERROR(IF($F345="Total",
         SUMPRODUCT(
         INDEX(AG:AG, ROW()-COUNTIF($F$6:INDEX($F:$F, ROW()-1), $F344)) : INDEX(AG:AG, ROW()-1),
         INDEX(AB:AB, ROW()-COUNTIF($F$6:INDEX($F:$F, ROW()-1), $F344)) : INDEX(AB:AB, ROW()-1)
         )
         /SUM(INDEX(AB:AB, ROW()-COUNTIF($F$6:INDEX($F:$F, ROW()-1), $F344)) : INDEX(AB:AB, ROW()-1)),
          AVERAGEIFS(unit_details[Asking PSF],
          unit_details[Active Listing?],TRUE,
          unit_details[Property Name], $F345,
          unit_details[Beds], $L345,
          unit_details[Baths], $M345,
          unit_details[Partial Baths], IF(ISNUMBER($N345),$N345,""),
          unit_details[Sqft],$P345
)),"")</f>
        <v/>
      </c>
      <c r="AH345" s="293" t="str">
        <f>IFERROR(IF($F345="Total",
         SUMPRODUCT(
         INDEX(AH:AH, ROW()-COUNTIF($F$6:INDEX($F:$F, ROW()-1), $F344)) : INDEX(AH:AH, ROW()-1),
         INDEX(AB:AB, ROW()-COUNTIF($F$6:INDEX($F:$F, ROW()-1), $F344)) : INDEX(AB:AB, ROW()-1)
         )
         /SUM(INDEX(AB:AB, ROW()-COUNTIF($F$6:INDEX($F:$F, ROW()-1), $F344)) : INDEX(AB:AB, ROW()-1)),
          AVERAGEIFS(unit_details[Effective Rent],
          unit_details[Active Listing?],TRUE,
          unit_details[Property Name], $F345,
          unit_details[Beds], $L345,
          unit_details[Baths], $M345,
          unit_details[Partial Baths], IF(ISNUMBER($N345),$N345,""),
          unit_details[Sqft],$P345
)),"")</f>
        <v/>
      </c>
      <c r="AI345" s="6" t="str">
        <f>IFERROR(IF($F345="Total",
         SUMPRODUCT(
         INDEX(AI:AI, ROW()-COUNTIF($F$6:INDEX($F:$F, ROW()-1), $F344)) : INDEX(AI:AI, ROW()-1),
         INDEX(AB:AB, ROW()-COUNTIF($F$6:INDEX($F:$F, ROW()-1), $F344)) : INDEX(AB:AB, ROW()-1)
         )
         /SUM(INDEX(AB:AB, ROW()-COUNTIF($F$6:INDEX($F:$F, ROW()-1), $F344)) : INDEX(AB:AB, ROW()-1)),
           AVERAGEIFS(unit_details[Effective PSF],
          unit_details[Active Listing?],TRUE,
          unit_details[Property Name], $F345,
          unit_details[Beds], $L345,
          unit_details[Baths], $M345,
          unit_details[Partial Baths], IF(ISNUMBER($N345),$N345,""),
          unit_details[Sqft],$P345
)),"")</f>
        <v/>
      </c>
      <c r="AJ345" s="824" t="str">
        <f t="shared" si="59"/>
        <v/>
      </c>
      <c r="AK345" s="531" t="str">
        <f t="shared" si="60"/>
        <v/>
      </c>
      <c r="AL345" s="714" t="str">
        <f t="shared" si="61"/>
        <v/>
      </c>
      <c r="AM345" s="531" t="str">
        <f t="shared" si="62"/>
        <v/>
      </c>
      <c r="AN345" s="716" t="str">
        <f t="shared" si="63"/>
        <v/>
      </c>
    </row>
    <row r="346" spans="6:40" x14ac:dyDescent="0.2">
      <c r="F346" s="1" t="str">
        <f t="shared" si="56"/>
        <v/>
      </c>
      <c r="G346" s="713" t="str">
        <f t="shared" si="64"/>
        <v/>
      </c>
      <c r="H346" s="17" t="str">
        <f>IFERROR(VLOOKUP($G346,Table1[[Property]:[Exposure %]],4,0),"")</f>
        <v/>
      </c>
      <c r="I346" s="3" t="str">
        <f>IFERROR(VLOOKUP($G346,Table1[[Property]:[Exposure %]],6,0),"")</f>
        <v/>
      </c>
      <c r="J346" s="3" t="str">
        <f>IFERROR(VLOOKUP($G346,Table1[[Property]:[Exposure %]],7,0),"")</f>
        <v/>
      </c>
      <c r="R346" s="4" t="str">
        <f>IFERROR(VLOOKUP(IF(F346="Total",F345,F346),Table1[[Property]:['# Units]],7,0)*S346,"")</f>
        <v/>
      </c>
      <c r="S346" s="27" t="str">
        <f t="shared" si="57"/>
        <v/>
      </c>
      <c r="T346" s="531" t="str">
        <f>IFERROR(
 IF($F346="Total",
   SUMPRODUCT(
   INDEX(T:T, ROW()-COUNTIF($F$6:INDEX($F:$F, ROW()-1), $F345)) : INDEX(T:T, ROW()-1),
   INDEX(W:W, ROW()-COUNTIF($F$6:INDEX($F:$F, ROW()-1), $F345)) : INDEX(W:W, ROW()-1)
   )
   /SUM(INDEX(W:W, ROW()-COUNTIF($F$6:INDEX($F:$F, ROW()-1), $F345)) : INDEX(W:W, ROW()-1)),
   AVERAGEIFS(
     INDEX((unit_details[Asking Rent],unit_details[Asking PSF]),0,1,IF($U$3="Chunk Rent",1,2)),
     unit_details[Leased Date],"&gt;="&amp;($AM$2-T$5),
     unit_details[Leased Date],"&lt;"&amp;$AM$2,
     unit_details[Beds],$L346,
     unit_details[Baths],$M346,
     unit_details[Partial Baths],IF(ISNUMBER($N346),$N346,""),
     unit_details[Sqft],$P346,
     unit_details[Property Name],$F346)
 ),"")</f>
        <v/>
      </c>
      <c r="U346" s="552" t="str">
        <f>IFERROR(
 IF($F346="Total",
   SUMPRODUCT(
   INDEX(U:U, ROW()-COUNTIF($F$6:INDEX($F:$F, ROW()-1), $F345)) : INDEX(U:U, ROW()-1),
   INDEX(W:W, ROW()-COUNTIF($F$6:INDEX($F:$F, ROW()-1), $F345)) : INDEX(W:W, ROW()-1)
   )
   /SUM(INDEX(W:W, ROW()-COUNTIF($F$6:INDEX($F:$F, ROW()-1), $F345)) : INDEX(W:W, ROW()-1)),
   AVERAGEIFS(
     INDEX((unit_details[Effective Rent],unit_details[Effective PSF]),0,1,IF($U$3="Chunk Rent",1,2)),
     unit_details[Leased Date],"&gt;="&amp;($AM$2-T$5),
     unit_details[Leased Date],"&lt;"&amp;$AM$2,
     unit_details[Beds],$L346,
     unit_details[Baths],$M346,
     unit_details[Partial Baths],IF(ISNUMBER($N346),$N346,""),
     unit_details[Sqft],$P346,
     unit_details[Property Name],$F346)
 ),"")</f>
        <v/>
      </c>
      <c r="V346" s="27" t="str">
        <f t="shared" si="65"/>
        <v/>
      </c>
      <c r="W346" s="526">
        <f>IFERROR(
  IF($F346="Total",
    SUM(INDEX(W:W, ROW()-COUNTIF($F$6:INDEX($F:$F, ROW()-1), $F345)) : INDEX(W:W, ROW()-1)),
    COUNTIFS(
      unit_details[Leased Date], "&gt;="&amp;($AM$2-T$5),
      unit_details[Leased Date], "&lt;"&amp;$AM$2,
      unit_details[Beds], $L346,
      unit_details[Baths], $M346,
      unit_details[Partial Baths], IF(ISNUMBER($N346), $N346, ""),
      unit_details[Sqft],$P346,
      unit_details[Property Name], $F346
    )
  ),
"")</f>
        <v>0</v>
      </c>
      <c r="X346" s="531" t="str">
        <f>IFERROR(
 IF($F346="Total",
   SUMPRODUCT(
   INDEX(X:X, ROW()-COUNTIF($F$6:INDEX($F:$F, ROW()-1), $F345)) : INDEX(X:X, ROW()-1),
   INDEX(AA:AA, ROW()-COUNTIF($F$6:INDEX($F:$F, ROW()-1), $F345)) : INDEX(AA:AA, ROW()-1)
   )
   /SUM(INDEX(AA:AA, ROW()-COUNTIF($F$6:INDEX($F:$F, ROW()-1), $F345)) : INDEX(AA:AA, ROW()-1)),
   AVERAGEIFS(
     INDEX((unit_details[Asking Rent],unit_details[Asking PSF]),0,1,IF($U$3="Chunk Rent",1,2)),
     unit_details[Leased Date],"&gt;="&amp;($AM$2-X$5),
     unit_details[Leased Date],"&lt;"&amp;$AM$2,
     unit_details[Beds],$L346,
     unit_details[Baths],$M346,
     unit_details[Partial Baths],IF(ISNUMBER($N346),$N346,""),
     unit_details[Sqft],$P346,
     unit_details[Property Name],$F346)
 ),"")</f>
        <v/>
      </c>
      <c r="Y346" s="552" t="str">
        <f>IFERROR(
 IF($F346="Total",
   SUMPRODUCT(
   INDEX(Y:Y, ROW()-COUNTIF($F$6:INDEX($F:$F, ROW()-1), $F345)) : INDEX(Y:Y, ROW()-1),
   INDEX(AA:AA, ROW()-COUNTIF($F$6:INDEX($F:$F, ROW()-1), $F345)) : INDEX(AA:AA, ROW()-1)
   )
   /SUM(INDEX(AA:AA, ROW()-COUNTIF($F$6:INDEX($F:$F, ROW()-1), $F345)) : INDEX(AA:AA, ROW()-1)),
   AVERAGEIFS(
     INDEX((unit_details[Effective Rent],unit_details[Effective PSF]),0,1,IF($U$3="Chunk Rent",1,2)),
     unit_details[Leased Date],"&gt;="&amp;($AM$2-X$5),
     unit_details[Leased Date],"&lt;"&amp;$AM$2,
     unit_details[Beds],$L346,
     unit_details[Baths],$M346,
     unit_details[Partial Baths],IF(ISNUMBER($N346),$N346,""),
     unit_details[Sqft],$P346,
     unit_details[Property Name],$F346)
 ),"")</f>
        <v/>
      </c>
      <c r="Z346" s="27" t="str">
        <f t="shared" si="66"/>
        <v/>
      </c>
      <c r="AA346" s="526">
        <f>IFERROR(
  IF($F346="Total",
    SUM(INDEX(AA:AA, ROW()-COUNTIF($F$6:INDEX($F:$F, ROW()-1), $F345)) : INDEX(AA:AA, ROW()-1)),
    COUNTIFS(
      unit_details[Leased Date], "&gt;="&amp;($AM$2-X$5),
      unit_details[Leased Date], "&lt;"&amp;$AM$2,
      unit_details[Beds], $L346,
      unit_details[Baths], $M346,
      unit_details[Partial Baths], IF(ISNUMBER($N346), $N346, ""),
      unit_details[Sqft],$P346,
      unit_details[Property Name], $F346
    )
  ),
"")</f>
        <v>0</v>
      </c>
      <c r="AB346" s="290">
        <f>IF($F346="Total",
SUM(INDEX(AB:AB, ROW()-COUNTIF($F$6:INDEX($F:$F, ROW()-1), $F345)) : INDEX(AB:AB, ROW()-1)),
COUNTIFS(unit_details[Active Listing?],TRUE,
          unit_details[Property Name], $F346,
          unit_details[Beds], $L346,
          unit_details[Baths], $M346,
          unit_details[Partial Baths],IF(ISNUMBER($N346),$N346,""),
          unit_details[Sqft],$P346))</f>
        <v>0</v>
      </c>
      <c r="AC346" s="27" t="str">
        <f t="shared" si="58"/>
        <v/>
      </c>
      <c r="AD346" s="293" t="str">
        <f>IFERROR(IF(AE346="","",IF($F346="Total",
SUMPRODUCT(
   INDEX(AD:AD, ROW()-COUNTIF($F$6:INDEX($F:$F, ROW()-1), $F345)) : INDEX(AD:AD, ROW()-1),
   INDEX(AB:AB, ROW()-COUNTIF($F$6:INDEX($F:$F, ROW()-1), $F345)) : INDEX(AB:AB, ROW()-1)
   )
   /SUM(INDEX(AB:AB, ROW()-COUNTIF($F$6:INDEX($F:$F, ROW()-1), $F345)) : INDEX(AB:AB, ROW()-1)),
          _xlfn.MINIFS(unit_details[Asking Rent],
          unit_details[Active Listing?],TRUE,
          unit_details[Property Name], $F346,
          unit_details[Beds], $L346,
          unit_details[Baths], $M346,
          unit_details[Partial Baths], IF(ISNUMBER($N346),$N346,""),
          unit_details[Sqft],$P346
))),"")</f>
        <v/>
      </c>
      <c r="AE346" s="5" t="str">
        <f>IFERROR(IF($F346="Total",
          SUMPRODUCT(
   INDEX(AE:AE, ROW()-COUNTIF($F$6:INDEX($F:$F, ROW()-1), $F345)) : INDEX(AE:AE, ROW()-1),
   INDEX(AB:AB, ROW()-COUNTIF($F$6:INDEX($F:$F, ROW()-1), $F345)) : INDEX(AB:AB, ROW()-1)
   )
   /SUM(INDEX(AB:AB, ROW()-COUNTIF($F$6:INDEX($F:$F, ROW()-1), $F345)) : INDEX(AB:AB, ROW()-1)),
          AVERAGEIFS(unit_details[Asking Rent],
          unit_details[Active Listing?],TRUE,
          unit_details[Property Name], $F346,
          unit_details[Beds], $L346,
          unit_details[Baths], $M346,
          unit_details[Partial Baths], IF(ISNUMBER($N346),$N346,""),
          unit_details[Sqft],$P346
)),"")</f>
        <v/>
      </c>
      <c r="AF346" s="5" t="str">
        <f>IFERROR(IF(AE346="","",IF($F346="Total",
SUMPRODUCT(
   INDEX(AF:AF, ROW()-COUNTIF($F$6:INDEX($F:$F, ROW()-1), $F345)) : INDEX(AF:AF, ROW()-1),
   INDEX(AB:AB, ROW()-COUNTIF($F$6:INDEX($F:$F, ROW()-1), $F345)) : INDEX(AB:AB, ROW()-1)
   )
   /SUM(INDEX(AB:AB, ROW()-COUNTIF($F$6:INDEX($F:$F, ROW()-1), $F345)) : INDEX(AB:AB, ROW()-1)),
           _xlfn.MAXIFS(unit_details[Asking Rent],
          unit_details[Active Listing?],TRUE,
          unit_details[Property Name], $F346,
          unit_details[Beds], $L346,
          unit_details[Baths], $M346,
          unit_details[Partial Baths], IF(ISNUMBER($N346),$N346,""),
          unit_details[Sqft],$P346
))),"")</f>
        <v/>
      </c>
      <c r="AG346" s="6" t="str">
        <f>IFERROR(IF($F346="Total",
         SUMPRODUCT(
         INDEX(AG:AG, ROW()-COUNTIF($F$6:INDEX($F:$F, ROW()-1), $F345)) : INDEX(AG:AG, ROW()-1),
         INDEX(AB:AB, ROW()-COUNTIF($F$6:INDEX($F:$F, ROW()-1), $F345)) : INDEX(AB:AB, ROW()-1)
         )
         /SUM(INDEX(AB:AB, ROW()-COUNTIF($F$6:INDEX($F:$F, ROW()-1), $F345)) : INDEX(AB:AB, ROW()-1)),
          AVERAGEIFS(unit_details[Asking PSF],
          unit_details[Active Listing?],TRUE,
          unit_details[Property Name], $F346,
          unit_details[Beds], $L346,
          unit_details[Baths], $M346,
          unit_details[Partial Baths], IF(ISNUMBER($N346),$N346,""),
          unit_details[Sqft],$P346
)),"")</f>
        <v/>
      </c>
      <c r="AH346" s="293" t="str">
        <f>IFERROR(IF($F346="Total",
         SUMPRODUCT(
         INDEX(AH:AH, ROW()-COUNTIF($F$6:INDEX($F:$F, ROW()-1), $F345)) : INDEX(AH:AH, ROW()-1),
         INDEX(AB:AB, ROW()-COUNTIF($F$6:INDEX($F:$F, ROW()-1), $F345)) : INDEX(AB:AB, ROW()-1)
         )
         /SUM(INDEX(AB:AB, ROW()-COUNTIF($F$6:INDEX($F:$F, ROW()-1), $F345)) : INDEX(AB:AB, ROW()-1)),
          AVERAGEIFS(unit_details[Effective Rent],
          unit_details[Active Listing?],TRUE,
          unit_details[Property Name], $F346,
          unit_details[Beds], $L346,
          unit_details[Baths], $M346,
          unit_details[Partial Baths], IF(ISNUMBER($N346),$N346,""),
          unit_details[Sqft],$P346
)),"")</f>
        <v/>
      </c>
      <c r="AI346" s="6" t="str">
        <f>IFERROR(IF($F346="Total",
         SUMPRODUCT(
         INDEX(AI:AI, ROW()-COUNTIF($F$6:INDEX($F:$F, ROW()-1), $F345)) : INDEX(AI:AI, ROW()-1),
         INDEX(AB:AB, ROW()-COUNTIF($F$6:INDEX($F:$F, ROW()-1), $F345)) : INDEX(AB:AB, ROW()-1)
         )
         /SUM(INDEX(AB:AB, ROW()-COUNTIF($F$6:INDEX($F:$F, ROW()-1), $F345)) : INDEX(AB:AB, ROW()-1)),
           AVERAGEIFS(unit_details[Effective PSF],
          unit_details[Active Listing?],TRUE,
          unit_details[Property Name], $F346,
          unit_details[Beds], $L346,
          unit_details[Baths], $M346,
          unit_details[Partial Baths], IF(ISNUMBER($N346),$N346,""),
          unit_details[Sqft],$P346
)),"")</f>
        <v/>
      </c>
      <c r="AJ346" s="824" t="str">
        <f t="shared" si="59"/>
        <v/>
      </c>
      <c r="AK346" s="531" t="str">
        <f t="shared" si="60"/>
        <v/>
      </c>
      <c r="AL346" s="714" t="str">
        <f t="shared" si="61"/>
        <v/>
      </c>
      <c r="AM346" s="531" t="str">
        <f t="shared" si="62"/>
        <v/>
      </c>
      <c r="AN346" s="716" t="str">
        <f t="shared" si="63"/>
        <v/>
      </c>
    </row>
    <row r="347" spans="6:40" x14ac:dyDescent="0.2">
      <c r="F347" s="1" t="str">
        <f t="shared" si="56"/>
        <v/>
      </c>
      <c r="G347" s="713" t="str">
        <f t="shared" si="64"/>
        <v/>
      </c>
      <c r="H347" s="17" t="str">
        <f>IFERROR(VLOOKUP($G347,Table1[[Property]:[Exposure %]],4,0),"")</f>
        <v/>
      </c>
      <c r="I347" s="3" t="str">
        <f>IFERROR(VLOOKUP($G347,Table1[[Property]:[Exposure %]],6,0),"")</f>
        <v/>
      </c>
      <c r="J347" s="3" t="str">
        <f>IFERROR(VLOOKUP($G347,Table1[[Property]:[Exposure %]],7,0),"")</f>
        <v/>
      </c>
      <c r="R347" s="4" t="str">
        <f>IFERROR(VLOOKUP(IF(F347="Total",F346,F347),Table1[[Property]:['# Units]],7,0)*S347,"")</f>
        <v/>
      </c>
      <c r="S347" s="27" t="str">
        <f t="shared" si="57"/>
        <v/>
      </c>
      <c r="T347" s="531" t="str">
        <f>IFERROR(
 IF($F347="Total",
   SUMPRODUCT(
   INDEX(T:T, ROW()-COUNTIF($F$6:INDEX($F:$F, ROW()-1), $F346)) : INDEX(T:T, ROW()-1),
   INDEX(W:W, ROW()-COUNTIF($F$6:INDEX($F:$F, ROW()-1), $F346)) : INDEX(W:W, ROW()-1)
   )
   /SUM(INDEX(W:W, ROW()-COUNTIF($F$6:INDEX($F:$F, ROW()-1), $F346)) : INDEX(W:W, ROW()-1)),
   AVERAGEIFS(
     INDEX((unit_details[Asking Rent],unit_details[Asking PSF]),0,1,IF($U$3="Chunk Rent",1,2)),
     unit_details[Leased Date],"&gt;="&amp;($AM$2-T$5),
     unit_details[Leased Date],"&lt;"&amp;$AM$2,
     unit_details[Beds],$L347,
     unit_details[Baths],$M347,
     unit_details[Partial Baths],IF(ISNUMBER($N347),$N347,""),
     unit_details[Sqft],$P347,
     unit_details[Property Name],$F347)
 ),"")</f>
        <v/>
      </c>
      <c r="U347" s="552" t="str">
        <f>IFERROR(
 IF($F347="Total",
   SUMPRODUCT(
   INDEX(U:U, ROW()-COUNTIF($F$6:INDEX($F:$F, ROW()-1), $F346)) : INDEX(U:U, ROW()-1),
   INDEX(W:W, ROW()-COUNTIF($F$6:INDEX($F:$F, ROW()-1), $F346)) : INDEX(W:W, ROW()-1)
   )
   /SUM(INDEX(W:W, ROW()-COUNTIF($F$6:INDEX($F:$F, ROW()-1), $F346)) : INDEX(W:W, ROW()-1)),
   AVERAGEIFS(
     INDEX((unit_details[Effective Rent],unit_details[Effective PSF]),0,1,IF($U$3="Chunk Rent",1,2)),
     unit_details[Leased Date],"&gt;="&amp;($AM$2-T$5),
     unit_details[Leased Date],"&lt;"&amp;$AM$2,
     unit_details[Beds],$L347,
     unit_details[Baths],$M347,
     unit_details[Partial Baths],IF(ISNUMBER($N347),$N347,""),
     unit_details[Sqft],$P347,
     unit_details[Property Name],$F347)
 ),"")</f>
        <v/>
      </c>
      <c r="V347" s="27" t="str">
        <f t="shared" si="65"/>
        <v/>
      </c>
      <c r="W347" s="526">
        <f>IFERROR(
  IF($F347="Total",
    SUM(INDEX(W:W, ROW()-COUNTIF($F$6:INDEX($F:$F, ROW()-1), $F346)) : INDEX(W:W, ROW()-1)),
    COUNTIFS(
      unit_details[Leased Date], "&gt;="&amp;($AM$2-T$5),
      unit_details[Leased Date], "&lt;"&amp;$AM$2,
      unit_details[Beds], $L347,
      unit_details[Baths], $M347,
      unit_details[Partial Baths], IF(ISNUMBER($N347), $N347, ""),
      unit_details[Sqft],$P347,
      unit_details[Property Name], $F347
    )
  ),
"")</f>
        <v>0</v>
      </c>
      <c r="X347" s="531" t="str">
        <f>IFERROR(
 IF($F347="Total",
   SUMPRODUCT(
   INDEX(X:X, ROW()-COUNTIF($F$6:INDEX($F:$F, ROW()-1), $F346)) : INDEX(X:X, ROW()-1),
   INDEX(AA:AA, ROW()-COUNTIF($F$6:INDEX($F:$F, ROW()-1), $F346)) : INDEX(AA:AA, ROW()-1)
   )
   /SUM(INDEX(AA:AA, ROW()-COUNTIF($F$6:INDEX($F:$F, ROW()-1), $F346)) : INDEX(AA:AA, ROW()-1)),
   AVERAGEIFS(
     INDEX((unit_details[Asking Rent],unit_details[Asking PSF]),0,1,IF($U$3="Chunk Rent",1,2)),
     unit_details[Leased Date],"&gt;="&amp;($AM$2-X$5),
     unit_details[Leased Date],"&lt;"&amp;$AM$2,
     unit_details[Beds],$L347,
     unit_details[Baths],$M347,
     unit_details[Partial Baths],IF(ISNUMBER($N347),$N347,""),
     unit_details[Sqft],$P347,
     unit_details[Property Name],$F347)
 ),"")</f>
        <v/>
      </c>
      <c r="Y347" s="552" t="str">
        <f>IFERROR(
 IF($F347="Total",
   SUMPRODUCT(
   INDEX(Y:Y, ROW()-COUNTIF($F$6:INDEX($F:$F, ROW()-1), $F346)) : INDEX(Y:Y, ROW()-1),
   INDEX(AA:AA, ROW()-COUNTIF($F$6:INDEX($F:$F, ROW()-1), $F346)) : INDEX(AA:AA, ROW()-1)
   )
   /SUM(INDEX(AA:AA, ROW()-COUNTIF($F$6:INDEX($F:$F, ROW()-1), $F346)) : INDEX(AA:AA, ROW()-1)),
   AVERAGEIFS(
     INDEX((unit_details[Effective Rent],unit_details[Effective PSF]),0,1,IF($U$3="Chunk Rent",1,2)),
     unit_details[Leased Date],"&gt;="&amp;($AM$2-X$5),
     unit_details[Leased Date],"&lt;"&amp;$AM$2,
     unit_details[Beds],$L347,
     unit_details[Baths],$M347,
     unit_details[Partial Baths],IF(ISNUMBER($N347),$N347,""),
     unit_details[Sqft],$P347,
     unit_details[Property Name],$F347)
 ),"")</f>
        <v/>
      </c>
      <c r="Z347" s="27" t="str">
        <f t="shared" si="66"/>
        <v/>
      </c>
      <c r="AA347" s="526">
        <f>IFERROR(
  IF($F347="Total",
    SUM(INDEX(AA:AA, ROW()-COUNTIF($F$6:INDEX($F:$F, ROW()-1), $F346)) : INDEX(AA:AA, ROW()-1)),
    COUNTIFS(
      unit_details[Leased Date], "&gt;="&amp;($AM$2-X$5),
      unit_details[Leased Date], "&lt;"&amp;$AM$2,
      unit_details[Beds], $L347,
      unit_details[Baths], $M347,
      unit_details[Partial Baths], IF(ISNUMBER($N347), $N347, ""),
      unit_details[Sqft],$P347,
      unit_details[Property Name], $F347
    )
  ),
"")</f>
        <v>0</v>
      </c>
      <c r="AB347" s="290">
        <f>IF($F347="Total",
SUM(INDEX(AB:AB, ROW()-COUNTIF($F$6:INDEX($F:$F, ROW()-1), $F346)) : INDEX(AB:AB, ROW()-1)),
COUNTIFS(unit_details[Active Listing?],TRUE,
          unit_details[Property Name], $F347,
          unit_details[Beds], $L347,
          unit_details[Baths], $M347,
          unit_details[Partial Baths],IF(ISNUMBER($N347),$N347,""),
          unit_details[Sqft],$P347))</f>
        <v>0</v>
      </c>
      <c r="AC347" s="27" t="str">
        <f t="shared" si="58"/>
        <v/>
      </c>
      <c r="AD347" s="293" t="str">
        <f>IFERROR(IF(AE347="","",IF($F347="Total",
SUMPRODUCT(
   INDEX(AD:AD, ROW()-COUNTIF($F$6:INDEX($F:$F, ROW()-1), $F346)) : INDEX(AD:AD, ROW()-1),
   INDEX(AB:AB, ROW()-COUNTIF($F$6:INDEX($F:$F, ROW()-1), $F346)) : INDEX(AB:AB, ROW()-1)
   )
   /SUM(INDEX(AB:AB, ROW()-COUNTIF($F$6:INDEX($F:$F, ROW()-1), $F346)) : INDEX(AB:AB, ROW()-1)),
          _xlfn.MINIFS(unit_details[Asking Rent],
          unit_details[Active Listing?],TRUE,
          unit_details[Property Name], $F347,
          unit_details[Beds], $L347,
          unit_details[Baths], $M347,
          unit_details[Partial Baths], IF(ISNUMBER($N347),$N347,""),
          unit_details[Sqft],$P347
))),"")</f>
        <v/>
      </c>
      <c r="AE347" s="5" t="str">
        <f>IFERROR(IF($F347="Total",
          SUMPRODUCT(
   INDEX(AE:AE, ROW()-COUNTIF($F$6:INDEX($F:$F, ROW()-1), $F346)) : INDEX(AE:AE, ROW()-1),
   INDEX(AB:AB, ROW()-COUNTIF($F$6:INDEX($F:$F, ROW()-1), $F346)) : INDEX(AB:AB, ROW()-1)
   )
   /SUM(INDEX(AB:AB, ROW()-COUNTIF($F$6:INDEX($F:$F, ROW()-1), $F346)) : INDEX(AB:AB, ROW()-1)),
          AVERAGEIFS(unit_details[Asking Rent],
          unit_details[Active Listing?],TRUE,
          unit_details[Property Name], $F347,
          unit_details[Beds], $L347,
          unit_details[Baths], $M347,
          unit_details[Partial Baths], IF(ISNUMBER($N347),$N347,""),
          unit_details[Sqft],$P347
)),"")</f>
        <v/>
      </c>
      <c r="AF347" s="5" t="str">
        <f>IFERROR(IF(AE347="","",IF($F347="Total",
SUMPRODUCT(
   INDEX(AF:AF, ROW()-COUNTIF($F$6:INDEX($F:$F, ROW()-1), $F346)) : INDEX(AF:AF, ROW()-1),
   INDEX(AB:AB, ROW()-COUNTIF($F$6:INDEX($F:$F, ROW()-1), $F346)) : INDEX(AB:AB, ROW()-1)
   )
   /SUM(INDEX(AB:AB, ROW()-COUNTIF($F$6:INDEX($F:$F, ROW()-1), $F346)) : INDEX(AB:AB, ROW()-1)),
           _xlfn.MAXIFS(unit_details[Asking Rent],
          unit_details[Active Listing?],TRUE,
          unit_details[Property Name], $F347,
          unit_details[Beds], $L347,
          unit_details[Baths], $M347,
          unit_details[Partial Baths], IF(ISNUMBER($N347),$N347,""),
          unit_details[Sqft],$P347
))),"")</f>
        <v/>
      </c>
      <c r="AG347" s="6" t="str">
        <f>IFERROR(IF($F347="Total",
         SUMPRODUCT(
         INDEX(AG:AG, ROW()-COUNTIF($F$6:INDEX($F:$F, ROW()-1), $F346)) : INDEX(AG:AG, ROW()-1),
         INDEX(AB:AB, ROW()-COUNTIF($F$6:INDEX($F:$F, ROW()-1), $F346)) : INDEX(AB:AB, ROW()-1)
         )
         /SUM(INDEX(AB:AB, ROW()-COUNTIF($F$6:INDEX($F:$F, ROW()-1), $F346)) : INDEX(AB:AB, ROW()-1)),
          AVERAGEIFS(unit_details[Asking PSF],
          unit_details[Active Listing?],TRUE,
          unit_details[Property Name], $F347,
          unit_details[Beds], $L347,
          unit_details[Baths], $M347,
          unit_details[Partial Baths], IF(ISNUMBER($N347),$N347,""),
          unit_details[Sqft],$P347
)),"")</f>
        <v/>
      </c>
      <c r="AH347" s="293" t="str">
        <f>IFERROR(IF($F347="Total",
         SUMPRODUCT(
         INDEX(AH:AH, ROW()-COUNTIF($F$6:INDEX($F:$F, ROW()-1), $F346)) : INDEX(AH:AH, ROW()-1),
         INDEX(AB:AB, ROW()-COUNTIF($F$6:INDEX($F:$F, ROW()-1), $F346)) : INDEX(AB:AB, ROW()-1)
         )
         /SUM(INDEX(AB:AB, ROW()-COUNTIF($F$6:INDEX($F:$F, ROW()-1), $F346)) : INDEX(AB:AB, ROW()-1)),
          AVERAGEIFS(unit_details[Effective Rent],
          unit_details[Active Listing?],TRUE,
          unit_details[Property Name], $F347,
          unit_details[Beds], $L347,
          unit_details[Baths], $M347,
          unit_details[Partial Baths], IF(ISNUMBER($N347),$N347,""),
          unit_details[Sqft],$P347
)),"")</f>
        <v/>
      </c>
      <c r="AI347" s="6" t="str">
        <f>IFERROR(IF($F347="Total",
         SUMPRODUCT(
         INDEX(AI:AI, ROW()-COUNTIF($F$6:INDEX($F:$F, ROW()-1), $F346)) : INDEX(AI:AI, ROW()-1),
         INDEX(AB:AB, ROW()-COUNTIF($F$6:INDEX($F:$F, ROW()-1), $F346)) : INDEX(AB:AB, ROW()-1)
         )
         /SUM(INDEX(AB:AB, ROW()-COUNTIF($F$6:INDEX($F:$F, ROW()-1), $F346)) : INDEX(AB:AB, ROW()-1)),
           AVERAGEIFS(unit_details[Effective PSF],
          unit_details[Active Listing?],TRUE,
          unit_details[Property Name], $F347,
          unit_details[Beds], $L347,
          unit_details[Baths], $M347,
          unit_details[Partial Baths], IF(ISNUMBER($N347),$N347,""),
          unit_details[Sqft],$P347
)),"")</f>
        <v/>
      </c>
      <c r="AJ347" s="824" t="str">
        <f t="shared" si="59"/>
        <v/>
      </c>
      <c r="AK347" s="531" t="str">
        <f t="shared" si="60"/>
        <v/>
      </c>
      <c r="AL347" s="714" t="str">
        <f t="shared" si="61"/>
        <v/>
      </c>
      <c r="AM347" s="531" t="str">
        <f t="shared" si="62"/>
        <v/>
      </c>
      <c r="AN347" s="716" t="str">
        <f t="shared" si="63"/>
        <v/>
      </c>
    </row>
    <row r="348" spans="6:40" x14ac:dyDescent="0.2">
      <c r="F348" s="1" t="str">
        <f t="shared" si="56"/>
        <v/>
      </c>
      <c r="G348" s="713" t="str">
        <f t="shared" si="64"/>
        <v/>
      </c>
      <c r="H348" s="17" t="str">
        <f>IFERROR(VLOOKUP($G348,Table1[[Property]:[Exposure %]],4,0),"")</f>
        <v/>
      </c>
      <c r="I348" s="3" t="str">
        <f>IFERROR(VLOOKUP($G348,Table1[[Property]:[Exposure %]],6,0),"")</f>
        <v/>
      </c>
      <c r="J348" s="3" t="str">
        <f>IFERROR(VLOOKUP($G348,Table1[[Property]:[Exposure %]],7,0),"")</f>
        <v/>
      </c>
      <c r="R348" s="4" t="str">
        <f>IFERROR(VLOOKUP(IF(F348="Total",F347,F348),Table1[[Property]:['# Units]],7,0)*S348,"")</f>
        <v/>
      </c>
      <c r="S348" s="27" t="str">
        <f t="shared" si="57"/>
        <v/>
      </c>
      <c r="T348" s="531" t="str">
        <f>IFERROR(
 IF($F348="Total",
   SUMPRODUCT(
   INDEX(T:T, ROW()-COUNTIF($F$6:INDEX($F:$F, ROW()-1), $F347)) : INDEX(T:T, ROW()-1),
   INDEX(W:W, ROW()-COUNTIF($F$6:INDEX($F:$F, ROW()-1), $F347)) : INDEX(W:W, ROW()-1)
   )
   /SUM(INDEX(W:W, ROW()-COUNTIF($F$6:INDEX($F:$F, ROW()-1), $F347)) : INDEX(W:W, ROW()-1)),
   AVERAGEIFS(
     INDEX((unit_details[Asking Rent],unit_details[Asking PSF]),0,1,IF($U$3="Chunk Rent",1,2)),
     unit_details[Leased Date],"&gt;="&amp;($AM$2-T$5),
     unit_details[Leased Date],"&lt;"&amp;$AM$2,
     unit_details[Beds],$L348,
     unit_details[Baths],$M348,
     unit_details[Partial Baths],IF(ISNUMBER($N348),$N348,""),
     unit_details[Sqft],$P348,
     unit_details[Property Name],$F348)
 ),"")</f>
        <v/>
      </c>
      <c r="U348" s="552" t="str">
        <f>IFERROR(
 IF($F348="Total",
   SUMPRODUCT(
   INDEX(U:U, ROW()-COUNTIF($F$6:INDEX($F:$F, ROW()-1), $F347)) : INDEX(U:U, ROW()-1),
   INDEX(W:W, ROW()-COUNTIF($F$6:INDEX($F:$F, ROW()-1), $F347)) : INDEX(W:W, ROW()-1)
   )
   /SUM(INDEX(W:W, ROW()-COUNTIF($F$6:INDEX($F:$F, ROW()-1), $F347)) : INDEX(W:W, ROW()-1)),
   AVERAGEIFS(
     INDEX((unit_details[Effective Rent],unit_details[Effective PSF]),0,1,IF($U$3="Chunk Rent",1,2)),
     unit_details[Leased Date],"&gt;="&amp;($AM$2-T$5),
     unit_details[Leased Date],"&lt;"&amp;$AM$2,
     unit_details[Beds],$L348,
     unit_details[Baths],$M348,
     unit_details[Partial Baths],IF(ISNUMBER($N348),$N348,""),
     unit_details[Sqft],$P348,
     unit_details[Property Name],$F348)
 ),"")</f>
        <v/>
      </c>
      <c r="V348" s="27" t="str">
        <f t="shared" si="65"/>
        <v/>
      </c>
      <c r="W348" s="526">
        <f>IFERROR(
  IF($F348="Total",
    SUM(INDEX(W:W, ROW()-COUNTIF($F$6:INDEX($F:$F, ROW()-1), $F347)) : INDEX(W:W, ROW()-1)),
    COUNTIFS(
      unit_details[Leased Date], "&gt;="&amp;($AM$2-T$5),
      unit_details[Leased Date], "&lt;"&amp;$AM$2,
      unit_details[Beds], $L348,
      unit_details[Baths], $M348,
      unit_details[Partial Baths], IF(ISNUMBER($N348), $N348, ""),
      unit_details[Sqft],$P348,
      unit_details[Property Name], $F348
    )
  ),
"")</f>
        <v>0</v>
      </c>
      <c r="X348" s="531" t="str">
        <f>IFERROR(
 IF($F348="Total",
   SUMPRODUCT(
   INDEX(X:X, ROW()-COUNTIF($F$6:INDEX($F:$F, ROW()-1), $F347)) : INDEX(X:X, ROW()-1),
   INDEX(AA:AA, ROW()-COUNTIF($F$6:INDEX($F:$F, ROW()-1), $F347)) : INDEX(AA:AA, ROW()-1)
   )
   /SUM(INDEX(AA:AA, ROW()-COUNTIF($F$6:INDEX($F:$F, ROW()-1), $F347)) : INDEX(AA:AA, ROW()-1)),
   AVERAGEIFS(
     INDEX((unit_details[Asking Rent],unit_details[Asking PSF]),0,1,IF($U$3="Chunk Rent",1,2)),
     unit_details[Leased Date],"&gt;="&amp;($AM$2-X$5),
     unit_details[Leased Date],"&lt;"&amp;$AM$2,
     unit_details[Beds],$L348,
     unit_details[Baths],$M348,
     unit_details[Partial Baths],IF(ISNUMBER($N348),$N348,""),
     unit_details[Sqft],$P348,
     unit_details[Property Name],$F348)
 ),"")</f>
        <v/>
      </c>
      <c r="Y348" s="552" t="str">
        <f>IFERROR(
 IF($F348="Total",
   SUMPRODUCT(
   INDEX(Y:Y, ROW()-COUNTIF($F$6:INDEX($F:$F, ROW()-1), $F347)) : INDEX(Y:Y, ROW()-1),
   INDEX(AA:AA, ROW()-COUNTIF($F$6:INDEX($F:$F, ROW()-1), $F347)) : INDEX(AA:AA, ROW()-1)
   )
   /SUM(INDEX(AA:AA, ROW()-COUNTIF($F$6:INDEX($F:$F, ROW()-1), $F347)) : INDEX(AA:AA, ROW()-1)),
   AVERAGEIFS(
     INDEX((unit_details[Effective Rent],unit_details[Effective PSF]),0,1,IF($U$3="Chunk Rent",1,2)),
     unit_details[Leased Date],"&gt;="&amp;($AM$2-X$5),
     unit_details[Leased Date],"&lt;"&amp;$AM$2,
     unit_details[Beds],$L348,
     unit_details[Baths],$M348,
     unit_details[Partial Baths],IF(ISNUMBER($N348),$N348,""),
     unit_details[Sqft],$P348,
     unit_details[Property Name],$F348)
 ),"")</f>
        <v/>
      </c>
      <c r="Z348" s="27" t="str">
        <f t="shared" si="66"/>
        <v/>
      </c>
      <c r="AA348" s="526">
        <f>IFERROR(
  IF($F348="Total",
    SUM(INDEX(AA:AA, ROW()-COUNTIF($F$6:INDEX($F:$F, ROW()-1), $F347)) : INDEX(AA:AA, ROW()-1)),
    COUNTIFS(
      unit_details[Leased Date], "&gt;="&amp;($AM$2-X$5),
      unit_details[Leased Date], "&lt;"&amp;$AM$2,
      unit_details[Beds], $L348,
      unit_details[Baths], $M348,
      unit_details[Partial Baths], IF(ISNUMBER($N348), $N348, ""),
      unit_details[Sqft],$P348,
      unit_details[Property Name], $F348
    )
  ),
"")</f>
        <v>0</v>
      </c>
      <c r="AB348" s="290">
        <f>IF($F348="Total",
SUM(INDEX(AB:AB, ROW()-COUNTIF($F$6:INDEX($F:$F, ROW()-1), $F347)) : INDEX(AB:AB, ROW()-1)),
COUNTIFS(unit_details[Active Listing?],TRUE,
          unit_details[Property Name], $F348,
          unit_details[Beds], $L348,
          unit_details[Baths], $M348,
          unit_details[Partial Baths],IF(ISNUMBER($N348),$N348,""),
          unit_details[Sqft],$P348))</f>
        <v>0</v>
      </c>
      <c r="AC348" s="27" t="str">
        <f t="shared" si="58"/>
        <v/>
      </c>
      <c r="AD348" s="293" t="str">
        <f>IFERROR(IF(AE348="","",IF($F348="Total",
SUMPRODUCT(
   INDEX(AD:AD, ROW()-COUNTIF($F$6:INDEX($F:$F, ROW()-1), $F347)) : INDEX(AD:AD, ROW()-1),
   INDEX(AB:AB, ROW()-COUNTIF($F$6:INDEX($F:$F, ROW()-1), $F347)) : INDEX(AB:AB, ROW()-1)
   )
   /SUM(INDEX(AB:AB, ROW()-COUNTIF($F$6:INDEX($F:$F, ROW()-1), $F347)) : INDEX(AB:AB, ROW()-1)),
          _xlfn.MINIFS(unit_details[Asking Rent],
          unit_details[Active Listing?],TRUE,
          unit_details[Property Name], $F348,
          unit_details[Beds], $L348,
          unit_details[Baths], $M348,
          unit_details[Partial Baths], IF(ISNUMBER($N348),$N348,""),
          unit_details[Sqft],$P348
))),"")</f>
        <v/>
      </c>
      <c r="AE348" s="5" t="str">
        <f>IFERROR(IF($F348="Total",
          SUMPRODUCT(
   INDEX(AE:AE, ROW()-COUNTIF($F$6:INDEX($F:$F, ROW()-1), $F347)) : INDEX(AE:AE, ROW()-1),
   INDEX(AB:AB, ROW()-COUNTIF($F$6:INDEX($F:$F, ROW()-1), $F347)) : INDEX(AB:AB, ROW()-1)
   )
   /SUM(INDEX(AB:AB, ROW()-COUNTIF($F$6:INDEX($F:$F, ROW()-1), $F347)) : INDEX(AB:AB, ROW()-1)),
          AVERAGEIFS(unit_details[Asking Rent],
          unit_details[Active Listing?],TRUE,
          unit_details[Property Name], $F348,
          unit_details[Beds], $L348,
          unit_details[Baths], $M348,
          unit_details[Partial Baths], IF(ISNUMBER($N348),$N348,""),
          unit_details[Sqft],$P348
)),"")</f>
        <v/>
      </c>
      <c r="AF348" s="5" t="str">
        <f>IFERROR(IF(AE348="","",IF($F348="Total",
SUMPRODUCT(
   INDEX(AF:AF, ROW()-COUNTIF($F$6:INDEX($F:$F, ROW()-1), $F347)) : INDEX(AF:AF, ROW()-1),
   INDEX(AB:AB, ROW()-COUNTIF($F$6:INDEX($F:$F, ROW()-1), $F347)) : INDEX(AB:AB, ROW()-1)
   )
   /SUM(INDEX(AB:AB, ROW()-COUNTIF($F$6:INDEX($F:$F, ROW()-1), $F347)) : INDEX(AB:AB, ROW()-1)),
           _xlfn.MAXIFS(unit_details[Asking Rent],
          unit_details[Active Listing?],TRUE,
          unit_details[Property Name], $F348,
          unit_details[Beds], $L348,
          unit_details[Baths], $M348,
          unit_details[Partial Baths], IF(ISNUMBER($N348),$N348,""),
          unit_details[Sqft],$P348
))),"")</f>
        <v/>
      </c>
      <c r="AG348" s="6" t="str">
        <f>IFERROR(IF($F348="Total",
         SUMPRODUCT(
         INDEX(AG:AG, ROW()-COUNTIF($F$6:INDEX($F:$F, ROW()-1), $F347)) : INDEX(AG:AG, ROW()-1),
         INDEX(AB:AB, ROW()-COUNTIF($F$6:INDEX($F:$F, ROW()-1), $F347)) : INDEX(AB:AB, ROW()-1)
         )
         /SUM(INDEX(AB:AB, ROW()-COUNTIF($F$6:INDEX($F:$F, ROW()-1), $F347)) : INDEX(AB:AB, ROW()-1)),
          AVERAGEIFS(unit_details[Asking PSF],
          unit_details[Active Listing?],TRUE,
          unit_details[Property Name], $F348,
          unit_details[Beds], $L348,
          unit_details[Baths], $M348,
          unit_details[Partial Baths], IF(ISNUMBER($N348),$N348,""),
          unit_details[Sqft],$P348
)),"")</f>
        <v/>
      </c>
      <c r="AH348" s="293" t="str">
        <f>IFERROR(IF($F348="Total",
         SUMPRODUCT(
         INDEX(AH:AH, ROW()-COUNTIF($F$6:INDEX($F:$F, ROW()-1), $F347)) : INDEX(AH:AH, ROW()-1),
         INDEX(AB:AB, ROW()-COUNTIF($F$6:INDEX($F:$F, ROW()-1), $F347)) : INDEX(AB:AB, ROW()-1)
         )
         /SUM(INDEX(AB:AB, ROW()-COUNTIF($F$6:INDEX($F:$F, ROW()-1), $F347)) : INDEX(AB:AB, ROW()-1)),
          AVERAGEIFS(unit_details[Effective Rent],
          unit_details[Active Listing?],TRUE,
          unit_details[Property Name], $F348,
          unit_details[Beds], $L348,
          unit_details[Baths], $M348,
          unit_details[Partial Baths], IF(ISNUMBER($N348),$N348,""),
          unit_details[Sqft],$P348
)),"")</f>
        <v/>
      </c>
      <c r="AI348" s="6" t="str">
        <f>IFERROR(IF($F348="Total",
         SUMPRODUCT(
         INDEX(AI:AI, ROW()-COUNTIF($F$6:INDEX($F:$F, ROW()-1), $F347)) : INDEX(AI:AI, ROW()-1),
         INDEX(AB:AB, ROW()-COUNTIF($F$6:INDEX($F:$F, ROW()-1), $F347)) : INDEX(AB:AB, ROW()-1)
         )
         /SUM(INDEX(AB:AB, ROW()-COUNTIF($F$6:INDEX($F:$F, ROW()-1), $F347)) : INDEX(AB:AB, ROW()-1)),
           AVERAGEIFS(unit_details[Effective PSF],
          unit_details[Active Listing?],TRUE,
          unit_details[Property Name], $F348,
          unit_details[Beds], $L348,
          unit_details[Baths], $M348,
          unit_details[Partial Baths], IF(ISNUMBER($N348),$N348,""),
          unit_details[Sqft],$P348
)),"")</f>
        <v/>
      </c>
      <c r="AJ348" s="824" t="str">
        <f t="shared" si="59"/>
        <v/>
      </c>
      <c r="AK348" s="531" t="str">
        <f t="shared" si="60"/>
        <v/>
      </c>
      <c r="AL348" s="714" t="str">
        <f t="shared" si="61"/>
        <v/>
      </c>
      <c r="AM348" s="531" t="str">
        <f t="shared" si="62"/>
        <v/>
      </c>
      <c r="AN348" s="716" t="str">
        <f t="shared" si="63"/>
        <v/>
      </c>
    </row>
    <row r="349" spans="6:40" x14ac:dyDescent="0.2">
      <c r="F349" s="1" t="str">
        <f t="shared" si="56"/>
        <v/>
      </c>
      <c r="G349" s="713" t="str">
        <f t="shared" si="64"/>
        <v/>
      </c>
      <c r="H349" s="17" t="str">
        <f>IFERROR(VLOOKUP($G349,Table1[[Property]:[Exposure %]],4,0),"")</f>
        <v/>
      </c>
      <c r="I349" s="3" t="str">
        <f>IFERROR(VLOOKUP($G349,Table1[[Property]:[Exposure %]],6,0),"")</f>
        <v/>
      </c>
      <c r="J349" s="3" t="str">
        <f>IFERROR(VLOOKUP($G349,Table1[[Property]:[Exposure %]],7,0),"")</f>
        <v/>
      </c>
      <c r="R349" s="4" t="str">
        <f>IFERROR(VLOOKUP(IF(F349="Total",F348,F349),Table1[[Property]:['# Units]],7,0)*S349,"")</f>
        <v/>
      </c>
      <c r="S349" s="27" t="str">
        <f t="shared" si="57"/>
        <v/>
      </c>
      <c r="T349" s="531" t="str">
        <f>IFERROR(
 IF($F349="Total",
   SUMPRODUCT(
   INDEX(T:T, ROW()-COUNTIF($F$6:INDEX($F:$F, ROW()-1), $F348)) : INDEX(T:T, ROW()-1),
   INDEX(W:W, ROW()-COUNTIF($F$6:INDEX($F:$F, ROW()-1), $F348)) : INDEX(W:W, ROW()-1)
   )
   /SUM(INDEX(W:W, ROW()-COUNTIF($F$6:INDEX($F:$F, ROW()-1), $F348)) : INDEX(W:W, ROW()-1)),
   AVERAGEIFS(
     INDEX((unit_details[Asking Rent],unit_details[Asking PSF]),0,1,IF($U$3="Chunk Rent",1,2)),
     unit_details[Leased Date],"&gt;="&amp;($AM$2-T$5),
     unit_details[Leased Date],"&lt;"&amp;$AM$2,
     unit_details[Beds],$L349,
     unit_details[Baths],$M349,
     unit_details[Partial Baths],IF(ISNUMBER($N349),$N349,""),
     unit_details[Sqft],$P349,
     unit_details[Property Name],$F349)
 ),"")</f>
        <v/>
      </c>
      <c r="U349" s="552" t="str">
        <f>IFERROR(
 IF($F349="Total",
   SUMPRODUCT(
   INDEX(U:U, ROW()-COUNTIF($F$6:INDEX($F:$F, ROW()-1), $F348)) : INDEX(U:U, ROW()-1),
   INDEX(W:W, ROW()-COUNTIF($F$6:INDEX($F:$F, ROW()-1), $F348)) : INDEX(W:W, ROW()-1)
   )
   /SUM(INDEX(W:W, ROW()-COUNTIF($F$6:INDEX($F:$F, ROW()-1), $F348)) : INDEX(W:W, ROW()-1)),
   AVERAGEIFS(
     INDEX((unit_details[Effective Rent],unit_details[Effective PSF]),0,1,IF($U$3="Chunk Rent",1,2)),
     unit_details[Leased Date],"&gt;="&amp;($AM$2-T$5),
     unit_details[Leased Date],"&lt;"&amp;$AM$2,
     unit_details[Beds],$L349,
     unit_details[Baths],$M349,
     unit_details[Partial Baths],IF(ISNUMBER($N349),$N349,""),
     unit_details[Sqft],$P349,
     unit_details[Property Name],$F349)
 ),"")</f>
        <v/>
      </c>
      <c r="V349" s="27" t="str">
        <f t="shared" si="65"/>
        <v/>
      </c>
      <c r="W349" s="526">
        <f>IFERROR(
  IF($F349="Total",
    SUM(INDEX(W:W, ROW()-COUNTIF($F$6:INDEX($F:$F, ROW()-1), $F348)) : INDEX(W:W, ROW()-1)),
    COUNTIFS(
      unit_details[Leased Date], "&gt;="&amp;($AM$2-T$5),
      unit_details[Leased Date], "&lt;"&amp;$AM$2,
      unit_details[Beds], $L349,
      unit_details[Baths], $M349,
      unit_details[Partial Baths], IF(ISNUMBER($N349), $N349, ""),
      unit_details[Sqft],$P349,
      unit_details[Property Name], $F349
    )
  ),
"")</f>
        <v>0</v>
      </c>
      <c r="X349" s="531" t="str">
        <f>IFERROR(
 IF($F349="Total",
   SUMPRODUCT(
   INDEX(X:X, ROW()-COUNTIF($F$6:INDEX($F:$F, ROW()-1), $F348)) : INDEX(X:X, ROW()-1),
   INDEX(AA:AA, ROW()-COUNTIF($F$6:INDEX($F:$F, ROW()-1), $F348)) : INDEX(AA:AA, ROW()-1)
   )
   /SUM(INDEX(AA:AA, ROW()-COUNTIF($F$6:INDEX($F:$F, ROW()-1), $F348)) : INDEX(AA:AA, ROW()-1)),
   AVERAGEIFS(
     INDEX((unit_details[Asking Rent],unit_details[Asking PSF]),0,1,IF($U$3="Chunk Rent",1,2)),
     unit_details[Leased Date],"&gt;="&amp;($AM$2-X$5),
     unit_details[Leased Date],"&lt;"&amp;$AM$2,
     unit_details[Beds],$L349,
     unit_details[Baths],$M349,
     unit_details[Partial Baths],IF(ISNUMBER($N349),$N349,""),
     unit_details[Sqft],$P349,
     unit_details[Property Name],$F349)
 ),"")</f>
        <v/>
      </c>
      <c r="Y349" s="552" t="str">
        <f>IFERROR(
 IF($F349="Total",
   SUMPRODUCT(
   INDEX(Y:Y, ROW()-COUNTIF($F$6:INDEX($F:$F, ROW()-1), $F348)) : INDEX(Y:Y, ROW()-1),
   INDEX(AA:AA, ROW()-COUNTIF($F$6:INDEX($F:$F, ROW()-1), $F348)) : INDEX(AA:AA, ROW()-1)
   )
   /SUM(INDEX(AA:AA, ROW()-COUNTIF($F$6:INDEX($F:$F, ROW()-1), $F348)) : INDEX(AA:AA, ROW()-1)),
   AVERAGEIFS(
     INDEX((unit_details[Effective Rent],unit_details[Effective PSF]),0,1,IF($U$3="Chunk Rent",1,2)),
     unit_details[Leased Date],"&gt;="&amp;($AM$2-X$5),
     unit_details[Leased Date],"&lt;"&amp;$AM$2,
     unit_details[Beds],$L349,
     unit_details[Baths],$M349,
     unit_details[Partial Baths],IF(ISNUMBER($N349),$N349,""),
     unit_details[Sqft],$P349,
     unit_details[Property Name],$F349)
 ),"")</f>
        <v/>
      </c>
      <c r="Z349" s="27" t="str">
        <f t="shared" si="66"/>
        <v/>
      </c>
      <c r="AA349" s="526">
        <f>IFERROR(
  IF($F349="Total",
    SUM(INDEX(AA:AA, ROW()-COUNTIF($F$6:INDEX($F:$F, ROW()-1), $F348)) : INDEX(AA:AA, ROW()-1)),
    COUNTIFS(
      unit_details[Leased Date], "&gt;="&amp;($AM$2-X$5),
      unit_details[Leased Date], "&lt;"&amp;$AM$2,
      unit_details[Beds], $L349,
      unit_details[Baths], $M349,
      unit_details[Partial Baths], IF(ISNUMBER($N349), $N349, ""),
      unit_details[Sqft],$P349,
      unit_details[Property Name], $F349
    )
  ),
"")</f>
        <v>0</v>
      </c>
      <c r="AB349" s="290">
        <f>IF($F349="Total",
SUM(INDEX(AB:AB, ROW()-COUNTIF($F$6:INDEX($F:$F, ROW()-1), $F348)) : INDEX(AB:AB, ROW()-1)),
COUNTIFS(unit_details[Active Listing?],TRUE,
          unit_details[Property Name], $F349,
          unit_details[Beds], $L349,
          unit_details[Baths], $M349,
          unit_details[Partial Baths],IF(ISNUMBER($N349),$N349,""),
          unit_details[Sqft],$P349))</f>
        <v>0</v>
      </c>
      <c r="AC349" s="27" t="str">
        <f t="shared" si="58"/>
        <v/>
      </c>
      <c r="AD349" s="293" t="str">
        <f>IFERROR(IF(AE349="","",IF($F349="Total",
SUMPRODUCT(
   INDEX(AD:AD, ROW()-COUNTIF($F$6:INDEX($F:$F, ROW()-1), $F348)) : INDEX(AD:AD, ROW()-1),
   INDEX(AB:AB, ROW()-COUNTIF($F$6:INDEX($F:$F, ROW()-1), $F348)) : INDEX(AB:AB, ROW()-1)
   )
   /SUM(INDEX(AB:AB, ROW()-COUNTIF($F$6:INDEX($F:$F, ROW()-1), $F348)) : INDEX(AB:AB, ROW()-1)),
          _xlfn.MINIFS(unit_details[Asking Rent],
          unit_details[Active Listing?],TRUE,
          unit_details[Property Name], $F349,
          unit_details[Beds], $L349,
          unit_details[Baths], $M349,
          unit_details[Partial Baths], IF(ISNUMBER($N349),$N349,""),
          unit_details[Sqft],$P349
))),"")</f>
        <v/>
      </c>
      <c r="AE349" s="5" t="str">
        <f>IFERROR(IF($F349="Total",
          SUMPRODUCT(
   INDEX(AE:AE, ROW()-COUNTIF($F$6:INDEX($F:$F, ROW()-1), $F348)) : INDEX(AE:AE, ROW()-1),
   INDEX(AB:AB, ROW()-COUNTIF($F$6:INDEX($F:$F, ROW()-1), $F348)) : INDEX(AB:AB, ROW()-1)
   )
   /SUM(INDEX(AB:AB, ROW()-COUNTIF($F$6:INDEX($F:$F, ROW()-1), $F348)) : INDEX(AB:AB, ROW()-1)),
          AVERAGEIFS(unit_details[Asking Rent],
          unit_details[Active Listing?],TRUE,
          unit_details[Property Name], $F349,
          unit_details[Beds], $L349,
          unit_details[Baths], $M349,
          unit_details[Partial Baths], IF(ISNUMBER($N349),$N349,""),
          unit_details[Sqft],$P349
)),"")</f>
        <v/>
      </c>
      <c r="AF349" s="5" t="str">
        <f>IFERROR(IF(AE349="","",IF($F349="Total",
SUMPRODUCT(
   INDEX(AF:AF, ROW()-COUNTIF($F$6:INDEX($F:$F, ROW()-1), $F348)) : INDEX(AF:AF, ROW()-1),
   INDEX(AB:AB, ROW()-COUNTIF($F$6:INDEX($F:$F, ROW()-1), $F348)) : INDEX(AB:AB, ROW()-1)
   )
   /SUM(INDEX(AB:AB, ROW()-COUNTIF($F$6:INDEX($F:$F, ROW()-1), $F348)) : INDEX(AB:AB, ROW()-1)),
           _xlfn.MAXIFS(unit_details[Asking Rent],
          unit_details[Active Listing?],TRUE,
          unit_details[Property Name], $F349,
          unit_details[Beds], $L349,
          unit_details[Baths], $M349,
          unit_details[Partial Baths], IF(ISNUMBER($N349),$N349,""),
          unit_details[Sqft],$P349
))),"")</f>
        <v/>
      </c>
      <c r="AG349" s="6" t="str">
        <f>IFERROR(IF($F349="Total",
         SUMPRODUCT(
         INDEX(AG:AG, ROW()-COUNTIF($F$6:INDEX($F:$F, ROW()-1), $F348)) : INDEX(AG:AG, ROW()-1),
         INDEX(AB:AB, ROW()-COUNTIF($F$6:INDEX($F:$F, ROW()-1), $F348)) : INDEX(AB:AB, ROW()-1)
         )
         /SUM(INDEX(AB:AB, ROW()-COUNTIF($F$6:INDEX($F:$F, ROW()-1), $F348)) : INDEX(AB:AB, ROW()-1)),
          AVERAGEIFS(unit_details[Asking PSF],
          unit_details[Active Listing?],TRUE,
          unit_details[Property Name], $F349,
          unit_details[Beds], $L349,
          unit_details[Baths], $M349,
          unit_details[Partial Baths], IF(ISNUMBER($N349),$N349,""),
          unit_details[Sqft],$P349
)),"")</f>
        <v/>
      </c>
      <c r="AH349" s="293" t="str">
        <f>IFERROR(IF($F349="Total",
         SUMPRODUCT(
         INDEX(AH:AH, ROW()-COUNTIF($F$6:INDEX($F:$F, ROW()-1), $F348)) : INDEX(AH:AH, ROW()-1),
         INDEX(AB:AB, ROW()-COUNTIF($F$6:INDEX($F:$F, ROW()-1), $F348)) : INDEX(AB:AB, ROW()-1)
         )
         /SUM(INDEX(AB:AB, ROW()-COUNTIF($F$6:INDEX($F:$F, ROW()-1), $F348)) : INDEX(AB:AB, ROW()-1)),
          AVERAGEIFS(unit_details[Effective Rent],
          unit_details[Active Listing?],TRUE,
          unit_details[Property Name], $F349,
          unit_details[Beds], $L349,
          unit_details[Baths], $M349,
          unit_details[Partial Baths], IF(ISNUMBER($N349),$N349,""),
          unit_details[Sqft],$P349
)),"")</f>
        <v/>
      </c>
      <c r="AI349" s="6" t="str">
        <f>IFERROR(IF($F349="Total",
         SUMPRODUCT(
         INDEX(AI:AI, ROW()-COUNTIF($F$6:INDEX($F:$F, ROW()-1), $F348)) : INDEX(AI:AI, ROW()-1),
         INDEX(AB:AB, ROW()-COUNTIF($F$6:INDEX($F:$F, ROW()-1), $F348)) : INDEX(AB:AB, ROW()-1)
         )
         /SUM(INDEX(AB:AB, ROW()-COUNTIF($F$6:INDEX($F:$F, ROW()-1), $F348)) : INDEX(AB:AB, ROW()-1)),
           AVERAGEIFS(unit_details[Effective PSF],
          unit_details[Active Listing?],TRUE,
          unit_details[Property Name], $F349,
          unit_details[Beds], $L349,
          unit_details[Baths], $M349,
          unit_details[Partial Baths], IF(ISNUMBER($N349),$N349,""),
          unit_details[Sqft],$P349
)),"")</f>
        <v/>
      </c>
      <c r="AJ349" s="824" t="str">
        <f t="shared" si="59"/>
        <v/>
      </c>
      <c r="AK349" s="531" t="str">
        <f t="shared" si="60"/>
        <v/>
      </c>
      <c r="AL349" s="714" t="str">
        <f t="shared" si="61"/>
        <v/>
      </c>
      <c r="AM349" s="531" t="str">
        <f t="shared" si="62"/>
        <v/>
      </c>
      <c r="AN349" s="716" t="str">
        <f t="shared" si="63"/>
        <v/>
      </c>
    </row>
    <row r="350" spans="6:40" x14ac:dyDescent="0.2">
      <c r="F350" s="1" t="str">
        <f t="shared" si="56"/>
        <v/>
      </c>
      <c r="G350" s="713" t="str">
        <f t="shared" si="64"/>
        <v/>
      </c>
      <c r="H350" s="17" t="str">
        <f>IFERROR(VLOOKUP($G350,Table1[[Property]:[Exposure %]],4,0),"")</f>
        <v/>
      </c>
      <c r="I350" s="3" t="str">
        <f>IFERROR(VLOOKUP($G350,Table1[[Property]:[Exposure %]],6,0),"")</f>
        <v/>
      </c>
      <c r="J350" s="3" t="str">
        <f>IFERROR(VLOOKUP($G350,Table1[[Property]:[Exposure %]],7,0),"")</f>
        <v/>
      </c>
      <c r="R350" s="4" t="str">
        <f>IFERROR(VLOOKUP(IF(F350="Total",F349,F350),Table1[[Property]:['# Units]],7,0)*S350,"")</f>
        <v/>
      </c>
      <c r="S350" s="27" t="str">
        <f t="shared" si="57"/>
        <v/>
      </c>
      <c r="T350" s="531" t="str">
        <f>IFERROR(
 IF($F350="Total",
   SUMPRODUCT(
   INDEX(T:T, ROW()-COUNTIF($F$6:INDEX($F:$F, ROW()-1), $F349)) : INDEX(T:T, ROW()-1),
   INDEX(W:W, ROW()-COUNTIF($F$6:INDEX($F:$F, ROW()-1), $F349)) : INDEX(W:W, ROW()-1)
   )
   /SUM(INDEX(W:W, ROW()-COUNTIF($F$6:INDEX($F:$F, ROW()-1), $F349)) : INDEX(W:W, ROW()-1)),
   AVERAGEIFS(
     INDEX((unit_details[Asking Rent],unit_details[Asking PSF]),0,1,IF($U$3="Chunk Rent",1,2)),
     unit_details[Leased Date],"&gt;="&amp;($AM$2-T$5),
     unit_details[Leased Date],"&lt;"&amp;$AM$2,
     unit_details[Beds],$L350,
     unit_details[Baths],$M350,
     unit_details[Partial Baths],IF(ISNUMBER($N350),$N350,""),
     unit_details[Sqft],$P350,
     unit_details[Property Name],$F350)
 ),"")</f>
        <v/>
      </c>
      <c r="U350" s="552" t="str">
        <f>IFERROR(
 IF($F350="Total",
   SUMPRODUCT(
   INDEX(U:U, ROW()-COUNTIF($F$6:INDEX($F:$F, ROW()-1), $F349)) : INDEX(U:U, ROW()-1),
   INDEX(W:W, ROW()-COUNTIF($F$6:INDEX($F:$F, ROW()-1), $F349)) : INDEX(W:W, ROW()-1)
   )
   /SUM(INDEX(W:W, ROW()-COUNTIF($F$6:INDEX($F:$F, ROW()-1), $F349)) : INDEX(W:W, ROW()-1)),
   AVERAGEIFS(
     INDEX((unit_details[Effective Rent],unit_details[Effective PSF]),0,1,IF($U$3="Chunk Rent",1,2)),
     unit_details[Leased Date],"&gt;="&amp;($AM$2-T$5),
     unit_details[Leased Date],"&lt;"&amp;$AM$2,
     unit_details[Beds],$L350,
     unit_details[Baths],$M350,
     unit_details[Partial Baths],IF(ISNUMBER($N350),$N350,""),
     unit_details[Sqft],$P350,
     unit_details[Property Name],$F350)
 ),"")</f>
        <v/>
      </c>
      <c r="V350" s="27" t="str">
        <f t="shared" si="65"/>
        <v/>
      </c>
      <c r="W350" s="526">
        <f>IFERROR(
  IF($F350="Total",
    SUM(INDEX(W:W, ROW()-COUNTIF($F$6:INDEX($F:$F, ROW()-1), $F349)) : INDEX(W:W, ROW()-1)),
    COUNTIFS(
      unit_details[Leased Date], "&gt;="&amp;($AM$2-T$5),
      unit_details[Leased Date], "&lt;"&amp;$AM$2,
      unit_details[Beds], $L350,
      unit_details[Baths], $M350,
      unit_details[Partial Baths], IF(ISNUMBER($N350), $N350, ""),
      unit_details[Sqft],$P350,
      unit_details[Property Name], $F350
    )
  ),
"")</f>
        <v>0</v>
      </c>
      <c r="X350" s="531" t="str">
        <f>IFERROR(
 IF($F350="Total",
   SUMPRODUCT(
   INDEX(X:X, ROW()-COUNTIF($F$6:INDEX($F:$F, ROW()-1), $F349)) : INDEX(X:X, ROW()-1),
   INDEX(AA:AA, ROW()-COUNTIF($F$6:INDEX($F:$F, ROW()-1), $F349)) : INDEX(AA:AA, ROW()-1)
   )
   /SUM(INDEX(AA:AA, ROW()-COUNTIF($F$6:INDEX($F:$F, ROW()-1), $F349)) : INDEX(AA:AA, ROW()-1)),
   AVERAGEIFS(
     INDEX((unit_details[Asking Rent],unit_details[Asking PSF]),0,1,IF($U$3="Chunk Rent",1,2)),
     unit_details[Leased Date],"&gt;="&amp;($AM$2-X$5),
     unit_details[Leased Date],"&lt;"&amp;$AM$2,
     unit_details[Beds],$L350,
     unit_details[Baths],$M350,
     unit_details[Partial Baths],IF(ISNUMBER($N350),$N350,""),
     unit_details[Sqft],$P350,
     unit_details[Property Name],$F350)
 ),"")</f>
        <v/>
      </c>
      <c r="Y350" s="552" t="str">
        <f>IFERROR(
 IF($F350="Total",
   SUMPRODUCT(
   INDEX(Y:Y, ROW()-COUNTIF($F$6:INDEX($F:$F, ROW()-1), $F349)) : INDEX(Y:Y, ROW()-1),
   INDEX(AA:AA, ROW()-COUNTIF($F$6:INDEX($F:$F, ROW()-1), $F349)) : INDEX(AA:AA, ROW()-1)
   )
   /SUM(INDEX(AA:AA, ROW()-COUNTIF($F$6:INDEX($F:$F, ROW()-1), $F349)) : INDEX(AA:AA, ROW()-1)),
   AVERAGEIFS(
     INDEX((unit_details[Effective Rent],unit_details[Effective PSF]),0,1,IF($U$3="Chunk Rent",1,2)),
     unit_details[Leased Date],"&gt;="&amp;($AM$2-X$5),
     unit_details[Leased Date],"&lt;"&amp;$AM$2,
     unit_details[Beds],$L350,
     unit_details[Baths],$M350,
     unit_details[Partial Baths],IF(ISNUMBER($N350),$N350,""),
     unit_details[Sqft],$P350,
     unit_details[Property Name],$F350)
 ),"")</f>
        <v/>
      </c>
      <c r="Z350" s="27" t="str">
        <f t="shared" si="66"/>
        <v/>
      </c>
      <c r="AA350" s="526">
        <f>IFERROR(
  IF($F350="Total",
    SUM(INDEX(AA:AA, ROW()-COUNTIF($F$6:INDEX($F:$F, ROW()-1), $F349)) : INDEX(AA:AA, ROW()-1)),
    COUNTIFS(
      unit_details[Leased Date], "&gt;="&amp;($AM$2-X$5),
      unit_details[Leased Date], "&lt;"&amp;$AM$2,
      unit_details[Beds], $L350,
      unit_details[Baths], $M350,
      unit_details[Partial Baths], IF(ISNUMBER($N350), $N350, ""),
      unit_details[Sqft],$P350,
      unit_details[Property Name], $F350
    )
  ),
"")</f>
        <v>0</v>
      </c>
      <c r="AB350" s="290">
        <f>IF($F350="Total",
SUM(INDEX(AB:AB, ROW()-COUNTIF($F$6:INDEX($F:$F, ROW()-1), $F349)) : INDEX(AB:AB, ROW()-1)),
COUNTIFS(unit_details[Active Listing?],TRUE,
          unit_details[Property Name], $F350,
          unit_details[Beds], $L350,
          unit_details[Baths], $M350,
          unit_details[Partial Baths],IF(ISNUMBER($N350),$N350,""),
          unit_details[Sqft],$P350))</f>
        <v>0</v>
      </c>
      <c r="AC350" s="27" t="str">
        <f t="shared" si="58"/>
        <v/>
      </c>
      <c r="AD350" s="293" t="str">
        <f>IFERROR(IF(AE350="","",IF($F350="Total",
SUMPRODUCT(
   INDEX(AD:AD, ROW()-COUNTIF($F$6:INDEX($F:$F, ROW()-1), $F349)) : INDEX(AD:AD, ROW()-1),
   INDEX(AB:AB, ROW()-COUNTIF($F$6:INDEX($F:$F, ROW()-1), $F349)) : INDEX(AB:AB, ROW()-1)
   )
   /SUM(INDEX(AB:AB, ROW()-COUNTIF($F$6:INDEX($F:$F, ROW()-1), $F349)) : INDEX(AB:AB, ROW()-1)),
          _xlfn.MINIFS(unit_details[Asking Rent],
          unit_details[Active Listing?],TRUE,
          unit_details[Property Name], $F350,
          unit_details[Beds], $L350,
          unit_details[Baths], $M350,
          unit_details[Partial Baths], IF(ISNUMBER($N350),$N350,""),
          unit_details[Sqft],$P350
))),"")</f>
        <v/>
      </c>
      <c r="AE350" s="5" t="str">
        <f>IFERROR(IF($F350="Total",
          SUMPRODUCT(
   INDEX(AE:AE, ROW()-COUNTIF($F$6:INDEX($F:$F, ROW()-1), $F349)) : INDEX(AE:AE, ROW()-1),
   INDEX(AB:AB, ROW()-COUNTIF($F$6:INDEX($F:$F, ROW()-1), $F349)) : INDEX(AB:AB, ROW()-1)
   )
   /SUM(INDEX(AB:AB, ROW()-COUNTIF($F$6:INDEX($F:$F, ROW()-1), $F349)) : INDEX(AB:AB, ROW()-1)),
          AVERAGEIFS(unit_details[Asking Rent],
          unit_details[Active Listing?],TRUE,
          unit_details[Property Name], $F350,
          unit_details[Beds], $L350,
          unit_details[Baths], $M350,
          unit_details[Partial Baths], IF(ISNUMBER($N350),$N350,""),
          unit_details[Sqft],$P350
)),"")</f>
        <v/>
      </c>
      <c r="AF350" s="5" t="str">
        <f>IFERROR(IF(AE350="","",IF($F350="Total",
SUMPRODUCT(
   INDEX(AF:AF, ROW()-COUNTIF($F$6:INDEX($F:$F, ROW()-1), $F349)) : INDEX(AF:AF, ROW()-1),
   INDEX(AB:AB, ROW()-COUNTIF($F$6:INDEX($F:$F, ROW()-1), $F349)) : INDEX(AB:AB, ROW()-1)
   )
   /SUM(INDEX(AB:AB, ROW()-COUNTIF($F$6:INDEX($F:$F, ROW()-1), $F349)) : INDEX(AB:AB, ROW()-1)),
           _xlfn.MAXIFS(unit_details[Asking Rent],
          unit_details[Active Listing?],TRUE,
          unit_details[Property Name], $F350,
          unit_details[Beds], $L350,
          unit_details[Baths], $M350,
          unit_details[Partial Baths], IF(ISNUMBER($N350),$N350,""),
          unit_details[Sqft],$P350
))),"")</f>
        <v/>
      </c>
      <c r="AG350" s="6" t="str">
        <f>IFERROR(IF($F350="Total",
         SUMPRODUCT(
         INDEX(AG:AG, ROW()-COUNTIF($F$6:INDEX($F:$F, ROW()-1), $F349)) : INDEX(AG:AG, ROW()-1),
         INDEX(AB:AB, ROW()-COUNTIF($F$6:INDEX($F:$F, ROW()-1), $F349)) : INDEX(AB:AB, ROW()-1)
         )
         /SUM(INDEX(AB:AB, ROW()-COUNTIF($F$6:INDEX($F:$F, ROW()-1), $F349)) : INDEX(AB:AB, ROW()-1)),
          AVERAGEIFS(unit_details[Asking PSF],
          unit_details[Active Listing?],TRUE,
          unit_details[Property Name], $F350,
          unit_details[Beds], $L350,
          unit_details[Baths], $M350,
          unit_details[Partial Baths], IF(ISNUMBER($N350),$N350,""),
          unit_details[Sqft],$P350
)),"")</f>
        <v/>
      </c>
      <c r="AH350" s="293" t="str">
        <f>IFERROR(IF($F350="Total",
         SUMPRODUCT(
         INDEX(AH:AH, ROW()-COUNTIF($F$6:INDEX($F:$F, ROW()-1), $F349)) : INDEX(AH:AH, ROW()-1),
         INDEX(AB:AB, ROW()-COUNTIF($F$6:INDEX($F:$F, ROW()-1), $F349)) : INDEX(AB:AB, ROW()-1)
         )
         /SUM(INDEX(AB:AB, ROW()-COUNTIF($F$6:INDEX($F:$F, ROW()-1), $F349)) : INDEX(AB:AB, ROW()-1)),
          AVERAGEIFS(unit_details[Effective Rent],
          unit_details[Active Listing?],TRUE,
          unit_details[Property Name], $F350,
          unit_details[Beds], $L350,
          unit_details[Baths], $M350,
          unit_details[Partial Baths], IF(ISNUMBER($N350),$N350,""),
          unit_details[Sqft],$P350
)),"")</f>
        <v/>
      </c>
      <c r="AI350" s="6" t="str">
        <f>IFERROR(IF($F350="Total",
         SUMPRODUCT(
         INDEX(AI:AI, ROW()-COUNTIF($F$6:INDEX($F:$F, ROW()-1), $F349)) : INDEX(AI:AI, ROW()-1),
         INDEX(AB:AB, ROW()-COUNTIF($F$6:INDEX($F:$F, ROW()-1), $F349)) : INDEX(AB:AB, ROW()-1)
         )
         /SUM(INDEX(AB:AB, ROW()-COUNTIF($F$6:INDEX($F:$F, ROW()-1), $F349)) : INDEX(AB:AB, ROW()-1)),
           AVERAGEIFS(unit_details[Effective PSF],
          unit_details[Active Listing?],TRUE,
          unit_details[Property Name], $F350,
          unit_details[Beds], $L350,
          unit_details[Baths], $M350,
          unit_details[Partial Baths], IF(ISNUMBER($N350),$N350,""),
          unit_details[Sqft],$P350
)),"")</f>
        <v/>
      </c>
      <c r="AJ350" s="824" t="str">
        <f t="shared" si="59"/>
        <v/>
      </c>
      <c r="AK350" s="531" t="str">
        <f t="shared" si="60"/>
        <v/>
      </c>
      <c r="AL350" s="714" t="str">
        <f t="shared" si="61"/>
        <v/>
      </c>
      <c r="AM350" s="531" t="str">
        <f t="shared" si="62"/>
        <v/>
      </c>
      <c r="AN350" s="716" t="str">
        <f t="shared" si="63"/>
        <v/>
      </c>
    </row>
    <row r="351" spans="6:40" x14ac:dyDescent="0.2">
      <c r="F351" s="1" t="str">
        <f t="shared" si="56"/>
        <v/>
      </c>
      <c r="G351" s="713" t="str">
        <f t="shared" si="64"/>
        <v/>
      </c>
      <c r="H351" s="17" t="str">
        <f>IFERROR(VLOOKUP($G351,Table1[[Property]:[Exposure %]],4,0),"")</f>
        <v/>
      </c>
      <c r="I351" s="3" t="str">
        <f>IFERROR(VLOOKUP($G351,Table1[[Property]:[Exposure %]],6,0),"")</f>
        <v/>
      </c>
      <c r="J351" s="3" t="str">
        <f>IFERROR(VLOOKUP($G351,Table1[[Property]:[Exposure %]],7,0),"")</f>
        <v/>
      </c>
      <c r="R351" s="4" t="str">
        <f>IFERROR(VLOOKUP(IF(F351="Total",F350,F351),Table1[[Property]:['# Units]],7,0)*S351,"")</f>
        <v/>
      </c>
      <c r="S351" s="27" t="str">
        <f t="shared" si="57"/>
        <v/>
      </c>
      <c r="T351" s="531" t="str">
        <f>IFERROR(
 IF($F351="Total",
   SUMPRODUCT(
   INDEX(T:T, ROW()-COUNTIF($F$6:INDEX($F:$F, ROW()-1), $F350)) : INDEX(T:T, ROW()-1),
   INDEX(W:W, ROW()-COUNTIF($F$6:INDEX($F:$F, ROW()-1), $F350)) : INDEX(W:W, ROW()-1)
   )
   /SUM(INDEX(W:W, ROW()-COUNTIF($F$6:INDEX($F:$F, ROW()-1), $F350)) : INDEX(W:W, ROW()-1)),
   AVERAGEIFS(
     INDEX((unit_details[Asking Rent],unit_details[Asking PSF]),0,1,IF($U$3="Chunk Rent",1,2)),
     unit_details[Leased Date],"&gt;="&amp;($AM$2-T$5),
     unit_details[Leased Date],"&lt;"&amp;$AM$2,
     unit_details[Beds],$L351,
     unit_details[Baths],$M351,
     unit_details[Partial Baths],IF(ISNUMBER($N351),$N351,""),
     unit_details[Sqft],$P351,
     unit_details[Property Name],$F351)
 ),"")</f>
        <v/>
      </c>
      <c r="U351" s="552" t="str">
        <f>IFERROR(
 IF($F351="Total",
   SUMPRODUCT(
   INDEX(U:U, ROW()-COUNTIF($F$6:INDEX($F:$F, ROW()-1), $F350)) : INDEX(U:U, ROW()-1),
   INDEX(W:W, ROW()-COUNTIF($F$6:INDEX($F:$F, ROW()-1), $F350)) : INDEX(W:W, ROW()-1)
   )
   /SUM(INDEX(W:W, ROW()-COUNTIF($F$6:INDEX($F:$F, ROW()-1), $F350)) : INDEX(W:W, ROW()-1)),
   AVERAGEIFS(
     INDEX((unit_details[Effective Rent],unit_details[Effective PSF]),0,1,IF($U$3="Chunk Rent",1,2)),
     unit_details[Leased Date],"&gt;="&amp;($AM$2-T$5),
     unit_details[Leased Date],"&lt;"&amp;$AM$2,
     unit_details[Beds],$L351,
     unit_details[Baths],$M351,
     unit_details[Partial Baths],IF(ISNUMBER($N351),$N351,""),
     unit_details[Sqft],$P351,
     unit_details[Property Name],$F351)
 ),"")</f>
        <v/>
      </c>
      <c r="V351" s="27" t="str">
        <f t="shared" si="65"/>
        <v/>
      </c>
      <c r="W351" s="526">
        <f>IFERROR(
  IF($F351="Total",
    SUM(INDEX(W:W, ROW()-COUNTIF($F$6:INDEX($F:$F, ROW()-1), $F350)) : INDEX(W:W, ROW()-1)),
    COUNTIFS(
      unit_details[Leased Date], "&gt;="&amp;($AM$2-T$5),
      unit_details[Leased Date], "&lt;"&amp;$AM$2,
      unit_details[Beds], $L351,
      unit_details[Baths], $M351,
      unit_details[Partial Baths], IF(ISNUMBER($N351), $N351, ""),
      unit_details[Sqft],$P351,
      unit_details[Property Name], $F351
    )
  ),
"")</f>
        <v>0</v>
      </c>
      <c r="X351" s="531" t="str">
        <f>IFERROR(
 IF($F351="Total",
   SUMPRODUCT(
   INDEX(X:X, ROW()-COUNTIF($F$6:INDEX($F:$F, ROW()-1), $F350)) : INDEX(X:X, ROW()-1),
   INDEX(AA:AA, ROW()-COUNTIF($F$6:INDEX($F:$F, ROW()-1), $F350)) : INDEX(AA:AA, ROW()-1)
   )
   /SUM(INDEX(AA:AA, ROW()-COUNTIF($F$6:INDEX($F:$F, ROW()-1), $F350)) : INDEX(AA:AA, ROW()-1)),
   AVERAGEIFS(
     INDEX((unit_details[Asking Rent],unit_details[Asking PSF]),0,1,IF($U$3="Chunk Rent",1,2)),
     unit_details[Leased Date],"&gt;="&amp;($AM$2-X$5),
     unit_details[Leased Date],"&lt;"&amp;$AM$2,
     unit_details[Beds],$L351,
     unit_details[Baths],$M351,
     unit_details[Partial Baths],IF(ISNUMBER($N351),$N351,""),
     unit_details[Sqft],$P351,
     unit_details[Property Name],$F351)
 ),"")</f>
        <v/>
      </c>
      <c r="Y351" s="552" t="str">
        <f>IFERROR(
 IF($F351="Total",
   SUMPRODUCT(
   INDEX(Y:Y, ROW()-COUNTIF($F$6:INDEX($F:$F, ROW()-1), $F350)) : INDEX(Y:Y, ROW()-1),
   INDEX(AA:AA, ROW()-COUNTIF($F$6:INDEX($F:$F, ROW()-1), $F350)) : INDEX(AA:AA, ROW()-1)
   )
   /SUM(INDEX(AA:AA, ROW()-COUNTIF($F$6:INDEX($F:$F, ROW()-1), $F350)) : INDEX(AA:AA, ROW()-1)),
   AVERAGEIFS(
     INDEX((unit_details[Effective Rent],unit_details[Effective PSF]),0,1,IF($U$3="Chunk Rent",1,2)),
     unit_details[Leased Date],"&gt;="&amp;($AM$2-X$5),
     unit_details[Leased Date],"&lt;"&amp;$AM$2,
     unit_details[Beds],$L351,
     unit_details[Baths],$M351,
     unit_details[Partial Baths],IF(ISNUMBER($N351),$N351,""),
     unit_details[Sqft],$P351,
     unit_details[Property Name],$F351)
 ),"")</f>
        <v/>
      </c>
      <c r="Z351" s="27" t="str">
        <f t="shared" si="66"/>
        <v/>
      </c>
      <c r="AA351" s="526">
        <f>IFERROR(
  IF($F351="Total",
    SUM(INDEX(AA:AA, ROW()-COUNTIF($F$6:INDEX($F:$F, ROW()-1), $F350)) : INDEX(AA:AA, ROW()-1)),
    COUNTIFS(
      unit_details[Leased Date], "&gt;="&amp;($AM$2-X$5),
      unit_details[Leased Date], "&lt;"&amp;$AM$2,
      unit_details[Beds], $L351,
      unit_details[Baths], $M351,
      unit_details[Partial Baths], IF(ISNUMBER($N351), $N351, ""),
      unit_details[Sqft],$P351,
      unit_details[Property Name], $F351
    )
  ),
"")</f>
        <v>0</v>
      </c>
      <c r="AB351" s="290">
        <f>IF($F351="Total",
SUM(INDEX(AB:AB, ROW()-COUNTIF($F$6:INDEX($F:$F, ROW()-1), $F350)) : INDEX(AB:AB, ROW()-1)),
COUNTIFS(unit_details[Active Listing?],TRUE,
          unit_details[Property Name], $F351,
          unit_details[Beds], $L351,
          unit_details[Baths], $M351,
          unit_details[Partial Baths],IF(ISNUMBER($N351),$N351,""),
          unit_details[Sqft],$P351))</f>
        <v>0</v>
      </c>
      <c r="AC351" s="27" t="str">
        <f t="shared" si="58"/>
        <v/>
      </c>
      <c r="AD351" s="293" t="str">
        <f>IFERROR(IF(AE351="","",IF($F351="Total",
SUMPRODUCT(
   INDEX(AD:AD, ROW()-COUNTIF($F$6:INDEX($F:$F, ROW()-1), $F350)) : INDEX(AD:AD, ROW()-1),
   INDEX(AB:AB, ROW()-COUNTIF($F$6:INDEX($F:$F, ROW()-1), $F350)) : INDEX(AB:AB, ROW()-1)
   )
   /SUM(INDEX(AB:AB, ROW()-COUNTIF($F$6:INDEX($F:$F, ROW()-1), $F350)) : INDEX(AB:AB, ROW()-1)),
          _xlfn.MINIFS(unit_details[Asking Rent],
          unit_details[Active Listing?],TRUE,
          unit_details[Property Name], $F351,
          unit_details[Beds], $L351,
          unit_details[Baths], $M351,
          unit_details[Partial Baths], IF(ISNUMBER($N351),$N351,""),
          unit_details[Sqft],$P351
))),"")</f>
        <v/>
      </c>
      <c r="AE351" s="5" t="str">
        <f>IFERROR(IF($F351="Total",
          SUMPRODUCT(
   INDEX(AE:AE, ROW()-COUNTIF($F$6:INDEX($F:$F, ROW()-1), $F350)) : INDEX(AE:AE, ROW()-1),
   INDEX(AB:AB, ROW()-COUNTIF($F$6:INDEX($F:$F, ROW()-1), $F350)) : INDEX(AB:AB, ROW()-1)
   )
   /SUM(INDEX(AB:AB, ROW()-COUNTIF($F$6:INDEX($F:$F, ROW()-1), $F350)) : INDEX(AB:AB, ROW()-1)),
          AVERAGEIFS(unit_details[Asking Rent],
          unit_details[Active Listing?],TRUE,
          unit_details[Property Name], $F351,
          unit_details[Beds], $L351,
          unit_details[Baths], $M351,
          unit_details[Partial Baths], IF(ISNUMBER($N351),$N351,""),
          unit_details[Sqft],$P351
)),"")</f>
        <v/>
      </c>
      <c r="AF351" s="5" t="str">
        <f>IFERROR(IF(AE351="","",IF($F351="Total",
SUMPRODUCT(
   INDEX(AF:AF, ROW()-COUNTIF($F$6:INDEX($F:$F, ROW()-1), $F350)) : INDEX(AF:AF, ROW()-1),
   INDEX(AB:AB, ROW()-COUNTIF($F$6:INDEX($F:$F, ROW()-1), $F350)) : INDEX(AB:AB, ROW()-1)
   )
   /SUM(INDEX(AB:AB, ROW()-COUNTIF($F$6:INDEX($F:$F, ROW()-1), $F350)) : INDEX(AB:AB, ROW()-1)),
           _xlfn.MAXIFS(unit_details[Asking Rent],
          unit_details[Active Listing?],TRUE,
          unit_details[Property Name], $F351,
          unit_details[Beds], $L351,
          unit_details[Baths], $M351,
          unit_details[Partial Baths], IF(ISNUMBER($N351),$N351,""),
          unit_details[Sqft],$P351
))),"")</f>
        <v/>
      </c>
      <c r="AG351" s="6" t="str">
        <f>IFERROR(IF($F351="Total",
         SUMPRODUCT(
         INDEX(AG:AG, ROW()-COUNTIF($F$6:INDEX($F:$F, ROW()-1), $F350)) : INDEX(AG:AG, ROW()-1),
         INDEX(AB:AB, ROW()-COUNTIF($F$6:INDEX($F:$F, ROW()-1), $F350)) : INDEX(AB:AB, ROW()-1)
         )
         /SUM(INDEX(AB:AB, ROW()-COUNTIF($F$6:INDEX($F:$F, ROW()-1), $F350)) : INDEX(AB:AB, ROW()-1)),
          AVERAGEIFS(unit_details[Asking PSF],
          unit_details[Active Listing?],TRUE,
          unit_details[Property Name], $F351,
          unit_details[Beds], $L351,
          unit_details[Baths], $M351,
          unit_details[Partial Baths], IF(ISNUMBER($N351),$N351,""),
          unit_details[Sqft],$P351
)),"")</f>
        <v/>
      </c>
      <c r="AH351" s="293" t="str">
        <f>IFERROR(IF($F351="Total",
         SUMPRODUCT(
         INDEX(AH:AH, ROW()-COUNTIF($F$6:INDEX($F:$F, ROW()-1), $F350)) : INDEX(AH:AH, ROW()-1),
         INDEX(AB:AB, ROW()-COUNTIF($F$6:INDEX($F:$F, ROW()-1), $F350)) : INDEX(AB:AB, ROW()-1)
         )
         /SUM(INDEX(AB:AB, ROW()-COUNTIF($F$6:INDEX($F:$F, ROW()-1), $F350)) : INDEX(AB:AB, ROW()-1)),
          AVERAGEIFS(unit_details[Effective Rent],
          unit_details[Active Listing?],TRUE,
          unit_details[Property Name], $F351,
          unit_details[Beds], $L351,
          unit_details[Baths], $M351,
          unit_details[Partial Baths], IF(ISNUMBER($N351),$N351,""),
          unit_details[Sqft],$P351
)),"")</f>
        <v/>
      </c>
      <c r="AI351" s="6" t="str">
        <f>IFERROR(IF($F351="Total",
         SUMPRODUCT(
         INDEX(AI:AI, ROW()-COUNTIF($F$6:INDEX($F:$F, ROW()-1), $F350)) : INDEX(AI:AI, ROW()-1),
         INDEX(AB:AB, ROW()-COUNTIF($F$6:INDEX($F:$F, ROW()-1), $F350)) : INDEX(AB:AB, ROW()-1)
         )
         /SUM(INDEX(AB:AB, ROW()-COUNTIF($F$6:INDEX($F:$F, ROW()-1), $F350)) : INDEX(AB:AB, ROW()-1)),
           AVERAGEIFS(unit_details[Effective PSF],
          unit_details[Active Listing?],TRUE,
          unit_details[Property Name], $F351,
          unit_details[Beds], $L351,
          unit_details[Baths], $M351,
          unit_details[Partial Baths], IF(ISNUMBER($N351),$N351,""),
          unit_details[Sqft],$P351
)),"")</f>
        <v/>
      </c>
      <c r="AJ351" s="824" t="str">
        <f t="shared" si="59"/>
        <v/>
      </c>
      <c r="AK351" s="531" t="str">
        <f t="shared" si="60"/>
        <v/>
      </c>
      <c r="AL351" s="714" t="str">
        <f t="shared" si="61"/>
        <v/>
      </c>
      <c r="AM351" s="531" t="str">
        <f t="shared" si="62"/>
        <v/>
      </c>
      <c r="AN351" s="716" t="str">
        <f t="shared" si="63"/>
        <v/>
      </c>
    </row>
    <row r="352" spans="6:40" x14ac:dyDescent="0.2">
      <c r="F352" s="1" t="str">
        <f t="shared" si="56"/>
        <v/>
      </c>
      <c r="G352" s="713" t="str">
        <f t="shared" si="64"/>
        <v/>
      </c>
      <c r="H352" s="17" t="str">
        <f>IFERROR(VLOOKUP($G352,Table1[[Property]:[Exposure %]],4,0),"")</f>
        <v/>
      </c>
      <c r="I352" s="3" t="str">
        <f>IFERROR(VLOOKUP($G352,Table1[[Property]:[Exposure %]],6,0),"")</f>
        <v/>
      </c>
      <c r="J352" s="3" t="str">
        <f>IFERROR(VLOOKUP($G352,Table1[[Property]:[Exposure %]],7,0),"")</f>
        <v/>
      </c>
      <c r="R352" s="4" t="str">
        <f>IFERROR(VLOOKUP(IF(F352="Total",F351,F352),Table1[[Property]:['# Units]],7,0)*S352,"")</f>
        <v/>
      </c>
      <c r="S352" s="27" t="str">
        <f t="shared" si="57"/>
        <v/>
      </c>
      <c r="T352" s="531" t="str">
        <f>IFERROR(
 IF($F352="Total",
   SUMPRODUCT(
   INDEX(T:T, ROW()-COUNTIF($F$6:INDEX($F:$F, ROW()-1), $F351)) : INDEX(T:T, ROW()-1),
   INDEX(W:W, ROW()-COUNTIF($F$6:INDEX($F:$F, ROW()-1), $F351)) : INDEX(W:W, ROW()-1)
   )
   /SUM(INDEX(W:W, ROW()-COUNTIF($F$6:INDEX($F:$F, ROW()-1), $F351)) : INDEX(W:W, ROW()-1)),
   AVERAGEIFS(
     INDEX((unit_details[Asking Rent],unit_details[Asking PSF]),0,1,IF($U$3="Chunk Rent",1,2)),
     unit_details[Leased Date],"&gt;="&amp;($AM$2-T$5),
     unit_details[Leased Date],"&lt;"&amp;$AM$2,
     unit_details[Beds],$L352,
     unit_details[Baths],$M352,
     unit_details[Partial Baths],IF(ISNUMBER($N352),$N352,""),
     unit_details[Sqft],$P352,
     unit_details[Property Name],$F352)
 ),"")</f>
        <v/>
      </c>
      <c r="U352" s="552" t="str">
        <f>IFERROR(
 IF($F352="Total",
   SUMPRODUCT(
   INDEX(U:U, ROW()-COUNTIF($F$6:INDEX($F:$F, ROW()-1), $F351)) : INDEX(U:U, ROW()-1),
   INDEX(W:W, ROW()-COUNTIF($F$6:INDEX($F:$F, ROW()-1), $F351)) : INDEX(W:W, ROW()-1)
   )
   /SUM(INDEX(W:W, ROW()-COUNTIF($F$6:INDEX($F:$F, ROW()-1), $F351)) : INDEX(W:W, ROW()-1)),
   AVERAGEIFS(
     INDEX((unit_details[Effective Rent],unit_details[Effective PSF]),0,1,IF($U$3="Chunk Rent",1,2)),
     unit_details[Leased Date],"&gt;="&amp;($AM$2-T$5),
     unit_details[Leased Date],"&lt;"&amp;$AM$2,
     unit_details[Beds],$L352,
     unit_details[Baths],$M352,
     unit_details[Partial Baths],IF(ISNUMBER($N352),$N352,""),
     unit_details[Sqft],$P352,
     unit_details[Property Name],$F352)
 ),"")</f>
        <v/>
      </c>
      <c r="V352" s="27" t="str">
        <f t="shared" si="65"/>
        <v/>
      </c>
      <c r="W352" s="526">
        <f>IFERROR(
  IF($F352="Total",
    SUM(INDEX(W:W, ROW()-COUNTIF($F$6:INDEX($F:$F, ROW()-1), $F351)) : INDEX(W:W, ROW()-1)),
    COUNTIFS(
      unit_details[Leased Date], "&gt;="&amp;($AM$2-T$5),
      unit_details[Leased Date], "&lt;"&amp;$AM$2,
      unit_details[Beds], $L352,
      unit_details[Baths], $M352,
      unit_details[Partial Baths], IF(ISNUMBER($N352), $N352, ""),
      unit_details[Sqft],$P352,
      unit_details[Property Name], $F352
    )
  ),
"")</f>
        <v>0</v>
      </c>
      <c r="X352" s="531" t="str">
        <f>IFERROR(
 IF($F352="Total",
   SUMPRODUCT(
   INDEX(X:X, ROW()-COUNTIF($F$6:INDEX($F:$F, ROW()-1), $F351)) : INDEX(X:X, ROW()-1),
   INDEX(AA:AA, ROW()-COUNTIF($F$6:INDEX($F:$F, ROW()-1), $F351)) : INDEX(AA:AA, ROW()-1)
   )
   /SUM(INDEX(AA:AA, ROW()-COUNTIF($F$6:INDEX($F:$F, ROW()-1), $F351)) : INDEX(AA:AA, ROW()-1)),
   AVERAGEIFS(
     INDEX((unit_details[Asking Rent],unit_details[Asking PSF]),0,1,IF($U$3="Chunk Rent",1,2)),
     unit_details[Leased Date],"&gt;="&amp;($AM$2-X$5),
     unit_details[Leased Date],"&lt;"&amp;$AM$2,
     unit_details[Beds],$L352,
     unit_details[Baths],$M352,
     unit_details[Partial Baths],IF(ISNUMBER($N352),$N352,""),
     unit_details[Sqft],$P352,
     unit_details[Property Name],$F352)
 ),"")</f>
        <v/>
      </c>
      <c r="Y352" s="552" t="str">
        <f>IFERROR(
 IF($F352="Total",
   SUMPRODUCT(
   INDEX(Y:Y, ROW()-COUNTIF($F$6:INDEX($F:$F, ROW()-1), $F351)) : INDEX(Y:Y, ROW()-1),
   INDEX(AA:AA, ROW()-COUNTIF($F$6:INDEX($F:$F, ROW()-1), $F351)) : INDEX(AA:AA, ROW()-1)
   )
   /SUM(INDEX(AA:AA, ROW()-COUNTIF($F$6:INDEX($F:$F, ROW()-1), $F351)) : INDEX(AA:AA, ROW()-1)),
   AVERAGEIFS(
     INDEX((unit_details[Effective Rent],unit_details[Effective PSF]),0,1,IF($U$3="Chunk Rent",1,2)),
     unit_details[Leased Date],"&gt;="&amp;($AM$2-X$5),
     unit_details[Leased Date],"&lt;"&amp;$AM$2,
     unit_details[Beds],$L352,
     unit_details[Baths],$M352,
     unit_details[Partial Baths],IF(ISNUMBER($N352),$N352,""),
     unit_details[Sqft],$P352,
     unit_details[Property Name],$F352)
 ),"")</f>
        <v/>
      </c>
      <c r="Z352" s="27" t="str">
        <f t="shared" si="66"/>
        <v/>
      </c>
      <c r="AA352" s="526">
        <f>IFERROR(
  IF($F352="Total",
    SUM(INDEX(AA:AA, ROW()-COUNTIF($F$6:INDEX($F:$F, ROW()-1), $F351)) : INDEX(AA:AA, ROW()-1)),
    COUNTIFS(
      unit_details[Leased Date], "&gt;="&amp;($AM$2-X$5),
      unit_details[Leased Date], "&lt;"&amp;$AM$2,
      unit_details[Beds], $L352,
      unit_details[Baths], $M352,
      unit_details[Partial Baths], IF(ISNUMBER($N352), $N352, ""),
      unit_details[Sqft],$P352,
      unit_details[Property Name], $F352
    )
  ),
"")</f>
        <v>0</v>
      </c>
      <c r="AB352" s="290">
        <f>IF($F352="Total",
SUM(INDEX(AB:AB, ROW()-COUNTIF($F$6:INDEX($F:$F, ROW()-1), $F351)) : INDEX(AB:AB, ROW()-1)),
COUNTIFS(unit_details[Active Listing?],TRUE,
          unit_details[Property Name], $F352,
          unit_details[Beds], $L352,
          unit_details[Baths], $M352,
          unit_details[Partial Baths],IF(ISNUMBER($N352),$N352,""),
          unit_details[Sqft],$P352))</f>
        <v>0</v>
      </c>
      <c r="AC352" s="27" t="str">
        <f t="shared" si="58"/>
        <v/>
      </c>
      <c r="AD352" s="293" t="str">
        <f>IFERROR(IF(AE352="","",IF($F352="Total",
SUMPRODUCT(
   INDEX(AD:AD, ROW()-COUNTIF($F$6:INDEX($F:$F, ROW()-1), $F351)) : INDEX(AD:AD, ROW()-1),
   INDEX(AB:AB, ROW()-COUNTIF($F$6:INDEX($F:$F, ROW()-1), $F351)) : INDEX(AB:AB, ROW()-1)
   )
   /SUM(INDEX(AB:AB, ROW()-COUNTIF($F$6:INDEX($F:$F, ROW()-1), $F351)) : INDEX(AB:AB, ROW()-1)),
          _xlfn.MINIFS(unit_details[Asking Rent],
          unit_details[Active Listing?],TRUE,
          unit_details[Property Name], $F352,
          unit_details[Beds], $L352,
          unit_details[Baths], $M352,
          unit_details[Partial Baths], IF(ISNUMBER($N352),$N352,""),
          unit_details[Sqft],$P352
))),"")</f>
        <v/>
      </c>
      <c r="AE352" s="5" t="str">
        <f>IFERROR(IF($F352="Total",
          SUMPRODUCT(
   INDEX(AE:AE, ROW()-COUNTIF($F$6:INDEX($F:$F, ROW()-1), $F351)) : INDEX(AE:AE, ROW()-1),
   INDEX(AB:AB, ROW()-COUNTIF($F$6:INDEX($F:$F, ROW()-1), $F351)) : INDEX(AB:AB, ROW()-1)
   )
   /SUM(INDEX(AB:AB, ROW()-COUNTIF($F$6:INDEX($F:$F, ROW()-1), $F351)) : INDEX(AB:AB, ROW()-1)),
          AVERAGEIFS(unit_details[Asking Rent],
          unit_details[Active Listing?],TRUE,
          unit_details[Property Name], $F352,
          unit_details[Beds], $L352,
          unit_details[Baths], $M352,
          unit_details[Partial Baths], IF(ISNUMBER($N352),$N352,""),
          unit_details[Sqft],$P352
)),"")</f>
        <v/>
      </c>
      <c r="AF352" s="5" t="str">
        <f>IFERROR(IF(AE352="","",IF($F352="Total",
SUMPRODUCT(
   INDEX(AF:AF, ROW()-COUNTIF($F$6:INDEX($F:$F, ROW()-1), $F351)) : INDEX(AF:AF, ROW()-1),
   INDEX(AB:AB, ROW()-COUNTIF($F$6:INDEX($F:$F, ROW()-1), $F351)) : INDEX(AB:AB, ROW()-1)
   )
   /SUM(INDEX(AB:AB, ROW()-COUNTIF($F$6:INDEX($F:$F, ROW()-1), $F351)) : INDEX(AB:AB, ROW()-1)),
           _xlfn.MAXIFS(unit_details[Asking Rent],
          unit_details[Active Listing?],TRUE,
          unit_details[Property Name], $F352,
          unit_details[Beds], $L352,
          unit_details[Baths], $M352,
          unit_details[Partial Baths], IF(ISNUMBER($N352),$N352,""),
          unit_details[Sqft],$P352
))),"")</f>
        <v/>
      </c>
      <c r="AG352" s="6" t="str">
        <f>IFERROR(IF($F352="Total",
         SUMPRODUCT(
         INDEX(AG:AG, ROW()-COUNTIF($F$6:INDEX($F:$F, ROW()-1), $F351)) : INDEX(AG:AG, ROW()-1),
         INDEX(AB:AB, ROW()-COUNTIF($F$6:INDEX($F:$F, ROW()-1), $F351)) : INDEX(AB:AB, ROW()-1)
         )
         /SUM(INDEX(AB:AB, ROW()-COUNTIF($F$6:INDEX($F:$F, ROW()-1), $F351)) : INDEX(AB:AB, ROW()-1)),
          AVERAGEIFS(unit_details[Asking PSF],
          unit_details[Active Listing?],TRUE,
          unit_details[Property Name], $F352,
          unit_details[Beds], $L352,
          unit_details[Baths], $M352,
          unit_details[Partial Baths], IF(ISNUMBER($N352),$N352,""),
          unit_details[Sqft],$P352
)),"")</f>
        <v/>
      </c>
      <c r="AH352" s="293" t="str">
        <f>IFERROR(IF($F352="Total",
         SUMPRODUCT(
         INDEX(AH:AH, ROW()-COUNTIF($F$6:INDEX($F:$F, ROW()-1), $F351)) : INDEX(AH:AH, ROW()-1),
         INDEX(AB:AB, ROW()-COUNTIF($F$6:INDEX($F:$F, ROW()-1), $F351)) : INDEX(AB:AB, ROW()-1)
         )
         /SUM(INDEX(AB:AB, ROW()-COUNTIF($F$6:INDEX($F:$F, ROW()-1), $F351)) : INDEX(AB:AB, ROW()-1)),
          AVERAGEIFS(unit_details[Effective Rent],
          unit_details[Active Listing?],TRUE,
          unit_details[Property Name], $F352,
          unit_details[Beds], $L352,
          unit_details[Baths], $M352,
          unit_details[Partial Baths], IF(ISNUMBER($N352),$N352,""),
          unit_details[Sqft],$P352
)),"")</f>
        <v/>
      </c>
      <c r="AI352" s="6" t="str">
        <f>IFERROR(IF($F352="Total",
         SUMPRODUCT(
         INDEX(AI:AI, ROW()-COUNTIF($F$6:INDEX($F:$F, ROW()-1), $F351)) : INDEX(AI:AI, ROW()-1),
         INDEX(AB:AB, ROW()-COUNTIF($F$6:INDEX($F:$F, ROW()-1), $F351)) : INDEX(AB:AB, ROW()-1)
         )
         /SUM(INDEX(AB:AB, ROW()-COUNTIF($F$6:INDEX($F:$F, ROW()-1), $F351)) : INDEX(AB:AB, ROW()-1)),
           AVERAGEIFS(unit_details[Effective PSF],
          unit_details[Active Listing?],TRUE,
          unit_details[Property Name], $F352,
          unit_details[Beds], $L352,
          unit_details[Baths], $M352,
          unit_details[Partial Baths], IF(ISNUMBER($N352),$N352,""),
          unit_details[Sqft],$P352
)),"")</f>
        <v/>
      </c>
      <c r="AJ352" s="824" t="str">
        <f t="shared" si="59"/>
        <v/>
      </c>
      <c r="AK352" s="531" t="str">
        <f t="shared" si="60"/>
        <v/>
      </c>
      <c r="AL352" s="714" t="str">
        <f t="shared" si="61"/>
        <v/>
      </c>
      <c r="AM352" s="531" t="str">
        <f t="shared" si="62"/>
        <v/>
      </c>
      <c r="AN352" s="716" t="str">
        <f t="shared" si="63"/>
        <v/>
      </c>
    </row>
    <row r="353" spans="6:40" x14ac:dyDescent="0.2">
      <c r="F353" s="1" t="str">
        <f t="shared" si="56"/>
        <v/>
      </c>
      <c r="G353" s="713" t="str">
        <f t="shared" si="64"/>
        <v/>
      </c>
      <c r="H353" s="17" t="str">
        <f>IFERROR(VLOOKUP($G353,Table1[[Property]:[Exposure %]],4,0),"")</f>
        <v/>
      </c>
      <c r="I353" s="3" t="str">
        <f>IFERROR(VLOOKUP($G353,Table1[[Property]:[Exposure %]],6,0),"")</f>
        <v/>
      </c>
      <c r="J353" s="3" t="str">
        <f>IFERROR(VLOOKUP($G353,Table1[[Property]:[Exposure %]],7,0),"")</f>
        <v/>
      </c>
      <c r="R353" s="4" t="str">
        <f>IFERROR(VLOOKUP(IF(F353="Total",F352,F353),Table1[[Property]:['# Units]],7,0)*S353,"")</f>
        <v/>
      </c>
      <c r="S353" s="27" t="str">
        <f t="shared" si="57"/>
        <v/>
      </c>
      <c r="T353" s="531" t="str">
        <f>IFERROR(
 IF($F353="Total",
   SUMPRODUCT(
   INDEX(T:T, ROW()-COUNTIF($F$6:INDEX($F:$F, ROW()-1), $F352)) : INDEX(T:T, ROW()-1),
   INDEX(W:W, ROW()-COUNTIF($F$6:INDEX($F:$F, ROW()-1), $F352)) : INDEX(W:W, ROW()-1)
   )
   /SUM(INDEX(W:W, ROW()-COUNTIF($F$6:INDEX($F:$F, ROW()-1), $F352)) : INDEX(W:W, ROW()-1)),
   AVERAGEIFS(
     INDEX((unit_details[Asking Rent],unit_details[Asking PSF]),0,1,IF($U$3="Chunk Rent",1,2)),
     unit_details[Leased Date],"&gt;="&amp;($AM$2-T$5),
     unit_details[Leased Date],"&lt;"&amp;$AM$2,
     unit_details[Beds],$L353,
     unit_details[Baths],$M353,
     unit_details[Partial Baths],IF(ISNUMBER($N353),$N353,""),
     unit_details[Sqft],$P353,
     unit_details[Property Name],$F353)
 ),"")</f>
        <v/>
      </c>
      <c r="U353" s="552" t="str">
        <f>IFERROR(
 IF($F353="Total",
   SUMPRODUCT(
   INDEX(U:U, ROW()-COUNTIF($F$6:INDEX($F:$F, ROW()-1), $F352)) : INDEX(U:U, ROW()-1),
   INDEX(W:W, ROW()-COUNTIF($F$6:INDEX($F:$F, ROW()-1), $F352)) : INDEX(W:W, ROW()-1)
   )
   /SUM(INDEX(W:W, ROW()-COUNTIF($F$6:INDEX($F:$F, ROW()-1), $F352)) : INDEX(W:W, ROW()-1)),
   AVERAGEIFS(
     INDEX((unit_details[Effective Rent],unit_details[Effective PSF]),0,1,IF($U$3="Chunk Rent",1,2)),
     unit_details[Leased Date],"&gt;="&amp;($AM$2-T$5),
     unit_details[Leased Date],"&lt;"&amp;$AM$2,
     unit_details[Beds],$L353,
     unit_details[Baths],$M353,
     unit_details[Partial Baths],IF(ISNUMBER($N353),$N353,""),
     unit_details[Sqft],$P353,
     unit_details[Property Name],$F353)
 ),"")</f>
        <v/>
      </c>
      <c r="V353" s="27" t="str">
        <f t="shared" si="65"/>
        <v/>
      </c>
      <c r="W353" s="526">
        <f>IFERROR(
  IF($F353="Total",
    SUM(INDEX(W:W, ROW()-COUNTIF($F$6:INDEX($F:$F, ROW()-1), $F352)) : INDEX(W:W, ROW()-1)),
    COUNTIFS(
      unit_details[Leased Date], "&gt;="&amp;($AM$2-T$5),
      unit_details[Leased Date], "&lt;"&amp;$AM$2,
      unit_details[Beds], $L353,
      unit_details[Baths], $M353,
      unit_details[Partial Baths], IF(ISNUMBER($N353), $N353, ""),
      unit_details[Sqft],$P353,
      unit_details[Property Name], $F353
    )
  ),
"")</f>
        <v>0</v>
      </c>
      <c r="X353" s="531" t="str">
        <f>IFERROR(
 IF($F353="Total",
   SUMPRODUCT(
   INDEX(X:X, ROW()-COUNTIF($F$6:INDEX($F:$F, ROW()-1), $F352)) : INDEX(X:X, ROW()-1),
   INDEX(AA:AA, ROW()-COUNTIF($F$6:INDEX($F:$F, ROW()-1), $F352)) : INDEX(AA:AA, ROW()-1)
   )
   /SUM(INDEX(AA:AA, ROW()-COUNTIF($F$6:INDEX($F:$F, ROW()-1), $F352)) : INDEX(AA:AA, ROW()-1)),
   AVERAGEIFS(
     INDEX((unit_details[Asking Rent],unit_details[Asking PSF]),0,1,IF($U$3="Chunk Rent",1,2)),
     unit_details[Leased Date],"&gt;="&amp;($AM$2-X$5),
     unit_details[Leased Date],"&lt;"&amp;$AM$2,
     unit_details[Beds],$L353,
     unit_details[Baths],$M353,
     unit_details[Partial Baths],IF(ISNUMBER($N353),$N353,""),
     unit_details[Sqft],$P353,
     unit_details[Property Name],$F353)
 ),"")</f>
        <v/>
      </c>
      <c r="Y353" s="552" t="str">
        <f>IFERROR(
 IF($F353="Total",
   SUMPRODUCT(
   INDEX(Y:Y, ROW()-COUNTIF($F$6:INDEX($F:$F, ROW()-1), $F352)) : INDEX(Y:Y, ROW()-1),
   INDEX(AA:AA, ROW()-COUNTIF($F$6:INDEX($F:$F, ROW()-1), $F352)) : INDEX(AA:AA, ROW()-1)
   )
   /SUM(INDEX(AA:AA, ROW()-COUNTIF($F$6:INDEX($F:$F, ROW()-1), $F352)) : INDEX(AA:AA, ROW()-1)),
   AVERAGEIFS(
     INDEX((unit_details[Effective Rent],unit_details[Effective PSF]),0,1,IF($U$3="Chunk Rent",1,2)),
     unit_details[Leased Date],"&gt;="&amp;($AM$2-X$5),
     unit_details[Leased Date],"&lt;"&amp;$AM$2,
     unit_details[Beds],$L353,
     unit_details[Baths],$M353,
     unit_details[Partial Baths],IF(ISNUMBER($N353),$N353,""),
     unit_details[Sqft],$P353,
     unit_details[Property Name],$F353)
 ),"")</f>
        <v/>
      </c>
      <c r="Z353" s="27" t="str">
        <f t="shared" si="66"/>
        <v/>
      </c>
      <c r="AA353" s="526">
        <f>IFERROR(
  IF($F353="Total",
    SUM(INDEX(AA:AA, ROW()-COUNTIF($F$6:INDEX($F:$F, ROW()-1), $F352)) : INDEX(AA:AA, ROW()-1)),
    COUNTIFS(
      unit_details[Leased Date], "&gt;="&amp;($AM$2-X$5),
      unit_details[Leased Date], "&lt;"&amp;$AM$2,
      unit_details[Beds], $L353,
      unit_details[Baths], $M353,
      unit_details[Partial Baths], IF(ISNUMBER($N353), $N353, ""),
      unit_details[Sqft],$P353,
      unit_details[Property Name], $F353
    )
  ),
"")</f>
        <v>0</v>
      </c>
      <c r="AB353" s="290">
        <f>IF($F353="Total",
SUM(INDEX(AB:AB, ROW()-COUNTIF($F$6:INDEX($F:$F, ROW()-1), $F352)) : INDEX(AB:AB, ROW()-1)),
COUNTIFS(unit_details[Active Listing?],TRUE,
          unit_details[Property Name], $F353,
          unit_details[Beds], $L353,
          unit_details[Baths], $M353,
          unit_details[Partial Baths],IF(ISNUMBER($N353),$N353,""),
          unit_details[Sqft],$P353))</f>
        <v>0</v>
      </c>
      <c r="AC353" s="27" t="str">
        <f t="shared" si="58"/>
        <v/>
      </c>
      <c r="AD353" s="293" t="str">
        <f>IFERROR(IF(AE353="","",IF($F353="Total",
SUMPRODUCT(
   INDEX(AD:AD, ROW()-COUNTIF($F$6:INDEX($F:$F, ROW()-1), $F352)) : INDEX(AD:AD, ROW()-1),
   INDEX(AB:AB, ROW()-COUNTIF($F$6:INDEX($F:$F, ROW()-1), $F352)) : INDEX(AB:AB, ROW()-1)
   )
   /SUM(INDEX(AB:AB, ROW()-COUNTIF($F$6:INDEX($F:$F, ROW()-1), $F352)) : INDEX(AB:AB, ROW()-1)),
          _xlfn.MINIFS(unit_details[Asking Rent],
          unit_details[Active Listing?],TRUE,
          unit_details[Property Name], $F353,
          unit_details[Beds], $L353,
          unit_details[Baths], $M353,
          unit_details[Partial Baths], IF(ISNUMBER($N353),$N353,""),
          unit_details[Sqft],$P353
))),"")</f>
        <v/>
      </c>
      <c r="AE353" s="5" t="str">
        <f>IFERROR(IF($F353="Total",
          SUMPRODUCT(
   INDEX(AE:AE, ROW()-COUNTIF($F$6:INDEX($F:$F, ROW()-1), $F352)) : INDEX(AE:AE, ROW()-1),
   INDEX(AB:AB, ROW()-COUNTIF($F$6:INDEX($F:$F, ROW()-1), $F352)) : INDEX(AB:AB, ROW()-1)
   )
   /SUM(INDEX(AB:AB, ROW()-COUNTIF($F$6:INDEX($F:$F, ROW()-1), $F352)) : INDEX(AB:AB, ROW()-1)),
          AVERAGEIFS(unit_details[Asking Rent],
          unit_details[Active Listing?],TRUE,
          unit_details[Property Name], $F353,
          unit_details[Beds], $L353,
          unit_details[Baths], $M353,
          unit_details[Partial Baths], IF(ISNUMBER($N353),$N353,""),
          unit_details[Sqft],$P353
)),"")</f>
        <v/>
      </c>
      <c r="AF353" s="5" t="str">
        <f>IFERROR(IF(AE353="","",IF($F353="Total",
SUMPRODUCT(
   INDEX(AF:AF, ROW()-COUNTIF($F$6:INDEX($F:$F, ROW()-1), $F352)) : INDEX(AF:AF, ROW()-1),
   INDEX(AB:AB, ROW()-COUNTIF($F$6:INDEX($F:$F, ROW()-1), $F352)) : INDEX(AB:AB, ROW()-1)
   )
   /SUM(INDEX(AB:AB, ROW()-COUNTIF($F$6:INDEX($F:$F, ROW()-1), $F352)) : INDEX(AB:AB, ROW()-1)),
           _xlfn.MAXIFS(unit_details[Asking Rent],
          unit_details[Active Listing?],TRUE,
          unit_details[Property Name], $F353,
          unit_details[Beds], $L353,
          unit_details[Baths], $M353,
          unit_details[Partial Baths], IF(ISNUMBER($N353),$N353,""),
          unit_details[Sqft],$P353
))),"")</f>
        <v/>
      </c>
      <c r="AG353" s="6" t="str">
        <f>IFERROR(IF($F353="Total",
         SUMPRODUCT(
         INDEX(AG:AG, ROW()-COUNTIF($F$6:INDEX($F:$F, ROW()-1), $F352)) : INDEX(AG:AG, ROW()-1),
         INDEX(AB:AB, ROW()-COUNTIF($F$6:INDEX($F:$F, ROW()-1), $F352)) : INDEX(AB:AB, ROW()-1)
         )
         /SUM(INDEX(AB:AB, ROW()-COUNTIF($F$6:INDEX($F:$F, ROW()-1), $F352)) : INDEX(AB:AB, ROW()-1)),
          AVERAGEIFS(unit_details[Asking PSF],
          unit_details[Active Listing?],TRUE,
          unit_details[Property Name], $F353,
          unit_details[Beds], $L353,
          unit_details[Baths], $M353,
          unit_details[Partial Baths], IF(ISNUMBER($N353),$N353,""),
          unit_details[Sqft],$P353
)),"")</f>
        <v/>
      </c>
      <c r="AH353" s="293" t="str">
        <f>IFERROR(IF($F353="Total",
         SUMPRODUCT(
         INDEX(AH:AH, ROW()-COUNTIF($F$6:INDEX($F:$F, ROW()-1), $F352)) : INDEX(AH:AH, ROW()-1),
         INDEX(AB:AB, ROW()-COUNTIF($F$6:INDEX($F:$F, ROW()-1), $F352)) : INDEX(AB:AB, ROW()-1)
         )
         /SUM(INDEX(AB:AB, ROW()-COUNTIF($F$6:INDEX($F:$F, ROW()-1), $F352)) : INDEX(AB:AB, ROW()-1)),
          AVERAGEIFS(unit_details[Effective Rent],
          unit_details[Active Listing?],TRUE,
          unit_details[Property Name], $F353,
          unit_details[Beds], $L353,
          unit_details[Baths], $M353,
          unit_details[Partial Baths], IF(ISNUMBER($N353),$N353,""),
          unit_details[Sqft],$P353
)),"")</f>
        <v/>
      </c>
      <c r="AI353" s="6" t="str">
        <f>IFERROR(IF($F353="Total",
         SUMPRODUCT(
         INDEX(AI:AI, ROW()-COUNTIF($F$6:INDEX($F:$F, ROW()-1), $F352)) : INDEX(AI:AI, ROW()-1),
         INDEX(AB:AB, ROW()-COUNTIF($F$6:INDEX($F:$F, ROW()-1), $F352)) : INDEX(AB:AB, ROW()-1)
         )
         /SUM(INDEX(AB:AB, ROW()-COUNTIF($F$6:INDEX($F:$F, ROW()-1), $F352)) : INDEX(AB:AB, ROW()-1)),
           AVERAGEIFS(unit_details[Effective PSF],
          unit_details[Active Listing?],TRUE,
          unit_details[Property Name], $F353,
          unit_details[Beds], $L353,
          unit_details[Baths], $M353,
          unit_details[Partial Baths], IF(ISNUMBER($N353),$N353,""),
          unit_details[Sqft],$P353
)),"")</f>
        <v/>
      </c>
      <c r="AJ353" s="824" t="str">
        <f t="shared" si="59"/>
        <v/>
      </c>
      <c r="AK353" s="531" t="str">
        <f t="shared" si="60"/>
        <v/>
      </c>
      <c r="AL353" s="714" t="str">
        <f t="shared" si="61"/>
        <v/>
      </c>
      <c r="AM353" s="531" t="str">
        <f t="shared" si="62"/>
        <v/>
      </c>
      <c r="AN353" s="716" t="str">
        <f t="shared" si="63"/>
        <v/>
      </c>
    </row>
    <row r="354" spans="6:40" x14ac:dyDescent="0.2">
      <c r="F354" s="1" t="str">
        <f t="shared" si="56"/>
        <v/>
      </c>
      <c r="G354" s="713" t="str">
        <f t="shared" si="64"/>
        <v/>
      </c>
      <c r="H354" s="17" t="str">
        <f>IFERROR(VLOOKUP($G354,Table1[[Property]:[Exposure %]],4,0),"")</f>
        <v/>
      </c>
      <c r="I354" s="3" t="str">
        <f>IFERROR(VLOOKUP($G354,Table1[[Property]:[Exposure %]],6,0),"")</f>
        <v/>
      </c>
      <c r="J354" s="3" t="str">
        <f>IFERROR(VLOOKUP($G354,Table1[[Property]:[Exposure %]],7,0),"")</f>
        <v/>
      </c>
      <c r="R354" s="4" t="str">
        <f>IFERROR(VLOOKUP(IF(F354="Total",F353,F354),Table1[[Property]:['# Units]],7,0)*S354,"")</f>
        <v/>
      </c>
      <c r="S354" s="27" t="str">
        <f t="shared" si="57"/>
        <v/>
      </c>
      <c r="T354" s="531" t="str">
        <f>IFERROR(
 IF($F354="Total",
   SUMPRODUCT(
   INDEX(T:T, ROW()-COUNTIF($F$6:INDEX($F:$F, ROW()-1), $F353)) : INDEX(T:T, ROW()-1),
   INDEX(W:W, ROW()-COUNTIF($F$6:INDEX($F:$F, ROW()-1), $F353)) : INDEX(W:W, ROW()-1)
   )
   /SUM(INDEX(W:W, ROW()-COUNTIF($F$6:INDEX($F:$F, ROW()-1), $F353)) : INDEX(W:W, ROW()-1)),
   AVERAGEIFS(
     INDEX((unit_details[Asking Rent],unit_details[Asking PSF]),0,1,IF($U$3="Chunk Rent",1,2)),
     unit_details[Leased Date],"&gt;="&amp;($AM$2-T$5),
     unit_details[Leased Date],"&lt;"&amp;$AM$2,
     unit_details[Beds],$L354,
     unit_details[Baths],$M354,
     unit_details[Partial Baths],IF(ISNUMBER($N354),$N354,""),
     unit_details[Sqft],$P354,
     unit_details[Property Name],$F354)
 ),"")</f>
        <v/>
      </c>
      <c r="U354" s="552" t="str">
        <f>IFERROR(
 IF($F354="Total",
   SUMPRODUCT(
   INDEX(U:U, ROW()-COUNTIF($F$6:INDEX($F:$F, ROW()-1), $F353)) : INDEX(U:U, ROW()-1),
   INDEX(W:W, ROW()-COUNTIF($F$6:INDEX($F:$F, ROW()-1), $F353)) : INDEX(W:W, ROW()-1)
   )
   /SUM(INDEX(W:W, ROW()-COUNTIF($F$6:INDEX($F:$F, ROW()-1), $F353)) : INDEX(W:W, ROW()-1)),
   AVERAGEIFS(
     INDEX((unit_details[Effective Rent],unit_details[Effective PSF]),0,1,IF($U$3="Chunk Rent",1,2)),
     unit_details[Leased Date],"&gt;="&amp;($AM$2-T$5),
     unit_details[Leased Date],"&lt;"&amp;$AM$2,
     unit_details[Beds],$L354,
     unit_details[Baths],$M354,
     unit_details[Partial Baths],IF(ISNUMBER($N354),$N354,""),
     unit_details[Sqft],$P354,
     unit_details[Property Name],$F354)
 ),"")</f>
        <v/>
      </c>
      <c r="V354" s="27" t="str">
        <f t="shared" si="65"/>
        <v/>
      </c>
      <c r="W354" s="526">
        <f>IFERROR(
  IF($F354="Total",
    SUM(INDEX(W:W, ROW()-COUNTIF($F$6:INDEX($F:$F, ROW()-1), $F353)) : INDEX(W:W, ROW()-1)),
    COUNTIFS(
      unit_details[Leased Date], "&gt;="&amp;($AM$2-T$5),
      unit_details[Leased Date], "&lt;"&amp;$AM$2,
      unit_details[Beds], $L354,
      unit_details[Baths], $M354,
      unit_details[Partial Baths], IF(ISNUMBER($N354), $N354, ""),
      unit_details[Sqft],$P354,
      unit_details[Property Name], $F354
    )
  ),
"")</f>
        <v>0</v>
      </c>
      <c r="X354" s="531" t="str">
        <f>IFERROR(
 IF($F354="Total",
   SUMPRODUCT(
   INDEX(X:X, ROW()-COUNTIF($F$6:INDEX($F:$F, ROW()-1), $F353)) : INDEX(X:X, ROW()-1),
   INDEX(AA:AA, ROW()-COUNTIF($F$6:INDEX($F:$F, ROW()-1), $F353)) : INDEX(AA:AA, ROW()-1)
   )
   /SUM(INDEX(AA:AA, ROW()-COUNTIF($F$6:INDEX($F:$F, ROW()-1), $F353)) : INDEX(AA:AA, ROW()-1)),
   AVERAGEIFS(
     INDEX((unit_details[Asking Rent],unit_details[Asking PSF]),0,1,IF($U$3="Chunk Rent",1,2)),
     unit_details[Leased Date],"&gt;="&amp;($AM$2-X$5),
     unit_details[Leased Date],"&lt;"&amp;$AM$2,
     unit_details[Beds],$L354,
     unit_details[Baths],$M354,
     unit_details[Partial Baths],IF(ISNUMBER($N354),$N354,""),
     unit_details[Sqft],$P354,
     unit_details[Property Name],$F354)
 ),"")</f>
        <v/>
      </c>
      <c r="Y354" s="552" t="str">
        <f>IFERROR(
 IF($F354="Total",
   SUMPRODUCT(
   INDEX(Y:Y, ROW()-COUNTIF($F$6:INDEX($F:$F, ROW()-1), $F353)) : INDEX(Y:Y, ROW()-1),
   INDEX(AA:AA, ROW()-COUNTIF($F$6:INDEX($F:$F, ROW()-1), $F353)) : INDEX(AA:AA, ROW()-1)
   )
   /SUM(INDEX(AA:AA, ROW()-COUNTIF($F$6:INDEX($F:$F, ROW()-1), $F353)) : INDEX(AA:AA, ROW()-1)),
   AVERAGEIFS(
     INDEX((unit_details[Effective Rent],unit_details[Effective PSF]),0,1,IF($U$3="Chunk Rent",1,2)),
     unit_details[Leased Date],"&gt;="&amp;($AM$2-X$5),
     unit_details[Leased Date],"&lt;"&amp;$AM$2,
     unit_details[Beds],$L354,
     unit_details[Baths],$M354,
     unit_details[Partial Baths],IF(ISNUMBER($N354),$N354,""),
     unit_details[Sqft],$P354,
     unit_details[Property Name],$F354)
 ),"")</f>
        <v/>
      </c>
      <c r="Z354" s="27" t="str">
        <f t="shared" si="66"/>
        <v/>
      </c>
      <c r="AA354" s="526">
        <f>IFERROR(
  IF($F354="Total",
    SUM(INDEX(AA:AA, ROW()-COUNTIF($F$6:INDEX($F:$F, ROW()-1), $F353)) : INDEX(AA:AA, ROW()-1)),
    COUNTIFS(
      unit_details[Leased Date], "&gt;="&amp;($AM$2-X$5),
      unit_details[Leased Date], "&lt;"&amp;$AM$2,
      unit_details[Beds], $L354,
      unit_details[Baths], $M354,
      unit_details[Partial Baths], IF(ISNUMBER($N354), $N354, ""),
      unit_details[Sqft],$P354,
      unit_details[Property Name], $F354
    )
  ),
"")</f>
        <v>0</v>
      </c>
      <c r="AB354" s="290">
        <f>IF($F354="Total",
SUM(INDEX(AB:AB, ROW()-COUNTIF($F$6:INDEX($F:$F, ROW()-1), $F353)) : INDEX(AB:AB, ROW()-1)),
COUNTIFS(unit_details[Active Listing?],TRUE,
          unit_details[Property Name], $F354,
          unit_details[Beds], $L354,
          unit_details[Baths], $M354,
          unit_details[Partial Baths],IF(ISNUMBER($N354),$N354,""),
          unit_details[Sqft],$P354))</f>
        <v>0</v>
      </c>
      <c r="AC354" s="27" t="str">
        <f t="shared" si="58"/>
        <v/>
      </c>
      <c r="AD354" s="293" t="str">
        <f>IFERROR(IF(AE354="","",IF($F354="Total",
SUMPRODUCT(
   INDEX(AD:AD, ROW()-COUNTIF($F$6:INDEX($F:$F, ROW()-1), $F353)) : INDEX(AD:AD, ROW()-1),
   INDEX(AB:AB, ROW()-COUNTIF($F$6:INDEX($F:$F, ROW()-1), $F353)) : INDEX(AB:AB, ROW()-1)
   )
   /SUM(INDEX(AB:AB, ROW()-COUNTIF($F$6:INDEX($F:$F, ROW()-1), $F353)) : INDEX(AB:AB, ROW()-1)),
          _xlfn.MINIFS(unit_details[Asking Rent],
          unit_details[Active Listing?],TRUE,
          unit_details[Property Name], $F354,
          unit_details[Beds], $L354,
          unit_details[Baths], $M354,
          unit_details[Partial Baths], IF(ISNUMBER($N354),$N354,""),
          unit_details[Sqft],$P354
))),"")</f>
        <v/>
      </c>
      <c r="AE354" s="5" t="str">
        <f>IFERROR(IF($F354="Total",
          SUMPRODUCT(
   INDEX(AE:AE, ROW()-COUNTIF($F$6:INDEX($F:$F, ROW()-1), $F353)) : INDEX(AE:AE, ROW()-1),
   INDEX(AB:AB, ROW()-COUNTIF($F$6:INDEX($F:$F, ROW()-1), $F353)) : INDEX(AB:AB, ROW()-1)
   )
   /SUM(INDEX(AB:AB, ROW()-COUNTIF($F$6:INDEX($F:$F, ROW()-1), $F353)) : INDEX(AB:AB, ROW()-1)),
          AVERAGEIFS(unit_details[Asking Rent],
          unit_details[Active Listing?],TRUE,
          unit_details[Property Name], $F354,
          unit_details[Beds], $L354,
          unit_details[Baths], $M354,
          unit_details[Partial Baths], IF(ISNUMBER($N354),$N354,""),
          unit_details[Sqft],$P354
)),"")</f>
        <v/>
      </c>
      <c r="AF354" s="5" t="str">
        <f>IFERROR(IF(AE354="","",IF($F354="Total",
SUMPRODUCT(
   INDEX(AF:AF, ROW()-COUNTIF($F$6:INDEX($F:$F, ROW()-1), $F353)) : INDEX(AF:AF, ROW()-1),
   INDEX(AB:AB, ROW()-COUNTIF($F$6:INDEX($F:$F, ROW()-1), $F353)) : INDEX(AB:AB, ROW()-1)
   )
   /SUM(INDEX(AB:AB, ROW()-COUNTIF($F$6:INDEX($F:$F, ROW()-1), $F353)) : INDEX(AB:AB, ROW()-1)),
           _xlfn.MAXIFS(unit_details[Asking Rent],
          unit_details[Active Listing?],TRUE,
          unit_details[Property Name], $F354,
          unit_details[Beds], $L354,
          unit_details[Baths], $M354,
          unit_details[Partial Baths], IF(ISNUMBER($N354),$N354,""),
          unit_details[Sqft],$P354
))),"")</f>
        <v/>
      </c>
      <c r="AG354" s="6" t="str">
        <f>IFERROR(IF($F354="Total",
         SUMPRODUCT(
         INDEX(AG:AG, ROW()-COUNTIF($F$6:INDEX($F:$F, ROW()-1), $F353)) : INDEX(AG:AG, ROW()-1),
         INDEX(AB:AB, ROW()-COUNTIF($F$6:INDEX($F:$F, ROW()-1), $F353)) : INDEX(AB:AB, ROW()-1)
         )
         /SUM(INDEX(AB:AB, ROW()-COUNTIF($F$6:INDEX($F:$F, ROW()-1), $F353)) : INDEX(AB:AB, ROW()-1)),
          AVERAGEIFS(unit_details[Asking PSF],
          unit_details[Active Listing?],TRUE,
          unit_details[Property Name], $F354,
          unit_details[Beds], $L354,
          unit_details[Baths], $M354,
          unit_details[Partial Baths], IF(ISNUMBER($N354),$N354,""),
          unit_details[Sqft],$P354
)),"")</f>
        <v/>
      </c>
      <c r="AH354" s="293" t="str">
        <f>IFERROR(IF($F354="Total",
         SUMPRODUCT(
         INDEX(AH:AH, ROW()-COUNTIF($F$6:INDEX($F:$F, ROW()-1), $F353)) : INDEX(AH:AH, ROW()-1),
         INDEX(AB:AB, ROW()-COUNTIF($F$6:INDEX($F:$F, ROW()-1), $F353)) : INDEX(AB:AB, ROW()-1)
         )
         /SUM(INDEX(AB:AB, ROW()-COUNTIF($F$6:INDEX($F:$F, ROW()-1), $F353)) : INDEX(AB:AB, ROW()-1)),
          AVERAGEIFS(unit_details[Effective Rent],
          unit_details[Active Listing?],TRUE,
          unit_details[Property Name], $F354,
          unit_details[Beds], $L354,
          unit_details[Baths], $M354,
          unit_details[Partial Baths], IF(ISNUMBER($N354),$N354,""),
          unit_details[Sqft],$P354
)),"")</f>
        <v/>
      </c>
      <c r="AI354" s="6" t="str">
        <f>IFERROR(IF($F354="Total",
         SUMPRODUCT(
         INDEX(AI:AI, ROW()-COUNTIF($F$6:INDEX($F:$F, ROW()-1), $F353)) : INDEX(AI:AI, ROW()-1),
         INDEX(AB:AB, ROW()-COUNTIF($F$6:INDEX($F:$F, ROW()-1), $F353)) : INDEX(AB:AB, ROW()-1)
         )
         /SUM(INDEX(AB:AB, ROW()-COUNTIF($F$6:INDEX($F:$F, ROW()-1), $F353)) : INDEX(AB:AB, ROW()-1)),
           AVERAGEIFS(unit_details[Effective PSF],
          unit_details[Active Listing?],TRUE,
          unit_details[Property Name], $F354,
          unit_details[Beds], $L354,
          unit_details[Baths], $M354,
          unit_details[Partial Baths], IF(ISNUMBER($N354),$N354,""),
          unit_details[Sqft],$P354
)),"")</f>
        <v/>
      </c>
      <c r="AJ354" s="824" t="str">
        <f t="shared" si="59"/>
        <v/>
      </c>
      <c r="AK354" s="531" t="str">
        <f t="shared" si="60"/>
        <v/>
      </c>
      <c r="AL354" s="714" t="str">
        <f t="shared" si="61"/>
        <v/>
      </c>
      <c r="AM354" s="531" t="str">
        <f t="shared" si="62"/>
        <v/>
      </c>
      <c r="AN354" s="716" t="str">
        <f t="shared" si="63"/>
        <v/>
      </c>
    </row>
    <row r="355" spans="6:40" x14ac:dyDescent="0.2">
      <c r="F355" s="1" t="str">
        <f t="shared" si="56"/>
        <v/>
      </c>
      <c r="G355" s="713" t="str">
        <f t="shared" si="64"/>
        <v/>
      </c>
      <c r="H355" s="17" t="str">
        <f>IFERROR(VLOOKUP($G355,Table1[[Property]:[Exposure %]],4,0),"")</f>
        <v/>
      </c>
      <c r="I355" s="3" t="str">
        <f>IFERROR(VLOOKUP($G355,Table1[[Property]:[Exposure %]],6,0),"")</f>
        <v/>
      </c>
      <c r="J355" s="3" t="str">
        <f>IFERROR(VLOOKUP($G355,Table1[[Property]:[Exposure %]],7,0),"")</f>
        <v/>
      </c>
      <c r="R355" s="4" t="str">
        <f>IFERROR(VLOOKUP(IF(F355="Total",F354,F355),Table1[[Property]:['# Units]],7,0)*S355,"")</f>
        <v/>
      </c>
      <c r="S355" s="27" t="str">
        <f t="shared" si="57"/>
        <v/>
      </c>
      <c r="T355" s="531" t="str">
        <f>IFERROR(
 IF($F355="Total",
   SUMPRODUCT(
   INDEX(T:T, ROW()-COUNTIF($F$6:INDEX($F:$F, ROW()-1), $F354)) : INDEX(T:T, ROW()-1),
   INDEX(W:W, ROW()-COUNTIF($F$6:INDEX($F:$F, ROW()-1), $F354)) : INDEX(W:W, ROW()-1)
   )
   /SUM(INDEX(W:W, ROW()-COUNTIF($F$6:INDEX($F:$F, ROW()-1), $F354)) : INDEX(W:W, ROW()-1)),
   AVERAGEIFS(
     INDEX((unit_details[Asking Rent],unit_details[Asking PSF]),0,1,IF($U$3="Chunk Rent",1,2)),
     unit_details[Leased Date],"&gt;="&amp;($AM$2-T$5),
     unit_details[Leased Date],"&lt;"&amp;$AM$2,
     unit_details[Beds],$L355,
     unit_details[Baths],$M355,
     unit_details[Partial Baths],IF(ISNUMBER($N355),$N355,""),
     unit_details[Sqft],$P355,
     unit_details[Property Name],$F355)
 ),"")</f>
        <v/>
      </c>
      <c r="U355" s="552" t="str">
        <f>IFERROR(
 IF($F355="Total",
   SUMPRODUCT(
   INDEX(U:U, ROW()-COUNTIF($F$6:INDEX($F:$F, ROW()-1), $F354)) : INDEX(U:U, ROW()-1),
   INDEX(W:W, ROW()-COUNTIF($F$6:INDEX($F:$F, ROW()-1), $F354)) : INDEX(W:W, ROW()-1)
   )
   /SUM(INDEX(W:W, ROW()-COUNTIF($F$6:INDEX($F:$F, ROW()-1), $F354)) : INDEX(W:W, ROW()-1)),
   AVERAGEIFS(
     INDEX((unit_details[Effective Rent],unit_details[Effective PSF]),0,1,IF($U$3="Chunk Rent",1,2)),
     unit_details[Leased Date],"&gt;="&amp;($AM$2-T$5),
     unit_details[Leased Date],"&lt;"&amp;$AM$2,
     unit_details[Beds],$L355,
     unit_details[Baths],$M355,
     unit_details[Partial Baths],IF(ISNUMBER($N355),$N355,""),
     unit_details[Sqft],$P355,
     unit_details[Property Name],$F355)
 ),"")</f>
        <v/>
      </c>
      <c r="V355" s="27" t="str">
        <f t="shared" si="65"/>
        <v/>
      </c>
      <c r="W355" s="526">
        <f>IFERROR(
  IF($F355="Total",
    SUM(INDEX(W:W, ROW()-COUNTIF($F$6:INDEX($F:$F, ROW()-1), $F354)) : INDEX(W:W, ROW()-1)),
    COUNTIFS(
      unit_details[Leased Date], "&gt;="&amp;($AM$2-T$5),
      unit_details[Leased Date], "&lt;"&amp;$AM$2,
      unit_details[Beds], $L355,
      unit_details[Baths], $M355,
      unit_details[Partial Baths], IF(ISNUMBER($N355), $N355, ""),
      unit_details[Sqft],$P355,
      unit_details[Property Name], $F355
    )
  ),
"")</f>
        <v>0</v>
      </c>
      <c r="X355" s="531" t="str">
        <f>IFERROR(
 IF($F355="Total",
   SUMPRODUCT(
   INDEX(X:X, ROW()-COUNTIF($F$6:INDEX($F:$F, ROW()-1), $F354)) : INDEX(X:X, ROW()-1),
   INDEX(AA:AA, ROW()-COUNTIF($F$6:INDEX($F:$F, ROW()-1), $F354)) : INDEX(AA:AA, ROW()-1)
   )
   /SUM(INDEX(AA:AA, ROW()-COUNTIF($F$6:INDEX($F:$F, ROW()-1), $F354)) : INDEX(AA:AA, ROW()-1)),
   AVERAGEIFS(
     INDEX((unit_details[Asking Rent],unit_details[Asking PSF]),0,1,IF($U$3="Chunk Rent",1,2)),
     unit_details[Leased Date],"&gt;="&amp;($AM$2-X$5),
     unit_details[Leased Date],"&lt;"&amp;$AM$2,
     unit_details[Beds],$L355,
     unit_details[Baths],$M355,
     unit_details[Partial Baths],IF(ISNUMBER($N355),$N355,""),
     unit_details[Sqft],$P355,
     unit_details[Property Name],$F355)
 ),"")</f>
        <v/>
      </c>
      <c r="Y355" s="552" t="str">
        <f>IFERROR(
 IF($F355="Total",
   SUMPRODUCT(
   INDEX(Y:Y, ROW()-COUNTIF($F$6:INDEX($F:$F, ROW()-1), $F354)) : INDEX(Y:Y, ROW()-1),
   INDEX(AA:AA, ROW()-COUNTIF($F$6:INDEX($F:$F, ROW()-1), $F354)) : INDEX(AA:AA, ROW()-1)
   )
   /SUM(INDEX(AA:AA, ROW()-COUNTIF($F$6:INDEX($F:$F, ROW()-1), $F354)) : INDEX(AA:AA, ROW()-1)),
   AVERAGEIFS(
     INDEX((unit_details[Effective Rent],unit_details[Effective PSF]),0,1,IF($U$3="Chunk Rent",1,2)),
     unit_details[Leased Date],"&gt;="&amp;($AM$2-X$5),
     unit_details[Leased Date],"&lt;"&amp;$AM$2,
     unit_details[Beds],$L355,
     unit_details[Baths],$M355,
     unit_details[Partial Baths],IF(ISNUMBER($N355),$N355,""),
     unit_details[Sqft],$P355,
     unit_details[Property Name],$F355)
 ),"")</f>
        <v/>
      </c>
      <c r="Z355" s="27" t="str">
        <f t="shared" si="66"/>
        <v/>
      </c>
      <c r="AA355" s="526">
        <f>IFERROR(
  IF($F355="Total",
    SUM(INDEX(AA:AA, ROW()-COUNTIF($F$6:INDEX($F:$F, ROW()-1), $F354)) : INDEX(AA:AA, ROW()-1)),
    COUNTIFS(
      unit_details[Leased Date], "&gt;="&amp;($AM$2-X$5),
      unit_details[Leased Date], "&lt;"&amp;$AM$2,
      unit_details[Beds], $L355,
      unit_details[Baths], $M355,
      unit_details[Partial Baths], IF(ISNUMBER($N355), $N355, ""),
      unit_details[Sqft],$P355,
      unit_details[Property Name], $F355
    )
  ),
"")</f>
        <v>0</v>
      </c>
      <c r="AB355" s="290">
        <f>IF($F355="Total",
SUM(INDEX(AB:AB, ROW()-COUNTIF($F$6:INDEX($F:$F, ROW()-1), $F354)) : INDEX(AB:AB, ROW()-1)),
COUNTIFS(unit_details[Active Listing?],TRUE,
          unit_details[Property Name], $F355,
          unit_details[Beds], $L355,
          unit_details[Baths], $M355,
          unit_details[Partial Baths],IF(ISNUMBER($N355),$N355,""),
          unit_details[Sqft],$P355))</f>
        <v>0</v>
      </c>
      <c r="AC355" s="27" t="str">
        <f t="shared" si="58"/>
        <v/>
      </c>
      <c r="AD355" s="293" t="str">
        <f>IFERROR(IF(AE355="","",IF($F355="Total",
SUMPRODUCT(
   INDEX(AD:AD, ROW()-COUNTIF($F$6:INDEX($F:$F, ROW()-1), $F354)) : INDEX(AD:AD, ROW()-1),
   INDEX(AB:AB, ROW()-COUNTIF($F$6:INDEX($F:$F, ROW()-1), $F354)) : INDEX(AB:AB, ROW()-1)
   )
   /SUM(INDEX(AB:AB, ROW()-COUNTIF($F$6:INDEX($F:$F, ROW()-1), $F354)) : INDEX(AB:AB, ROW()-1)),
          _xlfn.MINIFS(unit_details[Asking Rent],
          unit_details[Active Listing?],TRUE,
          unit_details[Property Name], $F355,
          unit_details[Beds], $L355,
          unit_details[Baths], $M355,
          unit_details[Partial Baths], IF(ISNUMBER($N355),$N355,""),
          unit_details[Sqft],$P355
))),"")</f>
        <v/>
      </c>
      <c r="AE355" s="5" t="str">
        <f>IFERROR(IF($F355="Total",
          SUMPRODUCT(
   INDEX(AE:AE, ROW()-COUNTIF($F$6:INDEX($F:$F, ROW()-1), $F354)) : INDEX(AE:AE, ROW()-1),
   INDEX(AB:AB, ROW()-COUNTIF($F$6:INDEX($F:$F, ROW()-1), $F354)) : INDEX(AB:AB, ROW()-1)
   )
   /SUM(INDEX(AB:AB, ROW()-COUNTIF($F$6:INDEX($F:$F, ROW()-1), $F354)) : INDEX(AB:AB, ROW()-1)),
          AVERAGEIFS(unit_details[Asking Rent],
          unit_details[Active Listing?],TRUE,
          unit_details[Property Name], $F355,
          unit_details[Beds], $L355,
          unit_details[Baths], $M355,
          unit_details[Partial Baths], IF(ISNUMBER($N355),$N355,""),
          unit_details[Sqft],$P355
)),"")</f>
        <v/>
      </c>
      <c r="AF355" s="5" t="str">
        <f>IFERROR(IF(AE355="","",IF($F355="Total",
SUMPRODUCT(
   INDEX(AF:AF, ROW()-COUNTIF($F$6:INDEX($F:$F, ROW()-1), $F354)) : INDEX(AF:AF, ROW()-1),
   INDEX(AB:AB, ROW()-COUNTIF($F$6:INDEX($F:$F, ROW()-1), $F354)) : INDEX(AB:AB, ROW()-1)
   )
   /SUM(INDEX(AB:AB, ROW()-COUNTIF($F$6:INDEX($F:$F, ROW()-1), $F354)) : INDEX(AB:AB, ROW()-1)),
           _xlfn.MAXIFS(unit_details[Asking Rent],
          unit_details[Active Listing?],TRUE,
          unit_details[Property Name], $F355,
          unit_details[Beds], $L355,
          unit_details[Baths], $M355,
          unit_details[Partial Baths], IF(ISNUMBER($N355),$N355,""),
          unit_details[Sqft],$P355
))),"")</f>
        <v/>
      </c>
      <c r="AG355" s="6" t="str">
        <f>IFERROR(IF($F355="Total",
         SUMPRODUCT(
         INDEX(AG:AG, ROW()-COUNTIF($F$6:INDEX($F:$F, ROW()-1), $F354)) : INDEX(AG:AG, ROW()-1),
         INDEX(AB:AB, ROW()-COUNTIF($F$6:INDEX($F:$F, ROW()-1), $F354)) : INDEX(AB:AB, ROW()-1)
         )
         /SUM(INDEX(AB:AB, ROW()-COUNTIF($F$6:INDEX($F:$F, ROW()-1), $F354)) : INDEX(AB:AB, ROW()-1)),
          AVERAGEIFS(unit_details[Asking PSF],
          unit_details[Active Listing?],TRUE,
          unit_details[Property Name], $F355,
          unit_details[Beds], $L355,
          unit_details[Baths], $M355,
          unit_details[Partial Baths], IF(ISNUMBER($N355),$N355,""),
          unit_details[Sqft],$P355
)),"")</f>
        <v/>
      </c>
      <c r="AH355" s="293" t="str">
        <f>IFERROR(IF($F355="Total",
         SUMPRODUCT(
         INDEX(AH:AH, ROW()-COUNTIF($F$6:INDEX($F:$F, ROW()-1), $F354)) : INDEX(AH:AH, ROW()-1),
         INDEX(AB:AB, ROW()-COUNTIF($F$6:INDEX($F:$F, ROW()-1), $F354)) : INDEX(AB:AB, ROW()-1)
         )
         /SUM(INDEX(AB:AB, ROW()-COUNTIF($F$6:INDEX($F:$F, ROW()-1), $F354)) : INDEX(AB:AB, ROW()-1)),
          AVERAGEIFS(unit_details[Effective Rent],
          unit_details[Active Listing?],TRUE,
          unit_details[Property Name], $F355,
          unit_details[Beds], $L355,
          unit_details[Baths], $M355,
          unit_details[Partial Baths], IF(ISNUMBER($N355),$N355,""),
          unit_details[Sqft],$P355
)),"")</f>
        <v/>
      </c>
      <c r="AI355" s="6" t="str">
        <f>IFERROR(IF($F355="Total",
         SUMPRODUCT(
         INDEX(AI:AI, ROW()-COUNTIF($F$6:INDEX($F:$F, ROW()-1), $F354)) : INDEX(AI:AI, ROW()-1),
         INDEX(AB:AB, ROW()-COUNTIF($F$6:INDEX($F:$F, ROW()-1), $F354)) : INDEX(AB:AB, ROW()-1)
         )
         /SUM(INDEX(AB:AB, ROW()-COUNTIF($F$6:INDEX($F:$F, ROW()-1), $F354)) : INDEX(AB:AB, ROW()-1)),
           AVERAGEIFS(unit_details[Effective PSF],
          unit_details[Active Listing?],TRUE,
          unit_details[Property Name], $F355,
          unit_details[Beds], $L355,
          unit_details[Baths], $M355,
          unit_details[Partial Baths], IF(ISNUMBER($N355),$N355,""),
          unit_details[Sqft],$P355
)),"")</f>
        <v/>
      </c>
      <c r="AJ355" s="824" t="str">
        <f t="shared" si="59"/>
        <v/>
      </c>
      <c r="AK355" s="531" t="str">
        <f t="shared" si="60"/>
        <v/>
      </c>
      <c r="AL355" s="714" t="str">
        <f t="shared" si="61"/>
        <v/>
      </c>
      <c r="AM355" s="531" t="str">
        <f t="shared" si="62"/>
        <v/>
      </c>
      <c r="AN355" s="716" t="str">
        <f t="shared" si="63"/>
        <v/>
      </c>
    </row>
    <row r="356" spans="6:40" x14ac:dyDescent="0.2">
      <c r="F356" s="1" t="str">
        <f t="shared" si="56"/>
        <v/>
      </c>
      <c r="G356" s="713" t="str">
        <f t="shared" si="64"/>
        <v/>
      </c>
      <c r="H356" s="17" t="str">
        <f>IFERROR(VLOOKUP($G356,Table1[[Property]:[Exposure %]],4,0),"")</f>
        <v/>
      </c>
      <c r="I356" s="3" t="str">
        <f>IFERROR(VLOOKUP($G356,Table1[[Property]:[Exposure %]],6,0),"")</f>
        <v/>
      </c>
      <c r="J356" s="3" t="str">
        <f>IFERROR(VLOOKUP($G356,Table1[[Property]:[Exposure %]],7,0),"")</f>
        <v/>
      </c>
      <c r="R356" s="4" t="str">
        <f>IFERROR(VLOOKUP(IF(F356="Total",F355,F356),Table1[[Property]:['# Units]],7,0)*S356,"")</f>
        <v/>
      </c>
      <c r="S356" s="27" t="str">
        <f t="shared" si="57"/>
        <v/>
      </c>
      <c r="T356" s="531" t="str">
        <f>IFERROR(
 IF($F356="Total",
   SUMPRODUCT(
   INDEX(T:T, ROW()-COUNTIF($F$6:INDEX($F:$F, ROW()-1), $F355)) : INDEX(T:T, ROW()-1),
   INDEX(W:W, ROW()-COUNTIF($F$6:INDEX($F:$F, ROW()-1), $F355)) : INDEX(W:W, ROW()-1)
   )
   /SUM(INDEX(W:W, ROW()-COUNTIF($F$6:INDEX($F:$F, ROW()-1), $F355)) : INDEX(W:W, ROW()-1)),
   AVERAGEIFS(
     INDEX((unit_details[Asking Rent],unit_details[Asking PSF]),0,1,IF($U$3="Chunk Rent",1,2)),
     unit_details[Leased Date],"&gt;="&amp;($AM$2-T$5),
     unit_details[Leased Date],"&lt;"&amp;$AM$2,
     unit_details[Beds],$L356,
     unit_details[Baths],$M356,
     unit_details[Partial Baths],IF(ISNUMBER($N356),$N356,""),
     unit_details[Sqft],$P356,
     unit_details[Property Name],$F356)
 ),"")</f>
        <v/>
      </c>
      <c r="U356" s="552" t="str">
        <f>IFERROR(
 IF($F356="Total",
   SUMPRODUCT(
   INDEX(U:U, ROW()-COUNTIF($F$6:INDEX($F:$F, ROW()-1), $F355)) : INDEX(U:U, ROW()-1),
   INDEX(W:W, ROW()-COUNTIF($F$6:INDEX($F:$F, ROW()-1), $F355)) : INDEX(W:W, ROW()-1)
   )
   /SUM(INDEX(W:W, ROW()-COUNTIF($F$6:INDEX($F:$F, ROW()-1), $F355)) : INDEX(W:W, ROW()-1)),
   AVERAGEIFS(
     INDEX((unit_details[Effective Rent],unit_details[Effective PSF]),0,1,IF($U$3="Chunk Rent",1,2)),
     unit_details[Leased Date],"&gt;="&amp;($AM$2-T$5),
     unit_details[Leased Date],"&lt;"&amp;$AM$2,
     unit_details[Beds],$L356,
     unit_details[Baths],$M356,
     unit_details[Partial Baths],IF(ISNUMBER($N356),$N356,""),
     unit_details[Sqft],$P356,
     unit_details[Property Name],$F356)
 ),"")</f>
        <v/>
      </c>
      <c r="V356" s="27" t="str">
        <f t="shared" si="65"/>
        <v/>
      </c>
      <c r="W356" s="526">
        <f>IFERROR(
  IF($F356="Total",
    SUM(INDEX(W:W, ROW()-COUNTIF($F$6:INDEX($F:$F, ROW()-1), $F355)) : INDEX(W:W, ROW()-1)),
    COUNTIFS(
      unit_details[Leased Date], "&gt;="&amp;($AM$2-T$5),
      unit_details[Leased Date], "&lt;"&amp;$AM$2,
      unit_details[Beds], $L356,
      unit_details[Baths], $M356,
      unit_details[Partial Baths], IF(ISNUMBER($N356), $N356, ""),
      unit_details[Sqft],$P356,
      unit_details[Property Name], $F356
    )
  ),
"")</f>
        <v>0</v>
      </c>
      <c r="X356" s="531" t="str">
        <f>IFERROR(
 IF($F356="Total",
   SUMPRODUCT(
   INDEX(X:X, ROW()-COUNTIF($F$6:INDEX($F:$F, ROW()-1), $F355)) : INDEX(X:X, ROW()-1),
   INDEX(AA:AA, ROW()-COUNTIF($F$6:INDEX($F:$F, ROW()-1), $F355)) : INDEX(AA:AA, ROW()-1)
   )
   /SUM(INDEX(AA:AA, ROW()-COUNTIF($F$6:INDEX($F:$F, ROW()-1), $F355)) : INDEX(AA:AA, ROW()-1)),
   AVERAGEIFS(
     INDEX((unit_details[Asking Rent],unit_details[Asking PSF]),0,1,IF($U$3="Chunk Rent",1,2)),
     unit_details[Leased Date],"&gt;="&amp;($AM$2-X$5),
     unit_details[Leased Date],"&lt;"&amp;$AM$2,
     unit_details[Beds],$L356,
     unit_details[Baths],$M356,
     unit_details[Partial Baths],IF(ISNUMBER($N356),$N356,""),
     unit_details[Sqft],$P356,
     unit_details[Property Name],$F356)
 ),"")</f>
        <v/>
      </c>
      <c r="Y356" s="552" t="str">
        <f>IFERROR(
 IF($F356="Total",
   SUMPRODUCT(
   INDEX(Y:Y, ROW()-COUNTIF($F$6:INDEX($F:$F, ROW()-1), $F355)) : INDEX(Y:Y, ROW()-1),
   INDEX(AA:AA, ROW()-COUNTIF($F$6:INDEX($F:$F, ROW()-1), $F355)) : INDEX(AA:AA, ROW()-1)
   )
   /SUM(INDEX(AA:AA, ROW()-COUNTIF($F$6:INDEX($F:$F, ROW()-1), $F355)) : INDEX(AA:AA, ROW()-1)),
   AVERAGEIFS(
     INDEX((unit_details[Effective Rent],unit_details[Effective PSF]),0,1,IF($U$3="Chunk Rent",1,2)),
     unit_details[Leased Date],"&gt;="&amp;($AM$2-X$5),
     unit_details[Leased Date],"&lt;"&amp;$AM$2,
     unit_details[Beds],$L356,
     unit_details[Baths],$M356,
     unit_details[Partial Baths],IF(ISNUMBER($N356),$N356,""),
     unit_details[Sqft],$P356,
     unit_details[Property Name],$F356)
 ),"")</f>
        <v/>
      </c>
      <c r="Z356" s="27" t="str">
        <f t="shared" si="66"/>
        <v/>
      </c>
      <c r="AA356" s="526">
        <f>IFERROR(
  IF($F356="Total",
    SUM(INDEX(AA:AA, ROW()-COUNTIF($F$6:INDEX($F:$F, ROW()-1), $F355)) : INDEX(AA:AA, ROW()-1)),
    COUNTIFS(
      unit_details[Leased Date], "&gt;="&amp;($AM$2-X$5),
      unit_details[Leased Date], "&lt;"&amp;$AM$2,
      unit_details[Beds], $L356,
      unit_details[Baths], $M356,
      unit_details[Partial Baths], IF(ISNUMBER($N356), $N356, ""),
      unit_details[Sqft],$P356,
      unit_details[Property Name], $F356
    )
  ),
"")</f>
        <v>0</v>
      </c>
      <c r="AB356" s="290">
        <f>IF($F356="Total",
SUM(INDEX(AB:AB, ROW()-COUNTIF($F$6:INDEX($F:$F, ROW()-1), $F355)) : INDEX(AB:AB, ROW()-1)),
COUNTIFS(unit_details[Active Listing?],TRUE,
          unit_details[Property Name], $F356,
          unit_details[Beds], $L356,
          unit_details[Baths], $M356,
          unit_details[Partial Baths],IF(ISNUMBER($N356),$N356,""),
          unit_details[Sqft],$P356))</f>
        <v>0</v>
      </c>
      <c r="AC356" s="27" t="str">
        <f t="shared" si="58"/>
        <v/>
      </c>
      <c r="AD356" s="293" t="str">
        <f>IFERROR(IF(AE356="","",IF($F356="Total",
SUMPRODUCT(
   INDEX(AD:AD, ROW()-COUNTIF($F$6:INDEX($F:$F, ROW()-1), $F355)) : INDEX(AD:AD, ROW()-1),
   INDEX(AB:AB, ROW()-COUNTIF($F$6:INDEX($F:$F, ROW()-1), $F355)) : INDEX(AB:AB, ROW()-1)
   )
   /SUM(INDEX(AB:AB, ROW()-COUNTIF($F$6:INDEX($F:$F, ROW()-1), $F355)) : INDEX(AB:AB, ROW()-1)),
          _xlfn.MINIFS(unit_details[Asking Rent],
          unit_details[Active Listing?],TRUE,
          unit_details[Property Name], $F356,
          unit_details[Beds], $L356,
          unit_details[Baths], $M356,
          unit_details[Partial Baths], IF(ISNUMBER($N356),$N356,""),
          unit_details[Sqft],$P356
))),"")</f>
        <v/>
      </c>
      <c r="AE356" s="5" t="str">
        <f>IFERROR(IF($F356="Total",
          SUMPRODUCT(
   INDEX(AE:AE, ROW()-COUNTIF($F$6:INDEX($F:$F, ROW()-1), $F355)) : INDEX(AE:AE, ROW()-1),
   INDEX(AB:AB, ROW()-COUNTIF($F$6:INDEX($F:$F, ROW()-1), $F355)) : INDEX(AB:AB, ROW()-1)
   )
   /SUM(INDEX(AB:AB, ROW()-COUNTIF($F$6:INDEX($F:$F, ROW()-1), $F355)) : INDEX(AB:AB, ROW()-1)),
          AVERAGEIFS(unit_details[Asking Rent],
          unit_details[Active Listing?],TRUE,
          unit_details[Property Name], $F356,
          unit_details[Beds], $L356,
          unit_details[Baths], $M356,
          unit_details[Partial Baths], IF(ISNUMBER($N356),$N356,""),
          unit_details[Sqft],$P356
)),"")</f>
        <v/>
      </c>
      <c r="AF356" s="5" t="str">
        <f>IFERROR(IF(AE356="","",IF($F356="Total",
SUMPRODUCT(
   INDEX(AF:AF, ROW()-COUNTIF($F$6:INDEX($F:$F, ROW()-1), $F355)) : INDEX(AF:AF, ROW()-1),
   INDEX(AB:AB, ROW()-COUNTIF($F$6:INDEX($F:$F, ROW()-1), $F355)) : INDEX(AB:AB, ROW()-1)
   )
   /SUM(INDEX(AB:AB, ROW()-COUNTIF($F$6:INDEX($F:$F, ROW()-1), $F355)) : INDEX(AB:AB, ROW()-1)),
           _xlfn.MAXIFS(unit_details[Asking Rent],
          unit_details[Active Listing?],TRUE,
          unit_details[Property Name], $F356,
          unit_details[Beds], $L356,
          unit_details[Baths], $M356,
          unit_details[Partial Baths], IF(ISNUMBER($N356),$N356,""),
          unit_details[Sqft],$P356
))),"")</f>
        <v/>
      </c>
      <c r="AG356" s="6" t="str">
        <f>IFERROR(IF($F356="Total",
         SUMPRODUCT(
         INDEX(AG:AG, ROW()-COUNTIF($F$6:INDEX($F:$F, ROW()-1), $F355)) : INDEX(AG:AG, ROW()-1),
         INDEX(AB:AB, ROW()-COUNTIF($F$6:INDEX($F:$F, ROW()-1), $F355)) : INDEX(AB:AB, ROW()-1)
         )
         /SUM(INDEX(AB:AB, ROW()-COUNTIF($F$6:INDEX($F:$F, ROW()-1), $F355)) : INDEX(AB:AB, ROW()-1)),
          AVERAGEIFS(unit_details[Asking PSF],
          unit_details[Active Listing?],TRUE,
          unit_details[Property Name], $F356,
          unit_details[Beds], $L356,
          unit_details[Baths], $M356,
          unit_details[Partial Baths], IF(ISNUMBER($N356),$N356,""),
          unit_details[Sqft],$P356
)),"")</f>
        <v/>
      </c>
      <c r="AH356" s="293" t="str">
        <f>IFERROR(IF($F356="Total",
         SUMPRODUCT(
         INDEX(AH:AH, ROW()-COUNTIF($F$6:INDEX($F:$F, ROW()-1), $F355)) : INDEX(AH:AH, ROW()-1),
         INDEX(AB:AB, ROW()-COUNTIF($F$6:INDEX($F:$F, ROW()-1), $F355)) : INDEX(AB:AB, ROW()-1)
         )
         /SUM(INDEX(AB:AB, ROW()-COUNTIF($F$6:INDEX($F:$F, ROW()-1), $F355)) : INDEX(AB:AB, ROW()-1)),
          AVERAGEIFS(unit_details[Effective Rent],
          unit_details[Active Listing?],TRUE,
          unit_details[Property Name], $F356,
          unit_details[Beds], $L356,
          unit_details[Baths], $M356,
          unit_details[Partial Baths], IF(ISNUMBER($N356),$N356,""),
          unit_details[Sqft],$P356
)),"")</f>
        <v/>
      </c>
      <c r="AI356" s="6" t="str">
        <f>IFERROR(IF($F356="Total",
         SUMPRODUCT(
         INDEX(AI:AI, ROW()-COUNTIF($F$6:INDEX($F:$F, ROW()-1), $F355)) : INDEX(AI:AI, ROW()-1),
         INDEX(AB:AB, ROW()-COUNTIF($F$6:INDEX($F:$F, ROW()-1), $F355)) : INDEX(AB:AB, ROW()-1)
         )
         /SUM(INDEX(AB:AB, ROW()-COUNTIF($F$6:INDEX($F:$F, ROW()-1), $F355)) : INDEX(AB:AB, ROW()-1)),
           AVERAGEIFS(unit_details[Effective PSF],
          unit_details[Active Listing?],TRUE,
          unit_details[Property Name], $F356,
          unit_details[Beds], $L356,
          unit_details[Baths], $M356,
          unit_details[Partial Baths], IF(ISNUMBER($N356),$N356,""),
          unit_details[Sqft],$P356
)),"")</f>
        <v/>
      </c>
      <c r="AJ356" s="824" t="str">
        <f t="shared" si="59"/>
        <v/>
      </c>
      <c r="AK356" s="531" t="str">
        <f t="shared" si="60"/>
        <v/>
      </c>
      <c r="AL356" s="714" t="str">
        <f t="shared" si="61"/>
        <v/>
      </c>
      <c r="AM356" s="531" t="str">
        <f t="shared" si="62"/>
        <v/>
      </c>
      <c r="AN356" s="716" t="str">
        <f t="shared" si="63"/>
        <v/>
      </c>
    </row>
    <row r="357" spans="6:40" x14ac:dyDescent="0.2">
      <c r="F357" s="1" t="str">
        <f t="shared" si="56"/>
        <v/>
      </c>
      <c r="G357" s="713" t="str">
        <f t="shared" si="64"/>
        <v/>
      </c>
      <c r="H357" s="17" t="str">
        <f>IFERROR(VLOOKUP($G357,Table1[[Property]:[Exposure %]],4,0),"")</f>
        <v/>
      </c>
      <c r="I357" s="3" t="str">
        <f>IFERROR(VLOOKUP($G357,Table1[[Property]:[Exposure %]],6,0),"")</f>
        <v/>
      </c>
      <c r="J357" s="3" t="str">
        <f>IFERROR(VLOOKUP($G357,Table1[[Property]:[Exposure %]],7,0),"")</f>
        <v/>
      </c>
      <c r="R357" s="4" t="str">
        <f>IFERROR(VLOOKUP(IF(F357="Total",F356,F357),Table1[[Property]:['# Units]],7,0)*S357,"")</f>
        <v/>
      </c>
      <c r="S357" s="27" t="str">
        <f t="shared" si="57"/>
        <v/>
      </c>
      <c r="T357" s="531" t="str">
        <f>IFERROR(
 IF($F357="Total",
   SUMPRODUCT(
   INDEX(T:T, ROW()-COUNTIF($F$6:INDEX($F:$F, ROW()-1), $F356)) : INDEX(T:T, ROW()-1),
   INDEX(W:W, ROW()-COUNTIF($F$6:INDEX($F:$F, ROW()-1), $F356)) : INDEX(W:W, ROW()-1)
   )
   /SUM(INDEX(W:W, ROW()-COUNTIF($F$6:INDEX($F:$F, ROW()-1), $F356)) : INDEX(W:W, ROW()-1)),
   AVERAGEIFS(
     INDEX((unit_details[Asking Rent],unit_details[Asking PSF]),0,1,IF($U$3="Chunk Rent",1,2)),
     unit_details[Leased Date],"&gt;="&amp;($AM$2-T$5),
     unit_details[Leased Date],"&lt;"&amp;$AM$2,
     unit_details[Beds],$L357,
     unit_details[Baths],$M357,
     unit_details[Partial Baths],IF(ISNUMBER($N357),$N357,""),
     unit_details[Sqft],$P357,
     unit_details[Property Name],$F357)
 ),"")</f>
        <v/>
      </c>
      <c r="U357" s="552" t="str">
        <f>IFERROR(
 IF($F357="Total",
   SUMPRODUCT(
   INDEX(U:U, ROW()-COUNTIF($F$6:INDEX($F:$F, ROW()-1), $F356)) : INDEX(U:U, ROW()-1),
   INDEX(W:W, ROW()-COUNTIF($F$6:INDEX($F:$F, ROW()-1), $F356)) : INDEX(W:W, ROW()-1)
   )
   /SUM(INDEX(W:W, ROW()-COUNTIF($F$6:INDEX($F:$F, ROW()-1), $F356)) : INDEX(W:W, ROW()-1)),
   AVERAGEIFS(
     INDEX((unit_details[Effective Rent],unit_details[Effective PSF]),0,1,IF($U$3="Chunk Rent",1,2)),
     unit_details[Leased Date],"&gt;="&amp;($AM$2-T$5),
     unit_details[Leased Date],"&lt;"&amp;$AM$2,
     unit_details[Beds],$L357,
     unit_details[Baths],$M357,
     unit_details[Partial Baths],IF(ISNUMBER($N357),$N357,""),
     unit_details[Sqft],$P357,
     unit_details[Property Name],$F357)
 ),"")</f>
        <v/>
      </c>
      <c r="V357" s="27" t="str">
        <f t="shared" si="65"/>
        <v/>
      </c>
      <c r="W357" s="526">
        <f>IFERROR(
  IF($F357="Total",
    SUM(INDEX(W:W, ROW()-COUNTIF($F$6:INDEX($F:$F, ROW()-1), $F356)) : INDEX(W:W, ROW()-1)),
    COUNTIFS(
      unit_details[Leased Date], "&gt;="&amp;($AM$2-T$5),
      unit_details[Leased Date], "&lt;"&amp;$AM$2,
      unit_details[Beds], $L357,
      unit_details[Baths], $M357,
      unit_details[Partial Baths], IF(ISNUMBER($N357), $N357, ""),
      unit_details[Sqft],$P357,
      unit_details[Property Name], $F357
    )
  ),
"")</f>
        <v>0</v>
      </c>
      <c r="X357" s="531" t="str">
        <f>IFERROR(
 IF($F357="Total",
   SUMPRODUCT(
   INDEX(X:X, ROW()-COUNTIF($F$6:INDEX($F:$F, ROW()-1), $F356)) : INDEX(X:X, ROW()-1),
   INDEX(AA:AA, ROW()-COUNTIF($F$6:INDEX($F:$F, ROW()-1), $F356)) : INDEX(AA:AA, ROW()-1)
   )
   /SUM(INDEX(AA:AA, ROW()-COUNTIF($F$6:INDEX($F:$F, ROW()-1), $F356)) : INDEX(AA:AA, ROW()-1)),
   AVERAGEIFS(
     INDEX((unit_details[Asking Rent],unit_details[Asking PSF]),0,1,IF($U$3="Chunk Rent",1,2)),
     unit_details[Leased Date],"&gt;="&amp;($AM$2-X$5),
     unit_details[Leased Date],"&lt;"&amp;$AM$2,
     unit_details[Beds],$L357,
     unit_details[Baths],$M357,
     unit_details[Partial Baths],IF(ISNUMBER($N357),$N357,""),
     unit_details[Sqft],$P357,
     unit_details[Property Name],$F357)
 ),"")</f>
        <v/>
      </c>
      <c r="Y357" s="552" t="str">
        <f>IFERROR(
 IF($F357="Total",
   SUMPRODUCT(
   INDEX(Y:Y, ROW()-COUNTIF($F$6:INDEX($F:$F, ROW()-1), $F356)) : INDEX(Y:Y, ROW()-1),
   INDEX(AA:AA, ROW()-COUNTIF($F$6:INDEX($F:$F, ROW()-1), $F356)) : INDEX(AA:AA, ROW()-1)
   )
   /SUM(INDEX(AA:AA, ROW()-COUNTIF($F$6:INDEX($F:$F, ROW()-1), $F356)) : INDEX(AA:AA, ROW()-1)),
   AVERAGEIFS(
     INDEX((unit_details[Effective Rent],unit_details[Effective PSF]),0,1,IF($U$3="Chunk Rent",1,2)),
     unit_details[Leased Date],"&gt;="&amp;($AM$2-X$5),
     unit_details[Leased Date],"&lt;"&amp;$AM$2,
     unit_details[Beds],$L357,
     unit_details[Baths],$M357,
     unit_details[Partial Baths],IF(ISNUMBER($N357),$N357,""),
     unit_details[Sqft],$P357,
     unit_details[Property Name],$F357)
 ),"")</f>
        <v/>
      </c>
      <c r="Z357" s="27" t="str">
        <f t="shared" si="66"/>
        <v/>
      </c>
      <c r="AA357" s="526">
        <f>IFERROR(
  IF($F357="Total",
    SUM(INDEX(AA:AA, ROW()-COUNTIF($F$6:INDEX($F:$F, ROW()-1), $F356)) : INDEX(AA:AA, ROW()-1)),
    COUNTIFS(
      unit_details[Leased Date], "&gt;="&amp;($AM$2-X$5),
      unit_details[Leased Date], "&lt;"&amp;$AM$2,
      unit_details[Beds], $L357,
      unit_details[Baths], $M357,
      unit_details[Partial Baths], IF(ISNUMBER($N357), $N357, ""),
      unit_details[Sqft],$P357,
      unit_details[Property Name], $F357
    )
  ),
"")</f>
        <v>0</v>
      </c>
      <c r="AB357" s="290">
        <f>IF($F357="Total",
SUM(INDEX(AB:AB, ROW()-COUNTIF($F$6:INDEX($F:$F, ROW()-1), $F356)) : INDEX(AB:AB, ROW()-1)),
COUNTIFS(unit_details[Active Listing?],TRUE,
          unit_details[Property Name], $F357,
          unit_details[Beds], $L357,
          unit_details[Baths], $M357,
          unit_details[Partial Baths],IF(ISNUMBER($N357),$N357,""),
          unit_details[Sqft],$P357))</f>
        <v>0</v>
      </c>
      <c r="AC357" s="27" t="str">
        <f t="shared" si="58"/>
        <v/>
      </c>
      <c r="AD357" s="293" t="str">
        <f>IFERROR(IF(AE357="","",IF($F357="Total",
SUMPRODUCT(
   INDEX(AD:AD, ROW()-COUNTIF($F$6:INDEX($F:$F, ROW()-1), $F356)) : INDEX(AD:AD, ROW()-1),
   INDEX(AB:AB, ROW()-COUNTIF($F$6:INDEX($F:$F, ROW()-1), $F356)) : INDEX(AB:AB, ROW()-1)
   )
   /SUM(INDEX(AB:AB, ROW()-COUNTIF($F$6:INDEX($F:$F, ROW()-1), $F356)) : INDEX(AB:AB, ROW()-1)),
          _xlfn.MINIFS(unit_details[Asking Rent],
          unit_details[Active Listing?],TRUE,
          unit_details[Property Name], $F357,
          unit_details[Beds], $L357,
          unit_details[Baths], $M357,
          unit_details[Partial Baths], IF(ISNUMBER($N357),$N357,""),
          unit_details[Sqft],$P357
))),"")</f>
        <v/>
      </c>
      <c r="AE357" s="5" t="str">
        <f>IFERROR(IF($F357="Total",
          SUMPRODUCT(
   INDEX(AE:AE, ROW()-COUNTIF($F$6:INDEX($F:$F, ROW()-1), $F356)) : INDEX(AE:AE, ROW()-1),
   INDEX(AB:AB, ROW()-COUNTIF($F$6:INDEX($F:$F, ROW()-1), $F356)) : INDEX(AB:AB, ROW()-1)
   )
   /SUM(INDEX(AB:AB, ROW()-COUNTIF($F$6:INDEX($F:$F, ROW()-1), $F356)) : INDEX(AB:AB, ROW()-1)),
          AVERAGEIFS(unit_details[Asking Rent],
          unit_details[Active Listing?],TRUE,
          unit_details[Property Name], $F357,
          unit_details[Beds], $L357,
          unit_details[Baths], $M357,
          unit_details[Partial Baths], IF(ISNUMBER($N357),$N357,""),
          unit_details[Sqft],$P357
)),"")</f>
        <v/>
      </c>
      <c r="AF357" s="5" t="str">
        <f>IFERROR(IF(AE357="","",IF($F357="Total",
SUMPRODUCT(
   INDEX(AF:AF, ROW()-COUNTIF($F$6:INDEX($F:$F, ROW()-1), $F356)) : INDEX(AF:AF, ROW()-1),
   INDEX(AB:AB, ROW()-COUNTIF($F$6:INDEX($F:$F, ROW()-1), $F356)) : INDEX(AB:AB, ROW()-1)
   )
   /SUM(INDEX(AB:AB, ROW()-COUNTIF($F$6:INDEX($F:$F, ROW()-1), $F356)) : INDEX(AB:AB, ROW()-1)),
           _xlfn.MAXIFS(unit_details[Asking Rent],
          unit_details[Active Listing?],TRUE,
          unit_details[Property Name], $F357,
          unit_details[Beds], $L357,
          unit_details[Baths], $M357,
          unit_details[Partial Baths], IF(ISNUMBER($N357),$N357,""),
          unit_details[Sqft],$P357
))),"")</f>
        <v/>
      </c>
      <c r="AG357" s="6" t="str">
        <f>IFERROR(IF($F357="Total",
         SUMPRODUCT(
         INDEX(AG:AG, ROW()-COUNTIF($F$6:INDEX($F:$F, ROW()-1), $F356)) : INDEX(AG:AG, ROW()-1),
         INDEX(AB:AB, ROW()-COUNTIF($F$6:INDEX($F:$F, ROW()-1), $F356)) : INDEX(AB:AB, ROW()-1)
         )
         /SUM(INDEX(AB:AB, ROW()-COUNTIF($F$6:INDEX($F:$F, ROW()-1), $F356)) : INDEX(AB:AB, ROW()-1)),
          AVERAGEIFS(unit_details[Asking PSF],
          unit_details[Active Listing?],TRUE,
          unit_details[Property Name], $F357,
          unit_details[Beds], $L357,
          unit_details[Baths], $M357,
          unit_details[Partial Baths], IF(ISNUMBER($N357),$N357,""),
          unit_details[Sqft],$P357
)),"")</f>
        <v/>
      </c>
      <c r="AH357" s="293" t="str">
        <f>IFERROR(IF($F357="Total",
         SUMPRODUCT(
         INDEX(AH:AH, ROW()-COUNTIF($F$6:INDEX($F:$F, ROW()-1), $F356)) : INDEX(AH:AH, ROW()-1),
         INDEX(AB:AB, ROW()-COUNTIF($F$6:INDEX($F:$F, ROW()-1), $F356)) : INDEX(AB:AB, ROW()-1)
         )
         /SUM(INDEX(AB:AB, ROW()-COUNTIF($F$6:INDEX($F:$F, ROW()-1), $F356)) : INDEX(AB:AB, ROW()-1)),
          AVERAGEIFS(unit_details[Effective Rent],
          unit_details[Active Listing?],TRUE,
          unit_details[Property Name], $F357,
          unit_details[Beds], $L357,
          unit_details[Baths], $M357,
          unit_details[Partial Baths], IF(ISNUMBER($N357),$N357,""),
          unit_details[Sqft],$P357
)),"")</f>
        <v/>
      </c>
      <c r="AI357" s="6" t="str">
        <f>IFERROR(IF($F357="Total",
         SUMPRODUCT(
         INDEX(AI:AI, ROW()-COUNTIF($F$6:INDEX($F:$F, ROW()-1), $F356)) : INDEX(AI:AI, ROW()-1),
         INDEX(AB:AB, ROW()-COUNTIF($F$6:INDEX($F:$F, ROW()-1), $F356)) : INDEX(AB:AB, ROW()-1)
         )
         /SUM(INDEX(AB:AB, ROW()-COUNTIF($F$6:INDEX($F:$F, ROW()-1), $F356)) : INDEX(AB:AB, ROW()-1)),
           AVERAGEIFS(unit_details[Effective PSF],
          unit_details[Active Listing?],TRUE,
          unit_details[Property Name], $F357,
          unit_details[Beds], $L357,
          unit_details[Baths], $M357,
          unit_details[Partial Baths], IF(ISNUMBER($N357),$N357,""),
          unit_details[Sqft],$P357
)),"")</f>
        <v/>
      </c>
      <c r="AJ357" s="824" t="str">
        <f t="shared" si="59"/>
        <v/>
      </c>
      <c r="AK357" s="531" t="str">
        <f t="shared" si="60"/>
        <v/>
      </c>
      <c r="AL357" s="714" t="str">
        <f t="shared" si="61"/>
        <v/>
      </c>
      <c r="AM357" s="531" t="str">
        <f t="shared" si="62"/>
        <v/>
      </c>
      <c r="AN357" s="716" t="str">
        <f t="shared" si="63"/>
        <v/>
      </c>
    </row>
    <row r="358" spans="6:40" x14ac:dyDescent="0.2">
      <c r="F358" s="1" t="str">
        <f t="shared" si="56"/>
        <v/>
      </c>
      <c r="G358" s="713" t="str">
        <f t="shared" si="64"/>
        <v/>
      </c>
      <c r="H358" s="17" t="str">
        <f>IFERROR(VLOOKUP($G358,Table1[[Property]:[Exposure %]],4,0),"")</f>
        <v/>
      </c>
      <c r="I358" s="3" t="str">
        <f>IFERROR(VLOOKUP($G358,Table1[[Property]:[Exposure %]],6,0),"")</f>
        <v/>
      </c>
      <c r="J358" s="3" t="str">
        <f>IFERROR(VLOOKUP($G358,Table1[[Property]:[Exposure %]],7,0),"")</f>
        <v/>
      </c>
      <c r="R358" s="4" t="str">
        <f>IFERROR(VLOOKUP(IF(F358="Total",F357,F358),Table1[[Property]:['# Units]],7,0)*S358,"")</f>
        <v/>
      </c>
      <c r="S358" s="27" t="str">
        <f t="shared" si="57"/>
        <v/>
      </c>
      <c r="T358" s="531" t="str">
        <f>IFERROR(
 IF($F358="Total",
   SUMPRODUCT(
   INDEX(T:T, ROW()-COUNTIF($F$6:INDEX($F:$F, ROW()-1), $F357)) : INDEX(T:T, ROW()-1),
   INDEX(W:W, ROW()-COUNTIF($F$6:INDEX($F:$F, ROW()-1), $F357)) : INDEX(W:W, ROW()-1)
   )
   /SUM(INDEX(W:W, ROW()-COUNTIF($F$6:INDEX($F:$F, ROW()-1), $F357)) : INDEX(W:W, ROW()-1)),
   AVERAGEIFS(
     INDEX((unit_details[Asking Rent],unit_details[Asking PSF]),0,1,IF($U$3="Chunk Rent",1,2)),
     unit_details[Leased Date],"&gt;="&amp;($AM$2-T$5),
     unit_details[Leased Date],"&lt;"&amp;$AM$2,
     unit_details[Beds],$L358,
     unit_details[Baths],$M358,
     unit_details[Partial Baths],IF(ISNUMBER($N358),$N358,""),
     unit_details[Sqft],$P358,
     unit_details[Property Name],$F358)
 ),"")</f>
        <v/>
      </c>
      <c r="U358" s="552" t="str">
        <f>IFERROR(
 IF($F358="Total",
   SUMPRODUCT(
   INDEX(U:U, ROW()-COUNTIF($F$6:INDEX($F:$F, ROW()-1), $F357)) : INDEX(U:U, ROW()-1),
   INDEX(W:W, ROW()-COUNTIF($F$6:INDEX($F:$F, ROW()-1), $F357)) : INDEX(W:W, ROW()-1)
   )
   /SUM(INDEX(W:W, ROW()-COUNTIF($F$6:INDEX($F:$F, ROW()-1), $F357)) : INDEX(W:W, ROW()-1)),
   AVERAGEIFS(
     INDEX((unit_details[Effective Rent],unit_details[Effective PSF]),0,1,IF($U$3="Chunk Rent",1,2)),
     unit_details[Leased Date],"&gt;="&amp;($AM$2-T$5),
     unit_details[Leased Date],"&lt;"&amp;$AM$2,
     unit_details[Beds],$L358,
     unit_details[Baths],$M358,
     unit_details[Partial Baths],IF(ISNUMBER($N358),$N358,""),
     unit_details[Sqft],$P358,
     unit_details[Property Name],$F358)
 ),"")</f>
        <v/>
      </c>
      <c r="V358" s="27" t="str">
        <f t="shared" si="65"/>
        <v/>
      </c>
      <c r="W358" s="526">
        <f>IFERROR(
  IF($F358="Total",
    SUM(INDEX(W:W, ROW()-COUNTIF($F$6:INDEX($F:$F, ROW()-1), $F357)) : INDEX(W:W, ROW()-1)),
    COUNTIFS(
      unit_details[Leased Date], "&gt;="&amp;($AM$2-T$5),
      unit_details[Leased Date], "&lt;"&amp;$AM$2,
      unit_details[Beds], $L358,
      unit_details[Baths], $M358,
      unit_details[Partial Baths], IF(ISNUMBER($N358), $N358, ""),
      unit_details[Sqft],$P358,
      unit_details[Property Name], $F358
    )
  ),
"")</f>
        <v>0</v>
      </c>
      <c r="X358" s="531" t="str">
        <f>IFERROR(
 IF($F358="Total",
   SUMPRODUCT(
   INDEX(X:X, ROW()-COUNTIF($F$6:INDEX($F:$F, ROW()-1), $F357)) : INDEX(X:X, ROW()-1),
   INDEX(AA:AA, ROW()-COUNTIF($F$6:INDEX($F:$F, ROW()-1), $F357)) : INDEX(AA:AA, ROW()-1)
   )
   /SUM(INDEX(AA:AA, ROW()-COUNTIF($F$6:INDEX($F:$F, ROW()-1), $F357)) : INDEX(AA:AA, ROW()-1)),
   AVERAGEIFS(
     INDEX((unit_details[Asking Rent],unit_details[Asking PSF]),0,1,IF($U$3="Chunk Rent",1,2)),
     unit_details[Leased Date],"&gt;="&amp;($AM$2-X$5),
     unit_details[Leased Date],"&lt;"&amp;$AM$2,
     unit_details[Beds],$L358,
     unit_details[Baths],$M358,
     unit_details[Partial Baths],IF(ISNUMBER($N358),$N358,""),
     unit_details[Sqft],$P358,
     unit_details[Property Name],$F358)
 ),"")</f>
        <v/>
      </c>
      <c r="Y358" s="552" t="str">
        <f>IFERROR(
 IF($F358="Total",
   SUMPRODUCT(
   INDEX(Y:Y, ROW()-COUNTIF($F$6:INDEX($F:$F, ROW()-1), $F357)) : INDEX(Y:Y, ROW()-1),
   INDEX(AA:AA, ROW()-COUNTIF($F$6:INDEX($F:$F, ROW()-1), $F357)) : INDEX(AA:AA, ROW()-1)
   )
   /SUM(INDEX(AA:AA, ROW()-COUNTIF($F$6:INDEX($F:$F, ROW()-1), $F357)) : INDEX(AA:AA, ROW()-1)),
   AVERAGEIFS(
     INDEX((unit_details[Effective Rent],unit_details[Effective PSF]),0,1,IF($U$3="Chunk Rent",1,2)),
     unit_details[Leased Date],"&gt;="&amp;($AM$2-X$5),
     unit_details[Leased Date],"&lt;"&amp;$AM$2,
     unit_details[Beds],$L358,
     unit_details[Baths],$M358,
     unit_details[Partial Baths],IF(ISNUMBER($N358),$N358,""),
     unit_details[Sqft],$P358,
     unit_details[Property Name],$F358)
 ),"")</f>
        <v/>
      </c>
      <c r="Z358" s="27" t="str">
        <f t="shared" si="66"/>
        <v/>
      </c>
      <c r="AA358" s="526">
        <f>IFERROR(
  IF($F358="Total",
    SUM(INDEX(AA:AA, ROW()-COUNTIF($F$6:INDEX($F:$F, ROW()-1), $F357)) : INDEX(AA:AA, ROW()-1)),
    COUNTIFS(
      unit_details[Leased Date], "&gt;="&amp;($AM$2-X$5),
      unit_details[Leased Date], "&lt;"&amp;$AM$2,
      unit_details[Beds], $L358,
      unit_details[Baths], $M358,
      unit_details[Partial Baths], IF(ISNUMBER($N358), $N358, ""),
      unit_details[Sqft],$P358,
      unit_details[Property Name], $F358
    )
  ),
"")</f>
        <v>0</v>
      </c>
      <c r="AB358" s="290">
        <f>IF($F358="Total",
SUM(INDEX(AB:AB, ROW()-COUNTIF($F$6:INDEX($F:$F, ROW()-1), $F357)) : INDEX(AB:AB, ROW()-1)),
COUNTIFS(unit_details[Active Listing?],TRUE,
          unit_details[Property Name], $F358,
          unit_details[Beds], $L358,
          unit_details[Baths], $M358,
          unit_details[Partial Baths],IF(ISNUMBER($N358),$N358,""),
          unit_details[Sqft],$P358))</f>
        <v>0</v>
      </c>
      <c r="AC358" s="27" t="str">
        <f t="shared" si="58"/>
        <v/>
      </c>
      <c r="AD358" s="293" t="str">
        <f>IFERROR(IF(AE358="","",IF($F358="Total",
SUMPRODUCT(
   INDEX(AD:AD, ROW()-COUNTIF($F$6:INDEX($F:$F, ROW()-1), $F357)) : INDEX(AD:AD, ROW()-1),
   INDEX(AB:AB, ROW()-COUNTIF($F$6:INDEX($F:$F, ROW()-1), $F357)) : INDEX(AB:AB, ROW()-1)
   )
   /SUM(INDEX(AB:AB, ROW()-COUNTIF($F$6:INDEX($F:$F, ROW()-1), $F357)) : INDEX(AB:AB, ROW()-1)),
          _xlfn.MINIFS(unit_details[Asking Rent],
          unit_details[Active Listing?],TRUE,
          unit_details[Property Name], $F358,
          unit_details[Beds], $L358,
          unit_details[Baths], $M358,
          unit_details[Partial Baths], IF(ISNUMBER($N358),$N358,""),
          unit_details[Sqft],$P358
))),"")</f>
        <v/>
      </c>
      <c r="AE358" s="5" t="str">
        <f>IFERROR(IF($F358="Total",
          SUMPRODUCT(
   INDEX(AE:AE, ROW()-COUNTIF($F$6:INDEX($F:$F, ROW()-1), $F357)) : INDEX(AE:AE, ROW()-1),
   INDEX(AB:AB, ROW()-COUNTIF($F$6:INDEX($F:$F, ROW()-1), $F357)) : INDEX(AB:AB, ROW()-1)
   )
   /SUM(INDEX(AB:AB, ROW()-COUNTIF($F$6:INDEX($F:$F, ROW()-1), $F357)) : INDEX(AB:AB, ROW()-1)),
          AVERAGEIFS(unit_details[Asking Rent],
          unit_details[Active Listing?],TRUE,
          unit_details[Property Name], $F358,
          unit_details[Beds], $L358,
          unit_details[Baths], $M358,
          unit_details[Partial Baths], IF(ISNUMBER($N358),$N358,""),
          unit_details[Sqft],$P358
)),"")</f>
        <v/>
      </c>
      <c r="AF358" s="5" t="str">
        <f>IFERROR(IF(AE358="","",IF($F358="Total",
SUMPRODUCT(
   INDEX(AF:AF, ROW()-COUNTIF($F$6:INDEX($F:$F, ROW()-1), $F357)) : INDEX(AF:AF, ROW()-1),
   INDEX(AB:AB, ROW()-COUNTIF($F$6:INDEX($F:$F, ROW()-1), $F357)) : INDEX(AB:AB, ROW()-1)
   )
   /SUM(INDEX(AB:AB, ROW()-COUNTIF($F$6:INDEX($F:$F, ROW()-1), $F357)) : INDEX(AB:AB, ROW()-1)),
           _xlfn.MAXIFS(unit_details[Asking Rent],
          unit_details[Active Listing?],TRUE,
          unit_details[Property Name], $F358,
          unit_details[Beds], $L358,
          unit_details[Baths], $M358,
          unit_details[Partial Baths], IF(ISNUMBER($N358),$N358,""),
          unit_details[Sqft],$P358
))),"")</f>
        <v/>
      </c>
      <c r="AG358" s="6" t="str">
        <f>IFERROR(IF($F358="Total",
         SUMPRODUCT(
         INDEX(AG:AG, ROW()-COUNTIF($F$6:INDEX($F:$F, ROW()-1), $F357)) : INDEX(AG:AG, ROW()-1),
         INDEX(AB:AB, ROW()-COUNTIF($F$6:INDEX($F:$F, ROW()-1), $F357)) : INDEX(AB:AB, ROW()-1)
         )
         /SUM(INDEX(AB:AB, ROW()-COUNTIF($F$6:INDEX($F:$F, ROW()-1), $F357)) : INDEX(AB:AB, ROW()-1)),
          AVERAGEIFS(unit_details[Asking PSF],
          unit_details[Active Listing?],TRUE,
          unit_details[Property Name], $F358,
          unit_details[Beds], $L358,
          unit_details[Baths], $M358,
          unit_details[Partial Baths], IF(ISNUMBER($N358),$N358,""),
          unit_details[Sqft],$P358
)),"")</f>
        <v/>
      </c>
      <c r="AH358" s="293" t="str">
        <f>IFERROR(IF($F358="Total",
         SUMPRODUCT(
         INDEX(AH:AH, ROW()-COUNTIF($F$6:INDEX($F:$F, ROW()-1), $F357)) : INDEX(AH:AH, ROW()-1),
         INDEX(AB:AB, ROW()-COUNTIF($F$6:INDEX($F:$F, ROW()-1), $F357)) : INDEX(AB:AB, ROW()-1)
         )
         /SUM(INDEX(AB:AB, ROW()-COUNTIF($F$6:INDEX($F:$F, ROW()-1), $F357)) : INDEX(AB:AB, ROW()-1)),
          AVERAGEIFS(unit_details[Effective Rent],
          unit_details[Active Listing?],TRUE,
          unit_details[Property Name], $F358,
          unit_details[Beds], $L358,
          unit_details[Baths], $M358,
          unit_details[Partial Baths], IF(ISNUMBER($N358),$N358,""),
          unit_details[Sqft],$P358
)),"")</f>
        <v/>
      </c>
      <c r="AI358" s="6" t="str">
        <f>IFERROR(IF($F358="Total",
         SUMPRODUCT(
         INDEX(AI:AI, ROW()-COUNTIF($F$6:INDEX($F:$F, ROW()-1), $F357)) : INDEX(AI:AI, ROW()-1),
         INDEX(AB:AB, ROW()-COUNTIF($F$6:INDEX($F:$F, ROW()-1), $F357)) : INDEX(AB:AB, ROW()-1)
         )
         /SUM(INDEX(AB:AB, ROW()-COUNTIF($F$6:INDEX($F:$F, ROW()-1), $F357)) : INDEX(AB:AB, ROW()-1)),
           AVERAGEIFS(unit_details[Effective PSF],
          unit_details[Active Listing?],TRUE,
          unit_details[Property Name], $F358,
          unit_details[Beds], $L358,
          unit_details[Baths], $M358,
          unit_details[Partial Baths], IF(ISNUMBER($N358),$N358,""),
          unit_details[Sqft],$P358
)),"")</f>
        <v/>
      </c>
      <c r="AJ358" s="824" t="str">
        <f t="shared" si="59"/>
        <v/>
      </c>
      <c r="AK358" s="531" t="str">
        <f t="shared" si="60"/>
        <v/>
      </c>
      <c r="AL358" s="714" t="str">
        <f t="shared" si="61"/>
        <v/>
      </c>
      <c r="AM358" s="531" t="str">
        <f t="shared" si="62"/>
        <v/>
      </c>
      <c r="AN358" s="716" t="str">
        <f t="shared" si="63"/>
        <v/>
      </c>
    </row>
    <row r="359" spans="6:40" x14ac:dyDescent="0.2">
      <c r="F359" s="1" t="str">
        <f t="shared" si="56"/>
        <v/>
      </c>
      <c r="G359" s="713" t="str">
        <f t="shared" si="64"/>
        <v/>
      </c>
      <c r="H359" s="17" t="str">
        <f>IFERROR(VLOOKUP($G359,Table1[[Property]:[Exposure %]],4,0),"")</f>
        <v/>
      </c>
      <c r="I359" s="3" t="str">
        <f>IFERROR(VLOOKUP($G359,Table1[[Property]:[Exposure %]],6,0),"")</f>
        <v/>
      </c>
      <c r="J359" s="3" t="str">
        <f>IFERROR(VLOOKUP($G359,Table1[[Property]:[Exposure %]],7,0),"")</f>
        <v/>
      </c>
      <c r="R359" s="4" t="str">
        <f>IFERROR(VLOOKUP(IF(F359="Total",F358,F359),Table1[[Property]:['# Units]],7,0)*S359,"")</f>
        <v/>
      </c>
      <c r="S359" s="27" t="str">
        <f t="shared" si="57"/>
        <v/>
      </c>
      <c r="T359" s="531" t="str">
        <f>IFERROR(
 IF($F359="Total",
   SUMPRODUCT(
   INDEX(T:T, ROW()-COUNTIF($F$6:INDEX($F:$F, ROW()-1), $F358)) : INDEX(T:T, ROW()-1),
   INDEX(W:W, ROW()-COUNTIF($F$6:INDEX($F:$F, ROW()-1), $F358)) : INDEX(W:W, ROW()-1)
   )
   /SUM(INDEX(W:W, ROW()-COUNTIF($F$6:INDEX($F:$F, ROW()-1), $F358)) : INDEX(W:W, ROW()-1)),
   AVERAGEIFS(
     INDEX((unit_details[Asking Rent],unit_details[Asking PSF]),0,1,IF($U$3="Chunk Rent",1,2)),
     unit_details[Leased Date],"&gt;="&amp;($AM$2-T$5),
     unit_details[Leased Date],"&lt;"&amp;$AM$2,
     unit_details[Beds],$L359,
     unit_details[Baths],$M359,
     unit_details[Partial Baths],IF(ISNUMBER($N359),$N359,""),
     unit_details[Sqft],$P359,
     unit_details[Property Name],$F359)
 ),"")</f>
        <v/>
      </c>
      <c r="U359" s="552" t="str">
        <f>IFERROR(
 IF($F359="Total",
   SUMPRODUCT(
   INDEX(U:U, ROW()-COUNTIF($F$6:INDEX($F:$F, ROW()-1), $F358)) : INDEX(U:U, ROW()-1),
   INDEX(W:W, ROW()-COUNTIF($F$6:INDEX($F:$F, ROW()-1), $F358)) : INDEX(W:W, ROW()-1)
   )
   /SUM(INDEX(W:W, ROW()-COUNTIF($F$6:INDEX($F:$F, ROW()-1), $F358)) : INDEX(W:W, ROW()-1)),
   AVERAGEIFS(
     INDEX((unit_details[Effective Rent],unit_details[Effective PSF]),0,1,IF($U$3="Chunk Rent",1,2)),
     unit_details[Leased Date],"&gt;="&amp;($AM$2-T$5),
     unit_details[Leased Date],"&lt;"&amp;$AM$2,
     unit_details[Beds],$L359,
     unit_details[Baths],$M359,
     unit_details[Partial Baths],IF(ISNUMBER($N359),$N359,""),
     unit_details[Sqft],$P359,
     unit_details[Property Name],$F359)
 ),"")</f>
        <v/>
      </c>
      <c r="V359" s="27" t="str">
        <f t="shared" si="65"/>
        <v/>
      </c>
      <c r="W359" s="526">
        <f>IFERROR(
  IF($F359="Total",
    SUM(INDEX(W:W, ROW()-COUNTIF($F$6:INDEX($F:$F, ROW()-1), $F358)) : INDEX(W:W, ROW()-1)),
    COUNTIFS(
      unit_details[Leased Date], "&gt;="&amp;($AM$2-T$5),
      unit_details[Leased Date], "&lt;"&amp;$AM$2,
      unit_details[Beds], $L359,
      unit_details[Baths], $M359,
      unit_details[Partial Baths], IF(ISNUMBER($N359), $N359, ""),
      unit_details[Sqft],$P359,
      unit_details[Property Name], $F359
    )
  ),
"")</f>
        <v>0</v>
      </c>
      <c r="X359" s="531" t="str">
        <f>IFERROR(
 IF($F359="Total",
   SUMPRODUCT(
   INDEX(X:X, ROW()-COUNTIF($F$6:INDEX($F:$F, ROW()-1), $F358)) : INDEX(X:X, ROW()-1),
   INDEX(AA:AA, ROW()-COUNTIF($F$6:INDEX($F:$F, ROW()-1), $F358)) : INDEX(AA:AA, ROW()-1)
   )
   /SUM(INDEX(AA:AA, ROW()-COUNTIF($F$6:INDEX($F:$F, ROW()-1), $F358)) : INDEX(AA:AA, ROW()-1)),
   AVERAGEIFS(
     INDEX((unit_details[Asking Rent],unit_details[Asking PSF]),0,1,IF($U$3="Chunk Rent",1,2)),
     unit_details[Leased Date],"&gt;="&amp;($AM$2-X$5),
     unit_details[Leased Date],"&lt;"&amp;$AM$2,
     unit_details[Beds],$L359,
     unit_details[Baths],$M359,
     unit_details[Partial Baths],IF(ISNUMBER($N359),$N359,""),
     unit_details[Sqft],$P359,
     unit_details[Property Name],$F359)
 ),"")</f>
        <v/>
      </c>
      <c r="Y359" s="552" t="str">
        <f>IFERROR(
 IF($F359="Total",
   SUMPRODUCT(
   INDEX(Y:Y, ROW()-COUNTIF($F$6:INDEX($F:$F, ROW()-1), $F358)) : INDEX(Y:Y, ROW()-1),
   INDEX(AA:AA, ROW()-COUNTIF($F$6:INDEX($F:$F, ROW()-1), $F358)) : INDEX(AA:AA, ROW()-1)
   )
   /SUM(INDEX(AA:AA, ROW()-COUNTIF($F$6:INDEX($F:$F, ROW()-1), $F358)) : INDEX(AA:AA, ROW()-1)),
   AVERAGEIFS(
     INDEX((unit_details[Effective Rent],unit_details[Effective PSF]),0,1,IF($U$3="Chunk Rent",1,2)),
     unit_details[Leased Date],"&gt;="&amp;($AM$2-X$5),
     unit_details[Leased Date],"&lt;"&amp;$AM$2,
     unit_details[Beds],$L359,
     unit_details[Baths],$M359,
     unit_details[Partial Baths],IF(ISNUMBER($N359),$N359,""),
     unit_details[Sqft],$P359,
     unit_details[Property Name],$F359)
 ),"")</f>
        <v/>
      </c>
      <c r="Z359" s="27" t="str">
        <f t="shared" si="66"/>
        <v/>
      </c>
      <c r="AA359" s="526">
        <f>IFERROR(
  IF($F359="Total",
    SUM(INDEX(AA:AA, ROW()-COUNTIF($F$6:INDEX($F:$F, ROW()-1), $F358)) : INDEX(AA:AA, ROW()-1)),
    COUNTIFS(
      unit_details[Leased Date], "&gt;="&amp;($AM$2-X$5),
      unit_details[Leased Date], "&lt;"&amp;$AM$2,
      unit_details[Beds], $L359,
      unit_details[Baths], $M359,
      unit_details[Partial Baths], IF(ISNUMBER($N359), $N359, ""),
      unit_details[Sqft],$P359,
      unit_details[Property Name], $F359
    )
  ),
"")</f>
        <v>0</v>
      </c>
      <c r="AB359" s="290">
        <f>IF($F359="Total",
SUM(INDEX(AB:AB, ROW()-COUNTIF($F$6:INDEX($F:$F, ROW()-1), $F358)) : INDEX(AB:AB, ROW()-1)),
COUNTIFS(unit_details[Active Listing?],TRUE,
          unit_details[Property Name], $F359,
          unit_details[Beds], $L359,
          unit_details[Baths], $M359,
          unit_details[Partial Baths],IF(ISNUMBER($N359),$N359,""),
          unit_details[Sqft],$P359))</f>
        <v>0</v>
      </c>
      <c r="AC359" s="27" t="str">
        <f t="shared" si="58"/>
        <v/>
      </c>
      <c r="AD359" s="293" t="str">
        <f>IFERROR(IF(AE359="","",IF($F359="Total",
SUMPRODUCT(
   INDEX(AD:AD, ROW()-COUNTIF($F$6:INDEX($F:$F, ROW()-1), $F358)) : INDEX(AD:AD, ROW()-1),
   INDEX(AB:AB, ROW()-COUNTIF($F$6:INDEX($F:$F, ROW()-1), $F358)) : INDEX(AB:AB, ROW()-1)
   )
   /SUM(INDEX(AB:AB, ROW()-COUNTIF($F$6:INDEX($F:$F, ROW()-1), $F358)) : INDEX(AB:AB, ROW()-1)),
          _xlfn.MINIFS(unit_details[Asking Rent],
          unit_details[Active Listing?],TRUE,
          unit_details[Property Name], $F359,
          unit_details[Beds], $L359,
          unit_details[Baths], $M359,
          unit_details[Partial Baths], IF(ISNUMBER($N359),$N359,""),
          unit_details[Sqft],$P359
))),"")</f>
        <v/>
      </c>
      <c r="AE359" s="5" t="str">
        <f>IFERROR(IF($F359="Total",
          SUMPRODUCT(
   INDEX(AE:AE, ROW()-COUNTIF($F$6:INDEX($F:$F, ROW()-1), $F358)) : INDEX(AE:AE, ROW()-1),
   INDEX(AB:AB, ROW()-COUNTIF($F$6:INDEX($F:$F, ROW()-1), $F358)) : INDEX(AB:AB, ROW()-1)
   )
   /SUM(INDEX(AB:AB, ROW()-COUNTIF($F$6:INDEX($F:$F, ROW()-1), $F358)) : INDEX(AB:AB, ROW()-1)),
          AVERAGEIFS(unit_details[Asking Rent],
          unit_details[Active Listing?],TRUE,
          unit_details[Property Name], $F359,
          unit_details[Beds], $L359,
          unit_details[Baths], $M359,
          unit_details[Partial Baths], IF(ISNUMBER($N359),$N359,""),
          unit_details[Sqft],$P359
)),"")</f>
        <v/>
      </c>
      <c r="AF359" s="5" t="str">
        <f>IFERROR(IF(AE359="","",IF($F359="Total",
SUMPRODUCT(
   INDEX(AF:AF, ROW()-COUNTIF($F$6:INDEX($F:$F, ROW()-1), $F358)) : INDEX(AF:AF, ROW()-1),
   INDEX(AB:AB, ROW()-COUNTIF($F$6:INDEX($F:$F, ROW()-1), $F358)) : INDEX(AB:AB, ROW()-1)
   )
   /SUM(INDEX(AB:AB, ROW()-COUNTIF($F$6:INDEX($F:$F, ROW()-1), $F358)) : INDEX(AB:AB, ROW()-1)),
           _xlfn.MAXIFS(unit_details[Asking Rent],
          unit_details[Active Listing?],TRUE,
          unit_details[Property Name], $F359,
          unit_details[Beds], $L359,
          unit_details[Baths], $M359,
          unit_details[Partial Baths], IF(ISNUMBER($N359),$N359,""),
          unit_details[Sqft],$P359
))),"")</f>
        <v/>
      </c>
      <c r="AG359" s="6" t="str">
        <f>IFERROR(IF($F359="Total",
         SUMPRODUCT(
         INDEX(AG:AG, ROW()-COUNTIF($F$6:INDEX($F:$F, ROW()-1), $F358)) : INDEX(AG:AG, ROW()-1),
         INDEX(AB:AB, ROW()-COUNTIF($F$6:INDEX($F:$F, ROW()-1), $F358)) : INDEX(AB:AB, ROW()-1)
         )
         /SUM(INDEX(AB:AB, ROW()-COUNTIF($F$6:INDEX($F:$F, ROW()-1), $F358)) : INDEX(AB:AB, ROW()-1)),
          AVERAGEIFS(unit_details[Asking PSF],
          unit_details[Active Listing?],TRUE,
          unit_details[Property Name], $F359,
          unit_details[Beds], $L359,
          unit_details[Baths], $M359,
          unit_details[Partial Baths], IF(ISNUMBER($N359),$N359,""),
          unit_details[Sqft],$P359
)),"")</f>
        <v/>
      </c>
      <c r="AH359" s="293" t="str">
        <f>IFERROR(IF($F359="Total",
         SUMPRODUCT(
         INDEX(AH:AH, ROW()-COUNTIF($F$6:INDEX($F:$F, ROW()-1), $F358)) : INDEX(AH:AH, ROW()-1),
         INDEX(AB:AB, ROW()-COUNTIF($F$6:INDEX($F:$F, ROW()-1), $F358)) : INDEX(AB:AB, ROW()-1)
         )
         /SUM(INDEX(AB:AB, ROW()-COUNTIF($F$6:INDEX($F:$F, ROW()-1), $F358)) : INDEX(AB:AB, ROW()-1)),
          AVERAGEIFS(unit_details[Effective Rent],
          unit_details[Active Listing?],TRUE,
          unit_details[Property Name], $F359,
          unit_details[Beds], $L359,
          unit_details[Baths], $M359,
          unit_details[Partial Baths], IF(ISNUMBER($N359),$N359,""),
          unit_details[Sqft],$P359
)),"")</f>
        <v/>
      </c>
      <c r="AI359" s="6" t="str">
        <f>IFERROR(IF($F359="Total",
         SUMPRODUCT(
         INDEX(AI:AI, ROW()-COUNTIF($F$6:INDEX($F:$F, ROW()-1), $F358)) : INDEX(AI:AI, ROW()-1),
         INDEX(AB:AB, ROW()-COUNTIF($F$6:INDEX($F:$F, ROW()-1), $F358)) : INDEX(AB:AB, ROW()-1)
         )
         /SUM(INDEX(AB:AB, ROW()-COUNTIF($F$6:INDEX($F:$F, ROW()-1), $F358)) : INDEX(AB:AB, ROW()-1)),
           AVERAGEIFS(unit_details[Effective PSF],
          unit_details[Active Listing?],TRUE,
          unit_details[Property Name], $F359,
          unit_details[Beds], $L359,
          unit_details[Baths], $M359,
          unit_details[Partial Baths], IF(ISNUMBER($N359),$N359,""),
          unit_details[Sqft],$P359
)),"")</f>
        <v/>
      </c>
      <c r="AJ359" s="824" t="str">
        <f t="shared" si="59"/>
        <v/>
      </c>
      <c r="AK359" s="531" t="str">
        <f t="shared" si="60"/>
        <v/>
      </c>
      <c r="AL359" s="714" t="str">
        <f t="shared" si="61"/>
        <v/>
      </c>
      <c r="AM359" s="531" t="str">
        <f t="shared" si="62"/>
        <v/>
      </c>
      <c r="AN359" s="716" t="str">
        <f t="shared" si="63"/>
        <v/>
      </c>
    </row>
    <row r="360" spans="6:40" x14ac:dyDescent="0.2">
      <c r="F360" s="1" t="str">
        <f t="shared" si="56"/>
        <v/>
      </c>
      <c r="G360" s="713" t="str">
        <f t="shared" si="64"/>
        <v/>
      </c>
      <c r="H360" s="17" t="str">
        <f>IFERROR(VLOOKUP($G360,Table1[[Property]:[Exposure %]],4,0),"")</f>
        <v/>
      </c>
      <c r="I360" s="3" t="str">
        <f>IFERROR(VLOOKUP($G360,Table1[[Property]:[Exposure %]],6,0),"")</f>
        <v/>
      </c>
      <c r="J360" s="3" t="str">
        <f>IFERROR(VLOOKUP($G360,Table1[[Property]:[Exposure %]],7,0),"")</f>
        <v/>
      </c>
      <c r="R360" s="4" t="str">
        <f>IFERROR(VLOOKUP(IF(F360="Total",F359,F360),Table1[[Property]:['# Units]],7,0)*S360,"")</f>
        <v/>
      </c>
      <c r="S360" s="27" t="str">
        <f t="shared" si="57"/>
        <v/>
      </c>
      <c r="T360" s="531" t="str">
        <f>IFERROR(
 IF($F360="Total",
   SUMPRODUCT(
   INDEX(T:T, ROW()-COUNTIF($F$6:INDEX($F:$F, ROW()-1), $F359)) : INDEX(T:T, ROW()-1),
   INDEX(W:W, ROW()-COUNTIF($F$6:INDEX($F:$F, ROW()-1), $F359)) : INDEX(W:W, ROW()-1)
   )
   /SUM(INDEX(W:W, ROW()-COUNTIF($F$6:INDEX($F:$F, ROW()-1), $F359)) : INDEX(W:W, ROW()-1)),
   AVERAGEIFS(
     INDEX((unit_details[Asking Rent],unit_details[Asking PSF]),0,1,IF($U$3="Chunk Rent",1,2)),
     unit_details[Leased Date],"&gt;="&amp;($AM$2-T$5),
     unit_details[Leased Date],"&lt;"&amp;$AM$2,
     unit_details[Beds],$L360,
     unit_details[Baths],$M360,
     unit_details[Partial Baths],IF(ISNUMBER($N360),$N360,""),
     unit_details[Sqft],$P360,
     unit_details[Property Name],$F360)
 ),"")</f>
        <v/>
      </c>
      <c r="U360" s="552" t="str">
        <f>IFERROR(
 IF($F360="Total",
   SUMPRODUCT(
   INDEX(U:U, ROW()-COUNTIF($F$6:INDEX($F:$F, ROW()-1), $F359)) : INDEX(U:U, ROW()-1),
   INDEX(W:W, ROW()-COUNTIF($F$6:INDEX($F:$F, ROW()-1), $F359)) : INDEX(W:W, ROW()-1)
   )
   /SUM(INDEX(W:W, ROW()-COUNTIF($F$6:INDEX($F:$F, ROW()-1), $F359)) : INDEX(W:W, ROW()-1)),
   AVERAGEIFS(
     INDEX((unit_details[Effective Rent],unit_details[Effective PSF]),0,1,IF($U$3="Chunk Rent",1,2)),
     unit_details[Leased Date],"&gt;="&amp;($AM$2-T$5),
     unit_details[Leased Date],"&lt;"&amp;$AM$2,
     unit_details[Beds],$L360,
     unit_details[Baths],$M360,
     unit_details[Partial Baths],IF(ISNUMBER($N360),$N360,""),
     unit_details[Sqft],$P360,
     unit_details[Property Name],$F360)
 ),"")</f>
        <v/>
      </c>
      <c r="V360" s="27" t="str">
        <f t="shared" si="65"/>
        <v/>
      </c>
      <c r="W360" s="526">
        <f>IFERROR(
  IF($F360="Total",
    SUM(INDEX(W:W, ROW()-COUNTIF($F$6:INDEX($F:$F, ROW()-1), $F359)) : INDEX(W:W, ROW()-1)),
    COUNTIFS(
      unit_details[Leased Date], "&gt;="&amp;($AM$2-T$5),
      unit_details[Leased Date], "&lt;"&amp;$AM$2,
      unit_details[Beds], $L360,
      unit_details[Baths], $M360,
      unit_details[Partial Baths], IF(ISNUMBER($N360), $N360, ""),
      unit_details[Sqft],$P360,
      unit_details[Property Name], $F360
    )
  ),
"")</f>
        <v>0</v>
      </c>
      <c r="X360" s="531" t="str">
        <f>IFERROR(
 IF($F360="Total",
   SUMPRODUCT(
   INDEX(X:X, ROW()-COUNTIF($F$6:INDEX($F:$F, ROW()-1), $F359)) : INDEX(X:X, ROW()-1),
   INDEX(AA:AA, ROW()-COUNTIF($F$6:INDEX($F:$F, ROW()-1), $F359)) : INDEX(AA:AA, ROW()-1)
   )
   /SUM(INDEX(AA:AA, ROW()-COUNTIF($F$6:INDEX($F:$F, ROW()-1), $F359)) : INDEX(AA:AA, ROW()-1)),
   AVERAGEIFS(
     INDEX((unit_details[Asking Rent],unit_details[Asking PSF]),0,1,IF($U$3="Chunk Rent",1,2)),
     unit_details[Leased Date],"&gt;="&amp;($AM$2-X$5),
     unit_details[Leased Date],"&lt;"&amp;$AM$2,
     unit_details[Beds],$L360,
     unit_details[Baths],$M360,
     unit_details[Partial Baths],IF(ISNUMBER($N360),$N360,""),
     unit_details[Sqft],$P360,
     unit_details[Property Name],$F360)
 ),"")</f>
        <v/>
      </c>
      <c r="Y360" s="552" t="str">
        <f>IFERROR(
 IF($F360="Total",
   SUMPRODUCT(
   INDEX(Y:Y, ROW()-COUNTIF($F$6:INDEX($F:$F, ROW()-1), $F359)) : INDEX(Y:Y, ROW()-1),
   INDEX(AA:AA, ROW()-COUNTIF($F$6:INDEX($F:$F, ROW()-1), $F359)) : INDEX(AA:AA, ROW()-1)
   )
   /SUM(INDEX(AA:AA, ROW()-COUNTIF($F$6:INDEX($F:$F, ROW()-1), $F359)) : INDEX(AA:AA, ROW()-1)),
   AVERAGEIFS(
     INDEX((unit_details[Effective Rent],unit_details[Effective PSF]),0,1,IF($U$3="Chunk Rent",1,2)),
     unit_details[Leased Date],"&gt;="&amp;($AM$2-X$5),
     unit_details[Leased Date],"&lt;"&amp;$AM$2,
     unit_details[Beds],$L360,
     unit_details[Baths],$M360,
     unit_details[Partial Baths],IF(ISNUMBER($N360),$N360,""),
     unit_details[Sqft],$P360,
     unit_details[Property Name],$F360)
 ),"")</f>
        <v/>
      </c>
      <c r="Z360" s="27" t="str">
        <f t="shared" si="66"/>
        <v/>
      </c>
      <c r="AA360" s="526">
        <f>IFERROR(
  IF($F360="Total",
    SUM(INDEX(AA:AA, ROW()-COUNTIF($F$6:INDEX($F:$F, ROW()-1), $F359)) : INDEX(AA:AA, ROW()-1)),
    COUNTIFS(
      unit_details[Leased Date], "&gt;="&amp;($AM$2-X$5),
      unit_details[Leased Date], "&lt;"&amp;$AM$2,
      unit_details[Beds], $L360,
      unit_details[Baths], $M360,
      unit_details[Partial Baths], IF(ISNUMBER($N360), $N360, ""),
      unit_details[Sqft],$P360,
      unit_details[Property Name], $F360
    )
  ),
"")</f>
        <v>0</v>
      </c>
      <c r="AB360" s="290">
        <f>IF($F360="Total",
SUM(INDEX(AB:AB, ROW()-COUNTIF($F$6:INDEX($F:$F, ROW()-1), $F359)) : INDEX(AB:AB, ROW()-1)),
COUNTIFS(unit_details[Active Listing?],TRUE,
          unit_details[Property Name], $F360,
          unit_details[Beds], $L360,
          unit_details[Baths], $M360,
          unit_details[Partial Baths],IF(ISNUMBER($N360),$N360,""),
          unit_details[Sqft],$P360))</f>
        <v>0</v>
      </c>
      <c r="AC360" s="27" t="str">
        <f t="shared" si="58"/>
        <v/>
      </c>
      <c r="AD360" s="293" t="str">
        <f>IFERROR(IF(AE360="","",IF($F360="Total",
SUMPRODUCT(
   INDEX(AD:AD, ROW()-COUNTIF($F$6:INDEX($F:$F, ROW()-1), $F359)) : INDEX(AD:AD, ROW()-1),
   INDEX(AB:AB, ROW()-COUNTIF($F$6:INDEX($F:$F, ROW()-1), $F359)) : INDEX(AB:AB, ROW()-1)
   )
   /SUM(INDEX(AB:AB, ROW()-COUNTIF($F$6:INDEX($F:$F, ROW()-1), $F359)) : INDEX(AB:AB, ROW()-1)),
          _xlfn.MINIFS(unit_details[Asking Rent],
          unit_details[Active Listing?],TRUE,
          unit_details[Property Name], $F360,
          unit_details[Beds], $L360,
          unit_details[Baths], $M360,
          unit_details[Partial Baths], IF(ISNUMBER($N360),$N360,""),
          unit_details[Sqft],$P360
))),"")</f>
        <v/>
      </c>
      <c r="AE360" s="5" t="str">
        <f>IFERROR(IF($F360="Total",
          SUMPRODUCT(
   INDEX(AE:AE, ROW()-COUNTIF($F$6:INDEX($F:$F, ROW()-1), $F359)) : INDEX(AE:AE, ROW()-1),
   INDEX(AB:AB, ROW()-COUNTIF($F$6:INDEX($F:$F, ROW()-1), $F359)) : INDEX(AB:AB, ROW()-1)
   )
   /SUM(INDEX(AB:AB, ROW()-COUNTIF($F$6:INDEX($F:$F, ROW()-1), $F359)) : INDEX(AB:AB, ROW()-1)),
          AVERAGEIFS(unit_details[Asking Rent],
          unit_details[Active Listing?],TRUE,
          unit_details[Property Name], $F360,
          unit_details[Beds], $L360,
          unit_details[Baths], $M360,
          unit_details[Partial Baths], IF(ISNUMBER($N360),$N360,""),
          unit_details[Sqft],$P360
)),"")</f>
        <v/>
      </c>
      <c r="AF360" s="5" t="str">
        <f>IFERROR(IF(AE360="","",IF($F360="Total",
SUMPRODUCT(
   INDEX(AF:AF, ROW()-COUNTIF($F$6:INDEX($F:$F, ROW()-1), $F359)) : INDEX(AF:AF, ROW()-1),
   INDEX(AB:AB, ROW()-COUNTIF($F$6:INDEX($F:$F, ROW()-1), $F359)) : INDEX(AB:AB, ROW()-1)
   )
   /SUM(INDEX(AB:AB, ROW()-COUNTIF($F$6:INDEX($F:$F, ROW()-1), $F359)) : INDEX(AB:AB, ROW()-1)),
           _xlfn.MAXIFS(unit_details[Asking Rent],
          unit_details[Active Listing?],TRUE,
          unit_details[Property Name], $F360,
          unit_details[Beds], $L360,
          unit_details[Baths], $M360,
          unit_details[Partial Baths], IF(ISNUMBER($N360),$N360,""),
          unit_details[Sqft],$P360
))),"")</f>
        <v/>
      </c>
      <c r="AG360" s="6" t="str">
        <f>IFERROR(IF($F360="Total",
         SUMPRODUCT(
         INDEX(AG:AG, ROW()-COUNTIF($F$6:INDEX($F:$F, ROW()-1), $F359)) : INDEX(AG:AG, ROW()-1),
         INDEX(AB:AB, ROW()-COUNTIF($F$6:INDEX($F:$F, ROW()-1), $F359)) : INDEX(AB:AB, ROW()-1)
         )
         /SUM(INDEX(AB:AB, ROW()-COUNTIF($F$6:INDEX($F:$F, ROW()-1), $F359)) : INDEX(AB:AB, ROW()-1)),
          AVERAGEIFS(unit_details[Asking PSF],
          unit_details[Active Listing?],TRUE,
          unit_details[Property Name], $F360,
          unit_details[Beds], $L360,
          unit_details[Baths], $M360,
          unit_details[Partial Baths], IF(ISNUMBER($N360),$N360,""),
          unit_details[Sqft],$P360
)),"")</f>
        <v/>
      </c>
      <c r="AH360" s="293" t="str">
        <f>IFERROR(IF($F360="Total",
         SUMPRODUCT(
         INDEX(AH:AH, ROW()-COUNTIF($F$6:INDEX($F:$F, ROW()-1), $F359)) : INDEX(AH:AH, ROW()-1),
         INDEX(AB:AB, ROW()-COUNTIF($F$6:INDEX($F:$F, ROW()-1), $F359)) : INDEX(AB:AB, ROW()-1)
         )
         /SUM(INDEX(AB:AB, ROW()-COUNTIF($F$6:INDEX($F:$F, ROW()-1), $F359)) : INDEX(AB:AB, ROW()-1)),
          AVERAGEIFS(unit_details[Effective Rent],
          unit_details[Active Listing?],TRUE,
          unit_details[Property Name], $F360,
          unit_details[Beds], $L360,
          unit_details[Baths], $M360,
          unit_details[Partial Baths], IF(ISNUMBER($N360),$N360,""),
          unit_details[Sqft],$P360
)),"")</f>
        <v/>
      </c>
      <c r="AI360" s="6" t="str">
        <f>IFERROR(IF($F360="Total",
         SUMPRODUCT(
         INDEX(AI:AI, ROW()-COUNTIF($F$6:INDEX($F:$F, ROW()-1), $F359)) : INDEX(AI:AI, ROW()-1),
         INDEX(AB:AB, ROW()-COUNTIF($F$6:INDEX($F:$F, ROW()-1), $F359)) : INDEX(AB:AB, ROW()-1)
         )
         /SUM(INDEX(AB:AB, ROW()-COUNTIF($F$6:INDEX($F:$F, ROW()-1), $F359)) : INDEX(AB:AB, ROW()-1)),
           AVERAGEIFS(unit_details[Effective PSF],
          unit_details[Active Listing?],TRUE,
          unit_details[Property Name], $F360,
          unit_details[Beds], $L360,
          unit_details[Baths], $M360,
          unit_details[Partial Baths], IF(ISNUMBER($N360),$N360,""),
          unit_details[Sqft],$P360
)),"")</f>
        <v/>
      </c>
      <c r="AJ360" s="824" t="str">
        <f t="shared" si="59"/>
        <v/>
      </c>
      <c r="AK360" s="531" t="str">
        <f t="shared" si="60"/>
        <v/>
      </c>
      <c r="AL360" s="714" t="str">
        <f t="shared" si="61"/>
        <v/>
      </c>
      <c r="AM360" s="531" t="str">
        <f t="shared" si="62"/>
        <v/>
      </c>
      <c r="AN360" s="716" t="str">
        <f t="shared" si="63"/>
        <v/>
      </c>
    </row>
    <row r="361" spans="6:40" x14ac:dyDescent="0.2">
      <c r="F361" s="1" t="str">
        <f t="shared" si="56"/>
        <v/>
      </c>
      <c r="G361" s="713" t="str">
        <f t="shared" si="64"/>
        <v/>
      </c>
      <c r="H361" s="17" t="str">
        <f>IFERROR(VLOOKUP($G361,Table1[[Property]:[Exposure %]],4,0),"")</f>
        <v/>
      </c>
      <c r="I361" s="3" t="str">
        <f>IFERROR(VLOOKUP($G361,Table1[[Property]:[Exposure %]],6,0),"")</f>
        <v/>
      </c>
      <c r="J361" s="3" t="str">
        <f>IFERROR(VLOOKUP($G361,Table1[[Property]:[Exposure %]],7,0),"")</f>
        <v/>
      </c>
      <c r="R361" s="4" t="str">
        <f>IFERROR(VLOOKUP(IF(F361="Total",F360,F361),Table1[[Property]:['# Units]],7,0)*S361,"")</f>
        <v/>
      </c>
      <c r="S361" s="27" t="str">
        <f t="shared" si="57"/>
        <v/>
      </c>
      <c r="T361" s="531" t="str">
        <f>IFERROR(
 IF($F361="Total",
   SUMPRODUCT(
   INDEX(T:T, ROW()-COUNTIF($F$6:INDEX($F:$F, ROW()-1), $F360)) : INDEX(T:T, ROW()-1),
   INDEX(W:W, ROW()-COUNTIF($F$6:INDEX($F:$F, ROW()-1), $F360)) : INDEX(W:W, ROW()-1)
   )
   /SUM(INDEX(W:W, ROW()-COUNTIF($F$6:INDEX($F:$F, ROW()-1), $F360)) : INDEX(W:W, ROW()-1)),
   AVERAGEIFS(
     INDEX((unit_details[Asking Rent],unit_details[Asking PSF]),0,1,IF($U$3="Chunk Rent",1,2)),
     unit_details[Leased Date],"&gt;="&amp;($AM$2-T$5),
     unit_details[Leased Date],"&lt;"&amp;$AM$2,
     unit_details[Beds],$L361,
     unit_details[Baths],$M361,
     unit_details[Partial Baths],IF(ISNUMBER($N361),$N361,""),
     unit_details[Sqft],$P361,
     unit_details[Property Name],$F361)
 ),"")</f>
        <v/>
      </c>
      <c r="U361" s="552" t="str">
        <f>IFERROR(
 IF($F361="Total",
   SUMPRODUCT(
   INDEX(U:U, ROW()-COUNTIF($F$6:INDEX($F:$F, ROW()-1), $F360)) : INDEX(U:U, ROW()-1),
   INDEX(W:W, ROW()-COUNTIF($F$6:INDEX($F:$F, ROW()-1), $F360)) : INDEX(W:W, ROW()-1)
   )
   /SUM(INDEX(W:W, ROW()-COUNTIF($F$6:INDEX($F:$F, ROW()-1), $F360)) : INDEX(W:W, ROW()-1)),
   AVERAGEIFS(
     INDEX((unit_details[Effective Rent],unit_details[Effective PSF]),0,1,IF($U$3="Chunk Rent",1,2)),
     unit_details[Leased Date],"&gt;="&amp;($AM$2-T$5),
     unit_details[Leased Date],"&lt;"&amp;$AM$2,
     unit_details[Beds],$L361,
     unit_details[Baths],$M361,
     unit_details[Partial Baths],IF(ISNUMBER($N361),$N361,""),
     unit_details[Sqft],$P361,
     unit_details[Property Name],$F361)
 ),"")</f>
        <v/>
      </c>
      <c r="V361" s="27" t="str">
        <f t="shared" si="65"/>
        <v/>
      </c>
      <c r="W361" s="526">
        <f>IFERROR(
  IF($F361="Total",
    SUM(INDEX(W:W, ROW()-COUNTIF($F$6:INDEX($F:$F, ROW()-1), $F360)) : INDEX(W:W, ROW()-1)),
    COUNTIFS(
      unit_details[Leased Date], "&gt;="&amp;($AM$2-T$5),
      unit_details[Leased Date], "&lt;"&amp;$AM$2,
      unit_details[Beds], $L361,
      unit_details[Baths], $M361,
      unit_details[Partial Baths], IF(ISNUMBER($N361), $N361, ""),
      unit_details[Sqft],$P361,
      unit_details[Property Name], $F361
    )
  ),
"")</f>
        <v>0</v>
      </c>
      <c r="X361" s="531" t="str">
        <f>IFERROR(
 IF($F361="Total",
   SUMPRODUCT(
   INDEX(X:X, ROW()-COUNTIF($F$6:INDEX($F:$F, ROW()-1), $F360)) : INDEX(X:X, ROW()-1),
   INDEX(AA:AA, ROW()-COUNTIF($F$6:INDEX($F:$F, ROW()-1), $F360)) : INDEX(AA:AA, ROW()-1)
   )
   /SUM(INDEX(AA:AA, ROW()-COUNTIF($F$6:INDEX($F:$F, ROW()-1), $F360)) : INDEX(AA:AA, ROW()-1)),
   AVERAGEIFS(
     INDEX((unit_details[Asking Rent],unit_details[Asking PSF]),0,1,IF($U$3="Chunk Rent",1,2)),
     unit_details[Leased Date],"&gt;="&amp;($AM$2-X$5),
     unit_details[Leased Date],"&lt;"&amp;$AM$2,
     unit_details[Beds],$L361,
     unit_details[Baths],$M361,
     unit_details[Partial Baths],IF(ISNUMBER($N361),$N361,""),
     unit_details[Sqft],$P361,
     unit_details[Property Name],$F361)
 ),"")</f>
        <v/>
      </c>
      <c r="Y361" s="552" t="str">
        <f>IFERROR(
 IF($F361="Total",
   SUMPRODUCT(
   INDEX(Y:Y, ROW()-COUNTIF($F$6:INDEX($F:$F, ROW()-1), $F360)) : INDEX(Y:Y, ROW()-1),
   INDEX(AA:AA, ROW()-COUNTIF($F$6:INDEX($F:$F, ROW()-1), $F360)) : INDEX(AA:AA, ROW()-1)
   )
   /SUM(INDEX(AA:AA, ROW()-COUNTIF($F$6:INDEX($F:$F, ROW()-1), $F360)) : INDEX(AA:AA, ROW()-1)),
   AVERAGEIFS(
     INDEX((unit_details[Effective Rent],unit_details[Effective PSF]),0,1,IF($U$3="Chunk Rent",1,2)),
     unit_details[Leased Date],"&gt;="&amp;($AM$2-X$5),
     unit_details[Leased Date],"&lt;"&amp;$AM$2,
     unit_details[Beds],$L361,
     unit_details[Baths],$M361,
     unit_details[Partial Baths],IF(ISNUMBER($N361),$N361,""),
     unit_details[Sqft],$P361,
     unit_details[Property Name],$F361)
 ),"")</f>
        <v/>
      </c>
      <c r="Z361" s="27" t="str">
        <f t="shared" si="66"/>
        <v/>
      </c>
      <c r="AA361" s="526">
        <f>IFERROR(
  IF($F361="Total",
    SUM(INDEX(AA:AA, ROW()-COUNTIF($F$6:INDEX($F:$F, ROW()-1), $F360)) : INDEX(AA:AA, ROW()-1)),
    COUNTIFS(
      unit_details[Leased Date], "&gt;="&amp;($AM$2-X$5),
      unit_details[Leased Date], "&lt;"&amp;$AM$2,
      unit_details[Beds], $L361,
      unit_details[Baths], $M361,
      unit_details[Partial Baths], IF(ISNUMBER($N361), $N361, ""),
      unit_details[Sqft],$P361,
      unit_details[Property Name], $F361
    )
  ),
"")</f>
        <v>0</v>
      </c>
      <c r="AB361" s="290">
        <f>IF($F361="Total",
SUM(INDEX(AB:AB, ROW()-COUNTIF($F$6:INDEX($F:$F, ROW()-1), $F360)) : INDEX(AB:AB, ROW()-1)),
COUNTIFS(unit_details[Active Listing?],TRUE,
          unit_details[Property Name], $F361,
          unit_details[Beds], $L361,
          unit_details[Baths], $M361,
          unit_details[Partial Baths],IF(ISNUMBER($N361),$N361,""),
          unit_details[Sqft],$P361))</f>
        <v>0</v>
      </c>
      <c r="AC361" s="27" t="str">
        <f t="shared" si="58"/>
        <v/>
      </c>
      <c r="AD361" s="293" t="str">
        <f>IFERROR(IF(AE361="","",IF($F361="Total",
SUMPRODUCT(
   INDEX(AD:AD, ROW()-COUNTIF($F$6:INDEX($F:$F, ROW()-1), $F360)) : INDEX(AD:AD, ROW()-1),
   INDEX(AB:AB, ROW()-COUNTIF($F$6:INDEX($F:$F, ROW()-1), $F360)) : INDEX(AB:AB, ROW()-1)
   )
   /SUM(INDEX(AB:AB, ROW()-COUNTIF($F$6:INDEX($F:$F, ROW()-1), $F360)) : INDEX(AB:AB, ROW()-1)),
          _xlfn.MINIFS(unit_details[Asking Rent],
          unit_details[Active Listing?],TRUE,
          unit_details[Property Name], $F361,
          unit_details[Beds], $L361,
          unit_details[Baths], $M361,
          unit_details[Partial Baths], IF(ISNUMBER($N361),$N361,""),
          unit_details[Sqft],$P361
))),"")</f>
        <v/>
      </c>
      <c r="AE361" s="5" t="str">
        <f>IFERROR(IF($F361="Total",
          SUMPRODUCT(
   INDEX(AE:AE, ROW()-COUNTIF($F$6:INDEX($F:$F, ROW()-1), $F360)) : INDEX(AE:AE, ROW()-1),
   INDEX(AB:AB, ROW()-COUNTIF($F$6:INDEX($F:$F, ROW()-1), $F360)) : INDEX(AB:AB, ROW()-1)
   )
   /SUM(INDEX(AB:AB, ROW()-COUNTIF($F$6:INDEX($F:$F, ROW()-1), $F360)) : INDEX(AB:AB, ROW()-1)),
          AVERAGEIFS(unit_details[Asking Rent],
          unit_details[Active Listing?],TRUE,
          unit_details[Property Name], $F361,
          unit_details[Beds], $L361,
          unit_details[Baths], $M361,
          unit_details[Partial Baths], IF(ISNUMBER($N361),$N361,""),
          unit_details[Sqft],$P361
)),"")</f>
        <v/>
      </c>
      <c r="AF361" s="5" t="str">
        <f>IFERROR(IF(AE361="","",IF($F361="Total",
SUMPRODUCT(
   INDEX(AF:AF, ROW()-COUNTIF($F$6:INDEX($F:$F, ROW()-1), $F360)) : INDEX(AF:AF, ROW()-1),
   INDEX(AB:AB, ROW()-COUNTIF($F$6:INDEX($F:$F, ROW()-1), $F360)) : INDEX(AB:AB, ROW()-1)
   )
   /SUM(INDEX(AB:AB, ROW()-COUNTIF($F$6:INDEX($F:$F, ROW()-1), $F360)) : INDEX(AB:AB, ROW()-1)),
           _xlfn.MAXIFS(unit_details[Asking Rent],
          unit_details[Active Listing?],TRUE,
          unit_details[Property Name], $F361,
          unit_details[Beds], $L361,
          unit_details[Baths], $M361,
          unit_details[Partial Baths], IF(ISNUMBER($N361),$N361,""),
          unit_details[Sqft],$P361
))),"")</f>
        <v/>
      </c>
      <c r="AG361" s="6" t="str">
        <f>IFERROR(IF($F361="Total",
         SUMPRODUCT(
         INDEX(AG:AG, ROW()-COUNTIF($F$6:INDEX($F:$F, ROW()-1), $F360)) : INDEX(AG:AG, ROW()-1),
         INDEX(AB:AB, ROW()-COUNTIF($F$6:INDEX($F:$F, ROW()-1), $F360)) : INDEX(AB:AB, ROW()-1)
         )
         /SUM(INDEX(AB:AB, ROW()-COUNTIF($F$6:INDEX($F:$F, ROW()-1), $F360)) : INDEX(AB:AB, ROW()-1)),
          AVERAGEIFS(unit_details[Asking PSF],
          unit_details[Active Listing?],TRUE,
          unit_details[Property Name], $F361,
          unit_details[Beds], $L361,
          unit_details[Baths], $M361,
          unit_details[Partial Baths], IF(ISNUMBER($N361),$N361,""),
          unit_details[Sqft],$P361
)),"")</f>
        <v/>
      </c>
      <c r="AH361" s="293" t="str">
        <f>IFERROR(IF($F361="Total",
         SUMPRODUCT(
         INDEX(AH:AH, ROW()-COUNTIF($F$6:INDEX($F:$F, ROW()-1), $F360)) : INDEX(AH:AH, ROW()-1),
         INDEX(AB:AB, ROW()-COUNTIF($F$6:INDEX($F:$F, ROW()-1), $F360)) : INDEX(AB:AB, ROW()-1)
         )
         /SUM(INDEX(AB:AB, ROW()-COUNTIF($F$6:INDEX($F:$F, ROW()-1), $F360)) : INDEX(AB:AB, ROW()-1)),
          AVERAGEIFS(unit_details[Effective Rent],
          unit_details[Active Listing?],TRUE,
          unit_details[Property Name], $F361,
          unit_details[Beds], $L361,
          unit_details[Baths], $M361,
          unit_details[Partial Baths], IF(ISNUMBER($N361),$N361,""),
          unit_details[Sqft],$P361
)),"")</f>
        <v/>
      </c>
      <c r="AI361" s="6" t="str">
        <f>IFERROR(IF($F361="Total",
         SUMPRODUCT(
         INDEX(AI:AI, ROW()-COUNTIF($F$6:INDEX($F:$F, ROW()-1), $F360)) : INDEX(AI:AI, ROW()-1),
         INDEX(AB:AB, ROW()-COUNTIF($F$6:INDEX($F:$F, ROW()-1), $F360)) : INDEX(AB:AB, ROW()-1)
         )
         /SUM(INDEX(AB:AB, ROW()-COUNTIF($F$6:INDEX($F:$F, ROW()-1), $F360)) : INDEX(AB:AB, ROW()-1)),
           AVERAGEIFS(unit_details[Effective PSF],
          unit_details[Active Listing?],TRUE,
          unit_details[Property Name], $F361,
          unit_details[Beds], $L361,
          unit_details[Baths], $M361,
          unit_details[Partial Baths], IF(ISNUMBER($N361),$N361,""),
          unit_details[Sqft],$P361
)),"")</f>
        <v/>
      </c>
      <c r="AJ361" s="824" t="str">
        <f t="shared" si="59"/>
        <v/>
      </c>
      <c r="AK361" s="531" t="str">
        <f t="shared" si="60"/>
        <v/>
      </c>
      <c r="AL361" s="714" t="str">
        <f t="shared" si="61"/>
        <v/>
      </c>
      <c r="AM361" s="531" t="str">
        <f t="shared" si="62"/>
        <v/>
      </c>
      <c r="AN361" s="716" t="str">
        <f t="shared" si="63"/>
        <v/>
      </c>
    </row>
    <row r="362" spans="6:40" x14ac:dyDescent="0.2">
      <c r="F362" s="1" t="str">
        <f t="shared" si="56"/>
        <v/>
      </c>
      <c r="G362" s="713" t="str">
        <f t="shared" si="64"/>
        <v/>
      </c>
      <c r="H362" s="17" t="str">
        <f>IFERROR(VLOOKUP($G362,Table1[[Property]:[Exposure %]],4,0),"")</f>
        <v/>
      </c>
      <c r="I362" s="3" t="str">
        <f>IFERROR(VLOOKUP($G362,Table1[[Property]:[Exposure %]],6,0),"")</f>
        <v/>
      </c>
      <c r="J362" s="3" t="str">
        <f>IFERROR(VLOOKUP($G362,Table1[[Property]:[Exposure %]],7,0),"")</f>
        <v/>
      </c>
      <c r="R362" s="4" t="str">
        <f>IFERROR(VLOOKUP(IF(F362="Total",F361,F362),Table1[[Property]:['# Units]],7,0)*S362,"")</f>
        <v/>
      </c>
      <c r="S362" s="27" t="str">
        <f t="shared" si="57"/>
        <v/>
      </c>
      <c r="T362" s="531" t="str">
        <f>IFERROR(
 IF($F362="Total",
   SUMPRODUCT(
   INDEX(T:T, ROW()-COUNTIF($F$6:INDEX($F:$F, ROW()-1), $F361)) : INDEX(T:T, ROW()-1),
   INDEX(W:W, ROW()-COUNTIF($F$6:INDEX($F:$F, ROW()-1), $F361)) : INDEX(W:W, ROW()-1)
   )
   /SUM(INDEX(W:W, ROW()-COUNTIF($F$6:INDEX($F:$F, ROW()-1), $F361)) : INDEX(W:W, ROW()-1)),
   AVERAGEIFS(
     INDEX((unit_details[Asking Rent],unit_details[Asking PSF]),0,1,IF($U$3="Chunk Rent",1,2)),
     unit_details[Leased Date],"&gt;="&amp;($AM$2-T$5),
     unit_details[Leased Date],"&lt;"&amp;$AM$2,
     unit_details[Beds],$L362,
     unit_details[Baths],$M362,
     unit_details[Partial Baths],IF(ISNUMBER($N362),$N362,""),
     unit_details[Sqft],$P362,
     unit_details[Property Name],$F362)
 ),"")</f>
        <v/>
      </c>
      <c r="U362" s="552" t="str">
        <f>IFERROR(
 IF($F362="Total",
   SUMPRODUCT(
   INDEX(U:U, ROW()-COUNTIF($F$6:INDEX($F:$F, ROW()-1), $F361)) : INDEX(U:U, ROW()-1),
   INDEX(W:W, ROW()-COUNTIF($F$6:INDEX($F:$F, ROW()-1), $F361)) : INDEX(W:W, ROW()-1)
   )
   /SUM(INDEX(W:W, ROW()-COUNTIF($F$6:INDEX($F:$F, ROW()-1), $F361)) : INDEX(W:W, ROW()-1)),
   AVERAGEIFS(
     INDEX((unit_details[Effective Rent],unit_details[Effective PSF]),0,1,IF($U$3="Chunk Rent",1,2)),
     unit_details[Leased Date],"&gt;="&amp;($AM$2-T$5),
     unit_details[Leased Date],"&lt;"&amp;$AM$2,
     unit_details[Beds],$L362,
     unit_details[Baths],$M362,
     unit_details[Partial Baths],IF(ISNUMBER($N362),$N362,""),
     unit_details[Sqft],$P362,
     unit_details[Property Name],$F362)
 ),"")</f>
        <v/>
      </c>
      <c r="V362" s="27" t="str">
        <f t="shared" si="65"/>
        <v/>
      </c>
      <c r="W362" s="526">
        <f>IFERROR(
  IF($F362="Total",
    SUM(INDEX(W:W, ROW()-COUNTIF($F$6:INDEX($F:$F, ROW()-1), $F361)) : INDEX(W:W, ROW()-1)),
    COUNTIFS(
      unit_details[Leased Date], "&gt;="&amp;($AM$2-T$5),
      unit_details[Leased Date], "&lt;"&amp;$AM$2,
      unit_details[Beds], $L362,
      unit_details[Baths], $M362,
      unit_details[Partial Baths], IF(ISNUMBER($N362), $N362, ""),
      unit_details[Sqft],$P362,
      unit_details[Property Name], $F362
    )
  ),
"")</f>
        <v>0</v>
      </c>
      <c r="X362" s="531" t="str">
        <f>IFERROR(
 IF($F362="Total",
   SUMPRODUCT(
   INDEX(X:X, ROW()-COUNTIF($F$6:INDEX($F:$F, ROW()-1), $F361)) : INDEX(X:X, ROW()-1),
   INDEX(AA:AA, ROW()-COUNTIF($F$6:INDEX($F:$F, ROW()-1), $F361)) : INDEX(AA:AA, ROW()-1)
   )
   /SUM(INDEX(AA:AA, ROW()-COUNTIF($F$6:INDEX($F:$F, ROW()-1), $F361)) : INDEX(AA:AA, ROW()-1)),
   AVERAGEIFS(
     INDEX((unit_details[Asking Rent],unit_details[Asking PSF]),0,1,IF($U$3="Chunk Rent",1,2)),
     unit_details[Leased Date],"&gt;="&amp;($AM$2-X$5),
     unit_details[Leased Date],"&lt;"&amp;$AM$2,
     unit_details[Beds],$L362,
     unit_details[Baths],$M362,
     unit_details[Partial Baths],IF(ISNUMBER($N362),$N362,""),
     unit_details[Sqft],$P362,
     unit_details[Property Name],$F362)
 ),"")</f>
        <v/>
      </c>
      <c r="Y362" s="552" t="str">
        <f>IFERROR(
 IF($F362="Total",
   SUMPRODUCT(
   INDEX(Y:Y, ROW()-COUNTIF($F$6:INDEX($F:$F, ROW()-1), $F361)) : INDEX(Y:Y, ROW()-1),
   INDEX(AA:AA, ROW()-COUNTIF($F$6:INDEX($F:$F, ROW()-1), $F361)) : INDEX(AA:AA, ROW()-1)
   )
   /SUM(INDEX(AA:AA, ROW()-COUNTIF($F$6:INDEX($F:$F, ROW()-1), $F361)) : INDEX(AA:AA, ROW()-1)),
   AVERAGEIFS(
     INDEX((unit_details[Effective Rent],unit_details[Effective PSF]),0,1,IF($U$3="Chunk Rent",1,2)),
     unit_details[Leased Date],"&gt;="&amp;($AM$2-X$5),
     unit_details[Leased Date],"&lt;"&amp;$AM$2,
     unit_details[Beds],$L362,
     unit_details[Baths],$M362,
     unit_details[Partial Baths],IF(ISNUMBER($N362),$N362,""),
     unit_details[Sqft],$P362,
     unit_details[Property Name],$F362)
 ),"")</f>
        <v/>
      </c>
      <c r="Z362" s="27" t="str">
        <f t="shared" si="66"/>
        <v/>
      </c>
      <c r="AA362" s="526">
        <f>IFERROR(
  IF($F362="Total",
    SUM(INDEX(AA:AA, ROW()-COUNTIF($F$6:INDEX($F:$F, ROW()-1), $F361)) : INDEX(AA:AA, ROW()-1)),
    COUNTIFS(
      unit_details[Leased Date], "&gt;="&amp;($AM$2-X$5),
      unit_details[Leased Date], "&lt;"&amp;$AM$2,
      unit_details[Beds], $L362,
      unit_details[Baths], $M362,
      unit_details[Partial Baths], IF(ISNUMBER($N362), $N362, ""),
      unit_details[Sqft],$P362,
      unit_details[Property Name], $F362
    )
  ),
"")</f>
        <v>0</v>
      </c>
      <c r="AB362" s="290">
        <f>IF($F362="Total",
SUM(INDEX(AB:AB, ROW()-COUNTIF($F$6:INDEX($F:$F, ROW()-1), $F361)) : INDEX(AB:AB, ROW()-1)),
COUNTIFS(unit_details[Active Listing?],TRUE,
          unit_details[Property Name], $F362,
          unit_details[Beds], $L362,
          unit_details[Baths], $M362,
          unit_details[Partial Baths],IF(ISNUMBER($N362),$N362,""),
          unit_details[Sqft],$P362))</f>
        <v>0</v>
      </c>
      <c r="AC362" s="27" t="str">
        <f t="shared" si="58"/>
        <v/>
      </c>
      <c r="AD362" s="293" t="str">
        <f>IFERROR(IF(AE362="","",IF($F362="Total",
SUMPRODUCT(
   INDEX(AD:AD, ROW()-COUNTIF($F$6:INDEX($F:$F, ROW()-1), $F361)) : INDEX(AD:AD, ROW()-1),
   INDEX(AB:AB, ROW()-COUNTIF($F$6:INDEX($F:$F, ROW()-1), $F361)) : INDEX(AB:AB, ROW()-1)
   )
   /SUM(INDEX(AB:AB, ROW()-COUNTIF($F$6:INDEX($F:$F, ROW()-1), $F361)) : INDEX(AB:AB, ROW()-1)),
          _xlfn.MINIFS(unit_details[Asking Rent],
          unit_details[Active Listing?],TRUE,
          unit_details[Property Name], $F362,
          unit_details[Beds], $L362,
          unit_details[Baths], $M362,
          unit_details[Partial Baths], IF(ISNUMBER($N362),$N362,""),
          unit_details[Sqft],$P362
))),"")</f>
        <v/>
      </c>
      <c r="AE362" s="5" t="str">
        <f>IFERROR(IF($F362="Total",
          SUMPRODUCT(
   INDEX(AE:AE, ROW()-COUNTIF($F$6:INDEX($F:$F, ROW()-1), $F361)) : INDEX(AE:AE, ROW()-1),
   INDEX(AB:AB, ROW()-COUNTIF($F$6:INDEX($F:$F, ROW()-1), $F361)) : INDEX(AB:AB, ROW()-1)
   )
   /SUM(INDEX(AB:AB, ROW()-COUNTIF($F$6:INDEX($F:$F, ROW()-1), $F361)) : INDEX(AB:AB, ROW()-1)),
          AVERAGEIFS(unit_details[Asking Rent],
          unit_details[Active Listing?],TRUE,
          unit_details[Property Name], $F362,
          unit_details[Beds], $L362,
          unit_details[Baths], $M362,
          unit_details[Partial Baths], IF(ISNUMBER($N362),$N362,""),
          unit_details[Sqft],$P362
)),"")</f>
        <v/>
      </c>
      <c r="AF362" s="5" t="str">
        <f>IFERROR(IF(AE362="","",IF($F362="Total",
SUMPRODUCT(
   INDEX(AF:AF, ROW()-COUNTIF($F$6:INDEX($F:$F, ROW()-1), $F361)) : INDEX(AF:AF, ROW()-1),
   INDEX(AB:AB, ROW()-COUNTIF($F$6:INDEX($F:$F, ROW()-1), $F361)) : INDEX(AB:AB, ROW()-1)
   )
   /SUM(INDEX(AB:AB, ROW()-COUNTIF($F$6:INDEX($F:$F, ROW()-1), $F361)) : INDEX(AB:AB, ROW()-1)),
           _xlfn.MAXIFS(unit_details[Asking Rent],
          unit_details[Active Listing?],TRUE,
          unit_details[Property Name], $F362,
          unit_details[Beds], $L362,
          unit_details[Baths], $M362,
          unit_details[Partial Baths], IF(ISNUMBER($N362),$N362,""),
          unit_details[Sqft],$P362
))),"")</f>
        <v/>
      </c>
      <c r="AG362" s="6" t="str">
        <f>IFERROR(IF($F362="Total",
         SUMPRODUCT(
         INDEX(AG:AG, ROW()-COUNTIF($F$6:INDEX($F:$F, ROW()-1), $F361)) : INDEX(AG:AG, ROW()-1),
         INDEX(AB:AB, ROW()-COUNTIF($F$6:INDEX($F:$F, ROW()-1), $F361)) : INDEX(AB:AB, ROW()-1)
         )
         /SUM(INDEX(AB:AB, ROW()-COUNTIF($F$6:INDEX($F:$F, ROW()-1), $F361)) : INDEX(AB:AB, ROW()-1)),
          AVERAGEIFS(unit_details[Asking PSF],
          unit_details[Active Listing?],TRUE,
          unit_details[Property Name], $F362,
          unit_details[Beds], $L362,
          unit_details[Baths], $M362,
          unit_details[Partial Baths], IF(ISNUMBER($N362),$N362,""),
          unit_details[Sqft],$P362
)),"")</f>
        <v/>
      </c>
      <c r="AH362" s="293" t="str">
        <f>IFERROR(IF($F362="Total",
         SUMPRODUCT(
         INDEX(AH:AH, ROW()-COUNTIF($F$6:INDEX($F:$F, ROW()-1), $F361)) : INDEX(AH:AH, ROW()-1),
         INDEX(AB:AB, ROW()-COUNTIF($F$6:INDEX($F:$F, ROW()-1), $F361)) : INDEX(AB:AB, ROW()-1)
         )
         /SUM(INDEX(AB:AB, ROW()-COUNTIF($F$6:INDEX($F:$F, ROW()-1), $F361)) : INDEX(AB:AB, ROW()-1)),
          AVERAGEIFS(unit_details[Effective Rent],
          unit_details[Active Listing?],TRUE,
          unit_details[Property Name], $F362,
          unit_details[Beds], $L362,
          unit_details[Baths], $M362,
          unit_details[Partial Baths], IF(ISNUMBER($N362),$N362,""),
          unit_details[Sqft],$P362
)),"")</f>
        <v/>
      </c>
      <c r="AI362" s="6" t="str">
        <f>IFERROR(IF($F362="Total",
         SUMPRODUCT(
         INDEX(AI:AI, ROW()-COUNTIF($F$6:INDEX($F:$F, ROW()-1), $F361)) : INDEX(AI:AI, ROW()-1),
         INDEX(AB:AB, ROW()-COUNTIF($F$6:INDEX($F:$F, ROW()-1), $F361)) : INDEX(AB:AB, ROW()-1)
         )
         /SUM(INDEX(AB:AB, ROW()-COUNTIF($F$6:INDEX($F:$F, ROW()-1), $F361)) : INDEX(AB:AB, ROW()-1)),
           AVERAGEIFS(unit_details[Effective PSF],
          unit_details[Active Listing?],TRUE,
          unit_details[Property Name], $F362,
          unit_details[Beds], $L362,
          unit_details[Baths], $M362,
          unit_details[Partial Baths], IF(ISNUMBER($N362),$N362,""),
          unit_details[Sqft],$P362
)),"")</f>
        <v/>
      </c>
      <c r="AJ362" s="824" t="str">
        <f t="shared" si="59"/>
        <v/>
      </c>
      <c r="AK362" s="531" t="str">
        <f t="shared" si="60"/>
        <v/>
      </c>
      <c r="AL362" s="714" t="str">
        <f t="shared" si="61"/>
        <v/>
      </c>
      <c r="AM362" s="531" t="str">
        <f t="shared" si="62"/>
        <v/>
      </c>
      <c r="AN362" s="716" t="str">
        <f t="shared" si="63"/>
        <v/>
      </c>
    </row>
    <row r="363" spans="6:40" x14ac:dyDescent="0.2">
      <c r="F363" s="1" t="str">
        <f t="shared" si="56"/>
        <v/>
      </c>
      <c r="G363" s="713" t="str">
        <f t="shared" si="64"/>
        <v/>
      </c>
      <c r="H363" s="17" t="str">
        <f>IFERROR(VLOOKUP($G363,Table1[[Property]:[Exposure %]],4,0),"")</f>
        <v/>
      </c>
      <c r="I363" s="3" t="str">
        <f>IFERROR(VLOOKUP($G363,Table1[[Property]:[Exposure %]],6,0),"")</f>
        <v/>
      </c>
      <c r="J363" s="3" t="str">
        <f>IFERROR(VLOOKUP($G363,Table1[[Property]:[Exposure %]],7,0),"")</f>
        <v/>
      </c>
      <c r="R363" s="4" t="str">
        <f>IFERROR(VLOOKUP(IF(F363="Total",F362,F363),Table1[[Property]:['# Units]],7,0)*S363,"")</f>
        <v/>
      </c>
      <c r="S363" s="27" t="str">
        <f t="shared" si="57"/>
        <v/>
      </c>
      <c r="T363" s="531" t="str">
        <f>IFERROR(
 IF($F363="Total",
   SUMPRODUCT(
   INDEX(T:T, ROW()-COUNTIF($F$6:INDEX($F:$F, ROW()-1), $F362)) : INDEX(T:T, ROW()-1),
   INDEX(W:W, ROW()-COUNTIF($F$6:INDEX($F:$F, ROW()-1), $F362)) : INDEX(W:W, ROW()-1)
   )
   /SUM(INDEX(W:W, ROW()-COUNTIF($F$6:INDEX($F:$F, ROW()-1), $F362)) : INDEX(W:W, ROW()-1)),
   AVERAGEIFS(
     INDEX((unit_details[Asking Rent],unit_details[Asking PSF]),0,1,IF($U$3="Chunk Rent",1,2)),
     unit_details[Leased Date],"&gt;="&amp;($AM$2-T$5),
     unit_details[Leased Date],"&lt;"&amp;$AM$2,
     unit_details[Beds],$L363,
     unit_details[Baths],$M363,
     unit_details[Partial Baths],IF(ISNUMBER($N363),$N363,""),
     unit_details[Sqft],$P363,
     unit_details[Property Name],$F363)
 ),"")</f>
        <v/>
      </c>
      <c r="U363" s="552" t="str">
        <f>IFERROR(
 IF($F363="Total",
   SUMPRODUCT(
   INDEX(U:U, ROW()-COUNTIF($F$6:INDEX($F:$F, ROW()-1), $F362)) : INDEX(U:U, ROW()-1),
   INDEX(W:W, ROW()-COUNTIF($F$6:INDEX($F:$F, ROW()-1), $F362)) : INDEX(W:W, ROW()-1)
   )
   /SUM(INDEX(W:W, ROW()-COUNTIF($F$6:INDEX($F:$F, ROW()-1), $F362)) : INDEX(W:W, ROW()-1)),
   AVERAGEIFS(
     INDEX((unit_details[Effective Rent],unit_details[Effective PSF]),0,1,IF($U$3="Chunk Rent",1,2)),
     unit_details[Leased Date],"&gt;="&amp;($AM$2-T$5),
     unit_details[Leased Date],"&lt;"&amp;$AM$2,
     unit_details[Beds],$L363,
     unit_details[Baths],$M363,
     unit_details[Partial Baths],IF(ISNUMBER($N363),$N363,""),
     unit_details[Sqft],$P363,
     unit_details[Property Name],$F363)
 ),"")</f>
        <v/>
      </c>
      <c r="V363" s="27" t="str">
        <f t="shared" si="65"/>
        <v/>
      </c>
      <c r="W363" s="526">
        <f>IFERROR(
  IF($F363="Total",
    SUM(INDEX(W:W, ROW()-COUNTIF($F$6:INDEX($F:$F, ROW()-1), $F362)) : INDEX(W:W, ROW()-1)),
    COUNTIFS(
      unit_details[Leased Date], "&gt;="&amp;($AM$2-T$5),
      unit_details[Leased Date], "&lt;"&amp;$AM$2,
      unit_details[Beds], $L363,
      unit_details[Baths], $M363,
      unit_details[Partial Baths], IF(ISNUMBER($N363), $N363, ""),
      unit_details[Sqft],$P363,
      unit_details[Property Name], $F363
    )
  ),
"")</f>
        <v>0</v>
      </c>
      <c r="X363" s="531" t="str">
        <f>IFERROR(
 IF($F363="Total",
   SUMPRODUCT(
   INDEX(X:X, ROW()-COUNTIF($F$6:INDEX($F:$F, ROW()-1), $F362)) : INDEX(X:X, ROW()-1),
   INDEX(AA:AA, ROW()-COUNTIF($F$6:INDEX($F:$F, ROW()-1), $F362)) : INDEX(AA:AA, ROW()-1)
   )
   /SUM(INDEX(AA:AA, ROW()-COUNTIF($F$6:INDEX($F:$F, ROW()-1), $F362)) : INDEX(AA:AA, ROW()-1)),
   AVERAGEIFS(
     INDEX((unit_details[Asking Rent],unit_details[Asking PSF]),0,1,IF($U$3="Chunk Rent",1,2)),
     unit_details[Leased Date],"&gt;="&amp;($AM$2-X$5),
     unit_details[Leased Date],"&lt;"&amp;$AM$2,
     unit_details[Beds],$L363,
     unit_details[Baths],$M363,
     unit_details[Partial Baths],IF(ISNUMBER($N363),$N363,""),
     unit_details[Sqft],$P363,
     unit_details[Property Name],$F363)
 ),"")</f>
        <v/>
      </c>
      <c r="Y363" s="552" t="str">
        <f>IFERROR(
 IF($F363="Total",
   SUMPRODUCT(
   INDEX(Y:Y, ROW()-COUNTIF($F$6:INDEX($F:$F, ROW()-1), $F362)) : INDEX(Y:Y, ROW()-1),
   INDEX(AA:AA, ROW()-COUNTIF($F$6:INDEX($F:$F, ROW()-1), $F362)) : INDEX(AA:AA, ROW()-1)
   )
   /SUM(INDEX(AA:AA, ROW()-COUNTIF($F$6:INDEX($F:$F, ROW()-1), $F362)) : INDEX(AA:AA, ROW()-1)),
   AVERAGEIFS(
     INDEX((unit_details[Effective Rent],unit_details[Effective PSF]),0,1,IF($U$3="Chunk Rent",1,2)),
     unit_details[Leased Date],"&gt;="&amp;($AM$2-X$5),
     unit_details[Leased Date],"&lt;"&amp;$AM$2,
     unit_details[Beds],$L363,
     unit_details[Baths],$M363,
     unit_details[Partial Baths],IF(ISNUMBER($N363),$N363,""),
     unit_details[Sqft],$P363,
     unit_details[Property Name],$F363)
 ),"")</f>
        <v/>
      </c>
      <c r="Z363" s="27" t="str">
        <f t="shared" si="66"/>
        <v/>
      </c>
      <c r="AA363" s="526">
        <f>IFERROR(
  IF($F363="Total",
    SUM(INDEX(AA:AA, ROW()-COUNTIF($F$6:INDEX($F:$F, ROW()-1), $F362)) : INDEX(AA:AA, ROW()-1)),
    COUNTIFS(
      unit_details[Leased Date], "&gt;="&amp;($AM$2-X$5),
      unit_details[Leased Date], "&lt;"&amp;$AM$2,
      unit_details[Beds], $L363,
      unit_details[Baths], $M363,
      unit_details[Partial Baths], IF(ISNUMBER($N363), $N363, ""),
      unit_details[Sqft],$P363,
      unit_details[Property Name], $F363
    )
  ),
"")</f>
        <v>0</v>
      </c>
      <c r="AB363" s="290">
        <f>IF($F363="Total",
SUM(INDEX(AB:AB, ROW()-COUNTIF($F$6:INDEX($F:$F, ROW()-1), $F362)) : INDEX(AB:AB, ROW()-1)),
COUNTIFS(unit_details[Active Listing?],TRUE,
          unit_details[Property Name], $F363,
          unit_details[Beds], $L363,
          unit_details[Baths], $M363,
          unit_details[Partial Baths],IF(ISNUMBER($N363),$N363,""),
          unit_details[Sqft],$P363))</f>
        <v>0</v>
      </c>
      <c r="AC363" s="27" t="str">
        <f t="shared" si="58"/>
        <v/>
      </c>
      <c r="AD363" s="293" t="str">
        <f>IFERROR(IF(AE363="","",IF($F363="Total",
SUMPRODUCT(
   INDEX(AD:AD, ROW()-COUNTIF($F$6:INDEX($F:$F, ROW()-1), $F362)) : INDEX(AD:AD, ROW()-1),
   INDEX(AB:AB, ROW()-COUNTIF($F$6:INDEX($F:$F, ROW()-1), $F362)) : INDEX(AB:AB, ROW()-1)
   )
   /SUM(INDEX(AB:AB, ROW()-COUNTIF($F$6:INDEX($F:$F, ROW()-1), $F362)) : INDEX(AB:AB, ROW()-1)),
          _xlfn.MINIFS(unit_details[Asking Rent],
          unit_details[Active Listing?],TRUE,
          unit_details[Property Name], $F363,
          unit_details[Beds], $L363,
          unit_details[Baths], $M363,
          unit_details[Partial Baths], IF(ISNUMBER($N363),$N363,""),
          unit_details[Sqft],$P363
))),"")</f>
        <v/>
      </c>
      <c r="AE363" s="5" t="str">
        <f>IFERROR(IF($F363="Total",
          SUMPRODUCT(
   INDEX(AE:AE, ROW()-COUNTIF($F$6:INDEX($F:$F, ROW()-1), $F362)) : INDEX(AE:AE, ROW()-1),
   INDEX(AB:AB, ROW()-COUNTIF($F$6:INDEX($F:$F, ROW()-1), $F362)) : INDEX(AB:AB, ROW()-1)
   )
   /SUM(INDEX(AB:AB, ROW()-COUNTIF($F$6:INDEX($F:$F, ROW()-1), $F362)) : INDEX(AB:AB, ROW()-1)),
          AVERAGEIFS(unit_details[Asking Rent],
          unit_details[Active Listing?],TRUE,
          unit_details[Property Name], $F363,
          unit_details[Beds], $L363,
          unit_details[Baths], $M363,
          unit_details[Partial Baths], IF(ISNUMBER($N363),$N363,""),
          unit_details[Sqft],$P363
)),"")</f>
        <v/>
      </c>
      <c r="AF363" s="5" t="str">
        <f>IFERROR(IF(AE363="","",IF($F363="Total",
SUMPRODUCT(
   INDEX(AF:AF, ROW()-COUNTIF($F$6:INDEX($F:$F, ROW()-1), $F362)) : INDEX(AF:AF, ROW()-1),
   INDEX(AB:AB, ROW()-COUNTIF($F$6:INDEX($F:$F, ROW()-1), $F362)) : INDEX(AB:AB, ROW()-1)
   )
   /SUM(INDEX(AB:AB, ROW()-COUNTIF($F$6:INDEX($F:$F, ROW()-1), $F362)) : INDEX(AB:AB, ROW()-1)),
           _xlfn.MAXIFS(unit_details[Asking Rent],
          unit_details[Active Listing?],TRUE,
          unit_details[Property Name], $F363,
          unit_details[Beds], $L363,
          unit_details[Baths], $M363,
          unit_details[Partial Baths], IF(ISNUMBER($N363),$N363,""),
          unit_details[Sqft],$P363
))),"")</f>
        <v/>
      </c>
      <c r="AG363" s="6" t="str">
        <f>IFERROR(IF($F363="Total",
         SUMPRODUCT(
         INDEX(AG:AG, ROW()-COUNTIF($F$6:INDEX($F:$F, ROW()-1), $F362)) : INDEX(AG:AG, ROW()-1),
         INDEX(AB:AB, ROW()-COUNTIF($F$6:INDEX($F:$F, ROW()-1), $F362)) : INDEX(AB:AB, ROW()-1)
         )
         /SUM(INDEX(AB:AB, ROW()-COUNTIF($F$6:INDEX($F:$F, ROW()-1), $F362)) : INDEX(AB:AB, ROW()-1)),
          AVERAGEIFS(unit_details[Asking PSF],
          unit_details[Active Listing?],TRUE,
          unit_details[Property Name], $F363,
          unit_details[Beds], $L363,
          unit_details[Baths], $M363,
          unit_details[Partial Baths], IF(ISNUMBER($N363),$N363,""),
          unit_details[Sqft],$P363
)),"")</f>
        <v/>
      </c>
      <c r="AH363" s="293" t="str">
        <f>IFERROR(IF($F363="Total",
         SUMPRODUCT(
         INDEX(AH:AH, ROW()-COUNTIF($F$6:INDEX($F:$F, ROW()-1), $F362)) : INDEX(AH:AH, ROW()-1),
         INDEX(AB:AB, ROW()-COUNTIF($F$6:INDEX($F:$F, ROW()-1), $F362)) : INDEX(AB:AB, ROW()-1)
         )
         /SUM(INDEX(AB:AB, ROW()-COUNTIF($F$6:INDEX($F:$F, ROW()-1), $F362)) : INDEX(AB:AB, ROW()-1)),
          AVERAGEIFS(unit_details[Effective Rent],
          unit_details[Active Listing?],TRUE,
          unit_details[Property Name], $F363,
          unit_details[Beds], $L363,
          unit_details[Baths], $M363,
          unit_details[Partial Baths], IF(ISNUMBER($N363),$N363,""),
          unit_details[Sqft],$P363
)),"")</f>
        <v/>
      </c>
      <c r="AI363" s="6" t="str">
        <f>IFERROR(IF($F363="Total",
         SUMPRODUCT(
         INDEX(AI:AI, ROW()-COUNTIF($F$6:INDEX($F:$F, ROW()-1), $F362)) : INDEX(AI:AI, ROW()-1),
         INDEX(AB:AB, ROW()-COUNTIF($F$6:INDEX($F:$F, ROW()-1), $F362)) : INDEX(AB:AB, ROW()-1)
         )
         /SUM(INDEX(AB:AB, ROW()-COUNTIF($F$6:INDEX($F:$F, ROW()-1), $F362)) : INDEX(AB:AB, ROW()-1)),
           AVERAGEIFS(unit_details[Effective PSF],
          unit_details[Active Listing?],TRUE,
          unit_details[Property Name], $F363,
          unit_details[Beds], $L363,
          unit_details[Baths], $M363,
          unit_details[Partial Baths], IF(ISNUMBER($N363),$N363,""),
          unit_details[Sqft],$P363
)),"")</f>
        <v/>
      </c>
      <c r="AJ363" s="824" t="str">
        <f t="shared" si="59"/>
        <v/>
      </c>
      <c r="AK363" s="531" t="str">
        <f t="shared" si="60"/>
        <v/>
      </c>
      <c r="AL363" s="714" t="str">
        <f t="shared" si="61"/>
        <v/>
      </c>
      <c r="AM363" s="531" t="str">
        <f t="shared" si="62"/>
        <v/>
      </c>
      <c r="AN363" s="716" t="str">
        <f t="shared" si="63"/>
        <v/>
      </c>
    </row>
    <row r="364" spans="6:40" x14ac:dyDescent="0.2">
      <c r="F364" s="1" t="str">
        <f t="shared" si="56"/>
        <v/>
      </c>
      <c r="G364" s="713" t="str">
        <f t="shared" si="64"/>
        <v/>
      </c>
      <c r="H364" s="17" t="str">
        <f>IFERROR(VLOOKUP($G364,Table1[[Property]:[Exposure %]],4,0),"")</f>
        <v/>
      </c>
      <c r="I364" s="3" t="str">
        <f>IFERROR(VLOOKUP($G364,Table1[[Property]:[Exposure %]],6,0),"")</f>
        <v/>
      </c>
      <c r="J364" s="3" t="str">
        <f>IFERROR(VLOOKUP($G364,Table1[[Property]:[Exposure %]],7,0),"")</f>
        <v/>
      </c>
      <c r="R364" s="4" t="str">
        <f>IFERROR(VLOOKUP(IF(F364="Total",F363,F364),Table1[[Property]:['# Units]],7,0)*S364,"")</f>
        <v/>
      </c>
      <c r="S364" s="27" t="str">
        <f t="shared" si="57"/>
        <v/>
      </c>
      <c r="T364" s="531" t="str">
        <f>IFERROR(
 IF($F364="Total",
   SUMPRODUCT(
   INDEX(T:T, ROW()-COUNTIF($F$6:INDEX($F:$F, ROW()-1), $F363)) : INDEX(T:T, ROW()-1),
   INDEX(W:W, ROW()-COUNTIF($F$6:INDEX($F:$F, ROW()-1), $F363)) : INDEX(W:W, ROW()-1)
   )
   /SUM(INDEX(W:W, ROW()-COUNTIF($F$6:INDEX($F:$F, ROW()-1), $F363)) : INDEX(W:W, ROW()-1)),
   AVERAGEIFS(
     INDEX((unit_details[Asking Rent],unit_details[Asking PSF]),0,1,IF($U$3="Chunk Rent",1,2)),
     unit_details[Leased Date],"&gt;="&amp;($AM$2-T$5),
     unit_details[Leased Date],"&lt;"&amp;$AM$2,
     unit_details[Beds],$L364,
     unit_details[Baths],$M364,
     unit_details[Partial Baths],IF(ISNUMBER($N364),$N364,""),
     unit_details[Sqft],$P364,
     unit_details[Property Name],$F364)
 ),"")</f>
        <v/>
      </c>
      <c r="U364" s="552" t="str">
        <f>IFERROR(
 IF($F364="Total",
   SUMPRODUCT(
   INDEX(U:U, ROW()-COUNTIF($F$6:INDEX($F:$F, ROW()-1), $F363)) : INDEX(U:U, ROW()-1),
   INDEX(W:W, ROW()-COUNTIF($F$6:INDEX($F:$F, ROW()-1), $F363)) : INDEX(W:W, ROW()-1)
   )
   /SUM(INDEX(W:W, ROW()-COUNTIF($F$6:INDEX($F:$F, ROW()-1), $F363)) : INDEX(W:W, ROW()-1)),
   AVERAGEIFS(
     INDEX((unit_details[Effective Rent],unit_details[Effective PSF]),0,1,IF($U$3="Chunk Rent",1,2)),
     unit_details[Leased Date],"&gt;="&amp;($AM$2-T$5),
     unit_details[Leased Date],"&lt;"&amp;$AM$2,
     unit_details[Beds],$L364,
     unit_details[Baths],$M364,
     unit_details[Partial Baths],IF(ISNUMBER($N364),$N364,""),
     unit_details[Sqft],$P364,
     unit_details[Property Name],$F364)
 ),"")</f>
        <v/>
      </c>
      <c r="V364" s="27" t="str">
        <f t="shared" si="65"/>
        <v/>
      </c>
      <c r="W364" s="526">
        <f>IFERROR(
  IF($F364="Total",
    SUM(INDEX(W:W, ROW()-COUNTIF($F$6:INDEX($F:$F, ROW()-1), $F363)) : INDEX(W:W, ROW()-1)),
    COUNTIFS(
      unit_details[Leased Date], "&gt;="&amp;($AM$2-T$5),
      unit_details[Leased Date], "&lt;"&amp;$AM$2,
      unit_details[Beds], $L364,
      unit_details[Baths], $M364,
      unit_details[Partial Baths], IF(ISNUMBER($N364), $N364, ""),
      unit_details[Sqft],$P364,
      unit_details[Property Name], $F364
    )
  ),
"")</f>
        <v>0</v>
      </c>
      <c r="X364" s="531" t="str">
        <f>IFERROR(
 IF($F364="Total",
   SUMPRODUCT(
   INDEX(X:X, ROW()-COUNTIF($F$6:INDEX($F:$F, ROW()-1), $F363)) : INDEX(X:X, ROW()-1),
   INDEX(AA:AA, ROW()-COUNTIF($F$6:INDEX($F:$F, ROW()-1), $F363)) : INDEX(AA:AA, ROW()-1)
   )
   /SUM(INDEX(AA:AA, ROW()-COUNTIF($F$6:INDEX($F:$F, ROW()-1), $F363)) : INDEX(AA:AA, ROW()-1)),
   AVERAGEIFS(
     INDEX((unit_details[Asking Rent],unit_details[Asking PSF]),0,1,IF($U$3="Chunk Rent",1,2)),
     unit_details[Leased Date],"&gt;="&amp;($AM$2-X$5),
     unit_details[Leased Date],"&lt;"&amp;$AM$2,
     unit_details[Beds],$L364,
     unit_details[Baths],$M364,
     unit_details[Partial Baths],IF(ISNUMBER($N364),$N364,""),
     unit_details[Sqft],$P364,
     unit_details[Property Name],$F364)
 ),"")</f>
        <v/>
      </c>
      <c r="Y364" s="552" t="str">
        <f>IFERROR(
 IF($F364="Total",
   SUMPRODUCT(
   INDEX(Y:Y, ROW()-COUNTIF($F$6:INDEX($F:$F, ROW()-1), $F363)) : INDEX(Y:Y, ROW()-1),
   INDEX(AA:AA, ROW()-COUNTIF($F$6:INDEX($F:$F, ROW()-1), $F363)) : INDEX(AA:AA, ROW()-1)
   )
   /SUM(INDEX(AA:AA, ROW()-COUNTIF($F$6:INDEX($F:$F, ROW()-1), $F363)) : INDEX(AA:AA, ROW()-1)),
   AVERAGEIFS(
     INDEX((unit_details[Effective Rent],unit_details[Effective PSF]),0,1,IF($U$3="Chunk Rent",1,2)),
     unit_details[Leased Date],"&gt;="&amp;($AM$2-X$5),
     unit_details[Leased Date],"&lt;"&amp;$AM$2,
     unit_details[Beds],$L364,
     unit_details[Baths],$M364,
     unit_details[Partial Baths],IF(ISNUMBER($N364),$N364,""),
     unit_details[Sqft],$P364,
     unit_details[Property Name],$F364)
 ),"")</f>
        <v/>
      </c>
      <c r="Z364" s="27" t="str">
        <f t="shared" si="66"/>
        <v/>
      </c>
      <c r="AA364" s="526">
        <f>IFERROR(
  IF($F364="Total",
    SUM(INDEX(AA:AA, ROW()-COUNTIF($F$6:INDEX($F:$F, ROW()-1), $F363)) : INDEX(AA:AA, ROW()-1)),
    COUNTIFS(
      unit_details[Leased Date], "&gt;="&amp;($AM$2-X$5),
      unit_details[Leased Date], "&lt;"&amp;$AM$2,
      unit_details[Beds], $L364,
      unit_details[Baths], $M364,
      unit_details[Partial Baths], IF(ISNUMBER($N364), $N364, ""),
      unit_details[Sqft],$P364,
      unit_details[Property Name], $F364
    )
  ),
"")</f>
        <v>0</v>
      </c>
      <c r="AB364" s="290">
        <f>IF($F364="Total",
SUM(INDEX(AB:AB, ROW()-COUNTIF($F$6:INDEX($F:$F, ROW()-1), $F363)) : INDEX(AB:AB, ROW()-1)),
COUNTIFS(unit_details[Active Listing?],TRUE,
          unit_details[Property Name], $F364,
          unit_details[Beds], $L364,
          unit_details[Baths], $M364,
          unit_details[Partial Baths],IF(ISNUMBER($N364),$N364,""),
          unit_details[Sqft],$P364))</f>
        <v>0</v>
      </c>
      <c r="AC364" s="27" t="str">
        <f t="shared" si="58"/>
        <v/>
      </c>
      <c r="AD364" s="293" t="str">
        <f>IFERROR(IF(AE364="","",IF($F364="Total",
SUMPRODUCT(
   INDEX(AD:AD, ROW()-COUNTIF($F$6:INDEX($F:$F, ROW()-1), $F363)) : INDEX(AD:AD, ROW()-1),
   INDEX(AB:AB, ROW()-COUNTIF($F$6:INDEX($F:$F, ROW()-1), $F363)) : INDEX(AB:AB, ROW()-1)
   )
   /SUM(INDEX(AB:AB, ROW()-COUNTIF($F$6:INDEX($F:$F, ROW()-1), $F363)) : INDEX(AB:AB, ROW()-1)),
          _xlfn.MINIFS(unit_details[Asking Rent],
          unit_details[Active Listing?],TRUE,
          unit_details[Property Name], $F364,
          unit_details[Beds], $L364,
          unit_details[Baths], $M364,
          unit_details[Partial Baths], IF(ISNUMBER($N364),$N364,""),
          unit_details[Sqft],$P364
))),"")</f>
        <v/>
      </c>
      <c r="AE364" s="5" t="str">
        <f>IFERROR(IF($F364="Total",
          SUMPRODUCT(
   INDEX(AE:AE, ROW()-COUNTIF($F$6:INDEX($F:$F, ROW()-1), $F363)) : INDEX(AE:AE, ROW()-1),
   INDEX(AB:AB, ROW()-COUNTIF($F$6:INDEX($F:$F, ROW()-1), $F363)) : INDEX(AB:AB, ROW()-1)
   )
   /SUM(INDEX(AB:AB, ROW()-COUNTIF($F$6:INDEX($F:$F, ROW()-1), $F363)) : INDEX(AB:AB, ROW()-1)),
          AVERAGEIFS(unit_details[Asking Rent],
          unit_details[Active Listing?],TRUE,
          unit_details[Property Name], $F364,
          unit_details[Beds], $L364,
          unit_details[Baths], $M364,
          unit_details[Partial Baths], IF(ISNUMBER($N364),$N364,""),
          unit_details[Sqft],$P364
)),"")</f>
        <v/>
      </c>
      <c r="AF364" s="5" t="str">
        <f>IFERROR(IF(AE364="","",IF($F364="Total",
SUMPRODUCT(
   INDEX(AF:AF, ROW()-COUNTIF($F$6:INDEX($F:$F, ROW()-1), $F363)) : INDEX(AF:AF, ROW()-1),
   INDEX(AB:AB, ROW()-COUNTIF($F$6:INDEX($F:$F, ROW()-1), $F363)) : INDEX(AB:AB, ROW()-1)
   )
   /SUM(INDEX(AB:AB, ROW()-COUNTIF($F$6:INDEX($F:$F, ROW()-1), $F363)) : INDEX(AB:AB, ROW()-1)),
           _xlfn.MAXIFS(unit_details[Asking Rent],
          unit_details[Active Listing?],TRUE,
          unit_details[Property Name], $F364,
          unit_details[Beds], $L364,
          unit_details[Baths], $M364,
          unit_details[Partial Baths], IF(ISNUMBER($N364),$N364,""),
          unit_details[Sqft],$P364
))),"")</f>
        <v/>
      </c>
      <c r="AG364" s="6" t="str">
        <f>IFERROR(IF($F364="Total",
         SUMPRODUCT(
         INDEX(AG:AG, ROW()-COUNTIF($F$6:INDEX($F:$F, ROW()-1), $F363)) : INDEX(AG:AG, ROW()-1),
         INDEX(AB:AB, ROW()-COUNTIF($F$6:INDEX($F:$F, ROW()-1), $F363)) : INDEX(AB:AB, ROW()-1)
         )
         /SUM(INDEX(AB:AB, ROW()-COUNTIF($F$6:INDEX($F:$F, ROW()-1), $F363)) : INDEX(AB:AB, ROW()-1)),
          AVERAGEIFS(unit_details[Asking PSF],
          unit_details[Active Listing?],TRUE,
          unit_details[Property Name], $F364,
          unit_details[Beds], $L364,
          unit_details[Baths], $M364,
          unit_details[Partial Baths], IF(ISNUMBER($N364),$N364,""),
          unit_details[Sqft],$P364
)),"")</f>
        <v/>
      </c>
      <c r="AH364" s="293" t="str">
        <f>IFERROR(IF($F364="Total",
         SUMPRODUCT(
         INDEX(AH:AH, ROW()-COUNTIF($F$6:INDEX($F:$F, ROW()-1), $F363)) : INDEX(AH:AH, ROW()-1),
         INDEX(AB:AB, ROW()-COUNTIF($F$6:INDEX($F:$F, ROW()-1), $F363)) : INDEX(AB:AB, ROW()-1)
         )
         /SUM(INDEX(AB:AB, ROW()-COUNTIF($F$6:INDEX($F:$F, ROW()-1), $F363)) : INDEX(AB:AB, ROW()-1)),
          AVERAGEIFS(unit_details[Effective Rent],
          unit_details[Active Listing?],TRUE,
          unit_details[Property Name], $F364,
          unit_details[Beds], $L364,
          unit_details[Baths], $M364,
          unit_details[Partial Baths], IF(ISNUMBER($N364),$N364,""),
          unit_details[Sqft],$P364
)),"")</f>
        <v/>
      </c>
      <c r="AI364" s="6" t="str">
        <f>IFERROR(IF($F364="Total",
         SUMPRODUCT(
         INDEX(AI:AI, ROW()-COUNTIF($F$6:INDEX($F:$F, ROW()-1), $F363)) : INDEX(AI:AI, ROW()-1),
         INDEX(AB:AB, ROW()-COUNTIF($F$6:INDEX($F:$F, ROW()-1), $F363)) : INDEX(AB:AB, ROW()-1)
         )
         /SUM(INDEX(AB:AB, ROW()-COUNTIF($F$6:INDEX($F:$F, ROW()-1), $F363)) : INDEX(AB:AB, ROW()-1)),
           AVERAGEIFS(unit_details[Effective PSF],
          unit_details[Active Listing?],TRUE,
          unit_details[Property Name], $F364,
          unit_details[Beds], $L364,
          unit_details[Baths], $M364,
          unit_details[Partial Baths], IF(ISNUMBER($N364),$N364,""),
          unit_details[Sqft],$P364
)),"")</f>
        <v/>
      </c>
      <c r="AJ364" s="824" t="str">
        <f t="shared" si="59"/>
        <v/>
      </c>
      <c r="AK364" s="531" t="str">
        <f t="shared" si="60"/>
        <v/>
      </c>
      <c r="AL364" s="714" t="str">
        <f t="shared" si="61"/>
        <v/>
      </c>
      <c r="AM364" s="531" t="str">
        <f t="shared" si="62"/>
        <v/>
      </c>
      <c r="AN364" s="716" t="str">
        <f t="shared" si="63"/>
        <v/>
      </c>
    </row>
    <row r="365" spans="6:40" x14ac:dyDescent="0.2">
      <c r="F365" s="1" t="str">
        <f t="shared" si="56"/>
        <v/>
      </c>
      <c r="G365" s="713" t="str">
        <f t="shared" si="64"/>
        <v/>
      </c>
      <c r="H365" s="17" t="str">
        <f>IFERROR(VLOOKUP($G365,Table1[[Property]:[Exposure %]],4,0),"")</f>
        <v/>
      </c>
      <c r="I365" s="3" t="str">
        <f>IFERROR(VLOOKUP($G365,Table1[[Property]:[Exposure %]],6,0),"")</f>
        <v/>
      </c>
      <c r="J365" s="3" t="str">
        <f>IFERROR(VLOOKUP($G365,Table1[[Property]:[Exposure %]],7,0),"")</f>
        <v/>
      </c>
      <c r="R365" s="4" t="str">
        <f>IFERROR(VLOOKUP(IF(F365="Total",F364,F365),Table1[[Property]:['# Units]],7,0)*S365,"")</f>
        <v/>
      </c>
      <c r="S365" s="27" t="str">
        <f t="shared" si="57"/>
        <v/>
      </c>
      <c r="T365" s="531" t="str">
        <f>IFERROR(
 IF($F365="Total",
   SUMPRODUCT(
   INDEX(T:T, ROW()-COUNTIF($F$6:INDEX($F:$F, ROW()-1), $F364)) : INDEX(T:T, ROW()-1),
   INDEX(W:W, ROW()-COUNTIF($F$6:INDEX($F:$F, ROW()-1), $F364)) : INDEX(W:W, ROW()-1)
   )
   /SUM(INDEX(W:W, ROW()-COUNTIF($F$6:INDEX($F:$F, ROW()-1), $F364)) : INDEX(W:W, ROW()-1)),
   AVERAGEIFS(
     INDEX((unit_details[Asking Rent],unit_details[Asking PSF]),0,1,IF($U$3="Chunk Rent",1,2)),
     unit_details[Leased Date],"&gt;="&amp;($AM$2-T$5),
     unit_details[Leased Date],"&lt;"&amp;$AM$2,
     unit_details[Beds],$L365,
     unit_details[Baths],$M365,
     unit_details[Partial Baths],IF(ISNUMBER($N365),$N365,""),
     unit_details[Sqft],$P365,
     unit_details[Property Name],$F365)
 ),"")</f>
        <v/>
      </c>
      <c r="U365" s="552" t="str">
        <f>IFERROR(
 IF($F365="Total",
   SUMPRODUCT(
   INDEX(U:U, ROW()-COUNTIF($F$6:INDEX($F:$F, ROW()-1), $F364)) : INDEX(U:U, ROW()-1),
   INDEX(W:W, ROW()-COUNTIF($F$6:INDEX($F:$F, ROW()-1), $F364)) : INDEX(W:W, ROW()-1)
   )
   /SUM(INDEX(W:W, ROW()-COUNTIF($F$6:INDEX($F:$F, ROW()-1), $F364)) : INDEX(W:W, ROW()-1)),
   AVERAGEIFS(
     INDEX((unit_details[Effective Rent],unit_details[Effective PSF]),0,1,IF($U$3="Chunk Rent",1,2)),
     unit_details[Leased Date],"&gt;="&amp;($AM$2-T$5),
     unit_details[Leased Date],"&lt;"&amp;$AM$2,
     unit_details[Beds],$L365,
     unit_details[Baths],$M365,
     unit_details[Partial Baths],IF(ISNUMBER($N365),$N365,""),
     unit_details[Sqft],$P365,
     unit_details[Property Name],$F365)
 ),"")</f>
        <v/>
      </c>
      <c r="V365" s="27" t="str">
        <f t="shared" si="65"/>
        <v/>
      </c>
      <c r="W365" s="526">
        <f>IFERROR(
  IF($F365="Total",
    SUM(INDEX(W:W, ROW()-COUNTIF($F$6:INDEX($F:$F, ROW()-1), $F364)) : INDEX(W:W, ROW()-1)),
    COUNTIFS(
      unit_details[Leased Date], "&gt;="&amp;($AM$2-T$5),
      unit_details[Leased Date], "&lt;"&amp;$AM$2,
      unit_details[Beds], $L365,
      unit_details[Baths], $M365,
      unit_details[Partial Baths], IF(ISNUMBER($N365), $N365, ""),
      unit_details[Sqft],$P365,
      unit_details[Property Name], $F365
    )
  ),
"")</f>
        <v>0</v>
      </c>
      <c r="X365" s="531" t="str">
        <f>IFERROR(
 IF($F365="Total",
   SUMPRODUCT(
   INDEX(X:X, ROW()-COUNTIF($F$6:INDEX($F:$F, ROW()-1), $F364)) : INDEX(X:X, ROW()-1),
   INDEX(AA:AA, ROW()-COUNTIF($F$6:INDEX($F:$F, ROW()-1), $F364)) : INDEX(AA:AA, ROW()-1)
   )
   /SUM(INDEX(AA:AA, ROW()-COUNTIF($F$6:INDEX($F:$F, ROW()-1), $F364)) : INDEX(AA:AA, ROW()-1)),
   AVERAGEIFS(
     INDEX((unit_details[Asking Rent],unit_details[Asking PSF]),0,1,IF($U$3="Chunk Rent",1,2)),
     unit_details[Leased Date],"&gt;="&amp;($AM$2-X$5),
     unit_details[Leased Date],"&lt;"&amp;$AM$2,
     unit_details[Beds],$L365,
     unit_details[Baths],$M365,
     unit_details[Partial Baths],IF(ISNUMBER($N365),$N365,""),
     unit_details[Sqft],$P365,
     unit_details[Property Name],$F365)
 ),"")</f>
        <v/>
      </c>
      <c r="Y365" s="552" t="str">
        <f>IFERROR(
 IF($F365="Total",
   SUMPRODUCT(
   INDEX(Y:Y, ROW()-COUNTIF($F$6:INDEX($F:$F, ROW()-1), $F364)) : INDEX(Y:Y, ROW()-1),
   INDEX(AA:AA, ROW()-COUNTIF($F$6:INDEX($F:$F, ROW()-1), $F364)) : INDEX(AA:AA, ROW()-1)
   )
   /SUM(INDEX(AA:AA, ROW()-COUNTIF($F$6:INDEX($F:$F, ROW()-1), $F364)) : INDEX(AA:AA, ROW()-1)),
   AVERAGEIFS(
     INDEX((unit_details[Effective Rent],unit_details[Effective PSF]),0,1,IF($U$3="Chunk Rent",1,2)),
     unit_details[Leased Date],"&gt;="&amp;($AM$2-X$5),
     unit_details[Leased Date],"&lt;"&amp;$AM$2,
     unit_details[Beds],$L365,
     unit_details[Baths],$M365,
     unit_details[Partial Baths],IF(ISNUMBER($N365),$N365,""),
     unit_details[Sqft],$P365,
     unit_details[Property Name],$F365)
 ),"")</f>
        <v/>
      </c>
      <c r="Z365" s="27" t="str">
        <f t="shared" si="66"/>
        <v/>
      </c>
      <c r="AA365" s="526">
        <f>IFERROR(
  IF($F365="Total",
    SUM(INDEX(AA:AA, ROW()-COUNTIF($F$6:INDEX($F:$F, ROW()-1), $F364)) : INDEX(AA:AA, ROW()-1)),
    COUNTIFS(
      unit_details[Leased Date], "&gt;="&amp;($AM$2-X$5),
      unit_details[Leased Date], "&lt;"&amp;$AM$2,
      unit_details[Beds], $L365,
      unit_details[Baths], $M365,
      unit_details[Partial Baths], IF(ISNUMBER($N365), $N365, ""),
      unit_details[Sqft],$P365,
      unit_details[Property Name], $F365
    )
  ),
"")</f>
        <v>0</v>
      </c>
      <c r="AB365" s="290">
        <f>IF($F365="Total",
SUM(INDEX(AB:AB, ROW()-COUNTIF($F$6:INDEX($F:$F, ROW()-1), $F364)) : INDEX(AB:AB, ROW()-1)),
COUNTIFS(unit_details[Active Listing?],TRUE,
          unit_details[Property Name], $F365,
          unit_details[Beds], $L365,
          unit_details[Baths], $M365,
          unit_details[Partial Baths],IF(ISNUMBER($N365),$N365,""),
          unit_details[Sqft],$P365))</f>
        <v>0</v>
      </c>
      <c r="AC365" s="27" t="str">
        <f t="shared" si="58"/>
        <v/>
      </c>
      <c r="AD365" s="293" t="str">
        <f>IFERROR(IF(AE365="","",IF($F365="Total",
SUMPRODUCT(
   INDEX(AD:AD, ROW()-COUNTIF($F$6:INDEX($F:$F, ROW()-1), $F364)) : INDEX(AD:AD, ROW()-1),
   INDEX(AB:AB, ROW()-COUNTIF($F$6:INDEX($F:$F, ROW()-1), $F364)) : INDEX(AB:AB, ROW()-1)
   )
   /SUM(INDEX(AB:AB, ROW()-COUNTIF($F$6:INDEX($F:$F, ROW()-1), $F364)) : INDEX(AB:AB, ROW()-1)),
          _xlfn.MINIFS(unit_details[Asking Rent],
          unit_details[Active Listing?],TRUE,
          unit_details[Property Name], $F365,
          unit_details[Beds], $L365,
          unit_details[Baths], $M365,
          unit_details[Partial Baths], IF(ISNUMBER($N365),$N365,""),
          unit_details[Sqft],$P365
))),"")</f>
        <v/>
      </c>
      <c r="AE365" s="5" t="str">
        <f>IFERROR(IF($F365="Total",
          SUMPRODUCT(
   INDEX(AE:AE, ROW()-COUNTIF($F$6:INDEX($F:$F, ROW()-1), $F364)) : INDEX(AE:AE, ROW()-1),
   INDEX(AB:AB, ROW()-COUNTIF($F$6:INDEX($F:$F, ROW()-1), $F364)) : INDEX(AB:AB, ROW()-1)
   )
   /SUM(INDEX(AB:AB, ROW()-COUNTIF($F$6:INDEX($F:$F, ROW()-1), $F364)) : INDEX(AB:AB, ROW()-1)),
          AVERAGEIFS(unit_details[Asking Rent],
          unit_details[Active Listing?],TRUE,
          unit_details[Property Name], $F365,
          unit_details[Beds], $L365,
          unit_details[Baths], $M365,
          unit_details[Partial Baths], IF(ISNUMBER($N365),$N365,""),
          unit_details[Sqft],$P365
)),"")</f>
        <v/>
      </c>
      <c r="AF365" s="5" t="str">
        <f>IFERROR(IF(AE365="","",IF($F365="Total",
SUMPRODUCT(
   INDEX(AF:AF, ROW()-COUNTIF($F$6:INDEX($F:$F, ROW()-1), $F364)) : INDEX(AF:AF, ROW()-1),
   INDEX(AB:AB, ROW()-COUNTIF($F$6:INDEX($F:$F, ROW()-1), $F364)) : INDEX(AB:AB, ROW()-1)
   )
   /SUM(INDEX(AB:AB, ROW()-COUNTIF($F$6:INDEX($F:$F, ROW()-1), $F364)) : INDEX(AB:AB, ROW()-1)),
           _xlfn.MAXIFS(unit_details[Asking Rent],
          unit_details[Active Listing?],TRUE,
          unit_details[Property Name], $F365,
          unit_details[Beds], $L365,
          unit_details[Baths], $M365,
          unit_details[Partial Baths], IF(ISNUMBER($N365),$N365,""),
          unit_details[Sqft],$P365
))),"")</f>
        <v/>
      </c>
      <c r="AG365" s="6" t="str">
        <f>IFERROR(IF($F365="Total",
         SUMPRODUCT(
         INDEX(AG:AG, ROW()-COUNTIF($F$6:INDEX($F:$F, ROW()-1), $F364)) : INDEX(AG:AG, ROW()-1),
         INDEX(AB:AB, ROW()-COUNTIF($F$6:INDEX($F:$F, ROW()-1), $F364)) : INDEX(AB:AB, ROW()-1)
         )
         /SUM(INDEX(AB:AB, ROW()-COUNTIF($F$6:INDEX($F:$F, ROW()-1), $F364)) : INDEX(AB:AB, ROW()-1)),
          AVERAGEIFS(unit_details[Asking PSF],
          unit_details[Active Listing?],TRUE,
          unit_details[Property Name], $F365,
          unit_details[Beds], $L365,
          unit_details[Baths], $M365,
          unit_details[Partial Baths], IF(ISNUMBER($N365),$N365,""),
          unit_details[Sqft],$P365
)),"")</f>
        <v/>
      </c>
      <c r="AH365" s="293" t="str">
        <f>IFERROR(IF($F365="Total",
         SUMPRODUCT(
         INDEX(AH:AH, ROW()-COUNTIF($F$6:INDEX($F:$F, ROW()-1), $F364)) : INDEX(AH:AH, ROW()-1),
         INDEX(AB:AB, ROW()-COUNTIF($F$6:INDEX($F:$F, ROW()-1), $F364)) : INDEX(AB:AB, ROW()-1)
         )
         /SUM(INDEX(AB:AB, ROW()-COUNTIF($F$6:INDEX($F:$F, ROW()-1), $F364)) : INDEX(AB:AB, ROW()-1)),
          AVERAGEIFS(unit_details[Effective Rent],
          unit_details[Active Listing?],TRUE,
          unit_details[Property Name], $F365,
          unit_details[Beds], $L365,
          unit_details[Baths], $M365,
          unit_details[Partial Baths], IF(ISNUMBER($N365),$N365,""),
          unit_details[Sqft],$P365
)),"")</f>
        <v/>
      </c>
      <c r="AI365" s="6" t="str">
        <f>IFERROR(IF($F365="Total",
         SUMPRODUCT(
         INDEX(AI:AI, ROW()-COUNTIF($F$6:INDEX($F:$F, ROW()-1), $F364)) : INDEX(AI:AI, ROW()-1),
         INDEX(AB:AB, ROW()-COUNTIF($F$6:INDEX($F:$F, ROW()-1), $F364)) : INDEX(AB:AB, ROW()-1)
         )
         /SUM(INDEX(AB:AB, ROW()-COUNTIF($F$6:INDEX($F:$F, ROW()-1), $F364)) : INDEX(AB:AB, ROW()-1)),
           AVERAGEIFS(unit_details[Effective PSF],
          unit_details[Active Listing?],TRUE,
          unit_details[Property Name], $F365,
          unit_details[Beds], $L365,
          unit_details[Baths], $M365,
          unit_details[Partial Baths], IF(ISNUMBER($N365),$N365,""),
          unit_details[Sqft],$P365
)),"")</f>
        <v/>
      </c>
      <c r="AJ365" s="824" t="str">
        <f t="shared" si="59"/>
        <v/>
      </c>
      <c r="AK365" s="531" t="str">
        <f t="shared" si="60"/>
        <v/>
      </c>
      <c r="AL365" s="714" t="str">
        <f t="shared" si="61"/>
        <v/>
      </c>
      <c r="AM365" s="531" t="str">
        <f t="shared" si="62"/>
        <v/>
      </c>
      <c r="AN365" s="716" t="str">
        <f t="shared" si="63"/>
        <v/>
      </c>
    </row>
    <row r="366" spans="6:40" x14ac:dyDescent="0.2">
      <c r="F366" s="1" t="str">
        <f t="shared" si="56"/>
        <v/>
      </c>
      <c r="G366" s="713" t="str">
        <f t="shared" si="64"/>
        <v/>
      </c>
      <c r="H366" s="17" t="str">
        <f>IFERROR(VLOOKUP($G366,Table1[[Property]:[Exposure %]],4,0),"")</f>
        <v/>
      </c>
      <c r="I366" s="3" t="str">
        <f>IFERROR(VLOOKUP($G366,Table1[[Property]:[Exposure %]],6,0),"")</f>
        <v/>
      </c>
      <c r="J366" s="3" t="str">
        <f>IFERROR(VLOOKUP($G366,Table1[[Property]:[Exposure %]],7,0),"")</f>
        <v/>
      </c>
      <c r="R366" s="4" t="str">
        <f>IFERROR(VLOOKUP(IF(F366="Total",F365,F366),Table1[[Property]:['# Units]],7,0)*S366,"")</f>
        <v/>
      </c>
      <c r="S366" s="27" t="str">
        <f t="shared" si="57"/>
        <v/>
      </c>
      <c r="T366" s="531" t="str">
        <f>IFERROR(
 IF($F366="Total",
   SUMPRODUCT(
   INDEX(T:T, ROW()-COUNTIF($F$6:INDEX($F:$F, ROW()-1), $F365)) : INDEX(T:T, ROW()-1),
   INDEX(W:W, ROW()-COUNTIF($F$6:INDEX($F:$F, ROW()-1), $F365)) : INDEX(W:W, ROW()-1)
   )
   /SUM(INDEX(W:W, ROW()-COUNTIF($F$6:INDEX($F:$F, ROW()-1), $F365)) : INDEX(W:W, ROW()-1)),
   AVERAGEIFS(
     INDEX((unit_details[Asking Rent],unit_details[Asking PSF]),0,1,IF($U$3="Chunk Rent",1,2)),
     unit_details[Leased Date],"&gt;="&amp;($AM$2-T$5),
     unit_details[Leased Date],"&lt;"&amp;$AM$2,
     unit_details[Beds],$L366,
     unit_details[Baths],$M366,
     unit_details[Partial Baths],IF(ISNUMBER($N366),$N366,""),
     unit_details[Sqft],$P366,
     unit_details[Property Name],$F366)
 ),"")</f>
        <v/>
      </c>
      <c r="U366" s="552" t="str">
        <f>IFERROR(
 IF($F366="Total",
   SUMPRODUCT(
   INDEX(U:U, ROW()-COUNTIF($F$6:INDEX($F:$F, ROW()-1), $F365)) : INDEX(U:U, ROW()-1),
   INDEX(W:W, ROW()-COUNTIF($F$6:INDEX($F:$F, ROW()-1), $F365)) : INDEX(W:W, ROW()-1)
   )
   /SUM(INDEX(W:W, ROW()-COUNTIF($F$6:INDEX($F:$F, ROW()-1), $F365)) : INDEX(W:W, ROW()-1)),
   AVERAGEIFS(
     INDEX((unit_details[Effective Rent],unit_details[Effective PSF]),0,1,IF($U$3="Chunk Rent",1,2)),
     unit_details[Leased Date],"&gt;="&amp;($AM$2-T$5),
     unit_details[Leased Date],"&lt;"&amp;$AM$2,
     unit_details[Beds],$L366,
     unit_details[Baths],$M366,
     unit_details[Partial Baths],IF(ISNUMBER($N366),$N366,""),
     unit_details[Sqft],$P366,
     unit_details[Property Name],$F366)
 ),"")</f>
        <v/>
      </c>
      <c r="V366" s="27" t="str">
        <f t="shared" si="65"/>
        <v/>
      </c>
      <c r="W366" s="526">
        <f>IFERROR(
  IF($F366="Total",
    SUM(INDEX(W:W, ROW()-COUNTIF($F$6:INDEX($F:$F, ROW()-1), $F365)) : INDEX(W:W, ROW()-1)),
    COUNTIFS(
      unit_details[Leased Date], "&gt;="&amp;($AM$2-T$5),
      unit_details[Leased Date], "&lt;"&amp;$AM$2,
      unit_details[Beds], $L366,
      unit_details[Baths], $M366,
      unit_details[Partial Baths], IF(ISNUMBER($N366), $N366, ""),
      unit_details[Sqft],$P366,
      unit_details[Property Name], $F366
    )
  ),
"")</f>
        <v>0</v>
      </c>
      <c r="X366" s="531" t="str">
        <f>IFERROR(
 IF($F366="Total",
   SUMPRODUCT(
   INDEX(X:X, ROW()-COUNTIF($F$6:INDEX($F:$F, ROW()-1), $F365)) : INDEX(X:X, ROW()-1),
   INDEX(AA:AA, ROW()-COUNTIF($F$6:INDEX($F:$F, ROW()-1), $F365)) : INDEX(AA:AA, ROW()-1)
   )
   /SUM(INDEX(AA:AA, ROW()-COUNTIF($F$6:INDEX($F:$F, ROW()-1), $F365)) : INDEX(AA:AA, ROW()-1)),
   AVERAGEIFS(
     INDEX((unit_details[Asking Rent],unit_details[Asking PSF]),0,1,IF($U$3="Chunk Rent",1,2)),
     unit_details[Leased Date],"&gt;="&amp;($AM$2-X$5),
     unit_details[Leased Date],"&lt;"&amp;$AM$2,
     unit_details[Beds],$L366,
     unit_details[Baths],$M366,
     unit_details[Partial Baths],IF(ISNUMBER($N366),$N366,""),
     unit_details[Sqft],$P366,
     unit_details[Property Name],$F366)
 ),"")</f>
        <v/>
      </c>
      <c r="Y366" s="552" t="str">
        <f>IFERROR(
 IF($F366="Total",
   SUMPRODUCT(
   INDEX(Y:Y, ROW()-COUNTIF($F$6:INDEX($F:$F, ROW()-1), $F365)) : INDEX(Y:Y, ROW()-1),
   INDEX(AA:AA, ROW()-COUNTIF($F$6:INDEX($F:$F, ROW()-1), $F365)) : INDEX(AA:AA, ROW()-1)
   )
   /SUM(INDEX(AA:AA, ROW()-COUNTIF($F$6:INDEX($F:$F, ROW()-1), $F365)) : INDEX(AA:AA, ROW()-1)),
   AVERAGEIFS(
     INDEX((unit_details[Effective Rent],unit_details[Effective PSF]),0,1,IF($U$3="Chunk Rent",1,2)),
     unit_details[Leased Date],"&gt;="&amp;($AM$2-X$5),
     unit_details[Leased Date],"&lt;"&amp;$AM$2,
     unit_details[Beds],$L366,
     unit_details[Baths],$M366,
     unit_details[Partial Baths],IF(ISNUMBER($N366),$N366,""),
     unit_details[Sqft],$P366,
     unit_details[Property Name],$F366)
 ),"")</f>
        <v/>
      </c>
      <c r="Z366" s="27" t="str">
        <f t="shared" si="66"/>
        <v/>
      </c>
      <c r="AA366" s="526">
        <f>IFERROR(
  IF($F366="Total",
    SUM(INDEX(AA:AA, ROW()-COUNTIF($F$6:INDEX($F:$F, ROW()-1), $F365)) : INDEX(AA:AA, ROW()-1)),
    COUNTIFS(
      unit_details[Leased Date], "&gt;="&amp;($AM$2-X$5),
      unit_details[Leased Date], "&lt;"&amp;$AM$2,
      unit_details[Beds], $L366,
      unit_details[Baths], $M366,
      unit_details[Partial Baths], IF(ISNUMBER($N366), $N366, ""),
      unit_details[Sqft],$P366,
      unit_details[Property Name], $F366
    )
  ),
"")</f>
        <v>0</v>
      </c>
      <c r="AB366" s="290">
        <f>IF($F366="Total",
SUM(INDEX(AB:AB, ROW()-COUNTIF($F$6:INDEX($F:$F, ROW()-1), $F365)) : INDEX(AB:AB, ROW()-1)),
COUNTIFS(unit_details[Active Listing?],TRUE,
          unit_details[Property Name], $F366,
          unit_details[Beds], $L366,
          unit_details[Baths], $M366,
          unit_details[Partial Baths],IF(ISNUMBER($N366),$N366,""),
          unit_details[Sqft],$P366))</f>
        <v>0</v>
      </c>
      <c r="AC366" s="27" t="str">
        <f t="shared" si="58"/>
        <v/>
      </c>
      <c r="AD366" s="293" t="str">
        <f>IFERROR(IF(AE366="","",IF($F366="Total",
SUMPRODUCT(
   INDEX(AD:AD, ROW()-COUNTIF($F$6:INDEX($F:$F, ROW()-1), $F365)) : INDEX(AD:AD, ROW()-1),
   INDEX(AB:AB, ROW()-COUNTIF($F$6:INDEX($F:$F, ROW()-1), $F365)) : INDEX(AB:AB, ROW()-1)
   )
   /SUM(INDEX(AB:AB, ROW()-COUNTIF($F$6:INDEX($F:$F, ROW()-1), $F365)) : INDEX(AB:AB, ROW()-1)),
          _xlfn.MINIFS(unit_details[Asking Rent],
          unit_details[Active Listing?],TRUE,
          unit_details[Property Name], $F366,
          unit_details[Beds], $L366,
          unit_details[Baths], $M366,
          unit_details[Partial Baths], IF(ISNUMBER($N366),$N366,""),
          unit_details[Sqft],$P366
))),"")</f>
        <v/>
      </c>
      <c r="AE366" s="5" t="str">
        <f>IFERROR(IF($F366="Total",
          SUMPRODUCT(
   INDEX(AE:AE, ROW()-COUNTIF($F$6:INDEX($F:$F, ROW()-1), $F365)) : INDEX(AE:AE, ROW()-1),
   INDEX(AB:AB, ROW()-COUNTIF($F$6:INDEX($F:$F, ROW()-1), $F365)) : INDEX(AB:AB, ROW()-1)
   )
   /SUM(INDEX(AB:AB, ROW()-COUNTIF($F$6:INDEX($F:$F, ROW()-1), $F365)) : INDEX(AB:AB, ROW()-1)),
          AVERAGEIFS(unit_details[Asking Rent],
          unit_details[Active Listing?],TRUE,
          unit_details[Property Name], $F366,
          unit_details[Beds], $L366,
          unit_details[Baths], $M366,
          unit_details[Partial Baths], IF(ISNUMBER($N366),$N366,""),
          unit_details[Sqft],$P366
)),"")</f>
        <v/>
      </c>
      <c r="AF366" s="5" t="str">
        <f>IFERROR(IF(AE366="","",IF($F366="Total",
SUMPRODUCT(
   INDEX(AF:AF, ROW()-COUNTIF($F$6:INDEX($F:$F, ROW()-1), $F365)) : INDEX(AF:AF, ROW()-1),
   INDEX(AB:AB, ROW()-COUNTIF($F$6:INDEX($F:$F, ROW()-1), $F365)) : INDEX(AB:AB, ROW()-1)
   )
   /SUM(INDEX(AB:AB, ROW()-COUNTIF($F$6:INDEX($F:$F, ROW()-1), $F365)) : INDEX(AB:AB, ROW()-1)),
           _xlfn.MAXIFS(unit_details[Asking Rent],
          unit_details[Active Listing?],TRUE,
          unit_details[Property Name], $F366,
          unit_details[Beds], $L366,
          unit_details[Baths], $M366,
          unit_details[Partial Baths], IF(ISNUMBER($N366),$N366,""),
          unit_details[Sqft],$P366
))),"")</f>
        <v/>
      </c>
      <c r="AG366" s="6" t="str">
        <f>IFERROR(IF($F366="Total",
         SUMPRODUCT(
         INDEX(AG:AG, ROW()-COUNTIF($F$6:INDEX($F:$F, ROW()-1), $F365)) : INDEX(AG:AG, ROW()-1),
         INDEX(AB:AB, ROW()-COUNTIF($F$6:INDEX($F:$F, ROW()-1), $F365)) : INDEX(AB:AB, ROW()-1)
         )
         /SUM(INDEX(AB:AB, ROW()-COUNTIF($F$6:INDEX($F:$F, ROW()-1), $F365)) : INDEX(AB:AB, ROW()-1)),
          AVERAGEIFS(unit_details[Asking PSF],
          unit_details[Active Listing?],TRUE,
          unit_details[Property Name], $F366,
          unit_details[Beds], $L366,
          unit_details[Baths], $M366,
          unit_details[Partial Baths], IF(ISNUMBER($N366),$N366,""),
          unit_details[Sqft],$P366
)),"")</f>
        <v/>
      </c>
      <c r="AH366" s="293" t="str">
        <f>IFERROR(IF($F366="Total",
         SUMPRODUCT(
         INDEX(AH:AH, ROW()-COUNTIF($F$6:INDEX($F:$F, ROW()-1), $F365)) : INDEX(AH:AH, ROW()-1),
         INDEX(AB:AB, ROW()-COUNTIF($F$6:INDEX($F:$F, ROW()-1), $F365)) : INDEX(AB:AB, ROW()-1)
         )
         /SUM(INDEX(AB:AB, ROW()-COUNTIF($F$6:INDEX($F:$F, ROW()-1), $F365)) : INDEX(AB:AB, ROW()-1)),
          AVERAGEIFS(unit_details[Effective Rent],
          unit_details[Active Listing?],TRUE,
          unit_details[Property Name], $F366,
          unit_details[Beds], $L366,
          unit_details[Baths], $M366,
          unit_details[Partial Baths], IF(ISNUMBER($N366),$N366,""),
          unit_details[Sqft],$P366
)),"")</f>
        <v/>
      </c>
      <c r="AI366" s="6" t="str">
        <f>IFERROR(IF($F366="Total",
         SUMPRODUCT(
         INDEX(AI:AI, ROW()-COUNTIF($F$6:INDEX($F:$F, ROW()-1), $F365)) : INDEX(AI:AI, ROW()-1),
         INDEX(AB:AB, ROW()-COUNTIF($F$6:INDEX($F:$F, ROW()-1), $F365)) : INDEX(AB:AB, ROW()-1)
         )
         /SUM(INDEX(AB:AB, ROW()-COUNTIF($F$6:INDEX($F:$F, ROW()-1), $F365)) : INDEX(AB:AB, ROW()-1)),
           AVERAGEIFS(unit_details[Effective PSF],
          unit_details[Active Listing?],TRUE,
          unit_details[Property Name], $F366,
          unit_details[Beds], $L366,
          unit_details[Baths], $M366,
          unit_details[Partial Baths], IF(ISNUMBER($N366),$N366,""),
          unit_details[Sqft],$P366
)),"")</f>
        <v/>
      </c>
      <c r="AJ366" s="824" t="str">
        <f t="shared" si="59"/>
        <v/>
      </c>
      <c r="AK366" s="531" t="str">
        <f t="shared" si="60"/>
        <v/>
      </c>
      <c r="AL366" s="714" t="str">
        <f t="shared" si="61"/>
        <v/>
      </c>
      <c r="AM366" s="531" t="str">
        <f t="shared" si="62"/>
        <v/>
      </c>
      <c r="AN366" s="716" t="str">
        <f t="shared" si="63"/>
        <v/>
      </c>
    </row>
    <row r="367" spans="6:40" x14ac:dyDescent="0.2">
      <c r="F367" s="1" t="str">
        <f t="shared" si="56"/>
        <v/>
      </c>
      <c r="G367" s="713" t="str">
        <f t="shared" si="64"/>
        <v/>
      </c>
      <c r="H367" s="17" t="str">
        <f>IFERROR(VLOOKUP($G367,Table1[[Property]:[Exposure %]],4,0),"")</f>
        <v/>
      </c>
      <c r="I367" s="3" t="str">
        <f>IFERROR(VLOOKUP($G367,Table1[[Property]:[Exposure %]],6,0),"")</f>
        <v/>
      </c>
      <c r="J367" s="3" t="str">
        <f>IFERROR(VLOOKUP($G367,Table1[[Property]:[Exposure %]],7,0),"")</f>
        <v/>
      </c>
      <c r="R367" s="4" t="str">
        <f>IFERROR(VLOOKUP(IF(F367="Total",F366,F367),Table1[[Property]:['# Units]],7,0)*S367,"")</f>
        <v/>
      </c>
      <c r="S367" s="27" t="str">
        <f t="shared" si="57"/>
        <v/>
      </c>
      <c r="T367" s="531" t="str">
        <f>IFERROR(
 IF($F367="Total",
   SUMPRODUCT(
   INDEX(T:T, ROW()-COUNTIF($F$6:INDEX($F:$F, ROW()-1), $F366)) : INDEX(T:T, ROW()-1),
   INDEX(W:W, ROW()-COUNTIF($F$6:INDEX($F:$F, ROW()-1), $F366)) : INDEX(W:W, ROW()-1)
   )
   /SUM(INDEX(W:W, ROW()-COUNTIF($F$6:INDEX($F:$F, ROW()-1), $F366)) : INDEX(W:W, ROW()-1)),
   AVERAGEIFS(
     INDEX((unit_details[Asking Rent],unit_details[Asking PSF]),0,1,IF($U$3="Chunk Rent",1,2)),
     unit_details[Leased Date],"&gt;="&amp;($AM$2-T$5),
     unit_details[Leased Date],"&lt;"&amp;$AM$2,
     unit_details[Beds],$L367,
     unit_details[Baths],$M367,
     unit_details[Partial Baths],IF(ISNUMBER($N367),$N367,""),
     unit_details[Sqft],$P367,
     unit_details[Property Name],$F367)
 ),"")</f>
        <v/>
      </c>
      <c r="U367" s="552" t="str">
        <f>IFERROR(
 IF($F367="Total",
   SUMPRODUCT(
   INDEX(U:U, ROW()-COUNTIF($F$6:INDEX($F:$F, ROW()-1), $F366)) : INDEX(U:U, ROW()-1),
   INDEX(W:W, ROW()-COUNTIF($F$6:INDEX($F:$F, ROW()-1), $F366)) : INDEX(W:W, ROW()-1)
   )
   /SUM(INDEX(W:W, ROW()-COUNTIF($F$6:INDEX($F:$F, ROW()-1), $F366)) : INDEX(W:W, ROW()-1)),
   AVERAGEIFS(
     INDEX((unit_details[Effective Rent],unit_details[Effective PSF]),0,1,IF($U$3="Chunk Rent",1,2)),
     unit_details[Leased Date],"&gt;="&amp;($AM$2-T$5),
     unit_details[Leased Date],"&lt;"&amp;$AM$2,
     unit_details[Beds],$L367,
     unit_details[Baths],$M367,
     unit_details[Partial Baths],IF(ISNUMBER($N367),$N367,""),
     unit_details[Sqft],$P367,
     unit_details[Property Name],$F367)
 ),"")</f>
        <v/>
      </c>
      <c r="V367" s="27" t="str">
        <f t="shared" si="65"/>
        <v/>
      </c>
      <c r="W367" s="526">
        <f>IFERROR(
  IF($F367="Total",
    SUM(INDEX(W:W, ROW()-COUNTIF($F$6:INDEX($F:$F, ROW()-1), $F366)) : INDEX(W:W, ROW()-1)),
    COUNTIFS(
      unit_details[Leased Date], "&gt;="&amp;($AM$2-T$5),
      unit_details[Leased Date], "&lt;"&amp;$AM$2,
      unit_details[Beds], $L367,
      unit_details[Baths], $M367,
      unit_details[Partial Baths], IF(ISNUMBER($N367), $N367, ""),
      unit_details[Sqft],$P367,
      unit_details[Property Name], $F367
    )
  ),
"")</f>
        <v>0</v>
      </c>
      <c r="X367" s="531" t="str">
        <f>IFERROR(
 IF($F367="Total",
   SUMPRODUCT(
   INDEX(X:X, ROW()-COUNTIF($F$6:INDEX($F:$F, ROW()-1), $F366)) : INDEX(X:X, ROW()-1),
   INDEX(AA:AA, ROW()-COUNTIF($F$6:INDEX($F:$F, ROW()-1), $F366)) : INDEX(AA:AA, ROW()-1)
   )
   /SUM(INDEX(AA:AA, ROW()-COUNTIF($F$6:INDEX($F:$F, ROW()-1), $F366)) : INDEX(AA:AA, ROW()-1)),
   AVERAGEIFS(
     INDEX((unit_details[Asking Rent],unit_details[Asking PSF]),0,1,IF($U$3="Chunk Rent",1,2)),
     unit_details[Leased Date],"&gt;="&amp;($AM$2-X$5),
     unit_details[Leased Date],"&lt;"&amp;$AM$2,
     unit_details[Beds],$L367,
     unit_details[Baths],$M367,
     unit_details[Partial Baths],IF(ISNUMBER($N367),$N367,""),
     unit_details[Sqft],$P367,
     unit_details[Property Name],$F367)
 ),"")</f>
        <v/>
      </c>
      <c r="Y367" s="552" t="str">
        <f>IFERROR(
 IF($F367="Total",
   SUMPRODUCT(
   INDEX(Y:Y, ROW()-COUNTIF($F$6:INDEX($F:$F, ROW()-1), $F366)) : INDEX(Y:Y, ROW()-1),
   INDEX(AA:AA, ROW()-COUNTIF($F$6:INDEX($F:$F, ROW()-1), $F366)) : INDEX(AA:AA, ROW()-1)
   )
   /SUM(INDEX(AA:AA, ROW()-COUNTIF($F$6:INDEX($F:$F, ROW()-1), $F366)) : INDEX(AA:AA, ROW()-1)),
   AVERAGEIFS(
     INDEX((unit_details[Effective Rent],unit_details[Effective PSF]),0,1,IF($U$3="Chunk Rent",1,2)),
     unit_details[Leased Date],"&gt;="&amp;($AM$2-X$5),
     unit_details[Leased Date],"&lt;"&amp;$AM$2,
     unit_details[Beds],$L367,
     unit_details[Baths],$M367,
     unit_details[Partial Baths],IF(ISNUMBER($N367),$N367,""),
     unit_details[Sqft],$P367,
     unit_details[Property Name],$F367)
 ),"")</f>
        <v/>
      </c>
      <c r="Z367" s="27" t="str">
        <f t="shared" si="66"/>
        <v/>
      </c>
      <c r="AA367" s="526">
        <f>IFERROR(
  IF($F367="Total",
    SUM(INDEX(AA:AA, ROW()-COUNTIF($F$6:INDEX($F:$F, ROW()-1), $F366)) : INDEX(AA:AA, ROW()-1)),
    COUNTIFS(
      unit_details[Leased Date], "&gt;="&amp;($AM$2-X$5),
      unit_details[Leased Date], "&lt;"&amp;$AM$2,
      unit_details[Beds], $L367,
      unit_details[Baths], $M367,
      unit_details[Partial Baths], IF(ISNUMBER($N367), $N367, ""),
      unit_details[Sqft],$P367,
      unit_details[Property Name], $F367
    )
  ),
"")</f>
        <v>0</v>
      </c>
      <c r="AB367" s="290">
        <f>IF($F367="Total",
SUM(INDEX(AB:AB, ROW()-COUNTIF($F$6:INDEX($F:$F, ROW()-1), $F366)) : INDEX(AB:AB, ROW()-1)),
COUNTIFS(unit_details[Active Listing?],TRUE,
          unit_details[Property Name], $F367,
          unit_details[Beds], $L367,
          unit_details[Baths], $M367,
          unit_details[Partial Baths],IF(ISNUMBER($N367),$N367,""),
          unit_details[Sqft],$P367))</f>
        <v>0</v>
      </c>
      <c r="AC367" s="27" t="str">
        <f t="shared" si="58"/>
        <v/>
      </c>
      <c r="AD367" s="293" t="str">
        <f>IFERROR(IF(AE367="","",IF($F367="Total",
SUMPRODUCT(
   INDEX(AD:AD, ROW()-COUNTIF($F$6:INDEX($F:$F, ROW()-1), $F366)) : INDEX(AD:AD, ROW()-1),
   INDEX(AB:AB, ROW()-COUNTIF($F$6:INDEX($F:$F, ROW()-1), $F366)) : INDEX(AB:AB, ROW()-1)
   )
   /SUM(INDEX(AB:AB, ROW()-COUNTIF($F$6:INDEX($F:$F, ROW()-1), $F366)) : INDEX(AB:AB, ROW()-1)),
          _xlfn.MINIFS(unit_details[Asking Rent],
          unit_details[Active Listing?],TRUE,
          unit_details[Property Name], $F367,
          unit_details[Beds], $L367,
          unit_details[Baths], $M367,
          unit_details[Partial Baths], IF(ISNUMBER($N367),$N367,""),
          unit_details[Sqft],$P367
))),"")</f>
        <v/>
      </c>
      <c r="AE367" s="5" t="str">
        <f>IFERROR(IF($F367="Total",
          SUMPRODUCT(
   INDEX(AE:AE, ROW()-COUNTIF($F$6:INDEX($F:$F, ROW()-1), $F366)) : INDEX(AE:AE, ROW()-1),
   INDEX(AB:AB, ROW()-COUNTIF($F$6:INDEX($F:$F, ROW()-1), $F366)) : INDEX(AB:AB, ROW()-1)
   )
   /SUM(INDEX(AB:AB, ROW()-COUNTIF($F$6:INDEX($F:$F, ROW()-1), $F366)) : INDEX(AB:AB, ROW()-1)),
          AVERAGEIFS(unit_details[Asking Rent],
          unit_details[Active Listing?],TRUE,
          unit_details[Property Name], $F367,
          unit_details[Beds], $L367,
          unit_details[Baths], $M367,
          unit_details[Partial Baths], IF(ISNUMBER($N367),$N367,""),
          unit_details[Sqft],$P367
)),"")</f>
        <v/>
      </c>
      <c r="AF367" s="5" t="str">
        <f>IFERROR(IF(AE367="","",IF($F367="Total",
SUMPRODUCT(
   INDEX(AF:AF, ROW()-COUNTIF($F$6:INDEX($F:$F, ROW()-1), $F366)) : INDEX(AF:AF, ROW()-1),
   INDEX(AB:AB, ROW()-COUNTIF($F$6:INDEX($F:$F, ROW()-1), $F366)) : INDEX(AB:AB, ROW()-1)
   )
   /SUM(INDEX(AB:AB, ROW()-COUNTIF($F$6:INDEX($F:$F, ROW()-1), $F366)) : INDEX(AB:AB, ROW()-1)),
           _xlfn.MAXIFS(unit_details[Asking Rent],
          unit_details[Active Listing?],TRUE,
          unit_details[Property Name], $F367,
          unit_details[Beds], $L367,
          unit_details[Baths], $M367,
          unit_details[Partial Baths], IF(ISNUMBER($N367),$N367,""),
          unit_details[Sqft],$P367
))),"")</f>
        <v/>
      </c>
      <c r="AG367" s="6" t="str">
        <f>IFERROR(IF($F367="Total",
         SUMPRODUCT(
         INDEX(AG:AG, ROW()-COUNTIF($F$6:INDEX($F:$F, ROW()-1), $F366)) : INDEX(AG:AG, ROW()-1),
         INDEX(AB:AB, ROW()-COUNTIF($F$6:INDEX($F:$F, ROW()-1), $F366)) : INDEX(AB:AB, ROW()-1)
         )
         /SUM(INDEX(AB:AB, ROW()-COUNTIF($F$6:INDEX($F:$F, ROW()-1), $F366)) : INDEX(AB:AB, ROW()-1)),
          AVERAGEIFS(unit_details[Asking PSF],
          unit_details[Active Listing?],TRUE,
          unit_details[Property Name], $F367,
          unit_details[Beds], $L367,
          unit_details[Baths], $M367,
          unit_details[Partial Baths], IF(ISNUMBER($N367),$N367,""),
          unit_details[Sqft],$P367
)),"")</f>
        <v/>
      </c>
      <c r="AH367" s="293" t="str">
        <f>IFERROR(IF($F367="Total",
         SUMPRODUCT(
         INDEX(AH:AH, ROW()-COUNTIF($F$6:INDEX($F:$F, ROW()-1), $F366)) : INDEX(AH:AH, ROW()-1),
         INDEX(AB:AB, ROW()-COUNTIF($F$6:INDEX($F:$F, ROW()-1), $F366)) : INDEX(AB:AB, ROW()-1)
         )
         /SUM(INDEX(AB:AB, ROW()-COUNTIF($F$6:INDEX($F:$F, ROW()-1), $F366)) : INDEX(AB:AB, ROW()-1)),
          AVERAGEIFS(unit_details[Effective Rent],
          unit_details[Active Listing?],TRUE,
          unit_details[Property Name], $F367,
          unit_details[Beds], $L367,
          unit_details[Baths], $M367,
          unit_details[Partial Baths], IF(ISNUMBER($N367),$N367,""),
          unit_details[Sqft],$P367
)),"")</f>
        <v/>
      </c>
      <c r="AI367" s="6" t="str">
        <f>IFERROR(IF($F367="Total",
         SUMPRODUCT(
         INDEX(AI:AI, ROW()-COUNTIF($F$6:INDEX($F:$F, ROW()-1), $F366)) : INDEX(AI:AI, ROW()-1),
         INDEX(AB:AB, ROW()-COUNTIF($F$6:INDEX($F:$F, ROW()-1), $F366)) : INDEX(AB:AB, ROW()-1)
         )
         /SUM(INDEX(AB:AB, ROW()-COUNTIF($F$6:INDEX($F:$F, ROW()-1), $F366)) : INDEX(AB:AB, ROW()-1)),
           AVERAGEIFS(unit_details[Effective PSF],
          unit_details[Active Listing?],TRUE,
          unit_details[Property Name], $F367,
          unit_details[Beds], $L367,
          unit_details[Baths], $M367,
          unit_details[Partial Baths], IF(ISNUMBER($N367),$N367,""),
          unit_details[Sqft],$P367
)),"")</f>
        <v/>
      </c>
      <c r="AJ367" s="824" t="str">
        <f t="shared" si="59"/>
        <v/>
      </c>
      <c r="AK367" s="531" t="str">
        <f t="shared" si="60"/>
        <v/>
      </c>
      <c r="AL367" s="714" t="str">
        <f t="shared" si="61"/>
        <v/>
      </c>
      <c r="AM367" s="531" t="str">
        <f t="shared" si="62"/>
        <v/>
      </c>
      <c r="AN367" s="716" t="str">
        <f t="shared" si="63"/>
        <v/>
      </c>
    </row>
    <row r="368" spans="6:40" x14ac:dyDescent="0.2">
      <c r="F368" s="1" t="str">
        <f t="shared" si="56"/>
        <v/>
      </c>
      <c r="G368" s="713" t="str">
        <f t="shared" si="64"/>
        <v/>
      </c>
      <c r="H368" s="17" t="str">
        <f>IFERROR(VLOOKUP($G368,Table1[[Property]:[Exposure %]],4,0),"")</f>
        <v/>
      </c>
      <c r="I368" s="3" t="str">
        <f>IFERROR(VLOOKUP($G368,Table1[[Property]:[Exposure %]],6,0),"")</f>
        <v/>
      </c>
      <c r="J368" s="3" t="str">
        <f>IFERROR(VLOOKUP($G368,Table1[[Property]:[Exposure %]],7,0),"")</f>
        <v/>
      </c>
      <c r="R368" s="4" t="str">
        <f>IFERROR(VLOOKUP(IF(F368="Total",F367,F368),Table1[[Property]:['# Units]],7,0)*S368,"")</f>
        <v/>
      </c>
      <c r="S368" s="27" t="str">
        <f t="shared" si="57"/>
        <v/>
      </c>
      <c r="T368" s="531" t="str">
        <f>IFERROR(
 IF($F368="Total",
   SUMPRODUCT(
   INDEX(T:T, ROW()-COUNTIF($F$6:INDEX($F:$F, ROW()-1), $F367)) : INDEX(T:T, ROW()-1),
   INDEX(W:W, ROW()-COUNTIF($F$6:INDEX($F:$F, ROW()-1), $F367)) : INDEX(W:W, ROW()-1)
   )
   /SUM(INDEX(W:W, ROW()-COUNTIF($F$6:INDEX($F:$F, ROW()-1), $F367)) : INDEX(W:W, ROW()-1)),
   AVERAGEIFS(
     INDEX((unit_details[Asking Rent],unit_details[Asking PSF]),0,1,IF($U$3="Chunk Rent",1,2)),
     unit_details[Leased Date],"&gt;="&amp;($AM$2-T$5),
     unit_details[Leased Date],"&lt;"&amp;$AM$2,
     unit_details[Beds],$L368,
     unit_details[Baths],$M368,
     unit_details[Partial Baths],IF(ISNUMBER($N368),$N368,""),
     unit_details[Sqft],$P368,
     unit_details[Property Name],$F368)
 ),"")</f>
        <v/>
      </c>
      <c r="U368" s="552" t="str">
        <f>IFERROR(
 IF($F368="Total",
   SUMPRODUCT(
   INDEX(U:U, ROW()-COUNTIF($F$6:INDEX($F:$F, ROW()-1), $F367)) : INDEX(U:U, ROW()-1),
   INDEX(W:W, ROW()-COUNTIF($F$6:INDEX($F:$F, ROW()-1), $F367)) : INDEX(W:W, ROW()-1)
   )
   /SUM(INDEX(W:W, ROW()-COUNTIF($F$6:INDEX($F:$F, ROW()-1), $F367)) : INDEX(W:W, ROW()-1)),
   AVERAGEIFS(
     INDEX((unit_details[Effective Rent],unit_details[Effective PSF]),0,1,IF($U$3="Chunk Rent",1,2)),
     unit_details[Leased Date],"&gt;="&amp;($AM$2-T$5),
     unit_details[Leased Date],"&lt;"&amp;$AM$2,
     unit_details[Beds],$L368,
     unit_details[Baths],$M368,
     unit_details[Partial Baths],IF(ISNUMBER($N368),$N368,""),
     unit_details[Sqft],$P368,
     unit_details[Property Name],$F368)
 ),"")</f>
        <v/>
      </c>
      <c r="V368" s="27" t="str">
        <f t="shared" si="65"/>
        <v/>
      </c>
      <c r="W368" s="526">
        <f>IFERROR(
  IF($F368="Total",
    SUM(INDEX(W:W, ROW()-COUNTIF($F$6:INDEX($F:$F, ROW()-1), $F367)) : INDEX(W:W, ROW()-1)),
    COUNTIFS(
      unit_details[Leased Date], "&gt;="&amp;($AM$2-T$5),
      unit_details[Leased Date], "&lt;"&amp;$AM$2,
      unit_details[Beds], $L368,
      unit_details[Baths], $M368,
      unit_details[Partial Baths], IF(ISNUMBER($N368), $N368, ""),
      unit_details[Sqft],$P368,
      unit_details[Property Name], $F368
    )
  ),
"")</f>
        <v>0</v>
      </c>
      <c r="X368" s="531" t="str">
        <f>IFERROR(
 IF($F368="Total",
   SUMPRODUCT(
   INDEX(X:X, ROW()-COUNTIF($F$6:INDEX($F:$F, ROW()-1), $F367)) : INDEX(X:X, ROW()-1),
   INDEX(AA:AA, ROW()-COUNTIF($F$6:INDEX($F:$F, ROW()-1), $F367)) : INDEX(AA:AA, ROW()-1)
   )
   /SUM(INDEX(AA:AA, ROW()-COUNTIF($F$6:INDEX($F:$F, ROW()-1), $F367)) : INDEX(AA:AA, ROW()-1)),
   AVERAGEIFS(
     INDEX((unit_details[Asking Rent],unit_details[Asking PSF]),0,1,IF($U$3="Chunk Rent",1,2)),
     unit_details[Leased Date],"&gt;="&amp;($AM$2-X$5),
     unit_details[Leased Date],"&lt;"&amp;$AM$2,
     unit_details[Beds],$L368,
     unit_details[Baths],$M368,
     unit_details[Partial Baths],IF(ISNUMBER($N368),$N368,""),
     unit_details[Sqft],$P368,
     unit_details[Property Name],$F368)
 ),"")</f>
        <v/>
      </c>
      <c r="Y368" s="552" t="str">
        <f>IFERROR(
 IF($F368="Total",
   SUMPRODUCT(
   INDEX(Y:Y, ROW()-COUNTIF($F$6:INDEX($F:$F, ROW()-1), $F367)) : INDEX(Y:Y, ROW()-1),
   INDEX(AA:AA, ROW()-COUNTIF($F$6:INDEX($F:$F, ROW()-1), $F367)) : INDEX(AA:AA, ROW()-1)
   )
   /SUM(INDEX(AA:AA, ROW()-COUNTIF($F$6:INDEX($F:$F, ROW()-1), $F367)) : INDEX(AA:AA, ROW()-1)),
   AVERAGEIFS(
     INDEX((unit_details[Effective Rent],unit_details[Effective PSF]),0,1,IF($U$3="Chunk Rent",1,2)),
     unit_details[Leased Date],"&gt;="&amp;($AM$2-X$5),
     unit_details[Leased Date],"&lt;"&amp;$AM$2,
     unit_details[Beds],$L368,
     unit_details[Baths],$M368,
     unit_details[Partial Baths],IF(ISNUMBER($N368),$N368,""),
     unit_details[Sqft],$P368,
     unit_details[Property Name],$F368)
 ),"")</f>
        <v/>
      </c>
      <c r="Z368" s="27" t="str">
        <f t="shared" si="66"/>
        <v/>
      </c>
      <c r="AA368" s="526">
        <f>IFERROR(
  IF($F368="Total",
    SUM(INDEX(AA:AA, ROW()-COUNTIF($F$6:INDEX($F:$F, ROW()-1), $F367)) : INDEX(AA:AA, ROW()-1)),
    COUNTIFS(
      unit_details[Leased Date], "&gt;="&amp;($AM$2-X$5),
      unit_details[Leased Date], "&lt;"&amp;$AM$2,
      unit_details[Beds], $L368,
      unit_details[Baths], $M368,
      unit_details[Partial Baths], IF(ISNUMBER($N368), $N368, ""),
      unit_details[Sqft],$P368,
      unit_details[Property Name], $F368
    )
  ),
"")</f>
        <v>0</v>
      </c>
      <c r="AB368" s="290">
        <f>IF($F368="Total",
SUM(INDEX(AB:AB, ROW()-COUNTIF($F$6:INDEX($F:$F, ROW()-1), $F367)) : INDEX(AB:AB, ROW()-1)),
COUNTIFS(unit_details[Active Listing?],TRUE,
          unit_details[Property Name], $F368,
          unit_details[Beds], $L368,
          unit_details[Baths], $M368,
          unit_details[Partial Baths],IF(ISNUMBER($N368),$N368,""),
          unit_details[Sqft],$P368))</f>
        <v>0</v>
      </c>
      <c r="AC368" s="27" t="str">
        <f t="shared" si="58"/>
        <v/>
      </c>
      <c r="AD368" s="293" t="str">
        <f>IFERROR(IF(AE368="","",IF($F368="Total",
SUMPRODUCT(
   INDEX(AD:AD, ROW()-COUNTIF($F$6:INDEX($F:$F, ROW()-1), $F367)) : INDEX(AD:AD, ROW()-1),
   INDEX(AB:AB, ROW()-COUNTIF($F$6:INDEX($F:$F, ROW()-1), $F367)) : INDEX(AB:AB, ROW()-1)
   )
   /SUM(INDEX(AB:AB, ROW()-COUNTIF($F$6:INDEX($F:$F, ROW()-1), $F367)) : INDEX(AB:AB, ROW()-1)),
          _xlfn.MINIFS(unit_details[Asking Rent],
          unit_details[Active Listing?],TRUE,
          unit_details[Property Name], $F368,
          unit_details[Beds], $L368,
          unit_details[Baths], $M368,
          unit_details[Partial Baths], IF(ISNUMBER($N368),$N368,""),
          unit_details[Sqft],$P368
))),"")</f>
        <v/>
      </c>
      <c r="AE368" s="5" t="str">
        <f>IFERROR(IF($F368="Total",
          SUMPRODUCT(
   INDEX(AE:AE, ROW()-COUNTIF($F$6:INDEX($F:$F, ROW()-1), $F367)) : INDEX(AE:AE, ROW()-1),
   INDEX(AB:AB, ROW()-COUNTIF($F$6:INDEX($F:$F, ROW()-1), $F367)) : INDEX(AB:AB, ROW()-1)
   )
   /SUM(INDEX(AB:AB, ROW()-COUNTIF($F$6:INDEX($F:$F, ROW()-1), $F367)) : INDEX(AB:AB, ROW()-1)),
          AVERAGEIFS(unit_details[Asking Rent],
          unit_details[Active Listing?],TRUE,
          unit_details[Property Name], $F368,
          unit_details[Beds], $L368,
          unit_details[Baths], $M368,
          unit_details[Partial Baths], IF(ISNUMBER($N368),$N368,""),
          unit_details[Sqft],$P368
)),"")</f>
        <v/>
      </c>
      <c r="AF368" s="5" t="str">
        <f>IFERROR(IF(AE368="","",IF($F368="Total",
SUMPRODUCT(
   INDEX(AF:AF, ROW()-COUNTIF($F$6:INDEX($F:$F, ROW()-1), $F367)) : INDEX(AF:AF, ROW()-1),
   INDEX(AB:AB, ROW()-COUNTIF($F$6:INDEX($F:$F, ROW()-1), $F367)) : INDEX(AB:AB, ROW()-1)
   )
   /SUM(INDEX(AB:AB, ROW()-COUNTIF($F$6:INDEX($F:$F, ROW()-1), $F367)) : INDEX(AB:AB, ROW()-1)),
           _xlfn.MAXIFS(unit_details[Asking Rent],
          unit_details[Active Listing?],TRUE,
          unit_details[Property Name], $F368,
          unit_details[Beds], $L368,
          unit_details[Baths], $M368,
          unit_details[Partial Baths], IF(ISNUMBER($N368),$N368,""),
          unit_details[Sqft],$P368
))),"")</f>
        <v/>
      </c>
      <c r="AG368" s="6" t="str">
        <f>IFERROR(IF($F368="Total",
         SUMPRODUCT(
         INDEX(AG:AG, ROW()-COUNTIF($F$6:INDEX($F:$F, ROW()-1), $F367)) : INDEX(AG:AG, ROW()-1),
         INDEX(AB:AB, ROW()-COUNTIF($F$6:INDEX($F:$F, ROW()-1), $F367)) : INDEX(AB:AB, ROW()-1)
         )
         /SUM(INDEX(AB:AB, ROW()-COUNTIF($F$6:INDEX($F:$F, ROW()-1), $F367)) : INDEX(AB:AB, ROW()-1)),
          AVERAGEIFS(unit_details[Asking PSF],
          unit_details[Active Listing?],TRUE,
          unit_details[Property Name], $F368,
          unit_details[Beds], $L368,
          unit_details[Baths], $M368,
          unit_details[Partial Baths], IF(ISNUMBER($N368),$N368,""),
          unit_details[Sqft],$P368
)),"")</f>
        <v/>
      </c>
      <c r="AH368" s="293" t="str">
        <f>IFERROR(IF($F368="Total",
         SUMPRODUCT(
         INDEX(AH:AH, ROW()-COUNTIF($F$6:INDEX($F:$F, ROW()-1), $F367)) : INDEX(AH:AH, ROW()-1),
         INDEX(AB:AB, ROW()-COUNTIF($F$6:INDEX($F:$F, ROW()-1), $F367)) : INDEX(AB:AB, ROW()-1)
         )
         /SUM(INDEX(AB:AB, ROW()-COUNTIF($F$6:INDEX($F:$F, ROW()-1), $F367)) : INDEX(AB:AB, ROW()-1)),
          AVERAGEIFS(unit_details[Effective Rent],
          unit_details[Active Listing?],TRUE,
          unit_details[Property Name], $F368,
          unit_details[Beds], $L368,
          unit_details[Baths], $M368,
          unit_details[Partial Baths], IF(ISNUMBER($N368),$N368,""),
          unit_details[Sqft],$P368
)),"")</f>
        <v/>
      </c>
      <c r="AI368" s="6" t="str">
        <f>IFERROR(IF($F368="Total",
         SUMPRODUCT(
         INDEX(AI:AI, ROW()-COUNTIF($F$6:INDEX($F:$F, ROW()-1), $F367)) : INDEX(AI:AI, ROW()-1),
         INDEX(AB:AB, ROW()-COUNTIF($F$6:INDEX($F:$F, ROW()-1), $F367)) : INDEX(AB:AB, ROW()-1)
         )
         /SUM(INDEX(AB:AB, ROW()-COUNTIF($F$6:INDEX($F:$F, ROW()-1), $F367)) : INDEX(AB:AB, ROW()-1)),
           AVERAGEIFS(unit_details[Effective PSF],
          unit_details[Active Listing?],TRUE,
          unit_details[Property Name], $F368,
          unit_details[Beds], $L368,
          unit_details[Baths], $M368,
          unit_details[Partial Baths], IF(ISNUMBER($N368),$N368,""),
          unit_details[Sqft],$P368
)),"")</f>
        <v/>
      </c>
      <c r="AJ368" s="824" t="str">
        <f t="shared" si="59"/>
        <v/>
      </c>
      <c r="AK368" s="531" t="str">
        <f t="shared" si="60"/>
        <v/>
      </c>
      <c r="AL368" s="714" t="str">
        <f t="shared" si="61"/>
        <v/>
      </c>
      <c r="AM368" s="531" t="str">
        <f t="shared" si="62"/>
        <v/>
      </c>
      <c r="AN368" s="716" t="str">
        <f t="shared" si="63"/>
        <v/>
      </c>
    </row>
    <row r="369" spans="6:40" x14ac:dyDescent="0.2">
      <c r="F369" s="1" t="str">
        <f t="shared" si="56"/>
        <v/>
      </c>
      <c r="G369" s="713" t="str">
        <f t="shared" si="64"/>
        <v/>
      </c>
      <c r="H369" s="17" t="str">
        <f>IFERROR(VLOOKUP($G369,Table1[[Property]:[Exposure %]],4,0),"")</f>
        <v/>
      </c>
      <c r="I369" s="3" t="str">
        <f>IFERROR(VLOOKUP($G369,Table1[[Property]:[Exposure %]],6,0),"")</f>
        <v/>
      </c>
      <c r="J369" s="3" t="str">
        <f>IFERROR(VLOOKUP($G369,Table1[[Property]:[Exposure %]],7,0),"")</f>
        <v/>
      </c>
      <c r="R369" s="4" t="str">
        <f>IFERROR(VLOOKUP(IF(F369="Total",F368,F369),Table1[[Property]:['# Units]],7,0)*S369,"")</f>
        <v/>
      </c>
      <c r="S369" s="27" t="str">
        <f t="shared" si="57"/>
        <v/>
      </c>
      <c r="T369" s="531" t="str">
        <f>IFERROR(
 IF($F369="Total",
   SUMPRODUCT(
   INDEX(T:T, ROW()-COUNTIF($F$6:INDEX($F:$F, ROW()-1), $F368)) : INDEX(T:T, ROW()-1),
   INDEX(W:W, ROW()-COUNTIF($F$6:INDEX($F:$F, ROW()-1), $F368)) : INDEX(W:W, ROW()-1)
   )
   /SUM(INDEX(W:W, ROW()-COUNTIF($F$6:INDEX($F:$F, ROW()-1), $F368)) : INDEX(W:W, ROW()-1)),
   AVERAGEIFS(
     INDEX((unit_details[Asking Rent],unit_details[Asking PSF]),0,1,IF($U$3="Chunk Rent",1,2)),
     unit_details[Leased Date],"&gt;="&amp;($AM$2-T$5),
     unit_details[Leased Date],"&lt;"&amp;$AM$2,
     unit_details[Beds],$L369,
     unit_details[Baths],$M369,
     unit_details[Partial Baths],IF(ISNUMBER($N369),$N369,""),
     unit_details[Sqft],$P369,
     unit_details[Property Name],$F369)
 ),"")</f>
        <v/>
      </c>
      <c r="U369" s="552" t="str">
        <f>IFERROR(
 IF($F369="Total",
   SUMPRODUCT(
   INDEX(U:U, ROW()-COUNTIF($F$6:INDEX($F:$F, ROW()-1), $F368)) : INDEX(U:U, ROW()-1),
   INDEX(W:W, ROW()-COUNTIF($F$6:INDEX($F:$F, ROW()-1), $F368)) : INDEX(W:W, ROW()-1)
   )
   /SUM(INDEX(W:W, ROW()-COUNTIF($F$6:INDEX($F:$F, ROW()-1), $F368)) : INDEX(W:W, ROW()-1)),
   AVERAGEIFS(
     INDEX((unit_details[Effective Rent],unit_details[Effective PSF]),0,1,IF($U$3="Chunk Rent",1,2)),
     unit_details[Leased Date],"&gt;="&amp;($AM$2-T$5),
     unit_details[Leased Date],"&lt;"&amp;$AM$2,
     unit_details[Beds],$L369,
     unit_details[Baths],$M369,
     unit_details[Partial Baths],IF(ISNUMBER($N369),$N369,""),
     unit_details[Sqft],$P369,
     unit_details[Property Name],$F369)
 ),"")</f>
        <v/>
      </c>
      <c r="V369" s="27" t="str">
        <f t="shared" si="65"/>
        <v/>
      </c>
      <c r="W369" s="526">
        <f>IFERROR(
  IF($F369="Total",
    SUM(INDEX(W:W, ROW()-COUNTIF($F$6:INDEX($F:$F, ROW()-1), $F368)) : INDEX(W:W, ROW()-1)),
    COUNTIFS(
      unit_details[Leased Date], "&gt;="&amp;($AM$2-T$5),
      unit_details[Leased Date], "&lt;"&amp;$AM$2,
      unit_details[Beds], $L369,
      unit_details[Baths], $M369,
      unit_details[Partial Baths], IF(ISNUMBER($N369), $N369, ""),
      unit_details[Sqft],$P369,
      unit_details[Property Name], $F369
    )
  ),
"")</f>
        <v>0</v>
      </c>
      <c r="X369" s="531" t="str">
        <f>IFERROR(
 IF($F369="Total",
   SUMPRODUCT(
   INDEX(X:X, ROW()-COUNTIF($F$6:INDEX($F:$F, ROW()-1), $F368)) : INDEX(X:X, ROW()-1),
   INDEX(AA:AA, ROW()-COUNTIF($F$6:INDEX($F:$F, ROW()-1), $F368)) : INDEX(AA:AA, ROW()-1)
   )
   /SUM(INDEX(AA:AA, ROW()-COUNTIF($F$6:INDEX($F:$F, ROW()-1), $F368)) : INDEX(AA:AA, ROW()-1)),
   AVERAGEIFS(
     INDEX((unit_details[Asking Rent],unit_details[Asking PSF]),0,1,IF($U$3="Chunk Rent",1,2)),
     unit_details[Leased Date],"&gt;="&amp;($AM$2-X$5),
     unit_details[Leased Date],"&lt;"&amp;$AM$2,
     unit_details[Beds],$L369,
     unit_details[Baths],$M369,
     unit_details[Partial Baths],IF(ISNUMBER($N369),$N369,""),
     unit_details[Sqft],$P369,
     unit_details[Property Name],$F369)
 ),"")</f>
        <v/>
      </c>
      <c r="Y369" s="552" t="str">
        <f>IFERROR(
 IF($F369="Total",
   SUMPRODUCT(
   INDEX(Y:Y, ROW()-COUNTIF($F$6:INDEX($F:$F, ROW()-1), $F368)) : INDEX(Y:Y, ROW()-1),
   INDEX(AA:AA, ROW()-COUNTIF($F$6:INDEX($F:$F, ROW()-1), $F368)) : INDEX(AA:AA, ROW()-1)
   )
   /SUM(INDEX(AA:AA, ROW()-COUNTIF($F$6:INDEX($F:$F, ROW()-1), $F368)) : INDEX(AA:AA, ROW()-1)),
   AVERAGEIFS(
     INDEX((unit_details[Effective Rent],unit_details[Effective PSF]),0,1,IF($U$3="Chunk Rent",1,2)),
     unit_details[Leased Date],"&gt;="&amp;($AM$2-X$5),
     unit_details[Leased Date],"&lt;"&amp;$AM$2,
     unit_details[Beds],$L369,
     unit_details[Baths],$M369,
     unit_details[Partial Baths],IF(ISNUMBER($N369),$N369,""),
     unit_details[Sqft],$P369,
     unit_details[Property Name],$F369)
 ),"")</f>
        <v/>
      </c>
      <c r="Z369" s="27" t="str">
        <f t="shared" si="66"/>
        <v/>
      </c>
      <c r="AA369" s="526">
        <f>IFERROR(
  IF($F369="Total",
    SUM(INDEX(AA:AA, ROW()-COUNTIF($F$6:INDEX($F:$F, ROW()-1), $F368)) : INDEX(AA:AA, ROW()-1)),
    COUNTIFS(
      unit_details[Leased Date], "&gt;="&amp;($AM$2-X$5),
      unit_details[Leased Date], "&lt;"&amp;$AM$2,
      unit_details[Beds], $L369,
      unit_details[Baths], $M369,
      unit_details[Partial Baths], IF(ISNUMBER($N369), $N369, ""),
      unit_details[Sqft],$P369,
      unit_details[Property Name], $F369
    )
  ),
"")</f>
        <v>0</v>
      </c>
      <c r="AB369" s="290">
        <f>IF($F369="Total",
SUM(INDEX(AB:AB, ROW()-COUNTIF($F$6:INDEX($F:$F, ROW()-1), $F368)) : INDEX(AB:AB, ROW()-1)),
COUNTIFS(unit_details[Active Listing?],TRUE,
          unit_details[Property Name], $F369,
          unit_details[Beds], $L369,
          unit_details[Baths], $M369,
          unit_details[Partial Baths],IF(ISNUMBER($N369),$N369,""),
          unit_details[Sqft],$P369))</f>
        <v>0</v>
      </c>
      <c r="AC369" s="27" t="str">
        <f t="shared" si="58"/>
        <v/>
      </c>
      <c r="AD369" s="293" t="str">
        <f>IFERROR(IF(AE369="","",IF($F369="Total",
SUMPRODUCT(
   INDEX(AD:AD, ROW()-COUNTIF($F$6:INDEX($F:$F, ROW()-1), $F368)) : INDEX(AD:AD, ROW()-1),
   INDEX(AB:AB, ROW()-COUNTIF($F$6:INDEX($F:$F, ROW()-1), $F368)) : INDEX(AB:AB, ROW()-1)
   )
   /SUM(INDEX(AB:AB, ROW()-COUNTIF($F$6:INDEX($F:$F, ROW()-1), $F368)) : INDEX(AB:AB, ROW()-1)),
          _xlfn.MINIFS(unit_details[Asking Rent],
          unit_details[Active Listing?],TRUE,
          unit_details[Property Name], $F369,
          unit_details[Beds], $L369,
          unit_details[Baths], $M369,
          unit_details[Partial Baths], IF(ISNUMBER($N369),$N369,""),
          unit_details[Sqft],$P369
))),"")</f>
        <v/>
      </c>
      <c r="AE369" s="5" t="str">
        <f>IFERROR(IF($F369="Total",
          SUMPRODUCT(
   INDEX(AE:AE, ROW()-COUNTIF($F$6:INDEX($F:$F, ROW()-1), $F368)) : INDEX(AE:AE, ROW()-1),
   INDEX(AB:AB, ROW()-COUNTIF($F$6:INDEX($F:$F, ROW()-1), $F368)) : INDEX(AB:AB, ROW()-1)
   )
   /SUM(INDEX(AB:AB, ROW()-COUNTIF($F$6:INDEX($F:$F, ROW()-1), $F368)) : INDEX(AB:AB, ROW()-1)),
          AVERAGEIFS(unit_details[Asking Rent],
          unit_details[Active Listing?],TRUE,
          unit_details[Property Name], $F369,
          unit_details[Beds], $L369,
          unit_details[Baths], $M369,
          unit_details[Partial Baths], IF(ISNUMBER($N369),$N369,""),
          unit_details[Sqft],$P369
)),"")</f>
        <v/>
      </c>
      <c r="AF369" s="5" t="str">
        <f>IFERROR(IF(AE369="","",IF($F369="Total",
SUMPRODUCT(
   INDEX(AF:AF, ROW()-COUNTIF($F$6:INDEX($F:$F, ROW()-1), $F368)) : INDEX(AF:AF, ROW()-1),
   INDEX(AB:AB, ROW()-COUNTIF($F$6:INDEX($F:$F, ROW()-1), $F368)) : INDEX(AB:AB, ROW()-1)
   )
   /SUM(INDEX(AB:AB, ROW()-COUNTIF($F$6:INDEX($F:$F, ROW()-1), $F368)) : INDEX(AB:AB, ROW()-1)),
           _xlfn.MAXIFS(unit_details[Asking Rent],
          unit_details[Active Listing?],TRUE,
          unit_details[Property Name], $F369,
          unit_details[Beds], $L369,
          unit_details[Baths], $M369,
          unit_details[Partial Baths], IF(ISNUMBER($N369),$N369,""),
          unit_details[Sqft],$P369
))),"")</f>
        <v/>
      </c>
      <c r="AG369" s="6" t="str">
        <f>IFERROR(IF($F369="Total",
         SUMPRODUCT(
         INDEX(AG:AG, ROW()-COUNTIF($F$6:INDEX($F:$F, ROW()-1), $F368)) : INDEX(AG:AG, ROW()-1),
         INDEX(AB:AB, ROW()-COUNTIF($F$6:INDEX($F:$F, ROW()-1), $F368)) : INDEX(AB:AB, ROW()-1)
         )
         /SUM(INDEX(AB:AB, ROW()-COUNTIF($F$6:INDEX($F:$F, ROW()-1), $F368)) : INDEX(AB:AB, ROW()-1)),
          AVERAGEIFS(unit_details[Asking PSF],
          unit_details[Active Listing?],TRUE,
          unit_details[Property Name], $F369,
          unit_details[Beds], $L369,
          unit_details[Baths], $M369,
          unit_details[Partial Baths], IF(ISNUMBER($N369),$N369,""),
          unit_details[Sqft],$P369
)),"")</f>
        <v/>
      </c>
      <c r="AH369" s="293" t="str">
        <f>IFERROR(IF($F369="Total",
         SUMPRODUCT(
         INDEX(AH:AH, ROW()-COUNTIF($F$6:INDEX($F:$F, ROW()-1), $F368)) : INDEX(AH:AH, ROW()-1),
         INDEX(AB:AB, ROW()-COUNTIF($F$6:INDEX($F:$F, ROW()-1), $F368)) : INDEX(AB:AB, ROW()-1)
         )
         /SUM(INDEX(AB:AB, ROW()-COUNTIF($F$6:INDEX($F:$F, ROW()-1), $F368)) : INDEX(AB:AB, ROW()-1)),
          AVERAGEIFS(unit_details[Effective Rent],
          unit_details[Active Listing?],TRUE,
          unit_details[Property Name], $F369,
          unit_details[Beds], $L369,
          unit_details[Baths], $M369,
          unit_details[Partial Baths], IF(ISNUMBER($N369),$N369,""),
          unit_details[Sqft],$P369
)),"")</f>
        <v/>
      </c>
      <c r="AI369" s="6" t="str">
        <f>IFERROR(IF($F369="Total",
         SUMPRODUCT(
         INDEX(AI:AI, ROW()-COUNTIF($F$6:INDEX($F:$F, ROW()-1), $F368)) : INDEX(AI:AI, ROW()-1),
         INDEX(AB:AB, ROW()-COUNTIF($F$6:INDEX($F:$F, ROW()-1), $F368)) : INDEX(AB:AB, ROW()-1)
         )
         /SUM(INDEX(AB:AB, ROW()-COUNTIF($F$6:INDEX($F:$F, ROW()-1), $F368)) : INDEX(AB:AB, ROW()-1)),
           AVERAGEIFS(unit_details[Effective PSF],
          unit_details[Active Listing?],TRUE,
          unit_details[Property Name], $F369,
          unit_details[Beds], $L369,
          unit_details[Baths], $M369,
          unit_details[Partial Baths], IF(ISNUMBER($N369),$N369,""),
          unit_details[Sqft],$P369
)),"")</f>
        <v/>
      </c>
      <c r="AJ369" s="824" t="str">
        <f t="shared" si="59"/>
        <v/>
      </c>
      <c r="AK369" s="531" t="str">
        <f t="shared" si="60"/>
        <v/>
      </c>
      <c r="AL369" s="714" t="str">
        <f t="shared" si="61"/>
        <v/>
      </c>
      <c r="AM369" s="531" t="str">
        <f t="shared" si="62"/>
        <v/>
      </c>
      <c r="AN369" s="716" t="str">
        <f t="shared" si="63"/>
        <v/>
      </c>
    </row>
    <row r="370" spans="6:40" x14ac:dyDescent="0.2">
      <c r="F370" s="1" t="str">
        <f t="shared" si="56"/>
        <v/>
      </c>
      <c r="G370" s="713" t="str">
        <f t="shared" si="64"/>
        <v/>
      </c>
      <c r="H370" s="17" t="str">
        <f>IFERROR(VLOOKUP($G370,Table1[[Property]:[Exposure %]],4,0),"")</f>
        <v/>
      </c>
      <c r="I370" s="3" t="str">
        <f>IFERROR(VLOOKUP($G370,Table1[[Property]:[Exposure %]],6,0),"")</f>
        <v/>
      </c>
      <c r="J370" s="3" t="str">
        <f>IFERROR(VLOOKUP($G370,Table1[[Property]:[Exposure %]],7,0),"")</f>
        <v/>
      </c>
      <c r="R370" s="4" t="str">
        <f>IFERROR(VLOOKUP(IF(F370="Total",F369,F370),Table1[[Property]:['# Units]],7,0)*S370,"")</f>
        <v/>
      </c>
      <c r="S370" s="27" t="str">
        <f t="shared" si="57"/>
        <v/>
      </c>
      <c r="T370" s="531" t="str">
        <f>IFERROR(
 IF($F370="Total",
   SUMPRODUCT(
   INDEX(T:T, ROW()-COUNTIF($F$6:INDEX($F:$F, ROW()-1), $F369)) : INDEX(T:T, ROW()-1),
   INDEX(W:W, ROW()-COUNTIF($F$6:INDEX($F:$F, ROW()-1), $F369)) : INDEX(W:W, ROW()-1)
   )
   /SUM(INDEX(W:W, ROW()-COUNTIF($F$6:INDEX($F:$F, ROW()-1), $F369)) : INDEX(W:W, ROW()-1)),
   AVERAGEIFS(
     INDEX((unit_details[Asking Rent],unit_details[Asking PSF]),0,1,IF($U$3="Chunk Rent",1,2)),
     unit_details[Leased Date],"&gt;="&amp;($AM$2-T$5),
     unit_details[Leased Date],"&lt;"&amp;$AM$2,
     unit_details[Beds],$L370,
     unit_details[Baths],$M370,
     unit_details[Partial Baths],IF(ISNUMBER($N370),$N370,""),
     unit_details[Sqft],$P370,
     unit_details[Property Name],$F370)
 ),"")</f>
        <v/>
      </c>
      <c r="U370" s="552" t="str">
        <f>IFERROR(
 IF($F370="Total",
   SUMPRODUCT(
   INDEX(U:U, ROW()-COUNTIF($F$6:INDEX($F:$F, ROW()-1), $F369)) : INDEX(U:U, ROW()-1),
   INDEX(W:W, ROW()-COUNTIF($F$6:INDEX($F:$F, ROW()-1), $F369)) : INDEX(W:W, ROW()-1)
   )
   /SUM(INDEX(W:W, ROW()-COUNTIF($F$6:INDEX($F:$F, ROW()-1), $F369)) : INDEX(W:W, ROW()-1)),
   AVERAGEIFS(
     INDEX((unit_details[Effective Rent],unit_details[Effective PSF]),0,1,IF($U$3="Chunk Rent",1,2)),
     unit_details[Leased Date],"&gt;="&amp;($AM$2-T$5),
     unit_details[Leased Date],"&lt;"&amp;$AM$2,
     unit_details[Beds],$L370,
     unit_details[Baths],$M370,
     unit_details[Partial Baths],IF(ISNUMBER($N370),$N370,""),
     unit_details[Sqft],$P370,
     unit_details[Property Name],$F370)
 ),"")</f>
        <v/>
      </c>
      <c r="V370" s="27" t="str">
        <f t="shared" si="65"/>
        <v/>
      </c>
      <c r="W370" s="526">
        <f>IFERROR(
  IF($F370="Total",
    SUM(INDEX(W:W, ROW()-COUNTIF($F$6:INDEX($F:$F, ROW()-1), $F369)) : INDEX(W:W, ROW()-1)),
    COUNTIFS(
      unit_details[Leased Date], "&gt;="&amp;($AM$2-T$5),
      unit_details[Leased Date], "&lt;"&amp;$AM$2,
      unit_details[Beds], $L370,
      unit_details[Baths], $M370,
      unit_details[Partial Baths], IF(ISNUMBER($N370), $N370, ""),
      unit_details[Sqft],$P370,
      unit_details[Property Name], $F370
    )
  ),
"")</f>
        <v>0</v>
      </c>
      <c r="X370" s="531" t="str">
        <f>IFERROR(
 IF($F370="Total",
   SUMPRODUCT(
   INDEX(X:X, ROW()-COUNTIF($F$6:INDEX($F:$F, ROW()-1), $F369)) : INDEX(X:X, ROW()-1),
   INDEX(AA:AA, ROW()-COUNTIF($F$6:INDEX($F:$F, ROW()-1), $F369)) : INDEX(AA:AA, ROW()-1)
   )
   /SUM(INDEX(AA:AA, ROW()-COUNTIF($F$6:INDEX($F:$F, ROW()-1), $F369)) : INDEX(AA:AA, ROW()-1)),
   AVERAGEIFS(
     INDEX((unit_details[Asking Rent],unit_details[Asking PSF]),0,1,IF($U$3="Chunk Rent",1,2)),
     unit_details[Leased Date],"&gt;="&amp;($AM$2-X$5),
     unit_details[Leased Date],"&lt;"&amp;$AM$2,
     unit_details[Beds],$L370,
     unit_details[Baths],$M370,
     unit_details[Partial Baths],IF(ISNUMBER($N370),$N370,""),
     unit_details[Sqft],$P370,
     unit_details[Property Name],$F370)
 ),"")</f>
        <v/>
      </c>
      <c r="Y370" s="552" t="str">
        <f>IFERROR(
 IF($F370="Total",
   SUMPRODUCT(
   INDEX(Y:Y, ROW()-COUNTIF($F$6:INDEX($F:$F, ROW()-1), $F369)) : INDEX(Y:Y, ROW()-1),
   INDEX(AA:AA, ROW()-COUNTIF($F$6:INDEX($F:$F, ROW()-1), $F369)) : INDEX(AA:AA, ROW()-1)
   )
   /SUM(INDEX(AA:AA, ROW()-COUNTIF($F$6:INDEX($F:$F, ROW()-1), $F369)) : INDEX(AA:AA, ROW()-1)),
   AVERAGEIFS(
     INDEX((unit_details[Effective Rent],unit_details[Effective PSF]),0,1,IF($U$3="Chunk Rent",1,2)),
     unit_details[Leased Date],"&gt;="&amp;($AM$2-X$5),
     unit_details[Leased Date],"&lt;"&amp;$AM$2,
     unit_details[Beds],$L370,
     unit_details[Baths],$M370,
     unit_details[Partial Baths],IF(ISNUMBER($N370),$N370,""),
     unit_details[Sqft],$P370,
     unit_details[Property Name],$F370)
 ),"")</f>
        <v/>
      </c>
      <c r="Z370" s="27" t="str">
        <f t="shared" si="66"/>
        <v/>
      </c>
      <c r="AA370" s="526">
        <f>IFERROR(
  IF($F370="Total",
    SUM(INDEX(AA:AA, ROW()-COUNTIF($F$6:INDEX($F:$F, ROW()-1), $F369)) : INDEX(AA:AA, ROW()-1)),
    COUNTIFS(
      unit_details[Leased Date], "&gt;="&amp;($AM$2-X$5),
      unit_details[Leased Date], "&lt;"&amp;$AM$2,
      unit_details[Beds], $L370,
      unit_details[Baths], $M370,
      unit_details[Partial Baths], IF(ISNUMBER($N370), $N370, ""),
      unit_details[Sqft],$P370,
      unit_details[Property Name], $F370
    )
  ),
"")</f>
        <v>0</v>
      </c>
      <c r="AB370" s="290">
        <f>IF($F370="Total",
SUM(INDEX(AB:AB, ROW()-COUNTIF($F$6:INDEX($F:$F, ROW()-1), $F369)) : INDEX(AB:AB, ROW()-1)),
COUNTIFS(unit_details[Active Listing?],TRUE,
          unit_details[Property Name], $F370,
          unit_details[Beds], $L370,
          unit_details[Baths], $M370,
          unit_details[Partial Baths],IF(ISNUMBER($N370),$N370,""),
          unit_details[Sqft],$P370))</f>
        <v>0</v>
      </c>
      <c r="AC370" s="27" t="str">
        <f t="shared" si="58"/>
        <v/>
      </c>
      <c r="AD370" s="293" t="str">
        <f>IFERROR(IF(AE370="","",IF($F370="Total",
SUMPRODUCT(
   INDEX(AD:AD, ROW()-COUNTIF($F$6:INDEX($F:$F, ROW()-1), $F369)) : INDEX(AD:AD, ROW()-1),
   INDEX(AB:AB, ROW()-COUNTIF($F$6:INDEX($F:$F, ROW()-1), $F369)) : INDEX(AB:AB, ROW()-1)
   )
   /SUM(INDEX(AB:AB, ROW()-COUNTIF($F$6:INDEX($F:$F, ROW()-1), $F369)) : INDEX(AB:AB, ROW()-1)),
          _xlfn.MINIFS(unit_details[Asking Rent],
          unit_details[Active Listing?],TRUE,
          unit_details[Property Name], $F370,
          unit_details[Beds], $L370,
          unit_details[Baths], $M370,
          unit_details[Partial Baths], IF(ISNUMBER($N370),$N370,""),
          unit_details[Sqft],$P370
))),"")</f>
        <v/>
      </c>
      <c r="AE370" s="5" t="str">
        <f>IFERROR(IF($F370="Total",
          SUMPRODUCT(
   INDEX(AE:AE, ROW()-COUNTIF($F$6:INDEX($F:$F, ROW()-1), $F369)) : INDEX(AE:AE, ROW()-1),
   INDEX(AB:AB, ROW()-COUNTIF($F$6:INDEX($F:$F, ROW()-1), $F369)) : INDEX(AB:AB, ROW()-1)
   )
   /SUM(INDEX(AB:AB, ROW()-COUNTIF($F$6:INDEX($F:$F, ROW()-1), $F369)) : INDEX(AB:AB, ROW()-1)),
          AVERAGEIFS(unit_details[Asking Rent],
          unit_details[Active Listing?],TRUE,
          unit_details[Property Name], $F370,
          unit_details[Beds], $L370,
          unit_details[Baths], $M370,
          unit_details[Partial Baths], IF(ISNUMBER($N370),$N370,""),
          unit_details[Sqft],$P370
)),"")</f>
        <v/>
      </c>
      <c r="AF370" s="5" t="str">
        <f>IFERROR(IF(AE370="","",IF($F370="Total",
SUMPRODUCT(
   INDEX(AF:AF, ROW()-COUNTIF($F$6:INDEX($F:$F, ROW()-1), $F369)) : INDEX(AF:AF, ROW()-1),
   INDEX(AB:AB, ROW()-COUNTIF($F$6:INDEX($F:$F, ROW()-1), $F369)) : INDEX(AB:AB, ROW()-1)
   )
   /SUM(INDEX(AB:AB, ROW()-COUNTIF($F$6:INDEX($F:$F, ROW()-1), $F369)) : INDEX(AB:AB, ROW()-1)),
           _xlfn.MAXIFS(unit_details[Asking Rent],
          unit_details[Active Listing?],TRUE,
          unit_details[Property Name], $F370,
          unit_details[Beds], $L370,
          unit_details[Baths], $M370,
          unit_details[Partial Baths], IF(ISNUMBER($N370),$N370,""),
          unit_details[Sqft],$P370
))),"")</f>
        <v/>
      </c>
      <c r="AG370" s="6" t="str">
        <f>IFERROR(IF($F370="Total",
         SUMPRODUCT(
         INDEX(AG:AG, ROW()-COUNTIF($F$6:INDEX($F:$F, ROW()-1), $F369)) : INDEX(AG:AG, ROW()-1),
         INDEX(AB:AB, ROW()-COUNTIF($F$6:INDEX($F:$F, ROW()-1), $F369)) : INDEX(AB:AB, ROW()-1)
         )
         /SUM(INDEX(AB:AB, ROW()-COUNTIF($F$6:INDEX($F:$F, ROW()-1), $F369)) : INDEX(AB:AB, ROW()-1)),
          AVERAGEIFS(unit_details[Asking PSF],
          unit_details[Active Listing?],TRUE,
          unit_details[Property Name], $F370,
          unit_details[Beds], $L370,
          unit_details[Baths], $M370,
          unit_details[Partial Baths], IF(ISNUMBER($N370),$N370,""),
          unit_details[Sqft],$P370
)),"")</f>
        <v/>
      </c>
      <c r="AH370" s="293" t="str">
        <f>IFERROR(IF($F370="Total",
         SUMPRODUCT(
         INDEX(AH:AH, ROW()-COUNTIF($F$6:INDEX($F:$F, ROW()-1), $F369)) : INDEX(AH:AH, ROW()-1),
         INDEX(AB:AB, ROW()-COUNTIF($F$6:INDEX($F:$F, ROW()-1), $F369)) : INDEX(AB:AB, ROW()-1)
         )
         /SUM(INDEX(AB:AB, ROW()-COUNTIF($F$6:INDEX($F:$F, ROW()-1), $F369)) : INDEX(AB:AB, ROW()-1)),
          AVERAGEIFS(unit_details[Effective Rent],
          unit_details[Active Listing?],TRUE,
          unit_details[Property Name], $F370,
          unit_details[Beds], $L370,
          unit_details[Baths], $M370,
          unit_details[Partial Baths], IF(ISNUMBER($N370),$N370,""),
          unit_details[Sqft],$P370
)),"")</f>
        <v/>
      </c>
      <c r="AI370" s="6" t="str">
        <f>IFERROR(IF($F370="Total",
         SUMPRODUCT(
         INDEX(AI:AI, ROW()-COUNTIF($F$6:INDEX($F:$F, ROW()-1), $F369)) : INDEX(AI:AI, ROW()-1),
         INDEX(AB:AB, ROW()-COUNTIF($F$6:INDEX($F:$F, ROW()-1), $F369)) : INDEX(AB:AB, ROW()-1)
         )
         /SUM(INDEX(AB:AB, ROW()-COUNTIF($F$6:INDEX($F:$F, ROW()-1), $F369)) : INDEX(AB:AB, ROW()-1)),
           AVERAGEIFS(unit_details[Effective PSF],
          unit_details[Active Listing?],TRUE,
          unit_details[Property Name], $F370,
          unit_details[Beds], $L370,
          unit_details[Baths], $M370,
          unit_details[Partial Baths], IF(ISNUMBER($N370),$N370,""),
          unit_details[Sqft],$P370
)),"")</f>
        <v/>
      </c>
      <c r="AJ370" s="824" t="str">
        <f t="shared" si="59"/>
        <v/>
      </c>
      <c r="AK370" s="531" t="str">
        <f t="shared" si="60"/>
        <v/>
      </c>
      <c r="AL370" s="714" t="str">
        <f t="shared" si="61"/>
        <v/>
      </c>
      <c r="AM370" s="531" t="str">
        <f t="shared" si="62"/>
        <v/>
      </c>
      <c r="AN370" s="716" t="str">
        <f t="shared" si="63"/>
        <v/>
      </c>
    </row>
    <row r="371" spans="6:40" x14ac:dyDescent="0.2">
      <c r="F371" s="1" t="str">
        <f t="shared" si="56"/>
        <v/>
      </c>
      <c r="G371" s="713" t="str">
        <f t="shared" si="64"/>
        <v/>
      </c>
      <c r="H371" s="17" t="str">
        <f>IFERROR(VLOOKUP($G371,Table1[[Property]:[Exposure %]],4,0),"")</f>
        <v/>
      </c>
      <c r="I371" s="3" t="str">
        <f>IFERROR(VLOOKUP($G371,Table1[[Property]:[Exposure %]],6,0),"")</f>
        <v/>
      </c>
      <c r="J371" s="3" t="str">
        <f>IFERROR(VLOOKUP($G371,Table1[[Property]:[Exposure %]],7,0),"")</f>
        <v/>
      </c>
      <c r="R371" s="4" t="str">
        <f>IFERROR(VLOOKUP(IF(F371="Total",F370,F371),Table1[[Property]:['# Units]],7,0)*S371,"")</f>
        <v/>
      </c>
      <c r="S371" s="27" t="str">
        <f t="shared" si="57"/>
        <v/>
      </c>
      <c r="T371" s="531" t="str">
        <f>IFERROR(
 IF($F371="Total",
   SUMPRODUCT(
   INDEX(T:T, ROW()-COUNTIF($F$6:INDEX($F:$F, ROW()-1), $F370)) : INDEX(T:T, ROW()-1),
   INDEX(W:W, ROW()-COUNTIF($F$6:INDEX($F:$F, ROW()-1), $F370)) : INDEX(W:W, ROW()-1)
   )
   /SUM(INDEX(W:W, ROW()-COUNTIF($F$6:INDEX($F:$F, ROW()-1), $F370)) : INDEX(W:W, ROW()-1)),
   AVERAGEIFS(
     INDEX((unit_details[Asking Rent],unit_details[Asking PSF]),0,1,IF($U$3="Chunk Rent",1,2)),
     unit_details[Leased Date],"&gt;="&amp;($AM$2-T$5),
     unit_details[Leased Date],"&lt;"&amp;$AM$2,
     unit_details[Beds],$L371,
     unit_details[Baths],$M371,
     unit_details[Partial Baths],IF(ISNUMBER($N371),$N371,""),
     unit_details[Sqft],$P371,
     unit_details[Property Name],$F371)
 ),"")</f>
        <v/>
      </c>
      <c r="U371" s="552" t="str">
        <f>IFERROR(
 IF($F371="Total",
   SUMPRODUCT(
   INDEX(U:U, ROW()-COUNTIF($F$6:INDEX($F:$F, ROW()-1), $F370)) : INDEX(U:U, ROW()-1),
   INDEX(W:W, ROW()-COUNTIF($F$6:INDEX($F:$F, ROW()-1), $F370)) : INDEX(W:W, ROW()-1)
   )
   /SUM(INDEX(W:W, ROW()-COUNTIF($F$6:INDEX($F:$F, ROW()-1), $F370)) : INDEX(W:W, ROW()-1)),
   AVERAGEIFS(
     INDEX((unit_details[Effective Rent],unit_details[Effective PSF]),0,1,IF($U$3="Chunk Rent",1,2)),
     unit_details[Leased Date],"&gt;="&amp;($AM$2-T$5),
     unit_details[Leased Date],"&lt;"&amp;$AM$2,
     unit_details[Beds],$L371,
     unit_details[Baths],$M371,
     unit_details[Partial Baths],IF(ISNUMBER($N371),$N371,""),
     unit_details[Sqft],$P371,
     unit_details[Property Name],$F371)
 ),"")</f>
        <v/>
      </c>
      <c r="V371" s="27" t="str">
        <f t="shared" si="65"/>
        <v/>
      </c>
      <c r="W371" s="526">
        <f>IFERROR(
  IF($F371="Total",
    SUM(INDEX(W:W, ROW()-COUNTIF($F$6:INDEX($F:$F, ROW()-1), $F370)) : INDEX(W:W, ROW()-1)),
    COUNTIFS(
      unit_details[Leased Date], "&gt;="&amp;($AM$2-T$5),
      unit_details[Leased Date], "&lt;"&amp;$AM$2,
      unit_details[Beds], $L371,
      unit_details[Baths], $M371,
      unit_details[Partial Baths], IF(ISNUMBER($N371), $N371, ""),
      unit_details[Sqft],$P371,
      unit_details[Property Name], $F371
    )
  ),
"")</f>
        <v>0</v>
      </c>
      <c r="X371" s="531" t="str">
        <f>IFERROR(
 IF($F371="Total",
   SUMPRODUCT(
   INDEX(X:X, ROW()-COUNTIF($F$6:INDEX($F:$F, ROW()-1), $F370)) : INDEX(X:X, ROW()-1),
   INDEX(AA:AA, ROW()-COUNTIF($F$6:INDEX($F:$F, ROW()-1), $F370)) : INDEX(AA:AA, ROW()-1)
   )
   /SUM(INDEX(AA:AA, ROW()-COUNTIF($F$6:INDEX($F:$F, ROW()-1), $F370)) : INDEX(AA:AA, ROW()-1)),
   AVERAGEIFS(
     INDEX((unit_details[Asking Rent],unit_details[Asking PSF]),0,1,IF($U$3="Chunk Rent",1,2)),
     unit_details[Leased Date],"&gt;="&amp;($AM$2-X$5),
     unit_details[Leased Date],"&lt;"&amp;$AM$2,
     unit_details[Beds],$L371,
     unit_details[Baths],$M371,
     unit_details[Partial Baths],IF(ISNUMBER($N371),$N371,""),
     unit_details[Sqft],$P371,
     unit_details[Property Name],$F371)
 ),"")</f>
        <v/>
      </c>
      <c r="Y371" s="552" t="str">
        <f>IFERROR(
 IF($F371="Total",
   SUMPRODUCT(
   INDEX(Y:Y, ROW()-COUNTIF($F$6:INDEX($F:$F, ROW()-1), $F370)) : INDEX(Y:Y, ROW()-1),
   INDEX(AA:AA, ROW()-COUNTIF($F$6:INDEX($F:$F, ROW()-1), $F370)) : INDEX(AA:AA, ROW()-1)
   )
   /SUM(INDEX(AA:AA, ROW()-COUNTIF($F$6:INDEX($F:$F, ROW()-1), $F370)) : INDEX(AA:AA, ROW()-1)),
   AVERAGEIFS(
     INDEX((unit_details[Effective Rent],unit_details[Effective PSF]),0,1,IF($U$3="Chunk Rent",1,2)),
     unit_details[Leased Date],"&gt;="&amp;($AM$2-X$5),
     unit_details[Leased Date],"&lt;"&amp;$AM$2,
     unit_details[Beds],$L371,
     unit_details[Baths],$M371,
     unit_details[Partial Baths],IF(ISNUMBER($N371),$N371,""),
     unit_details[Sqft],$P371,
     unit_details[Property Name],$F371)
 ),"")</f>
        <v/>
      </c>
      <c r="Z371" s="27" t="str">
        <f t="shared" si="66"/>
        <v/>
      </c>
      <c r="AA371" s="526">
        <f>IFERROR(
  IF($F371="Total",
    SUM(INDEX(AA:AA, ROW()-COUNTIF($F$6:INDEX($F:$F, ROW()-1), $F370)) : INDEX(AA:AA, ROW()-1)),
    COUNTIFS(
      unit_details[Leased Date], "&gt;="&amp;($AM$2-X$5),
      unit_details[Leased Date], "&lt;"&amp;$AM$2,
      unit_details[Beds], $L371,
      unit_details[Baths], $M371,
      unit_details[Partial Baths], IF(ISNUMBER($N371), $N371, ""),
      unit_details[Sqft],$P371,
      unit_details[Property Name], $F371
    )
  ),
"")</f>
        <v>0</v>
      </c>
      <c r="AB371" s="290">
        <f>IF($F371="Total",
SUM(INDEX(AB:AB, ROW()-COUNTIF($F$6:INDEX($F:$F, ROW()-1), $F370)) : INDEX(AB:AB, ROW()-1)),
COUNTIFS(unit_details[Active Listing?],TRUE,
          unit_details[Property Name], $F371,
          unit_details[Beds], $L371,
          unit_details[Baths], $M371,
          unit_details[Partial Baths],IF(ISNUMBER($N371),$N371,""),
          unit_details[Sqft],$P371))</f>
        <v>0</v>
      </c>
      <c r="AC371" s="27" t="str">
        <f t="shared" si="58"/>
        <v/>
      </c>
      <c r="AD371" s="293" t="str">
        <f>IFERROR(IF(AE371="","",IF($F371="Total",
SUMPRODUCT(
   INDEX(AD:AD, ROW()-COUNTIF($F$6:INDEX($F:$F, ROW()-1), $F370)) : INDEX(AD:AD, ROW()-1),
   INDEX(AB:AB, ROW()-COUNTIF($F$6:INDEX($F:$F, ROW()-1), $F370)) : INDEX(AB:AB, ROW()-1)
   )
   /SUM(INDEX(AB:AB, ROW()-COUNTIF($F$6:INDEX($F:$F, ROW()-1), $F370)) : INDEX(AB:AB, ROW()-1)),
          _xlfn.MINIFS(unit_details[Asking Rent],
          unit_details[Active Listing?],TRUE,
          unit_details[Property Name], $F371,
          unit_details[Beds], $L371,
          unit_details[Baths], $M371,
          unit_details[Partial Baths], IF(ISNUMBER($N371),$N371,""),
          unit_details[Sqft],$P371
))),"")</f>
        <v/>
      </c>
      <c r="AE371" s="5" t="str">
        <f>IFERROR(IF($F371="Total",
          SUMPRODUCT(
   INDEX(AE:AE, ROW()-COUNTIF($F$6:INDEX($F:$F, ROW()-1), $F370)) : INDEX(AE:AE, ROW()-1),
   INDEX(AB:AB, ROW()-COUNTIF($F$6:INDEX($F:$F, ROW()-1), $F370)) : INDEX(AB:AB, ROW()-1)
   )
   /SUM(INDEX(AB:AB, ROW()-COUNTIF($F$6:INDEX($F:$F, ROW()-1), $F370)) : INDEX(AB:AB, ROW()-1)),
          AVERAGEIFS(unit_details[Asking Rent],
          unit_details[Active Listing?],TRUE,
          unit_details[Property Name], $F371,
          unit_details[Beds], $L371,
          unit_details[Baths], $M371,
          unit_details[Partial Baths], IF(ISNUMBER($N371),$N371,""),
          unit_details[Sqft],$P371
)),"")</f>
        <v/>
      </c>
      <c r="AF371" s="5" t="str">
        <f>IFERROR(IF(AE371="","",IF($F371="Total",
SUMPRODUCT(
   INDEX(AF:AF, ROW()-COUNTIF($F$6:INDEX($F:$F, ROW()-1), $F370)) : INDEX(AF:AF, ROW()-1),
   INDEX(AB:AB, ROW()-COUNTIF($F$6:INDEX($F:$F, ROW()-1), $F370)) : INDEX(AB:AB, ROW()-1)
   )
   /SUM(INDEX(AB:AB, ROW()-COUNTIF($F$6:INDEX($F:$F, ROW()-1), $F370)) : INDEX(AB:AB, ROW()-1)),
           _xlfn.MAXIFS(unit_details[Asking Rent],
          unit_details[Active Listing?],TRUE,
          unit_details[Property Name], $F371,
          unit_details[Beds], $L371,
          unit_details[Baths], $M371,
          unit_details[Partial Baths], IF(ISNUMBER($N371),$N371,""),
          unit_details[Sqft],$P371
))),"")</f>
        <v/>
      </c>
      <c r="AG371" s="6" t="str">
        <f>IFERROR(IF($F371="Total",
         SUMPRODUCT(
         INDEX(AG:AG, ROW()-COUNTIF($F$6:INDEX($F:$F, ROW()-1), $F370)) : INDEX(AG:AG, ROW()-1),
         INDEX(AB:AB, ROW()-COUNTIF($F$6:INDEX($F:$F, ROW()-1), $F370)) : INDEX(AB:AB, ROW()-1)
         )
         /SUM(INDEX(AB:AB, ROW()-COUNTIF($F$6:INDEX($F:$F, ROW()-1), $F370)) : INDEX(AB:AB, ROW()-1)),
          AVERAGEIFS(unit_details[Asking PSF],
          unit_details[Active Listing?],TRUE,
          unit_details[Property Name], $F371,
          unit_details[Beds], $L371,
          unit_details[Baths], $M371,
          unit_details[Partial Baths], IF(ISNUMBER($N371),$N371,""),
          unit_details[Sqft],$P371
)),"")</f>
        <v/>
      </c>
      <c r="AH371" s="293" t="str">
        <f>IFERROR(IF($F371="Total",
         SUMPRODUCT(
         INDEX(AH:AH, ROW()-COUNTIF($F$6:INDEX($F:$F, ROW()-1), $F370)) : INDEX(AH:AH, ROW()-1),
         INDEX(AB:AB, ROW()-COUNTIF($F$6:INDEX($F:$F, ROW()-1), $F370)) : INDEX(AB:AB, ROW()-1)
         )
         /SUM(INDEX(AB:AB, ROW()-COUNTIF($F$6:INDEX($F:$F, ROW()-1), $F370)) : INDEX(AB:AB, ROW()-1)),
          AVERAGEIFS(unit_details[Effective Rent],
          unit_details[Active Listing?],TRUE,
          unit_details[Property Name], $F371,
          unit_details[Beds], $L371,
          unit_details[Baths], $M371,
          unit_details[Partial Baths], IF(ISNUMBER($N371),$N371,""),
          unit_details[Sqft],$P371
)),"")</f>
        <v/>
      </c>
      <c r="AI371" s="6" t="str">
        <f>IFERROR(IF($F371="Total",
         SUMPRODUCT(
         INDEX(AI:AI, ROW()-COUNTIF($F$6:INDEX($F:$F, ROW()-1), $F370)) : INDEX(AI:AI, ROW()-1),
         INDEX(AB:AB, ROW()-COUNTIF($F$6:INDEX($F:$F, ROW()-1), $F370)) : INDEX(AB:AB, ROW()-1)
         )
         /SUM(INDEX(AB:AB, ROW()-COUNTIF($F$6:INDEX($F:$F, ROW()-1), $F370)) : INDEX(AB:AB, ROW()-1)),
           AVERAGEIFS(unit_details[Effective PSF],
          unit_details[Active Listing?],TRUE,
          unit_details[Property Name], $F371,
          unit_details[Beds], $L371,
          unit_details[Baths], $M371,
          unit_details[Partial Baths], IF(ISNUMBER($N371),$N371,""),
          unit_details[Sqft],$P371
)),"")</f>
        <v/>
      </c>
      <c r="AJ371" s="824" t="str">
        <f t="shared" si="59"/>
        <v/>
      </c>
      <c r="AK371" s="531" t="str">
        <f t="shared" si="60"/>
        <v/>
      </c>
      <c r="AL371" s="714" t="str">
        <f t="shared" si="61"/>
        <v/>
      </c>
      <c r="AM371" s="531" t="str">
        <f t="shared" si="62"/>
        <v/>
      </c>
      <c r="AN371" s="716" t="str">
        <f t="shared" si="63"/>
        <v/>
      </c>
    </row>
    <row r="372" spans="6:40" x14ac:dyDescent="0.2">
      <c r="F372" s="1" t="str">
        <f t="shared" si="56"/>
        <v/>
      </c>
      <c r="G372" s="713" t="str">
        <f t="shared" si="64"/>
        <v/>
      </c>
      <c r="H372" s="17" t="str">
        <f>IFERROR(VLOOKUP($G372,Table1[[Property]:[Exposure %]],4,0),"")</f>
        <v/>
      </c>
      <c r="I372" s="3" t="str">
        <f>IFERROR(VLOOKUP($G372,Table1[[Property]:[Exposure %]],6,0),"")</f>
        <v/>
      </c>
      <c r="J372" s="3" t="str">
        <f>IFERROR(VLOOKUP($G372,Table1[[Property]:[Exposure %]],7,0),"")</f>
        <v/>
      </c>
      <c r="R372" s="4" t="str">
        <f>IFERROR(VLOOKUP(IF(F372="Total",F371,F372),Table1[[Property]:['# Units]],7,0)*S372,"")</f>
        <v/>
      </c>
      <c r="S372" s="27" t="str">
        <f t="shared" si="57"/>
        <v/>
      </c>
      <c r="T372" s="531" t="str">
        <f>IFERROR(
 IF($F372="Total",
   SUMPRODUCT(
   INDEX(T:T, ROW()-COUNTIF($F$6:INDEX($F:$F, ROW()-1), $F371)) : INDEX(T:T, ROW()-1),
   INDEX(W:W, ROW()-COUNTIF($F$6:INDEX($F:$F, ROW()-1), $F371)) : INDEX(W:W, ROW()-1)
   )
   /SUM(INDEX(W:W, ROW()-COUNTIF($F$6:INDEX($F:$F, ROW()-1), $F371)) : INDEX(W:W, ROW()-1)),
   AVERAGEIFS(
     INDEX((unit_details[Asking Rent],unit_details[Asking PSF]),0,1,IF($U$3="Chunk Rent",1,2)),
     unit_details[Leased Date],"&gt;="&amp;($AM$2-T$5),
     unit_details[Leased Date],"&lt;"&amp;$AM$2,
     unit_details[Beds],$L372,
     unit_details[Baths],$M372,
     unit_details[Partial Baths],IF(ISNUMBER($N372),$N372,""),
     unit_details[Sqft],$P372,
     unit_details[Property Name],$F372)
 ),"")</f>
        <v/>
      </c>
      <c r="U372" s="552" t="str">
        <f>IFERROR(
 IF($F372="Total",
   SUMPRODUCT(
   INDEX(U:U, ROW()-COUNTIF($F$6:INDEX($F:$F, ROW()-1), $F371)) : INDEX(U:U, ROW()-1),
   INDEX(W:W, ROW()-COUNTIF($F$6:INDEX($F:$F, ROW()-1), $F371)) : INDEX(W:W, ROW()-1)
   )
   /SUM(INDEX(W:W, ROW()-COUNTIF($F$6:INDEX($F:$F, ROW()-1), $F371)) : INDEX(W:W, ROW()-1)),
   AVERAGEIFS(
     INDEX((unit_details[Effective Rent],unit_details[Effective PSF]),0,1,IF($U$3="Chunk Rent",1,2)),
     unit_details[Leased Date],"&gt;="&amp;($AM$2-T$5),
     unit_details[Leased Date],"&lt;"&amp;$AM$2,
     unit_details[Beds],$L372,
     unit_details[Baths],$M372,
     unit_details[Partial Baths],IF(ISNUMBER($N372),$N372,""),
     unit_details[Sqft],$P372,
     unit_details[Property Name],$F372)
 ),"")</f>
        <v/>
      </c>
      <c r="V372" s="27" t="str">
        <f t="shared" si="65"/>
        <v/>
      </c>
      <c r="W372" s="526">
        <f>IFERROR(
  IF($F372="Total",
    SUM(INDEX(W:W, ROW()-COUNTIF($F$6:INDEX($F:$F, ROW()-1), $F371)) : INDEX(W:W, ROW()-1)),
    COUNTIFS(
      unit_details[Leased Date], "&gt;="&amp;($AM$2-T$5),
      unit_details[Leased Date], "&lt;"&amp;$AM$2,
      unit_details[Beds], $L372,
      unit_details[Baths], $M372,
      unit_details[Partial Baths], IF(ISNUMBER($N372), $N372, ""),
      unit_details[Sqft],$P372,
      unit_details[Property Name], $F372
    )
  ),
"")</f>
        <v>0</v>
      </c>
      <c r="X372" s="531" t="str">
        <f>IFERROR(
 IF($F372="Total",
   SUMPRODUCT(
   INDEX(X:X, ROW()-COUNTIF($F$6:INDEX($F:$F, ROW()-1), $F371)) : INDEX(X:X, ROW()-1),
   INDEX(AA:AA, ROW()-COUNTIF($F$6:INDEX($F:$F, ROW()-1), $F371)) : INDEX(AA:AA, ROW()-1)
   )
   /SUM(INDEX(AA:AA, ROW()-COUNTIF($F$6:INDEX($F:$F, ROW()-1), $F371)) : INDEX(AA:AA, ROW()-1)),
   AVERAGEIFS(
     INDEX((unit_details[Asking Rent],unit_details[Asking PSF]),0,1,IF($U$3="Chunk Rent",1,2)),
     unit_details[Leased Date],"&gt;="&amp;($AM$2-X$5),
     unit_details[Leased Date],"&lt;"&amp;$AM$2,
     unit_details[Beds],$L372,
     unit_details[Baths],$M372,
     unit_details[Partial Baths],IF(ISNUMBER($N372),$N372,""),
     unit_details[Sqft],$P372,
     unit_details[Property Name],$F372)
 ),"")</f>
        <v/>
      </c>
      <c r="Y372" s="552" t="str">
        <f>IFERROR(
 IF($F372="Total",
   SUMPRODUCT(
   INDEX(Y:Y, ROW()-COUNTIF($F$6:INDEX($F:$F, ROW()-1), $F371)) : INDEX(Y:Y, ROW()-1),
   INDEX(AA:AA, ROW()-COUNTIF($F$6:INDEX($F:$F, ROW()-1), $F371)) : INDEX(AA:AA, ROW()-1)
   )
   /SUM(INDEX(AA:AA, ROW()-COUNTIF($F$6:INDEX($F:$F, ROW()-1), $F371)) : INDEX(AA:AA, ROW()-1)),
   AVERAGEIFS(
     INDEX((unit_details[Effective Rent],unit_details[Effective PSF]),0,1,IF($U$3="Chunk Rent",1,2)),
     unit_details[Leased Date],"&gt;="&amp;($AM$2-X$5),
     unit_details[Leased Date],"&lt;"&amp;$AM$2,
     unit_details[Beds],$L372,
     unit_details[Baths],$M372,
     unit_details[Partial Baths],IF(ISNUMBER($N372),$N372,""),
     unit_details[Sqft],$P372,
     unit_details[Property Name],$F372)
 ),"")</f>
        <v/>
      </c>
      <c r="Z372" s="27" t="str">
        <f t="shared" si="66"/>
        <v/>
      </c>
      <c r="AA372" s="526">
        <f>IFERROR(
  IF($F372="Total",
    SUM(INDEX(AA:AA, ROW()-COUNTIF($F$6:INDEX($F:$F, ROW()-1), $F371)) : INDEX(AA:AA, ROW()-1)),
    COUNTIFS(
      unit_details[Leased Date], "&gt;="&amp;($AM$2-X$5),
      unit_details[Leased Date], "&lt;"&amp;$AM$2,
      unit_details[Beds], $L372,
      unit_details[Baths], $M372,
      unit_details[Partial Baths], IF(ISNUMBER($N372), $N372, ""),
      unit_details[Sqft],$P372,
      unit_details[Property Name], $F372
    )
  ),
"")</f>
        <v>0</v>
      </c>
      <c r="AB372" s="290">
        <f>IF($F372="Total",
SUM(INDEX(AB:AB, ROW()-COUNTIF($F$6:INDEX($F:$F, ROW()-1), $F371)) : INDEX(AB:AB, ROW()-1)),
COUNTIFS(unit_details[Active Listing?],TRUE,
          unit_details[Property Name], $F372,
          unit_details[Beds], $L372,
          unit_details[Baths], $M372,
          unit_details[Partial Baths],IF(ISNUMBER($N372),$N372,""),
          unit_details[Sqft],$P372))</f>
        <v>0</v>
      </c>
      <c r="AC372" s="27" t="str">
        <f t="shared" si="58"/>
        <v/>
      </c>
      <c r="AD372" s="293" t="str">
        <f>IFERROR(IF(AE372="","",IF($F372="Total",
SUMPRODUCT(
   INDEX(AD:AD, ROW()-COUNTIF($F$6:INDEX($F:$F, ROW()-1), $F371)) : INDEX(AD:AD, ROW()-1),
   INDEX(AB:AB, ROW()-COUNTIF($F$6:INDEX($F:$F, ROW()-1), $F371)) : INDEX(AB:AB, ROW()-1)
   )
   /SUM(INDEX(AB:AB, ROW()-COUNTIF($F$6:INDEX($F:$F, ROW()-1), $F371)) : INDEX(AB:AB, ROW()-1)),
          _xlfn.MINIFS(unit_details[Asking Rent],
          unit_details[Active Listing?],TRUE,
          unit_details[Property Name], $F372,
          unit_details[Beds], $L372,
          unit_details[Baths], $M372,
          unit_details[Partial Baths], IF(ISNUMBER($N372),$N372,""),
          unit_details[Sqft],$P372
))),"")</f>
        <v/>
      </c>
      <c r="AE372" s="5" t="str">
        <f>IFERROR(IF($F372="Total",
          SUMPRODUCT(
   INDEX(AE:AE, ROW()-COUNTIF($F$6:INDEX($F:$F, ROW()-1), $F371)) : INDEX(AE:AE, ROW()-1),
   INDEX(AB:AB, ROW()-COUNTIF($F$6:INDEX($F:$F, ROW()-1), $F371)) : INDEX(AB:AB, ROW()-1)
   )
   /SUM(INDEX(AB:AB, ROW()-COUNTIF($F$6:INDEX($F:$F, ROW()-1), $F371)) : INDEX(AB:AB, ROW()-1)),
          AVERAGEIFS(unit_details[Asking Rent],
          unit_details[Active Listing?],TRUE,
          unit_details[Property Name], $F372,
          unit_details[Beds], $L372,
          unit_details[Baths], $M372,
          unit_details[Partial Baths], IF(ISNUMBER($N372),$N372,""),
          unit_details[Sqft],$P372
)),"")</f>
        <v/>
      </c>
      <c r="AF372" s="5" t="str">
        <f>IFERROR(IF(AE372="","",IF($F372="Total",
SUMPRODUCT(
   INDEX(AF:AF, ROW()-COUNTIF($F$6:INDEX($F:$F, ROW()-1), $F371)) : INDEX(AF:AF, ROW()-1),
   INDEX(AB:AB, ROW()-COUNTIF($F$6:INDEX($F:$F, ROW()-1), $F371)) : INDEX(AB:AB, ROW()-1)
   )
   /SUM(INDEX(AB:AB, ROW()-COUNTIF($F$6:INDEX($F:$F, ROW()-1), $F371)) : INDEX(AB:AB, ROW()-1)),
           _xlfn.MAXIFS(unit_details[Asking Rent],
          unit_details[Active Listing?],TRUE,
          unit_details[Property Name], $F372,
          unit_details[Beds], $L372,
          unit_details[Baths], $M372,
          unit_details[Partial Baths], IF(ISNUMBER($N372),$N372,""),
          unit_details[Sqft],$P372
))),"")</f>
        <v/>
      </c>
      <c r="AG372" s="6" t="str">
        <f>IFERROR(IF($F372="Total",
         SUMPRODUCT(
         INDEX(AG:AG, ROW()-COUNTIF($F$6:INDEX($F:$F, ROW()-1), $F371)) : INDEX(AG:AG, ROW()-1),
         INDEX(AB:AB, ROW()-COUNTIF($F$6:INDEX($F:$F, ROW()-1), $F371)) : INDEX(AB:AB, ROW()-1)
         )
         /SUM(INDEX(AB:AB, ROW()-COUNTIF($F$6:INDEX($F:$F, ROW()-1), $F371)) : INDEX(AB:AB, ROW()-1)),
          AVERAGEIFS(unit_details[Asking PSF],
          unit_details[Active Listing?],TRUE,
          unit_details[Property Name], $F372,
          unit_details[Beds], $L372,
          unit_details[Baths], $M372,
          unit_details[Partial Baths], IF(ISNUMBER($N372),$N372,""),
          unit_details[Sqft],$P372
)),"")</f>
        <v/>
      </c>
      <c r="AH372" s="293" t="str">
        <f>IFERROR(IF($F372="Total",
         SUMPRODUCT(
         INDEX(AH:AH, ROW()-COUNTIF($F$6:INDEX($F:$F, ROW()-1), $F371)) : INDEX(AH:AH, ROW()-1),
         INDEX(AB:AB, ROW()-COUNTIF($F$6:INDEX($F:$F, ROW()-1), $F371)) : INDEX(AB:AB, ROW()-1)
         )
         /SUM(INDEX(AB:AB, ROW()-COUNTIF($F$6:INDEX($F:$F, ROW()-1), $F371)) : INDEX(AB:AB, ROW()-1)),
          AVERAGEIFS(unit_details[Effective Rent],
          unit_details[Active Listing?],TRUE,
          unit_details[Property Name], $F372,
          unit_details[Beds], $L372,
          unit_details[Baths], $M372,
          unit_details[Partial Baths], IF(ISNUMBER($N372),$N372,""),
          unit_details[Sqft],$P372
)),"")</f>
        <v/>
      </c>
      <c r="AI372" s="6" t="str">
        <f>IFERROR(IF($F372="Total",
         SUMPRODUCT(
         INDEX(AI:AI, ROW()-COUNTIF($F$6:INDEX($F:$F, ROW()-1), $F371)) : INDEX(AI:AI, ROW()-1),
         INDEX(AB:AB, ROW()-COUNTIF($F$6:INDEX($F:$F, ROW()-1), $F371)) : INDEX(AB:AB, ROW()-1)
         )
         /SUM(INDEX(AB:AB, ROW()-COUNTIF($F$6:INDEX($F:$F, ROW()-1), $F371)) : INDEX(AB:AB, ROW()-1)),
           AVERAGEIFS(unit_details[Effective PSF],
          unit_details[Active Listing?],TRUE,
          unit_details[Property Name], $F372,
          unit_details[Beds], $L372,
          unit_details[Baths], $M372,
          unit_details[Partial Baths], IF(ISNUMBER($N372),$N372,""),
          unit_details[Sqft],$P372
)),"")</f>
        <v/>
      </c>
      <c r="AJ372" s="824" t="str">
        <f t="shared" si="59"/>
        <v/>
      </c>
      <c r="AK372" s="531" t="str">
        <f t="shared" si="60"/>
        <v/>
      </c>
      <c r="AL372" s="714" t="str">
        <f t="shared" si="61"/>
        <v/>
      </c>
      <c r="AM372" s="531" t="str">
        <f t="shared" si="62"/>
        <v/>
      </c>
      <c r="AN372" s="716" t="str">
        <f t="shared" si="63"/>
        <v/>
      </c>
    </row>
    <row r="373" spans="6:40" x14ac:dyDescent="0.2">
      <c r="F373" s="1" t="str">
        <f t="shared" si="56"/>
        <v/>
      </c>
      <c r="G373" s="713" t="str">
        <f t="shared" si="64"/>
        <v/>
      </c>
      <c r="H373" s="17" t="str">
        <f>IFERROR(VLOOKUP($G373,Table1[[Property]:[Exposure %]],4,0),"")</f>
        <v/>
      </c>
      <c r="I373" s="3" t="str">
        <f>IFERROR(VLOOKUP($G373,Table1[[Property]:[Exposure %]],6,0),"")</f>
        <v/>
      </c>
      <c r="J373" s="3" t="str">
        <f>IFERROR(VLOOKUP($G373,Table1[[Property]:[Exposure %]],7,0),"")</f>
        <v/>
      </c>
      <c r="R373" s="4" t="str">
        <f>IFERROR(VLOOKUP(IF(F373="Total",F372,F373),Table1[[Property]:['# Units]],7,0)*S373,"")</f>
        <v/>
      </c>
      <c r="S373" s="27" t="str">
        <f t="shared" si="57"/>
        <v/>
      </c>
      <c r="T373" s="531" t="str">
        <f>IFERROR(
 IF($F373="Total",
   SUMPRODUCT(
   INDEX(T:T, ROW()-COUNTIF($F$6:INDEX($F:$F, ROW()-1), $F372)) : INDEX(T:T, ROW()-1),
   INDEX(W:W, ROW()-COUNTIF($F$6:INDEX($F:$F, ROW()-1), $F372)) : INDEX(W:W, ROW()-1)
   )
   /SUM(INDEX(W:W, ROW()-COUNTIF($F$6:INDEX($F:$F, ROW()-1), $F372)) : INDEX(W:W, ROW()-1)),
   AVERAGEIFS(
     INDEX((unit_details[Asking Rent],unit_details[Asking PSF]),0,1,IF($U$3="Chunk Rent",1,2)),
     unit_details[Leased Date],"&gt;="&amp;($AM$2-T$5),
     unit_details[Leased Date],"&lt;"&amp;$AM$2,
     unit_details[Beds],$L373,
     unit_details[Baths],$M373,
     unit_details[Partial Baths],IF(ISNUMBER($N373),$N373,""),
     unit_details[Sqft],$P373,
     unit_details[Property Name],$F373)
 ),"")</f>
        <v/>
      </c>
      <c r="U373" s="552" t="str">
        <f>IFERROR(
 IF($F373="Total",
   SUMPRODUCT(
   INDEX(U:U, ROW()-COUNTIF($F$6:INDEX($F:$F, ROW()-1), $F372)) : INDEX(U:U, ROW()-1),
   INDEX(W:W, ROW()-COUNTIF($F$6:INDEX($F:$F, ROW()-1), $F372)) : INDEX(W:W, ROW()-1)
   )
   /SUM(INDEX(W:W, ROW()-COUNTIF($F$6:INDEX($F:$F, ROW()-1), $F372)) : INDEX(W:W, ROW()-1)),
   AVERAGEIFS(
     INDEX((unit_details[Effective Rent],unit_details[Effective PSF]),0,1,IF($U$3="Chunk Rent",1,2)),
     unit_details[Leased Date],"&gt;="&amp;($AM$2-T$5),
     unit_details[Leased Date],"&lt;"&amp;$AM$2,
     unit_details[Beds],$L373,
     unit_details[Baths],$M373,
     unit_details[Partial Baths],IF(ISNUMBER($N373),$N373,""),
     unit_details[Sqft],$P373,
     unit_details[Property Name],$F373)
 ),"")</f>
        <v/>
      </c>
      <c r="V373" s="27" t="str">
        <f t="shared" si="65"/>
        <v/>
      </c>
      <c r="W373" s="526">
        <f>IFERROR(
  IF($F373="Total",
    SUM(INDEX(W:W, ROW()-COUNTIF($F$6:INDEX($F:$F, ROW()-1), $F372)) : INDEX(W:W, ROW()-1)),
    COUNTIFS(
      unit_details[Leased Date], "&gt;="&amp;($AM$2-T$5),
      unit_details[Leased Date], "&lt;"&amp;$AM$2,
      unit_details[Beds], $L373,
      unit_details[Baths], $M373,
      unit_details[Partial Baths], IF(ISNUMBER($N373), $N373, ""),
      unit_details[Sqft],$P373,
      unit_details[Property Name], $F373
    )
  ),
"")</f>
        <v>0</v>
      </c>
      <c r="X373" s="531" t="str">
        <f>IFERROR(
 IF($F373="Total",
   SUMPRODUCT(
   INDEX(X:X, ROW()-COUNTIF($F$6:INDEX($F:$F, ROW()-1), $F372)) : INDEX(X:X, ROW()-1),
   INDEX(AA:AA, ROW()-COUNTIF($F$6:INDEX($F:$F, ROW()-1), $F372)) : INDEX(AA:AA, ROW()-1)
   )
   /SUM(INDEX(AA:AA, ROW()-COUNTIF($F$6:INDEX($F:$F, ROW()-1), $F372)) : INDEX(AA:AA, ROW()-1)),
   AVERAGEIFS(
     INDEX((unit_details[Asking Rent],unit_details[Asking PSF]),0,1,IF($U$3="Chunk Rent",1,2)),
     unit_details[Leased Date],"&gt;="&amp;($AM$2-X$5),
     unit_details[Leased Date],"&lt;"&amp;$AM$2,
     unit_details[Beds],$L373,
     unit_details[Baths],$M373,
     unit_details[Partial Baths],IF(ISNUMBER($N373),$N373,""),
     unit_details[Sqft],$P373,
     unit_details[Property Name],$F373)
 ),"")</f>
        <v/>
      </c>
      <c r="Y373" s="552" t="str">
        <f>IFERROR(
 IF($F373="Total",
   SUMPRODUCT(
   INDEX(Y:Y, ROW()-COUNTIF($F$6:INDEX($F:$F, ROW()-1), $F372)) : INDEX(Y:Y, ROW()-1),
   INDEX(AA:AA, ROW()-COUNTIF($F$6:INDEX($F:$F, ROW()-1), $F372)) : INDEX(AA:AA, ROW()-1)
   )
   /SUM(INDEX(AA:AA, ROW()-COUNTIF($F$6:INDEX($F:$F, ROW()-1), $F372)) : INDEX(AA:AA, ROW()-1)),
   AVERAGEIFS(
     INDEX((unit_details[Effective Rent],unit_details[Effective PSF]),0,1,IF($U$3="Chunk Rent",1,2)),
     unit_details[Leased Date],"&gt;="&amp;($AM$2-X$5),
     unit_details[Leased Date],"&lt;"&amp;$AM$2,
     unit_details[Beds],$L373,
     unit_details[Baths],$M373,
     unit_details[Partial Baths],IF(ISNUMBER($N373),$N373,""),
     unit_details[Sqft],$P373,
     unit_details[Property Name],$F373)
 ),"")</f>
        <v/>
      </c>
      <c r="Z373" s="27" t="str">
        <f t="shared" si="66"/>
        <v/>
      </c>
      <c r="AA373" s="526">
        <f>IFERROR(
  IF($F373="Total",
    SUM(INDEX(AA:AA, ROW()-COUNTIF($F$6:INDEX($F:$F, ROW()-1), $F372)) : INDEX(AA:AA, ROW()-1)),
    COUNTIFS(
      unit_details[Leased Date], "&gt;="&amp;($AM$2-X$5),
      unit_details[Leased Date], "&lt;"&amp;$AM$2,
      unit_details[Beds], $L373,
      unit_details[Baths], $M373,
      unit_details[Partial Baths], IF(ISNUMBER($N373), $N373, ""),
      unit_details[Sqft],$P373,
      unit_details[Property Name], $F373
    )
  ),
"")</f>
        <v>0</v>
      </c>
      <c r="AB373" s="290">
        <f>IF($F373="Total",
SUM(INDEX(AB:AB, ROW()-COUNTIF($F$6:INDEX($F:$F, ROW()-1), $F372)) : INDEX(AB:AB, ROW()-1)),
COUNTIFS(unit_details[Active Listing?],TRUE,
          unit_details[Property Name], $F373,
          unit_details[Beds], $L373,
          unit_details[Baths], $M373,
          unit_details[Partial Baths],IF(ISNUMBER($N373),$N373,""),
          unit_details[Sqft],$P373))</f>
        <v>0</v>
      </c>
      <c r="AC373" s="27" t="str">
        <f t="shared" si="58"/>
        <v/>
      </c>
      <c r="AD373" s="293" t="str">
        <f>IFERROR(IF(AE373="","",IF($F373="Total",
SUMPRODUCT(
   INDEX(AD:AD, ROW()-COUNTIF($F$6:INDEX($F:$F, ROW()-1), $F372)) : INDEX(AD:AD, ROW()-1),
   INDEX(AB:AB, ROW()-COUNTIF($F$6:INDEX($F:$F, ROW()-1), $F372)) : INDEX(AB:AB, ROW()-1)
   )
   /SUM(INDEX(AB:AB, ROW()-COUNTIF($F$6:INDEX($F:$F, ROW()-1), $F372)) : INDEX(AB:AB, ROW()-1)),
          _xlfn.MINIFS(unit_details[Asking Rent],
          unit_details[Active Listing?],TRUE,
          unit_details[Property Name], $F373,
          unit_details[Beds], $L373,
          unit_details[Baths], $M373,
          unit_details[Partial Baths], IF(ISNUMBER($N373),$N373,""),
          unit_details[Sqft],$P373
))),"")</f>
        <v/>
      </c>
      <c r="AE373" s="5" t="str">
        <f>IFERROR(IF($F373="Total",
          SUMPRODUCT(
   INDEX(AE:AE, ROW()-COUNTIF($F$6:INDEX($F:$F, ROW()-1), $F372)) : INDEX(AE:AE, ROW()-1),
   INDEX(AB:AB, ROW()-COUNTIF($F$6:INDEX($F:$F, ROW()-1), $F372)) : INDEX(AB:AB, ROW()-1)
   )
   /SUM(INDEX(AB:AB, ROW()-COUNTIF($F$6:INDEX($F:$F, ROW()-1), $F372)) : INDEX(AB:AB, ROW()-1)),
          AVERAGEIFS(unit_details[Asking Rent],
          unit_details[Active Listing?],TRUE,
          unit_details[Property Name], $F373,
          unit_details[Beds], $L373,
          unit_details[Baths], $M373,
          unit_details[Partial Baths], IF(ISNUMBER($N373),$N373,""),
          unit_details[Sqft],$P373
)),"")</f>
        <v/>
      </c>
      <c r="AF373" s="5" t="str">
        <f>IFERROR(IF(AE373="","",IF($F373="Total",
SUMPRODUCT(
   INDEX(AF:AF, ROW()-COUNTIF($F$6:INDEX($F:$F, ROW()-1), $F372)) : INDEX(AF:AF, ROW()-1),
   INDEX(AB:AB, ROW()-COUNTIF($F$6:INDEX($F:$F, ROW()-1), $F372)) : INDEX(AB:AB, ROW()-1)
   )
   /SUM(INDEX(AB:AB, ROW()-COUNTIF($F$6:INDEX($F:$F, ROW()-1), $F372)) : INDEX(AB:AB, ROW()-1)),
           _xlfn.MAXIFS(unit_details[Asking Rent],
          unit_details[Active Listing?],TRUE,
          unit_details[Property Name], $F373,
          unit_details[Beds], $L373,
          unit_details[Baths], $M373,
          unit_details[Partial Baths], IF(ISNUMBER($N373),$N373,""),
          unit_details[Sqft],$P373
))),"")</f>
        <v/>
      </c>
      <c r="AG373" s="6" t="str">
        <f>IFERROR(IF($F373="Total",
         SUMPRODUCT(
         INDEX(AG:AG, ROW()-COUNTIF($F$6:INDEX($F:$F, ROW()-1), $F372)) : INDEX(AG:AG, ROW()-1),
         INDEX(AB:AB, ROW()-COUNTIF($F$6:INDEX($F:$F, ROW()-1), $F372)) : INDEX(AB:AB, ROW()-1)
         )
         /SUM(INDEX(AB:AB, ROW()-COUNTIF($F$6:INDEX($F:$F, ROW()-1), $F372)) : INDEX(AB:AB, ROW()-1)),
          AVERAGEIFS(unit_details[Asking PSF],
          unit_details[Active Listing?],TRUE,
          unit_details[Property Name], $F373,
          unit_details[Beds], $L373,
          unit_details[Baths], $M373,
          unit_details[Partial Baths], IF(ISNUMBER($N373),$N373,""),
          unit_details[Sqft],$P373
)),"")</f>
        <v/>
      </c>
      <c r="AH373" s="293" t="str">
        <f>IFERROR(IF($F373="Total",
         SUMPRODUCT(
         INDEX(AH:AH, ROW()-COUNTIF($F$6:INDEX($F:$F, ROW()-1), $F372)) : INDEX(AH:AH, ROW()-1),
         INDEX(AB:AB, ROW()-COUNTIF($F$6:INDEX($F:$F, ROW()-1), $F372)) : INDEX(AB:AB, ROW()-1)
         )
         /SUM(INDEX(AB:AB, ROW()-COUNTIF($F$6:INDEX($F:$F, ROW()-1), $F372)) : INDEX(AB:AB, ROW()-1)),
          AVERAGEIFS(unit_details[Effective Rent],
          unit_details[Active Listing?],TRUE,
          unit_details[Property Name], $F373,
          unit_details[Beds], $L373,
          unit_details[Baths], $M373,
          unit_details[Partial Baths], IF(ISNUMBER($N373),$N373,""),
          unit_details[Sqft],$P373
)),"")</f>
        <v/>
      </c>
      <c r="AI373" s="6" t="str">
        <f>IFERROR(IF($F373="Total",
         SUMPRODUCT(
         INDEX(AI:AI, ROW()-COUNTIF($F$6:INDEX($F:$F, ROW()-1), $F372)) : INDEX(AI:AI, ROW()-1),
         INDEX(AB:AB, ROW()-COUNTIF($F$6:INDEX($F:$F, ROW()-1), $F372)) : INDEX(AB:AB, ROW()-1)
         )
         /SUM(INDEX(AB:AB, ROW()-COUNTIF($F$6:INDEX($F:$F, ROW()-1), $F372)) : INDEX(AB:AB, ROW()-1)),
           AVERAGEIFS(unit_details[Effective PSF],
          unit_details[Active Listing?],TRUE,
          unit_details[Property Name], $F373,
          unit_details[Beds], $L373,
          unit_details[Baths], $M373,
          unit_details[Partial Baths], IF(ISNUMBER($N373),$N373,""),
          unit_details[Sqft],$P373
)),"")</f>
        <v/>
      </c>
      <c r="AJ373" s="824" t="str">
        <f t="shared" si="59"/>
        <v/>
      </c>
      <c r="AK373" s="531" t="str">
        <f t="shared" si="60"/>
        <v/>
      </c>
      <c r="AL373" s="714" t="str">
        <f t="shared" si="61"/>
        <v/>
      </c>
      <c r="AM373" s="531" t="str">
        <f t="shared" si="62"/>
        <v/>
      </c>
      <c r="AN373" s="716" t="str">
        <f t="shared" si="63"/>
        <v/>
      </c>
    </row>
    <row r="374" spans="6:40" x14ac:dyDescent="0.2">
      <c r="F374" s="1" t="str">
        <f t="shared" si="56"/>
        <v/>
      </c>
      <c r="G374" s="713" t="str">
        <f t="shared" si="64"/>
        <v/>
      </c>
      <c r="H374" s="17" t="str">
        <f>IFERROR(VLOOKUP($G374,Table1[[Property]:[Exposure %]],4,0),"")</f>
        <v/>
      </c>
      <c r="I374" s="3" t="str">
        <f>IFERROR(VLOOKUP($G374,Table1[[Property]:[Exposure %]],6,0),"")</f>
        <v/>
      </c>
      <c r="J374" s="3" t="str">
        <f>IFERROR(VLOOKUP($G374,Table1[[Property]:[Exposure %]],7,0),"")</f>
        <v/>
      </c>
      <c r="R374" s="4" t="str">
        <f>IFERROR(VLOOKUP(IF(F374="Total",F373,F374),Table1[[Property]:['# Units]],7,0)*S374,"")</f>
        <v/>
      </c>
      <c r="S374" s="27" t="str">
        <f t="shared" si="57"/>
        <v/>
      </c>
      <c r="T374" s="531" t="str">
        <f>IFERROR(
 IF($F374="Total",
   SUMPRODUCT(
   INDEX(T:T, ROW()-COUNTIF($F$6:INDEX($F:$F, ROW()-1), $F373)) : INDEX(T:T, ROW()-1),
   INDEX(W:W, ROW()-COUNTIF($F$6:INDEX($F:$F, ROW()-1), $F373)) : INDEX(W:W, ROW()-1)
   )
   /SUM(INDEX(W:W, ROW()-COUNTIF($F$6:INDEX($F:$F, ROW()-1), $F373)) : INDEX(W:W, ROW()-1)),
   AVERAGEIFS(
     INDEX((unit_details[Asking Rent],unit_details[Asking PSF]),0,1,IF($U$3="Chunk Rent",1,2)),
     unit_details[Leased Date],"&gt;="&amp;($AM$2-T$5),
     unit_details[Leased Date],"&lt;"&amp;$AM$2,
     unit_details[Beds],$L374,
     unit_details[Baths],$M374,
     unit_details[Partial Baths],IF(ISNUMBER($N374),$N374,""),
     unit_details[Sqft],$P374,
     unit_details[Property Name],$F374)
 ),"")</f>
        <v/>
      </c>
      <c r="U374" s="552" t="str">
        <f>IFERROR(
 IF($F374="Total",
   SUMPRODUCT(
   INDEX(U:U, ROW()-COUNTIF($F$6:INDEX($F:$F, ROW()-1), $F373)) : INDEX(U:U, ROW()-1),
   INDEX(W:W, ROW()-COUNTIF($F$6:INDEX($F:$F, ROW()-1), $F373)) : INDEX(W:W, ROW()-1)
   )
   /SUM(INDEX(W:W, ROW()-COUNTIF($F$6:INDEX($F:$F, ROW()-1), $F373)) : INDEX(W:W, ROW()-1)),
   AVERAGEIFS(
     INDEX((unit_details[Effective Rent],unit_details[Effective PSF]),0,1,IF($U$3="Chunk Rent",1,2)),
     unit_details[Leased Date],"&gt;="&amp;($AM$2-T$5),
     unit_details[Leased Date],"&lt;"&amp;$AM$2,
     unit_details[Beds],$L374,
     unit_details[Baths],$M374,
     unit_details[Partial Baths],IF(ISNUMBER($N374),$N374,""),
     unit_details[Sqft],$P374,
     unit_details[Property Name],$F374)
 ),"")</f>
        <v/>
      </c>
      <c r="V374" s="27" t="str">
        <f t="shared" si="65"/>
        <v/>
      </c>
      <c r="W374" s="526">
        <f>IFERROR(
  IF($F374="Total",
    SUM(INDEX(W:W, ROW()-COUNTIF($F$6:INDEX($F:$F, ROW()-1), $F373)) : INDEX(W:W, ROW()-1)),
    COUNTIFS(
      unit_details[Leased Date], "&gt;="&amp;($AM$2-T$5),
      unit_details[Leased Date], "&lt;"&amp;$AM$2,
      unit_details[Beds], $L374,
      unit_details[Baths], $M374,
      unit_details[Partial Baths], IF(ISNUMBER($N374), $N374, ""),
      unit_details[Sqft],$P374,
      unit_details[Property Name], $F374
    )
  ),
"")</f>
        <v>0</v>
      </c>
      <c r="X374" s="531" t="str">
        <f>IFERROR(
 IF($F374="Total",
   SUMPRODUCT(
   INDEX(X:X, ROW()-COUNTIF($F$6:INDEX($F:$F, ROW()-1), $F373)) : INDEX(X:X, ROW()-1),
   INDEX(AA:AA, ROW()-COUNTIF($F$6:INDEX($F:$F, ROW()-1), $F373)) : INDEX(AA:AA, ROW()-1)
   )
   /SUM(INDEX(AA:AA, ROW()-COUNTIF($F$6:INDEX($F:$F, ROW()-1), $F373)) : INDEX(AA:AA, ROW()-1)),
   AVERAGEIFS(
     INDEX((unit_details[Asking Rent],unit_details[Asking PSF]),0,1,IF($U$3="Chunk Rent",1,2)),
     unit_details[Leased Date],"&gt;="&amp;($AM$2-X$5),
     unit_details[Leased Date],"&lt;"&amp;$AM$2,
     unit_details[Beds],$L374,
     unit_details[Baths],$M374,
     unit_details[Partial Baths],IF(ISNUMBER($N374),$N374,""),
     unit_details[Sqft],$P374,
     unit_details[Property Name],$F374)
 ),"")</f>
        <v/>
      </c>
      <c r="Y374" s="552" t="str">
        <f>IFERROR(
 IF($F374="Total",
   SUMPRODUCT(
   INDEX(Y:Y, ROW()-COUNTIF($F$6:INDEX($F:$F, ROW()-1), $F373)) : INDEX(Y:Y, ROW()-1),
   INDEX(AA:AA, ROW()-COUNTIF($F$6:INDEX($F:$F, ROW()-1), $F373)) : INDEX(AA:AA, ROW()-1)
   )
   /SUM(INDEX(AA:AA, ROW()-COUNTIF($F$6:INDEX($F:$F, ROW()-1), $F373)) : INDEX(AA:AA, ROW()-1)),
   AVERAGEIFS(
     INDEX((unit_details[Effective Rent],unit_details[Effective PSF]),0,1,IF($U$3="Chunk Rent",1,2)),
     unit_details[Leased Date],"&gt;="&amp;($AM$2-X$5),
     unit_details[Leased Date],"&lt;"&amp;$AM$2,
     unit_details[Beds],$L374,
     unit_details[Baths],$M374,
     unit_details[Partial Baths],IF(ISNUMBER($N374),$N374,""),
     unit_details[Sqft],$P374,
     unit_details[Property Name],$F374)
 ),"")</f>
        <v/>
      </c>
      <c r="Z374" s="27" t="str">
        <f t="shared" si="66"/>
        <v/>
      </c>
      <c r="AA374" s="526">
        <f>IFERROR(
  IF($F374="Total",
    SUM(INDEX(AA:AA, ROW()-COUNTIF($F$6:INDEX($F:$F, ROW()-1), $F373)) : INDEX(AA:AA, ROW()-1)),
    COUNTIFS(
      unit_details[Leased Date], "&gt;="&amp;($AM$2-X$5),
      unit_details[Leased Date], "&lt;"&amp;$AM$2,
      unit_details[Beds], $L374,
      unit_details[Baths], $M374,
      unit_details[Partial Baths], IF(ISNUMBER($N374), $N374, ""),
      unit_details[Sqft],$P374,
      unit_details[Property Name], $F374
    )
  ),
"")</f>
        <v>0</v>
      </c>
      <c r="AB374" s="290">
        <f>IF($F374="Total",
SUM(INDEX(AB:AB, ROW()-COUNTIF($F$6:INDEX($F:$F, ROW()-1), $F373)) : INDEX(AB:AB, ROW()-1)),
COUNTIFS(unit_details[Active Listing?],TRUE,
          unit_details[Property Name], $F374,
          unit_details[Beds], $L374,
          unit_details[Baths], $M374,
          unit_details[Partial Baths],IF(ISNUMBER($N374),$N374,""),
          unit_details[Sqft],$P374))</f>
        <v>0</v>
      </c>
      <c r="AC374" s="27" t="str">
        <f t="shared" si="58"/>
        <v/>
      </c>
      <c r="AD374" s="293" t="str">
        <f>IFERROR(IF(AE374="","",IF($F374="Total",
SUMPRODUCT(
   INDEX(AD:AD, ROW()-COUNTIF($F$6:INDEX($F:$F, ROW()-1), $F373)) : INDEX(AD:AD, ROW()-1),
   INDEX(AB:AB, ROW()-COUNTIF($F$6:INDEX($F:$F, ROW()-1), $F373)) : INDEX(AB:AB, ROW()-1)
   )
   /SUM(INDEX(AB:AB, ROW()-COUNTIF($F$6:INDEX($F:$F, ROW()-1), $F373)) : INDEX(AB:AB, ROW()-1)),
          _xlfn.MINIFS(unit_details[Asking Rent],
          unit_details[Active Listing?],TRUE,
          unit_details[Property Name], $F374,
          unit_details[Beds], $L374,
          unit_details[Baths], $M374,
          unit_details[Partial Baths], IF(ISNUMBER($N374),$N374,""),
          unit_details[Sqft],$P374
))),"")</f>
        <v/>
      </c>
      <c r="AE374" s="5" t="str">
        <f>IFERROR(IF($F374="Total",
          SUMPRODUCT(
   INDEX(AE:AE, ROW()-COUNTIF($F$6:INDEX($F:$F, ROW()-1), $F373)) : INDEX(AE:AE, ROW()-1),
   INDEX(AB:AB, ROW()-COUNTIF($F$6:INDEX($F:$F, ROW()-1), $F373)) : INDEX(AB:AB, ROW()-1)
   )
   /SUM(INDEX(AB:AB, ROW()-COUNTIF($F$6:INDEX($F:$F, ROW()-1), $F373)) : INDEX(AB:AB, ROW()-1)),
          AVERAGEIFS(unit_details[Asking Rent],
          unit_details[Active Listing?],TRUE,
          unit_details[Property Name], $F374,
          unit_details[Beds], $L374,
          unit_details[Baths], $M374,
          unit_details[Partial Baths], IF(ISNUMBER($N374),$N374,""),
          unit_details[Sqft],$P374
)),"")</f>
        <v/>
      </c>
      <c r="AF374" s="5" t="str">
        <f>IFERROR(IF(AE374="","",IF($F374="Total",
SUMPRODUCT(
   INDEX(AF:AF, ROW()-COUNTIF($F$6:INDEX($F:$F, ROW()-1), $F373)) : INDEX(AF:AF, ROW()-1),
   INDEX(AB:AB, ROW()-COUNTIF($F$6:INDEX($F:$F, ROW()-1), $F373)) : INDEX(AB:AB, ROW()-1)
   )
   /SUM(INDEX(AB:AB, ROW()-COUNTIF($F$6:INDEX($F:$F, ROW()-1), $F373)) : INDEX(AB:AB, ROW()-1)),
           _xlfn.MAXIFS(unit_details[Asking Rent],
          unit_details[Active Listing?],TRUE,
          unit_details[Property Name], $F374,
          unit_details[Beds], $L374,
          unit_details[Baths], $M374,
          unit_details[Partial Baths], IF(ISNUMBER($N374),$N374,""),
          unit_details[Sqft],$P374
))),"")</f>
        <v/>
      </c>
      <c r="AG374" s="6" t="str">
        <f>IFERROR(IF($F374="Total",
         SUMPRODUCT(
         INDEX(AG:AG, ROW()-COUNTIF($F$6:INDEX($F:$F, ROW()-1), $F373)) : INDEX(AG:AG, ROW()-1),
         INDEX(AB:AB, ROW()-COUNTIF($F$6:INDEX($F:$F, ROW()-1), $F373)) : INDEX(AB:AB, ROW()-1)
         )
         /SUM(INDEX(AB:AB, ROW()-COUNTIF($F$6:INDEX($F:$F, ROW()-1), $F373)) : INDEX(AB:AB, ROW()-1)),
          AVERAGEIFS(unit_details[Asking PSF],
          unit_details[Active Listing?],TRUE,
          unit_details[Property Name], $F374,
          unit_details[Beds], $L374,
          unit_details[Baths], $M374,
          unit_details[Partial Baths], IF(ISNUMBER($N374),$N374,""),
          unit_details[Sqft],$P374
)),"")</f>
        <v/>
      </c>
      <c r="AH374" s="293" t="str">
        <f>IFERROR(IF($F374="Total",
         SUMPRODUCT(
         INDEX(AH:AH, ROW()-COUNTIF($F$6:INDEX($F:$F, ROW()-1), $F373)) : INDEX(AH:AH, ROW()-1),
         INDEX(AB:AB, ROW()-COUNTIF($F$6:INDEX($F:$F, ROW()-1), $F373)) : INDEX(AB:AB, ROW()-1)
         )
         /SUM(INDEX(AB:AB, ROW()-COUNTIF($F$6:INDEX($F:$F, ROW()-1), $F373)) : INDEX(AB:AB, ROW()-1)),
          AVERAGEIFS(unit_details[Effective Rent],
          unit_details[Active Listing?],TRUE,
          unit_details[Property Name], $F374,
          unit_details[Beds], $L374,
          unit_details[Baths], $M374,
          unit_details[Partial Baths], IF(ISNUMBER($N374),$N374,""),
          unit_details[Sqft],$P374
)),"")</f>
        <v/>
      </c>
      <c r="AI374" s="6" t="str">
        <f>IFERROR(IF($F374="Total",
         SUMPRODUCT(
         INDEX(AI:AI, ROW()-COUNTIF($F$6:INDEX($F:$F, ROW()-1), $F373)) : INDEX(AI:AI, ROW()-1),
         INDEX(AB:AB, ROW()-COUNTIF($F$6:INDEX($F:$F, ROW()-1), $F373)) : INDEX(AB:AB, ROW()-1)
         )
         /SUM(INDEX(AB:AB, ROW()-COUNTIF($F$6:INDEX($F:$F, ROW()-1), $F373)) : INDEX(AB:AB, ROW()-1)),
           AVERAGEIFS(unit_details[Effective PSF],
          unit_details[Active Listing?],TRUE,
          unit_details[Property Name], $F374,
          unit_details[Beds], $L374,
          unit_details[Baths], $M374,
          unit_details[Partial Baths], IF(ISNUMBER($N374),$N374,""),
          unit_details[Sqft],$P374
)),"")</f>
        <v/>
      </c>
      <c r="AJ374" s="824" t="str">
        <f t="shared" si="59"/>
        <v/>
      </c>
      <c r="AK374" s="531" t="str">
        <f t="shared" si="60"/>
        <v/>
      </c>
      <c r="AL374" s="714" t="str">
        <f t="shared" si="61"/>
        <v/>
      </c>
      <c r="AM374" s="531" t="str">
        <f t="shared" si="62"/>
        <v/>
      </c>
      <c r="AN374" s="716" t="str">
        <f t="shared" si="63"/>
        <v/>
      </c>
    </row>
    <row r="375" spans="6:40" x14ac:dyDescent="0.2">
      <c r="F375" s="1" t="str">
        <f t="shared" si="56"/>
        <v/>
      </c>
      <c r="G375" s="713" t="str">
        <f t="shared" si="64"/>
        <v/>
      </c>
      <c r="H375" s="17" t="str">
        <f>IFERROR(VLOOKUP($G375,Table1[[Property]:[Exposure %]],4,0),"")</f>
        <v/>
      </c>
      <c r="I375" s="3" t="str">
        <f>IFERROR(VLOOKUP($G375,Table1[[Property]:[Exposure %]],6,0),"")</f>
        <v/>
      </c>
      <c r="J375" s="3" t="str">
        <f>IFERROR(VLOOKUP($G375,Table1[[Property]:[Exposure %]],7,0),"")</f>
        <v/>
      </c>
      <c r="R375" s="4" t="str">
        <f>IFERROR(VLOOKUP(IF(F375="Total",F374,F375),Table1[[Property]:['# Units]],7,0)*S375,"")</f>
        <v/>
      </c>
      <c r="S375" s="27" t="str">
        <f t="shared" si="57"/>
        <v/>
      </c>
      <c r="T375" s="531" t="str">
        <f>IFERROR(
 IF($F375="Total",
   SUMPRODUCT(
   INDEX(T:T, ROW()-COUNTIF($F$6:INDEX($F:$F, ROW()-1), $F374)) : INDEX(T:T, ROW()-1),
   INDEX(W:W, ROW()-COUNTIF($F$6:INDEX($F:$F, ROW()-1), $F374)) : INDEX(W:W, ROW()-1)
   )
   /SUM(INDEX(W:W, ROW()-COUNTIF($F$6:INDEX($F:$F, ROW()-1), $F374)) : INDEX(W:W, ROW()-1)),
   AVERAGEIFS(
     INDEX((unit_details[Asking Rent],unit_details[Asking PSF]),0,1,IF($U$3="Chunk Rent",1,2)),
     unit_details[Leased Date],"&gt;="&amp;($AM$2-T$5),
     unit_details[Leased Date],"&lt;"&amp;$AM$2,
     unit_details[Beds],$L375,
     unit_details[Baths],$M375,
     unit_details[Partial Baths],IF(ISNUMBER($N375),$N375,""),
     unit_details[Sqft],$P375,
     unit_details[Property Name],$F375)
 ),"")</f>
        <v/>
      </c>
      <c r="U375" s="552" t="str">
        <f>IFERROR(
 IF($F375="Total",
   SUMPRODUCT(
   INDEX(U:U, ROW()-COUNTIF($F$6:INDEX($F:$F, ROW()-1), $F374)) : INDEX(U:U, ROW()-1),
   INDEX(W:W, ROW()-COUNTIF($F$6:INDEX($F:$F, ROW()-1), $F374)) : INDEX(W:W, ROW()-1)
   )
   /SUM(INDEX(W:W, ROW()-COUNTIF($F$6:INDEX($F:$F, ROW()-1), $F374)) : INDEX(W:W, ROW()-1)),
   AVERAGEIFS(
     INDEX((unit_details[Effective Rent],unit_details[Effective PSF]),0,1,IF($U$3="Chunk Rent",1,2)),
     unit_details[Leased Date],"&gt;="&amp;($AM$2-T$5),
     unit_details[Leased Date],"&lt;"&amp;$AM$2,
     unit_details[Beds],$L375,
     unit_details[Baths],$M375,
     unit_details[Partial Baths],IF(ISNUMBER($N375),$N375,""),
     unit_details[Sqft],$P375,
     unit_details[Property Name],$F375)
 ),"")</f>
        <v/>
      </c>
      <c r="V375" s="27" t="str">
        <f t="shared" si="65"/>
        <v/>
      </c>
      <c r="W375" s="526">
        <f>IFERROR(
  IF($F375="Total",
    SUM(INDEX(W:W, ROW()-COUNTIF($F$6:INDEX($F:$F, ROW()-1), $F374)) : INDEX(W:W, ROW()-1)),
    COUNTIFS(
      unit_details[Leased Date], "&gt;="&amp;($AM$2-T$5),
      unit_details[Leased Date], "&lt;"&amp;$AM$2,
      unit_details[Beds], $L375,
      unit_details[Baths], $M375,
      unit_details[Partial Baths], IF(ISNUMBER($N375), $N375, ""),
      unit_details[Sqft],$P375,
      unit_details[Property Name], $F375
    )
  ),
"")</f>
        <v>0</v>
      </c>
      <c r="X375" s="531" t="str">
        <f>IFERROR(
 IF($F375="Total",
   SUMPRODUCT(
   INDEX(X:X, ROW()-COUNTIF($F$6:INDEX($F:$F, ROW()-1), $F374)) : INDEX(X:X, ROW()-1),
   INDEX(AA:AA, ROW()-COUNTIF($F$6:INDEX($F:$F, ROW()-1), $F374)) : INDEX(AA:AA, ROW()-1)
   )
   /SUM(INDEX(AA:AA, ROW()-COUNTIF($F$6:INDEX($F:$F, ROW()-1), $F374)) : INDEX(AA:AA, ROW()-1)),
   AVERAGEIFS(
     INDEX((unit_details[Asking Rent],unit_details[Asking PSF]),0,1,IF($U$3="Chunk Rent",1,2)),
     unit_details[Leased Date],"&gt;="&amp;($AM$2-X$5),
     unit_details[Leased Date],"&lt;"&amp;$AM$2,
     unit_details[Beds],$L375,
     unit_details[Baths],$M375,
     unit_details[Partial Baths],IF(ISNUMBER($N375),$N375,""),
     unit_details[Sqft],$P375,
     unit_details[Property Name],$F375)
 ),"")</f>
        <v/>
      </c>
      <c r="Y375" s="552" t="str">
        <f>IFERROR(
 IF($F375="Total",
   SUMPRODUCT(
   INDEX(Y:Y, ROW()-COUNTIF($F$6:INDEX($F:$F, ROW()-1), $F374)) : INDEX(Y:Y, ROW()-1),
   INDEX(AA:AA, ROW()-COUNTIF($F$6:INDEX($F:$F, ROW()-1), $F374)) : INDEX(AA:AA, ROW()-1)
   )
   /SUM(INDEX(AA:AA, ROW()-COUNTIF($F$6:INDEX($F:$F, ROW()-1), $F374)) : INDEX(AA:AA, ROW()-1)),
   AVERAGEIFS(
     INDEX((unit_details[Effective Rent],unit_details[Effective PSF]),0,1,IF($U$3="Chunk Rent",1,2)),
     unit_details[Leased Date],"&gt;="&amp;($AM$2-X$5),
     unit_details[Leased Date],"&lt;"&amp;$AM$2,
     unit_details[Beds],$L375,
     unit_details[Baths],$M375,
     unit_details[Partial Baths],IF(ISNUMBER($N375),$N375,""),
     unit_details[Sqft],$P375,
     unit_details[Property Name],$F375)
 ),"")</f>
        <v/>
      </c>
      <c r="Z375" s="27" t="str">
        <f t="shared" si="66"/>
        <v/>
      </c>
      <c r="AA375" s="526">
        <f>IFERROR(
  IF($F375="Total",
    SUM(INDEX(AA:AA, ROW()-COUNTIF($F$6:INDEX($F:$F, ROW()-1), $F374)) : INDEX(AA:AA, ROW()-1)),
    COUNTIFS(
      unit_details[Leased Date], "&gt;="&amp;($AM$2-X$5),
      unit_details[Leased Date], "&lt;"&amp;$AM$2,
      unit_details[Beds], $L375,
      unit_details[Baths], $M375,
      unit_details[Partial Baths], IF(ISNUMBER($N375), $N375, ""),
      unit_details[Sqft],$P375,
      unit_details[Property Name], $F375
    )
  ),
"")</f>
        <v>0</v>
      </c>
      <c r="AB375" s="290">
        <f>IF($F375="Total",
SUM(INDEX(AB:AB, ROW()-COUNTIF($F$6:INDEX($F:$F, ROW()-1), $F374)) : INDEX(AB:AB, ROW()-1)),
COUNTIFS(unit_details[Active Listing?],TRUE,
          unit_details[Property Name], $F375,
          unit_details[Beds], $L375,
          unit_details[Baths], $M375,
          unit_details[Partial Baths],IF(ISNUMBER($N375),$N375,""),
          unit_details[Sqft],$P375))</f>
        <v>0</v>
      </c>
      <c r="AC375" s="27" t="str">
        <f t="shared" si="58"/>
        <v/>
      </c>
      <c r="AD375" s="293" t="str">
        <f>IFERROR(IF(AE375="","",IF($F375="Total",
SUMPRODUCT(
   INDEX(AD:AD, ROW()-COUNTIF($F$6:INDEX($F:$F, ROW()-1), $F374)) : INDEX(AD:AD, ROW()-1),
   INDEX(AB:AB, ROW()-COUNTIF($F$6:INDEX($F:$F, ROW()-1), $F374)) : INDEX(AB:AB, ROW()-1)
   )
   /SUM(INDEX(AB:AB, ROW()-COUNTIF($F$6:INDEX($F:$F, ROW()-1), $F374)) : INDEX(AB:AB, ROW()-1)),
          _xlfn.MINIFS(unit_details[Asking Rent],
          unit_details[Active Listing?],TRUE,
          unit_details[Property Name], $F375,
          unit_details[Beds], $L375,
          unit_details[Baths], $M375,
          unit_details[Partial Baths], IF(ISNUMBER($N375),$N375,""),
          unit_details[Sqft],$P375
))),"")</f>
        <v/>
      </c>
      <c r="AE375" s="5" t="str">
        <f>IFERROR(IF($F375="Total",
          SUMPRODUCT(
   INDEX(AE:AE, ROW()-COUNTIF($F$6:INDEX($F:$F, ROW()-1), $F374)) : INDEX(AE:AE, ROW()-1),
   INDEX(AB:AB, ROW()-COUNTIF($F$6:INDEX($F:$F, ROW()-1), $F374)) : INDEX(AB:AB, ROW()-1)
   )
   /SUM(INDEX(AB:AB, ROW()-COUNTIF($F$6:INDEX($F:$F, ROW()-1), $F374)) : INDEX(AB:AB, ROW()-1)),
          AVERAGEIFS(unit_details[Asking Rent],
          unit_details[Active Listing?],TRUE,
          unit_details[Property Name], $F375,
          unit_details[Beds], $L375,
          unit_details[Baths], $M375,
          unit_details[Partial Baths], IF(ISNUMBER($N375),$N375,""),
          unit_details[Sqft],$P375
)),"")</f>
        <v/>
      </c>
      <c r="AF375" s="5" t="str">
        <f>IFERROR(IF(AE375="","",IF($F375="Total",
SUMPRODUCT(
   INDEX(AF:AF, ROW()-COUNTIF($F$6:INDEX($F:$F, ROW()-1), $F374)) : INDEX(AF:AF, ROW()-1),
   INDEX(AB:AB, ROW()-COUNTIF($F$6:INDEX($F:$F, ROW()-1), $F374)) : INDEX(AB:AB, ROW()-1)
   )
   /SUM(INDEX(AB:AB, ROW()-COUNTIF($F$6:INDEX($F:$F, ROW()-1), $F374)) : INDEX(AB:AB, ROW()-1)),
           _xlfn.MAXIFS(unit_details[Asking Rent],
          unit_details[Active Listing?],TRUE,
          unit_details[Property Name], $F375,
          unit_details[Beds], $L375,
          unit_details[Baths], $M375,
          unit_details[Partial Baths], IF(ISNUMBER($N375),$N375,""),
          unit_details[Sqft],$P375
))),"")</f>
        <v/>
      </c>
      <c r="AG375" s="6" t="str">
        <f>IFERROR(IF($F375="Total",
         SUMPRODUCT(
         INDEX(AG:AG, ROW()-COUNTIF($F$6:INDEX($F:$F, ROW()-1), $F374)) : INDEX(AG:AG, ROW()-1),
         INDEX(AB:AB, ROW()-COUNTIF($F$6:INDEX($F:$F, ROW()-1), $F374)) : INDEX(AB:AB, ROW()-1)
         )
         /SUM(INDEX(AB:AB, ROW()-COUNTIF($F$6:INDEX($F:$F, ROW()-1), $F374)) : INDEX(AB:AB, ROW()-1)),
          AVERAGEIFS(unit_details[Asking PSF],
          unit_details[Active Listing?],TRUE,
          unit_details[Property Name], $F375,
          unit_details[Beds], $L375,
          unit_details[Baths], $M375,
          unit_details[Partial Baths], IF(ISNUMBER($N375),$N375,""),
          unit_details[Sqft],$P375
)),"")</f>
        <v/>
      </c>
      <c r="AH375" s="293" t="str">
        <f>IFERROR(IF($F375="Total",
         SUMPRODUCT(
         INDEX(AH:AH, ROW()-COUNTIF($F$6:INDEX($F:$F, ROW()-1), $F374)) : INDEX(AH:AH, ROW()-1),
         INDEX(AB:AB, ROW()-COUNTIF($F$6:INDEX($F:$F, ROW()-1), $F374)) : INDEX(AB:AB, ROW()-1)
         )
         /SUM(INDEX(AB:AB, ROW()-COUNTIF($F$6:INDEX($F:$F, ROW()-1), $F374)) : INDEX(AB:AB, ROW()-1)),
          AVERAGEIFS(unit_details[Effective Rent],
          unit_details[Active Listing?],TRUE,
          unit_details[Property Name], $F375,
          unit_details[Beds], $L375,
          unit_details[Baths], $M375,
          unit_details[Partial Baths], IF(ISNUMBER($N375),$N375,""),
          unit_details[Sqft],$P375
)),"")</f>
        <v/>
      </c>
      <c r="AI375" s="6" t="str">
        <f>IFERROR(IF($F375="Total",
         SUMPRODUCT(
         INDEX(AI:AI, ROW()-COUNTIF($F$6:INDEX($F:$F, ROW()-1), $F374)) : INDEX(AI:AI, ROW()-1),
         INDEX(AB:AB, ROW()-COUNTIF($F$6:INDEX($F:$F, ROW()-1), $F374)) : INDEX(AB:AB, ROW()-1)
         )
         /SUM(INDEX(AB:AB, ROW()-COUNTIF($F$6:INDEX($F:$F, ROW()-1), $F374)) : INDEX(AB:AB, ROW()-1)),
           AVERAGEIFS(unit_details[Effective PSF],
          unit_details[Active Listing?],TRUE,
          unit_details[Property Name], $F375,
          unit_details[Beds], $L375,
          unit_details[Baths], $M375,
          unit_details[Partial Baths], IF(ISNUMBER($N375),$N375,""),
          unit_details[Sqft],$P375
)),"")</f>
        <v/>
      </c>
      <c r="AJ375" s="824" t="str">
        <f t="shared" si="59"/>
        <v/>
      </c>
      <c r="AK375" s="531" t="str">
        <f t="shared" si="60"/>
        <v/>
      </c>
      <c r="AL375" s="714" t="str">
        <f t="shared" si="61"/>
        <v/>
      </c>
      <c r="AM375" s="531" t="str">
        <f t="shared" si="62"/>
        <v/>
      </c>
      <c r="AN375" s="716" t="str">
        <f t="shared" si="63"/>
        <v/>
      </c>
    </row>
    <row r="376" spans="6:40" x14ac:dyDescent="0.2">
      <c r="F376" s="1" t="str">
        <f t="shared" si="56"/>
        <v/>
      </c>
      <c r="G376" s="713" t="str">
        <f t="shared" si="64"/>
        <v/>
      </c>
      <c r="H376" s="17" t="str">
        <f>IFERROR(VLOOKUP($G376,Table1[[Property]:[Exposure %]],4,0),"")</f>
        <v/>
      </c>
      <c r="I376" s="3" t="str">
        <f>IFERROR(VLOOKUP($G376,Table1[[Property]:[Exposure %]],6,0),"")</f>
        <v/>
      </c>
      <c r="J376" s="3" t="str">
        <f>IFERROR(VLOOKUP($G376,Table1[[Property]:[Exposure %]],7,0),"")</f>
        <v/>
      </c>
      <c r="R376" s="4" t="str">
        <f>IFERROR(VLOOKUP(IF(F376="Total",F375,F376),Table1[[Property]:['# Units]],7,0)*S376,"")</f>
        <v/>
      </c>
      <c r="S376" s="27" t="str">
        <f t="shared" si="57"/>
        <v/>
      </c>
      <c r="T376" s="531" t="str">
        <f>IFERROR(
 IF($F376="Total",
   SUMPRODUCT(
   INDEX(T:T, ROW()-COUNTIF($F$6:INDEX($F:$F, ROW()-1), $F375)) : INDEX(T:T, ROW()-1),
   INDEX(W:W, ROW()-COUNTIF($F$6:INDEX($F:$F, ROW()-1), $F375)) : INDEX(W:W, ROW()-1)
   )
   /SUM(INDEX(W:W, ROW()-COUNTIF($F$6:INDEX($F:$F, ROW()-1), $F375)) : INDEX(W:W, ROW()-1)),
   AVERAGEIFS(
     INDEX((unit_details[Asking Rent],unit_details[Asking PSF]),0,1,IF($U$3="Chunk Rent",1,2)),
     unit_details[Leased Date],"&gt;="&amp;($AM$2-T$5),
     unit_details[Leased Date],"&lt;"&amp;$AM$2,
     unit_details[Beds],$L376,
     unit_details[Baths],$M376,
     unit_details[Partial Baths],IF(ISNUMBER($N376),$N376,""),
     unit_details[Sqft],$P376,
     unit_details[Property Name],$F376)
 ),"")</f>
        <v/>
      </c>
      <c r="U376" s="552" t="str">
        <f>IFERROR(
 IF($F376="Total",
   SUMPRODUCT(
   INDEX(U:U, ROW()-COUNTIF($F$6:INDEX($F:$F, ROW()-1), $F375)) : INDEX(U:U, ROW()-1),
   INDEX(W:W, ROW()-COUNTIF($F$6:INDEX($F:$F, ROW()-1), $F375)) : INDEX(W:W, ROW()-1)
   )
   /SUM(INDEX(W:W, ROW()-COUNTIF($F$6:INDEX($F:$F, ROW()-1), $F375)) : INDEX(W:W, ROW()-1)),
   AVERAGEIFS(
     INDEX((unit_details[Effective Rent],unit_details[Effective PSF]),0,1,IF($U$3="Chunk Rent",1,2)),
     unit_details[Leased Date],"&gt;="&amp;($AM$2-T$5),
     unit_details[Leased Date],"&lt;"&amp;$AM$2,
     unit_details[Beds],$L376,
     unit_details[Baths],$M376,
     unit_details[Partial Baths],IF(ISNUMBER($N376),$N376,""),
     unit_details[Sqft],$P376,
     unit_details[Property Name],$F376)
 ),"")</f>
        <v/>
      </c>
      <c r="V376" s="27" t="str">
        <f t="shared" si="65"/>
        <v/>
      </c>
      <c r="W376" s="526">
        <f>IFERROR(
  IF($F376="Total",
    SUM(INDEX(W:W, ROW()-COUNTIF($F$6:INDEX($F:$F, ROW()-1), $F375)) : INDEX(W:W, ROW()-1)),
    COUNTIFS(
      unit_details[Leased Date], "&gt;="&amp;($AM$2-T$5),
      unit_details[Leased Date], "&lt;"&amp;$AM$2,
      unit_details[Beds], $L376,
      unit_details[Baths], $M376,
      unit_details[Partial Baths], IF(ISNUMBER($N376), $N376, ""),
      unit_details[Sqft],$P376,
      unit_details[Property Name], $F376
    )
  ),
"")</f>
        <v>0</v>
      </c>
      <c r="X376" s="531" t="str">
        <f>IFERROR(
 IF($F376="Total",
   SUMPRODUCT(
   INDEX(X:X, ROW()-COUNTIF($F$6:INDEX($F:$F, ROW()-1), $F375)) : INDEX(X:X, ROW()-1),
   INDEX(AA:AA, ROW()-COUNTIF($F$6:INDEX($F:$F, ROW()-1), $F375)) : INDEX(AA:AA, ROW()-1)
   )
   /SUM(INDEX(AA:AA, ROW()-COUNTIF($F$6:INDEX($F:$F, ROW()-1), $F375)) : INDEX(AA:AA, ROW()-1)),
   AVERAGEIFS(
     INDEX((unit_details[Asking Rent],unit_details[Asking PSF]),0,1,IF($U$3="Chunk Rent",1,2)),
     unit_details[Leased Date],"&gt;="&amp;($AM$2-X$5),
     unit_details[Leased Date],"&lt;"&amp;$AM$2,
     unit_details[Beds],$L376,
     unit_details[Baths],$M376,
     unit_details[Partial Baths],IF(ISNUMBER($N376),$N376,""),
     unit_details[Sqft],$P376,
     unit_details[Property Name],$F376)
 ),"")</f>
        <v/>
      </c>
      <c r="Y376" s="552" t="str">
        <f>IFERROR(
 IF($F376="Total",
   SUMPRODUCT(
   INDEX(Y:Y, ROW()-COUNTIF($F$6:INDEX($F:$F, ROW()-1), $F375)) : INDEX(Y:Y, ROW()-1),
   INDEX(AA:AA, ROW()-COUNTIF($F$6:INDEX($F:$F, ROW()-1), $F375)) : INDEX(AA:AA, ROW()-1)
   )
   /SUM(INDEX(AA:AA, ROW()-COUNTIF($F$6:INDEX($F:$F, ROW()-1), $F375)) : INDEX(AA:AA, ROW()-1)),
   AVERAGEIFS(
     INDEX((unit_details[Effective Rent],unit_details[Effective PSF]),0,1,IF($U$3="Chunk Rent",1,2)),
     unit_details[Leased Date],"&gt;="&amp;($AM$2-X$5),
     unit_details[Leased Date],"&lt;"&amp;$AM$2,
     unit_details[Beds],$L376,
     unit_details[Baths],$M376,
     unit_details[Partial Baths],IF(ISNUMBER($N376),$N376,""),
     unit_details[Sqft],$P376,
     unit_details[Property Name],$F376)
 ),"")</f>
        <v/>
      </c>
      <c r="Z376" s="27" t="str">
        <f t="shared" si="66"/>
        <v/>
      </c>
      <c r="AA376" s="526">
        <f>IFERROR(
  IF($F376="Total",
    SUM(INDEX(AA:AA, ROW()-COUNTIF($F$6:INDEX($F:$F, ROW()-1), $F375)) : INDEX(AA:AA, ROW()-1)),
    COUNTIFS(
      unit_details[Leased Date], "&gt;="&amp;($AM$2-X$5),
      unit_details[Leased Date], "&lt;"&amp;$AM$2,
      unit_details[Beds], $L376,
      unit_details[Baths], $M376,
      unit_details[Partial Baths], IF(ISNUMBER($N376), $N376, ""),
      unit_details[Sqft],$P376,
      unit_details[Property Name], $F376
    )
  ),
"")</f>
        <v>0</v>
      </c>
      <c r="AB376" s="290">
        <f>IF($F376="Total",
SUM(INDEX(AB:AB, ROW()-COUNTIF($F$6:INDEX($F:$F, ROW()-1), $F375)) : INDEX(AB:AB, ROW()-1)),
COUNTIFS(unit_details[Active Listing?],TRUE,
          unit_details[Property Name], $F376,
          unit_details[Beds], $L376,
          unit_details[Baths], $M376,
          unit_details[Partial Baths],IF(ISNUMBER($N376),$N376,""),
          unit_details[Sqft],$P376))</f>
        <v>0</v>
      </c>
      <c r="AC376" s="27" t="str">
        <f t="shared" si="58"/>
        <v/>
      </c>
      <c r="AD376" s="293" t="str">
        <f>IFERROR(IF(AE376="","",IF($F376="Total",
SUMPRODUCT(
   INDEX(AD:AD, ROW()-COUNTIF($F$6:INDEX($F:$F, ROW()-1), $F375)) : INDEX(AD:AD, ROW()-1),
   INDEX(AB:AB, ROW()-COUNTIF($F$6:INDEX($F:$F, ROW()-1), $F375)) : INDEX(AB:AB, ROW()-1)
   )
   /SUM(INDEX(AB:AB, ROW()-COUNTIF($F$6:INDEX($F:$F, ROW()-1), $F375)) : INDEX(AB:AB, ROW()-1)),
          _xlfn.MINIFS(unit_details[Asking Rent],
          unit_details[Active Listing?],TRUE,
          unit_details[Property Name], $F376,
          unit_details[Beds], $L376,
          unit_details[Baths], $M376,
          unit_details[Partial Baths], IF(ISNUMBER($N376),$N376,""),
          unit_details[Sqft],$P376
))),"")</f>
        <v/>
      </c>
      <c r="AE376" s="5" t="str">
        <f>IFERROR(IF($F376="Total",
          SUMPRODUCT(
   INDEX(AE:AE, ROW()-COUNTIF($F$6:INDEX($F:$F, ROW()-1), $F375)) : INDEX(AE:AE, ROW()-1),
   INDEX(AB:AB, ROW()-COUNTIF($F$6:INDEX($F:$F, ROW()-1), $F375)) : INDEX(AB:AB, ROW()-1)
   )
   /SUM(INDEX(AB:AB, ROW()-COUNTIF($F$6:INDEX($F:$F, ROW()-1), $F375)) : INDEX(AB:AB, ROW()-1)),
          AVERAGEIFS(unit_details[Asking Rent],
          unit_details[Active Listing?],TRUE,
          unit_details[Property Name], $F376,
          unit_details[Beds], $L376,
          unit_details[Baths], $M376,
          unit_details[Partial Baths], IF(ISNUMBER($N376),$N376,""),
          unit_details[Sqft],$P376
)),"")</f>
        <v/>
      </c>
      <c r="AF376" s="5" t="str">
        <f>IFERROR(IF(AE376="","",IF($F376="Total",
SUMPRODUCT(
   INDEX(AF:AF, ROW()-COUNTIF($F$6:INDEX($F:$F, ROW()-1), $F375)) : INDEX(AF:AF, ROW()-1),
   INDEX(AB:AB, ROW()-COUNTIF($F$6:INDEX($F:$F, ROW()-1), $F375)) : INDEX(AB:AB, ROW()-1)
   )
   /SUM(INDEX(AB:AB, ROW()-COUNTIF($F$6:INDEX($F:$F, ROW()-1), $F375)) : INDEX(AB:AB, ROW()-1)),
           _xlfn.MAXIFS(unit_details[Asking Rent],
          unit_details[Active Listing?],TRUE,
          unit_details[Property Name], $F376,
          unit_details[Beds], $L376,
          unit_details[Baths], $M376,
          unit_details[Partial Baths], IF(ISNUMBER($N376),$N376,""),
          unit_details[Sqft],$P376
))),"")</f>
        <v/>
      </c>
      <c r="AG376" s="6" t="str">
        <f>IFERROR(IF($F376="Total",
         SUMPRODUCT(
         INDEX(AG:AG, ROW()-COUNTIF($F$6:INDEX($F:$F, ROW()-1), $F375)) : INDEX(AG:AG, ROW()-1),
         INDEX(AB:AB, ROW()-COUNTIF($F$6:INDEX($F:$F, ROW()-1), $F375)) : INDEX(AB:AB, ROW()-1)
         )
         /SUM(INDEX(AB:AB, ROW()-COUNTIF($F$6:INDEX($F:$F, ROW()-1), $F375)) : INDEX(AB:AB, ROW()-1)),
          AVERAGEIFS(unit_details[Asking PSF],
          unit_details[Active Listing?],TRUE,
          unit_details[Property Name], $F376,
          unit_details[Beds], $L376,
          unit_details[Baths], $M376,
          unit_details[Partial Baths], IF(ISNUMBER($N376),$N376,""),
          unit_details[Sqft],$P376
)),"")</f>
        <v/>
      </c>
      <c r="AH376" s="293" t="str">
        <f>IFERROR(IF($F376="Total",
         SUMPRODUCT(
         INDEX(AH:AH, ROW()-COUNTIF($F$6:INDEX($F:$F, ROW()-1), $F375)) : INDEX(AH:AH, ROW()-1),
         INDEX(AB:AB, ROW()-COUNTIF($F$6:INDEX($F:$F, ROW()-1), $F375)) : INDEX(AB:AB, ROW()-1)
         )
         /SUM(INDEX(AB:AB, ROW()-COUNTIF($F$6:INDEX($F:$F, ROW()-1), $F375)) : INDEX(AB:AB, ROW()-1)),
          AVERAGEIFS(unit_details[Effective Rent],
          unit_details[Active Listing?],TRUE,
          unit_details[Property Name], $F376,
          unit_details[Beds], $L376,
          unit_details[Baths], $M376,
          unit_details[Partial Baths], IF(ISNUMBER($N376),$N376,""),
          unit_details[Sqft],$P376
)),"")</f>
        <v/>
      </c>
      <c r="AI376" s="6" t="str">
        <f>IFERROR(IF($F376="Total",
         SUMPRODUCT(
         INDEX(AI:AI, ROW()-COUNTIF($F$6:INDEX($F:$F, ROW()-1), $F375)) : INDEX(AI:AI, ROW()-1),
         INDEX(AB:AB, ROW()-COUNTIF($F$6:INDEX($F:$F, ROW()-1), $F375)) : INDEX(AB:AB, ROW()-1)
         )
         /SUM(INDEX(AB:AB, ROW()-COUNTIF($F$6:INDEX($F:$F, ROW()-1), $F375)) : INDEX(AB:AB, ROW()-1)),
           AVERAGEIFS(unit_details[Effective PSF],
          unit_details[Active Listing?],TRUE,
          unit_details[Property Name], $F376,
          unit_details[Beds], $L376,
          unit_details[Baths], $M376,
          unit_details[Partial Baths], IF(ISNUMBER($N376),$N376,""),
          unit_details[Sqft],$P376
)),"")</f>
        <v/>
      </c>
      <c r="AJ376" s="824" t="str">
        <f t="shared" si="59"/>
        <v/>
      </c>
      <c r="AK376" s="531" t="str">
        <f t="shared" si="60"/>
        <v/>
      </c>
      <c r="AL376" s="714" t="str">
        <f t="shared" si="61"/>
        <v/>
      </c>
      <c r="AM376" s="531" t="str">
        <f t="shared" si="62"/>
        <v/>
      </c>
      <c r="AN376" s="716" t="str">
        <f t="shared" si="63"/>
        <v/>
      </c>
    </row>
    <row r="377" spans="6:40" x14ac:dyDescent="0.2">
      <c r="F377" s="1" t="str">
        <f t="shared" si="56"/>
        <v/>
      </c>
      <c r="G377" s="713" t="str">
        <f t="shared" si="64"/>
        <v/>
      </c>
      <c r="H377" s="17" t="str">
        <f>IFERROR(VLOOKUP($G377,Table1[[Property]:[Exposure %]],4,0),"")</f>
        <v/>
      </c>
      <c r="I377" s="3" t="str">
        <f>IFERROR(VLOOKUP($G377,Table1[[Property]:[Exposure %]],6,0),"")</f>
        <v/>
      </c>
      <c r="J377" s="3" t="str">
        <f>IFERROR(VLOOKUP($G377,Table1[[Property]:[Exposure %]],7,0),"")</f>
        <v/>
      </c>
      <c r="R377" s="4" t="str">
        <f>IFERROR(VLOOKUP(IF(F377="Total",F376,F377),Table1[[Property]:['# Units]],7,0)*S377,"")</f>
        <v/>
      </c>
      <c r="S377" s="27" t="str">
        <f t="shared" si="57"/>
        <v/>
      </c>
      <c r="T377" s="531" t="str">
        <f>IFERROR(
 IF($F377="Total",
   SUMPRODUCT(
   INDEX(T:T, ROW()-COUNTIF($F$6:INDEX($F:$F, ROW()-1), $F376)) : INDEX(T:T, ROW()-1),
   INDEX(W:W, ROW()-COUNTIF($F$6:INDEX($F:$F, ROW()-1), $F376)) : INDEX(W:W, ROW()-1)
   )
   /SUM(INDEX(W:W, ROW()-COUNTIF($F$6:INDEX($F:$F, ROW()-1), $F376)) : INDEX(W:W, ROW()-1)),
   AVERAGEIFS(
     INDEX((unit_details[Asking Rent],unit_details[Asking PSF]),0,1,IF($U$3="Chunk Rent",1,2)),
     unit_details[Leased Date],"&gt;="&amp;($AM$2-T$5),
     unit_details[Leased Date],"&lt;"&amp;$AM$2,
     unit_details[Beds],$L377,
     unit_details[Baths],$M377,
     unit_details[Partial Baths],IF(ISNUMBER($N377),$N377,""),
     unit_details[Sqft],$P377,
     unit_details[Property Name],$F377)
 ),"")</f>
        <v/>
      </c>
      <c r="U377" s="552" t="str">
        <f>IFERROR(
 IF($F377="Total",
   SUMPRODUCT(
   INDEX(U:U, ROW()-COUNTIF($F$6:INDEX($F:$F, ROW()-1), $F376)) : INDEX(U:U, ROW()-1),
   INDEX(W:W, ROW()-COUNTIF($F$6:INDEX($F:$F, ROW()-1), $F376)) : INDEX(W:W, ROW()-1)
   )
   /SUM(INDEX(W:W, ROW()-COUNTIF($F$6:INDEX($F:$F, ROW()-1), $F376)) : INDEX(W:W, ROW()-1)),
   AVERAGEIFS(
     INDEX((unit_details[Effective Rent],unit_details[Effective PSF]),0,1,IF($U$3="Chunk Rent",1,2)),
     unit_details[Leased Date],"&gt;="&amp;($AM$2-T$5),
     unit_details[Leased Date],"&lt;"&amp;$AM$2,
     unit_details[Beds],$L377,
     unit_details[Baths],$M377,
     unit_details[Partial Baths],IF(ISNUMBER($N377),$N377,""),
     unit_details[Sqft],$P377,
     unit_details[Property Name],$F377)
 ),"")</f>
        <v/>
      </c>
      <c r="V377" s="27" t="str">
        <f t="shared" si="65"/>
        <v/>
      </c>
      <c r="W377" s="526">
        <f>IFERROR(
  IF($F377="Total",
    SUM(INDEX(W:W, ROW()-COUNTIF($F$6:INDEX($F:$F, ROW()-1), $F376)) : INDEX(W:W, ROW()-1)),
    COUNTIFS(
      unit_details[Leased Date], "&gt;="&amp;($AM$2-T$5),
      unit_details[Leased Date], "&lt;"&amp;$AM$2,
      unit_details[Beds], $L377,
      unit_details[Baths], $M377,
      unit_details[Partial Baths], IF(ISNUMBER($N377), $N377, ""),
      unit_details[Sqft],$P377,
      unit_details[Property Name], $F377
    )
  ),
"")</f>
        <v>0</v>
      </c>
      <c r="X377" s="531" t="str">
        <f>IFERROR(
 IF($F377="Total",
   SUMPRODUCT(
   INDEX(X:X, ROW()-COUNTIF($F$6:INDEX($F:$F, ROW()-1), $F376)) : INDEX(X:X, ROW()-1),
   INDEX(AA:AA, ROW()-COUNTIF($F$6:INDEX($F:$F, ROW()-1), $F376)) : INDEX(AA:AA, ROW()-1)
   )
   /SUM(INDEX(AA:AA, ROW()-COUNTIF($F$6:INDEX($F:$F, ROW()-1), $F376)) : INDEX(AA:AA, ROW()-1)),
   AVERAGEIFS(
     INDEX((unit_details[Asking Rent],unit_details[Asking PSF]),0,1,IF($U$3="Chunk Rent",1,2)),
     unit_details[Leased Date],"&gt;="&amp;($AM$2-X$5),
     unit_details[Leased Date],"&lt;"&amp;$AM$2,
     unit_details[Beds],$L377,
     unit_details[Baths],$M377,
     unit_details[Partial Baths],IF(ISNUMBER($N377),$N377,""),
     unit_details[Sqft],$P377,
     unit_details[Property Name],$F377)
 ),"")</f>
        <v/>
      </c>
      <c r="Y377" s="552" t="str">
        <f>IFERROR(
 IF($F377="Total",
   SUMPRODUCT(
   INDEX(Y:Y, ROW()-COUNTIF($F$6:INDEX($F:$F, ROW()-1), $F376)) : INDEX(Y:Y, ROW()-1),
   INDEX(AA:AA, ROW()-COUNTIF($F$6:INDEX($F:$F, ROW()-1), $F376)) : INDEX(AA:AA, ROW()-1)
   )
   /SUM(INDEX(AA:AA, ROW()-COUNTIF($F$6:INDEX($F:$F, ROW()-1), $F376)) : INDEX(AA:AA, ROW()-1)),
   AVERAGEIFS(
     INDEX((unit_details[Effective Rent],unit_details[Effective PSF]),0,1,IF($U$3="Chunk Rent",1,2)),
     unit_details[Leased Date],"&gt;="&amp;($AM$2-X$5),
     unit_details[Leased Date],"&lt;"&amp;$AM$2,
     unit_details[Beds],$L377,
     unit_details[Baths],$M377,
     unit_details[Partial Baths],IF(ISNUMBER($N377),$N377,""),
     unit_details[Sqft],$P377,
     unit_details[Property Name],$F377)
 ),"")</f>
        <v/>
      </c>
      <c r="Z377" s="27" t="str">
        <f t="shared" si="66"/>
        <v/>
      </c>
      <c r="AA377" s="526">
        <f>IFERROR(
  IF($F377="Total",
    SUM(INDEX(AA:AA, ROW()-COUNTIF($F$6:INDEX($F:$F, ROW()-1), $F376)) : INDEX(AA:AA, ROW()-1)),
    COUNTIFS(
      unit_details[Leased Date], "&gt;="&amp;($AM$2-X$5),
      unit_details[Leased Date], "&lt;"&amp;$AM$2,
      unit_details[Beds], $L377,
      unit_details[Baths], $M377,
      unit_details[Partial Baths], IF(ISNUMBER($N377), $N377, ""),
      unit_details[Sqft],$P377,
      unit_details[Property Name], $F377
    )
  ),
"")</f>
        <v>0</v>
      </c>
      <c r="AB377" s="290">
        <f>IF($F377="Total",
SUM(INDEX(AB:AB, ROW()-COUNTIF($F$6:INDEX($F:$F, ROW()-1), $F376)) : INDEX(AB:AB, ROW()-1)),
COUNTIFS(unit_details[Active Listing?],TRUE,
          unit_details[Property Name], $F377,
          unit_details[Beds], $L377,
          unit_details[Baths], $M377,
          unit_details[Partial Baths],IF(ISNUMBER($N377),$N377,""),
          unit_details[Sqft],$P377))</f>
        <v>0</v>
      </c>
      <c r="AC377" s="27" t="str">
        <f t="shared" si="58"/>
        <v/>
      </c>
      <c r="AD377" s="293" t="str">
        <f>IFERROR(IF(AE377="","",IF($F377="Total",
SUMPRODUCT(
   INDEX(AD:AD, ROW()-COUNTIF($F$6:INDEX($F:$F, ROW()-1), $F376)) : INDEX(AD:AD, ROW()-1),
   INDEX(AB:AB, ROW()-COUNTIF($F$6:INDEX($F:$F, ROW()-1), $F376)) : INDEX(AB:AB, ROW()-1)
   )
   /SUM(INDEX(AB:AB, ROW()-COUNTIF($F$6:INDEX($F:$F, ROW()-1), $F376)) : INDEX(AB:AB, ROW()-1)),
          _xlfn.MINIFS(unit_details[Asking Rent],
          unit_details[Active Listing?],TRUE,
          unit_details[Property Name], $F377,
          unit_details[Beds], $L377,
          unit_details[Baths], $M377,
          unit_details[Partial Baths], IF(ISNUMBER($N377),$N377,""),
          unit_details[Sqft],$P377
))),"")</f>
        <v/>
      </c>
      <c r="AE377" s="5" t="str">
        <f>IFERROR(IF($F377="Total",
          SUMPRODUCT(
   INDEX(AE:AE, ROW()-COUNTIF($F$6:INDEX($F:$F, ROW()-1), $F376)) : INDEX(AE:AE, ROW()-1),
   INDEX(AB:AB, ROW()-COUNTIF($F$6:INDEX($F:$F, ROW()-1), $F376)) : INDEX(AB:AB, ROW()-1)
   )
   /SUM(INDEX(AB:AB, ROW()-COUNTIF($F$6:INDEX($F:$F, ROW()-1), $F376)) : INDEX(AB:AB, ROW()-1)),
          AVERAGEIFS(unit_details[Asking Rent],
          unit_details[Active Listing?],TRUE,
          unit_details[Property Name], $F377,
          unit_details[Beds], $L377,
          unit_details[Baths], $M377,
          unit_details[Partial Baths], IF(ISNUMBER($N377),$N377,""),
          unit_details[Sqft],$P377
)),"")</f>
        <v/>
      </c>
      <c r="AF377" s="5" t="str">
        <f>IFERROR(IF(AE377="","",IF($F377="Total",
SUMPRODUCT(
   INDEX(AF:AF, ROW()-COUNTIF($F$6:INDEX($F:$F, ROW()-1), $F376)) : INDEX(AF:AF, ROW()-1),
   INDEX(AB:AB, ROW()-COUNTIF($F$6:INDEX($F:$F, ROW()-1), $F376)) : INDEX(AB:AB, ROW()-1)
   )
   /SUM(INDEX(AB:AB, ROW()-COUNTIF($F$6:INDEX($F:$F, ROW()-1), $F376)) : INDEX(AB:AB, ROW()-1)),
           _xlfn.MAXIFS(unit_details[Asking Rent],
          unit_details[Active Listing?],TRUE,
          unit_details[Property Name], $F377,
          unit_details[Beds], $L377,
          unit_details[Baths], $M377,
          unit_details[Partial Baths], IF(ISNUMBER($N377),$N377,""),
          unit_details[Sqft],$P377
))),"")</f>
        <v/>
      </c>
      <c r="AG377" s="6" t="str">
        <f>IFERROR(IF($F377="Total",
         SUMPRODUCT(
         INDEX(AG:AG, ROW()-COUNTIF($F$6:INDEX($F:$F, ROW()-1), $F376)) : INDEX(AG:AG, ROW()-1),
         INDEX(AB:AB, ROW()-COUNTIF($F$6:INDEX($F:$F, ROW()-1), $F376)) : INDEX(AB:AB, ROW()-1)
         )
         /SUM(INDEX(AB:AB, ROW()-COUNTIF($F$6:INDEX($F:$F, ROW()-1), $F376)) : INDEX(AB:AB, ROW()-1)),
          AVERAGEIFS(unit_details[Asking PSF],
          unit_details[Active Listing?],TRUE,
          unit_details[Property Name], $F377,
          unit_details[Beds], $L377,
          unit_details[Baths], $M377,
          unit_details[Partial Baths], IF(ISNUMBER($N377),$N377,""),
          unit_details[Sqft],$P377
)),"")</f>
        <v/>
      </c>
      <c r="AH377" s="293" t="str">
        <f>IFERROR(IF($F377="Total",
         SUMPRODUCT(
         INDEX(AH:AH, ROW()-COUNTIF($F$6:INDEX($F:$F, ROW()-1), $F376)) : INDEX(AH:AH, ROW()-1),
         INDEX(AB:AB, ROW()-COUNTIF($F$6:INDEX($F:$F, ROW()-1), $F376)) : INDEX(AB:AB, ROW()-1)
         )
         /SUM(INDEX(AB:AB, ROW()-COUNTIF($F$6:INDEX($F:$F, ROW()-1), $F376)) : INDEX(AB:AB, ROW()-1)),
          AVERAGEIFS(unit_details[Effective Rent],
          unit_details[Active Listing?],TRUE,
          unit_details[Property Name], $F377,
          unit_details[Beds], $L377,
          unit_details[Baths], $M377,
          unit_details[Partial Baths], IF(ISNUMBER($N377),$N377,""),
          unit_details[Sqft],$P377
)),"")</f>
        <v/>
      </c>
      <c r="AI377" s="6" t="str">
        <f>IFERROR(IF($F377="Total",
         SUMPRODUCT(
         INDEX(AI:AI, ROW()-COUNTIF($F$6:INDEX($F:$F, ROW()-1), $F376)) : INDEX(AI:AI, ROW()-1),
         INDEX(AB:AB, ROW()-COUNTIF($F$6:INDEX($F:$F, ROW()-1), $F376)) : INDEX(AB:AB, ROW()-1)
         )
         /SUM(INDEX(AB:AB, ROW()-COUNTIF($F$6:INDEX($F:$F, ROW()-1), $F376)) : INDEX(AB:AB, ROW()-1)),
           AVERAGEIFS(unit_details[Effective PSF],
          unit_details[Active Listing?],TRUE,
          unit_details[Property Name], $F377,
          unit_details[Beds], $L377,
          unit_details[Baths], $M377,
          unit_details[Partial Baths], IF(ISNUMBER($N377),$N377,""),
          unit_details[Sqft],$P377
)),"")</f>
        <v/>
      </c>
      <c r="AJ377" s="824" t="str">
        <f t="shared" si="59"/>
        <v/>
      </c>
      <c r="AK377" s="531" t="str">
        <f t="shared" si="60"/>
        <v/>
      </c>
      <c r="AL377" s="714" t="str">
        <f t="shared" si="61"/>
        <v/>
      </c>
      <c r="AM377" s="531" t="str">
        <f t="shared" si="62"/>
        <v/>
      </c>
      <c r="AN377" s="716" t="str">
        <f t="shared" si="63"/>
        <v/>
      </c>
    </row>
    <row r="378" spans="6:40" x14ac:dyDescent="0.2">
      <c r="F378" s="1" t="str">
        <f t="shared" si="56"/>
        <v/>
      </c>
      <c r="G378" s="713" t="str">
        <f t="shared" si="64"/>
        <v/>
      </c>
      <c r="H378" s="17" t="str">
        <f>IFERROR(VLOOKUP($G378,Table1[[Property]:[Exposure %]],4,0),"")</f>
        <v/>
      </c>
      <c r="I378" s="3" t="str">
        <f>IFERROR(VLOOKUP($G378,Table1[[Property]:[Exposure %]],6,0),"")</f>
        <v/>
      </c>
      <c r="J378" s="3" t="str">
        <f>IFERROR(VLOOKUP($G378,Table1[[Property]:[Exposure %]],7,0),"")</f>
        <v/>
      </c>
      <c r="R378" s="4" t="str">
        <f>IFERROR(VLOOKUP(IF(F378="Total",F377,F378),Table1[[Property]:['# Units]],7,0)*S378,"")</f>
        <v/>
      </c>
      <c r="S378" s="27" t="str">
        <f t="shared" si="57"/>
        <v/>
      </c>
      <c r="T378" s="531" t="str">
        <f>IFERROR(
 IF($F378="Total",
   SUMPRODUCT(
   INDEX(T:T, ROW()-COUNTIF($F$6:INDEX($F:$F, ROW()-1), $F377)) : INDEX(T:T, ROW()-1),
   INDEX(W:W, ROW()-COUNTIF($F$6:INDEX($F:$F, ROW()-1), $F377)) : INDEX(W:W, ROW()-1)
   )
   /SUM(INDEX(W:W, ROW()-COUNTIF($F$6:INDEX($F:$F, ROW()-1), $F377)) : INDEX(W:W, ROW()-1)),
   AVERAGEIFS(
     INDEX((unit_details[Asking Rent],unit_details[Asking PSF]),0,1,IF($U$3="Chunk Rent",1,2)),
     unit_details[Leased Date],"&gt;="&amp;($AM$2-T$5),
     unit_details[Leased Date],"&lt;"&amp;$AM$2,
     unit_details[Beds],$L378,
     unit_details[Baths],$M378,
     unit_details[Partial Baths],IF(ISNUMBER($N378),$N378,""),
     unit_details[Sqft],$P378,
     unit_details[Property Name],$F378)
 ),"")</f>
        <v/>
      </c>
      <c r="U378" s="552" t="str">
        <f>IFERROR(
 IF($F378="Total",
   SUMPRODUCT(
   INDEX(U:U, ROW()-COUNTIF($F$6:INDEX($F:$F, ROW()-1), $F377)) : INDEX(U:U, ROW()-1),
   INDEX(W:W, ROW()-COUNTIF($F$6:INDEX($F:$F, ROW()-1), $F377)) : INDEX(W:W, ROW()-1)
   )
   /SUM(INDEX(W:W, ROW()-COUNTIF($F$6:INDEX($F:$F, ROW()-1), $F377)) : INDEX(W:W, ROW()-1)),
   AVERAGEIFS(
     INDEX((unit_details[Effective Rent],unit_details[Effective PSF]),0,1,IF($U$3="Chunk Rent",1,2)),
     unit_details[Leased Date],"&gt;="&amp;($AM$2-T$5),
     unit_details[Leased Date],"&lt;"&amp;$AM$2,
     unit_details[Beds],$L378,
     unit_details[Baths],$M378,
     unit_details[Partial Baths],IF(ISNUMBER($N378),$N378,""),
     unit_details[Sqft],$P378,
     unit_details[Property Name],$F378)
 ),"")</f>
        <v/>
      </c>
      <c r="V378" s="27" t="str">
        <f t="shared" si="65"/>
        <v/>
      </c>
      <c r="W378" s="526">
        <f>IFERROR(
  IF($F378="Total",
    SUM(INDEX(W:W, ROW()-COUNTIF($F$6:INDEX($F:$F, ROW()-1), $F377)) : INDEX(W:W, ROW()-1)),
    COUNTIFS(
      unit_details[Leased Date], "&gt;="&amp;($AM$2-T$5),
      unit_details[Leased Date], "&lt;"&amp;$AM$2,
      unit_details[Beds], $L378,
      unit_details[Baths], $M378,
      unit_details[Partial Baths], IF(ISNUMBER($N378), $N378, ""),
      unit_details[Sqft],$P378,
      unit_details[Property Name], $F378
    )
  ),
"")</f>
        <v>0</v>
      </c>
      <c r="X378" s="531" t="str">
        <f>IFERROR(
 IF($F378="Total",
   SUMPRODUCT(
   INDEX(X:X, ROW()-COUNTIF($F$6:INDEX($F:$F, ROW()-1), $F377)) : INDEX(X:X, ROW()-1),
   INDEX(AA:AA, ROW()-COUNTIF($F$6:INDEX($F:$F, ROW()-1), $F377)) : INDEX(AA:AA, ROW()-1)
   )
   /SUM(INDEX(AA:AA, ROW()-COUNTIF($F$6:INDEX($F:$F, ROW()-1), $F377)) : INDEX(AA:AA, ROW()-1)),
   AVERAGEIFS(
     INDEX((unit_details[Asking Rent],unit_details[Asking PSF]),0,1,IF($U$3="Chunk Rent",1,2)),
     unit_details[Leased Date],"&gt;="&amp;($AM$2-X$5),
     unit_details[Leased Date],"&lt;"&amp;$AM$2,
     unit_details[Beds],$L378,
     unit_details[Baths],$M378,
     unit_details[Partial Baths],IF(ISNUMBER($N378),$N378,""),
     unit_details[Sqft],$P378,
     unit_details[Property Name],$F378)
 ),"")</f>
        <v/>
      </c>
      <c r="Y378" s="552" t="str">
        <f>IFERROR(
 IF($F378="Total",
   SUMPRODUCT(
   INDEX(Y:Y, ROW()-COUNTIF($F$6:INDEX($F:$F, ROW()-1), $F377)) : INDEX(Y:Y, ROW()-1),
   INDEX(AA:AA, ROW()-COUNTIF($F$6:INDEX($F:$F, ROW()-1), $F377)) : INDEX(AA:AA, ROW()-1)
   )
   /SUM(INDEX(AA:AA, ROW()-COUNTIF($F$6:INDEX($F:$F, ROW()-1), $F377)) : INDEX(AA:AA, ROW()-1)),
   AVERAGEIFS(
     INDEX((unit_details[Effective Rent],unit_details[Effective PSF]),0,1,IF($U$3="Chunk Rent",1,2)),
     unit_details[Leased Date],"&gt;="&amp;($AM$2-X$5),
     unit_details[Leased Date],"&lt;"&amp;$AM$2,
     unit_details[Beds],$L378,
     unit_details[Baths],$M378,
     unit_details[Partial Baths],IF(ISNUMBER($N378),$N378,""),
     unit_details[Sqft],$P378,
     unit_details[Property Name],$F378)
 ),"")</f>
        <v/>
      </c>
      <c r="Z378" s="27" t="str">
        <f t="shared" si="66"/>
        <v/>
      </c>
      <c r="AA378" s="526">
        <f>IFERROR(
  IF($F378="Total",
    SUM(INDEX(AA:AA, ROW()-COUNTIF($F$6:INDEX($F:$F, ROW()-1), $F377)) : INDEX(AA:AA, ROW()-1)),
    COUNTIFS(
      unit_details[Leased Date], "&gt;="&amp;($AM$2-X$5),
      unit_details[Leased Date], "&lt;"&amp;$AM$2,
      unit_details[Beds], $L378,
      unit_details[Baths], $M378,
      unit_details[Partial Baths], IF(ISNUMBER($N378), $N378, ""),
      unit_details[Sqft],$P378,
      unit_details[Property Name], $F378
    )
  ),
"")</f>
        <v>0</v>
      </c>
      <c r="AB378" s="290">
        <f>IF($F378="Total",
SUM(INDEX(AB:AB, ROW()-COUNTIF($F$6:INDEX($F:$F, ROW()-1), $F377)) : INDEX(AB:AB, ROW()-1)),
COUNTIFS(unit_details[Active Listing?],TRUE,
          unit_details[Property Name], $F378,
          unit_details[Beds], $L378,
          unit_details[Baths], $M378,
          unit_details[Partial Baths],IF(ISNUMBER($N378),$N378,""),
          unit_details[Sqft],$P378))</f>
        <v>0</v>
      </c>
      <c r="AC378" s="27" t="str">
        <f t="shared" si="58"/>
        <v/>
      </c>
      <c r="AD378" s="293" t="str">
        <f>IFERROR(IF(AE378="","",IF($F378="Total",
SUMPRODUCT(
   INDEX(AD:AD, ROW()-COUNTIF($F$6:INDEX($F:$F, ROW()-1), $F377)) : INDEX(AD:AD, ROW()-1),
   INDEX(AB:AB, ROW()-COUNTIF($F$6:INDEX($F:$F, ROW()-1), $F377)) : INDEX(AB:AB, ROW()-1)
   )
   /SUM(INDEX(AB:AB, ROW()-COUNTIF($F$6:INDEX($F:$F, ROW()-1), $F377)) : INDEX(AB:AB, ROW()-1)),
          _xlfn.MINIFS(unit_details[Asking Rent],
          unit_details[Active Listing?],TRUE,
          unit_details[Property Name], $F378,
          unit_details[Beds], $L378,
          unit_details[Baths], $M378,
          unit_details[Partial Baths], IF(ISNUMBER($N378),$N378,""),
          unit_details[Sqft],$P378
))),"")</f>
        <v/>
      </c>
      <c r="AE378" s="5" t="str">
        <f>IFERROR(IF($F378="Total",
          SUMPRODUCT(
   INDEX(AE:AE, ROW()-COUNTIF($F$6:INDEX($F:$F, ROW()-1), $F377)) : INDEX(AE:AE, ROW()-1),
   INDEX(AB:AB, ROW()-COUNTIF($F$6:INDEX($F:$F, ROW()-1), $F377)) : INDEX(AB:AB, ROW()-1)
   )
   /SUM(INDEX(AB:AB, ROW()-COUNTIF($F$6:INDEX($F:$F, ROW()-1), $F377)) : INDEX(AB:AB, ROW()-1)),
          AVERAGEIFS(unit_details[Asking Rent],
          unit_details[Active Listing?],TRUE,
          unit_details[Property Name], $F378,
          unit_details[Beds], $L378,
          unit_details[Baths], $M378,
          unit_details[Partial Baths], IF(ISNUMBER($N378),$N378,""),
          unit_details[Sqft],$P378
)),"")</f>
        <v/>
      </c>
      <c r="AF378" s="5" t="str">
        <f>IFERROR(IF(AE378="","",IF($F378="Total",
SUMPRODUCT(
   INDEX(AF:AF, ROW()-COUNTIF($F$6:INDEX($F:$F, ROW()-1), $F377)) : INDEX(AF:AF, ROW()-1),
   INDEX(AB:AB, ROW()-COUNTIF($F$6:INDEX($F:$F, ROW()-1), $F377)) : INDEX(AB:AB, ROW()-1)
   )
   /SUM(INDEX(AB:AB, ROW()-COUNTIF($F$6:INDEX($F:$F, ROW()-1), $F377)) : INDEX(AB:AB, ROW()-1)),
           _xlfn.MAXIFS(unit_details[Asking Rent],
          unit_details[Active Listing?],TRUE,
          unit_details[Property Name], $F378,
          unit_details[Beds], $L378,
          unit_details[Baths], $M378,
          unit_details[Partial Baths], IF(ISNUMBER($N378),$N378,""),
          unit_details[Sqft],$P378
))),"")</f>
        <v/>
      </c>
      <c r="AG378" s="6" t="str">
        <f>IFERROR(IF($F378="Total",
         SUMPRODUCT(
         INDEX(AG:AG, ROW()-COUNTIF($F$6:INDEX($F:$F, ROW()-1), $F377)) : INDEX(AG:AG, ROW()-1),
         INDEX(AB:AB, ROW()-COUNTIF($F$6:INDEX($F:$F, ROW()-1), $F377)) : INDEX(AB:AB, ROW()-1)
         )
         /SUM(INDEX(AB:AB, ROW()-COUNTIF($F$6:INDEX($F:$F, ROW()-1), $F377)) : INDEX(AB:AB, ROW()-1)),
          AVERAGEIFS(unit_details[Asking PSF],
          unit_details[Active Listing?],TRUE,
          unit_details[Property Name], $F378,
          unit_details[Beds], $L378,
          unit_details[Baths], $M378,
          unit_details[Partial Baths], IF(ISNUMBER($N378),$N378,""),
          unit_details[Sqft],$P378
)),"")</f>
        <v/>
      </c>
      <c r="AH378" s="293" t="str">
        <f>IFERROR(IF($F378="Total",
         SUMPRODUCT(
         INDEX(AH:AH, ROW()-COUNTIF($F$6:INDEX($F:$F, ROW()-1), $F377)) : INDEX(AH:AH, ROW()-1),
         INDEX(AB:AB, ROW()-COUNTIF($F$6:INDEX($F:$F, ROW()-1), $F377)) : INDEX(AB:AB, ROW()-1)
         )
         /SUM(INDEX(AB:AB, ROW()-COUNTIF($F$6:INDEX($F:$F, ROW()-1), $F377)) : INDEX(AB:AB, ROW()-1)),
          AVERAGEIFS(unit_details[Effective Rent],
          unit_details[Active Listing?],TRUE,
          unit_details[Property Name], $F378,
          unit_details[Beds], $L378,
          unit_details[Baths], $M378,
          unit_details[Partial Baths], IF(ISNUMBER($N378),$N378,""),
          unit_details[Sqft],$P378
)),"")</f>
        <v/>
      </c>
      <c r="AI378" s="6" t="str">
        <f>IFERROR(IF($F378="Total",
         SUMPRODUCT(
         INDEX(AI:AI, ROW()-COUNTIF($F$6:INDEX($F:$F, ROW()-1), $F377)) : INDEX(AI:AI, ROW()-1),
         INDEX(AB:AB, ROW()-COUNTIF($F$6:INDEX($F:$F, ROW()-1), $F377)) : INDEX(AB:AB, ROW()-1)
         )
         /SUM(INDEX(AB:AB, ROW()-COUNTIF($F$6:INDEX($F:$F, ROW()-1), $F377)) : INDEX(AB:AB, ROW()-1)),
           AVERAGEIFS(unit_details[Effective PSF],
          unit_details[Active Listing?],TRUE,
          unit_details[Property Name], $F378,
          unit_details[Beds], $L378,
          unit_details[Baths], $M378,
          unit_details[Partial Baths], IF(ISNUMBER($N378),$N378,""),
          unit_details[Sqft],$P378
)),"")</f>
        <v/>
      </c>
      <c r="AJ378" s="824" t="str">
        <f t="shared" si="59"/>
        <v/>
      </c>
      <c r="AK378" s="531" t="str">
        <f t="shared" si="60"/>
        <v/>
      </c>
      <c r="AL378" s="714" t="str">
        <f t="shared" si="61"/>
        <v/>
      </c>
      <c r="AM378" s="531" t="str">
        <f t="shared" si="62"/>
        <v/>
      </c>
      <c r="AN378" s="716" t="str">
        <f t="shared" si="63"/>
        <v/>
      </c>
    </row>
    <row r="379" spans="6:40" x14ac:dyDescent="0.2">
      <c r="F379" s="1" t="str">
        <f t="shared" si="56"/>
        <v/>
      </c>
      <c r="G379" s="713" t="str">
        <f t="shared" si="64"/>
        <v/>
      </c>
      <c r="H379" s="17" t="str">
        <f>IFERROR(VLOOKUP($G379,Table1[[Property]:[Exposure %]],4,0),"")</f>
        <v/>
      </c>
      <c r="I379" s="3" t="str">
        <f>IFERROR(VLOOKUP($G379,Table1[[Property]:[Exposure %]],6,0),"")</f>
        <v/>
      </c>
      <c r="J379" s="3" t="str">
        <f>IFERROR(VLOOKUP($G379,Table1[[Property]:[Exposure %]],7,0),"")</f>
        <v/>
      </c>
      <c r="R379" s="4" t="str">
        <f>IFERROR(VLOOKUP(IF(F379="Total",F378,F379),Table1[[Property]:['# Units]],7,0)*S379,"")</f>
        <v/>
      </c>
      <c r="S379" s="27" t="str">
        <f t="shared" si="57"/>
        <v/>
      </c>
      <c r="T379" s="531" t="str">
        <f>IFERROR(
 IF($F379="Total",
   SUMPRODUCT(
   INDEX(T:T, ROW()-COUNTIF($F$6:INDEX($F:$F, ROW()-1), $F378)) : INDEX(T:T, ROW()-1),
   INDEX(W:W, ROW()-COUNTIF($F$6:INDEX($F:$F, ROW()-1), $F378)) : INDEX(W:W, ROW()-1)
   )
   /SUM(INDEX(W:W, ROW()-COUNTIF($F$6:INDEX($F:$F, ROW()-1), $F378)) : INDEX(W:W, ROW()-1)),
   AVERAGEIFS(
     INDEX((unit_details[Asking Rent],unit_details[Asking PSF]),0,1,IF($U$3="Chunk Rent",1,2)),
     unit_details[Leased Date],"&gt;="&amp;($AM$2-T$5),
     unit_details[Leased Date],"&lt;"&amp;$AM$2,
     unit_details[Beds],$L379,
     unit_details[Baths],$M379,
     unit_details[Partial Baths],IF(ISNUMBER($N379),$N379,""),
     unit_details[Sqft],$P379,
     unit_details[Property Name],$F379)
 ),"")</f>
        <v/>
      </c>
      <c r="U379" s="552" t="str">
        <f>IFERROR(
 IF($F379="Total",
   SUMPRODUCT(
   INDEX(U:U, ROW()-COUNTIF($F$6:INDEX($F:$F, ROW()-1), $F378)) : INDEX(U:U, ROW()-1),
   INDEX(W:W, ROW()-COUNTIF($F$6:INDEX($F:$F, ROW()-1), $F378)) : INDEX(W:W, ROW()-1)
   )
   /SUM(INDEX(W:W, ROW()-COUNTIF($F$6:INDEX($F:$F, ROW()-1), $F378)) : INDEX(W:W, ROW()-1)),
   AVERAGEIFS(
     INDEX((unit_details[Effective Rent],unit_details[Effective PSF]),0,1,IF($U$3="Chunk Rent",1,2)),
     unit_details[Leased Date],"&gt;="&amp;($AM$2-T$5),
     unit_details[Leased Date],"&lt;"&amp;$AM$2,
     unit_details[Beds],$L379,
     unit_details[Baths],$M379,
     unit_details[Partial Baths],IF(ISNUMBER($N379),$N379,""),
     unit_details[Sqft],$P379,
     unit_details[Property Name],$F379)
 ),"")</f>
        <v/>
      </c>
      <c r="V379" s="27" t="str">
        <f t="shared" si="65"/>
        <v/>
      </c>
      <c r="W379" s="526">
        <f>IFERROR(
  IF($F379="Total",
    SUM(INDEX(W:W, ROW()-COUNTIF($F$6:INDEX($F:$F, ROW()-1), $F378)) : INDEX(W:W, ROW()-1)),
    COUNTIFS(
      unit_details[Leased Date], "&gt;="&amp;($AM$2-T$5),
      unit_details[Leased Date], "&lt;"&amp;$AM$2,
      unit_details[Beds], $L379,
      unit_details[Baths], $M379,
      unit_details[Partial Baths], IF(ISNUMBER($N379), $N379, ""),
      unit_details[Sqft],$P379,
      unit_details[Property Name], $F379
    )
  ),
"")</f>
        <v>0</v>
      </c>
      <c r="X379" s="531" t="str">
        <f>IFERROR(
 IF($F379="Total",
   SUMPRODUCT(
   INDEX(X:X, ROW()-COUNTIF($F$6:INDEX($F:$F, ROW()-1), $F378)) : INDEX(X:X, ROW()-1),
   INDEX(AA:AA, ROW()-COUNTIF($F$6:INDEX($F:$F, ROW()-1), $F378)) : INDEX(AA:AA, ROW()-1)
   )
   /SUM(INDEX(AA:AA, ROW()-COUNTIF($F$6:INDEX($F:$F, ROW()-1), $F378)) : INDEX(AA:AA, ROW()-1)),
   AVERAGEIFS(
     INDEX((unit_details[Asking Rent],unit_details[Asking PSF]),0,1,IF($U$3="Chunk Rent",1,2)),
     unit_details[Leased Date],"&gt;="&amp;($AM$2-X$5),
     unit_details[Leased Date],"&lt;"&amp;$AM$2,
     unit_details[Beds],$L379,
     unit_details[Baths],$M379,
     unit_details[Partial Baths],IF(ISNUMBER($N379),$N379,""),
     unit_details[Sqft],$P379,
     unit_details[Property Name],$F379)
 ),"")</f>
        <v/>
      </c>
      <c r="Y379" s="552" t="str">
        <f>IFERROR(
 IF($F379="Total",
   SUMPRODUCT(
   INDEX(Y:Y, ROW()-COUNTIF($F$6:INDEX($F:$F, ROW()-1), $F378)) : INDEX(Y:Y, ROW()-1),
   INDEX(AA:AA, ROW()-COUNTIF($F$6:INDEX($F:$F, ROW()-1), $F378)) : INDEX(AA:AA, ROW()-1)
   )
   /SUM(INDEX(AA:AA, ROW()-COUNTIF($F$6:INDEX($F:$F, ROW()-1), $F378)) : INDEX(AA:AA, ROW()-1)),
   AVERAGEIFS(
     INDEX((unit_details[Effective Rent],unit_details[Effective PSF]),0,1,IF($U$3="Chunk Rent",1,2)),
     unit_details[Leased Date],"&gt;="&amp;($AM$2-X$5),
     unit_details[Leased Date],"&lt;"&amp;$AM$2,
     unit_details[Beds],$L379,
     unit_details[Baths],$M379,
     unit_details[Partial Baths],IF(ISNUMBER($N379),$N379,""),
     unit_details[Sqft],$P379,
     unit_details[Property Name],$F379)
 ),"")</f>
        <v/>
      </c>
      <c r="Z379" s="27" t="str">
        <f t="shared" si="66"/>
        <v/>
      </c>
      <c r="AA379" s="526">
        <f>IFERROR(
  IF($F379="Total",
    SUM(INDEX(AA:AA, ROW()-COUNTIF($F$6:INDEX($F:$F, ROW()-1), $F378)) : INDEX(AA:AA, ROW()-1)),
    COUNTIFS(
      unit_details[Leased Date], "&gt;="&amp;($AM$2-X$5),
      unit_details[Leased Date], "&lt;"&amp;$AM$2,
      unit_details[Beds], $L379,
      unit_details[Baths], $M379,
      unit_details[Partial Baths], IF(ISNUMBER($N379), $N379, ""),
      unit_details[Sqft],$P379,
      unit_details[Property Name], $F379
    )
  ),
"")</f>
        <v>0</v>
      </c>
      <c r="AB379" s="290">
        <f>IF($F379="Total",
SUM(INDEX(AB:AB, ROW()-COUNTIF($F$6:INDEX($F:$F, ROW()-1), $F378)) : INDEX(AB:AB, ROW()-1)),
COUNTIFS(unit_details[Active Listing?],TRUE,
          unit_details[Property Name], $F379,
          unit_details[Beds], $L379,
          unit_details[Baths], $M379,
          unit_details[Partial Baths],IF(ISNUMBER($N379),$N379,""),
          unit_details[Sqft],$P379))</f>
        <v>0</v>
      </c>
      <c r="AC379" s="27" t="str">
        <f t="shared" si="58"/>
        <v/>
      </c>
      <c r="AD379" s="293" t="str">
        <f>IFERROR(IF(AE379="","",IF($F379="Total",
SUMPRODUCT(
   INDEX(AD:AD, ROW()-COUNTIF($F$6:INDEX($F:$F, ROW()-1), $F378)) : INDEX(AD:AD, ROW()-1),
   INDEX(AB:AB, ROW()-COUNTIF($F$6:INDEX($F:$F, ROW()-1), $F378)) : INDEX(AB:AB, ROW()-1)
   )
   /SUM(INDEX(AB:AB, ROW()-COUNTIF($F$6:INDEX($F:$F, ROW()-1), $F378)) : INDEX(AB:AB, ROW()-1)),
          _xlfn.MINIFS(unit_details[Asking Rent],
          unit_details[Active Listing?],TRUE,
          unit_details[Property Name], $F379,
          unit_details[Beds], $L379,
          unit_details[Baths], $M379,
          unit_details[Partial Baths], IF(ISNUMBER($N379),$N379,""),
          unit_details[Sqft],$P379
))),"")</f>
        <v/>
      </c>
      <c r="AE379" s="5" t="str">
        <f>IFERROR(IF($F379="Total",
          SUMPRODUCT(
   INDEX(AE:AE, ROW()-COUNTIF($F$6:INDEX($F:$F, ROW()-1), $F378)) : INDEX(AE:AE, ROW()-1),
   INDEX(AB:AB, ROW()-COUNTIF($F$6:INDEX($F:$F, ROW()-1), $F378)) : INDEX(AB:AB, ROW()-1)
   )
   /SUM(INDEX(AB:AB, ROW()-COUNTIF($F$6:INDEX($F:$F, ROW()-1), $F378)) : INDEX(AB:AB, ROW()-1)),
          AVERAGEIFS(unit_details[Asking Rent],
          unit_details[Active Listing?],TRUE,
          unit_details[Property Name], $F379,
          unit_details[Beds], $L379,
          unit_details[Baths], $M379,
          unit_details[Partial Baths], IF(ISNUMBER($N379),$N379,""),
          unit_details[Sqft],$P379
)),"")</f>
        <v/>
      </c>
      <c r="AF379" s="5" t="str">
        <f>IFERROR(IF(AE379="","",IF($F379="Total",
SUMPRODUCT(
   INDEX(AF:AF, ROW()-COUNTIF($F$6:INDEX($F:$F, ROW()-1), $F378)) : INDEX(AF:AF, ROW()-1),
   INDEX(AB:AB, ROW()-COUNTIF($F$6:INDEX($F:$F, ROW()-1), $F378)) : INDEX(AB:AB, ROW()-1)
   )
   /SUM(INDEX(AB:AB, ROW()-COUNTIF($F$6:INDEX($F:$F, ROW()-1), $F378)) : INDEX(AB:AB, ROW()-1)),
           _xlfn.MAXIFS(unit_details[Asking Rent],
          unit_details[Active Listing?],TRUE,
          unit_details[Property Name], $F379,
          unit_details[Beds], $L379,
          unit_details[Baths], $M379,
          unit_details[Partial Baths], IF(ISNUMBER($N379),$N379,""),
          unit_details[Sqft],$P379
))),"")</f>
        <v/>
      </c>
      <c r="AG379" s="6" t="str">
        <f>IFERROR(IF($F379="Total",
         SUMPRODUCT(
         INDEX(AG:AG, ROW()-COUNTIF($F$6:INDEX($F:$F, ROW()-1), $F378)) : INDEX(AG:AG, ROW()-1),
         INDEX(AB:AB, ROW()-COUNTIF($F$6:INDEX($F:$F, ROW()-1), $F378)) : INDEX(AB:AB, ROW()-1)
         )
         /SUM(INDEX(AB:AB, ROW()-COUNTIF($F$6:INDEX($F:$F, ROW()-1), $F378)) : INDEX(AB:AB, ROW()-1)),
          AVERAGEIFS(unit_details[Asking PSF],
          unit_details[Active Listing?],TRUE,
          unit_details[Property Name], $F379,
          unit_details[Beds], $L379,
          unit_details[Baths], $M379,
          unit_details[Partial Baths], IF(ISNUMBER($N379),$N379,""),
          unit_details[Sqft],$P379
)),"")</f>
        <v/>
      </c>
      <c r="AH379" s="293" t="str">
        <f>IFERROR(IF($F379="Total",
         SUMPRODUCT(
         INDEX(AH:AH, ROW()-COUNTIF($F$6:INDEX($F:$F, ROW()-1), $F378)) : INDEX(AH:AH, ROW()-1),
         INDEX(AB:AB, ROW()-COUNTIF($F$6:INDEX($F:$F, ROW()-1), $F378)) : INDEX(AB:AB, ROW()-1)
         )
         /SUM(INDEX(AB:AB, ROW()-COUNTIF($F$6:INDEX($F:$F, ROW()-1), $F378)) : INDEX(AB:AB, ROW()-1)),
          AVERAGEIFS(unit_details[Effective Rent],
          unit_details[Active Listing?],TRUE,
          unit_details[Property Name], $F379,
          unit_details[Beds], $L379,
          unit_details[Baths], $M379,
          unit_details[Partial Baths], IF(ISNUMBER($N379),$N379,""),
          unit_details[Sqft],$P379
)),"")</f>
        <v/>
      </c>
      <c r="AI379" s="6" t="str">
        <f>IFERROR(IF($F379="Total",
         SUMPRODUCT(
         INDEX(AI:AI, ROW()-COUNTIF($F$6:INDEX($F:$F, ROW()-1), $F378)) : INDEX(AI:AI, ROW()-1),
         INDEX(AB:AB, ROW()-COUNTIF($F$6:INDEX($F:$F, ROW()-1), $F378)) : INDEX(AB:AB, ROW()-1)
         )
         /SUM(INDEX(AB:AB, ROW()-COUNTIF($F$6:INDEX($F:$F, ROW()-1), $F378)) : INDEX(AB:AB, ROW()-1)),
           AVERAGEIFS(unit_details[Effective PSF],
          unit_details[Active Listing?],TRUE,
          unit_details[Property Name], $F379,
          unit_details[Beds], $L379,
          unit_details[Baths], $M379,
          unit_details[Partial Baths], IF(ISNUMBER($N379),$N379,""),
          unit_details[Sqft],$P379
)),"")</f>
        <v/>
      </c>
      <c r="AJ379" s="824" t="str">
        <f t="shared" si="59"/>
        <v/>
      </c>
      <c r="AK379" s="531" t="str">
        <f t="shared" si="60"/>
        <v/>
      </c>
      <c r="AL379" s="714" t="str">
        <f t="shared" si="61"/>
        <v/>
      </c>
      <c r="AM379" s="531" t="str">
        <f t="shared" si="62"/>
        <v/>
      </c>
      <c r="AN379" s="716" t="str">
        <f t="shared" si="63"/>
        <v/>
      </c>
    </row>
    <row r="380" spans="6:40" x14ac:dyDescent="0.2">
      <c r="F380" s="1" t="str">
        <f t="shared" si="56"/>
        <v/>
      </c>
      <c r="G380" s="713" t="str">
        <f t="shared" si="64"/>
        <v/>
      </c>
      <c r="H380" s="17" t="str">
        <f>IFERROR(VLOOKUP($G380,Table1[[Property]:[Exposure %]],4,0),"")</f>
        <v/>
      </c>
      <c r="I380" s="3" t="str">
        <f>IFERROR(VLOOKUP($G380,Table1[[Property]:[Exposure %]],6,0),"")</f>
        <v/>
      </c>
      <c r="J380" s="3" t="str">
        <f>IFERROR(VLOOKUP($G380,Table1[[Property]:[Exposure %]],7,0),"")</f>
        <v/>
      </c>
      <c r="R380" s="4" t="str">
        <f>IFERROR(VLOOKUP(IF(F380="Total",F379,F380),Table1[[Property]:['# Units]],7,0)*S380,"")</f>
        <v/>
      </c>
      <c r="S380" s="27" t="str">
        <f t="shared" si="57"/>
        <v/>
      </c>
      <c r="T380" s="531" t="str">
        <f>IFERROR(
 IF($F380="Total",
   SUMPRODUCT(
   INDEX(T:T, ROW()-COUNTIF($F$6:INDEX($F:$F, ROW()-1), $F379)) : INDEX(T:T, ROW()-1),
   INDEX(W:W, ROW()-COUNTIF($F$6:INDEX($F:$F, ROW()-1), $F379)) : INDEX(W:W, ROW()-1)
   )
   /SUM(INDEX(W:W, ROW()-COUNTIF($F$6:INDEX($F:$F, ROW()-1), $F379)) : INDEX(W:W, ROW()-1)),
   AVERAGEIFS(
     INDEX((unit_details[Asking Rent],unit_details[Asking PSF]),0,1,IF($U$3="Chunk Rent",1,2)),
     unit_details[Leased Date],"&gt;="&amp;($AM$2-T$5),
     unit_details[Leased Date],"&lt;"&amp;$AM$2,
     unit_details[Beds],$L380,
     unit_details[Baths],$M380,
     unit_details[Partial Baths],IF(ISNUMBER($N380),$N380,""),
     unit_details[Sqft],$P380,
     unit_details[Property Name],$F380)
 ),"")</f>
        <v/>
      </c>
      <c r="U380" s="552" t="str">
        <f>IFERROR(
 IF($F380="Total",
   SUMPRODUCT(
   INDEX(U:U, ROW()-COUNTIF($F$6:INDEX($F:$F, ROW()-1), $F379)) : INDEX(U:U, ROW()-1),
   INDEX(W:W, ROW()-COUNTIF($F$6:INDEX($F:$F, ROW()-1), $F379)) : INDEX(W:W, ROW()-1)
   )
   /SUM(INDEX(W:W, ROW()-COUNTIF($F$6:INDEX($F:$F, ROW()-1), $F379)) : INDEX(W:W, ROW()-1)),
   AVERAGEIFS(
     INDEX((unit_details[Effective Rent],unit_details[Effective PSF]),0,1,IF($U$3="Chunk Rent",1,2)),
     unit_details[Leased Date],"&gt;="&amp;($AM$2-T$5),
     unit_details[Leased Date],"&lt;"&amp;$AM$2,
     unit_details[Beds],$L380,
     unit_details[Baths],$M380,
     unit_details[Partial Baths],IF(ISNUMBER($N380),$N380,""),
     unit_details[Sqft],$P380,
     unit_details[Property Name],$F380)
 ),"")</f>
        <v/>
      </c>
      <c r="V380" s="27" t="str">
        <f t="shared" si="65"/>
        <v/>
      </c>
      <c r="W380" s="526">
        <f>IFERROR(
  IF($F380="Total",
    SUM(INDEX(W:W, ROW()-COUNTIF($F$6:INDEX($F:$F, ROW()-1), $F379)) : INDEX(W:W, ROW()-1)),
    COUNTIFS(
      unit_details[Leased Date], "&gt;="&amp;($AM$2-T$5),
      unit_details[Leased Date], "&lt;"&amp;$AM$2,
      unit_details[Beds], $L380,
      unit_details[Baths], $M380,
      unit_details[Partial Baths], IF(ISNUMBER($N380), $N380, ""),
      unit_details[Sqft],$P380,
      unit_details[Property Name], $F380
    )
  ),
"")</f>
        <v>0</v>
      </c>
      <c r="X380" s="531" t="str">
        <f>IFERROR(
 IF($F380="Total",
   SUMPRODUCT(
   INDEX(X:X, ROW()-COUNTIF($F$6:INDEX($F:$F, ROW()-1), $F379)) : INDEX(X:X, ROW()-1),
   INDEX(AA:AA, ROW()-COUNTIF($F$6:INDEX($F:$F, ROW()-1), $F379)) : INDEX(AA:AA, ROW()-1)
   )
   /SUM(INDEX(AA:AA, ROW()-COUNTIF($F$6:INDEX($F:$F, ROW()-1), $F379)) : INDEX(AA:AA, ROW()-1)),
   AVERAGEIFS(
     INDEX((unit_details[Asking Rent],unit_details[Asking PSF]),0,1,IF($U$3="Chunk Rent",1,2)),
     unit_details[Leased Date],"&gt;="&amp;($AM$2-X$5),
     unit_details[Leased Date],"&lt;"&amp;$AM$2,
     unit_details[Beds],$L380,
     unit_details[Baths],$M380,
     unit_details[Partial Baths],IF(ISNUMBER($N380),$N380,""),
     unit_details[Sqft],$P380,
     unit_details[Property Name],$F380)
 ),"")</f>
        <v/>
      </c>
      <c r="Y380" s="552" t="str">
        <f>IFERROR(
 IF($F380="Total",
   SUMPRODUCT(
   INDEX(Y:Y, ROW()-COUNTIF($F$6:INDEX($F:$F, ROW()-1), $F379)) : INDEX(Y:Y, ROW()-1),
   INDEX(AA:AA, ROW()-COUNTIF($F$6:INDEX($F:$F, ROW()-1), $F379)) : INDEX(AA:AA, ROW()-1)
   )
   /SUM(INDEX(AA:AA, ROW()-COUNTIF($F$6:INDEX($F:$F, ROW()-1), $F379)) : INDEX(AA:AA, ROW()-1)),
   AVERAGEIFS(
     INDEX((unit_details[Effective Rent],unit_details[Effective PSF]),0,1,IF($U$3="Chunk Rent",1,2)),
     unit_details[Leased Date],"&gt;="&amp;($AM$2-X$5),
     unit_details[Leased Date],"&lt;"&amp;$AM$2,
     unit_details[Beds],$L380,
     unit_details[Baths],$M380,
     unit_details[Partial Baths],IF(ISNUMBER($N380),$N380,""),
     unit_details[Sqft],$P380,
     unit_details[Property Name],$F380)
 ),"")</f>
        <v/>
      </c>
      <c r="Z380" s="27" t="str">
        <f t="shared" si="66"/>
        <v/>
      </c>
      <c r="AA380" s="526">
        <f>IFERROR(
  IF($F380="Total",
    SUM(INDEX(AA:AA, ROW()-COUNTIF($F$6:INDEX($F:$F, ROW()-1), $F379)) : INDEX(AA:AA, ROW()-1)),
    COUNTIFS(
      unit_details[Leased Date], "&gt;="&amp;($AM$2-X$5),
      unit_details[Leased Date], "&lt;"&amp;$AM$2,
      unit_details[Beds], $L380,
      unit_details[Baths], $M380,
      unit_details[Partial Baths], IF(ISNUMBER($N380), $N380, ""),
      unit_details[Sqft],$P380,
      unit_details[Property Name], $F380
    )
  ),
"")</f>
        <v>0</v>
      </c>
      <c r="AB380" s="290">
        <f>IF($F380="Total",
SUM(INDEX(AB:AB, ROW()-COUNTIF($F$6:INDEX($F:$F, ROW()-1), $F379)) : INDEX(AB:AB, ROW()-1)),
COUNTIFS(unit_details[Active Listing?],TRUE,
          unit_details[Property Name], $F380,
          unit_details[Beds], $L380,
          unit_details[Baths], $M380,
          unit_details[Partial Baths],IF(ISNUMBER($N380),$N380,""),
          unit_details[Sqft],$P380))</f>
        <v>0</v>
      </c>
      <c r="AC380" s="27" t="str">
        <f t="shared" si="58"/>
        <v/>
      </c>
      <c r="AD380" s="293" t="str">
        <f>IFERROR(IF(AE380="","",IF($F380="Total",
SUMPRODUCT(
   INDEX(AD:AD, ROW()-COUNTIF($F$6:INDEX($F:$F, ROW()-1), $F379)) : INDEX(AD:AD, ROW()-1),
   INDEX(AB:AB, ROW()-COUNTIF($F$6:INDEX($F:$F, ROW()-1), $F379)) : INDEX(AB:AB, ROW()-1)
   )
   /SUM(INDEX(AB:AB, ROW()-COUNTIF($F$6:INDEX($F:$F, ROW()-1), $F379)) : INDEX(AB:AB, ROW()-1)),
          _xlfn.MINIFS(unit_details[Asking Rent],
          unit_details[Active Listing?],TRUE,
          unit_details[Property Name], $F380,
          unit_details[Beds], $L380,
          unit_details[Baths], $M380,
          unit_details[Partial Baths], IF(ISNUMBER($N380),$N380,""),
          unit_details[Sqft],$P380
))),"")</f>
        <v/>
      </c>
      <c r="AE380" s="5" t="str">
        <f>IFERROR(IF($F380="Total",
          SUMPRODUCT(
   INDEX(AE:AE, ROW()-COUNTIF($F$6:INDEX($F:$F, ROW()-1), $F379)) : INDEX(AE:AE, ROW()-1),
   INDEX(AB:AB, ROW()-COUNTIF($F$6:INDEX($F:$F, ROW()-1), $F379)) : INDEX(AB:AB, ROW()-1)
   )
   /SUM(INDEX(AB:AB, ROW()-COUNTIF($F$6:INDEX($F:$F, ROW()-1), $F379)) : INDEX(AB:AB, ROW()-1)),
          AVERAGEIFS(unit_details[Asking Rent],
          unit_details[Active Listing?],TRUE,
          unit_details[Property Name], $F380,
          unit_details[Beds], $L380,
          unit_details[Baths], $M380,
          unit_details[Partial Baths], IF(ISNUMBER($N380),$N380,""),
          unit_details[Sqft],$P380
)),"")</f>
        <v/>
      </c>
      <c r="AF380" s="5" t="str">
        <f>IFERROR(IF(AE380="","",IF($F380="Total",
SUMPRODUCT(
   INDEX(AF:AF, ROW()-COUNTIF($F$6:INDEX($F:$F, ROW()-1), $F379)) : INDEX(AF:AF, ROW()-1),
   INDEX(AB:AB, ROW()-COUNTIF($F$6:INDEX($F:$F, ROW()-1), $F379)) : INDEX(AB:AB, ROW()-1)
   )
   /SUM(INDEX(AB:AB, ROW()-COUNTIF($F$6:INDEX($F:$F, ROW()-1), $F379)) : INDEX(AB:AB, ROW()-1)),
           _xlfn.MAXIFS(unit_details[Asking Rent],
          unit_details[Active Listing?],TRUE,
          unit_details[Property Name], $F380,
          unit_details[Beds], $L380,
          unit_details[Baths], $M380,
          unit_details[Partial Baths], IF(ISNUMBER($N380),$N380,""),
          unit_details[Sqft],$P380
))),"")</f>
        <v/>
      </c>
      <c r="AG380" s="6" t="str">
        <f>IFERROR(IF($F380="Total",
         SUMPRODUCT(
         INDEX(AG:AG, ROW()-COUNTIF($F$6:INDEX($F:$F, ROW()-1), $F379)) : INDEX(AG:AG, ROW()-1),
         INDEX(AB:AB, ROW()-COUNTIF($F$6:INDEX($F:$F, ROW()-1), $F379)) : INDEX(AB:AB, ROW()-1)
         )
         /SUM(INDEX(AB:AB, ROW()-COUNTIF($F$6:INDEX($F:$F, ROW()-1), $F379)) : INDEX(AB:AB, ROW()-1)),
          AVERAGEIFS(unit_details[Asking PSF],
          unit_details[Active Listing?],TRUE,
          unit_details[Property Name], $F380,
          unit_details[Beds], $L380,
          unit_details[Baths], $M380,
          unit_details[Partial Baths], IF(ISNUMBER($N380),$N380,""),
          unit_details[Sqft],$P380
)),"")</f>
        <v/>
      </c>
      <c r="AH380" s="293" t="str">
        <f>IFERROR(IF($F380="Total",
         SUMPRODUCT(
         INDEX(AH:AH, ROW()-COUNTIF($F$6:INDEX($F:$F, ROW()-1), $F379)) : INDEX(AH:AH, ROW()-1),
         INDEX(AB:AB, ROW()-COUNTIF($F$6:INDEX($F:$F, ROW()-1), $F379)) : INDEX(AB:AB, ROW()-1)
         )
         /SUM(INDEX(AB:AB, ROW()-COUNTIF($F$6:INDEX($F:$F, ROW()-1), $F379)) : INDEX(AB:AB, ROW()-1)),
          AVERAGEIFS(unit_details[Effective Rent],
          unit_details[Active Listing?],TRUE,
          unit_details[Property Name], $F380,
          unit_details[Beds], $L380,
          unit_details[Baths], $M380,
          unit_details[Partial Baths], IF(ISNUMBER($N380),$N380,""),
          unit_details[Sqft],$P380
)),"")</f>
        <v/>
      </c>
      <c r="AI380" s="6" t="str">
        <f>IFERROR(IF($F380="Total",
         SUMPRODUCT(
         INDEX(AI:AI, ROW()-COUNTIF($F$6:INDEX($F:$F, ROW()-1), $F379)) : INDEX(AI:AI, ROW()-1),
         INDEX(AB:AB, ROW()-COUNTIF($F$6:INDEX($F:$F, ROW()-1), $F379)) : INDEX(AB:AB, ROW()-1)
         )
         /SUM(INDEX(AB:AB, ROW()-COUNTIF($F$6:INDEX($F:$F, ROW()-1), $F379)) : INDEX(AB:AB, ROW()-1)),
           AVERAGEIFS(unit_details[Effective PSF],
          unit_details[Active Listing?],TRUE,
          unit_details[Property Name], $F380,
          unit_details[Beds], $L380,
          unit_details[Baths], $M380,
          unit_details[Partial Baths], IF(ISNUMBER($N380),$N380,""),
          unit_details[Sqft],$P380
)),"")</f>
        <v/>
      </c>
      <c r="AJ380" s="824" t="str">
        <f t="shared" si="59"/>
        <v/>
      </c>
      <c r="AK380" s="531" t="str">
        <f t="shared" si="60"/>
        <v/>
      </c>
      <c r="AL380" s="714" t="str">
        <f t="shared" si="61"/>
        <v/>
      </c>
      <c r="AM380" s="531" t="str">
        <f t="shared" si="62"/>
        <v/>
      </c>
      <c r="AN380" s="716" t="str">
        <f t="shared" si="63"/>
        <v/>
      </c>
    </row>
    <row r="381" spans="6:40" x14ac:dyDescent="0.2">
      <c r="F381" s="1" t="str">
        <f t="shared" si="56"/>
        <v/>
      </c>
      <c r="G381" s="713" t="str">
        <f t="shared" si="64"/>
        <v/>
      </c>
      <c r="H381" s="17" t="str">
        <f>IFERROR(VLOOKUP($G381,Table1[[Property]:[Exposure %]],4,0),"")</f>
        <v/>
      </c>
      <c r="I381" s="3" t="str">
        <f>IFERROR(VLOOKUP($G381,Table1[[Property]:[Exposure %]],6,0),"")</f>
        <v/>
      </c>
      <c r="J381" s="3" t="str">
        <f>IFERROR(VLOOKUP($G381,Table1[[Property]:[Exposure %]],7,0),"")</f>
        <v/>
      </c>
      <c r="R381" s="4" t="str">
        <f>IFERROR(VLOOKUP(IF(F381="Total",F380,F381),Table1[[Property]:['# Units]],7,0)*S381,"")</f>
        <v/>
      </c>
      <c r="S381" s="27" t="str">
        <f t="shared" si="57"/>
        <v/>
      </c>
      <c r="T381" s="531" t="str">
        <f>IFERROR(
 IF($F381="Total",
   SUMPRODUCT(
   INDEX(T:T, ROW()-COUNTIF($F$6:INDEX($F:$F, ROW()-1), $F380)) : INDEX(T:T, ROW()-1),
   INDEX(W:W, ROW()-COUNTIF($F$6:INDEX($F:$F, ROW()-1), $F380)) : INDEX(W:W, ROW()-1)
   )
   /SUM(INDEX(W:W, ROW()-COUNTIF($F$6:INDEX($F:$F, ROW()-1), $F380)) : INDEX(W:W, ROW()-1)),
   AVERAGEIFS(
     INDEX((unit_details[Asking Rent],unit_details[Asking PSF]),0,1,IF($U$3="Chunk Rent",1,2)),
     unit_details[Leased Date],"&gt;="&amp;($AM$2-T$5),
     unit_details[Leased Date],"&lt;"&amp;$AM$2,
     unit_details[Beds],$L381,
     unit_details[Baths],$M381,
     unit_details[Partial Baths],IF(ISNUMBER($N381),$N381,""),
     unit_details[Sqft],$P381,
     unit_details[Property Name],$F381)
 ),"")</f>
        <v/>
      </c>
      <c r="U381" s="552" t="str">
        <f>IFERROR(
 IF($F381="Total",
   SUMPRODUCT(
   INDEX(U:U, ROW()-COUNTIF($F$6:INDEX($F:$F, ROW()-1), $F380)) : INDEX(U:U, ROW()-1),
   INDEX(W:W, ROW()-COUNTIF($F$6:INDEX($F:$F, ROW()-1), $F380)) : INDEX(W:W, ROW()-1)
   )
   /SUM(INDEX(W:W, ROW()-COUNTIF($F$6:INDEX($F:$F, ROW()-1), $F380)) : INDEX(W:W, ROW()-1)),
   AVERAGEIFS(
     INDEX((unit_details[Effective Rent],unit_details[Effective PSF]),0,1,IF($U$3="Chunk Rent",1,2)),
     unit_details[Leased Date],"&gt;="&amp;($AM$2-T$5),
     unit_details[Leased Date],"&lt;"&amp;$AM$2,
     unit_details[Beds],$L381,
     unit_details[Baths],$M381,
     unit_details[Partial Baths],IF(ISNUMBER($N381),$N381,""),
     unit_details[Sqft],$P381,
     unit_details[Property Name],$F381)
 ),"")</f>
        <v/>
      </c>
      <c r="V381" s="27" t="str">
        <f t="shared" si="65"/>
        <v/>
      </c>
      <c r="W381" s="526">
        <f>IFERROR(
  IF($F381="Total",
    SUM(INDEX(W:W, ROW()-COUNTIF($F$6:INDEX($F:$F, ROW()-1), $F380)) : INDEX(W:W, ROW()-1)),
    COUNTIFS(
      unit_details[Leased Date], "&gt;="&amp;($AM$2-T$5),
      unit_details[Leased Date], "&lt;"&amp;$AM$2,
      unit_details[Beds], $L381,
      unit_details[Baths], $M381,
      unit_details[Partial Baths], IF(ISNUMBER($N381), $N381, ""),
      unit_details[Sqft],$P381,
      unit_details[Property Name], $F381
    )
  ),
"")</f>
        <v>0</v>
      </c>
      <c r="X381" s="531" t="str">
        <f>IFERROR(
 IF($F381="Total",
   SUMPRODUCT(
   INDEX(X:X, ROW()-COUNTIF($F$6:INDEX($F:$F, ROW()-1), $F380)) : INDEX(X:X, ROW()-1),
   INDEX(AA:AA, ROW()-COUNTIF($F$6:INDEX($F:$F, ROW()-1), $F380)) : INDEX(AA:AA, ROW()-1)
   )
   /SUM(INDEX(AA:AA, ROW()-COUNTIF($F$6:INDEX($F:$F, ROW()-1), $F380)) : INDEX(AA:AA, ROW()-1)),
   AVERAGEIFS(
     INDEX((unit_details[Asking Rent],unit_details[Asking PSF]),0,1,IF($U$3="Chunk Rent",1,2)),
     unit_details[Leased Date],"&gt;="&amp;($AM$2-X$5),
     unit_details[Leased Date],"&lt;"&amp;$AM$2,
     unit_details[Beds],$L381,
     unit_details[Baths],$M381,
     unit_details[Partial Baths],IF(ISNUMBER($N381),$N381,""),
     unit_details[Sqft],$P381,
     unit_details[Property Name],$F381)
 ),"")</f>
        <v/>
      </c>
      <c r="Y381" s="552" t="str">
        <f>IFERROR(
 IF($F381="Total",
   SUMPRODUCT(
   INDEX(Y:Y, ROW()-COUNTIF($F$6:INDEX($F:$F, ROW()-1), $F380)) : INDEX(Y:Y, ROW()-1),
   INDEX(AA:AA, ROW()-COUNTIF($F$6:INDEX($F:$F, ROW()-1), $F380)) : INDEX(AA:AA, ROW()-1)
   )
   /SUM(INDEX(AA:AA, ROW()-COUNTIF($F$6:INDEX($F:$F, ROW()-1), $F380)) : INDEX(AA:AA, ROW()-1)),
   AVERAGEIFS(
     INDEX((unit_details[Effective Rent],unit_details[Effective PSF]),0,1,IF($U$3="Chunk Rent",1,2)),
     unit_details[Leased Date],"&gt;="&amp;($AM$2-X$5),
     unit_details[Leased Date],"&lt;"&amp;$AM$2,
     unit_details[Beds],$L381,
     unit_details[Baths],$M381,
     unit_details[Partial Baths],IF(ISNUMBER($N381),$N381,""),
     unit_details[Sqft],$P381,
     unit_details[Property Name],$F381)
 ),"")</f>
        <v/>
      </c>
      <c r="Z381" s="27" t="str">
        <f t="shared" si="66"/>
        <v/>
      </c>
      <c r="AA381" s="526">
        <f>IFERROR(
  IF($F381="Total",
    SUM(INDEX(AA:AA, ROW()-COUNTIF($F$6:INDEX($F:$F, ROW()-1), $F380)) : INDEX(AA:AA, ROW()-1)),
    COUNTIFS(
      unit_details[Leased Date], "&gt;="&amp;($AM$2-X$5),
      unit_details[Leased Date], "&lt;"&amp;$AM$2,
      unit_details[Beds], $L381,
      unit_details[Baths], $M381,
      unit_details[Partial Baths], IF(ISNUMBER($N381), $N381, ""),
      unit_details[Sqft],$P381,
      unit_details[Property Name], $F381
    )
  ),
"")</f>
        <v>0</v>
      </c>
      <c r="AB381" s="290">
        <f>IF($F381="Total",
SUM(INDEX(AB:AB, ROW()-COUNTIF($F$6:INDEX($F:$F, ROW()-1), $F380)) : INDEX(AB:AB, ROW()-1)),
COUNTIFS(unit_details[Active Listing?],TRUE,
          unit_details[Property Name], $F381,
          unit_details[Beds], $L381,
          unit_details[Baths], $M381,
          unit_details[Partial Baths],IF(ISNUMBER($N381),$N381,""),
          unit_details[Sqft],$P381))</f>
        <v>0</v>
      </c>
      <c r="AC381" s="27" t="str">
        <f t="shared" si="58"/>
        <v/>
      </c>
      <c r="AD381" s="293" t="str">
        <f>IFERROR(IF(AE381="","",IF($F381="Total",
SUMPRODUCT(
   INDEX(AD:AD, ROW()-COUNTIF($F$6:INDEX($F:$F, ROW()-1), $F380)) : INDEX(AD:AD, ROW()-1),
   INDEX(AB:AB, ROW()-COUNTIF($F$6:INDEX($F:$F, ROW()-1), $F380)) : INDEX(AB:AB, ROW()-1)
   )
   /SUM(INDEX(AB:AB, ROW()-COUNTIF($F$6:INDEX($F:$F, ROW()-1), $F380)) : INDEX(AB:AB, ROW()-1)),
          _xlfn.MINIFS(unit_details[Asking Rent],
          unit_details[Active Listing?],TRUE,
          unit_details[Property Name], $F381,
          unit_details[Beds], $L381,
          unit_details[Baths], $M381,
          unit_details[Partial Baths], IF(ISNUMBER($N381),$N381,""),
          unit_details[Sqft],$P381
))),"")</f>
        <v/>
      </c>
      <c r="AE381" s="5" t="str">
        <f>IFERROR(IF($F381="Total",
          SUMPRODUCT(
   INDEX(AE:AE, ROW()-COUNTIF($F$6:INDEX($F:$F, ROW()-1), $F380)) : INDEX(AE:AE, ROW()-1),
   INDEX(AB:AB, ROW()-COUNTIF($F$6:INDEX($F:$F, ROW()-1), $F380)) : INDEX(AB:AB, ROW()-1)
   )
   /SUM(INDEX(AB:AB, ROW()-COUNTIF($F$6:INDEX($F:$F, ROW()-1), $F380)) : INDEX(AB:AB, ROW()-1)),
          AVERAGEIFS(unit_details[Asking Rent],
          unit_details[Active Listing?],TRUE,
          unit_details[Property Name], $F381,
          unit_details[Beds], $L381,
          unit_details[Baths], $M381,
          unit_details[Partial Baths], IF(ISNUMBER($N381),$N381,""),
          unit_details[Sqft],$P381
)),"")</f>
        <v/>
      </c>
      <c r="AF381" s="5" t="str">
        <f>IFERROR(IF(AE381="","",IF($F381="Total",
SUMPRODUCT(
   INDEX(AF:AF, ROW()-COUNTIF($F$6:INDEX($F:$F, ROW()-1), $F380)) : INDEX(AF:AF, ROW()-1),
   INDEX(AB:AB, ROW()-COUNTIF($F$6:INDEX($F:$F, ROW()-1), $F380)) : INDEX(AB:AB, ROW()-1)
   )
   /SUM(INDEX(AB:AB, ROW()-COUNTIF($F$6:INDEX($F:$F, ROW()-1), $F380)) : INDEX(AB:AB, ROW()-1)),
           _xlfn.MAXIFS(unit_details[Asking Rent],
          unit_details[Active Listing?],TRUE,
          unit_details[Property Name], $F381,
          unit_details[Beds], $L381,
          unit_details[Baths], $M381,
          unit_details[Partial Baths], IF(ISNUMBER($N381),$N381,""),
          unit_details[Sqft],$P381
))),"")</f>
        <v/>
      </c>
      <c r="AG381" s="6" t="str">
        <f>IFERROR(IF($F381="Total",
         SUMPRODUCT(
         INDEX(AG:AG, ROW()-COUNTIF($F$6:INDEX($F:$F, ROW()-1), $F380)) : INDEX(AG:AG, ROW()-1),
         INDEX(AB:AB, ROW()-COUNTIF($F$6:INDEX($F:$F, ROW()-1), $F380)) : INDEX(AB:AB, ROW()-1)
         )
         /SUM(INDEX(AB:AB, ROW()-COUNTIF($F$6:INDEX($F:$F, ROW()-1), $F380)) : INDEX(AB:AB, ROW()-1)),
          AVERAGEIFS(unit_details[Asking PSF],
          unit_details[Active Listing?],TRUE,
          unit_details[Property Name], $F381,
          unit_details[Beds], $L381,
          unit_details[Baths], $M381,
          unit_details[Partial Baths], IF(ISNUMBER($N381),$N381,""),
          unit_details[Sqft],$P381
)),"")</f>
        <v/>
      </c>
      <c r="AH381" s="293" t="str">
        <f>IFERROR(IF($F381="Total",
         SUMPRODUCT(
         INDEX(AH:AH, ROW()-COUNTIF($F$6:INDEX($F:$F, ROW()-1), $F380)) : INDEX(AH:AH, ROW()-1),
         INDEX(AB:AB, ROW()-COUNTIF($F$6:INDEX($F:$F, ROW()-1), $F380)) : INDEX(AB:AB, ROW()-1)
         )
         /SUM(INDEX(AB:AB, ROW()-COUNTIF($F$6:INDEX($F:$F, ROW()-1), $F380)) : INDEX(AB:AB, ROW()-1)),
          AVERAGEIFS(unit_details[Effective Rent],
          unit_details[Active Listing?],TRUE,
          unit_details[Property Name], $F381,
          unit_details[Beds], $L381,
          unit_details[Baths], $M381,
          unit_details[Partial Baths], IF(ISNUMBER($N381),$N381,""),
          unit_details[Sqft],$P381
)),"")</f>
        <v/>
      </c>
      <c r="AI381" s="6" t="str">
        <f>IFERROR(IF($F381="Total",
         SUMPRODUCT(
         INDEX(AI:AI, ROW()-COUNTIF($F$6:INDEX($F:$F, ROW()-1), $F380)) : INDEX(AI:AI, ROW()-1),
         INDEX(AB:AB, ROW()-COUNTIF($F$6:INDEX($F:$F, ROW()-1), $F380)) : INDEX(AB:AB, ROW()-1)
         )
         /SUM(INDEX(AB:AB, ROW()-COUNTIF($F$6:INDEX($F:$F, ROW()-1), $F380)) : INDEX(AB:AB, ROW()-1)),
           AVERAGEIFS(unit_details[Effective PSF],
          unit_details[Active Listing?],TRUE,
          unit_details[Property Name], $F381,
          unit_details[Beds], $L381,
          unit_details[Baths], $M381,
          unit_details[Partial Baths], IF(ISNUMBER($N381),$N381,""),
          unit_details[Sqft],$P381
)),"")</f>
        <v/>
      </c>
      <c r="AJ381" s="824" t="str">
        <f t="shared" si="59"/>
        <v/>
      </c>
      <c r="AK381" s="531" t="str">
        <f t="shared" si="60"/>
        <v/>
      </c>
      <c r="AL381" s="714" t="str">
        <f t="shared" si="61"/>
        <v/>
      </c>
      <c r="AM381" s="531" t="str">
        <f t="shared" si="62"/>
        <v/>
      </c>
      <c r="AN381" s="716" t="str">
        <f t="shared" si="63"/>
        <v/>
      </c>
    </row>
    <row r="382" spans="6:40" x14ac:dyDescent="0.2">
      <c r="F382" s="1" t="str">
        <f t="shared" si="56"/>
        <v/>
      </c>
      <c r="G382" s="713" t="str">
        <f t="shared" si="64"/>
        <v/>
      </c>
      <c r="H382" s="17" t="str">
        <f>IFERROR(VLOOKUP($G382,Table1[[Property]:[Exposure %]],4,0),"")</f>
        <v/>
      </c>
      <c r="I382" s="3" t="str">
        <f>IFERROR(VLOOKUP($G382,Table1[[Property]:[Exposure %]],6,0),"")</f>
        <v/>
      </c>
      <c r="J382" s="3" t="str">
        <f>IFERROR(VLOOKUP($G382,Table1[[Property]:[Exposure %]],7,0),"")</f>
        <v/>
      </c>
      <c r="R382" s="4" t="str">
        <f>IFERROR(VLOOKUP(IF(F382="Total",F381,F382),Table1[[Property]:['# Units]],7,0)*S382,"")</f>
        <v/>
      </c>
      <c r="S382" s="27" t="str">
        <f t="shared" si="57"/>
        <v/>
      </c>
      <c r="T382" s="531" t="str">
        <f>IFERROR(
 IF($F382="Total",
   SUMPRODUCT(
   INDEX(T:T, ROW()-COUNTIF($F$6:INDEX($F:$F, ROW()-1), $F381)) : INDEX(T:T, ROW()-1),
   INDEX(W:W, ROW()-COUNTIF($F$6:INDEX($F:$F, ROW()-1), $F381)) : INDEX(W:W, ROW()-1)
   )
   /SUM(INDEX(W:W, ROW()-COUNTIF($F$6:INDEX($F:$F, ROW()-1), $F381)) : INDEX(W:W, ROW()-1)),
   AVERAGEIFS(
     INDEX((unit_details[Asking Rent],unit_details[Asking PSF]),0,1,IF($U$3="Chunk Rent",1,2)),
     unit_details[Leased Date],"&gt;="&amp;($AM$2-T$5),
     unit_details[Leased Date],"&lt;"&amp;$AM$2,
     unit_details[Beds],$L382,
     unit_details[Baths],$M382,
     unit_details[Partial Baths],IF(ISNUMBER($N382),$N382,""),
     unit_details[Sqft],$P382,
     unit_details[Property Name],$F382)
 ),"")</f>
        <v/>
      </c>
      <c r="U382" s="552" t="str">
        <f>IFERROR(
 IF($F382="Total",
   SUMPRODUCT(
   INDEX(U:U, ROW()-COUNTIF($F$6:INDEX($F:$F, ROW()-1), $F381)) : INDEX(U:U, ROW()-1),
   INDEX(W:W, ROW()-COUNTIF($F$6:INDEX($F:$F, ROW()-1), $F381)) : INDEX(W:W, ROW()-1)
   )
   /SUM(INDEX(W:W, ROW()-COUNTIF($F$6:INDEX($F:$F, ROW()-1), $F381)) : INDEX(W:W, ROW()-1)),
   AVERAGEIFS(
     INDEX((unit_details[Effective Rent],unit_details[Effective PSF]),0,1,IF($U$3="Chunk Rent",1,2)),
     unit_details[Leased Date],"&gt;="&amp;($AM$2-T$5),
     unit_details[Leased Date],"&lt;"&amp;$AM$2,
     unit_details[Beds],$L382,
     unit_details[Baths],$M382,
     unit_details[Partial Baths],IF(ISNUMBER($N382),$N382,""),
     unit_details[Sqft],$P382,
     unit_details[Property Name],$F382)
 ),"")</f>
        <v/>
      </c>
      <c r="V382" s="27" t="str">
        <f t="shared" si="65"/>
        <v/>
      </c>
      <c r="W382" s="526">
        <f>IFERROR(
  IF($F382="Total",
    SUM(INDEX(W:W, ROW()-COUNTIF($F$6:INDEX($F:$F, ROW()-1), $F381)) : INDEX(W:W, ROW()-1)),
    COUNTIFS(
      unit_details[Leased Date], "&gt;="&amp;($AM$2-T$5),
      unit_details[Leased Date], "&lt;"&amp;$AM$2,
      unit_details[Beds], $L382,
      unit_details[Baths], $M382,
      unit_details[Partial Baths], IF(ISNUMBER($N382), $N382, ""),
      unit_details[Sqft],$P382,
      unit_details[Property Name], $F382
    )
  ),
"")</f>
        <v>0</v>
      </c>
      <c r="X382" s="531" t="str">
        <f>IFERROR(
 IF($F382="Total",
   SUMPRODUCT(
   INDEX(X:X, ROW()-COUNTIF($F$6:INDEX($F:$F, ROW()-1), $F381)) : INDEX(X:X, ROW()-1),
   INDEX(AA:AA, ROW()-COUNTIF($F$6:INDEX($F:$F, ROW()-1), $F381)) : INDEX(AA:AA, ROW()-1)
   )
   /SUM(INDEX(AA:AA, ROW()-COUNTIF($F$6:INDEX($F:$F, ROW()-1), $F381)) : INDEX(AA:AA, ROW()-1)),
   AVERAGEIFS(
     INDEX((unit_details[Asking Rent],unit_details[Asking PSF]),0,1,IF($U$3="Chunk Rent",1,2)),
     unit_details[Leased Date],"&gt;="&amp;($AM$2-X$5),
     unit_details[Leased Date],"&lt;"&amp;$AM$2,
     unit_details[Beds],$L382,
     unit_details[Baths],$M382,
     unit_details[Partial Baths],IF(ISNUMBER($N382),$N382,""),
     unit_details[Sqft],$P382,
     unit_details[Property Name],$F382)
 ),"")</f>
        <v/>
      </c>
      <c r="Y382" s="552" t="str">
        <f>IFERROR(
 IF($F382="Total",
   SUMPRODUCT(
   INDEX(Y:Y, ROW()-COUNTIF($F$6:INDEX($F:$F, ROW()-1), $F381)) : INDEX(Y:Y, ROW()-1),
   INDEX(AA:AA, ROW()-COUNTIF($F$6:INDEX($F:$F, ROW()-1), $F381)) : INDEX(AA:AA, ROW()-1)
   )
   /SUM(INDEX(AA:AA, ROW()-COUNTIF($F$6:INDEX($F:$F, ROW()-1), $F381)) : INDEX(AA:AA, ROW()-1)),
   AVERAGEIFS(
     INDEX((unit_details[Effective Rent],unit_details[Effective PSF]),0,1,IF($U$3="Chunk Rent",1,2)),
     unit_details[Leased Date],"&gt;="&amp;($AM$2-X$5),
     unit_details[Leased Date],"&lt;"&amp;$AM$2,
     unit_details[Beds],$L382,
     unit_details[Baths],$M382,
     unit_details[Partial Baths],IF(ISNUMBER($N382),$N382,""),
     unit_details[Sqft],$P382,
     unit_details[Property Name],$F382)
 ),"")</f>
        <v/>
      </c>
      <c r="Z382" s="27" t="str">
        <f t="shared" si="66"/>
        <v/>
      </c>
      <c r="AA382" s="526">
        <f>IFERROR(
  IF($F382="Total",
    SUM(INDEX(AA:AA, ROW()-COUNTIF($F$6:INDEX($F:$F, ROW()-1), $F381)) : INDEX(AA:AA, ROW()-1)),
    COUNTIFS(
      unit_details[Leased Date], "&gt;="&amp;($AM$2-X$5),
      unit_details[Leased Date], "&lt;"&amp;$AM$2,
      unit_details[Beds], $L382,
      unit_details[Baths], $M382,
      unit_details[Partial Baths], IF(ISNUMBER($N382), $N382, ""),
      unit_details[Sqft],$P382,
      unit_details[Property Name], $F382
    )
  ),
"")</f>
        <v>0</v>
      </c>
      <c r="AB382" s="290">
        <f>IF($F382="Total",
SUM(INDEX(AB:AB, ROW()-COUNTIF($F$6:INDEX($F:$F, ROW()-1), $F381)) : INDEX(AB:AB, ROW()-1)),
COUNTIFS(unit_details[Active Listing?],TRUE,
          unit_details[Property Name], $F382,
          unit_details[Beds], $L382,
          unit_details[Baths], $M382,
          unit_details[Partial Baths],IF(ISNUMBER($N382),$N382,""),
          unit_details[Sqft],$P382))</f>
        <v>0</v>
      </c>
      <c r="AC382" s="27" t="str">
        <f t="shared" si="58"/>
        <v/>
      </c>
      <c r="AD382" s="293" t="str">
        <f>IFERROR(IF(AE382="","",IF($F382="Total",
SUMPRODUCT(
   INDEX(AD:AD, ROW()-COUNTIF($F$6:INDEX($F:$F, ROW()-1), $F381)) : INDEX(AD:AD, ROW()-1),
   INDEX(AB:AB, ROW()-COUNTIF($F$6:INDEX($F:$F, ROW()-1), $F381)) : INDEX(AB:AB, ROW()-1)
   )
   /SUM(INDEX(AB:AB, ROW()-COUNTIF($F$6:INDEX($F:$F, ROW()-1), $F381)) : INDEX(AB:AB, ROW()-1)),
          _xlfn.MINIFS(unit_details[Asking Rent],
          unit_details[Active Listing?],TRUE,
          unit_details[Property Name], $F382,
          unit_details[Beds], $L382,
          unit_details[Baths], $M382,
          unit_details[Partial Baths], IF(ISNUMBER($N382),$N382,""),
          unit_details[Sqft],$P382
))),"")</f>
        <v/>
      </c>
      <c r="AE382" s="5" t="str">
        <f>IFERROR(IF($F382="Total",
          SUMPRODUCT(
   INDEX(AE:AE, ROW()-COUNTIF($F$6:INDEX($F:$F, ROW()-1), $F381)) : INDEX(AE:AE, ROW()-1),
   INDEX(AB:AB, ROW()-COUNTIF($F$6:INDEX($F:$F, ROW()-1), $F381)) : INDEX(AB:AB, ROW()-1)
   )
   /SUM(INDEX(AB:AB, ROW()-COUNTIF($F$6:INDEX($F:$F, ROW()-1), $F381)) : INDEX(AB:AB, ROW()-1)),
          AVERAGEIFS(unit_details[Asking Rent],
          unit_details[Active Listing?],TRUE,
          unit_details[Property Name], $F382,
          unit_details[Beds], $L382,
          unit_details[Baths], $M382,
          unit_details[Partial Baths], IF(ISNUMBER($N382),$N382,""),
          unit_details[Sqft],$P382
)),"")</f>
        <v/>
      </c>
      <c r="AF382" s="5" t="str">
        <f>IFERROR(IF(AE382="","",IF($F382="Total",
SUMPRODUCT(
   INDEX(AF:AF, ROW()-COUNTIF($F$6:INDEX($F:$F, ROW()-1), $F381)) : INDEX(AF:AF, ROW()-1),
   INDEX(AB:AB, ROW()-COUNTIF($F$6:INDEX($F:$F, ROW()-1), $F381)) : INDEX(AB:AB, ROW()-1)
   )
   /SUM(INDEX(AB:AB, ROW()-COUNTIF($F$6:INDEX($F:$F, ROW()-1), $F381)) : INDEX(AB:AB, ROW()-1)),
           _xlfn.MAXIFS(unit_details[Asking Rent],
          unit_details[Active Listing?],TRUE,
          unit_details[Property Name], $F382,
          unit_details[Beds], $L382,
          unit_details[Baths], $M382,
          unit_details[Partial Baths], IF(ISNUMBER($N382),$N382,""),
          unit_details[Sqft],$P382
))),"")</f>
        <v/>
      </c>
      <c r="AG382" s="6" t="str">
        <f>IFERROR(IF($F382="Total",
         SUMPRODUCT(
         INDEX(AG:AG, ROW()-COUNTIF($F$6:INDEX($F:$F, ROW()-1), $F381)) : INDEX(AG:AG, ROW()-1),
         INDEX(AB:AB, ROW()-COUNTIF($F$6:INDEX($F:$F, ROW()-1), $F381)) : INDEX(AB:AB, ROW()-1)
         )
         /SUM(INDEX(AB:AB, ROW()-COUNTIF($F$6:INDEX($F:$F, ROW()-1), $F381)) : INDEX(AB:AB, ROW()-1)),
          AVERAGEIFS(unit_details[Asking PSF],
          unit_details[Active Listing?],TRUE,
          unit_details[Property Name], $F382,
          unit_details[Beds], $L382,
          unit_details[Baths], $M382,
          unit_details[Partial Baths], IF(ISNUMBER($N382),$N382,""),
          unit_details[Sqft],$P382
)),"")</f>
        <v/>
      </c>
      <c r="AH382" s="293" t="str">
        <f>IFERROR(IF($F382="Total",
         SUMPRODUCT(
         INDEX(AH:AH, ROW()-COUNTIF($F$6:INDEX($F:$F, ROW()-1), $F381)) : INDEX(AH:AH, ROW()-1),
         INDEX(AB:AB, ROW()-COUNTIF($F$6:INDEX($F:$F, ROW()-1), $F381)) : INDEX(AB:AB, ROW()-1)
         )
         /SUM(INDEX(AB:AB, ROW()-COUNTIF($F$6:INDEX($F:$F, ROW()-1), $F381)) : INDEX(AB:AB, ROW()-1)),
          AVERAGEIFS(unit_details[Effective Rent],
          unit_details[Active Listing?],TRUE,
          unit_details[Property Name], $F382,
          unit_details[Beds], $L382,
          unit_details[Baths], $M382,
          unit_details[Partial Baths], IF(ISNUMBER($N382),$N382,""),
          unit_details[Sqft],$P382
)),"")</f>
        <v/>
      </c>
      <c r="AI382" s="6" t="str">
        <f>IFERROR(IF($F382="Total",
         SUMPRODUCT(
         INDEX(AI:AI, ROW()-COUNTIF($F$6:INDEX($F:$F, ROW()-1), $F381)) : INDEX(AI:AI, ROW()-1),
         INDEX(AB:AB, ROW()-COUNTIF($F$6:INDEX($F:$F, ROW()-1), $F381)) : INDEX(AB:AB, ROW()-1)
         )
         /SUM(INDEX(AB:AB, ROW()-COUNTIF($F$6:INDEX($F:$F, ROW()-1), $F381)) : INDEX(AB:AB, ROW()-1)),
           AVERAGEIFS(unit_details[Effective PSF],
          unit_details[Active Listing?],TRUE,
          unit_details[Property Name], $F382,
          unit_details[Beds], $L382,
          unit_details[Baths], $M382,
          unit_details[Partial Baths], IF(ISNUMBER($N382),$N382,""),
          unit_details[Sqft],$P382
)),"")</f>
        <v/>
      </c>
      <c r="AJ382" s="824" t="str">
        <f t="shared" si="59"/>
        <v/>
      </c>
      <c r="AK382" s="531" t="str">
        <f t="shared" si="60"/>
        <v/>
      </c>
      <c r="AL382" s="714" t="str">
        <f t="shared" si="61"/>
        <v/>
      </c>
      <c r="AM382" s="531" t="str">
        <f t="shared" si="62"/>
        <v/>
      </c>
      <c r="AN382" s="716" t="str">
        <f t="shared" si="63"/>
        <v/>
      </c>
    </row>
    <row r="383" spans="6:40" x14ac:dyDescent="0.2">
      <c r="F383" s="1" t="str">
        <f t="shared" si="56"/>
        <v/>
      </c>
      <c r="G383" s="713" t="str">
        <f t="shared" si="64"/>
        <v/>
      </c>
      <c r="H383" s="17" t="str">
        <f>IFERROR(VLOOKUP($G383,Table1[[Property]:[Exposure %]],4,0),"")</f>
        <v/>
      </c>
      <c r="I383" s="3" t="str">
        <f>IFERROR(VLOOKUP($G383,Table1[[Property]:[Exposure %]],6,0),"")</f>
        <v/>
      </c>
      <c r="J383" s="3" t="str">
        <f>IFERROR(VLOOKUP($G383,Table1[[Property]:[Exposure %]],7,0),"")</f>
        <v/>
      </c>
      <c r="R383" s="4" t="str">
        <f>IFERROR(VLOOKUP(IF(F383="Total",F382,F383),Table1[[Property]:['# Units]],7,0)*S383,"")</f>
        <v/>
      </c>
      <c r="S383" s="27" t="str">
        <f t="shared" si="57"/>
        <v/>
      </c>
      <c r="T383" s="531" t="str">
        <f>IFERROR(
 IF($F383="Total",
   SUMPRODUCT(
   INDEX(T:T, ROW()-COUNTIF($F$6:INDEX($F:$F, ROW()-1), $F382)) : INDEX(T:T, ROW()-1),
   INDEX(W:W, ROW()-COUNTIF($F$6:INDEX($F:$F, ROW()-1), $F382)) : INDEX(W:W, ROW()-1)
   )
   /SUM(INDEX(W:W, ROW()-COUNTIF($F$6:INDEX($F:$F, ROW()-1), $F382)) : INDEX(W:W, ROW()-1)),
   AVERAGEIFS(
     INDEX((unit_details[Asking Rent],unit_details[Asking PSF]),0,1,IF($U$3="Chunk Rent",1,2)),
     unit_details[Leased Date],"&gt;="&amp;($AM$2-T$5),
     unit_details[Leased Date],"&lt;"&amp;$AM$2,
     unit_details[Beds],$L383,
     unit_details[Baths],$M383,
     unit_details[Partial Baths],IF(ISNUMBER($N383),$N383,""),
     unit_details[Sqft],$P383,
     unit_details[Property Name],$F383)
 ),"")</f>
        <v/>
      </c>
      <c r="U383" s="552" t="str">
        <f>IFERROR(
 IF($F383="Total",
   SUMPRODUCT(
   INDEX(U:U, ROW()-COUNTIF($F$6:INDEX($F:$F, ROW()-1), $F382)) : INDEX(U:U, ROW()-1),
   INDEX(W:W, ROW()-COUNTIF($F$6:INDEX($F:$F, ROW()-1), $F382)) : INDEX(W:W, ROW()-1)
   )
   /SUM(INDEX(W:W, ROW()-COUNTIF($F$6:INDEX($F:$F, ROW()-1), $F382)) : INDEX(W:W, ROW()-1)),
   AVERAGEIFS(
     INDEX((unit_details[Effective Rent],unit_details[Effective PSF]),0,1,IF($U$3="Chunk Rent",1,2)),
     unit_details[Leased Date],"&gt;="&amp;($AM$2-T$5),
     unit_details[Leased Date],"&lt;"&amp;$AM$2,
     unit_details[Beds],$L383,
     unit_details[Baths],$M383,
     unit_details[Partial Baths],IF(ISNUMBER($N383),$N383,""),
     unit_details[Sqft],$P383,
     unit_details[Property Name],$F383)
 ),"")</f>
        <v/>
      </c>
      <c r="V383" s="27" t="str">
        <f t="shared" si="65"/>
        <v/>
      </c>
      <c r="W383" s="526">
        <f>IFERROR(
  IF($F383="Total",
    SUM(INDEX(W:W, ROW()-COUNTIF($F$6:INDEX($F:$F, ROW()-1), $F382)) : INDEX(W:W, ROW()-1)),
    COUNTIFS(
      unit_details[Leased Date], "&gt;="&amp;($AM$2-T$5),
      unit_details[Leased Date], "&lt;"&amp;$AM$2,
      unit_details[Beds], $L383,
      unit_details[Baths], $M383,
      unit_details[Partial Baths], IF(ISNUMBER($N383), $N383, ""),
      unit_details[Sqft],$P383,
      unit_details[Property Name], $F383
    )
  ),
"")</f>
        <v>0</v>
      </c>
      <c r="X383" s="531" t="str">
        <f>IFERROR(
 IF($F383="Total",
   SUMPRODUCT(
   INDEX(X:X, ROW()-COUNTIF($F$6:INDEX($F:$F, ROW()-1), $F382)) : INDEX(X:X, ROW()-1),
   INDEX(AA:AA, ROW()-COUNTIF($F$6:INDEX($F:$F, ROW()-1), $F382)) : INDEX(AA:AA, ROW()-1)
   )
   /SUM(INDEX(AA:AA, ROW()-COUNTIF($F$6:INDEX($F:$F, ROW()-1), $F382)) : INDEX(AA:AA, ROW()-1)),
   AVERAGEIFS(
     INDEX((unit_details[Asking Rent],unit_details[Asking PSF]),0,1,IF($U$3="Chunk Rent",1,2)),
     unit_details[Leased Date],"&gt;="&amp;($AM$2-X$5),
     unit_details[Leased Date],"&lt;"&amp;$AM$2,
     unit_details[Beds],$L383,
     unit_details[Baths],$M383,
     unit_details[Partial Baths],IF(ISNUMBER($N383),$N383,""),
     unit_details[Sqft],$P383,
     unit_details[Property Name],$F383)
 ),"")</f>
        <v/>
      </c>
      <c r="Y383" s="552" t="str">
        <f>IFERROR(
 IF($F383="Total",
   SUMPRODUCT(
   INDEX(Y:Y, ROW()-COUNTIF($F$6:INDEX($F:$F, ROW()-1), $F382)) : INDEX(Y:Y, ROW()-1),
   INDEX(AA:AA, ROW()-COUNTIF($F$6:INDEX($F:$F, ROW()-1), $F382)) : INDEX(AA:AA, ROW()-1)
   )
   /SUM(INDEX(AA:AA, ROW()-COUNTIF($F$6:INDEX($F:$F, ROW()-1), $F382)) : INDEX(AA:AA, ROW()-1)),
   AVERAGEIFS(
     INDEX((unit_details[Effective Rent],unit_details[Effective PSF]),0,1,IF($U$3="Chunk Rent",1,2)),
     unit_details[Leased Date],"&gt;="&amp;($AM$2-X$5),
     unit_details[Leased Date],"&lt;"&amp;$AM$2,
     unit_details[Beds],$L383,
     unit_details[Baths],$M383,
     unit_details[Partial Baths],IF(ISNUMBER($N383),$N383,""),
     unit_details[Sqft],$P383,
     unit_details[Property Name],$F383)
 ),"")</f>
        <v/>
      </c>
      <c r="Z383" s="27" t="str">
        <f t="shared" si="66"/>
        <v/>
      </c>
      <c r="AA383" s="526">
        <f>IFERROR(
  IF($F383="Total",
    SUM(INDEX(AA:AA, ROW()-COUNTIF($F$6:INDEX($F:$F, ROW()-1), $F382)) : INDEX(AA:AA, ROW()-1)),
    COUNTIFS(
      unit_details[Leased Date], "&gt;="&amp;($AM$2-X$5),
      unit_details[Leased Date], "&lt;"&amp;$AM$2,
      unit_details[Beds], $L383,
      unit_details[Baths], $M383,
      unit_details[Partial Baths], IF(ISNUMBER($N383), $N383, ""),
      unit_details[Sqft],$P383,
      unit_details[Property Name], $F383
    )
  ),
"")</f>
        <v>0</v>
      </c>
      <c r="AB383" s="290">
        <f>IF($F383="Total",
SUM(INDEX(AB:AB, ROW()-COUNTIF($F$6:INDEX($F:$F, ROW()-1), $F382)) : INDEX(AB:AB, ROW()-1)),
COUNTIFS(unit_details[Active Listing?],TRUE,
          unit_details[Property Name], $F383,
          unit_details[Beds], $L383,
          unit_details[Baths], $M383,
          unit_details[Partial Baths],IF(ISNUMBER($N383),$N383,""),
          unit_details[Sqft],$P383))</f>
        <v>0</v>
      </c>
      <c r="AC383" s="27" t="str">
        <f t="shared" si="58"/>
        <v/>
      </c>
      <c r="AD383" s="293" t="str">
        <f>IFERROR(IF(AE383="","",IF($F383="Total",
SUMPRODUCT(
   INDEX(AD:AD, ROW()-COUNTIF($F$6:INDEX($F:$F, ROW()-1), $F382)) : INDEX(AD:AD, ROW()-1),
   INDEX(AB:AB, ROW()-COUNTIF($F$6:INDEX($F:$F, ROW()-1), $F382)) : INDEX(AB:AB, ROW()-1)
   )
   /SUM(INDEX(AB:AB, ROW()-COUNTIF($F$6:INDEX($F:$F, ROW()-1), $F382)) : INDEX(AB:AB, ROW()-1)),
          _xlfn.MINIFS(unit_details[Asking Rent],
          unit_details[Active Listing?],TRUE,
          unit_details[Property Name], $F383,
          unit_details[Beds], $L383,
          unit_details[Baths], $M383,
          unit_details[Partial Baths], IF(ISNUMBER($N383),$N383,""),
          unit_details[Sqft],$P383
))),"")</f>
        <v/>
      </c>
      <c r="AE383" s="5" t="str">
        <f>IFERROR(IF($F383="Total",
          SUMPRODUCT(
   INDEX(AE:AE, ROW()-COUNTIF($F$6:INDEX($F:$F, ROW()-1), $F382)) : INDEX(AE:AE, ROW()-1),
   INDEX(AB:AB, ROW()-COUNTIF($F$6:INDEX($F:$F, ROW()-1), $F382)) : INDEX(AB:AB, ROW()-1)
   )
   /SUM(INDEX(AB:AB, ROW()-COUNTIF($F$6:INDEX($F:$F, ROW()-1), $F382)) : INDEX(AB:AB, ROW()-1)),
          AVERAGEIFS(unit_details[Asking Rent],
          unit_details[Active Listing?],TRUE,
          unit_details[Property Name], $F383,
          unit_details[Beds], $L383,
          unit_details[Baths], $M383,
          unit_details[Partial Baths], IF(ISNUMBER($N383),$N383,""),
          unit_details[Sqft],$P383
)),"")</f>
        <v/>
      </c>
      <c r="AF383" s="5" t="str">
        <f>IFERROR(IF(AE383="","",IF($F383="Total",
SUMPRODUCT(
   INDEX(AF:AF, ROW()-COUNTIF($F$6:INDEX($F:$F, ROW()-1), $F382)) : INDEX(AF:AF, ROW()-1),
   INDEX(AB:AB, ROW()-COUNTIF($F$6:INDEX($F:$F, ROW()-1), $F382)) : INDEX(AB:AB, ROW()-1)
   )
   /SUM(INDEX(AB:AB, ROW()-COUNTIF($F$6:INDEX($F:$F, ROW()-1), $F382)) : INDEX(AB:AB, ROW()-1)),
           _xlfn.MAXIFS(unit_details[Asking Rent],
          unit_details[Active Listing?],TRUE,
          unit_details[Property Name], $F383,
          unit_details[Beds], $L383,
          unit_details[Baths], $M383,
          unit_details[Partial Baths], IF(ISNUMBER($N383),$N383,""),
          unit_details[Sqft],$P383
))),"")</f>
        <v/>
      </c>
      <c r="AG383" s="6" t="str">
        <f>IFERROR(IF($F383="Total",
         SUMPRODUCT(
         INDEX(AG:AG, ROW()-COUNTIF($F$6:INDEX($F:$F, ROW()-1), $F382)) : INDEX(AG:AG, ROW()-1),
         INDEX(AB:AB, ROW()-COUNTIF($F$6:INDEX($F:$F, ROW()-1), $F382)) : INDEX(AB:AB, ROW()-1)
         )
         /SUM(INDEX(AB:AB, ROW()-COUNTIF($F$6:INDEX($F:$F, ROW()-1), $F382)) : INDEX(AB:AB, ROW()-1)),
          AVERAGEIFS(unit_details[Asking PSF],
          unit_details[Active Listing?],TRUE,
          unit_details[Property Name], $F383,
          unit_details[Beds], $L383,
          unit_details[Baths], $M383,
          unit_details[Partial Baths], IF(ISNUMBER($N383),$N383,""),
          unit_details[Sqft],$P383
)),"")</f>
        <v/>
      </c>
      <c r="AH383" s="293" t="str">
        <f>IFERROR(IF($F383="Total",
         SUMPRODUCT(
         INDEX(AH:AH, ROW()-COUNTIF($F$6:INDEX($F:$F, ROW()-1), $F382)) : INDEX(AH:AH, ROW()-1),
         INDEX(AB:AB, ROW()-COUNTIF($F$6:INDEX($F:$F, ROW()-1), $F382)) : INDEX(AB:AB, ROW()-1)
         )
         /SUM(INDEX(AB:AB, ROW()-COUNTIF($F$6:INDEX($F:$F, ROW()-1), $F382)) : INDEX(AB:AB, ROW()-1)),
          AVERAGEIFS(unit_details[Effective Rent],
          unit_details[Active Listing?],TRUE,
          unit_details[Property Name], $F383,
          unit_details[Beds], $L383,
          unit_details[Baths], $M383,
          unit_details[Partial Baths], IF(ISNUMBER($N383),$N383,""),
          unit_details[Sqft],$P383
)),"")</f>
        <v/>
      </c>
      <c r="AI383" s="6" t="str">
        <f>IFERROR(IF($F383="Total",
         SUMPRODUCT(
         INDEX(AI:AI, ROW()-COUNTIF($F$6:INDEX($F:$F, ROW()-1), $F382)) : INDEX(AI:AI, ROW()-1),
         INDEX(AB:AB, ROW()-COUNTIF($F$6:INDEX($F:$F, ROW()-1), $F382)) : INDEX(AB:AB, ROW()-1)
         )
         /SUM(INDEX(AB:AB, ROW()-COUNTIF($F$6:INDEX($F:$F, ROW()-1), $F382)) : INDEX(AB:AB, ROW()-1)),
           AVERAGEIFS(unit_details[Effective PSF],
          unit_details[Active Listing?],TRUE,
          unit_details[Property Name], $F383,
          unit_details[Beds], $L383,
          unit_details[Baths], $M383,
          unit_details[Partial Baths], IF(ISNUMBER($N383),$N383,""),
          unit_details[Sqft],$P383
)),"")</f>
        <v/>
      </c>
      <c r="AJ383" s="824" t="str">
        <f t="shared" si="59"/>
        <v/>
      </c>
      <c r="AK383" s="531" t="str">
        <f t="shared" si="60"/>
        <v/>
      </c>
      <c r="AL383" s="714" t="str">
        <f t="shared" si="61"/>
        <v/>
      </c>
      <c r="AM383" s="531" t="str">
        <f t="shared" si="62"/>
        <v/>
      </c>
      <c r="AN383" s="716" t="str">
        <f t="shared" si="63"/>
        <v/>
      </c>
    </row>
    <row r="384" spans="6:40" x14ac:dyDescent="0.2">
      <c r="F384" s="1" t="str">
        <f t="shared" si="56"/>
        <v/>
      </c>
      <c r="G384" s="713" t="str">
        <f t="shared" si="64"/>
        <v/>
      </c>
      <c r="H384" s="17" t="str">
        <f>IFERROR(VLOOKUP($G384,Table1[[Property]:[Exposure %]],4,0),"")</f>
        <v/>
      </c>
      <c r="I384" s="3" t="str">
        <f>IFERROR(VLOOKUP($G384,Table1[[Property]:[Exposure %]],6,0),"")</f>
        <v/>
      </c>
      <c r="J384" s="3" t="str">
        <f>IFERROR(VLOOKUP($G384,Table1[[Property]:[Exposure %]],7,0),"")</f>
        <v/>
      </c>
      <c r="R384" s="4" t="str">
        <f>IFERROR(VLOOKUP(IF(F384="Total",F383,F384),Table1[[Property]:['# Units]],7,0)*S384,"")</f>
        <v/>
      </c>
      <c r="S384" s="27" t="str">
        <f t="shared" si="57"/>
        <v/>
      </c>
      <c r="T384" s="531" t="str">
        <f>IFERROR(
 IF($F384="Total",
   SUMPRODUCT(
   INDEX(T:T, ROW()-COUNTIF($F$6:INDEX($F:$F, ROW()-1), $F383)) : INDEX(T:T, ROW()-1),
   INDEX(W:W, ROW()-COUNTIF($F$6:INDEX($F:$F, ROW()-1), $F383)) : INDEX(W:W, ROW()-1)
   )
   /SUM(INDEX(W:W, ROW()-COUNTIF($F$6:INDEX($F:$F, ROW()-1), $F383)) : INDEX(W:W, ROW()-1)),
   AVERAGEIFS(
     INDEX((unit_details[Asking Rent],unit_details[Asking PSF]),0,1,IF($U$3="Chunk Rent",1,2)),
     unit_details[Leased Date],"&gt;="&amp;($AM$2-T$5),
     unit_details[Leased Date],"&lt;"&amp;$AM$2,
     unit_details[Beds],$L384,
     unit_details[Baths],$M384,
     unit_details[Partial Baths],IF(ISNUMBER($N384),$N384,""),
     unit_details[Sqft],$P384,
     unit_details[Property Name],$F384)
 ),"")</f>
        <v/>
      </c>
      <c r="U384" s="552" t="str">
        <f>IFERROR(
 IF($F384="Total",
   SUMPRODUCT(
   INDEX(U:U, ROW()-COUNTIF($F$6:INDEX($F:$F, ROW()-1), $F383)) : INDEX(U:U, ROW()-1),
   INDEX(W:W, ROW()-COUNTIF($F$6:INDEX($F:$F, ROW()-1), $F383)) : INDEX(W:W, ROW()-1)
   )
   /SUM(INDEX(W:W, ROW()-COUNTIF($F$6:INDEX($F:$F, ROW()-1), $F383)) : INDEX(W:W, ROW()-1)),
   AVERAGEIFS(
     INDEX((unit_details[Effective Rent],unit_details[Effective PSF]),0,1,IF($U$3="Chunk Rent",1,2)),
     unit_details[Leased Date],"&gt;="&amp;($AM$2-T$5),
     unit_details[Leased Date],"&lt;"&amp;$AM$2,
     unit_details[Beds],$L384,
     unit_details[Baths],$M384,
     unit_details[Partial Baths],IF(ISNUMBER($N384),$N384,""),
     unit_details[Sqft],$P384,
     unit_details[Property Name],$F384)
 ),"")</f>
        <v/>
      </c>
      <c r="V384" s="27" t="str">
        <f t="shared" si="65"/>
        <v/>
      </c>
      <c r="W384" s="526">
        <f>IFERROR(
  IF($F384="Total",
    SUM(INDEX(W:W, ROW()-COUNTIF($F$6:INDEX($F:$F, ROW()-1), $F383)) : INDEX(W:W, ROW()-1)),
    COUNTIFS(
      unit_details[Leased Date], "&gt;="&amp;($AM$2-T$5),
      unit_details[Leased Date], "&lt;"&amp;$AM$2,
      unit_details[Beds], $L384,
      unit_details[Baths], $M384,
      unit_details[Partial Baths], IF(ISNUMBER($N384), $N384, ""),
      unit_details[Sqft],$P384,
      unit_details[Property Name], $F384
    )
  ),
"")</f>
        <v>0</v>
      </c>
      <c r="X384" s="531" t="str">
        <f>IFERROR(
 IF($F384="Total",
   SUMPRODUCT(
   INDEX(X:X, ROW()-COUNTIF($F$6:INDEX($F:$F, ROW()-1), $F383)) : INDEX(X:X, ROW()-1),
   INDEX(AA:AA, ROW()-COUNTIF($F$6:INDEX($F:$F, ROW()-1), $F383)) : INDEX(AA:AA, ROW()-1)
   )
   /SUM(INDEX(AA:AA, ROW()-COUNTIF($F$6:INDEX($F:$F, ROW()-1), $F383)) : INDEX(AA:AA, ROW()-1)),
   AVERAGEIFS(
     INDEX((unit_details[Asking Rent],unit_details[Asking PSF]),0,1,IF($U$3="Chunk Rent",1,2)),
     unit_details[Leased Date],"&gt;="&amp;($AM$2-X$5),
     unit_details[Leased Date],"&lt;"&amp;$AM$2,
     unit_details[Beds],$L384,
     unit_details[Baths],$M384,
     unit_details[Partial Baths],IF(ISNUMBER($N384),$N384,""),
     unit_details[Sqft],$P384,
     unit_details[Property Name],$F384)
 ),"")</f>
        <v/>
      </c>
      <c r="Y384" s="552" t="str">
        <f>IFERROR(
 IF($F384="Total",
   SUMPRODUCT(
   INDEX(Y:Y, ROW()-COUNTIF($F$6:INDEX($F:$F, ROW()-1), $F383)) : INDEX(Y:Y, ROW()-1),
   INDEX(AA:AA, ROW()-COUNTIF($F$6:INDEX($F:$F, ROW()-1), $F383)) : INDEX(AA:AA, ROW()-1)
   )
   /SUM(INDEX(AA:AA, ROW()-COUNTIF($F$6:INDEX($F:$F, ROW()-1), $F383)) : INDEX(AA:AA, ROW()-1)),
   AVERAGEIFS(
     INDEX((unit_details[Effective Rent],unit_details[Effective PSF]),0,1,IF($U$3="Chunk Rent",1,2)),
     unit_details[Leased Date],"&gt;="&amp;($AM$2-X$5),
     unit_details[Leased Date],"&lt;"&amp;$AM$2,
     unit_details[Beds],$L384,
     unit_details[Baths],$M384,
     unit_details[Partial Baths],IF(ISNUMBER($N384),$N384,""),
     unit_details[Sqft],$P384,
     unit_details[Property Name],$F384)
 ),"")</f>
        <v/>
      </c>
      <c r="Z384" s="27" t="str">
        <f t="shared" si="66"/>
        <v/>
      </c>
      <c r="AA384" s="526">
        <f>IFERROR(
  IF($F384="Total",
    SUM(INDEX(AA:AA, ROW()-COUNTIF($F$6:INDEX($F:$F, ROW()-1), $F383)) : INDEX(AA:AA, ROW()-1)),
    COUNTIFS(
      unit_details[Leased Date], "&gt;="&amp;($AM$2-X$5),
      unit_details[Leased Date], "&lt;"&amp;$AM$2,
      unit_details[Beds], $L384,
      unit_details[Baths], $M384,
      unit_details[Partial Baths], IF(ISNUMBER($N384), $N384, ""),
      unit_details[Sqft],$P384,
      unit_details[Property Name], $F384
    )
  ),
"")</f>
        <v>0</v>
      </c>
      <c r="AB384" s="290">
        <f>IF($F384="Total",
SUM(INDEX(AB:AB, ROW()-COUNTIF($F$6:INDEX($F:$F, ROW()-1), $F383)) : INDEX(AB:AB, ROW()-1)),
COUNTIFS(unit_details[Active Listing?],TRUE,
          unit_details[Property Name], $F384,
          unit_details[Beds], $L384,
          unit_details[Baths], $M384,
          unit_details[Partial Baths],IF(ISNUMBER($N384),$N384,""),
          unit_details[Sqft],$P384))</f>
        <v>0</v>
      </c>
      <c r="AC384" s="27" t="str">
        <f t="shared" si="58"/>
        <v/>
      </c>
      <c r="AD384" s="293" t="str">
        <f>IFERROR(IF(AE384="","",IF($F384="Total",
SUMPRODUCT(
   INDEX(AD:AD, ROW()-COUNTIF($F$6:INDEX($F:$F, ROW()-1), $F383)) : INDEX(AD:AD, ROW()-1),
   INDEX(AB:AB, ROW()-COUNTIF($F$6:INDEX($F:$F, ROW()-1), $F383)) : INDEX(AB:AB, ROW()-1)
   )
   /SUM(INDEX(AB:AB, ROW()-COUNTIF($F$6:INDEX($F:$F, ROW()-1), $F383)) : INDEX(AB:AB, ROW()-1)),
          _xlfn.MINIFS(unit_details[Asking Rent],
          unit_details[Active Listing?],TRUE,
          unit_details[Property Name], $F384,
          unit_details[Beds], $L384,
          unit_details[Baths], $M384,
          unit_details[Partial Baths], IF(ISNUMBER($N384),$N384,""),
          unit_details[Sqft],$P384
))),"")</f>
        <v/>
      </c>
      <c r="AE384" s="5" t="str">
        <f>IFERROR(IF($F384="Total",
          SUMPRODUCT(
   INDEX(AE:AE, ROW()-COUNTIF($F$6:INDEX($F:$F, ROW()-1), $F383)) : INDEX(AE:AE, ROW()-1),
   INDEX(AB:AB, ROW()-COUNTIF($F$6:INDEX($F:$F, ROW()-1), $F383)) : INDEX(AB:AB, ROW()-1)
   )
   /SUM(INDEX(AB:AB, ROW()-COUNTIF($F$6:INDEX($F:$F, ROW()-1), $F383)) : INDEX(AB:AB, ROW()-1)),
          AVERAGEIFS(unit_details[Asking Rent],
          unit_details[Active Listing?],TRUE,
          unit_details[Property Name], $F384,
          unit_details[Beds], $L384,
          unit_details[Baths], $M384,
          unit_details[Partial Baths], IF(ISNUMBER($N384),$N384,""),
          unit_details[Sqft],$P384
)),"")</f>
        <v/>
      </c>
      <c r="AF384" s="5" t="str">
        <f>IFERROR(IF(AE384="","",IF($F384="Total",
SUMPRODUCT(
   INDEX(AF:AF, ROW()-COUNTIF($F$6:INDEX($F:$F, ROW()-1), $F383)) : INDEX(AF:AF, ROW()-1),
   INDEX(AB:AB, ROW()-COUNTIF($F$6:INDEX($F:$F, ROW()-1), $F383)) : INDEX(AB:AB, ROW()-1)
   )
   /SUM(INDEX(AB:AB, ROW()-COUNTIF($F$6:INDEX($F:$F, ROW()-1), $F383)) : INDEX(AB:AB, ROW()-1)),
           _xlfn.MAXIFS(unit_details[Asking Rent],
          unit_details[Active Listing?],TRUE,
          unit_details[Property Name], $F384,
          unit_details[Beds], $L384,
          unit_details[Baths], $M384,
          unit_details[Partial Baths], IF(ISNUMBER($N384),$N384,""),
          unit_details[Sqft],$P384
))),"")</f>
        <v/>
      </c>
      <c r="AG384" s="6" t="str">
        <f>IFERROR(IF($F384="Total",
         SUMPRODUCT(
         INDEX(AG:AG, ROW()-COUNTIF($F$6:INDEX($F:$F, ROW()-1), $F383)) : INDEX(AG:AG, ROW()-1),
         INDEX(AB:AB, ROW()-COUNTIF($F$6:INDEX($F:$F, ROW()-1), $F383)) : INDEX(AB:AB, ROW()-1)
         )
         /SUM(INDEX(AB:AB, ROW()-COUNTIF($F$6:INDEX($F:$F, ROW()-1), $F383)) : INDEX(AB:AB, ROW()-1)),
          AVERAGEIFS(unit_details[Asking PSF],
          unit_details[Active Listing?],TRUE,
          unit_details[Property Name], $F384,
          unit_details[Beds], $L384,
          unit_details[Baths], $M384,
          unit_details[Partial Baths], IF(ISNUMBER($N384),$N384,""),
          unit_details[Sqft],$P384
)),"")</f>
        <v/>
      </c>
      <c r="AH384" s="293" t="str">
        <f>IFERROR(IF($F384="Total",
         SUMPRODUCT(
         INDEX(AH:AH, ROW()-COUNTIF($F$6:INDEX($F:$F, ROW()-1), $F383)) : INDEX(AH:AH, ROW()-1),
         INDEX(AB:AB, ROW()-COUNTIF($F$6:INDEX($F:$F, ROW()-1), $F383)) : INDEX(AB:AB, ROW()-1)
         )
         /SUM(INDEX(AB:AB, ROW()-COUNTIF($F$6:INDEX($F:$F, ROW()-1), $F383)) : INDEX(AB:AB, ROW()-1)),
          AVERAGEIFS(unit_details[Effective Rent],
          unit_details[Active Listing?],TRUE,
          unit_details[Property Name], $F384,
          unit_details[Beds], $L384,
          unit_details[Baths], $M384,
          unit_details[Partial Baths], IF(ISNUMBER($N384),$N384,""),
          unit_details[Sqft],$P384
)),"")</f>
        <v/>
      </c>
      <c r="AI384" s="6" t="str">
        <f>IFERROR(IF($F384="Total",
         SUMPRODUCT(
         INDEX(AI:AI, ROW()-COUNTIF($F$6:INDEX($F:$F, ROW()-1), $F383)) : INDEX(AI:AI, ROW()-1),
         INDEX(AB:AB, ROW()-COUNTIF($F$6:INDEX($F:$F, ROW()-1), $F383)) : INDEX(AB:AB, ROW()-1)
         )
         /SUM(INDEX(AB:AB, ROW()-COUNTIF($F$6:INDEX($F:$F, ROW()-1), $F383)) : INDEX(AB:AB, ROW()-1)),
           AVERAGEIFS(unit_details[Effective PSF],
          unit_details[Active Listing?],TRUE,
          unit_details[Property Name], $F384,
          unit_details[Beds], $L384,
          unit_details[Baths], $M384,
          unit_details[Partial Baths], IF(ISNUMBER($N384),$N384,""),
          unit_details[Sqft],$P384
)),"")</f>
        <v/>
      </c>
      <c r="AJ384" s="824" t="str">
        <f t="shared" si="59"/>
        <v/>
      </c>
      <c r="AK384" s="531" t="str">
        <f t="shared" si="60"/>
        <v/>
      </c>
      <c r="AL384" s="714" t="str">
        <f t="shared" si="61"/>
        <v/>
      </c>
      <c r="AM384" s="531" t="str">
        <f t="shared" si="62"/>
        <v/>
      </c>
      <c r="AN384" s="716" t="str">
        <f t="shared" si="63"/>
        <v/>
      </c>
    </row>
    <row r="385" spans="6:40" x14ac:dyDescent="0.2">
      <c r="F385" s="1" t="str">
        <f t="shared" si="56"/>
        <v/>
      </c>
      <c r="G385" s="713" t="str">
        <f t="shared" si="64"/>
        <v/>
      </c>
      <c r="H385" s="17" t="str">
        <f>IFERROR(VLOOKUP($G385,Table1[[Property]:[Exposure %]],4,0),"")</f>
        <v/>
      </c>
      <c r="I385" s="3" t="str">
        <f>IFERROR(VLOOKUP($G385,Table1[[Property]:[Exposure %]],6,0),"")</f>
        <v/>
      </c>
      <c r="J385" s="3" t="str">
        <f>IFERROR(VLOOKUP($G385,Table1[[Property]:[Exposure %]],7,0),"")</f>
        <v/>
      </c>
      <c r="R385" s="4" t="str">
        <f>IFERROR(VLOOKUP(IF(F385="Total",F384,F385),Table1[[Property]:['# Units]],7,0)*S385,"")</f>
        <v/>
      </c>
      <c r="S385" s="27" t="str">
        <f t="shared" si="57"/>
        <v/>
      </c>
      <c r="T385" s="531" t="str">
        <f>IFERROR(
 IF($F385="Total",
   SUMPRODUCT(
   INDEX(T:T, ROW()-COUNTIF($F$6:INDEX($F:$F, ROW()-1), $F384)) : INDEX(T:T, ROW()-1),
   INDEX(W:W, ROW()-COUNTIF($F$6:INDEX($F:$F, ROW()-1), $F384)) : INDEX(W:W, ROW()-1)
   )
   /SUM(INDEX(W:W, ROW()-COUNTIF($F$6:INDEX($F:$F, ROW()-1), $F384)) : INDEX(W:W, ROW()-1)),
   AVERAGEIFS(
     INDEX((unit_details[Asking Rent],unit_details[Asking PSF]),0,1,IF($U$3="Chunk Rent",1,2)),
     unit_details[Leased Date],"&gt;="&amp;($AM$2-T$5),
     unit_details[Leased Date],"&lt;"&amp;$AM$2,
     unit_details[Beds],$L385,
     unit_details[Baths],$M385,
     unit_details[Partial Baths],IF(ISNUMBER($N385),$N385,""),
     unit_details[Sqft],$P385,
     unit_details[Property Name],$F385)
 ),"")</f>
        <v/>
      </c>
      <c r="U385" s="552" t="str">
        <f>IFERROR(
 IF($F385="Total",
   SUMPRODUCT(
   INDEX(U:U, ROW()-COUNTIF($F$6:INDEX($F:$F, ROW()-1), $F384)) : INDEX(U:U, ROW()-1),
   INDEX(W:W, ROW()-COUNTIF($F$6:INDEX($F:$F, ROW()-1), $F384)) : INDEX(W:W, ROW()-1)
   )
   /SUM(INDEX(W:W, ROW()-COUNTIF($F$6:INDEX($F:$F, ROW()-1), $F384)) : INDEX(W:W, ROW()-1)),
   AVERAGEIFS(
     INDEX((unit_details[Effective Rent],unit_details[Effective PSF]),0,1,IF($U$3="Chunk Rent",1,2)),
     unit_details[Leased Date],"&gt;="&amp;($AM$2-T$5),
     unit_details[Leased Date],"&lt;"&amp;$AM$2,
     unit_details[Beds],$L385,
     unit_details[Baths],$M385,
     unit_details[Partial Baths],IF(ISNUMBER($N385),$N385,""),
     unit_details[Sqft],$P385,
     unit_details[Property Name],$F385)
 ),"")</f>
        <v/>
      </c>
      <c r="V385" s="27" t="str">
        <f t="shared" si="65"/>
        <v/>
      </c>
      <c r="W385" s="526">
        <f>IFERROR(
  IF($F385="Total",
    SUM(INDEX(W:W, ROW()-COUNTIF($F$6:INDEX($F:$F, ROW()-1), $F384)) : INDEX(W:W, ROW()-1)),
    COUNTIFS(
      unit_details[Leased Date], "&gt;="&amp;($AM$2-T$5),
      unit_details[Leased Date], "&lt;"&amp;$AM$2,
      unit_details[Beds], $L385,
      unit_details[Baths], $M385,
      unit_details[Partial Baths], IF(ISNUMBER($N385), $N385, ""),
      unit_details[Sqft],$P385,
      unit_details[Property Name], $F385
    )
  ),
"")</f>
        <v>0</v>
      </c>
      <c r="X385" s="531" t="str">
        <f>IFERROR(
 IF($F385="Total",
   SUMPRODUCT(
   INDEX(X:X, ROW()-COUNTIF($F$6:INDEX($F:$F, ROW()-1), $F384)) : INDEX(X:X, ROW()-1),
   INDEX(AA:AA, ROW()-COUNTIF($F$6:INDEX($F:$F, ROW()-1), $F384)) : INDEX(AA:AA, ROW()-1)
   )
   /SUM(INDEX(AA:AA, ROW()-COUNTIF($F$6:INDEX($F:$F, ROW()-1), $F384)) : INDEX(AA:AA, ROW()-1)),
   AVERAGEIFS(
     INDEX((unit_details[Asking Rent],unit_details[Asking PSF]),0,1,IF($U$3="Chunk Rent",1,2)),
     unit_details[Leased Date],"&gt;="&amp;($AM$2-X$5),
     unit_details[Leased Date],"&lt;"&amp;$AM$2,
     unit_details[Beds],$L385,
     unit_details[Baths],$M385,
     unit_details[Partial Baths],IF(ISNUMBER($N385),$N385,""),
     unit_details[Sqft],$P385,
     unit_details[Property Name],$F385)
 ),"")</f>
        <v/>
      </c>
      <c r="Y385" s="552" t="str">
        <f>IFERROR(
 IF($F385="Total",
   SUMPRODUCT(
   INDEX(Y:Y, ROW()-COUNTIF($F$6:INDEX($F:$F, ROW()-1), $F384)) : INDEX(Y:Y, ROW()-1),
   INDEX(AA:AA, ROW()-COUNTIF($F$6:INDEX($F:$F, ROW()-1), $F384)) : INDEX(AA:AA, ROW()-1)
   )
   /SUM(INDEX(AA:AA, ROW()-COUNTIF($F$6:INDEX($F:$F, ROW()-1), $F384)) : INDEX(AA:AA, ROW()-1)),
   AVERAGEIFS(
     INDEX((unit_details[Effective Rent],unit_details[Effective PSF]),0,1,IF($U$3="Chunk Rent",1,2)),
     unit_details[Leased Date],"&gt;="&amp;($AM$2-X$5),
     unit_details[Leased Date],"&lt;"&amp;$AM$2,
     unit_details[Beds],$L385,
     unit_details[Baths],$M385,
     unit_details[Partial Baths],IF(ISNUMBER($N385),$N385,""),
     unit_details[Sqft],$P385,
     unit_details[Property Name],$F385)
 ),"")</f>
        <v/>
      </c>
      <c r="Z385" s="27" t="str">
        <f t="shared" si="66"/>
        <v/>
      </c>
      <c r="AA385" s="526">
        <f>IFERROR(
  IF($F385="Total",
    SUM(INDEX(AA:AA, ROW()-COUNTIF($F$6:INDEX($F:$F, ROW()-1), $F384)) : INDEX(AA:AA, ROW()-1)),
    COUNTIFS(
      unit_details[Leased Date], "&gt;="&amp;($AM$2-X$5),
      unit_details[Leased Date], "&lt;"&amp;$AM$2,
      unit_details[Beds], $L385,
      unit_details[Baths], $M385,
      unit_details[Partial Baths], IF(ISNUMBER($N385), $N385, ""),
      unit_details[Sqft],$P385,
      unit_details[Property Name], $F385
    )
  ),
"")</f>
        <v>0</v>
      </c>
      <c r="AB385" s="290">
        <f>IF($F385="Total",
SUM(INDEX(AB:AB, ROW()-COUNTIF($F$6:INDEX($F:$F, ROW()-1), $F384)) : INDEX(AB:AB, ROW()-1)),
COUNTIFS(unit_details[Active Listing?],TRUE,
          unit_details[Property Name], $F385,
          unit_details[Beds], $L385,
          unit_details[Baths], $M385,
          unit_details[Partial Baths],IF(ISNUMBER($N385),$N385,""),
          unit_details[Sqft],$P385))</f>
        <v>0</v>
      </c>
      <c r="AC385" s="27" t="str">
        <f t="shared" si="58"/>
        <v/>
      </c>
      <c r="AD385" s="293" t="str">
        <f>IFERROR(IF(AE385="","",IF($F385="Total",
SUMPRODUCT(
   INDEX(AD:AD, ROW()-COUNTIF($F$6:INDEX($F:$F, ROW()-1), $F384)) : INDEX(AD:AD, ROW()-1),
   INDEX(AB:AB, ROW()-COUNTIF($F$6:INDEX($F:$F, ROW()-1), $F384)) : INDEX(AB:AB, ROW()-1)
   )
   /SUM(INDEX(AB:AB, ROW()-COUNTIF($F$6:INDEX($F:$F, ROW()-1), $F384)) : INDEX(AB:AB, ROW()-1)),
          _xlfn.MINIFS(unit_details[Asking Rent],
          unit_details[Active Listing?],TRUE,
          unit_details[Property Name], $F385,
          unit_details[Beds], $L385,
          unit_details[Baths], $M385,
          unit_details[Partial Baths], IF(ISNUMBER($N385),$N385,""),
          unit_details[Sqft],$P385
))),"")</f>
        <v/>
      </c>
      <c r="AE385" s="5" t="str">
        <f>IFERROR(IF($F385="Total",
          SUMPRODUCT(
   INDEX(AE:AE, ROW()-COUNTIF($F$6:INDEX($F:$F, ROW()-1), $F384)) : INDEX(AE:AE, ROW()-1),
   INDEX(AB:AB, ROW()-COUNTIF($F$6:INDEX($F:$F, ROW()-1), $F384)) : INDEX(AB:AB, ROW()-1)
   )
   /SUM(INDEX(AB:AB, ROW()-COUNTIF($F$6:INDEX($F:$F, ROW()-1), $F384)) : INDEX(AB:AB, ROW()-1)),
          AVERAGEIFS(unit_details[Asking Rent],
          unit_details[Active Listing?],TRUE,
          unit_details[Property Name], $F385,
          unit_details[Beds], $L385,
          unit_details[Baths], $M385,
          unit_details[Partial Baths], IF(ISNUMBER($N385),$N385,""),
          unit_details[Sqft],$P385
)),"")</f>
        <v/>
      </c>
      <c r="AF385" s="5" t="str">
        <f>IFERROR(IF(AE385="","",IF($F385="Total",
SUMPRODUCT(
   INDEX(AF:AF, ROW()-COUNTIF($F$6:INDEX($F:$F, ROW()-1), $F384)) : INDEX(AF:AF, ROW()-1),
   INDEX(AB:AB, ROW()-COUNTIF($F$6:INDEX($F:$F, ROW()-1), $F384)) : INDEX(AB:AB, ROW()-1)
   )
   /SUM(INDEX(AB:AB, ROW()-COUNTIF($F$6:INDEX($F:$F, ROW()-1), $F384)) : INDEX(AB:AB, ROW()-1)),
           _xlfn.MAXIFS(unit_details[Asking Rent],
          unit_details[Active Listing?],TRUE,
          unit_details[Property Name], $F385,
          unit_details[Beds], $L385,
          unit_details[Baths], $M385,
          unit_details[Partial Baths], IF(ISNUMBER($N385),$N385,""),
          unit_details[Sqft],$P385
))),"")</f>
        <v/>
      </c>
      <c r="AG385" s="6" t="str">
        <f>IFERROR(IF($F385="Total",
         SUMPRODUCT(
         INDEX(AG:AG, ROW()-COUNTIF($F$6:INDEX($F:$F, ROW()-1), $F384)) : INDEX(AG:AG, ROW()-1),
         INDEX(AB:AB, ROW()-COUNTIF($F$6:INDEX($F:$F, ROW()-1), $F384)) : INDEX(AB:AB, ROW()-1)
         )
         /SUM(INDEX(AB:AB, ROW()-COUNTIF($F$6:INDEX($F:$F, ROW()-1), $F384)) : INDEX(AB:AB, ROW()-1)),
          AVERAGEIFS(unit_details[Asking PSF],
          unit_details[Active Listing?],TRUE,
          unit_details[Property Name], $F385,
          unit_details[Beds], $L385,
          unit_details[Baths], $M385,
          unit_details[Partial Baths], IF(ISNUMBER($N385),$N385,""),
          unit_details[Sqft],$P385
)),"")</f>
        <v/>
      </c>
      <c r="AH385" s="293" t="str">
        <f>IFERROR(IF($F385="Total",
         SUMPRODUCT(
         INDEX(AH:AH, ROW()-COUNTIF($F$6:INDEX($F:$F, ROW()-1), $F384)) : INDEX(AH:AH, ROW()-1),
         INDEX(AB:AB, ROW()-COUNTIF($F$6:INDEX($F:$F, ROW()-1), $F384)) : INDEX(AB:AB, ROW()-1)
         )
         /SUM(INDEX(AB:AB, ROW()-COUNTIF($F$6:INDEX($F:$F, ROW()-1), $F384)) : INDEX(AB:AB, ROW()-1)),
          AVERAGEIFS(unit_details[Effective Rent],
          unit_details[Active Listing?],TRUE,
          unit_details[Property Name], $F385,
          unit_details[Beds], $L385,
          unit_details[Baths], $M385,
          unit_details[Partial Baths], IF(ISNUMBER($N385),$N385,""),
          unit_details[Sqft],$P385
)),"")</f>
        <v/>
      </c>
      <c r="AI385" s="6" t="str">
        <f>IFERROR(IF($F385="Total",
         SUMPRODUCT(
         INDEX(AI:AI, ROW()-COUNTIF($F$6:INDEX($F:$F, ROW()-1), $F384)) : INDEX(AI:AI, ROW()-1),
         INDEX(AB:AB, ROW()-COUNTIF($F$6:INDEX($F:$F, ROW()-1), $F384)) : INDEX(AB:AB, ROW()-1)
         )
         /SUM(INDEX(AB:AB, ROW()-COUNTIF($F$6:INDEX($F:$F, ROW()-1), $F384)) : INDEX(AB:AB, ROW()-1)),
           AVERAGEIFS(unit_details[Effective PSF],
          unit_details[Active Listing?],TRUE,
          unit_details[Property Name], $F385,
          unit_details[Beds], $L385,
          unit_details[Baths], $M385,
          unit_details[Partial Baths], IF(ISNUMBER($N385),$N385,""),
          unit_details[Sqft],$P385
)),"")</f>
        <v/>
      </c>
      <c r="AJ385" s="824" t="str">
        <f t="shared" si="59"/>
        <v/>
      </c>
      <c r="AK385" s="531" t="str">
        <f t="shared" si="60"/>
        <v/>
      </c>
      <c r="AL385" s="714" t="str">
        <f t="shared" si="61"/>
        <v/>
      </c>
      <c r="AM385" s="531" t="str">
        <f t="shared" si="62"/>
        <v/>
      </c>
      <c r="AN385" s="716" t="str">
        <f t="shared" si="63"/>
        <v/>
      </c>
    </row>
    <row r="386" spans="6:40" x14ac:dyDescent="0.2">
      <c r="F386" s="1" t="str">
        <f t="shared" si="56"/>
        <v/>
      </c>
      <c r="G386" s="713" t="str">
        <f t="shared" si="64"/>
        <v/>
      </c>
      <c r="H386" s="17" t="str">
        <f>IFERROR(VLOOKUP($G386,Table1[[Property]:[Exposure %]],4,0),"")</f>
        <v/>
      </c>
      <c r="I386" s="3" t="str">
        <f>IFERROR(VLOOKUP($G386,Table1[[Property]:[Exposure %]],6,0),"")</f>
        <v/>
      </c>
      <c r="J386" s="3" t="str">
        <f>IFERROR(VLOOKUP($G386,Table1[[Property]:[Exposure %]],7,0),"")</f>
        <v/>
      </c>
      <c r="R386" s="4" t="str">
        <f>IFERROR(VLOOKUP(IF(F386="Total",F385,F386),Table1[[Property]:['# Units]],7,0)*S386,"")</f>
        <v/>
      </c>
      <c r="S386" s="27" t="str">
        <f t="shared" si="57"/>
        <v/>
      </c>
      <c r="T386" s="531" t="str">
        <f>IFERROR(
 IF($F386="Total",
   SUMPRODUCT(
   INDEX(T:T, ROW()-COUNTIF($F$6:INDEX($F:$F, ROW()-1), $F385)) : INDEX(T:T, ROW()-1),
   INDEX(W:W, ROW()-COUNTIF($F$6:INDEX($F:$F, ROW()-1), $F385)) : INDEX(W:W, ROW()-1)
   )
   /SUM(INDEX(W:W, ROW()-COUNTIF($F$6:INDEX($F:$F, ROW()-1), $F385)) : INDEX(W:W, ROW()-1)),
   AVERAGEIFS(
     INDEX((unit_details[Asking Rent],unit_details[Asking PSF]),0,1,IF($U$3="Chunk Rent",1,2)),
     unit_details[Leased Date],"&gt;="&amp;($AM$2-T$5),
     unit_details[Leased Date],"&lt;"&amp;$AM$2,
     unit_details[Beds],$L386,
     unit_details[Baths],$M386,
     unit_details[Partial Baths],IF(ISNUMBER($N386),$N386,""),
     unit_details[Sqft],$P386,
     unit_details[Property Name],$F386)
 ),"")</f>
        <v/>
      </c>
      <c r="U386" s="552" t="str">
        <f>IFERROR(
 IF($F386="Total",
   SUMPRODUCT(
   INDEX(U:U, ROW()-COUNTIF($F$6:INDEX($F:$F, ROW()-1), $F385)) : INDEX(U:U, ROW()-1),
   INDEX(W:W, ROW()-COUNTIF($F$6:INDEX($F:$F, ROW()-1), $F385)) : INDEX(W:W, ROW()-1)
   )
   /SUM(INDEX(W:W, ROW()-COUNTIF($F$6:INDEX($F:$F, ROW()-1), $F385)) : INDEX(W:W, ROW()-1)),
   AVERAGEIFS(
     INDEX((unit_details[Effective Rent],unit_details[Effective PSF]),0,1,IF($U$3="Chunk Rent",1,2)),
     unit_details[Leased Date],"&gt;="&amp;($AM$2-T$5),
     unit_details[Leased Date],"&lt;"&amp;$AM$2,
     unit_details[Beds],$L386,
     unit_details[Baths],$M386,
     unit_details[Partial Baths],IF(ISNUMBER($N386),$N386,""),
     unit_details[Sqft],$P386,
     unit_details[Property Name],$F386)
 ),"")</f>
        <v/>
      </c>
      <c r="V386" s="27" t="str">
        <f t="shared" si="65"/>
        <v/>
      </c>
      <c r="W386" s="526">
        <f>IFERROR(
  IF($F386="Total",
    SUM(INDEX(W:W, ROW()-COUNTIF($F$6:INDEX($F:$F, ROW()-1), $F385)) : INDEX(W:W, ROW()-1)),
    COUNTIFS(
      unit_details[Leased Date], "&gt;="&amp;($AM$2-T$5),
      unit_details[Leased Date], "&lt;"&amp;$AM$2,
      unit_details[Beds], $L386,
      unit_details[Baths], $M386,
      unit_details[Partial Baths], IF(ISNUMBER($N386), $N386, ""),
      unit_details[Sqft],$P386,
      unit_details[Property Name], $F386
    )
  ),
"")</f>
        <v>0</v>
      </c>
      <c r="X386" s="531" t="str">
        <f>IFERROR(
 IF($F386="Total",
   SUMPRODUCT(
   INDEX(X:X, ROW()-COUNTIF($F$6:INDEX($F:$F, ROW()-1), $F385)) : INDEX(X:X, ROW()-1),
   INDEX(AA:AA, ROW()-COUNTIF($F$6:INDEX($F:$F, ROW()-1), $F385)) : INDEX(AA:AA, ROW()-1)
   )
   /SUM(INDEX(AA:AA, ROW()-COUNTIF($F$6:INDEX($F:$F, ROW()-1), $F385)) : INDEX(AA:AA, ROW()-1)),
   AVERAGEIFS(
     INDEX((unit_details[Asking Rent],unit_details[Asking PSF]),0,1,IF($U$3="Chunk Rent",1,2)),
     unit_details[Leased Date],"&gt;="&amp;($AM$2-X$5),
     unit_details[Leased Date],"&lt;"&amp;$AM$2,
     unit_details[Beds],$L386,
     unit_details[Baths],$M386,
     unit_details[Partial Baths],IF(ISNUMBER($N386),$N386,""),
     unit_details[Sqft],$P386,
     unit_details[Property Name],$F386)
 ),"")</f>
        <v/>
      </c>
      <c r="Y386" s="552" t="str">
        <f>IFERROR(
 IF($F386="Total",
   SUMPRODUCT(
   INDEX(Y:Y, ROW()-COUNTIF($F$6:INDEX($F:$F, ROW()-1), $F385)) : INDEX(Y:Y, ROW()-1),
   INDEX(AA:AA, ROW()-COUNTIF($F$6:INDEX($F:$F, ROW()-1), $F385)) : INDEX(AA:AA, ROW()-1)
   )
   /SUM(INDEX(AA:AA, ROW()-COUNTIF($F$6:INDEX($F:$F, ROW()-1), $F385)) : INDEX(AA:AA, ROW()-1)),
   AVERAGEIFS(
     INDEX((unit_details[Effective Rent],unit_details[Effective PSF]),0,1,IF($U$3="Chunk Rent",1,2)),
     unit_details[Leased Date],"&gt;="&amp;($AM$2-X$5),
     unit_details[Leased Date],"&lt;"&amp;$AM$2,
     unit_details[Beds],$L386,
     unit_details[Baths],$M386,
     unit_details[Partial Baths],IF(ISNUMBER($N386),$N386,""),
     unit_details[Sqft],$P386,
     unit_details[Property Name],$F386)
 ),"")</f>
        <v/>
      </c>
      <c r="Z386" s="27" t="str">
        <f t="shared" si="66"/>
        <v/>
      </c>
      <c r="AA386" s="526">
        <f>IFERROR(
  IF($F386="Total",
    SUM(INDEX(AA:AA, ROW()-COUNTIF($F$6:INDEX($F:$F, ROW()-1), $F385)) : INDEX(AA:AA, ROW()-1)),
    COUNTIFS(
      unit_details[Leased Date], "&gt;="&amp;($AM$2-X$5),
      unit_details[Leased Date], "&lt;"&amp;$AM$2,
      unit_details[Beds], $L386,
      unit_details[Baths], $M386,
      unit_details[Partial Baths], IF(ISNUMBER($N386), $N386, ""),
      unit_details[Sqft],$P386,
      unit_details[Property Name], $F386
    )
  ),
"")</f>
        <v>0</v>
      </c>
      <c r="AB386" s="290">
        <f>IF($F386="Total",
SUM(INDEX(AB:AB, ROW()-COUNTIF($F$6:INDEX($F:$F, ROW()-1), $F385)) : INDEX(AB:AB, ROW()-1)),
COUNTIFS(unit_details[Active Listing?],TRUE,
          unit_details[Property Name], $F386,
          unit_details[Beds], $L386,
          unit_details[Baths], $M386,
          unit_details[Partial Baths],IF(ISNUMBER($N386),$N386,""),
          unit_details[Sqft],$P386))</f>
        <v>0</v>
      </c>
      <c r="AC386" s="27" t="str">
        <f t="shared" si="58"/>
        <v/>
      </c>
      <c r="AD386" s="293" t="str">
        <f>IFERROR(IF(AE386="","",IF($F386="Total",
SUMPRODUCT(
   INDEX(AD:AD, ROW()-COUNTIF($F$6:INDEX($F:$F, ROW()-1), $F385)) : INDEX(AD:AD, ROW()-1),
   INDEX(AB:AB, ROW()-COUNTIF($F$6:INDEX($F:$F, ROW()-1), $F385)) : INDEX(AB:AB, ROW()-1)
   )
   /SUM(INDEX(AB:AB, ROW()-COUNTIF($F$6:INDEX($F:$F, ROW()-1), $F385)) : INDEX(AB:AB, ROW()-1)),
          _xlfn.MINIFS(unit_details[Asking Rent],
          unit_details[Active Listing?],TRUE,
          unit_details[Property Name], $F386,
          unit_details[Beds], $L386,
          unit_details[Baths], $M386,
          unit_details[Partial Baths], IF(ISNUMBER($N386),$N386,""),
          unit_details[Sqft],$P386
))),"")</f>
        <v/>
      </c>
      <c r="AE386" s="5" t="str">
        <f>IFERROR(IF($F386="Total",
          SUMPRODUCT(
   INDEX(AE:AE, ROW()-COUNTIF($F$6:INDEX($F:$F, ROW()-1), $F385)) : INDEX(AE:AE, ROW()-1),
   INDEX(AB:AB, ROW()-COUNTIF($F$6:INDEX($F:$F, ROW()-1), $F385)) : INDEX(AB:AB, ROW()-1)
   )
   /SUM(INDEX(AB:AB, ROW()-COUNTIF($F$6:INDEX($F:$F, ROW()-1), $F385)) : INDEX(AB:AB, ROW()-1)),
          AVERAGEIFS(unit_details[Asking Rent],
          unit_details[Active Listing?],TRUE,
          unit_details[Property Name], $F386,
          unit_details[Beds], $L386,
          unit_details[Baths], $M386,
          unit_details[Partial Baths], IF(ISNUMBER($N386),$N386,""),
          unit_details[Sqft],$P386
)),"")</f>
        <v/>
      </c>
      <c r="AF386" s="5" t="str">
        <f>IFERROR(IF(AE386="","",IF($F386="Total",
SUMPRODUCT(
   INDEX(AF:AF, ROW()-COUNTIF($F$6:INDEX($F:$F, ROW()-1), $F385)) : INDEX(AF:AF, ROW()-1),
   INDEX(AB:AB, ROW()-COUNTIF($F$6:INDEX($F:$F, ROW()-1), $F385)) : INDEX(AB:AB, ROW()-1)
   )
   /SUM(INDEX(AB:AB, ROW()-COUNTIF($F$6:INDEX($F:$F, ROW()-1), $F385)) : INDEX(AB:AB, ROW()-1)),
           _xlfn.MAXIFS(unit_details[Asking Rent],
          unit_details[Active Listing?],TRUE,
          unit_details[Property Name], $F386,
          unit_details[Beds], $L386,
          unit_details[Baths], $M386,
          unit_details[Partial Baths], IF(ISNUMBER($N386),$N386,""),
          unit_details[Sqft],$P386
))),"")</f>
        <v/>
      </c>
      <c r="AG386" s="6" t="str">
        <f>IFERROR(IF($F386="Total",
         SUMPRODUCT(
         INDEX(AG:AG, ROW()-COUNTIF($F$6:INDEX($F:$F, ROW()-1), $F385)) : INDEX(AG:AG, ROW()-1),
         INDEX(AB:AB, ROW()-COUNTIF($F$6:INDEX($F:$F, ROW()-1), $F385)) : INDEX(AB:AB, ROW()-1)
         )
         /SUM(INDEX(AB:AB, ROW()-COUNTIF($F$6:INDEX($F:$F, ROW()-1), $F385)) : INDEX(AB:AB, ROW()-1)),
          AVERAGEIFS(unit_details[Asking PSF],
          unit_details[Active Listing?],TRUE,
          unit_details[Property Name], $F386,
          unit_details[Beds], $L386,
          unit_details[Baths], $M386,
          unit_details[Partial Baths], IF(ISNUMBER($N386),$N386,""),
          unit_details[Sqft],$P386
)),"")</f>
        <v/>
      </c>
      <c r="AH386" s="293" t="str">
        <f>IFERROR(IF($F386="Total",
         SUMPRODUCT(
         INDEX(AH:AH, ROW()-COUNTIF($F$6:INDEX($F:$F, ROW()-1), $F385)) : INDEX(AH:AH, ROW()-1),
         INDEX(AB:AB, ROW()-COUNTIF($F$6:INDEX($F:$F, ROW()-1), $F385)) : INDEX(AB:AB, ROW()-1)
         )
         /SUM(INDEX(AB:AB, ROW()-COUNTIF($F$6:INDEX($F:$F, ROW()-1), $F385)) : INDEX(AB:AB, ROW()-1)),
          AVERAGEIFS(unit_details[Effective Rent],
          unit_details[Active Listing?],TRUE,
          unit_details[Property Name], $F386,
          unit_details[Beds], $L386,
          unit_details[Baths], $M386,
          unit_details[Partial Baths], IF(ISNUMBER($N386),$N386,""),
          unit_details[Sqft],$P386
)),"")</f>
        <v/>
      </c>
      <c r="AI386" s="6" t="str">
        <f>IFERROR(IF($F386="Total",
         SUMPRODUCT(
         INDEX(AI:AI, ROW()-COUNTIF($F$6:INDEX($F:$F, ROW()-1), $F385)) : INDEX(AI:AI, ROW()-1),
         INDEX(AB:AB, ROW()-COUNTIF($F$6:INDEX($F:$F, ROW()-1), $F385)) : INDEX(AB:AB, ROW()-1)
         )
         /SUM(INDEX(AB:AB, ROW()-COUNTIF($F$6:INDEX($F:$F, ROW()-1), $F385)) : INDEX(AB:AB, ROW()-1)),
           AVERAGEIFS(unit_details[Effective PSF],
          unit_details[Active Listing?],TRUE,
          unit_details[Property Name], $F386,
          unit_details[Beds], $L386,
          unit_details[Baths], $M386,
          unit_details[Partial Baths], IF(ISNUMBER($N386),$N386,""),
          unit_details[Sqft],$P386
)),"")</f>
        <v/>
      </c>
      <c r="AJ386" s="824" t="str">
        <f t="shared" si="59"/>
        <v/>
      </c>
      <c r="AK386" s="531" t="str">
        <f t="shared" si="60"/>
        <v/>
      </c>
      <c r="AL386" s="714" t="str">
        <f t="shared" si="61"/>
        <v/>
      </c>
      <c r="AM386" s="531" t="str">
        <f t="shared" si="62"/>
        <v/>
      </c>
      <c r="AN386" s="716" t="str">
        <f t="shared" si="63"/>
        <v/>
      </c>
    </row>
    <row r="387" spans="6:40" x14ac:dyDescent="0.2">
      <c r="F387" s="1" t="str">
        <f t="shared" si="56"/>
        <v/>
      </c>
      <c r="G387" s="713" t="str">
        <f t="shared" si="64"/>
        <v/>
      </c>
      <c r="H387" s="17" t="str">
        <f>IFERROR(VLOOKUP($G387,Table1[[Property]:[Exposure %]],4,0),"")</f>
        <v/>
      </c>
      <c r="I387" s="3" t="str">
        <f>IFERROR(VLOOKUP($G387,Table1[[Property]:[Exposure %]],6,0),"")</f>
        <v/>
      </c>
      <c r="J387" s="3" t="str">
        <f>IFERROR(VLOOKUP($G387,Table1[[Property]:[Exposure %]],7,0),"")</f>
        <v/>
      </c>
      <c r="R387" s="4" t="str">
        <f>IFERROR(VLOOKUP(IF(F387="Total",F386,F387),Table1[[Property]:['# Units]],7,0)*S387,"")</f>
        <v/>
      </c>
      <c r="S387" s="27" t="str">
        <f t="shared" si="57"/>
        <v/>
      </c>
      <c r="T387" s="531" t="str">
        <f>IFERROR(
 IF($F387="Total",
   SUMPRODUCT(
   INDEX(T:T, ROW()-COUNTIF($F$6:INDEX($F:$F, ROW()-1), $F386)) : INDEX(T:T, ROW()-1),
   INDEX(W:W, ROW()-COUNTIF($F$6:INDEX($F:$F, ROW()-1), $F386)) : INDEX(W:W, ROW()-1)
   )
   /SUM(INDEX(W:W, ROW()-COUNTIF($F$6:INDEX($F:$F, ROW()-1), $F386)) : INDEX(W:W, ROW()-1)),
   AVERAGEIFS(
     INDEX((unit_details[Asking Rent],unit_details[Asking PSF]),0,1,IF($U$3="Chunk Rent",1,2)),
     unit_details[Leased Date],"&gt;="&amp;($AM$2-T$5),
     unit_details[Leased Date],"&lt;"&amp;$AM$2,
     unit_details[Beds],$L387,
     unit_details[Baths],$M387,
     unit_details[Partial Baths],IF(ISNUMBER($N387),$N387,""),
     unit_details[Sqft],$P387,
     unit_details[Property Name],$F387)
 ),"")</f>
        <v/>
      </c>
      <c r="U387" s="552" t="str">
        <f>IFERROR(
 IF($F387="Total",
   SUMPRODUCT(
   INDEX(U:U, ROW()-COUNTIF($F$6:INDEX($F:$F, ROW()-1), $F386)) : INDEX(U:U, ROW()-1),
   INDEX(W:W, ROW()-COUNTIF($F$6:INDEX($F:$F, ROW()-1), $F386)) : INDEX(W:W, ROW()-1)
   )
   /SUM(INDEX(W:W, ROW()-COUNTIF($F$6:INDEX($F:$F, ROW()-1), $F386)) : INDEX(W:W, ROW()-1)),
   AVERAGEIFS(
     INDEX((unit_details[Effective Rent],unit_details[Effective PSF]),0,1,IF($U$3="Chunk Rent",1,2)),
     unit_details[Leased Date],"&gt;="&amp;($AM$2-T$5),
     unit_details[Leased Date],"&lt;"&amp;$AM$2,
     unit_details[Beds],$L387,
     unit_details[Baths],$M387,
     unit_details[Partial Baths],IF(ISNUMBER($N387),$N387,""),
     unit_details[Sqft],$P387,
     unit_details[Property Name],$F387)
 ),"")</f>
        <v/>
      </c>
      <c r="V387" s="27" t="str">
        <f t="shared" si="65"/>
        <v/>
      </c>
      <c r="W387" s="526">
        <f>IFERROR(
  IF($F387="Total",
    SUM(INDEX(W:W, ROW()-COUNTIF($F$6:INDEX($F:$F, ROW()-1), $F386)) : INDEX(W:W, ROW()-1)),
    COUNTIFS(
      unit_details[Leased Date], "&gt;="&amp;($AM$2-T$5),
      unit_details[Leased Date], "&lt;"&amp;$AM$2,
      unit_details[Beds], $L387,
      unit_details[Baths], $M387,
      unit_details[Partial Baths], IF(ISNUMBER($N387), $N387, ""),
      unit_details[Sqft],$P387,
      unit_details[Property Name], $F387
    )
  ),
"")</f>
        <v>0</v>
      </c>
      <c r="X387" s="531" t="str">
        <f>IFERROR(
 IF($F387="Total",
   SUMPRODUCT(
   INDEX(X:X, ROW()-COUNTIF($F$6:INDEX($F:$F, ROW()-1), $F386)) : INDEX(X:X, ROW()-1),
   INDEX(AA:AA, ROW()-COUNTIF($F$6:INDEX($F:$F, ROW()-1), $F386)) : INDEX(AA:AA, ROW()-1)
   )
   /SUM(INDEX(AA:AA, ROW()-COUNTIF($F$6:INDEX($F:$F, ROW()-1), $F386)) : INDEX(AA:AA, ROW()-1)),
   AVERAGEIFS(
     INDEX((unit_details[Asking Rent],unit_details[Asking PSF]),0,1,IF($U$3="Chunk Rent",1,2)),
     unit_details[Leased Date],"&gt;="&amp;($AM$2-X$5),
     unit_details[Leased Date],"&lt;"&amp;$AM$2,
     unit_details[Beds],$L387,
     unit_details[Baths],$M387,
     unit_details[Partial Baths],IF(ISNUMBER($N387),$N387,""),
     unit_details[Sqft],$P387,
     unit_details[Property Name],$F387)
 ),"")</f>
        <v/>
      </c>
      <c r="Y387" s="552" t="str">
        <f>IFERROR(
 IF($F387="Total",
   SUMPRODUCT(
   INDEX(Y:Y, ROW()-COUNTIF($F$6:INDEX($F:$F, ROW()-1), $F386)) : INDEX(Y:Y, ROW()-1),
   INDEX(AA:AA, ROW()-COUNTIF($F$6:INDEX($F:$F, ROW()-1), $F386)) : INDEX(AA:AA, ROW()-1)
   )
   /SUM(INDEX(AA:AA, ROW()-COUNTIF($F$6:INDEX($F:$F, ROW()-1), $F386)) : INDEX(AA:AA, ROW()-1)),
   AVERAGEIFS(
     INDEX((unit_details[Effective Rent],unit_details[Effective PSF]),0,1,IF($U$3="Chunk Rent",1,2)),
     unit_details[Leased Date],"&gt;="&amp;($AM$2-X$5),
     unit_details[Leased Date],"&lt;"&amp;$AM$2,
     unit_details[Beds],$L387,
     unit_details[Baths],$M387,
     unit_details[Partial Baths],IF(ISNUMBER($N387),$N387,""),
     unit_details[Sqft],$P387,
     unit_details[Property Name],$F387)
 ),"")</f>
        <v/>
      </c>
      <c r="Z387" s="27" t="str">
        <f t="shared" si="66"/>
        <v/>
      </c>
      <c r="AA387" s="526">
        <f>IFERROR(
  IF($F387="Total",
    SUM(INDEX(AA:AA, ROW()-COUNTIF($F$6:INDEX($F:$F, ROW()-1), $F386)) : INDEX(AA:AA, ROW()-1)),
    COUNTIFS(
      unit_details[Leased Date], "&gt;="&amp;($AM$2-X$5),
      unit_details[Leased Date], "&lt;"&amp;$AM$2,
      unit_details[Beds], $L387,
      unit_details[Baths], $M387,
      unit_details[Partial Baths], IF(ISNUMBER($N387), $N387, ""),
      unit_details[Sqft],$P387,
      unit_details[Property Name], $F387
    )
  ),
"")</f>
        <v>0</v>
      </c>
      <c r="AB387" s="290">
        <f>IF($F387="Total",
SUM(INDEX(AB:AB, ROW()-COUNTIF($F$6:INDEX($F:$F, ROW()-1), $F386)) : INDEX(AB:AB, ROW()-1)),
COUNTIFS(unit_details[Active Listing?],TRUE,
          unit_details[Property Name], $F387,
          unit_details[Beds], $L387,
          unit_details[Baths], $M387,
          unit_details[Partial Baths],IF(ISNUMBER($N387),$N387,""),
          unit_details[Sqft],$P387))</f>
        <v>0</v>
      </c>
      <c r="AC387" s="27" t="str">
        <f t="shared" si="58"/>
        <v/>
      </c>
      <c r="AD387" s="293" t="str">
        <f>IFERROR(IF(AE387="","",IF($F387="Total",
SUMPRODUCT(
   INDEX(AD:AD, ROW()-COUNTIF($F$6:INDEX($F:$F, ROW()-1), $F386)) : INDEX(AD:AD, ROW()-1),
   INDEX(AB:AB, ROW()-COUNTIF($F$6:INDEX($F:$F, ROW()-1), $F386)) : INDEX(AB:AB, ROW()-1)
   )
   /SUM(INDEX(AB:AB, ROW()-COUNTIF($F$6:INDEX($F:$F, ROW()-1), $F386)) : INDEX(AB:AB, ROW()-1)),
          _xlfn.MINIFS(unit_details[Asking Rent],
          unit_details[Active Listing?],TRUE,
          unit_details[Property Name], $F387,
          unit_details[Beds], $L387,
          unit_details[Baths], $M387,
          unit_details[Partial Baths], IF(ISNUMBER($N387),$N387,""),
          unit_details[Sqft],$P387
))),"")</f>
        <v/>
      </c>
      <c r="AE387" s="5" t="str">
        <f>IFERROR(IF($F387="Total",
          SUMPRODUCT(
   INDEX(AE:AE, ROW()-COUNTIF($F$6:INDEX($F:$F, ROW()-1), $F386)) : INDEX(AE:AE, ROW()-1),
   INDEX(AB:AB, ROW()-COUNTIF($F$6:INDEX($F:$F, ROW()-1), $F386)) : INDEX(AB:AB, ROW()-1)
   )
   /SUM(INDEX(AB:AB, ROW()-COUNTIF($F$6:INDEX($F:$F, ROW()-1), $F386)) : INDEX(AB:AB, ROW()-1)),
          AVERAGEIFS(unit_details[Asking Rent],
          unit_details[Active Listing?],TRUE,
          unit_details[Property Name], $F387,
          unit_details[Beds], $L387,
          unit_details[Baths], $M387,
          unit_details[Partial Baths], IF(ISNUMBER($N387),$N387,""),
          unit_details[Sqft],$P387
)),"")</f>
        <v/>
      </c>
      <c r="AF387" s="5" t="str">
        <f>IFERROR(IF(AE387="","",IF($F387="Total",
SUMPRODUCT(
   INDEX(AF:AF, ROW()-COUNTIF($F$6:INDEX($F:$F, ROW()-1), $F386)) : INDEX(AF:AF, ROW()-1),
   INDEX(AB:AB, ROW()-COUNTIF($F$6:INDEX($F:$F, ROW()-1), $F386)) : INDEX(AB:AB, ROW()-1)
   )
   /SUM(INDEX(AB:AB, ROW()-COUNTIF($F$6:INDEX($F:$F, ROW()-1), $F386)) : INDEX(AB:AB, ROW()-1)),
           _xlfn.MAXIFS(unit_details[Asking Rent],
          unit_details[Active Listing?],TRUE,
          unit_details[Property Name], $F387,
          unit_details[Beds], $L387,
          unit_details[Baths], $M387,
          unit_details[Partial Baths], IF(ISNUMBER($N387),$N387,""),
          unit_details[Sqft],$P387
))),"")</f>
        <v/>
      </c>
      <c r="AG387" s="6" t="str">
        <f>IFERROR(IF($F387="Total",
         SUMPRODUCT(
         INDEX(AG:AG, ROW()-COUNTIF($F$6:INDEX($F:$F, ROW()-1), $F386)) : INDEX(AG:AG, ROW()-1),
         INDEX(AB:AB, ROW()-COUNTIF($F$6:INDEX($F:$F, ROW()-1), $F386)) : INDEX(AB:AB, ROW()-1)
         )
         /SUM(INDEX(AB:AB, ROW()-COUNTIF($F$6:INDEX($F:$F, ROW()-1), $F386)) : INDEX(AB:AB, ROW()-1)),
          AVERAGEIFS(unit_details[Asking PSF],
          unit_details[Active Listing?],TRUE,
          unit_details[Property Name], $F387,
          unit_details[Beds], $L387,
          unit_details[Baths], $M387,
          unit_details[Partial Baths], IF(ISNUMBER($N387),$N387,""),
          unit_details[Sqft],$P387
)),"")</f>
        <v/>
      </c>
      <c r="AH387" s="293" t="str">
        <f>IFERROR(IF($F387="Total",
         SUMPRODUCT(
         INDEX(AH:AH, ROW()-COUNTIF($F$6:INDEX($F:$F, ROW()-1), $F386)) : INDEX(AH:AH, ROW()-1),
         INDEX(AB:AB, ROW()-COUNTIF($F$6:INDEX($F:$F, ROW()-1), $F386)) : INDEX(AB:AB, ROW()-1)
         )
         /SUM(INDEX(AB:AB, ROW()-COUNTIF($F$6:INDEX($F:$F, ROW()-1), $F386)) : INDEX(AB:AB, ROW()-1)),
          AVERAGEIFS(unit_details[Effective Rent],
          unit_details[Active Listing?],TRUE,
          unit_details[Property Name], $F387,
          unit_details[Beds], $L387,
          unit_details[Baths], $M387,
          unit_details[Partial Baths], IF(ISNUMBER($N387),$N387,""),
          unit_details[Sqft],$P387
)),"")</f>
        <v/>
      </c>
      <c r="AI387" s="6" t="str">
        <f>IFERROR(IF($F387="Total",
         SUMPRODUCT(
         INDEX(AI:AI, ROW()-COUNTIF($F$6:INDEX($F:$F, ROW()-1), $F386)) : INDEX(AI:AI, ROW()-1),
         INDEX(AB:AB, ROW()-COUNTIF($F$6:INDEX($F:$F, ROW()-1), $F386)) : INDEX(AB:AB, ROW()-1)
         )
         /SUM(INDEX(AB:AB, ROW()-COUNTIF($F$6:INDEX($F:$F, ROW()-1), $F386)) : INDEX(AB:AB, ROW()-1)),
           AVERAGEIFS(unit_details[Effective PSF],
          unit_details[Active Listing?],TRUE,
          unit_details[Property Name], $F387,
          unit_details[Beds], $L387,
          unit_details[Baths], $M387,
          unit_details[Partial Baths], IF(ISNUMBER($N387),$N387,""),
          unit_details[Sqft],$P387
)),"")</f>
        <v/>
      </c>
      <c r="AJ387" s="824" t="str">
        <f t="shared" si="59"/>
        <v/>
      </c>
      <c r="AK387" s="531" t="str">
        <f t="shared" si="60"/>
        <v/>
      </c>
      <c r="AL387" s="714" t="str">
        <f t="shared" si="61"/>
        <v/>
      </c>
      <c r="AM387" s="531" t="str">
        <f t="shared" si="62"/>
        <v/>
      </c>
      <c r="AN387" s="716" t="str">
        <f t="shared" si="63"/>
        <v/>
      </c>
    </row>
    <row r="388" spans="6:40" x14ac:dyDescent="0.2">
      <c r="F388" s="1" t="str">
        <f t="shared" si="56"/>
        <v/>
      </c>
      <c r="G388" s="713" t="str">
        <f t="shared" si="64"/>
        <v/>
      </c>
      <c r="H388" s="17" t="str">
        <f>IFERROR(VLOOKUP($G388,Table1[[Property]:[Exposure %]],4,0),"")</f>
        <v/>
      </c>
      <c r="I388" s="3" t="str">
        <f>IFERROR(VLOOKUP($G388,Table1[[Property]:[Exposure %]],6,0),"")</f>
        <v/>
      </c>
      <c r="J388" s="3" t="str">
        <f>IFERROR(VLOOKUP($G388,Table1[[Property]:[Exposure %]],7,0),"")</f>
        <v/>
      </c>
      <c r="R388" s="4" t="str">
        <f>IFERROR(VLOOKUP(IF(F388="Total",F387,F388),Table1[[Property]:['# Units]],7,0)*S388,"")</f>
        <v/>
      </c>
      <c r="S388" s="27" t="str">
        <f t="shared" si="57"/>
        <v/>
      </c>
      <c r="T388" s="531" t="str">
        <f>IFERROR(
 IF($F388="Total",
   SUMPRODUCT(
   INDEX(T:T, ROW()-COUNTIF($F$6:INDEX($F:$F, ROW()-1), $F387)) : INDEX(T:T, ROW()-1),
   INDEX(W:W, ROW()-COUNTIF($F$6:INDEX($F:$F, ROW()-1), $F387)) : INDEX(W:W, ROW()-1)
   )
   /SUM(INDEX(W:W, ROW()-COUNTIF($F$6:INDEX($F:$F, ROW()-1), $F387)) : INDEX(W:W, ROW()-1)),
   AVERAGEIFS(
     INDEX((unit_details[Asking Rent],unit_details[Asking PSF]),0,1,IF($U$3="Chunk Rent",1,2)),
     unit_details[Leased Date],"&gt;="&amp;($AM$2-T$5),
     unit_details[Leased Date],"&lt;"&amp;$AM$2,
     unit_details[Beds],$L388,
     unit_details[Baths],$M388,
     unit_details[Partial Baths],IF(ISNUMBER($N388),$N388,""),
     unit_details[Sqft],$P388,
     unit_details[Property Name],$F388)
 ),"")</f>
        <v/>
      </c>
      <c r="U388" s="552" t="str">
        <f>IFERROR(
 IF($F388="Total",
   SUMPRODUCT(
   INDEX(U:U, ROW()-COUNTIF($F$6:INDEX($F:$F, ROW()-1), $F387)) : INDEX(U:U, ROW()-1),
   INDEX(W:W, ROW()-COUNTIF($F$6:INDEX($F:$F, ROW()-1), $F387)) : INDEX(W:W, ROW()-1)
   )
   /SUM(INDEX(W:W, ROW()-COUNTIF($F$6:INDEX($F:$F, ROW()-1), $F387)) : INDEX(W:W, ROW()-1)),
   AVERAGEIFS(
     INDEX((unit_details[Effective Rent],unit_details[Effective PSF]),0,1,IF($U$3="Chunk Rent",1,2)),
     unit_details[Leased Date],"&gt;="&amp;($AM$2-T$5),
     unit_details[Leased Date],"&lt;"&amp;$AM$2,
     unit_details[Beds],$L388,
     unit_details[Baths],$M388,
     unit_details[Partial Baths],IF(ISNUMBER($N388),$N388,""),
     unit_details[Sqft],$P388,
     unit_details[Property Name],$F388)
 ),"")</f>
        <v/>
      </c>
      <c r="V388" s="27" t="str">
        <f t="shared" si="65"/>
        <v/>
      </c>
      <c r="W388" s="526">
        <f>IFERROR(
  IF($F388="Total",
    SUM(INDEX(W:W, ROW()-COUNTIF($F$6:INDEX($F:$F, ROW()-1), $F387)) : INDEX(W:W, ROW()-1)),
    COUNTIFS(
      unit_details[Leased Date], "&gt;="&amp;($AM$2-T$5),
      unit_details[Leased Date], "&lt;"&amp;$AM$2,
      unit_details[Beds], $L388,
      unit_details[Baths], $M388,
      unit_details[Partial Baths], IF(ISNUMBER($N388), $N388, ""),
      unit_details[Sqft],$P388,
      unit_details[Property Name], $F388
    )
  ),
"")</f>
        <v>0</v>
      </c>
      <c r="X388" s="531" t="str">
        <f>IFERROR(
 IF($F388="Total",
   SUMPRODUCT(
   INDEX(X:X, ROW()-COUNTIF($F$6:INDEX($F:$F, ROW()-1), $F387)) : INDEX(X:X, ROW()-1),
   INDEX(AA:AA, ROW()-COUNTIF($F$6:INDEX($F:$F, ROW()-1), $F387)) : INDEX(AA:AA, ROW()-1)
   )
   /SUM(INDEX(AA:AA, ROW()-COUNTIF($F$6:INDEX($F:$F, ROW()-1), $F387)) : INDEX(AA:AA, ROW()-1)),
   AVERAGEIFS(
     INDEX((unit_details[Asking Rent],unit_details[Asking PSF]),0,1,IF($U$3="Chunk Rent",1,2)),
     unit_details[Leased Date],"&gt;="&amp;($AM$2-X$5),
     unit_details[Leased Date],"&lt;"&amp;$AM$2,
     unit_details[Beds],$L388,
     unit_details[Baths],$M388,
     unit_details[Partial Baths],IF(ISNUMBER($N388),$N388,""),
     unit_details[Sqft],$P388,
     unit_details[Property Name],$F388)
 ),"")</f>
        <v/>
      </c>
      <c r="Y388" s="552" t="str">
        <f>IFERROR(
 IF($F388="Total",
   SUMPRODUCT(
   INDEX(Y:Y, ROW()-COUNTIF($F$6:INDEX($F:$F, ROW()-1), $F387)) : INDEX(Y:Y, ROW()-1),
   INDEX(AA:AA, ROW()-COUNTIF($F$6:INDEX($F:$F, ROW()-1), $F387)) : INDEX(AA:AA, ROW()-1)
   )
   /SUM(INDEX(AA:AA, ROW()-COUNTIF($F$6:INDEX($F:$F, ROW()-1), $F387)) : INDEX(AA:AA, ROW()-1)),
   AVERAGEIFS(
     INDEX((unit_details[Effective Rent],unit_details[Effective PSF]),0,1,IF($U$3="Chunk Rent",1,2)),
     unit_details[Leased Date],"&gt;="&amp;($AM$2-X$5),
     unit_details[Leased Date],"&lt;"&amp;$AM$2,
     unit_details[Beds],$L388,
     unit_details[Baths],$M388,
     unit_details[Partial Baths],IF(ISNUMBER($N388),$N388,""),
     unit_details[Sqft],$P388,
     unit_details[Property Name],$F388)
 ),"")</f>
        <v/>
      </c>
      <c r="Z388" s="27" t="str">
        <f t="shared" si="66"/>
        <v/>
      </c>
      <c r="AA388" s="526">
        <f>IFERROR(
  IF($F388="Total",
    SUM(INDEX(AA:AA, ROW()-COUNTIF($F$6:INDEX($F:$F, ROW()-1), $F387)) : INDEX(AA:AA, ROW()-1)),
    COUNTIFS(
      unit_details[Leased Date], "&gt;="&amp;($AM$2-X$5),
      unit_details[Leased Date], "&lt;"&amp;$AM$2,
      unit_details[Beds], $L388,
      unit_details[Baths], $M388,
      unit_details[Partial Baths], IF(ISNUMBER($N388), $N388, ""),
      unit_details[Sqft],$P388,
      unit_details[Property Name], $F388
    )
  ),
"")</f>
        <v>0</v>
      </c>
      <c r="AB388" s="290">
        <f>IF($F388="Total",
SUM(INDEX(AB:AB, ROW()-COUNTIF($F$6:INDEX($F:$F, ROW()-1), $F387)) : INDEX(AB:AB, ROW()-1)),
COUNTIFS(unit_details[Active Listing?],TRUE,
          unit_details[Property Name], $F388,
          unit_details[Beds], $L388,
          unit_details[Baths], $M388,
          unit_details[Partial Baths],IF(ISNUMBER($N388),$N388,""),
          unit_details[Sqft],$P388))</f>
        <v>0</v>
      </c>
      <c r="AC388" s="27" t="str">
        <f t="shared" si="58"/>
        <v/>
      </c>
      <c r="AD388" s="293" t="str">
        <f>IFERROR(IF(AE388="","",IF($F388="Total",
SUMPRODUCT(
   INDEX(AD:AD, ROW()-COUNTIF($F$6:INDEX($F:$F, ROW()-1), $F387)) : INDEX(AD:AD, ROW()-1),
   INDEX(AB:AB, ROW()-COUNTIF($F$6:INDEX($F:$F, ROW()-1), $F387)) : INDEX(AB:AB, ROW()-1)
   )
   /SUM(INDEX(AB:AB, ROW()-COUNTIF($F$6:INDEX($F:$F, ROW()-1), $F387)) : INDEX(AB:AB, ROW()-1)),
          _xlfn.MINIFS(unit_details[Asking Rent],
          unit_details[Active Listing?],TRUE,
          unit_details[Property Name], $F388,
          unit_details[Beds], $L388,
          unit_details[Baths], $M388,
          unit_details[Partial Baths], IF(ISNUMBER($N388),$N388,""),
          unit_details[Sqft],$P388
))),"")</f>
        <v/>
      </c>
      <c r="AE388" s="5" t="str">
        <f>IFERROR(IF($F388="Total",
          SUMPRODUCT(
   INDEX(AE:AE, ROW()-COUNTIF($F$6:INDEX($F:$F, ROW()-1), $F387)) : INDEX(AE:AE, ROW()-1),
   INDEX(AB:AB, ROW()-COUNTIF($F$6:INDEX($F:$F, ROW()-1), $F387)) : INDEX(AB:AB, ROW()-1)
   )
   /SUM(INDEX(AB:AB, ROW()-COUNTIF($F$6:INDEX($F:$F, ROW()-1), $F387)) : INDEX(AB:AB, ROW()-1)),
          AVERAGEIFS(unit_details[Asking Rent],
          unit_details[Active Listing?],TRUE,
          unit_details[Property Name], $F388,
          unit_details[Beds], $L388,
          unit_details[Baths], $M388,
          unit_details[Partial Baths], IF(ISNUMBER($N388),$N388,""),
          unit_details[Sqft],$P388
)),"")</f>
        <v/>
      </c>
      <c r="AF388" s="5" t="str">
        <f>IFERROR(IF(AE388="","",IF($F388="Total",
SUMPRODUCT(
   INDEX(AF:AF, ROW()-COUNTIF($F$6:INDEX($F:$F, ROW()-1), $F387)) : INDEX(AF:AF, ROW()-1),
   INDEX(AB:AB, ROW()-COUNTIF($F$6:INDEX($F:$F, ROW()-1), $F387)) : INDEX(AB:AB, ROW()-1)
   )
   /SUM(INDEX(AB:AB, ROW()-COUNTIF($F$6:INDEX($F:$F, ROW()-1), $F387)) : INDEX(AB:AB, ROW()-1)),
           _xlfn.MAXIFS(unit_details[Asking Rent],
          unit_details[Active Listing?],TRUE,
          unit_details[Property Name], $F388,
          unit_details[Beds], $L388,
          unit_details[Baths], $M388,
          unit_details[Partial Baths], IF(ISNUMBER($N388),$N388,""),
          unit_details[Sqft],$P388
))),"")</f>
        <v/>
      </c>
      <c r="AG388" s="6" t="str">
        <f>IFERROR(IF($F388="Total",
         SUMPRODUCT(
         INDEX(AG:AG, ROW()-COUNTIF($F$6:INDEX($F:$F, ROW()-1), $F387)) : INDEX(AG:AG, ROW()-1),
         INDEX(AB:AB, ROW()-COUNTIF($F$6:INDEX($F:$F, ROW()-1), $F387)) : INDEX(AB:AB, ROW()-1)
         )
         /SUM(INDEX(AB:AB, ROW()-COUNTIF($F$6:INDEX($F:$F, ROW()-1), $F387)) : INDEX(AB:AB, ROW()-1)),
          AVERAGEIFS(unit_details[Asking PSF],
          unit_details[Active Listing?],TRUE,
          unit_details[Property Name], $F388,
          unit_details[Beds], $L388,
          unit_details[Baths], $M388,
          unit_details[Partial Baths], IF(ISNUMBER($N388),$N388,""),
          unit_details[Sqft],$P388
)),"")</f>
        <v/>
      </c>
      <c r="AH388" s="293" t="str">
        <f>IFERROR(IF($F388="Total",
         SUMPRODUCT(
         INDEX(AH:AH, ROW()-COUNTIF($F$6:INDEX($F:$F, ROW()-1), $F387)) : INDEX(AH:AH, ROW()-1),
         INDEX(AB:AB, ROW()-COUNTIF($F$6:INDEX($F:$F, ROW()-1), $F387)) : INDEX(AB:AB, ROW()-1)
         )
         /SUM(INDEX(AB:AB, ROW()-COUNTIF($F$6:INDEX($F:$F, ROW()-1), $F387)) : INDEX(AB:AB, ROW()-1)),
          AVERAGEIFS(unit_details[Effective Rent],
          unit_details[Active Listing?],TRUE,
          unit_details[Property Name], $F388,
          unit_details[Beds], $L388,
          unit_details[Baths], $M388,
          unit_details[Partial Baths], IF(ISNUMBER($N388),$N388,""),
          unit_details[Sqft],$P388
)),"")</f>
        <v/>
      </c>
      <c r="AI388" s="6" t="str">
        <f>IFERROR(IF($F388="Total",
         SUMPRODUCT(
         INDEX(AI:AI, ROW()-COUNTIF($F$6:INDEX($F:$F, ROW()-1), $F387)) : INDEX(AI:AI, ROW()-1),
         INDEX(AB:AB, ROW()-COUNTIF($F$6:INDEX($F:$F, ROW()-1), $F387)) : INDEX(AB:AB, ROW()-1)
         )
         /SUM(INDEX(AB:AB, ROW()-COUNTIF($F$6:INDEX($F:$F, ROW()-1), $F387)) : INDEX(AB:AB, ROW()-1)),
           AVERAGEIFS(unit_details[Effective PSF],
          unit_details[Active Listing?],TRUE,
          unit_details[Property Name], $F388,
          unit_details[Beds], $L388,
          unit_details[Baths], $M388,
          unit_details[Partial Baths], IF(ISNUMBER($N388),$N388,""),
          unit_details[Sqft],$P388
)),"")</f>
        <v/>
      </c>
      <c r="AJ388" s="824" t="str">
        <f t="shared" si="59"/>
        <v/>
      </c>
      <c r="AK388" s="531" t="str">
        <f t="shared" si="60"/>
        <v/>
      </c>
      <c r="AL388" s="714" t="str">
        <f t="shared" si="61"/>
        <v/>
      </c>
      <c r="AM388" s="531" t="str">
        <f t="shared" si="62"/>
        <v/>
      </c>
      <c r="AN388" s="716" t="str">
        <f t="shared" si="63"/>
        <v/>
      </c>
    </row>
    <row r="389" spans="6:40" x14ac:dyDescent="0.2">
      <c r="F389" s="1" t="str">
        <f t="shared" si="56"/>
        <v/>
      </c>
      <c r="G389" s="713" t="str">
        <f t="shared" si="64"/>
        <v/>
      </c>
      <c r="H389" s="17" t="str">
        <f>IFERROR(VLOOKUP($G389,Table1[[Property]:[Exposure %]],4,0),"")</f>
        <v/>
      </c>
      <c r="I389" s="3" t="str">
        <f>IFERROR(VLOOKUP($G389,Table1[[Property]:[Exposure %]],6,0),"")</f>
        <v/>
      </c>
      <c r="J389" s="3" t="str">
        <f>IFERROR(VLOOKUP($G389,Table1[[Property]:[Exposure %]],7,0),"")</f>
        <v/>
      </c>
      <c r="R389" s="4" t="str">
        <f>IFERROR(VLOOKUP(IF(F389="Total",F388,F389),Table1[[Property]:['# Units]],7,0)*S389,"")</f>
        <v/>
      </c>
      <c r="S389" s="27" t="str">
        <f t="shared" si="57"/>
        <v/>
      </c>
      <c r="T389" s="531" t="str">
        <f>IFERROR(
 IF($F389="Total",
   SUMPRODUCT(
   INDEX(T:T, ROW()-COUNTIF($F$6:INDEX($F:$F, ROW()-1), $F388)) : INDEX(T:T, ROW()-1),
   INDEX(W:W, ROW()-COUNTIF($F$6:INDEX($F:$F, ROW()-1), $F388)) : INDEX(W:W, ROW()-1)
   )
   /SUM(INDEX(W:W, ROW()-COUNTIF($F$6:INDEX($F:$F, ROW()-1), $F388)) : INDEX(W:W, ROW()-1)),
   AVERAGEIFS(
     INDEX((unit_details[Asking Rent],unit_details[Asking PSF]),0,1,IF($U$3="Chunk Rent",1,2)),
     unit_details[Leased Date],"&gt;="&amp;($AM$2-T$5),
     unit_details[Leased Date],"&lt;"&amp;$AM$2,
     unit_details[Beds],$L389,
     unit_details[Baths],$M389,
     unit_details[Partial Baths],IF(ISNUMBER($N389),$N389,""),
     unit_details[Sqft],$P389,
     unit_details[Property Name],$F389)
 ),"")</f>
        <v/>
      </c>
      <c r="U389" s="552" t="str">
        <f>IFERROR(
 IF($F389="Total",
   SUMPRODUCT(
   INDEX(U:U, ROW()-COUNTIF($F$6:INDEX($F:$F, ROW()-1), $F388)) : INDEX(U:U, ROW()-1),
   INDEX(W:W, ROW()-COUNTIF($F$6:INDEX($F:$F, ROW()-1), $F388)) : INDEX(W:W, ROW()-1)
   )
   /SUM(INDEX(W:W, ROW()-COUNTIF($F$6:INDEX($F:$F, ROW()-1), $F388)) : INDEX(W:W, ROW()-1)),
   AVERAGEIFS(
     INDEX((unit_details[Effective Rent],unit_details[Effective PSF]),0,1,IF($U$3="Chunk Rent",1,2)),
     unit_details[Leased Date],"&gt;="&amp;($AM$2-T$5),
     unit_details[Leased Date],"&lt;"&amp;$AM$2,
     unit_details[Beds],$L389,
     unit_details[Baths],$M389,
     unit_details[Partial Baths],IF(ISNUMBER($N389),$N389,""),
     unit_details[Sqft],$P389,
     unit_details[Property Name],$F389)
 ),"")</f>
        <v/>
      </c>
      <c r="V389" s="27" t="str">
        <f t="shared" si="65"/>
        <v/>
      </c>
      <c r="W389" s="526">
        <f>IFERROR(
  IF($F389="Total",
    SUM(INDEX(W:W, ROW()-COUNTIF($F$6:INDEX($F:$F, ROW()-1), $F388)) : INDEX(W:W, ROW()-1)),
    COUNTIFS(
      unit_details[Leased Date], "&gt;="&amp;($AM$2-T$5),
      unit_details[Leased Date], "&lt;"&amp;$AM$2,
      unit_details[Beds], $L389,
      unit_details[Baths], $M389,
      unit_details[Partial Baths], IF(ISNUMBER($N389), $N389, ""),
      unit_details[Sqft],$P389,
      unit_details[Property Name], $F389
    )
  ),
"")</f>
        <v>0</v>
      </c>
      <c r="X389" s="531" t="str">
        <f>IFERROR(
 IF($F389="Total",
   SUMPRODUCT(
   INDEX(X:X, ROW()-COUNTIF($F$6:INDEX($F:$F, ROW()-1), $F388)) : INDEX(X:X, ROW()-1),
   INDEX(AA:AA, ROW()-COUNTIF($F$6:INDEX($F:$F, ROW()-1), $F388)) : INDEX(AA:AA, ROW()-1)
   )
   /SUM(INDEX(AA:AA, ROW()-COUNTIF($F$6:INDEX($F:$F, ROW()-1), $F388)) : INDEX(AA:AA, ROW()-1)),
   AVERAGEIFS(
     INDEX((unit_details[Asking Rent],unit_details[Asking PSF]),0,1,IF($U$3="Chunk Rent",1,2)),
     unit_details[Leased Date],"&gt;="&amp;($AM$2-X$5),
     unit_details[Leased Date],"&lt;"&amp;$AM$2,
     unit_details[Beds],$L389,
     unit_details[Baths],$M389,
     unit_details[Partial Baths],IF(ISNUMBER($N389),$N389,""),
     unit_details[Sqft],$P389,
     unit_details[Property Name],$F389)
 ),"")</f>
        <v/>
      </c>
      <c r="Y389" s="552" t="str">
        <f>IFERROR(
 IF($F389="Total",
   SUMPRODUCT(
   INDEX(Y:Y, ROW()-COUNTIF($F$6:INDEX($F:$F, ROW()-1), $F388)) : INDEX(Y:Y, ROW()-1),
   INDEX(AA:AA, ROW()-COUNTIF($F$6:INDEX($F:$F, ROW()-1), $F388)) : INDEX(AA:AA, ROW()-1)
   )
   /SUM(INDEX(AA:AA, ROW()-COUNTIF($F$6:INDEX($F:$F, ROW()-1), $F388)) : INDEX(AA:AA, ROW()-1)),
   AVERAGEIFS(
     INDEX((unit_details[Effective Rent],unit_details[Effective PSF]),0,1,IF($U$3="Chunk Rent",1,2)),
     unit_details[Leased Date],"&gt;="&amp;($AM$2-X$5),
     unit_details[Leased Date],"&lt;"&amp;$AM$2,
     unit_details[Beds],$L389,
     unit_details[Baths],$M389,
     unit_details[Partial Baths],IF(ISNUMBER($N389),$N389,""),
     unit_details[Sqft],$P389,
     unit_details[Property Name],$F389)
 ),"")</f>
        <v/>
      </c>
      <c r="Z389" s="27" t="str">
        <f t="shared" si="66"/>
        <v/>
      </c>
      <c r="AA389" s="526">
        <f>IFERROR(
  IF($F389="Total",
    SUM(INDEX(AA:AA, ROW()-COUNTIF($F$6:INDEX($F:$F, ROW()-1), $F388)) : INDEX(AA:AA, ROW()-1)),
    COUNTIFS(
      unit_details[Leased Date], "&gt;="&amp;($AM$2-X$5),
      unit_details[Leased Date], "&lt;"&amp;$AM$2,
      unit_details[Beds], $L389,
      unit_details[Baths], $M389,
      unit_details[Partial Baths], IF(ISNUMBER($N389), $N389, ""),
      unit_details[Sqft],$P389,
      unit_details[Property Name], $F389
    )
  ),
"")</f>
        <v>0</v>
      </c>
      <c r="AB389" s="290">
        <f>IF($F389="Total",
SUM(INDEX(AB:AB, ROW()-COUNTIF($F$6:INDEX($F:$F, ROW()-1), $F388)) : INDEX(AB:AB, ROW()-1)),
COUNTIFS(unit_details[Active Listing?],TRUE,
          unit_details[Property Name], $F389,
          unit_details[Beds], $L389,
          unit_details[Baths], $M389,
          unit_details[Partial Baths],IF(ISNUMBER($N389),$N389,""),
          unit_details[Sqft],$P389))</f>
        <v>0</v>
      </c>
      <c r="AC389" s="27" t="str">
        <f t="shared" si="58"/>
        <v/>
      </c>
      <c r="AD389" s="293" t="str">
        <f>IFERROR(IF(AE389="","",IF($F389="Total",
SUMPRODUCT(
   INDEX(AD:AD, ROW()-COUNTIF($F$6:INDEX($F:$F, ROW()-1), $F388)) : INDEX(AD:AD, ROW()-1),
   INDEX(AB:AB, ROW()-COUNTIF($F$6:INDEX($F:$F, ROW()-1), $F388)) : INDEX(AB:AB, ROW()-1)
   )
   /SUM(INDEX(AB:AB, ROW()-COUNTIF($F$6:INDEX($F:$F, ROW()-1), $F388)) : INDEX(AB:AB, ROW()-1)),
          _xlfn.MINIFS(unit_details[Asking Rent],
          unit_details[Active Listing?],TRUE,
          unit_details[Property Name], $F389,
          unit_details[Beds], $L389,
          unit_details[Baths], $M389,
          unit_details[Partial Baths], IF(ISNUMBER($N389),$N389,""),
          unit_details[Sqft],$P389
))),"")</f>
        <v/>
      </c>
      <c r="AE389" s="5" t="str">
        <f>IFERROR(IF($F389="Total",
          SUMPRODUCT(
   INDEX(AE:AE, ROW()-COUNTIF($F$6:INDEX($F:$F, ROW()-1), $F388)) : INDEX(AE:AE, ROW()-1),
   INDEX(AB:AB, ROW()-COUNTIF($F$6:INDEX($F:$F, ROW()-1), $F388)) : INDEX(AB:AB, ROW()-1)
   )
   /SUM(INDEX(AB:AB, ROW()-COUNTIF($F$6:INDEX($F:$F, ROW()-1), $F388)) : INDEX(AB:AB, ROW()-1)),
          AVERAGEIFS(unit_details[Asking Rent],
          unit_details[Active Listing?],TRUE,
          unit_details[Property Name], $F389,
          unit_details[Beds], $L389,
          unit_details[Baths], $M389,
          unit_details[Partial Baths], IF(ISNUMBER($N389),$N389,""),
          unit_details[Sqft],$P389
)),"")</f>
        <v/>
      </c>
      <c r="AF389" s="5" t="str">
        <f>IFERROR(IF(AE389="","",IF($F389="Total",
SUMPRODUCT(
   INDEX(AF:AF, ROW()-COUNTIF($F$6:INDEX($F:$F, ROW()-1), $F388)) : INDEX(AF:AF, ROW()-1),
   INDEX(AB:AB, ROW()-COUNTIF($F$6:INDEX($F:$F, ROW()-1), $F388)) : INDEX(AB:AB, ROW()-1)
   )
   /SUM(INDEX(AB:AB, ROW()-COUNTIF($F$6:INDEX($F:$F, ROW()-1), $F388)) : INDEX(AB:AB, ROW()-1)),
           _xlfn.MAXIFS(unit_details[Asking Rent],
          unit_details[Active Listing?],TRUE,
          unit_details[Property Name], $F389,
          unit_details[Beds], $L389,
          unit_details[Baths], $M389,
          unit_details[Partial Baths], IF(ISNUMBER($N389),$N389,""),
          unit_details[Sqft],$P389
))),"")</f>
        <v/>
      </c>
      <c r="AG389" s="6" t="str">
        <f>IFERROR(IF($F389="Total",
         SUMPRODUCT(
         INDEX(AG:AG, ROW()-COUNTIF($F$6:INDEX($F:$F, ROW()-1), $F388)) : INDEX(AG:AG, ROW()-1),
         INDEX(AB:AB, ROW()-COUNTIF($F$6:INDEX($F:$F, ROW()-1), $F388)) : INDEX(AB:AB, ROW()-1)
         )
         /SUM(INDEX(AB:AB, ROW()-COUNTIF($F$6:INDEX($F:$F, ROW()-1), $F388)) : INDEX(AB:AB, ROW()-1)),
          AVERAGEIFS(unit_details[Asking PSF],
          unit_details[Active Listing?],TRUE,
          unit_details[Property Name], $F389,
          unit_details[Beds], $L389,
          unit_details[Baths], $M389,
          unit_details[Partial Baths], IF(ISNUMBER($N389),$N389,""),
          unit_details[Sqft],$P389
)),"")</f>
        <v/>
      </c>
      <c r="AH389" s="293" t="str">
        <f>IFERROR(IF($F389="Total",
         SUMPRODUCT(
         INDEX(AH:AH, ROW()-COUNTIF($F$6:INDEX($F:$F, ROW()-1), $F388)) : INDEX(AH:AH, ROW()-1),
         INDEX(AB:AB, ROW()-COUNTIF($F$6:INDEX($F:$F, ROW()-1), $F388)) : INDEX(AB:AB, ROW()-1)
         )
         /SUM(INDEX(AB:AB, ROW()-COUNTIF($F$6:INDEX($F:$F, ROW()-1), $F388)) : INDEX(AB:AB, ROW()-1)),
          AVERAGEIFS(unit_details[Effective Rent],
          unit_details[Active Listing?],TRUE,
          unit_details[Property Name], $F389,
          unit_details[Beds], $L389,
          unit_details[Baths], $M389,
          unit_details[Partial Baths], IF(ISNUMBER($N389),$N389,""),
          unit_details[Sqft],$P389
)),"")</f>
        <v/>
      </c>
      <c r="AI389" s="6" t="str">
        <f>IFERROR(IF($F389="Total",
         SUMPRODUCT(
         INDEX(AI:AI, ROW()-COUNTIF($F$6:INDEX($F:$F, ROW()-1), $F388)) : INDEX(AI:AI, ROW()-1),
         INDEX(AB:AB, ROW()-COUNTIF($F$6:INDEX($F:$F, ROW()-1), $F388)) : INDEX(AB:AB, ROW()-1)
         )
         /SUM(INDEX(AB:AB, ROW()-COUNTIF($F$6:INDEX($F:$F, ROW()-1), $F388)) : INDEX(AB:AB, ROW()-1)),
           AVERAGEIFS(unit_details[Effective PSF],
          unit_details[Active Listing?],TRUE,
          unit_details[Property Name], $F389,
          unit_details[Beds], $L389,
          unit_details[Baths], $M389,
          unit_details[Partial Baths], IF(ISNUMBER($N389),$N389,""),
          unit_details[Sqft],$P389
)),"")</f>
        <v/>
      </c>
      <c r="AJ389" s="824" t="str">
        <f t="shared" si="59"/>
        <v/>
      </c>
      <c r="AK389" s="531" t="str">
        <f t="shared" si="60"/>
        <v/>
      </c>
      <c r="AL389" s="714" t="str">
        <f t="shared" si="61"/>
        <v/>
      </c>
      <c r="AM389" s="531" t="str">
        <f t="shared" si="62"/>
        <v/>
      </c>
      <c r="AN389" s="716" t="str">
        <f t="shared" si="63"/>
        <v/>
      </c>
    </row>
    <row r="390" spans="6:40" x14ac:dyDescent="0.2">
      <c r="F390" s="1" t="str">
        <f t="shared" si="56"/>
        <v/>
      </c>
      <c r="G390" s="713" t="str">
        <f t="shared" si="64"/>
        <v/>
      </c>
      <c r="H390" s="17" t="str">
        <f>IFERROR(VLOOKUP($G390,Table1[[Property]:[Exposure %]],4,0),"")</f>
        <v/>
      </c>
      <c r="I390" s="3" t="str">
        <f>IFERROR(VLOOKUP($G390,Table1[[Property]:[Exposure %]],6,0),"")</f>
        <v/>
      </c>
      <c r="J390" s="3" t="str">
        <f>IFERROR(VLOOKUP($G390,Table1[[Property]:[Exposure %]],7,0),"")</f>
        <v/>
      </c>
      <c r="R390" s="4" t="str">
        <f>IFERROR(VLOOKUP(IF(F390="Total",F389,F390),Table1[[Property]:['# Units]],7,0)*S390,"")</f>
        <v/>
      </c>
      <c r="S390" s="27" t="str">
        <f t="shared" si="57"/>
        <v/>
      </c>
      <c r="T390" s="531" t="str">
        <f>IFERROR(
 IF($F390="Total",
   SUMPRODUCT(
   INDEX(T:T, ROW()-COUNTIF($F$6:INDEX($F:$F, ROW()-1), $F389)) : INDEX(T:T, ROW()-1),
   INDEX(W:W, ROW()-COUNTIF($F$6:INDEX($F:$F, ROW()-1), $F389)) : INDEX(W:W, ROW()-1)
   )
   /SUM(INDEX(W:W, ROW()-COUNTIF($F$6:INDEX($F:$F, ROW()-1), $F389)) : INDEX(W:W, ROW()-1)),
   AVERAGEIFS(
     INDEX((unit_details[Asking Rent],unit_details[Asking PSF]),0,1,IF($U$3="Chunk Rent",1,2)),
     unit_details[Leased Date],"&gt;="&amp;($AM$2-T$5),
     unit_details[Leased Date],"&lt;"&amp;$AM$2,
     unit_details[Beds],$L390,
     unit_details[Baths],$M390,
     unit_details[Partial Baths],IF(ISNUMBER($N390),$N390,""),
     unit_details[Sqft],$P390,
     unit_details[Property Name],$F390)
 ),"")</f>
        <v/>
      </c>
      <c r="U390" s="552" t="str">
        <f>IFERROR(
 IF($F390="Total",
   SUMPRODUCT(
   INDEX(U:U, ROW()-COUNTIF($F$6:INDEX($F:$F, ROW()-1), $F389)) : INDEX(U:U, ROW()-1),
   INDEX(W:W, ROW()-COUNTIF($F$6:INDEX($F:$F, ROW()-1), $F389)) : INDEX(W:W, ROW()-1)
   )
   /SUM(INDEX(W:W, ROW()-COUNTIF($F$6:INDEX($F:$F, ROW()-1), $F389)) : INDEX(W:W, ROW()-1)),
   AVERAGEIFS(
     INDEX((unit_details[Effective Rent],unit_details[Effective PSF]),0,1,IF($U$3="Chunk Rent",1,2)),
     unit_details[Leased Date],"&gt;="&amp;($AM$2-T$5),
     unit_details[Leased Date],"&lt;"&amp;$AM$2,
     unit_details[Beds],$L390,
     unit_details[Baths],$M390,
     unit_details[Partial Baths],IF(ISNUMBER($N390),$N390,""),
     unit_details[Sqft],$P390,
     unit_details[Property Name],$F390)
 ),"")</f>
        <v/>
      </c>
      <c r="V390" s="27" t="str">
        <f t="shared" si="65"/>
        <v/>
      </c>
      <c r="W390" s="526">
        <f>IFERROR(
  IF($F390="Total",
    SUM(INDEX(W:W, ROW()-COUNTIF($F$6:INDEX($F:$F, ROW()-1), $F389)) : INDEX(W:W, ROW()-1)),
    COUNTIFS(
      unit_details[Leased Date], "&gt;="&amp;($AM$2-T$5),
      unit_details[Leased Date], "&lt;"&amp;$AM$2,
      unit_details[Beds], $L390,
      unit_details[Baths], $M390,
      unit_details[Partial Baths], IF(ISNUMBER($N390), $N390, ""),
      unit_details[Sqft],$P390,
      unit_details[Property Name], $F390
    )
  ),
"")</f>
        <v>0</v>
      </c>
      <c r="X390" s="531" t="str">
        <f>IFERROR(
 IF($F390="Total",
   SUMPRODUCT(
   INDEX(X:X, ROW()-COUNTIF($F$6:INDEX($F:$F, ROW()-1), $F389)) : INDEX(X:X, ROW()-1),
   INDEX(AA:AA, ROW()-COUNTIF($F$6:INDEX($F:$F, ROW()-1), $F389)) : INDEX(AA:AA, ROW()-1)
   )
   /SUM(INDEX(AA:AA, ROW()-COUNTIF($F$6:INDEX($F:$F, ROW()-1), $F389)) : INDEX(AA:AA, ROW()-1)),
   AVERAGEIFS(
     INDEX((unit_details[Asking Rent],unit_details[Asking PSF]),0,1,IF($U$3="Chunk Rent",1,2)),
     unit_details[Leased Date],"&gt;="&amp;($AM$2-X$5),
     unit_details[Leased Date],"&lt;"&amp;$AM$2,
     unit_details[Beds],$L390,
     unit_details[Baths],$M390,
     unit_details[Partial Baths],IF(ISNUMBER($N390),$N390,""),
     unit_details[Sqft],$P390,
     unit_details[Property Name],$F390)
 ),"")</f>
        <v/>
      </c>
      <c r="Y390" s="552" t="str">
        <f>IFERROR(
 IF($F390="Total",
   SUMPRODUCT(
   INDEX(Y:Y, ROW()-COUNTIF($F$6:INDEX($F:$F, ROW()-1), $F389)) : INDEX(Y:Y, ROW()-1),
   INDEX(AA:AA, ROW()-COUNTIF($F$6:INDEX($F:$F, ROW()-1), $F389)) : INDEX(AA:AA, ROW()-1)
   )
   /SUM(INDEX(AA:AA, ROW()-COUNTIF($F$6:INDEX($F:$F, ROW()-1), $F389)) : INDEX(AA:AA, ROW()-1)),
   AVERAGEIFS(
     INDEX((unit_details[Effective Rent],unit_details[Effective PSF]),0,1,IF($U$3="Chunk Rent",1,2)),
     unit_details[Leased Date],"&gt;="&amp;($AM$2-X$5),
     unit_details[Leased Date],"&lt;"&amp;$AM$2,
     unit_details[Beds],$L390,
     unit_details[Baths],$M390,
     unit_details[Partial Baths],IF(ISNUMBER($N390),$N390,""),
     unit_details[Sqft],$P390,
     unit_details[Property Name],$F390)
 ),"")</f>
        <v/>
      </c>
      <c r="Z390" s="27" t="str">
        <f t="shared" si="66"/>
        <v/>
      </c>
      <c r="AA390" s="526">
        <f>IFERROR(
  IF($F390="Total",
    SUM(INDEX(AA:AA, ROW()-COUNTIF($F$6:INDEX($F:$F, ROW()-1), $F389)) : INDEX(AA:AA, ROW()-1)),
    COUNTIFS(
      unit_details[Leased Date], "&gt;="&amp;($AM$2-X$5),
      unit_details[Leased Date], "&lt;"&amp;$AM$2,
      unit_details[Beds], $L390,
      unit_details[Baths], $M390,
      unit_details[Partial Baths], IF(ISNUMBER($N390), $N390, ""),
      unit_details[Sqft],$P390,
      unit_details[Property Name], $F390
    )
  ),
"")</f>
        <v>0</v>
      </c>
      <c r="AB390" s="290">
        <f>IF($F390="Total",
SUM(INDEX(AB:AB, ROW()-COUNTIF($F$6:INDEX($F:$F, ROW()-1), $F389)) : INDEX(AB:AB, ROW()-1)),
COUNTIFS(unit_details[Active Listing?],TRUE,
          unit_details[Property Name], $F390,
          unit_details[Beds], $L390,
          unit_details[Baths], $M390,
          unit_details[Partial Baths],IF(ISNUMBER($N390),$N390,""),
          unit_details[Sqft],$P390))</f>
        <v>0</v>
      </c>
      <c r="AC390" s="27" t="str">
        <f t="shared" si="58"/>
        <v/>
      </c>
      <c r="AD390" s="293" t="str">
        <f>IFERROR(IF(AE390="","",IF($F390="Total",
SUMPRODUCT(
   INDEX(AD:AD, ROW()-COUNTIF($F$6:INDEX($F:$F, ROW()-1), $F389)) : INDEX(AD:AD, ROW()-1),
   INDEX(AB:AB, ROW()-COUNTIF($F$6:INDEX($F:$F, ROW()-1), $F389)) : INDEX(AB:AB, ROW()-1)
   )
   /SUM(INDEX(AB:AB, ROW()-COUNTIF($F$6:INDEX($F:$F, ROW()-1), $F389)) : INDEX(AB:AB, ROW()-1)),
          _xlfn.MINIFS(unit_details[Asking Rent],
          unit_details[Active Listing?],TRUE,
          unit_details[Property Name], $F390,
          unit_details[Beds], $L390,
          unit_details[Baths], $M390,
          unit_details[Partial Baths], IF(ISNUMBER($N390),$N390,""),
          unit_details[Sqft],$P390
))),"")</f>
        <v/>
      </c>
      <c r="AE390" s="5" t="str">
        <f>IFERROR(IF($F390="Total",
          SUMPRODUCT(
   INDEX(AE:AE, ROW()-COUNTIF($F$6:INDEX($F:$F, ROW()-1), $F389)) : INDEX(AE:AE, ROW()-1),
   INDEX(AB:AB, ROW()-COUNTIF($F$6:INDEX($F:$F, ROW()-1), $F389)) : INDEX(AB:AB, ROW()-1)
   )
   /SUM(INDEX(AB:AB, ROW()-COUNTIF($F$6:INDEX($F:$F, ROW()-1), $F389)) : INDEX(AB:AB, ROW()-1)),
          AVERAGEIFS(unit_details[Asking Rent],
          unit_details[Active Listing?],TRUE,
          unit_details[Property Name], $F390,
          unit_details[Beds], $L390,
          unit_details[Baths], $M390,
          unit_details[Partial Baths], IF(ISNUMBER($N390),$N390,""),
          unit_details[Sqft],$P390
)),"")</f>
        <v/>
      </c>
      <c r="AF390" s="5" t="str">
        <f>IFERROR(IF(AE390="","",IF($F390="Total",
SUMPRODUCT(
   INDEX(AF:AF, ROW()-COUNTIF($F$6:INDEX($F:$F, ROW()-1), $F389)) : INDEX(AF:AF, ROW()-1),
   INDEX(AB:AB, ROW()-COUNTIF($F$6:INDEX($F:$F, ROW()-1), $F389)) : INDEX(AB:AB, ROW()-1)
   )
   /SUM(INDEX(AB:AB, ROW()-COUNTIF($F$6:INDEX($F:$F, ROW()-1), $F389)) : INDEX(AB:AB, ROW()-1)),
           _xlfn.MAXIFS(unit_details[Asking Rent],
          unit_details[Active Listing?],TRUE,
          unit_details[Property Name], $F390,
          unit_details[Beds], $L390,
          unit_details[Baths], $M390,
          unit_details[Partial Baths], IF(ISNUMBER($N390),$N390,""),
          unit_details[Sqft],$P390
))),"")</f>
        <v/>
      </c>
      <c r="AG390" s="6" t="str">
        <f>IFERROR(IF($F390="Total",
         SUMPRODUCT(
         INDEX(AG:AG, ROW()-COUNTIF($F$6:INDEX($F:$F, ROW()-1), $F389)) : INDEX(AG:AG, ROW()-1),
         INDEX(AB:AB, ROW()-COUNTIF($F$6:INDEX($F:$F, ROW()-1), $F389)) : INDEX(AB:AB, ROW()-1)
         )
         /SUM(INDEX(AB:AB, ROW()-COUNTIF($F$6:INDEX($F:$F, ROW()-1), $F389)) : INDEX(AB:AB, ROW()-1)),
          AVERAGEIFS(unit_details[Asking PSF],
          unit_details[Active Listing?],TRUE,
          unit_details[Property Name], $F390,
          unit_details[Beds], $L390,
          unit_details[Baths], $M390,
          unit_details[Partial Baths], IF(ISNUMBER($N390),$N390,""),
          unit_details[Sqft],$P390
)),"")</f>
        <v/>
      </c>
      <c r="AH390" s="293" t="str">
        <f>IFERROR(IF($F390="Total",
         SUMPRODUCT(
         INDEX(AH:AH, ROW()-COUNTIF($F$6:INDEX($F:$F, ROW()-1), $F389)) : INDEX(AH:AH, ROW()-1),
         INDEX(AB:AB, ROW()-COUNTIF($F$6:INDEX($F:$F, ROW()-1), $F389)) : INDEX(AB:AB, ROW()-1)
         )
         /SUM(INDEX(AB:AB, ROW()-COUNTIF($F$6:INDEX($F:$F, ROW()-1), $F389)) : INDEX(AB:AB, ROW()-1)),
          AVERAGEIFS(unit_details[Effective Rent],
          unit_details[Active Listing?],TRUE,
          unit_details[Property Name], $F390,
          unit_details[Beds], $L390,
          unit_details[Baths], $M390,
          unit_details[Partial Baths], IF(ISNUMBER($N390),$N390,""),
          unit_details[Sqft],$P390
)),"")</f>
        <v/>
      </c>
      <c r="AI390" s="6" t="str">
        <f>IFERROR(IF($F390="Total",
         SUMPRODUCT(
         INDEX(AI:AI, ROW()-COUNTIF($F$6:INDEX($F:$F, ROW()-1), $F389)) : INDEX(AI:AI, ROW()-1),
         INDEX(AB:AB, ROW()-COUNTIF($F$6:INDEX($F:$F, ROW()-1), $F389)) : INDEX(AB:AB, ROW()-1)
         )
         /SUM(INDEX(AB:AB, ROW()-COUNTIF($F$6:INDEX($F:$F, ROW()-1), $F389)) : INDEX(AB:AB, ROW()-1)),
           AVERAGEIFS(unit_details[Effective PSF],
          unit_details[Active Listing?],TRUE,
          unit_details[Property Name], $F390,
          unit_details[Beds], $L390,
          unit_details[Baths], $M390,
          unit_details[Partial Baths], IF(ISNUMBER($N390),$N390,""),
          unit_details[Sqft],$P390
)),"")</f>
        <v/>
      </c>
      <c r="AJ390" s="824" t="str">
        <f t="shared" si="59"/>
        <v/>
      </c>
      <c r="AK390" s="531" t="str">
        <f t="shared" si="60"/>
        <v/>
      </c>
      <c r="AL390" s="714" t="str">
        <f t="shared" si="61"/>
        <v/>
      </c>
      <c r="AM390" s="531" t="str">
        <f t="shared" si="62"/>
        <v/>
      </c>
      <c r="AN390" s="716" t="str">
        <f t="shared" si="63"/>
        <v/>
      </c>
    </row>
    <row r="391" spans="6:40" x14ac:dyDescent="0.2">
      <c r="F391" s="1" t="str">
        <f t="shared" ref="F391:F454" si="67">IF(RIGHT(K391,5)="Total","Total",IF(ISTEXT(K391),K391,IF(F390="Total","",F390)))</f>
        <v/>
      </c>
      <c r="G391" s="713" t="str">
        <f t="shared" si="64"/>
        <v/>
      </c>
      <c r="H391" s="17" t="str">
        <f>IFERROR(VLOOKUP($G391,Table1[[Property]:[Exposure %]],4,0),"")</f>
        <v/>
      </c>
      <c r="I391" s="3" t="str">
        <f>IFERROR(VLOOKUP($G391,Table1[[Property]:[Exposure %]],6,0),"")</f>
        <v/>
      </c>
      <c r="J391" s="3" t="str">
        <f>IFERROR(VLOOKUP($G391,Table1[[Property]:[Exposure %]],7,0),"")</f>
        <v/>
      </c>
      <c r="R391" s="4" t="str">
        <f>IFERROR(VLOOKUP(IF(F391="Total",F390,F391),Table1[[Property]:['# Units]],7,0)*S391,"")</f>
        <v/>
      </c>
      <c r="S391" s="27" t="str">
        <f t="shared" ref="S391:S454" si="68">IF(Q391=0,"",Q391)</f>
        <v/>
      </c>
      <c r="T391" s="531" t="str">
        <f>IFERROR(
 IF($F391="Total",
   SUMPRODUCT(
   INDEX(T:T, ROW()-COUNTIF($F$6:INDEX($F:$F, ROW()-1), $F390)) : INDEX(T:T, ROW()-1),
   INDEX(W:W, ROW()-COUNTIF($F$6:INDEX($F:$F, ROW()-1), $F390)) : INDEX(W:W, ROW()-1)
   )
   /SUM(INDEX(W:W, ROW()-COUNTIF($F$6:INDEX($F:$F, ROW()-1), $F390)) : INDEX(W:W, ROW()-1)),
   AVERAGEIFS(
     INDEX((unit_details[Asking Rent],unit_details[Asking PSF]),0,1,IF($U$3="Chunk Rent",1,2)),
     unit_details[Leased Date],"&gt;="&amp;($AM$2-T$5),
     unit_details[Leased Date],"&lt;"&amp;$AM$2,
     unit_details[Beds],$L391,
     unit_details[Baths],$M391,
     unit_details[Partial Baths],IF(ISNUMBER($N391),$N391,""),
     unit_details[Sqft],$P391,
     unit_details[Property Name],$F391)
 ),"")</f>
        <v/>
      </c>
      <c r="U391" s="552" t="str">
        <f>IFERROR(
 IF($F391="Total",
   SUMPRODUCT(
   INDEX(U:U, ROW()-COUNTIF($F$6:INDEX($F:$F, ROW()-1), $F390)) : INDEX(U:U, ROW()-1),
   INDEX(W:W, ROW()-COUNTIF($F$6:INDEX($F:$F, ROW()-1), $F390)) : INDEX(W:W, ROW()-1)
   )
   /SUM(INDEX(W:W, ROW()-COUNTIF($F$6:INDEX($F:$F, ROW()-1), $F390)) : INDEX(W:W, ROW()-1)),
   AVERAGEIFS(
     INDEX((unit_details[Effective Rent],unit_details[Effective PSF]),0,1,IF($U$3="Chunk Rent",1,2)),
     unit_details[Leased Date],"&gt;="&amp;($AM$2-T$5),
     unit_details[Leased Date],"&lt;"&amp;$AM$2,
     unit_details[Beds],$L391,
     unit_details[Baths],$M391,
     unit_details[Partial Baths],IF(ISNUMBER($N391),$N391,""),
     unit_details[Sqft],$P391,
     unit_details[Property Name],$F391)
 ),"")</f>
        <v/>
      </c>
      <c r="V391" s="27" t="str">
        <f t="shared" si="65"/>
        <v/>
      </c>
      <c r="W391" s="526">
        <f>IFERROR(
  IF($F391="Total",
    SUM(INDEX(W:W, ROW()-COUNTIF($F$6:INDEX($F:$F, ROW()-1), $F390)) : INDEX(W:W, ROW()-1)),
    COUNTIFS(
      unit_details[Leased Date], "&gt;="&amp;($AM$2-T$5),
      unit_details[Leased Date], "&lt;"&amp;$AM$2,
      unit_details[Beds], $L391,
      unit_details[Baths], $M391,
      unit_details[Partial Baths], IF(ISNUMBER($N391), $N391, ""),
      unit_details[Sqft],$P391,
      unit_details[Property Name], $F391
    )
  ),
"")</f>
        <v>0</v>
      </c>
      <c r="X391" s="531" t="str">
        <f>IFERROR(
 IF($F391="Total",
   SUMPRODUCT(
   INDEX(X:X, ROW()-COUNTIF($F$6:INDEX($F:$F, ROW()-1), $F390)) : INDEX(X:X, ROW()-1),
   INDEX(AA:AA, ROW()-COUNTIF($F$6:INDEX($F:$F, ROW()-1), $F390)) : INDEX(AA:AA, ROW()-1)
   )
   /SUM(INDEX(AA:AA, ROW()-COUNTIF($F$6:INDEX($F:$F, ROW()-1), $F390)) : INDEX(AA:AA, ROW()-1)),
   AVERAGEIFS(
     INDEX((unit_details[Asking Rent],unit_details[Asking PSF]),0,1,IF($U$3="Chunk Rent",1,2)),
     unit_details[Leased Date],"&gt;="&amp;($AM$2-X$5),
     unit_details[Leased Date],"&lt;"&amp;$AM$2,
     unit_details[Beds],$L391,
     unit_details[Baths],$M391,
     unit_details[Partial Baths],IF(ISNUMBER($N391),$N391,""),
     unit_details[Sqft],$P391,
     unit_details[Property Name],$F391)
 ),"")</f>
        <v/>
      </c>
      <c r="Y391" s="552" t="str">
        <f>IFERROR(
 IF($F391="Total",
   SUMPRODUCT(
   INDEX(Y:Y, ROW()-COUNTIF($F$6:INDEX($F:$F, ROW()-1), $F390)) : INDEX(Y:Y, ROW()-1),
   INDEX(AA:AA, ROW()-COUNTIF($F$6:INDEX($F:$F, ROW()-1), $F390)) : INDEX(AA:AA, ROW()-1)
   )
   /SUM(INDEX(AA:AA, ROW()-COUNTIF($F$6:INDEX($F:$F, ROW()-1), $F390)) : INDEX(AA:AA, ROW()-1)),
   AVERAGEIFS(
     INDEX((unit_details[Effective Rent],unit_details[Effective PSF]),0,1,IF($U$3="Chunk Rent",1,2)),
     unit_details[Leased Date],"&gt;="&amp;($AM$2-X$5),
     unit_details[Leased Date],"&lt;"&amp;$AM$2,
     unit_details[Beds],$L391,
     unit_details[Baths],$M391,
     unit_details[Partial Baths],IF(ISNUMBER($N391),$N391,""),
     unit_details[Sqft],$P391,
     unit_details[Property Name],$F391)
 ),"")</f>
        <v/>
      </c>
      <c r="Z391" s="27" t="str">
        <f t="shared" si="66"/>
        <v/>
      </c>
      <c r="AA391" s="526">
        <f>IFERROR(
  IF($F391="Total",
    SUM(INDEX(AA:AA, ROW()-COUNTIF($F$6:INDEX($F:$F, ROW()-1), $F390)) : INDEX(AA:AA, ROW()-1)),
    COUNTIFS(
      unit_details[Leased Date], "&gt;="&amp;($AM$2-X$5),
      unit_details[Leased Date], "&lt;"&amp;$AM$2,
      unit_details[Beds], $L391,
      unit_details[Baths], $M391,
      unit_details[Partial Baths], IF(ISNUMBER($N391), $N391, ""),
      unit_details[Sqft],$P391,
      unit_details[Property Name], $F391
    )
  ),
"")</f>
        <v>0</v>
      </c>
      <c r="AB391" s="290">
        <f>IF($F391="Total",
SUM(INDEX(AB:AB, ROW()-COUNTIF($F$6:INDEX($F:$F, ROW()-1), $F390)) : INDEX(AB:AB, ROW()-1)),
COUNTIFS(unit_details[Active Listing?],TRUE,
          unit_details[Property Name], $F391,
          unit_details[Beds], $L391,
          unit_details[Baths], $M391,
          unit_details[Partial Baths],IF(ISNUMBER($N391),$N391,""),
          unit_details[Sqft],$P391))</f>
        <v>0</v>
      </c>
      <c r="AC391" s="27" t="str">
        <f t="shared" ref="AC391:AC454" si="69">IFERROR(AB391/R391,"")</f>
        <v/>
      </c>
      <c r="AD391" s="293" t="str">
        <f>IFERROR(IF(AE391="","",IF($F391="Total",
SUMPRODUCT(
   INDEX(AD:AD, ROW()-COUNTIF($F$6:INDEX($F:$F, ROW()-1), $F390)) : INDEX(AD:AD, ROW()-1),
   INDEX(AB:AB, ROW()-COUNTIF($F$6:INDEX($F:$F, ROW()-1), $F390)) : INDEX(AB:AB, ROW()-1)
   )
   /SUM(INDEX(AB:AB, ROW()-COUNTIF($F$6:INDEX($F:$F, ROW()-1), $F390)) : INDEX(AB:AB, ROW()-1)),
          _xlfn.MINIFS(unit_details[Asking Rent],
          unit_details[Active Listing?],TRUE,
          unit_details[Property Name], $F391,
          unit_details[Beds], $L391,
          unit_details[Baths], $M391,
          unit_details[Partial Baths], IF(ISNUMBER($N391),$N391,""),
          unit_details[Sqft],$P391
))),"")</f>
        <v/>
      </c>
      <c r="AE391" s="5" t="str">
        <f>IFERROR(IF($F391="Total",
          SUMPRODUCT(
   INDEX(AE:AE, ROW()-COUNTIF($F$6:INDEX($F:$F, ROW()-1), $F390)) : INDEX(AE:AE, ROW()-1),
   INDEX(AB:AB, ROW()-COUNTIF($F$6:INDEX($F:$F, ROW()-1), $F390)) : INDEX(AB:AB, ROW()-1)
   )
   /SUM(INDEX(AB:AB, ROW()-COUNTIF($F$6:INDEX($F:$F, ROW()-1), $F390)) : INDEX(AB:AB, ROW()-1)),
          AVERAGEIFS(unit_details[Asking Rent],
          unit_details[Active Listing?],TRUE,
          unit_details[Property Name], $F391,
          unit_details[Beds], $L391,
          unit_details[Baths], $M391,
          unit_details[Partial Baths], IF(ISNUMBER($N391),$N391,""),
          unit_details[Sqft],$P391
)),"")</f>
        <v/>
      </c>
      <c r="AF391" s="5" t="str">
        <f>IFERROR(IF(AE391="","",IF($F391="Total",
SUMPRODUCT(
   INDEX(AF:AF, ROW()-COUNTIF($F$6:INDEX($F:$F, ROW()-1), $F390)) : INDEX(AF:AF, ROW()-1),
   INDEX(AB:AB, ROW()-COUNTIF($F$6:INDEX($F:$F, ROW()-1), $F390)) : INDEX(AB:AB, ROW()-1)
   )
   /SUM(INDEX(AB:AB, ROW()-COUNTIF($F$6:INDEX($F:$F, ROW()-1), $F390)) : INDEX(AB:AB, ROW()-1)),
           _xlfn.MAXIFS(unit_details[Asking Rent],
          unit_details[Active Listing?],TRUE,
          unit_details[Property Name], $F391,
          unit_details[Beds], $L391,
          unit_details[Baths], $M391,
          unit_details[Partial Baths], IF(ISNUMBER($N391),$N391,""),
          unit_details[Sqft],$P391
))),"")</f>
        <v/>
      </c>
      <c r="AG391" s="6" t="str">
        <f>IFERROR(IF($F391="Total",
         SUMPRODUCT(
         INDEX(AG:AG, ROW()-COUNTIF($F$6:INDEX($F:$F, ROW()-1), $F390)) : INDEX(AG:AG, ROW()-1),
         INDEX(AB:AB, ROW()-COUNTIF($F$6:INDEX($F:$F, ROW()-1), $F390)) : INDEX(AB:AB, ROW()-1)
         )
         /SUM(INDEX(AB:AB, ROW()-COUNTIF($F$6:INDEX($F:$F, ROW()-1), $F390)) : INDEX(AB:AB, ROW()-1)),
          AVERAGEIFS(unit_details[Asking PSF],
          unit_details[Active Listing?],TRUE,
          unit_details[Property Name], $F391,
          unit_details[Beds], $L391,
          unit_details[Baths], $M391,
          unit_details[Partial Baths], IF(ISNUMBER($N391),$N391,""),
          unit_details[Sqft],$P391
)),"")</f>
        <v/>
      </c>
      <c r="AH391" s="293" t="str">
        <f>IFERROR(IF($F391="Total",
         SUMPRODUCT(
         INDEX(AH:AH, ROW()-COUNTIF($F$6:INDEX($F:$F, ROW()-1), $F390)) : INDEX(AH:AH, ROW()-1),
         INDEX(AB:AB, ROW()-COUNTIF($F$6:INDEX($F:$F, ROW()-1), $F390)) : INDEX(AB:AB, ROW()-1)
         )
         /SUM(INDEX(AB:AB, ROW()-COUNTIF($F$6:INDEX($F:$F, ROW()-1), $F390)) : INDEX(AB:AB, ROW()-1)),
          AVERAGEIFS(unit_details[Effective Rent],
          unit_details[Active Listing?],TRUE,
          unit_details[Property Name], $F391,
          unit_details[Beds], $L391,
          unit_details[Baths], $M391,
          unit_details[Partial Baths], IF(ISNUMBER($N391),$N391,""),
          unit_details[Sqft],$P391
)),"")</f>
        <v/>
      </c>
      <c r="AI391" s="6" t="str">
        <f>IFERROR(IF($F391="Total",
         SUMPRODUCT(
         INDEX(AI:AI, ROW()-COUNTIF($F$6:INDEX($F:$F, ROW()-1), $F390)) : INDEX(AI:AI, ROW()-1),
         INDEX(AB:AB, ROW()-COUNTIF($F$6:INDEX($F:$F, ROW()-1), $F390)) : INDEX(AB:AB, ROW()-1)
         )
         /SUM(INDEX(AB:AB, ROW()-COUNTIF($F$6:INDEX($F:$F, ROW()-1), $F390)) : INDEX(AB:AB, ROW()-1)),
           AVERAGEIFS(unit_details[Effective PSF],
          unit_details[Active Listing?],TRUE,
          unit_details[Property Name], $F391,
          unit_details[Beds], $L391,
          unit_details[Baths], $M391,
          unit_details[Partial Baths], IF(ISNUMBER($N391),$N391,""),
          unit_details[Sqft],$P391
)),"")</f>
        <v/>
      </c>
      <c r="AJ391" s="824" t="str">
        <f t="shared" ref="AJ391:AJ454" si="70">IFERROR((AE391-AH391)/AE391,"")</f>
        <v/>
      </c>
      <c r="AK391" s="531" t="str">
        <f t="shared" ref="AK391:AK454" si="71">IFERROR(
IF(AND($AM$3="Asking Rent",$U$3="Chunk Rent"),$AE391-$T391,
IF(AND($AM$3="Effective Rent",$U$3="Chunk Rent"),$AH391-$U391,
IF(AND($AM$3="Asking Rent",$U$3="Rent PSF"),$AG391-$T391,$AI391-$U391))),"")</f>
        <v/>
      </c>
      <c r="AL391" s="714" t="str">
        <f t="shared" ref="AL391:AL454" si="72">IFERROR(AK391/(IF($AM$3="Asking Rent",T391,U391)),"")</f>
        <v/>
      </c>
      <c r="AM391" s="531" t="str">
        <f t="shared" ref="AM391:AM454" si="73">IFERROR(
IF(AND($AM$3="Asking Rent",$U$3="Chunk Rent"),$AE391-$X391,
IF(AND($AM$3="Effective Rent",$U$3="Chunk Rent"),$AH391-$Y391,
IF(AND($AM$3="Asking Rent",$U$3="Rent PSF"),$AG391-$X391,$AI391-$Y391))),"")</f>
        <v/>
      </c>
      <c r="AN391" s="716" t="str">
        <f t="shared" ref="AN391:AN454" si="74">IFERROR(AM391/(IF($AM$3="Asking Rent",X391,Y391)),"")</f>
        <v/>
      </c>
    </row>
    <row r="392" spans="6:40" x14ac:dyDescent="0.2">
      <c r="F392" s="1" t="str">
        <f t="shared" si="67"/>
        <v/>
      </c>
      <c r="G392" s="713" t="str">
        <f t="shared" ref="G392:G455" si="75">IF(F392=F391,"",F392)</f>
        <v/>
      </c>
      <c r="H392" s="17" t="str">
        <f>IFERROR(VLOOKUP($G392,Table1[[Property]:[Exposure %]],4,0),"")</f>
        <v/>
      </c>
      <c r="I392" s="3" t="str">
        <f>IFERROR(VLOOKUP($G392,Table1[[Property]:[Exposure %]],6,0),"")</f>
        <v/>
      </c>
      <c r="J392" s="3" t="str">
        <f>IFERROR(VLOOKUP($G392,Table1[[Property]:[Exposure %]],7,0),"")</f>
        <v/>
      </c>
      <c r="R392" s="4" t="str">
        <f>IFERROR(VLOOKUP(IF(F392="Total",F391,F392),Table1[[Property]:['# Units]],7,0)*S392,"")</f>
        <v/>
      </c>
      <c r="S392" s="27" t="str">
        <f t="shared" si="68"/>
        <v/>
      </c>
      <c r="T392" s="531" t="str">
        <f>IFERROR(
 IF($F392="Total",
   SUMPRODUCT(
   INDEX(T:T, ROW()-COUNTIF($F$6:INDEX($F:$F, ROW()-1), $F391)) : INDEX(T:T, ROW()-1),
   INDEX(W:W, ROW()-COUNTIF($F$6:INDEX($F:$F, ROW()-1), $F391)) : INDEX(W:W, ROW()-1)
   )
   /SUM(INDEX(W:W, ROW()-COUNTIF($F$6:INDEX($F:$F, ROW()-1), $F391)) : INDEX(W:W, ROW()-1)),
   AVERAGEIFS(
     INDEX((unit_details[Asking Rent],unit_details[Asking PSF]),0,1,IF($U$3="Chunk Rent",1,2)),
     unit_details[Leased Date],"&gt;="&amp;($AM$2-T$5),
     unit_details[Leased Date],"&lt;"&amp;$AM$2,
     unit_details[Beds],$L392,
     unit_details[Baths],$M392,
     unit_details[Partial Baths],IF(ISNUMBER($N392),$N392,""),
     unit_details[Sqft],$P392,
     unit_details[Property Name],$F392)
 ),"")</f>
        <v/>
      </c>
      <c r="U392" s="552" t="str">
        <f>IFERROR(
 IF($F392="Total",
   SUMPRODUCT(
   INDEX(U:U, ROW()-COUNTIF($F$6:INDEX($F:$F, ROW()-1), $F391)) : INDEX(U:U, ROW()-1),
   INDEX(W:W, ROW()-COUNTIF($F$6:INDEX($F:$F, ROW()-1), $F391)) : INDEX(W:W, ROW()-1)
   )
   /SUM(INDEX(W:W, ROW()-COUNTIF($F$6:INDEX($F:$F, ROW()-1), $F391)) : INDEX(W:W, ROW()-1)),
   AVERAGEIFS(
     INDEX((unit_details[Effective Rent],unit_details[Effective PSF]),0,1,IF($U$3="Chunk Rent",1,2)),
     unit_details[Leased Date],"&gt;="&amp;($AM$2-T$5),
     unit_details[Leased Date],"&lt;"&amp;$AM$2,
     unit_details[Beds],$L392,
     unit_details[Baths],$M392,
     unit_details[Partial Baths],IF(ISNUMBER($N392),$N392,""),
     unit_details[Sqft],$P392,
     unit_details[Property Name],$F392)
 ),"")</f>
        <v/>
      </c>
      <c r="V392" s="27" t="str">
        <f t="shared" ref="V392:V455" si="76">IFERROR(IF((T392-U392)/T392=0,"",(T392-U392)/T392),"")</f>
        <v/>
      </c>
      <c r="W392" s="526">
        <f>IFERROR(
  IF($F392="Total",
    SUM(INDEX(W:W, ROW()-COUNTIF($F$6:INDEX($F:$F, ROW()-1), $F391)) : INDEX(W:W, ROW()-1)),
    COUNTIFS(
      unit_details[Leased Date], "&gt;="&amp;($AM$2-T$5),
      unit_details[Leased Date], "&lt;"&amp;$AM$2,
      unit_details[Beds], $L392,
      unit_details[Baths], $M392,
      unit_details[Partial Baths], IF(ISNUMBER($N392), $N392, ""),
      unit_details[Sqft],$P392,
      unit_details[Property Name], $F392
    )
  ),
"")</f>
        <v>0</v>
      </c>
      <c r="X392" s="531" t="str">
        <f>IFERROR(
 IF($F392="Total",
   SUMPRODUCT(
   INDEX(X:X, ROW()-COUNTIF($F$6:INDEX($F:$F, ROW()-1), $F391)) : INDEX(X:X, ROW()-1),
   INDEX(AA:AA, ROW()-COUNTIF($F$6:INDEX($F:$F, ROW()-1), $F391)) : INDEX(AA:AA, ROW()-1)
   )
   /SUM(INDEX(AA:AA, ROW()-COUNTIF($F$6:INDEX($F:$F, ROW()-1), $F391)) : INDEX(AA:AA, ROW()-1)),
   AVERAGEIFS(
     INDEX((unit_details[Asking Rent],unit_details[Asking PSF]),0,1,IF($U$3="Chunk Rent",1,2)),
     unit_details[Leased Date],"&gt;="&amp;($AM$2-X$5),
     unit_details[Leased Date],"&lt;"&amp;$AM$2,
     unit_details[Beds],$L392,
     unit_details[Baths],$M392,
     unit_details[Partial Baths],IF(ISNUMBER($N392),$N392,""),
     unit_details[Sqft],$P392,
     unit_details[Property Name],$F392)
 ),"")</f>
        <v/>
      </c>
      <c r="Y392" s="552" t="str">
        <f>IFERROR(
 IF($F392="Total",
   SUMPRODUCT(
   INDEX(Y:Y, ROW()-COUNTIF($F$6:INDEX($F:$F, ROW()-1), $F391)) : INDEX(Y:Y, ROW()-1),
   INDEX(AA:AA, ROW()-COUNTIF($F$6:INDEX($F:$F, ROW()-1), $F391)) : INDEX(AA:AA, ROW()-1)
   )
   /SUM(INDEX(AA:AA, ROW()-COUNTIF($F$6:INDEX($F:$F, ROW()-1), $F391)) : INDEX(AA:AA, ROW()-1)),
   AVERAGEIFS(
     INDEX((unit_details[Effective Rent],unit_details[Effective PSF]),0,1,IF($U$3="Chunk Rent",1,2)),
     unit_details[Leased Date],"&gt;="&amp;($AM$2-X$5),
     unit_details[Leased Date],"&lt;"&amp;$AM$2,
     unit_details[Beds],$L392,
     unit_details[Baths],$M392,
     unit_details[Partial Baths],IF(ISNUMBER($N392),$N392,""),
     unit_details[Sqft],$P392,
     unit_details[Property Name],$F392)
 ),"")</f>
        <v/>
      </c>
      <c r="Z392" s="27" t="str">
        <f t="shared" ref="Z392:Z455" si="77">IFERROR(IF((X392-Y392)/X392=0,"",(X392-Y392)/X392),"")</f>
        <v/>
      </c>
      <c r="AA392" s="526">
        <f>IFERROR(
  IF($F392="Total",
    SUM(INDEX(AA:AA, ROW()-COUNTIF($F$6:INDEX($F:$F, ROW()-1), $F391)) : INDEX(AA:AA, ROW()-1)),
    COUNTIFS(
      unit_details[Leased Date], "&gt;="&amp;($AM$2-X$5),
      unit_details[Leased Date], "&lt;"&amp;$AM$2,
      unit_details[Beds], $L392,
      unit_details[Baths], $M392,
      unit_details[Partial Baths], IF(ISNUMBER($N392), $N392, ""),
      unit_details[Sqft],$P392,
      unit_details[Property Name], $F392
    )
  ),
"")</f>
        <v>0</v>
      </c>
      <c r="AB392" s="290">
        <f>IF($F392="Total",
SUM(INDEX(AB:AB, ROW()-COUNTIF($F$6:INDEX($F:$F, ROW()-1), $F391)) : INDEX(AB:AB, ROW()-1)),
COUNTIFS(unit_details[Active Listing?],TRUE,
          unit_details[Property Name], $F392,
          unit_details[Beds], $L392,
          unit_details[Baths], $M392,
          unit_details[Partial Baths],IF(ISNUMBER($N392),$N392,""),
          unit_details[Sqft],$P392))</f>
        <v>0</v>
      </c>
      <c r="AC392" s="27" t="str">
        <f t="shared" si="69"/>
        <v/>
      </c>
      <c r="AD392" s="293" t="str">
        <f>IFERROR(IF(AE392="","",IF($F392="Total",
SUMPRODUCT(
   INDEX(AD:AD, ROW()-COUNTIF($F$6:INDEX($F:$F, ROW()-1), $F391)) : INDEX(AD:AD, ROW()-1),
   INDEX(AB:AB, ROW()-COUNTIF($F$6:INDEX($F:$F, ROW()-1), $F391)) : INDEX(AB:AB, ROW()-1)
   )
   /SUM(INDEX(AB:AB, ROW()-COUNTIF($F$6:INDEX($F:$F, ROW()-1), $F391)) : INDEX(AB:AB, ROW()-1)),
          _xlfn.MINIFS(unit_details[Asking Rent],
          unit_details[Active Listing?],TRUE,
          unit_details[Property Name], $F392,
          unit_details[Beds], $L392,
          unit_details[Baths], $M392,
          unit_details[Partial Baths], IF(ISNUMBER($N392),$N392,""),
          unit_details[Sqft],$P392
))),"")</f>
        <v/>
      </c>
      <c r="AE392" s="5" t="str">
        <f>IFERROR(IF($F392="Total",
          SUMPRODUCT(
   INDEX(AE:AE, ROW()-COUNTIF($F$6:INDEX($F:$F, ROW()-1), $F391)) : INDEX(AE:AE, ROW()-1),
   INDEX(AB:AB, ROW()-COUNTIF($F$6:INDEX($F:$F, ROW()-1), $F391)) : INDEX(AB:AB, ROW()-1)
   )
   /SUM(INDEX(AB:AB, ROW()-COUNTIF($F$6:INDEX($F:$F, ROW()-1), $F391)) : INDEX(AB:AB, ROW()-1)),
          AVERAGEIFS(unit_details[Asking Rent],
          unit_details[Active Listing?],TRUE,
          unit_details[Property Name], $F392,
          unit_details[Beds], $L392,
          unit_details[Baths], $M392,
          unit_details[Partial Baths], IF(ISNUMBER($N392),$N392,""),
          unit_details[Sqft],$P392
)),"")</f>
        <v/>
      </c>
      <c r="AF392" s="5" t="str">
        <f>IFERROR(IF(AE392="","",IF($F392="Total",
SUMPRODUCT(
   INDEX(AF:AF, ROW()-COUNTIF($F$6:INDEX($F:$F, ROW()-1), $F391)) : INDEX(AF:AF, ROW()-1),
   INDEX(AB:AB, ROW()-COUNTIF($F$6:INDEX($F:$F, ROW()-1), $F391)) : INDEX(AB:AB, ROW()-1)
   )
   /SUM(INDEX(AB:AB, ROW()-COUNTIF($F$6:INDEX($F:$F, ROW()-1), $F391)) : INDEX(AB:AB, ROW()-1)),
           _xlfn.MAXIFS(unit_details[Asking Rent],
          unit_details[Active Listing?],TRUE,
          unit_details[Property Name], $F392,
          unit_details[Beds], $L392,
          unit_details[Baths], $M392,
          unit_details[Partial Baths], IF(ISNUMBER($N392),$N392,""),
          unit_details[Sqft],$P392
))),"")</f>
        <v/>
      </c>
      <c r="AG392" s="6" t="str">
        <f>IFERROR(IF($F392="Total",
         SUMPRODUCT(
         INDEX(AG:AG, ROW()-COUNTIF($F$6:INDEX($F:$F, ROW()-1), $F391)) : INDEX(AG:AG, ROW()-1),
         INDEX(AB:AB, ROW()-COUNTIF($F$6:INDEX($F:$F, ROW()-1), $F391)) : INDEX(AB:AB, ROW()-1)
         )
         /SUM(INDEX(AB:AB, ROW()-COUNTIF($F$6:INDEX($F:$F, ROW()-1), $F391)) : INDEX(AB:AB, ROW()-1)),
          AVERAGEIFS(unit_details[Asking PSF],
          unit_details[Active Listing?],TRUE,
          unit_details[Property Name], $F392,
          unit_details[Beds], $L392,
          unit_details[Baths], $M392,
          unit_details[Partial Baths], IF(ISNUMBER($N392),$N392,""),
          unit_details[Sqft],$P392
)),"")</f>
        <v/>
      </c>
      <c r="AH392" s="293" t="str">
        <f>IFERROR(IF($F392="Total",
         SUMPRODUCT(
         INDEX(AH:AH, ROW()-COUNTIF($F$6:INDEX($F:$F, ROW()-1), $F391)) : INDEX(AH:AH, ROW()-1),
         INDEX(AB:AB, ROW()-COUNTIF($F$6:INDEX($F:$F, ROW()-1), $F391)) : INDEX(AB:AB, ROW()-1)
         )
         /SUM(INDEX(AB:AB, ROW()-COUNTIF($F$6:INDEX($F:$F, ROW()-1), $F391)) : INDEX(AB:AB, ROW()-1)),
          AVERAGEIFS(unit_details[Effective Rent],
          unit_details[Active Listing?],TRUE,
          unit_details[Property Name], $F392,
          unit_details[Beds], $L392,
          unit_details[Baths], $M392,
          unit_details[Partial Baths], IF(ISNUMBER($N392),$N392,""),
          unit_details[Sqft],$P392
)),"")</f>
        <v/>
      </c>
      <c r="AI392" s="6" t="str">
        <f>IFERROR(IF($F392="Total",
         SUMPRODUCT(
         INDEX(AI:AI, ROW()-COUNTIF($F$6:INDEX($F:$F, ROW()-1), $F391)) : INDEX(AI:AI, ROW()-1),
         INDEX(AB:AB, ROW()-COUNTIF($F$6:INDEX($F:$F, ROW()-1), $F391)) : INDEX(AB:AB, ROW()-1)
         )
         /SUM(INDEX(AB:AB, ROW()-COUNTIF($F$6:INDEX($F:$F, ROW()-1), $F391)) : INDEX(AB:AB, ROW()-1)),
           AVERAGEIFS(unit_details[Effective PSF],
          unit_details[Active Listing?],TRUE,
          unit_details[Property Name], $F392,
          unit_details[Beds], $L392,
          unit_details[Baths], $M392,
          unit_details[Partial Baths], IF(ISNUMBER($N392),$N392,""),
          unit_details[Sqft],$P392
)),"")</f>
        <v/>
      </c>
      <c r="AJ392" s="824" t="str">
        <f t="shared" si="70"/>
        <v/>
      </c>
      <c r="AK392" s="531" t="str">
        <f t="shared" si="71"/>
        <v/>
      </c>
      <c r="AL392" s="714" t="str">
        <f t="shared" si="72"/>
        <v/>
      </c>
      <c r="AM392" s="531" t="str">
        <f t="shared" si="73"/>
        <v/>
      </c>
      <c r="AN392" s="716" t="str">
        <f t="shared" si="74"/>
        <v/>
      </c>
    </row>
    <row r="393" spans="6:40" x14ac:dyDescent="0.2">
      <c r="F393" s="1" t="str">
        <f t="shared" si="67"/>
        <v/>
      </c>
      <c r="G393" s="713" t="str">
        <f t="shared" si="75"/>
        <v/>
      </c>
      <c r="H393" s="17" t="str">
        <f>IFERROR(VLOOKUP($G393,Table1[[Property]:[Exposure %]],4,0),"")</f>
        <v/>
      </c>
      <c r="I393" s="3" t="str">
        <f>IFERROR(VLOOKUP($G393,Table1[[Property]:[Exposure %]],6,0),"")</f>
        <v/>
      </c>
      <c r="J393" s="3" t="str">
        <f>IFERROR(VLOOKUP($G393,Table1[[Property]:[Exposure %]],7,0),"")</f>
        <v/>
      </c>
      <c r="R393" s="4" t="str">
        <f>IFERROR(VLOOKUP(IF(F393="Total",F392,F393),Table1[[Property]:['# Units]],7,0)*S393,"")</f>
        <v/>
      </c>
      <c r="S393" s="27" t="str">
        <f t="shared" si="68"/>
        <v/>
      </c>
      <c r="T393" s="531" t="str">
        <f>IFERROR(
 IF($F393="Total",
   SUMPRODUCT(
   INDEX(T:T, ROW()-COUNTIF($F$6:INDEX($F:$F, ROW()-1), $F392)) : INDEX(T:T, ROW()-1),
   INDEX(W:W, ROW()-COUNTIF($F$6:INDEX($F:$F, ROW()-1), $F392)) : INDEX(W:W, ROW()-1)
   )
   /SUM(INDEX(W:W, ROW()-COUNTIF($F$6:INDEX($F:$F, ROW()-1), $F392)) : INDEX(W:W, ROW()-1)),
   AVERAGEIFS(
     INDEX((unit_details[Asking Rent],unit_details[Asking PSF]),0,1,IF($U$3="Chunk Rent",1,2)),
     unit_details[Leased Date],"&gt;="&amp;($AM$2-T$5),
     unit_details[Leased Date],"&lt;"&amp;$AM$2,
     unit_details[Beds],$L393,
     unit_details[Baths],$M393,
     unit_details[Partial Baths],IF(ISNUMBER($N393),$N393,""),
     unit_details[Sqft],$P393,
     unit_details[Property Name],$F393)
 ),"")</f>
        <v/>
      </c>
      <c r="U393" s="552" t="str">
        <f>IFERROR(
 IF($F393="Total",
   SUMPRODUCT(
   INDEX(U:U, ROW()-COUNTIF($F$6:INDEX($F:$F, ROW()-1), $F392)) : INDEX(U:U, ROW()-1),
   INDEX(W:W, ROW()-COUNTIF($F$6:INDEX($F:$F, ROW()-1), $F392)) : INDEX(W:W, ROW()-1)
   )
   /SUM(INDEX(W:W, ROW()-COUNTIF($F$6:INDEX($F:$F, ROW()-1), $F392)) : INDEX(W:W, ROW()-1)),
   AVERAGEIFS(
     INDEX((unit_details[Effective Rent],unit_details[Effective PSF]),0,1,IF($U$3="Chunk Rent",1,2)),
     unit_details[Leased Date],"&gt;="&amp;($AM$2-T$5),
     unit_details[Leased Date],"&lt;"&amp;$AM$2,
     unit_details[Beds],$L393,
     unit_details[Baths],$M393,
     unit_details[Partial Baths],IF(ISNUMBER($N393),$N393,""),
     unit_details[Sqft],$P393,
     unit_details[Property Name],$F393)
 ),"")</f>
        <v/>
      </c>
      <c r="V393" s="27" t="str">
        <f t="shared" si="76"/>
        <v/>
      </c>
      <c r="W393" s="526">
        <f>IFERROR(
  IF($F393="Total",
    SUM(INDEX(W:W, ROW()-COUNTIF($F$6:INDEX($F:$F, ROW()-1), $F392)) : INDEX(W:W, ROW()-1)),
    COUNTIFS(
      unit_details[Leased Date], "&gt;="&amp;($AM$2-T$5),
      unit_details[Leased Date], "&lt;"&amp;$AM$2,
      unit_details[Beds], $L393,
      unit_details[Baths], $M393,
      unit_details[Partial Baths], IF(ISNUMBER($N393), $N393, ""),
      unit_details[Sqft],$P393,
      unit_details[Property Name], $F393
    )
  ),
"")</f>
        <v>0</v>
      </c>
      <c r="X393" s="531" t="str">
        <f>IFERROR(
 IF($F393="Total",
   SUMPRODUCT(
   INDEX(X:X, ROW()-COUNTIF($F$6:INDEX($F:$F, ROW()-1), $F392)) : INDEX(X:X, ROW()-1),
   INDEX(AA:AA, ROW()-COUNTIF($F$6:INDEX($F:$F, ROW()-1), $F392)) : INDEX(AA:AA, ROW()-1)
   )
   /SUM(INDEX(AA:AA, ROW()-COUNTIF($F$6:INDEX($F:$F, ROW()-1), $F392)) : INDEX(AA:AA, ROW()-1)),
   AVERAGEIFS(
     INDEX((unit_details[Asking Rent],unit_details[Asking PSF]),0,1,IF($U$3="Chunk Rent",1,2)),
     unit_details[Leased Date],"&gt;="&amp;($AM$2-X$5),
     unit_details[Leased Date],"&lt;"&amp;$AM$2,
     unit_details[Beds],$L393,
     unit_details[Baths],$M393,
     unit_details[Partial Baths],IF(ISNUMBER($N393),$N393,""),
     unit_details[Sqft],$P393,
     unit_details[Property Name],$F393)
 ),"")</f>
        <v/>
      </c>
      <c r="Y393" s="552" t="str">
        <f>IFERROR(
 IF($F393="Total",
   SUMPRODUCT(
   INDEX(Y:Y, ROW()-COUNTIF($F$6:INDEX($F:$F, ROW()-1), $F392)) : INDEX(Y:Y, ROW()-1),
   INDEX(AA:AA, ROW()-COUNTIF($F$6:INDEX($F:$F, ROW()-1), $F392)) : INDEX(AA:AA, ROW()-1)
   )
   /SUM(INDEX(AA:AA, ROW()-COUNTIF($F$6:INDEX($F:$F, ROW()-1), $F392)) : INDEX(AA:AA, ROW()-1)),
   AVERAGEIFS(
     INDEX((unit_details[Effective Rent],unit_details[Effective PSF]),0,1,IF($U$3="Chunk Rent",1,2)),
     unit_details[Leased Date],"&gt;="&amp;($AM$2-X$5),
     unit_details[Leased Date],"&lt;"&amp;$AM$2,
     unit_details[Beds],$L393,
     unit_details[Baths],$M393,
     unit_details[Partial Baths],IF(ISNUMBER($N393),$N393,""),
     unit_details[Sqft],$P393,
     unit_details[Property Name],$F393)
 ),"")</f>
        <v/>
      </c>
      <c r="Z393" s="27" t="str">
        <f t="shared" si="77"/>
        <v/>
      </c>
      <c r="AA393" s="526">
        <f>IFERROR(
  IF($F393="Total",
    SUM(INDEX(AA:AA, ROW()-COUNTIF($F$6:INDEX($F:$F, ROW()-1), $F392)) : INDEX(AA:AA, ROW()-1)),
    COUNTIFS(
      unit_details[Leased Date], "&gt;="&amp;($AM$2-X$5),
      unit_details[Leased Date], "&lt;"&amp;$AM$2,
      unit_details[Beds], $L393,
      unit_details[Baths], $M393,
      unit_details[Partial Baths], IF(ISNUMBER($N393), $N393, ""),
      unit_details[Sqft],$P393,
      unit_details[Property Name], $F393
    )
  ),
"")</f>
        <v>0</v>
      </c>
      <c r="AB393" s="290">
        <f>IF($F393="Total",
SUM(INDEX(AB:AB, ROW()-COUNTIF($F$6:INDEX($F:$F, ROW()-1), $F392)) : INDEX(AB:AB, ROW()-1)),
COUNTIFS(unit_details[Active Listing?],TRUE,
          unit_details[Property Name], $F393,
          unit_details[Beds], $L393,
          unit_details[Baths], $M393,
          unit_details[Partial Baths],IF(ISNUMBER($N393),$N393,""),
          unit_details[Sqft],$P393))</f>
        <v>0</v>
      </c>
      <c r="AC393" s="27" t="str">
        <f t="shared" si="69"/>
        <v/>
      </c>
      <c r="AD393" s="293" t="str">
        <f>IFERROR(IF(AE393="","",IF($F393="Total",
SUMPRODUCT(
   INDEX(AD:AD, ROW()-COUNTIF($F$6:INDEX($F:$F, ROW()-1), $F392)) : INDEX(AD:AD, ROW()-1),
   INDEX(AB:AB, ROW()-COUNTIF($F$6:INDEX($F:$F, ROW()-1), $F392)) : INDEX(AB:AB, ROW()-1)
   )
   /SUM(INDEX(AB:AB, ROW()-COUNTIF($F$6:INDEX($F:$F, ROW()-1), $F392)) : INDEX(AB:AB, ROW()-1)),
          _xlfn.MINIFS(unit_details[Asking Rent],
          unit_details[Active Listing?],TRUE,
          unit_details[Property Name], $F393,
          unit_details[Beds], $L393,
          unit_details[Baths], $M393,
          unit_details[Partial Baths], IF(ISNUMBER($N393),$N393,""),
          unit_details[Sqft],$P393
))),"")</f>
        <v/>
      </c>
      <c r="AE393" s="5" t="str">
        <f>IFERROR(IF($F393="Total",
          SUMPRODUCT(
   INDEX(AE:AE, ROW()-COUNTIF($F$6:INDEX($F:$F, ROW()-1), $F392)) : INDEX(AE:AE, ROW()-1),
   INDEX(AB:AB, ROW()-COUNTIF($F$6:INDEX($F:$F, ROW()-1), $F392)) : INDEX(AB:AB, ROW()-1)
   )
   /SUM(INDEX(AB:AB, ROW()-COUNTIF($F$6:INDEX($F:$F, ROW()-1), $F392)) : INDEX(AB:AB, ROW()-1)),
          AVERAGEIFS(unit_details[Asking Rent],
          unit_details[Active Listing?],TRUE,
          unit_details[Property Name], $F393,
          unit_details[Beds], $L393,
          unit_details[Baths], $M393,
          unit_details[Partial Baths], IF(ISNUMBER($N393),$N393,""),
          unit_details[Sqft],$P393
)),"")</f>
        <v/>
      </c>
      <c r="AF393" s="5" t="str">
        <f>IFERROR(IF(AE393="","",IF($F393="Total",
SUMPRODUCT(
   INDEX(AF:AF, ROW()-COUNTIF($F$6:INDEX($F:$F, ROW()-1), $F392)) : INDEX(AF:AF, ROW()-1),
   INDEX(AB:AB, ROW()-COUNTIF($F$6:INDEX($F:$F, ROW()-1), $F392)) : INDEX(AB:AB, ROW()-1)
   )
   /SUM(INDEX(AB:AB, ROW()-COUNTIF($F$6:INDEX($F:$F, ROW()-1), $F392)) : INDEX(AB:AB, ROW()-1)),
           _xlfn.MAXIFS(unit_details[Asking Rent],
          unit_details[Active Listing?],TRUE,
          unit_details[Property Name], $F393,
          unit_details[Beds], $L393,
          unit_details[Baths], $M393,
          unit_details[Partial Baths], IF(ISNUMBER($N393),$N393,""),
          unit_details[Sqft],$P393
))),"")</f>
        <v/>
      </c>
      <c r="AG393" s="6" t="str">
        <f>IFERROR(IF($F393="Total",
         SUMPRODUCT(
         INDEX(AG:AG, ROW()-COUNTIF($F$6:INDEX($F:$F, ROW()-1), $F392)) : INDEX(AG:AG, ROW()-1),
         INDEX(AB:AB, ROW()-COUNTIF($F$6:INDEX($F:$F, ROW()-1), $F392)) : INDEX(AB:AB, ROW()-1)
         )
         /SUM(INDEX(AB:AB, ROW()-COUNTIF($F$6:INDEX($F:$F, ROW()-1), $F392)) : INDEX(AB:AB, ROW()-1)),
          AVERAGEIFS(unit_details[Asking PSF],
          unit_details[Active Listing?],TRUE,
          unit_details[Property Name], $F393,
          unit_details[Beds], $L393,
          unit_details[Baths], $M393,
          unit_details[Partial Baths], IF(ISNUMBER($N393),$N393,""),
          unit_details[Sqft],$P393
)),"")</f>
        <v/>
      </c>
      <c r="AH393" s="293" t="str">
        <f>IFERROR(IF($F393="Total",
         SUMPRODUCT(
         INDEX(AH:AH, ROW()-COUNTIF($F$6:INDEX($F:$F, ROW()-1), $F392)) : INDEX(AH:AH, ROW()-1),
         INDEX(AB:AB, ROW()-COUNTIF($F$6:INDEX($F:$F, ROW()-1), $F392)) : INDEX(AB:AB, ROW()-1)
         )
         /SUM(INDEX(AB:AB, ROW()-COUNTIF($F$6:INDEX($F:$F, ROW()-1), $F392)) : INDEX(AB:AB, ROW()-1)),
          AVERAGEIFS(unit_details[Effective Rent],
          unit_details[Active Listing?],TRUE,
          unit_details[Property Name], $F393,
          unit_details[Beds], $L393,
          unit_details[Baths], $M393,
          unit_details[Partial Baths], IF(ISNUMBER($N393),$N393,""),
          unit_details[Sqft],$P393
)),"")</f>
        <v/>
      </c>
      <c r="AI393" s="6" t="str">
        <f>IFERROR(IF($F393="Total",
         SUMPRODUCT(
         INDEX(AI:AI, ROW()-COUNTIF($F$6:INDEX($F:$F, ROW()-1), $F392)) : INDEX(AI:AI, ROW()-1),
         INDEX(AB:AB, ROW()-COUNTIF($F$6:INDEX($F:$F, ROW()-1), $F392)) : INDEX(AB:AB, ROW()-1)
         )
         /SUM(INDEX(AB:AB, ROW()-COUNTIF($F$6:INDEX($F:$F, ROW()-1), $F392)) : INDEX(AB:AB, ROW()-1)),
           AVERAGEIFS(unit_details[Effective PSF],
          unit_details[Active Listing?],TRUE,
          unit_details[Property Name], $F393,
          unit_details[Beds], $L393,
          unit_details[Baths], $M393,
          unit_details[Partial Baths], IF(ISNUMBER($N393),$N393,""),
          unit_details[Sqft],$P393
)),"")</f>
        <v/>
      </c>
      <c r="AJ393" s="824" t="str">
        <f t="shared" si="70"/>
        <v/>
      </c>
      <c r="AK393" s="531" t="str">
        <f t="shared" si="71"/>
        <v/>
      </c>
      <c r="AL393" s="714" t="str">
        <f t="shared" si="72"/>
        <v/>
      </c>
      <c r="AM393" s="531" t="str">
        <f t="shared" si="73"/>
        <v/>
      </c>
      <c r="AN393" s="716" t="str">
        <f t="shared" si="74"/>
        <v/>
      </c>
    </row>
    <row r="394" spans="6:40" x14ac:dyDescent="0.2">
      <c r="F394" s="1" t="str">
        <f t="shared" si="67"/>
        <v/>
      </c>
      <c r="G394" s="713" t="str">
        <f t="shared" si="75"/>
        <v/>
      </c>
      <c r="H394" s="17" t="str">
        <f>IFERROR(VLOOKUP($G394,Table1[[Property]:[Exposure %]],4,0),"")</f>
        <v/>
      </c>
      <c r="I394" s="3" t="str">
        <f>IFERROR(VLOOKUP($G394,Table1[[Property]:[Exposure %]],6,0),"")</f>
        <v/>
      </c>
      <c r="J394" s="3" t="str">
        <f>IFERROR(VLOOKUP($G394,Table1[[Property]:[Exposure %]],7,0),"")</f>
        <v/>
      </c>
      <c r="R394" s="4" t="str">
        <f>IFERROR(VLOOKUP(IF(F394="Total",F393,F394),Table1[[Property]:['# Units]],7,0)*S394,"")</f>
        <v/>
      </c>
      <c r="S394" s="27" t="str">
        <f t="shared" si="68"/>
        <v/>
      </c>
      <c r="T394" s="531" t="str">
        <f>IFERROR(
 IF($F394="Total",
   SUMPRODUCT(
   INDEX(T:T, ROW()-COUNTIF($F$6:INDEX($F:$F, ROW()-1), $F393)) : INDEX(T:T, ROW()-1),
   INDEX(W:W, ROW()-COUNTIF($F$6:INDEX($F:$F, ROW()-1), $F393)) : INDEX(W:W, ROW()-1)
   )
   /SUM(INDEX(W:W, ROW()-COUNTIF($F$6:INDEX($F:$F, ROW()-1), $F393)) : INDEX(W:W, ROW()-1)),
   AVERAGEIFS(
     INDEX((unit_details[Asking Rent],unit_details[Asking PSF]),0,1,IF($U$3="Chunk Rent",1,2)),
     unit_details[Leased Date],"&gt;="&amp;($AM$2-T$5),
     unit_details[Leased Date],"&lt;"&amp;$AM$2,
     unit_details[Beds],$L394,
     unit_details[Baths],$M394,
     unit_details[Partial Baths],IF(ISNUMBER($N394),$N394,""),
     unit_details[Sqft],$P394,
     unit_details[Property Name],$F394)
 ),"")</f>
        <v/>
      </c>
      <c r="U394" s="552" t="str">
        <f>IFERROR(
 IF($F394="Total",
   SUMPRODUCT(
   INDEX(U:U, ROW()-COUNTIF($F$6:INDEX($F:$F, ROW()-1), $F393)) : INDEX(U:U, ROW()-1),
   INDEX(W:W, ROW()-COUNTIF($F$6:INDEX($F:$F, ROW()-1), $F393)) : INDEX(W:W, ROW()-1)
   )
   /SUM(INDEX(W:W, ROW()-COUNTIF($F$6:INDEX($F:$F, ROW()-1), $F393)) : INDEX(W:W, ROW()-1)),
   AVERAGEIFS(
     INDEX((unit_details[Effective Rent],unit_details[Effective PSF]),0,1,IF($U$3="Chunk Rent",1,2)),
     unit_details[Leased Date],"&gt;="&amp;($AM$2-T$5),
     unit_details[Leased Date],"&lt;"&amp;$AM$2,
     unit_details[Beds],$L394,
     unit_details[Baths],$M394,
     unit_details[Partial Baths],IF(ISNUMBER($N394),$N394,""),
     unit_details[Sqft],$P394,
     unit_details[Property Name],$F394)
 ),"")</f>
        <v/>
      </c>
      <c r="V394" s="27" t="str">
        <f t="shared" si="76"/>
        <v/>
      </c>
      <c r="W394" s="526">
        <f>IFERROR(
  IF($F394="Total",
    SUM(INDEX(W:W, ROW()-COUNTIF($F$6:INDEX($F:$F, ROW()-1), $F393)) : INDEX(W:W, ROW()-1)),
    COUNTIFS(
      unit_details[Leased Date], "&gt;="&amp;($AM$2-T$5),
      unit_details[Leased Date], "&lt;"&amp;$AM$2,
      unit_details[Beds], $L394,
      unit_details[Baths], $M394,
      unit_details[Partial Baths], IF(ISNUMBER($N394), $N394, ""),
      unit_details[Sqft],$P394,
      unit_details[Property Name], $F394
    )
  ),
"")</f>
        <v>0</v>
      </c>
      <c r="X394" s="531" t="str">
        <f>IFERROR(
 IF($F394="Total",
   SUMPRODUCT(
   INDEX(X:X, ROW()-COUNTIF($F$6:INDEX($F:$F, ROW()-1), $F393)) : INDEX(X:X, ROW()-1),
   INDEX(AA:AA, ROW()-COUNTIF($F$6:INDEX($F:$F, ROW()-1), $F393)) : INDEX(AA:AA, ROW()-1)
   )
   /SUM(INDEX(AA:AA, ROW()-COUNTIF($F$6:INDEX($F:$F, ROW()-1), $F393)) : INDEX(AA:AA, ROW()-1)),
   AVERAGEIFS(
     INDEX((unit_details[Asking Rent],unit_details[Asking PSF]),0,1,IF($U$3="Chunk Rent",1,2)),
     unit_details[Leased Date],"&gt;="&amp;($AM$2-X$5),
     unit_details[Leased Date],"&lt;"&amp;$AM$2,
     unit_details[Beds],$L394,
     unit_details[Baths],$M394,
     unit_details[Partial Baths],IF(ISNUMBER($N394),$N394,""),
     unit_details[Sqft],$P394,
     unit_details[Property Name],$F394)
 ),"")</f>
        <v/>
      </c>
      <c r="Y394" s="552" t="str">
        <f>IFERROR(
 IF($F394="Total",
   SUMPRODUCT(
   INDEX(Y:Y, ROW()-COUNTIF($F$6:INDEX($F:$F, ROW()-1), $F393)) : INDEX(Y:Y, ROW()-1),
   INDEX(AA:AA, ROW()-COUNTIF($F$6:INDEX($F:$F, ROW()-1), $F393)) : INDEX(AA:AA, ROW()-1)
   )
   /SUM(INDEX(AA:AA, ROW()-COUNTIF($F$6:INDEX($F:$F, ROW()-1), $F393)) : INDEX(AA:AA, ROW()-1)),
   AVERAGEIFS(
     INDEX((unit_details[Effective Rent],unit_details[Effective PSF]),0,1,IF($U$3="Chunk Rent",1,2)),
     unit_details[Leased Date],"&gt;="&amp;($AM$2-X$5),
     unit_details[Leased Date],"&lt;"&amp;$AM$2,
     unit_details[Beds],$L394,
     unit_details[Baths],$M394,
     unit_details[Partial Baths],IF(ISNUMBER($N394),$N394,""),
     unit_details[Sqft],$P394,
     unit_details[Property Name],$F394)
 ),"")</f>
        <v/>
      </c>
      <c r="Z394" s="27" t="str">
        <f t="shared" si="77"/>
        <v/>
      </c>
      <c r="AA394" s="526">
        <f>IFERROR(
  IF($F394="Total",
    SUM(INDEX(AA:AA, ROW()-COUNTIF($F$6:INDEX($F:$F, ROW()-1), $F393)) : INDEX(AA:AA, ROW()-1)),
    COUNTIFS(
      unit_details[Leased Date], "&gt;="&amp;($AM$2-X$5),
      unit_details[Leased Date], "&lt;"&amp;$AM$2,
      unit_details[Beds], $L394,
      unit_details[Baths], $M394,
      unit_details[Partial Baths], IF(ISNUMBER($N394), $N394, ""),
      unit_details[Sqft],$P394,
      unit_details[Property Name], $F394
    )
  ),
"")</f>
        <v>0</v>
      </c>
      <c r="AB394" s="290">
        <f>IF($F394="Total",
SUM(INDEX(AB:AB, ROW()-COUNTIF($F$6:INDEX($F:$F, ROW()-1), $F393)) : INDEX(AB:AB, ROW()-1)),
COUNTIFS(unit_details[Active Listing?],TRUE,
          unit_details[Property Name], $F394,
          unit_details[Beds], $L394,
          unit_details[Baths], $M394,
          unit_details[Partial Baths],IF(ISNUMBER($N394),$N394,""),
          unit_details[Sqft],$P394))</f>
        <v>0</v>
      </c>
      <c r="AC394" s="27" t="str">
        <f t="shared" si="69"/>
        <v/>
      </c>
      <c r="AD394" s="293" t="str">
        <f>IFERROR(IF(AE394="","",IF($F394="Total",
SUMPRODUCT(
   INDEX(AD:AD, ROW()-COUNTIF($F$6:INDEX($F:$F, ROW()-1), $F393)) : INDEX(AD:AD, ROW()-1),
   INDEX(AB:AB, ROW()-COUNTIF($F$6:INDEX($F:$F, ROW()-1), $F393)) : INDEX(AB:AB, ROW()-1)
   )
   /SUM(INDEX(AB:AB, ROW()-COUNTIF($F$6:INDEX($F:$F, ROW()-1), $F393)) : INDEX(AB:AB, ROW()-1)),
          _xlfn.MINIFS(unit_details[Asking Rent],
          unit_details[Active Listing?],TRUE,
          unit_details[Property Name], $F394,
          unit_details[Beds], $L394,
          unit_details[Baths], $M394,
          unit_details[Partial Baths], IF(ISNUMBER($N394),$N394,""),
          unit_details[Sqft],$P394
))),"")</f>
        <v/>
      </c>
      <c r="AE394" s="5" t="str">
        <f>IFERROR(IF($F394="Total",
          SUMPRODUCT(
   INDEX(AE:AE, ROW()-COUNTIF($F$6:INDEX($F:$F, ROW()-1), $F393)) : INDEX(AE:AE, ROW()-1),
   INDEX(AB:AB, ROW()-COUNTIF($F$6:INDEX($F:$F, ROW()-1), $F393)) : INDEX(AB:AB, ROW()-1)
   )
   /SUM(INDEX(AB:AB, ROW()-COUNTIF($F$6:INDEX($F:$F, ROW()-1), $F393)) : INDEX(AB:AB, ROW()-1)),
          AVERAGEIFS(unit_details[Asking Rent],
          unit_details[Active Listing?],TRUE,
          unit_details[Property Name], $F394,
          unit_details[Beds], $L394,
          unit_details[Baths], $M394,
          unit_details[Partial Baths], IF(ISNUMBER($N394),$N394,""),
          unit_details[Sqft],$P394
)),"")</f>
        <v/>
      </c>
      <c r="AF394" s="5" t="str">
        <f>IFERROR(IF(AE394="","",IF($F394="Total",
SUMPRODUCT(
   INDEX(AF:AF, ROW()-COUNTIF($F$6:INDEX($F:$F, ROW()-1), $F393)) : INDEX(AF:AF, ROW()-1),
   INDEX(AB:AB, ROW()-COUNTIF($F$6:INDEX($F:$F, ROW()-1), $F393)) : INDEX(AB:AB, ROW()-1)
   )
   /SUM(INDEX(AB:AB, ROW()-COUNTIF($F$6:INDEX($F:$F, ROW()-1), $F393)) : INDEX(AB:AB, ROW()-1)),
           _xlfn.MAXIFS(unit_details[Asking Rent],
          unit_details[Active Listing?],TRUE,
          unit_details[Property Name], $F394,
          unit_details[Beds], $L394,
          unit_details[Baths], $M394,
          unit_details[Partial Baths], IF(ISNUMBER($N394),$N394,""),
          unit_details[Sqft],$P394
))),"")</f>
        <v/>
      </c>
      <c r="AG394" s="6" t="str">
        <f>IFERROR(IF($F394="Total",
         SUMPRODUCT(
         INDEX(AG:AG, ROW()-COUNTIF($F$6:INDEX($F:$F, ROW()-1), $F393)) : INDEX(AG:AG, ROW()-1),
         INDEX(AB:AB, ROW()-COUNTIF($F$6:INDEX($F:$F, ROW()-1), $F393)) : INDEX(AB:AB, ROW()-1)
         )
         /SUM(INDEX(AB:AB, ROW()-COUNTIF($F$6:INDEX($F:$F, ROW()-1), $F393)) : INDEX(AB:AB, ROW()-1)),
          AVERAGEIFS(unit_details[Asking PSF],
          unit_details[Active Listing?],TRUE,
          unit_details[Property Name], $F394,
          unit_details[Beds], $L394,
          unit_details[Baths], $M394,
          unit_details[Partial Baths], IF(ISNUMBER($N394),$N394,""),
          unit_details[Sqft],$P394
)),"")</f>
        <v/>
      </c>
      <c r="AH394" s="293" t="str">
        <f>IFERROR(IF($F394="Total",
         SUMPRODUCT(
         INDEX(AH:AH, ROW()-COUNTIF($F$6:INDEX($F:$F, ROW()-1), $F393)) : INDEX(AH:AH, ROW()-1),
         INDEX(AB:AB, ROW()-COUNTIF($F$6:INDEX($F:$F, ROW()-1), $F393)) : INDEX(AB:AB, ROW()-1)
         )
         /SUM(INDEX(AB:AB, ROW()-COUNTIF($F$6:INDEX($F:$F, ROW()-1), $F393)) : INDEX(AB:AB, ROW()-1)),
          AVERAGEIFS(unit_details[Effective Rent],
          unit_details[Active Listing?],TRUE,
          unit_details[Property Name], $F394,
          unit_details[Beds], $L394,
          unit_details[Baths], $M394,
          unit_details[Partial Baths], IF(ISNUMBER($N394),$N394,""),
          unit_details[Sqft],$P394
)),"")</f>
        <v/>
      </c>
      <c r="AI394" s="6" t="str">
        <f>IFERROR(IF($F394="Total",
         SUMPRODUCT(
         INDEX(AI:AI, ROW()-COUNTIF($F$6:INDEX($F:$F, ROW()-1), $F393)) : INDEX(AI:AI, ROW()-1),
         INDEX(AB:AB, ROW()-COUNTIF($F$6:INDEX($F:$F, ROW()-1), $F393)) : INDEX(AB:AB, ROW()-1)
         )
         /SUM(INDEX(AB:AB, ROW()-COUNTIF($F$6:INDEX($F:$F, ROW()-1), $F393)) : INDEX(AB:AB, ROW()-1)),
           AVERAGEIFS(unit_details[Effective PSF],
          unit_details[Active Listing?],TRUE,
          unit_details[Property Name], $F394,
          unit_details[Beds], $L394,
          unit_details[Baths], $M394,
          unit_details[Partial Baths], IF(ISNUMBER($N394),$N394,""),
          unit_details[Sqft],$P394
)),"")</f>
        <v/>
      </c>
      <c r="AJ394" s="824" t="str">
        <f t="shared" si="70"/>
        <v/>
      </c>
      <c r="AK394" s="531" t="str">
        <f t="shared" si="71"/>
        <v/>
      </c>
      <c r="AL394" s="714" t="str">
        <f t="shared" si="72"/>
        <v/>
      </c>
      <c r="AM394" s="531" t="str">
        <f t="shared" si="73"/>
        <v/>
      </c>
      <c r="AN394" s="716" t="str">
        <f t="shared" si="74"/>
        <v/>
      </c>
    </row>
    <row r="395" spans="6:40" x14ac:dyDescent="0.2">
      <c r="F395" s="1" t="str">
        <f t="shared" si="67"/>
        <v/>
      </c>
      <c r="G395" s="713" t="str">
        <f t="shared" si="75"/>
        <v/>
      </c>
      <c r="H395" s="17" t="str">
        <f>IFERROR(VLOOKUP($G395,Table1[[Property]:[Exposure %]],4,0),"")</f>
        <v/>
      </c>
      <c r="I395" s="3" t="str">
        <f>IFERROR(VLOOKUP($G395,Table1[[Property]:[Exposure %]],6,0),"")</f>
        <v/>
      </c>
      <c r="J395" s="3" t="str">
        <f>IFERROR(VLOOKUP($G395,Table1[[Property]:[Exposure %]],7,0),"")</f>
        <v/>
      </c>
      <c r="R395" s="4" t="str">
        <f>IFERROR(VLOOKUP(IF(F395="Total",F394,F395),Table1[[Property]:['# Units]],7,0)*S395,"")</f>
        <v/>
      </c>
      <c r="S395" s="27" t="str">
        <f t="shared" si="68"/>
        <v/>
      </c>
      <c r="T395" s="531" t="str">
        <f>IFERROR(
 IF($F395="Total",
   SUMPRODUCT(
   INDEX(T:T, ROW()-COUNTIF($F$6:INDEX($F:$F, ROW()-1), $F394)) : INDEX(T:T, ROW()-1),
   INDEX(W:W, ROW()-COUNTIF($F$6:INDEX($F:$F, ROW()-1), $F394)) : INDEX(W:W, ROW()-1)
   )
   /SUM(INDEX(W:W, ROW()-COUNTIF($F$6:INDEX($F:$F, ROW()-1), $F394)) : INDEX(W:W, ROW()-1)),
   AVERAGEIFS(
     INDEX((unit_details[Asking Rent],unit_details[Asking PSF]),0,1,IF($U$3="Chunk Rent",1,2)),
     unit_details[Leased Date],"&gt;="&amp;($AM$2-T$5),
     unit_details[Leased Date],"&lt;"&amp;$AM$2,
     unit_details[Beds],$L395,
     unit_details[Baths],$M395,
     unit_details[Partial Baths],IF(ISNUMBER($N395),$N395,""),
     unit_details[Sqft],$P395,
     unit_details[Property Name],$F395)
 ),"")</f>
        <v/>
      </c>
      <c r="U395" s="552" t="str">
        <f>IFERROR(
 IF($F395="Total",
   SUMPRODUCT(
   INDEX(U:U, ROW()-COUNTIF($F$6:INDEX($F:$F, ROW()-1), $F394)) : INDEX(U:U, ROW()-1),
   INDEX(W:W, ROW()-COUNTIF($F$6:INDEX($F:$F, ROW()-1), $F394)) : INDEX(W:W, ROW()-1)
   )
   /SUM(INDEX(W:W, ROW()-COUNTIF($F$6:INDEX($F:$F, ROW()-1), $F394)) : INDEX(W:W, ROW()-1)),
   AVERAGEIFS(
     INDEX((unit_details[Effective Rent],unit_details[Effective PSF]),0,1,IF($U$3="Chunk Rent",1,2)),
     unit_details[Leased Date],"&gt;="&amp;($AM$2-T$5),
     unit_details[Leased Date],"&lt;"&amp;$AM$2,
     unit_details[Beds],$L395,
     unit_details[Baths],$M395,
     unit_details[Partial Baths],IF(ISNUMBER($N395),$N395,""),
     unit_details[Sqft],$P395,
     unit_details[Property Name],$F395)
 ),"")</f>
        <v/>
      </c>
      <c r="V395" s="27" t="str">
        <f t="shared" si="76"/>
        <v/>
      </c>
      <c r="W395" s="526">
        <f>IFERROR(
  IF($F395="Total",
    SUM(INDEX(W:W, ROW()-COUNTIF($F$6:INDEX($F:$F, ROW()-1), $F394)) : INDEX(W:W, ROW()-1)),
    COUNTIFS(
      unit_details[Leased Date], "&gt;="&amp;($AM$2-T$5),
      unit_details[Leased Date], "&lt;"&amp;$AM$2,
      unit_details[Beds], $L395,
      unit_details[Baths], $M395,
      unit_details[Partial Baths], IF(ISNUMBER($N395), $N395, ""),
      unit_details[Sqft],$P395,
      unit_details[Property Name], $F395
    )
  ),
"")</f>
        <v>0</v>
      </c>
      <c r="X395" s="531" t="str">
        <f>IFERROR(
 IF($F395="Total",
   SUMPRODUCT(
   INDEX(X:X, ROW()-COUNTIF($F$6:INDEX($F:$F, ROW()-1), $F394)) : INDEX(X:X, ROW()-1),
   INDEX(AA:AA, ROW()-COUNTIF($F$6:INDEX($F:$F, ROW()-1), $F394)) : INDEX(AA:AA, ROW()-1)
   )
   /SUM(INDEX(AA:AA, ROW()-COUNTIF($F$6:INDEX($F:$F, ROW()-1), $F394)) : INDEX(AA:AA, ROW()-1)),
   AVERAGEIFS(
     INDEX((unit_details[Asking Rent],unit_details[Asking PSF]),0,1,IF($U$3="Chunk Rent",1,2)),
     unit_details[Leased Date],"&gt;="&amp;($AM$2-X$5),
     unit_details[Leased Date],"&lt;"&amp;$AM$2,
     unit_details[Beds],$L395,
     unit_details[Baths],$M395,
     unit_details[Partial Baths],IF(ISNUMBER($N395),$N395,""),
     unit_details[Sqft],$P395,
     unit_details[Property Name],$F395)
 ),"")</f>
        <v/>
      </c>
      <c r="Y395" s="552" t="str">
        <f>IFERROR(
 IF($F395="Total",
   SUMPRODUCT(
   INDEX(Y:Y, ROW()-COUNTIF($F$6:INDEX($F:$F, ROW()-1), $F394)) : INDEX(Y:Y, ROW()-1),
   INDEX(AA:AA, ROW()-COUNTIF($F$6:INDEX($F:$F, ROW()-1), $F394)) : INDEX(AA:AA, ROW()-1)
   )
   /SUM(INDEX(AA:AA, ROW()-COUNTIF($F$6:INDEX($F:$F, ROW()-1), $F394)) : INDEX(AA:AA, ROW()-1)),
   AVERAGEIFS(
     INDEX((unit_details[Effective Rent],unit_details[Effective PSF]),0,1,IF($U$3="Chunk Rent",1,2)),
     unit_details[Leased Date],"&gt;="&amp;($AM$2-X$5),
     unit_details[Leased Date],"&lt;"&amp;$AM$2,
     unit_details[Beds],$L395,
     unit_details[Baths],$M395,
     unit_details[Partial Baths],IF(ISNUMBER($N395),$N395,""),
     unit_details[Sqft],$P395,
     unit_details[Property Name],$F395)
 ),"")</f>
        <v/>
      </c>
      <c r="Z395" s="27" t="str">
        <f t="shared" si="77"/>
        <v/>
      </c>
      <c r="AA395" s="526">
        <f>IFERROR(
  IF($F395="Total",
    SUM(INDEX(AA:AA, ROW()-COUNTIF($F$6:INDEX($F:$F, ROW()-1), $F394)) : INDEX(AA:AA, ROW()-1)),
    COUNTIFS(
      unit_details[Leased Date], "&gt;="&amp;($AM$2-X$5),
      unit_details[Leased Date], "&lt;"&amp;$AM$2,
      unit_details[Beds], $L395,
      unit_details[Baths], $M395,
      unit_details[Partial Baths], IF(ISNUMBER($N395), $N395, ""),
      unit_details[Sqft],$P395,
      unit_details[Property Name], $F395
    )
  ),
"")</f>
        <v>0</v>
      </c>
      <c r="AB395" s="290">
        <f>IF($F395="Total",
SUM(INDEX(AB:AB, ROW()-COUNTIF($F$6:INDEX($F:$F, ROW()-1), $F394)) : INDEX(AB:AB, ROW()-1)),
COUNTIFS(unit_details[Active Listing?],TRUE,
          unit_details[Property Name], $F395,
          unit_details[Beds], $L395,
          unit_details[Baths], $M395,
          unit_details[Partial Baths],IF(ISNUMBER($N395),$N395,""),
          unit_details[Sqft],$P395))</f>
        <v>0</v>
      </c>
      <c r="AC395" s="27" t="str">
        <f t="shared" si="69"/>
        <v/>
      </c>
      <c r="AD395" s="293" t="str">
        <f>IFERROR(IF(AE395="","",IF($F395="Total",
SUMPRODUCT(
   INDEX(AD:AD, ROW()-COUNTIF($F$6:INDEX($F:$F, ROW()-1), $F394)) : INDEX(AD:AD, ROW()-1),
   INDEX(AB:AB, ROW()-COUNTIF($F$6:INDEX($F:$F, ROW()-1), $F394)) : INDEX(AB:AB, ROW()-1)
   )
   /SUM(INDEX(AB:AB, ROW()-COUNTIF($F$6:INDEX($F:$F, ROW()-1), $F394)) : INDEX(AB:AB, ROW()-1)),
          _xlfn.MINIFS(unit_details[Asking Rent],
          unit_details[Active Listing?],TRUE,
          unit_details[Property Name], $F395,
          unit_details[Beds], $L395,
          unit_details[Baths], $M395,
          unit_details[Partial Baths], IF(ISNUMBER($N395),$N395,""),
          unit_details[Sqft],$P395
))),"")</f>
        <v/>
      </c>
      <c r="AE395" s="5" t="str">
        <f>IFERROR(IF($F395="Total",
          SUMPRODUCT(
   INDEX(AE:AE, ROW()-COUNTIF($F$6:INDEX($F:$F, ROW()-1), $F394)) : INDEX(AE:AE, ROW()-1),
   INDEX(AB:AB, ROW()-COUNTIF($F$6:INDEX($F:$F, ROW()-1), $F394)) : INDEX(AB:AB, ROW()-1)
   )
   /SUM(INDEX(AB:AB, ROW()-COUNTIF($F$6:INDEX($F:$F, ROW()-1), $F394)) : INDEX(AB:AB, ROW()-1)),
          AVERAGEIFS(unit_details[Asking Rent],
          unit_details[Active Listing?],TRUE,
          unit_details[Property Name], $F395,
          unit_details[Beds], $L395,
          unit_details[Baths], $M395,
          unit_details[Partial Baths], IF(ISNUMBER($N395),$N395,""),
          unit_details[Sqft],$P395
)),"")</f>
        <v/>
      </c>
      <c r="AF395" s="5" t="str">
        <f>IFERROR(IF(AE395="","",IF($F395="Total",
SUMPRODUCT(
   INDEX(AF:AF, ROW()-COUNTIF($F$6:INDEX($F:$F, ROW()-1), $F394)) : INDEX(AF:AF, ROW()-1),
   INDEX(AB:AB, ROW()-COUNTIF($F$6:INDEX($F:$F, ROW()-1), $F394)) : INDEX(AB:AB, ROW()-1)
   )
   /SUM(INDEX(AB:AB, ROW()-COUNTIF($F$6:INDEX($F:$F, ROW()-1), $F394)) : INDEX(AB:AB, ROW()-1)),
           _xlfn.MAXIFS(unit_details[Asking Rent],
          unit_details[Active Listing?],TRUE,
          unit_details[Property Name], $F395,
          unit_details[Beds], $L395,
          unit_details[Baths], $M395,
          unit_details[Partial Baths], IF(ISNUMBER($N395),$N395,""),
          unit_details[Sqft],$P395
))),"")</f>
        <v/>
      </c>
      <c r="AG395" s="6" t="str">
        <f>IFERROR(IF($F395="Total",
         SUMPRODUCT(
         INDEX(AG:AG, ROW()-COUNTIF($F$6:INDEX($F:$F, ROW()-1), $F394)) : INDEX(AG:AG, ROW()-1),
         INDEX(AB:AB, ROW()-COUNTIF($F$6:INDEX($F:$F, ROW()-1), $F394)) : INDEX(AB:AB, ROW()-1)
         )
         /SUM(INDEX(AB:AB, ROW()-COUNTIF($F$6:INDEX($F:$F, ROW()-1), $F394)) : INDEX(AB:AB, ROW()-1)),
          AVERAGEIFS(unit_details[Asking PSF],
          unit_details[Active Listing?],TRUE,
          unit_details[Property Name], $F395,
          unit_details[Beds], $L395,
          unit_details[Baths], $M395,
          unit_details[Partial Baths], IF(ISNUMBER($N395),$N395,""),
          unit_details[Sqft],$P395
)),"")</f>
        <v/>
      </c>
      <c r="AH395" s="293" t="str">
        <f>IFERROR(IF($F395="Total",
         SUMPRODUCT(
         INDEX(AH:AH, ROW()-COUNTIF($F$6:INDEX($F:$F, ROW()-1), $F394)) : INDEX(AH:AH, ROW()-1),
         INDEX(AB:AB, ROW()-COUNTIF($F$6:INDEX($F:$F, ROW()-1), $F394)) : INDEX(AB:AB, ROW()-1)
         )
         /SUM(INDEX(AB:AB, ROW()-COUNTIF($F$6:INDEX($F:$F, ROW()-1), $F394)) : INDEX(AB:AB, ROW()-1)),
          AVERAGEIFS(unit_details[Effective Rent],
          unit_details[Active Listing?],TRUE,
          unit_details[Property Name], $F395,
          unit_details[Beds], $L395,
          unit_details[Baths], $M395,
          unit_details[Partial Baths], IF(ISNUMBER($N395),$N395,""),
          unit_details[Sqft],$P395
)),"")</f>
        <v/>
      </c>
      <c r="AI395" s="6" t="str">
        <f>IFERROR(IF($F395="Total",
         SUMPRODUCT(
         INDEX(AI:AI, ROW()-COUNTIF($F$6:INDEX($F:$F, ROW()-1), $F394)) : INDEX(AI:AI, ROW()-1),
         INDEX(AB:AB, ROW()-COUNTIF($F$6:INDEX($F:$F, ROW()-1), $F394)) : INDEX(AB:AB, ROW()-1)
         )
         /SUM(INDEX(AB:AB, ROW()-COUNTIF($F$6:INDEX($F:$F, ROW()-1), $F394)) : INDEX(AB:AB, ROW()-1)),
           AVERAGEIFS(unit_details[Effective PSF],
          unit_details[Active Listing?],TRUE,
          unit_details[Property Name], $F395,
          unit_details[Beds], $L395,
          unit_details[Baths], $M395,
          unit_details[Partial Baths], IF(ISNUMBER($N395),$N395,""),
          unit_details[Sqft],$P395
)),"")</f>
        <v/>
      </c>
      <c r="AJ395" s="824" t="str">
        <f t="shared" si="70"/>
        <v/>
      </c>
      <c r="AK395" s="531" t="str">
        <f t="shared" si="71"/>
        <v/>
      </c>
      <c r="AL395" s="714" t="str">
        <f t="shared" si="72"/>
        <v/>
      </c>
      <c r="AM395" s="531" t="str">
        <f t="shared" si="73"/>
        <v/>
      </c>
      <c r="AN395" s="716" t="str">
        <f t="shared" si="74"/>
        <v/>
      </c>
    </row>
    <row r="396" spans="6:40" x14ac:dyDescent="0.2">
      <c r="F396" s="1" t="str">
        <f t="shared" si="67"/>
        <v/>
      </c>
      <c r="G396" s="713" t="str">
        <f t="shared" si="75"/>
        <v/>
      </c>
      <c r="H396" s="17" t="str">
        <f>IFERROR(VLOOKUP($G396,Table1[[Property]:[Exposure %]],4,0),"")</f>
        <v/>
      </c>
      <c r="I396" s="3" t="str">
        <f>IFERROR(VLOOKUP($G396,Table1[[Property]:[Exposure %]],6,0),"")</f>
        <v/>
      </c>
      <c r="J396" s="3" t="str">
        <f>IFERROR(VLOOKUP($G396,Table1[[Property]:[Exposure %]],7,0),"")</f>
        <v/>
      </c>
      <c r="R396" s="4" t="str">
        <f>IFERROR(VLOOKUP(IF(F396="Total",F395,F396),Table1[[Property]:['# Units]],7,0)*S396,"")</f>
        <v/>
      </c>
      <c r="S396" s="27" t="str">
        <f t="shared" si="68"/>
        <v/>
      </c>
      <c r="T396" s="531" t="str">
        <f>IFERROR(
 IF($F396="Total",
   SUMPRODUCT(
   INDEX(T:T, ROW()-COUNTIF($F$6:INDEX($F:$F, ROW()-1), $F395)) : INDEX(T:T, ROW()-1),
   INDEX(W:W, ROW()-COUNTIF($F$6:INDEX($F:$F, ROW()-1), $F395)) : INDEX(W:W, ROW()-1)
   )
   /SUM(INDEX(W:W, ROW()-COUNTIF($F$6:INDEX($F:$F, ROW()-1), $F395)) : INDEX(W:W, ROW()-1)),
   AVERAGEIFS(
     INDEX((unit_details[Asking Rent],unit_details[Asking PSF]),0,1,IF($U$3="Chunk Rent",1,2)),
     unit_details[Leased Date],"&gt;="&amp;($AM$2-T$5),
     unit_details[Leased Date],"&lt;"&amp;$AM$2,
     unit_details[Beds],$L396,
     unit_details[Baths],$M396,
     unit_details[Partial Baths],IF(ISNUMBER($N396),$N396,""),
     unit_details[Sqft],$P396,
     unit_details[Property Name],$F396)
 ),"")</f>
        <v/>
      </c>
      <c r="U396" s="552" t="str">
        <f>IFERROR(
 IF($F396="Total",
   SUMPRODUCT(
   INDEX(U:U, ROW()-COUNTIF($F$6:INDEX($F:$F, ROW()-1), $F395)) : INDEX(U:U, ROW()-1),
   INDEX(W:W, ROW()-COUNTIF($F$6:INDEX($F:$F, ROW()-1), $F395)) : INDEX(W:W, ROW()-1)
   )
   /SUM(INDEX(W:W, ROW()-COUNTIF($F$6:INDEX($F:$F, ROW()-1), $F395)) : INDEX(W:W, ROW()-1)),
   AVERAGEIFS(
     INDEX((unit_details[Effective Rent],unit_details[Effective PSF]),0,1,IF($U$3="Chunk Rent",1,2)),
     unit_details[Leased Date],"&gt;="&amp;($AM$2-T$5),
     unit_details[Leased Date],"&lt;"&amp;$AM$2,
     unit_details[Beds],$L396,
     unit_details[Baths],$M396,
     unit_details[Partial Baths],IF(ISNUMBER($N396),$N396,""),
     unit_details[Sqft],$P396,
     unit_details[Property Name],$F396)
 ),"")</f>
        <v/>
      </c>
      <c r="V396" s="27" t="str">
        <f t="shared" si="76"/>
        <v/>
      </c>
      <c r="W396" s="526">
        <f>IFERROR(
  IF($F396="Total",
    SUM(INDEX(W:W, ROW()-COUNTIF($F$6:INDEX($F:$F, ROW()-1), $F395)) : INDEX(W:W, ROW()-1)),
    COUNTIFS(
      unit_details[Leased Date], "&gt;="&amp;($AM$2-T$5),
      unit_details[Leased Date], "&lt;"&amp;$AM$2,
      unit_details[Beds], $L396,
      unit_details[Baths], $M396,
      unit_details[Partial Baths], IF(ISNUMBER($N396), $N396, ""),
      unit_details[Sqft],$P396,
      unit_details[Property Name], $F396
    )
  ),
"")</f>
        <v>0</v>
      </c>
      <c r="X396" s="531" t="str">
        <f>IFERROR(
 IF($F396="Total",
   SUMPRODUCT(
   INDEX(X:X, ROW()-COUNTIF($F$6:INDEX($F:$F, ROW()-1), $F395)) : INDEX(X:X, ROW()-1),
   INDEX(AA:AA, ROW()-COUNTIF($F$6:INDEX($F:$F, ROW()-1), $F395)) : INDEX(AA:AA, ROW()-1)
   )
   /SUM(INDEX(AA:AA, ROW()-COUNTIF($F$6:INDEX($F:$F, ROW()-1), $F395)) : INDEX(AA:AA, ROW()-1)),
   AVERAGEIFS(
     INDEX((unit_details[Asking Rent],unit_details[Asking PSF]),0,1,IF($U$3="Chunk Rent",1,2)),
     unit_details[Leased Date],"&gt;="&amp;($AM$2-X$5),
     unit_details[Leased Date],"&lt;"&amp;$AM$2,
     unit_details[Beds],$L396,
     unit_details[Baths],$M396,
     unit_details[Partial Baths],IF(ISNUMBER($N396),$N396,""),
     unit_details[Sqft],$P396,
     unit_details[Property Name],$F396)
 ),"")</f>
        <v/>
      </c>
      <c r="Y396" s="552" t="str">
        <f>IFERROR(
 IF($F396="Total",
   SUMPRODUCT(
   INDEX(Y:Y, ROW()-COUNTIF($F$6:INDEX($F:$F, ROW()-1), $F395)) : INDEX(Y:Y, ROW()-1),
   INDEX(AA:AA, ROW()-COUNTIF($F$6:INDEX($F:$F, ROW()-1), $F395)) : INDEX(AA:AA, ROW()-1)
   )
   /SUM(INDEX(AA:AA, ROW()-COUNTIF($F$6:INDEX($F:$F, ROW()-1), $F395)) : INDEX(AA:AA, ROW()-1)),
   AVERAGEIFS(
     INDEX((unit_details[Effective Rent],unit_details[Effective PSF]),0,1,IF($U$3="Chunk Rent",1,2)),
     unit_details[Leased Date],"&gt;="&amp;($AM$2-X$5),
     unit_details[Leased Date],"&lt;"&amp;$AM$2,
     unit_details[Beds],$L396,
     unit_details[Baths],$M396,
     unit_details[Partial Baths],IF(ISNUMBER($N396),$N396,""),
     unit_details[Sqft],$P396,
     unit_details[Property Name],$F396)
 ),"")</f>
        <v/>
      </c>
      <c r="Z396" s="27" t="str">
        <f t="shared" si="77"/>
        <v/>
      </c>
      <c r="AA396" s="526">
        <f>IFERROR(
  IF($F396="Total",
    SUM(INDEX(AA:AA, ROW()-COUNTIF($F$6:INDEX($F:$F, ROW()-1), $F395)) : INDEX(AA:AA, ROW()-1)),
    COUNTIFS(
      unit_details[Leased Date], "&gt;="&amp;($AM$2-X$5),
      unit_details[Leased Date], "&lt;"&amp;$AM$2,
      unit_details[Beds], $L396,
      unit_details[Baths], $M396,
      unit_details[Partial Baths], IF(ISNUMBER($N396), $N396, ""),
      unit_details[Sqft],$P396,
      unit_details[Property Name], $F396
    )
  ),
"")</f>
        <v>0</v>
      </c>
      <c r="AB396" s="290">
        <f>IF($F396="Total",
SUM(INDEX(AB:AB, ROW()-COUNTIF($F$6:INDEX($F:$F, ROW()-1), $F395)) : INDEX(AB:AB, ROW()-1)),
COUNTIFS(unit_details[Active Listing?],TRUE,
          unit_details[Property Name], $F396,
          unit_details[Beds], $L396,
          unit_details[Baths], $M396,
          unit_details[Partial Baths],IF(ISNUMBER($N396),$N396,""),
          unit_details[Sqft],$P396))</f>
        <v>0</v>
      </c>
      <c r="AC396" s="27" t="str">
        <f t="shared" si="69"/>
        <v/>
      </c>
      <c r="AD396" s="293" t="str">
        <f>IFERROR(IF(AE396="","",IF($F396="Total",
SUMPRODUCT(
   INDEX(AD:AD, ROW()-COUNTIF($F$6:INDEX($F:$F, ROW()-1), $F395)) : INDEX(AD:AD, ROW()-1),
   INDEX(AB:AB, ROW()-COUNTIF($F$6:INDEX($F:$F, ROW()-1), $F395)) : INDEX(AB:AB, ROW()-1)
   )
   /SUM(INDEX(AB:AB, ROW()-COUNTIF($F$6:INDEX($F:$F, ROW()-1), $F395)) : INDEX(AB:AB, ROW()-1)),
          _xlfn.MINIFS(unit_details[Asking Rent],
          unit_details[Active Listing?],TRUE,
          unit_details[Property Name], $F396,
          unit_details[Beds], $L396,
          unit_details[Baths], $M396,
          unit_details[Partial Baths], IF(ISNUMBER($N396),$N396,""),
          unit_details[Sqft],$P396
))),"")</f>
        <v/>
      </c>
      <c r="AE396" s="5" t="str">
        <f>IFERROR(IF($F396="Total",
          SUMPRODUCT(
   INDEX(AE:AE, ROW()-COUNTIF($F$6:INDEX($F:$F, ROW()-1), $F395)) : INDEX(AE:AE, ROW()-1),
   INDEX(AB:AB, ROW()-COUNTIF($F$6:INDEX($F:$F, ROW()-1), $F395)) : INDEX(AB:AB, ROW()-1)
   )
   /SUM(INDEX(AB:AB, ROW()-COUNTIF($F$6:INDEX($F:$F, ROW()-1), $F395)) : INDEX(AB:AB, ROW()-1)),
          AVERAGEIFS(unit_details[Asking Rent],
          unit_details[Active Listing?],TRUE,
          unit_details[Property Name], $F396,
          unit_details[Beds], $L396,
          unit_details[Baths], $M396,
          unit_details[Partial Baths], IF(ISNUMBER($N396),$N396,""),
          unit_details[Sqft],$P396
)),"")</f>
        <v/>
      </c>
      <c r="AF396" s="5" t="str">
        <f>IFERROR(IF(AE396="","",IF($F396="Total",
SUMPRODUCT(
   INDEX(AF:AF, ROW()-COUNTIF($F$6:INDEX($F:$F, ROW()-1), $F395)) : INDEX(AF:AF, ROW()-1),
   INDEX(AB:AB, ROW()-COUNTIF($F$6:INDEX($F:$F, ROW()-1), $F395)) : INDEX(AB:AB, ROW()-1)
   )
   /SUM(INDEX(AB:AB, ROW()-COUNTIF($F$6:INDEX($F:$F, ROW()-1), $F395)) : INDEX(AB:AB, ROW()-1)),
           _xlfn.MAXIFS(unit_details[Asking Rent],
          unit_details[Active Listing?],TRUE,
          unit_details[Property Name], $F396,
          unit_details[Beds], $L396,
          unit_details[Baths], $M396,
          unit_details[Partial Baths], IF(ISNUMBER($N396),$N396,""),
          unit_details[Sqft],$P396
))),"")</f>
        <v/>
      </c>
      <c r="AG396" s="6" t="str">
        <f>IFERROR(IF($F396="Total",
         SUMPRODUCT(
         INDEX(AG:AG, ROW()-COUNTIF($F$6:INDEX($F:$F, ROW()-1), $F395)) : INDEX(AG:AG, ROW()-1),
         INDEX(AB:AB, ROW()-COUNTIF($F$6:INDEX($F:$F, ROW()-1), $F395)) : INDEX(AB:AB, ROW()-1)
         )
         /SUM(INDEX(AB:AB, ROW()-COUNTIF($F$6:INDEX($F:$F, ROW()-1), $F395)) : INDEX(AB:AB, ROW()-1)),
          AVERAGEIFS(unit_details[Asking PSF],
          unit_details[Active Listing?],TRUE,
          unit_details[Property Name], $F396,
          unit_details[Beds], $L396,
          unit_details[Baths], $M396,
          unit_details[Partial Baths], IF(ISNUMBER($N396),$N396,""),
          unit_details[Sqft],$P396
)),"")</f>
        <v/>
      </c>
      <c r="AH396" s="293" t="str">
        <f>IFERROR(IF($F396="Total",
         SUMPRODUCT(
         INDEX(AH:AH, ROW()-COUNTIF($F$6:INDEX($F:$F, ROW()-1), $F395)) : INDEX(AH:AH, ROW()-1),
         INDEX(AB:AB, ROW()-COUNTIF($F$6:INDEX($F:$F, ROW()-1), $F395)) : INDEX(AB:AB, ROW()-1)
         )
         /SUM(INDEX(AB:AB, ROW()-COUNTIF($F$6:INDEX($F:$F, ROW()-1), $F395)) : INDEX(AB:AB, ROW()-1)),
          AVERAGEIFS(unit_details[Effective Rent],
          unit_details[Active Listing?],TRUE,
          unit_details[Property Name], $F396,
          unit_details[Beds], $L396,
          unit_details[Baths], $M396,
          unit_details[Partial Baths], IF(ISNUMBER($N396),$N396,""),
          unit_details[Sqft],$P396
)),"")</f>
        <v/>
      </c>
      <c r="AI396" s="6" t="str">
        <f>IFERROR(IF($F396="Total",
         SUMPRODUCT(
         INDEX(AI:AI, ROW()-COUNTIF($F$6:INDEX($F:$F, ROW()-1), $F395)) : INDEX(AI:AI, ROW()-1),
         INDEX(AB:AB, ROW()-COUNTIF($F$6:INDEX($F:$F, ROW()-1), $F395)) : INDEX(AB:AB, ROW()-1)
         )
         /SUM(INDEX(AB:AB, ROW()-COUNTIF($F$6:INDEX($F:$F, ROW()-1), $F395)) : INDEX(AB:AB, ROW()-1)),
           AVERAGEIFS(unit_details[Effective PSF],
          unit_details[Active Listing?],TRUE,
          unit_details[Property Name], $F396,
          unit_details[Beds], $L396,
          unit_details[Baths], $M396,
          unit_details[Partial Baths], IF(ISNUMBER($N396),$N396,""),
          unit_details[Sqft],$P396
)),"")</f>
        <v/>
      </c>
      <c r="AJ396" s="824" t="str">
        <f t="shared" si="70"/>
        <v/>
      </c>
      <c r="AK396" s="531" t="str">
        <f t="shared" si="71"/>
        <v/>
      </c>
      <c r="AL396" s="714" t="str">
        <f t="shared" si="72"/>
        <v/>
      </c>
      <c r="AM396" s="531" t="str">
        <f t="shared" si="73"/>
        <v/>
      </c>
      <c r="AN396" s="716" t="str">
        <f t="shared" si="74"/>
        <v/>
      </c>
    </row>
    <row r="397" spans="6:40" x14ac:dyDescent="0.2">
      <c r="F397" s="1" t="str">
        <f t="shared" si="67"/>
        <v/>
      </c>
      <c r="G397" s="713" t="str">
        <f t="shared" si="75"/>
        <v/>
      </c>
      <c r="H397" s="17" t="str">
        <f>IFERROR(VLOOKUP($G397,Table1[[Property]:[Exposure %]],4,0),"")</f>
        <v/>
      </c>
      <c r="I397" s="3" t="str">
        <f>IFERROR(VLOOKUP($G397,Table1[[Property]:[Exposure %]],6,0),"")</f>
        <v/>
      </c>
      <c r="J397" s="3" t="str">
        <f>IFERROR(VLOOKUP($G397,Table1[[Property]:[Exposure %]],7,0),"")</f>
        <v/>
      </c>
      <c r="R397" s="4" t="str">
        <f>IFERROR(VLOOKUP(IF(F397="Total",F396,F397),Table1[[Property]:['# Units]],7,0)*S397,"")</f>
        <v/>
      </c>
      <c r="S397" s="27" t="str">
        <f t="shared" si="68"/>
        <v/>
      </c>
      <c r="T397" s="531" t="str">
        <f>IFERROR(
 IF($F397="Total",
   SUMPRODUCT(
   INDEX(T:T, ROW()-COUNTIF($F$6:INDEX($F:$F, ROW()-1), $F396)) : INDEX(T:T, ROW()-1),
   INDEX(W:W, ROW()-COUNTIF($F$6:INDEX($F:$F, ROW()-1), $F396)) : INDEX(W:W, ROW()-1)
   )
   /SUM(INDEX(W:W, ROW()-COUNTIF($F$6:INDEX($F:$F, ROW()-1), $F396)) : INDEX(W:W, ROW()-1)),
   AVERAGEIFS(
     INDEX((unit_details[Asking Rent],unit_details[Asking PSF]),0,1,IF($U$3="Chunk Rent",1,2)),
     unit_details[Leased Date],"&gt;="&amp;($AM$2-T$5),
     unit_details[Leased Date],"&lt;"&amp;$AM$2,
     unit_details[Beds],$L397,
     unit_details[Baths],$M397,
     unit_details[Partial Baths],IF(ISNUMBER($N397),$N397,""),
     unit_details[Sqft],$P397,
     unit_details[Property Name],$F397)
 ),"")</f>
        <v/>
      </c>
      <c r="U397" s="552" t="str">
        <f>IFERROR(
 IF($F397="Total",
   SUMPRODUCT(
   INDEX(U:U, ROW()-COUNTIF($F$6:INDEX($F:$F, ROW()-1), $F396)) : INDEX(U:U, ROW()-1),
   INDEX(W:W, ROW()-COUNTIF($F$6:INDEX($F:$F, ROW()-1), $F396)) : INDEX(W:W, ROW()-1)
   )
   /SUM(INDEX(W:W, ROW()-COUNTIF($F$6:INDEX($F:$F, ROW()-1), $F396)) : INDEX(W:W, ROW()-1)),
   AVERAGEIFS(
     INDEX((unit_details[Effective Rent],unit_details[Effective PSF]),0,1,IF($U$3="Chunk Rent",1,2)),
     unit_details[Leased Date],"&gt;="&amp;($AM$2-T$5),
     unit_details[Leased Date],"&lt;"&amp;$AM$2,
     unit_details[Beds],$L397,
     unit_details[Baths],$M397,
     unit_details[Partial Baths],IF(ISNUMBER($N397),$N397,""),
     unit_details[Sqft],$P397,
     unit_details[Property Name],$F397)
 ),"")</f>
        <v/>
      </c>
      <c r="V397" s="27" t="str">
        <f t="shared" si="76"/>
        <v/>
      </c>
      <c r="W397" s="526">
        <f>IFERROR(
  IF($F397="Total",
    SUM(INDEX(W:W, ROW()-COUNTIF($F$6:INDEX($F:$F, ROW()-1), $F396)) : INDEX(W:W, ROW()-1)),
    COUNTIFS(
      unit_details[Leased Date], "&gt;="&amp;($AM$2-T$5),
      unit_details[Leased Date], "&lt;"&amp;$AM$2,
      unit_details[Beds], $L397,
      unit_details[Baths], $M397,
      unit_details[Partial Baths], IF(ISNUMBER($N397), $N397, ""),
      unit_details[Sqft],$P397,
      unit_details[Property Name], $F397
    )
  ),
"")</f>
        <v>0</v>
      </c>
      <c r="X397" s="531" t="str">
        <f>IFERROR(
 IF($F397="Total",
   SUMPRODUCT(
   INDEX(X:X, ROW()-COUNTIF($F$6:INDEX($F:$F, ROW()-1), $F396)) : INDEX(X:X, ROW()-1),
   INDEX(AA:AA, ROW()-COUNTIF($F$6:INDEX($F:$F, ROW()-1), $F396)) : INDEX(AA:AA, ROW()-1)
   )
   /SUM(INDEX(AA:AA, ROW()-COUNTIF($F$6:INDEX($F:$F, ROW()-1), $F396)) : INDEX(AA:AA, ROW()-1)),
   AVERAGEIFS(
     INDEX((unit_details[Asking Rent],unit_details[Asking PSF]),0,1,IF($U$3="Chunk Rent",1,2)),
     unit_details[Leased Date],"&gt;="&amp;($AM$2-X$5),
     unit_details[Leased Date],"&lt;"&amp;$AM$2,
     unit_details[Beds],$L397,
     unit_details[Baths],$M397,
     unit_details[Partial Baths],IF(ISNUMBER($N397),$N397,""),
     unit_details[Sqft],$P397,
     unit_details[Property Name],$F397)
 ),"")</f>
        <v/>
      </c>
      <c r="Y397" s="552" t="str">
        <f>IFERROR(
 IF($F397="Total",
   SUMPRODUCT(
   INDEX(Y:Y, ROW()-COUNTIF($F$6:INDEX($F:$F, ROW()-1), $F396)) : INDEX(Y:Y, ROW()-1),
   INDEX(AA:AA, ROW()-COUNTIF($F$6:INDEX($F:$F, ROW()-1), $F396)) : INDEX(AA:AA, ROW()-1)
   )
   /SUM(INDEX(AA:AA, ROW()-COUNTIF($F$6:INDEX($F:$F, ROW()-1), $F396)) : INDEX(AA:AA, ROW()-1)),
   AVERAGEIFS(
     INDEX((unit_details[Effective Rent],unit_details[Effective PSF]),0,1,IF($U$3="Chunk Rent",1,2)),
     unit_details[Leased Date],"&gt;="&amp;($AM$2-X$5),
     unit_details[Leased Date],"&lt;"&amp;$AM$2,
     unit_details[Beds],$L397,
     unit_details[Baths],$M397,
     unit_details[Partial Baths],IF(ISNUMBER($N397),$N397,""),
     unit_details[Sqft],$P397,
     unit_details[Property Name],$F397)
 ),"")</f>
        <v/>
      </c>
      <c r="Z397" s="27" t="str">
        <f t="shared" si="77"/>
        <v/>
      </c>
      <c r="AA397" s="526">
        <f>IFERROR(
  IF($F397="Total",
    SUM(INDEX(AA:AA, ROW()-COUNTIF($F$6:INDEX($F:$F, ROW()-1), $F396)) : INDEX(AA:AA, ROW()-1)),
    COUNTIFS(
      unit_details[Leased Date], "&gt;="&amp;($AM$2-X$5),
      unit_details[Leased Date], "&lt;"&amp;$AM$2,
      unit_details[Beds], $L397,
      unit_details[Baths], $M397,
      unit_details[Partial Baths], IF(ISNUMBER($N397), $N397, ""),
      unit_details[Sqft],$P397,
      unit_details[Property Name], $F397
    )
  ),
"")</f>
        <v>0</v>
      </c>
      <c r="AB397" s="290">
        <f>IF($F397="Total",
SUM(INDEX(AB:AB, ROW()-COUNTIF($F$6:INDEX($F:$F, ROW()-1), $F396)) : INDEX(AB:AB, ROW()-1)),
COUNTIFS(unit_details[Active Listing?],TRUE,
          unit_details[Property Name], $F397,
          unit_details[Beds], $L397,
          unit_details[Baths], $M397,
          unit_details[Partial Baths],IF(ISNUMBER($N397),$N397,""),
          unit_details[Sqft],$P397))</f>
        <v>0</v>
      </c>
      <c r="AC397" s="27" t="str">
        <f t="shared" si="69"/>
        <v/>
      </c>
      <c r="AD397" s="293" t="str">
        <f>IFERROR(IF(AE397="","",IF($F397="Total",
SUMPRODUCT(
   INDEX(AD:AD, ROW()-COUNTIF($F$6:INDEX($F:$F, ROW()-1), $F396)) : INDEX(AD:AD, ROW()-1),
   INDEX(AB:AB, ROW()-COUNTIF($F$6:INDEX($F:$F, ROW()-1), $F396)) : INDEX(AB:AB, ROW()-1)
   )
   /SUM(INDEX(AB:AB, ROW()-COUNTIF($F$6:INDEX($F:$F, ROW()-1), $F396)) : INDEX(AB:AB, ROW()-1)),
          _xlfn.MINIFS(unit_details[Asking Rent],
          unit_details[Active Listing?],TRUE,
          unit_details[Property Name], $F397,
          unit_details[Beds], $L397,
          unit_details[Baths], $M397,
          unit_details[Partial Baths], IF(ISNUMBER($N397),$N397,""),
          unit_details[Sqft],$P397
))),"")</f>
        <v/>
      </c>
      <c r="AE397" s="5" t="str">
        <f>IFERROR(IF($F397="Total",
          SUMPRODUCT(
   INDEX(AE:AE, ROW()-COUNTIF($F$6:INDEX($F:$F, ROW()-1), $F396)) : INDEX(AE:AE, ROW()-1),
   INDEX(AB:AB, ROW()-COUNTIF($F$6:INDEX($F:$F, ROW()-1), $F396)) : INDEX(AB:AB, ROW()-1)
   )
   /SUM(INDEX(AB:AB, ROW()-COUNTIF($F$6:INDEX($F:$F, ROW()-1), $F396)) : INDEX(AB:AB, ROW()-1)),
          AVERAGEIFS(unit_details[Asking Rent],
          unit_details[Active Listing?],TRUE,
          unit_details[Property Name], $F397,
          unit_details[Beds], $L397,
          unit_details[Baths], $M397,
          unit_details[Partial Baths], IF(ISNUMBER($N397),$N397,""),
          unit_details[Sqft],$P397
)),"")</f>
        <v/>
      </c>
      <c r="AF397" s="5" t="str">
        <f>IFERROR(IF(AE397="","",IF($F397="Total",
SUMPRODUCT(
   INDEX(AF:AF, ROW()-COUNTIF($F$6:INDEX($F:$F, ROW()-1), $F396)) : INDEX(AF:AF, ROW()-1),
   INDEX(AB:AB, ROW()-COUNTIF($F$6:INDEX($F:$F, ROW()-1), $F396)) : INDEX(AB:AB, ROW()-1)
   )
   /SUM(INDEX(AB:AB, ROW()-COUNTIF($F$6:INDEX($F:$F, ROW()-1), $F396)) : INDEX(AB:AB, ROW()-1)),
           _xlfn.MAXIFS(unit_details[Asking Rent],
          unit_details[Active Listing?],TRUE,
          unit_details[Property Name], $F397,
          unit_details[Beds], $L397,
          unit_details[Baths], $M397,
          unit_details[Partial Baths], IF(ISNUMBER($N397),$N397,""),
          unit_details[Sqft],$P397
))),"")</f>
        <v/>
      </c>
      <c r="AG397" s="6" t="str">
        <f>IFERROR(IF($F397="Total",
         SUMPRODUCT(
         INDEX(AG:AG, ROW()-COUNTIF($F$6:INDEX($F:$F, ROW()-1), $F396)) : INDEX(AG:AG, ROW()-1),
         INDEX(AB:AB, ROW()-COUNTIF($F$6:INDEX($F:$F, ROW()-1), $F396)) : INDEX(AB:AB, ROW()-1)
         )
         /SUM(INDEX(AB:AB, ROW()-COUNTIF($F$6:INDEX($F:$F, ROW()-1), $F396)) : INDEX(AB:AB, ROW()-1)),
          AVERAGEIFS(unit_details[Asking PSF],
          unit_details[Active Listing?],TRUE,
          unit_details[Property Name], $F397,
          unit_details[Beds], $L397,
          unit_details[Baths], $M397,
          unit_details[Partial Baths], IF(ISNUMBER($N397),$N397,""),
          unit_details[Sqft],$P397
)),"")</f>
        <v/>
      </c>
      <c r="AH397" s="293" t="str">
        <f>IFERROR(IF($F397="Total",
         SUMPRODUCT(
         INDEX(AH:AH, ROW()-COUNTIF($F$6:INDEX($F:$F, ROW()-1), $F396)) : INDEX(AH:AH, ROW()-1),
         INDEX(AB:AB, ROW()-COUNTIF($F$6:INDEX($F:$F, ROW()-1), $F396)) : INDEX(AB:AB, ROW()-1)
         )
         /SUM(INDEX(AB:AB, ROW()-COUNTIF($F$6:INDEX($F:$F, ROW()-1), $F396)) : INDEX(AB:AB, ROW()-1)),
          AVERAGEIFS(unit_details[Effective Rent],
          unit_details[Active Listing?],TRUE,
          unit_details[Property Name], $F397,
          unit_details[Beds], $L397,
          unit_details[Baths], $M397,
          unit_details[Partial Baths], IF(ISNUMBER($N397),$N397,""),
          unit_details[Sqft],$P397
)),"")</f>
        <v/>
      </c>
      <c r="AI397" s="6" t="str">
        <f>IFERROR(IF($F397="Total",
         SUMPRODUCT(
         INDEX(AI:AI, ROW()-COUNTIF($F$6:INDEX($F:$F, ROW()-1), $F396)) : INDEX(AI:AI, ROW()-1),
         INDEX(AB:AB, ROW()-COUNTIF($F$6:INDEX($F:$F, ROW()-1), $F396)) : INDEX(AB:AB, ROW()-1)
         )
         /SUM(INDEX(AB:AB, ROW()-COUNTIF($F$6:INDEX($F:$F, ROW()-1), $F396)) : INDEX(AB:AB, ROW()-1)),
           AVERAGEIFS(unit_details[Effective PSF],
          unit_details[Active Listing?],TRUE,
          unit_details[Property Name], $F397,
          unit_details[Beds], $L397,
          unit_details[Baths], $M397,
          unit_details[Partial Baths], IF(ISNUMBER($N397),$N397,""),
          unit_details[Sqft],$P397
)),"")</f>
        <v/>
      </c>
      <c r="AJ397" s="824" t="str">
        <f t="shared" si="70"/>
        <v/>
      </c>
      <c r="AK397" s="531" t="str">
        <f t="shared" si="71"/>
        <v/>
      </c>
      <c r="AL397" s="714" t="str">
        <f t="shared" si="72"/>
        <v/>
      </c>
      <c r="AM397" s="531" t="str">
        <f t="shared" si="73"/>
        <v/>
      </c>
      <c r="AN397" s="716" t="str">
        <f t="shared" si="74"/>
        <v/>
      </c>
    </row>
    <row r="398" spans="6:40" x14ac:dyDescent="0.2">
      <c r="F398" s="1" t="str">
        <f t="shared" si="67"/>
        <v/>
      </c>
      <c r="G398" s="713" t="str">
        <f t="shared" si="75"/>
        <v/>
      </c>
      <c r="H398" s="17" t="str">
        <f>IFERROR(VLOOKUP($G398,Table1[[Property]:[Exposure %]],4,0),"")</f>
        <v/>
      </c>
      <c r="I398" s="3" t="str">
        <f>IFERROR(VLOOKUP($G398,Table1[[Property]:[Exposure %]],6,0),"")</f>
        <v/>
      </c>
      <c r="J398" s="3" t="str">
        <f>IFERROR(VLOOKUP($G398,Table1[[Property]:[Exposure %]],7,0),"")</f>
        <v/>
      </c>
      <c r="R398" s="4" t="str">
        <f>IFERROR(VLOOKUP(IF(F398="Total",F397,F398),Table1[[Property]:['# Units]],7,0)*S398,"")</f>
        <v/>
      </c>
      <c r="S398" s="27" t="str">
        <f t="shared" si="68"/>
        <v/>
      </c>
      <c r="T398" s="531" t="str">
        <f>IFERROR(
 IF($F398="Total",
   SUMPRODUCT(
   INDEX(T:T, ROW()-COUNTIF($F$6:INDEX($F:$F, ROW()-1), $F397)) : INDEX(T:T, ROW()-1),
   INDEX(W:W, ROW()-COUNTIF($F$6:INDEX($F:$F, ROW()-1), $F397)) : INDEX(W:W, ROW()-1)
   )
   /SUM(INDEX(W:W, ROW()-COUNTIF($F$6:INDEX($F:$F, ROW()-1), $F397)) : INDEX(W:W, ROW()-1)),
   AVERAGEIFS(
     INDEX((unit_details[Asking Rent],unit_details[Asking PSF]),0,1,IF($U$3="Chunk Rent",1,2)),
     unit_details[Leased Date],"&gt;="&amp;($AM$2-T$5),
     unit_details[Leased Date],"&lt;"&amp;$AM$2,
     unit_details[Beds],$L398,
     unit_details[Baths],$M398,
     unit_details[Partial Baths],IF(ISNUMBER($N398),$N398,""),
     unit_details[Sqft],$P398,
     unit_details[Property Name],$F398)
 ),"")</f>
        <v/>
      </c>
      <c r="U398" s="552" t="str">
        <f>IFERROR(
 IF($F398="Total",
   SUMPRODUCT(
   INDEX(U:U, ROW()-COUNTIF($F$6:INDEX($F:$F, ROW()-1), $F397)) : INDEX(U:U, ROW()-1),
   INDEX(W:W, ROW()-COUNTIF($F$6:INDEX($F:$F, ROW()-1), $F397)) : INDEX(W:W, ROW()-1)
   )
   /SUM(INDEX(W:W, ROW()-COUNTIF($F$6:INDEX($F:$F, ROW()-1), $F397)) : INDEX(W:W, ROW()-1)),
   AVERAGEIFS(
     INDEX((unit_details[Effective Rent],unit_details[Effective PSF]),0,1,IF($U$3="Chunk Rent",1,2)),
     unit_details[Leased Date],"&gt;="&amp;($AM$2-T$5),
     unit_details[Leased Date],"&lt;"&amp;$AM$2,
     unit_details[Beds],$L398,
     unit_details[Baths],$M398,
     unit_details[Partial Baths],IF(ISNUMBER($N398),$N398,""),
     unit_details[Sqft],$P398,
     unit_details[Property Name],$F398)
 ),"")</f>
        <v/>
      </c>
      <c r="V398" s="27" t="str">
        <f t="shared" si="76"/>
        <v/>
      </c>
      <c r="W398" s="526">
        <f>IFERROR(
  IF($F398="Total",
    SUM(INDEX(W:W, ROW()-COUNTIF($F$6:INDEX($F:$F, ROW()-1), $F397)) : INDEX(W:W, ROW()-1)),
    COUNTIFS(
      unit_details[Leased Date], "&gt;="&amp;($AM$2-T$5),
      unit_details[Leased Date], "&lt;"&amp;$AM$2,
      unit_details[Beds], $L398,
      unit_details[Baths], $M398,
      unit_details[Partial Baths], IF(ISNUMBER($N398), $N398, ""),
      unit_details[Sqft],$P398,
      unit_details[Property Name], $F398
    )
  ),
"")</f>
        <v>0</v>
      </c>
      <c r="X398" s="531" t="str">
        <f>IFERROR(
 IF($F398="Total",
   SUMPRODUCT(
   INDEX(X:X, ROW()-COUNTIF($F$6:INDEX($F:$F, ROW()-1), $F397)) : INDEX(X:X, ROW()-1),
   INDEX(AA:AA, ROW()-COUNTIF($F$6:INDEX($F:$F, ROW()-1), $F397)) : INDEX(AA:AA, ROW()-1)
   )
   /SUM(INDEX(AA:AA, ROW()-COUNTIF($F$6:INDEX($F:$F, ROW()-1), $F397)) : INDEX(AA:AA, ROW()-1)),
   AVERAGEIFS(
     INDEX((unit_details[Asking Rent],unit_details[Asking PSF]),0,1,IF($U$3="Chunk Rent",1,2)),
     unit_details[Leased Date],"&gt;="&amp;($AM$2-X$5),
     unit_details[Leased Date],"&lt;"&amp;$AM$2,
     unit_details[Beds],$L398,
     unit_details[Baths],$M398,
     unit_details[Partial Baths],IF(ISNUMBER($N398),$N398,""),
     unit_details[Sqft],$P398,
     unit_details[Property Name],$F398)
 ),"")</f>
        <v/>
      </c>
      <c r="Y398" s="552" t="str">
        <f>IFERROR(
 IF($F398="Total",
   SUMPRODUCT(
   INDEX(Y:Y, ROW()-COUNTIF($F$6:INDEX($F:$F, ROW()-1), $F397)) : INDEX(Y:Y, ROW()-1),
   INDEX(AA:AA, ROW()-COUNTIF($F$6:INDEX($F:$F, ROW()-1), $F397)) : INDEX(AA:AA, ROW()-1)
   )
   /SUM(INDEX(AA:AA, ROW()-COUNTIF($F$6:INDEX($F:$F, ROW()-1), $F397)) : INDEX(AA:AA, ROW()-1)),
   AVERAGEIFS(
     INDEX((unit_details[Effective Rent],unit_details[Effective PSF]),0,1,IF($U$3="Chunk Rent",1,2)),
     unit_details[Leased Date],"&gt;="&amp;($AM$2-X$5),
     unit_details[Leased Date],"&lt;"&amp;$AM$2,
     unit_details[Beds],$L398,
     unit_details[Baths],$M398,
     unit_details[Partial Baths],IF(ISNUMBER($N398),$N398,""),
     unit_details[Sqft],$P398,
     unit_details[Property Name],$F398)
 ),"")</f>
        <v/>
      </c>
      <c r="Z398" s="27" t="str">
        <f t="shared" si="77"/>
        <v/>
      </c>
      <c r="AA398" s="526">
        <f>IFERROR(
  IF($F398="Total",
    SUM(INDEX(AA:AA, ROW()-COUNTIF($F$6:INDEX($F:$F, ROW()-1), $F397)) : INDEX(AA:AA, ROW()-1)),
    COUNTIFS(
      unit_details[Leased Date], "&gt;="&amp;($AM$2-X$5),
      unit_details[Leased Date], "&lt;"&amp;$AM$2,
      unit_details[Beds], $L398,
      unit_details[Baths], $M398,
      unit_details[Partial Baths], IF(ISNUMBER($N398), $N398, ""),
      unit_details[Sqft],$P398,
      unit_details[Property Name], $F398
    )
  ),
"")</f>
        <v>0</v>
      </c>
      <c r="AB398" s="290">
        <f>IF($F398="Total",
SUM(INDEX(AB:AB, ROW()-COUNTIF($F$6:INDEX($F:$F, ROW()-1), $F397)) : INDEX(AB:AB, ROW()-1)),
COUNTIFS(unit_details[Active Listing?],TRUE,
          unit_details[Property Name], $F398,
          unit_details[Beds], $L398,
          unit_details[Baths], $M398,
          unit_details[Partial Baths],IF(ISNUMBER($N398),$N398,""),
          unit_details[Sqft],$P398))</f>
        <v>0</v>
      </c>
      <c r="AC398" s="27" t="str">
        <f t="shared" si="69"/>
        <v/>
      </c>
      <c r="AD398" s="293" t="str">
        <f>IFERROR(IF(AE398="","",IF($F398="Total",
SUMPRODUCT(
   INDEX(AD:AD, ROW()-COUNTIF($F$6:INDEX($F:$F, ROW()-1), $F397)) : INDEX(AD:AD, ROW()-1),
   INDEX(AB:AB, ROW()-COUNTIF($F$6:INDEX($F:$F, ROW()-1), $F397)) : INDEX(AB:AB, ROW()-1)
   )
   /SUM(INDEX(AB:AB, ROW()-COUNTIF($F$6:INDEX($F:$F, ROW()-1), $F397)) : INDEX(AB:AB, ROW()-1)),
          _xlfn.MINIFS(unit_details[Asking Rent],
          unit_details[Active Listing?],TRUE,
          unit_details[Property Name], $F398,
          unit_details[Beds], $L398,
          unit_details[Baths], $M398,
          unit_details[Partial Baths], IF(ISNUMBER($N398),$N398,""),
          unit_details[Sqft],$P398
))),"")</f>
        <v/>
      </c>
      <c r="AE398" s="5" t="str">
        <f>IFERROR(IF($F398="Total",
          SUMPRODUCT(
   INDEX(AE:AE, ROW()-COUNTIF($F$6:INDEX($F:$F, ROW()-1), $F397)) : INDEX(AE:AE, ROW()-1),
   INDEX(AB:AB, ROW()-COUNTIF($F$6:INDEX($F:$F, ROW()-1), $F397)) : INDEX(AB:AB, ROW()-1)
   )
   /SUM(INDEX(AB:AB, ROW()-COUNTIF($F$6:INDEX($F:$F, ROW()-1), $F397)) : INDEX(AB:AB, ROW()-1)),
          AVERAGEIFS(unit_details[Asking Rent],
          unit_details[Active Listing?],TRUE,
          unit_details[Property Name], $F398,
          unit_details[Beds], $L398,
          unit_details[Baths], $M398,
          unit_details[Partial Baths], IF(ISNUMBER($N398),$N398,""),
          unit_details[Sqft],$P398
)),"")</f>
        <v/>
      </c>
      <c r="AF398" s="5" t="str">
        <f>IFERROR(IF(AE398="","",IF($F398="Total",
SUMPRODUCT(
   INDEX(AF:AF, ROW()-COUNTIF($F$6:INDEX($F:$F, ROW()-1), $F397)) : INDEX(AF:AF, ROW()-1),
   INDEX(AB:AB, ROW()-COUNTIF($F$6:INDEX($F:$F, ROW()-1), $F397)) : INDEX(AB:AB, ROW()-1)
   )
   /SUM(INDEX(AB:AB, ROW()-COUNTIF($F$6:INDEX($F:$F, ROW()-1), $F397)) : INDEX(AB:AB, ROW()-1)),
           _xlfn.MAXIFS(unit_details[Asking Rent],
          unit_details[Active Listing?],TRUE,
          unit_details[Property Name], $F398,
          unit_details[Beds], $L398,
          unit_details[Baths], $M398,
          unit_details[Partial Baths], IF(ISNUMBER($N398),$N398,""),
          unit_details[Sqft],$P398
))),"")</f>
        <v/>
      </c>
      <c r="AG398" s="6" t="str">
        <f>IFERROR(IF($F398="Total",
         SUMPRODUCT(
         INDEX(AG:AG, ROW()-COUNTIF($F$6:INDEX($F:$F, ROW()-1), $F397)) : INDEX(AG:AG, ROW()-1),
         INDEX(AB:AB, ROW()-COUNTIF($F$6:INDEX($F:$F, ROW()-1), $F397)) : INDEX(AB:AB, ROW()-1)
         )
         /SUM(INDEX(AB:AB, ROW()-COUNTIF($F$6:INDEX($F:$F, ROW()-1), $F397)) : INDEX(AB:AB, ROW()-1)),
          AVERAGEIFS(unit_details[Asking PSF],
          unit_details[Active Listing?],TRUE,
          unit_details[Property Name], $F398,
          unit_details[Beds], $L398,
          unit_details[Baths], $M398,
          unit_details[Partial Baths], IF(ISNUMBER($N398),$N398,""),
          unit_details[Sqft],$P398
)),"")</f>
        <v/>
      </c>
      <c r="AH398" s="293" t="str">
        <f>IFERROR(IF($F398="Total",
         SUMPRODUCT(
         INDEX(AH:AH, ROW()-COUNTIF($F$6:INDEX($F:$F, ROW()-1), $F397)) : INDEX(AH:AH, ROW()-1),
         INDEX(AB:AB, ROW()-COUNTIF($F$6:INDEX($F:$F, ROW()-1), $F397)) : INDEX(AB:AB, ROW()-1)
         )
         /SUM(INDEX(AB:AB, ROW()-COUNTIF($F$6:INDEX($F:$F, ROW()-1), $F397)) : INDEX(AB:AB, ROW()-1)),
          AVERAGEIFS(unit_details[Effective Rent],
          unit_details[Active Listing?],TRUE,
          unit_details[Property Name], $F398,
          unit_details[Beds], $L398,
          unit_details[Baths], $M398,
          unit_details[Partial Baths], IF(ISNUMBER($N398),$N398,""),
          unit_details[Sqft],$P398
)),"")</f>
        <v/>
      </c>
      <c r="AI398" s="6" t="str">
        <f>IFERROR(IF($F398="Total",
         SUMPRODUCT(
         INDEX(AI:AI, ROW()-COUNTIF($F$6:INDEX($F:$F, ROW()-1), $F397)) : INDEX(AI:AI, ROW()-1),
         INDEX(AB:AB, ROW()-COUNTIF($F$6:INDEX($F:$F, ROW()-1), $F397)) : INDEX(AB:AB, ROW()-1)
         )
         /SUM(INDEX(AB:AB, ROW()-COUNTIF($F$6:INDEX($F:$F, ROW()-1), $F397)) : INDEX(AB:AB, ROW()-1)),
           AVERAGEIFS(unit_details[Effective PSF],
          unit_details[Active Listing?],TRUE,
          unit_details[Property Name], $F398,
          unit_details[Beds], $L398,
          unit_details[Baths], $M398,
          unit_details[Partial Baths], IF(ISNUMBER($N398),$N398,""),
          unit_details[Sqft],$P398
)),"")</f>
        <v/>
      </c>
      <c r="AJ398" s="824" t="str">
        <f t="shared" si="70"/>
        <v/>
      </c>
      <c r="AK398" s="531" t="str">
        <f t="shared" si="71"/>
        <v/>
      </c>
      <c r="AL398" s="714" t="str">
        <f t="shared" si="72"/>
        <v/>
      </c>
      <c r="AM398" s="531" t="str">
        <f t="shared" si="73"/>
        <v/>
      </c>
      <c r="AN398" s="716" t="str">
        <f t="shared" si="74"/>
        <v/>
      </c>
    </row>
    <row r="399" spans="6:40" x14ac:dyDescent="0.2">
      <c r="F399" s="1" t="str">
        <f t="shared" si="67"/>
        <v/>
      </c>
      <c r="G399" s="713" t="str">
        <f t="shared" si="75"/>
        <v/>
      </c>
      <c r="H399" s="17" t="str">
        <f>IFERROR(VLOOKUP($G399,Table1[[Property]:[Exposure %]],4,0),"")</f>
        <v/>
      </c>
      <c r="I399" s="3" t="str">
        <f>IFERROR(VLOOKUP($G399,Table1[[Property]:[Exposure %]],6,0),"")</f>
        <v/>
      </c>
      <c r="J399" s="3" t="str">
        <f>IFERROR(VLOOKUP($G399,Table1[[Property]:[Exposure %]],7,0),"")</f>
        <v/>
      </c>
      <c r="R399" s="4" t="str">
        <f>IFERROR(VLOOKUP(IF(F399="Total",F398,F399),Table1[[Property]:['# Units]],7,0)*S399,"")</f>
        <v/>
      </c>
      <c r="S399" s="27" t="str">
        <f t="shared" si="68"/>
        <v/>
      </c>
      <c r="T399" s="531" t="str">
        <f>IFERROR(
 IF($F399="Total",
   SUMPRODUCT(
   INDEX(T:T, ROW()-COUNTIF($F$6:INDEX($F:$F, ROW()-1), $F398)) : INDEX(T:T, ROW()-1),
   INDEX(W:W, ROW()-COUNTIF($F$6:INDEX($F:$F, ROW()-1), $F398)) : INDEX(W:W, ROW()-1)
   )
   /SUM(INDEX(W:W, ROW()-COUNTIF($F$6:INDEX($F:$F, ROW()-1), $F398)) : INDEX(W:W, ROW()-1)),
   AVERAGEIFS(
     INDEX((unit_details[Asking Rent],unit_details[Asking PSF]),0,1,IF($U$3="Chunk Rent",1,2)),
     unit_details[Leased Date],"&gt;="&amp;($AM$2-T$5),
     unit_details[Leased Date],"&lt;"&amp;$AM$2,
     unit_details[Beds],$L399,
     unit_details[Baths],$M399,
     unit_details[Partial Baths],IF(ISNUMBER($N399),$N399,""),
     unit_details[Sqft],$P399,
     unit_details[Property Name],$F399)
 ),"")</f>
        <v/>
      </c>
      <c r="U399" s="552" t="str">
        <f>IFERROR(
 IF($F399="Total",
   SUMPRODUCT(
   INDEX(U:U, ROW()-COUNTIF($F$6:INDEX($F:$F, ROW()-1), $F398)) : INDEX(U:U, ROW()-1),
   INDEX(W:W, ROW()-COUNTIF($F$6:INDEX($F:$F, ROW()-1), $F398)) : INDEX(W:W, ROW()-1)
   )
   /SUM(INDEX(W:W, ROW()-COUNTIF($F$6:INDEX($F:$F, ROW()-1), $F398)) : INDEX(W:W, ROW()-1)),
   AVERAGEIFS(
     INDEX((unit_details[Effective Rent],unit_details[Effective PSF]),0,1,IF($U$3="Chunk Rent",1,2)),
     unit_details[Leased Date],"&gt;="&amp;($AM$2-T$5),
     unit_details[Leased Date],"&lt;"&amp;$AM$2,
     unit_details[Beds],$L399,
     unit_details[Baths],$M399,
     unit_details[Partial Baths],IF(ISNUMBER($N399),$N399,""),
     unit_details[Sqft],$P399,
     unit_details[Property Name],$F399)
 ),"")</f>
        <v/>
      </c>
      <c r="V399" s="27" t="str">
        <f t="shared" si="76"/>
        <v/>
      </c>
      <c r="W399" s="526">
        <f>IFERROR(
  IF($F399="Total",
    SUM(INDEX(W:W, ROW()-COUNTIF($F$6:INDEX($F:$F, ROW()-1), $F398)) : INDEX(W:W, ROW()-1)),
    COUNTIFS(
      unit_details[Leased Date], "&gt;="&amp;($AM$2-T$5),
      unit_details[Leased Date], "&lt;"&amp;$AM$2,
      unit_details[Beds], $L399,
      unit_details[Baths], $M399,
      unit_details[Partial Baths], IF(ISNUMBER($N399), $N399, ""),
      unit_details[Sqft],$P399,
      unit_details[Property Name], $F399
    )
  ),
"")</f>
        <v>0</v>
      </c>
      <c r="X399" s="531" t="str">
        <f>IFERROR(
 IF($F399="Total",
   SUMPRODUCT(
   INDEX(X:X, ROW()-COUNTIF($F$6:INDEX($F:$F, ROW()-1), $F398)) : INDEX(X:X, ROW()-1),
   INDEX(AA:AA, ROW()-COUNTIF($F$6:INDEX($F:$F, ROW()-1), $F398)) : INDEX(AA:AA, ROW()-1)
   )
   /SUM(INDEX(AA:AA, ROW()-COUNTIF($F$6:INDEX($F:$F, ROW()-1), $F398)) : INDEX(AA:AA, ROW()-1)),
   AVERAGEIFS(
     INDEX((unit_details[Asking Rent],unit_details[Asking PSF]),0,1,IF($U$3="Chunk Rent",1,2)),
     unit_details[Leased Date],"&gt;="&amp;($AM$2-X$5),
     unit_details[Leased Date],"&lt;"&amp;$AM$2,
     unit_details[Beds],$L399,
     unit_details[Baths],$M399,
     unit_details[Partial Baths],IF(ISNUMBER($N399),$N399,""),
     unit_details[Sqft],$P399,
     unit_details[Property Name],$F399)
 ),"")</f>
        <v/>
      </c>
      <c r="Y399" s="552" t="str">
        <f>IFERROR(
 IF($F399="Total",
   SUMPRODUCT(
   INDEX(Y:Y, ROW()-COUNTIF($F$6:INDEX($F:$F, ROW()-1), $F398)) : INDEX(Y:Y, ROW()-1),
   INDEX(AA:AA, ROW()-COUNTIF($F$6:INDEX($F:$F, ROW()-1), $F398)) : INDEX(AA:AA, ROW()-1)
   )
   /SUM(INDEX(AA:AA, ROW()-COUNTIF($F$6:INDEX($F:$F, ROW()-1), $F398)) : INDEX(AA:AA, ROW()-1)),
   AVERAGEIFS(
     INDEX((unit_details[Effective Rent],unit_details[Effective PSF]),0,1,IF($U$3="Chunk Rent",1,2)),
     unit_details[Leased Date],"&gt;="&amp;($AM$2-X$5),
     unit_details[Leased Date],"&lt;"&amp;$AM$2,
     unit_details[Beds],$L399,
     unit_details[Baths],$M399,
     unit_details[Partial Baths],IF(ISNUMBER($N399),$N399,""),
     unit_details[Sqft],$P399,
     unit_details[Property Name],$F399)
 ),"")</f>
        <v/>
      </c>
      <c r="Z399" s="27" t="str">
        <f t="shared" si="77"/>
        <v/>
      </c>
      <c r="AA399" s="526">
        <f>IFERROR(
  IF($F399="Total",
    SUM(INDEX(AA:AA, ROW()-COUNTIF($F$6:INDEX($F:$F, ROW()-1), $F398)) : INDEX(AA:AA, ROW()-1)),
    COUNTIFS(
      unit_details[Leased Date], "&gt;="&amp;($AM$2-X$5),
      unit_details[Leased Date], "&lt;"&amp;$AM$2,
      unit_details[Beds], $L399,
      unit_details[Baths], $M399,
      unit_details[Partial Baths], IF(ISNUMBER($N399), $N399, ""),
      unit_details[Sqft],$P399,
      unit_details[Property Name], $F399
    )
  ),
"")</f>
        <v>0</v>
      </c>
      <c r="AB399" s="290">
        <f>IF($F399="Total",
SUM(INDEX(AB:AB, ROW()-COUNTIF($F$6:INDEX($F:$F, ROW()-1), $F398)) : INDEX(AB:AB, ROW()-1)),
COUNTIFS(unit_details[Active Listing?],TRUE,
          unit_details[Property Name], $F399,
          unit_details[Beds], $L399,
          unit_details[Baths], $M399,
          unit_details[Partial Baths],IF(ISNUMBER($N399),$N399,""),
          unit_details[Sqft],$P399))</f>
        <v>0</v>
      </c>
      <c r="AC399" s="27" t="str">
        <f t="shared" si="69"/>
        <v/>
      </c>
      <c r="AD399" s="293" t="str">
        <f>IFERROR(IF(AE399="","",IF($F399="Total",
SUMPRODUCT(
   INDEX(AD:AD, ROW()-COUNTIF($F$6:INDEX($F:$F, ROW()-1), $F398)) : INDEX(AD:AD, ROW()-1),
   INDEX(AB:AB, ROW()-COUNTIF($F$6:INDEX($F:$F, ROW()-1), $F398)) : INDEX(AB:AB, ROW()-1)
   )
   /SUM(INDEX(AB:AB, ROW()-COUNTIF($F$6:INDEX($F:$F, ROW()-1), $F398)) : INDEX(AB:AB, ROW()-1)),
          _xlfn.MINIFS(unit_details[Asking Rent],
          unit_details[Active Listing?],TRUE,
          unit_details[Property Name], $F399,
          unit_details[Beds], $L399,
          unit_details[Baths], $M399,
          unit_details[Partial Baths], IF(ISNUMBER($N399),$N399,""),
          unit_details[Sqft],$P399
))),"")</f>
        <v/>
      </c>
      <c r="AE399" s="5" t="str">
        <f>IFERROR(IF($F399="Total",
          SUMPRODUCT(
   INDEX(AE:AE, ROW()-COUNTIF($F$6:INDEX($F:$F, ROW()-1), $F398)) : INDEX(AE:AE, ROW()-1),
   INDEX(AB:AB, ROW()-COUNTIF($F$6:INDEX($F:$F, ROW()-1), $F398)) : INDEX(AB:AB, ROW()-1)
   )
   /SUM(INDEX(AB:AB, ROW()-COUNTIF($F$6:INDEX($F:$F, ROW()-1), $F398)) : INDEX(AB:AB, ROW()-1)),
          AVERAGEIFS(unit_details[Asking Rent],
          unit_details[Active Listing?],TRUE,
          unit_details[Property Name], $F399,
          unit_details[Beds], $L399,
          unit_details[Baths], $M399,
          unit_details[Partial Baths], IF(ISNUMBER($N399),$N399,""),
          unit_details[Sqft],$P399
)),"")</f>
        <v/>
      </c>
      <c r="AF399" s="5" t="str">
        <f>IFERROR(IF(AE399="","",IF($F399="Total",
SUMPRODUCT(
   INDEX(AF:AF, ROW()-COUNTIF($F$6:INDEX($F:$F, ROW()-1), $F398)) : INDEX(AF:AF, ROW()-1),
   INDEX(AB:AB, ROW()-COUNTIF($F$6:INDEX($F:$F, ROW()-1), $F398)) : INDEX(AB:AB, ROW()-1)
   )
   /SUM(INDEX(AB:AB, ROW()-COUNTIF($F$6:INDEX($F:$F, ROW()-1), $F398)) : INDEX(AB:AB, ROW()-1)),
           _xlfn.MAXIFS(unit_details[Asking Rent],
          unit_details[Active Listing?],TRUE,
          unit_details[Property Name], $F399,
          unit_details[Beds], $L399,
          unit_details[Baths], $M399,
          unit_details[Partial Baths], IF(ISNUMBER($N399),$N399,""),
          unit_details[Sqft],$P399
))),"")</f>
        <v/>
      </c>
      <c r="AG399" s="6" t="str">
        <f>IFERROR(IF($F399="Total",
         SUMPRODUCT(
         INDEX(AG:AG, ROW()-COUNTIF($F$6:INDEX($F:$F, ROW()-1), $F398)) : INDEX(AG:AG, ROW()-1),
         INDEX(AB:AB, ROW()-COUNTIF($F$6:INDEX($F:$F, ROW()-1), $F398)) : INDEX(AB:AB, ROW()-1)
         )
         /SUM(INDEX(AB:AB, ROW()-COUNTIF($F$6:INDEX($F:$F, ROW()-1), $F398)) : INDEX(AB:AB, ROW()-1)),
          AVERAGEIFS(unit_details[Asking PSF],
          unit_details[Active Listing?],TRUE,
          unit_details[Property Name], $F399,
          unit_details[Beds], $L399,
          unit_details[Baths], $M399,
          unit_details[Partial Baths], IF(ISNUMBER($N399),$N399,""),
          unit_details[Sqft],$P399
)),"")</f>
        <v/>
      </c>
      <c r="AH399" s="293" t="str">
        <f>IFERROR(IF($F399="Total",
         SUMPRODUCT(
         INDEX(AH:AH, ROW()-COUNTIF($F$6:INDEX($F:$F, ROW()-1), $F398)) : INDEX(AH:AH, ROW()-1),
         INDEX(AB:AB, ROW()-COUNTIF($F$6:INDEX($F:$F, ROW()-1), $F398)) : INDEX(AB:AB, ROW()-1)
         )
         /SUM(INDEX(AB:AB, ROW()-COUNTIF($F$6:INDEX($F:$F, ROW()-1), $F398)) : INDEX(AB:AB, ROW()-1)),
          AVERAGEIFS(unit_details[Effective Rent],
          unit_details[Active Listing?],TRUE,
          unit_details[Property Name], $F399,
          unit_details[Beds], $L399,
          unit_details[Baths], $M399,
          unit_details[Partial Baths], IF(ISNUMBER($N399),$N399,""),
          unit_details[Sqft],$P399
)),"")</f>
        <v/>
      </c>
      <c r="AI399" s="6" t="str">
        <f>IFERROR(IF($F399="Total",
         SUMPRODUCT(
         INDEX(AI:AI, ROW()-COUNTIF($F$6:INDEX($F:$F, ROW()-1), $F398)) : INDEX(AI:AI, ROW()-1),
         INDEX(AB:AB, ROW()-COUNTIF($F$6:INDEX($F:$F, ROW()-1), $F398)) : INDEX(AB:AB, ROW()-1)
         )
         /SUM(INDEX(AB:AB, ROW()-COUNTIF($F$6:INDEX($F:$F, ROW()-1), $F398)) : INDEX(AB:AB, ROW()-1)),
           AVERAGEIFS(unit_details[Effective PSF],
          unit_details[Active Listing?],TRUE,
          unit_details[Property Name], $F399,
          unit_details[Beds], $L399,
          unit_details[Baths], $M399,
          unit_details[Partial Baths], IF(ISNUMBER($N399),$N399,""),
          unit_details[Sqft],$P399
)),"")</f>
        <v/>
      </c>
      <c r="AJ399" s="824" t="str">
        <f t="shared" si="70"/>
        <v/>
      </c>
      <c r="AK399" s="531" t="str">
        <f t="shared" si="71"/>
        <v/>
      </c>
      <c r="AL399" s="714" t="str">
        <f t="shared" si="72"/>
        <v/>
      </c>
      <c r="AM399" s="531" t="str">
        <f t="shared" si="73"/>
        <v/>
      </c>
      <c r="AN399" s="716" t="str">
        <f t="shared" si="74"/>
        <v/>
      </c>
    </row>
    <row r="400" spans="6:40" x14ac:dyDescent="0.2">
      <c r="F400" s="1" t="str">
        <f t="shared" si="67"/>
        <v/>
      </c>
      <c r="G400" s="713" t="str">
        <f t="shared" si="75"/>
        <v/>
      </c>
      <c r="H400" s="17" t="str">
        <f>IFERROR(VLOOKUP($G400,Table1[[Property]:[Exposure %]],4,0),"")</f>
        <v/>
      </c>
      <c r="I400" s="3" t="str">
        <f>IFERROR(VLOOKUP($G400,Table1[[Property]:[Exposure %]],6,0),"")</f>
        <v/>
      </c>
      <c r="J400" s="3" t="str">
        <f>IFERROR(VLOOKUP($G400,Table1[[Property]:[Exposure %]],7,0),"")</f>
        <v/>
      </c>
      <c r="R400" s="4" t="str">
        <f>IFERROR(VLOOKUP(IF(F400="Total",F399,F400),Table1[[Property]:['# Units]],7,0)*S400,"")</f>
        <v/>
      </c>
      <c r="S400" s="27" t="str">
        <f t="shared" si="68"/>
        <v/>
      </c>
      <c r="T400" s="531" t="str">
        <f>IFERROR(
 IF($F400="Total",
   SUMPRODUCT(
   INDEX(T:T, ROW()-COUNTIF($F$6:INDEX($F:$F, ROW()-1), $F399)) : INDEX(T:T, ROW()-1),
   INDEX(W:W, ROW()-COUNTIF($F$6:INDEX($F:$F, ROW()-1), $F399)) : INDEX(W:W, ROW()-1)
   )
   /SUM(INDEX(W:W, ROW()-COUNTIF($F$6:INDEX($F:$F, ROW()-1), $F399)) : INDEX(W:W, ROW()-1)),
   AVERAGEIFS(
     INDEX((unit_details[Asking Rent],unit_details[Asking PSF]),0,1,IF($U$3="Chunk Rent",1,2)),
     unit_details[Leased Date],"&gt;="&amp;($AM$2-T$5),
     unit_details[Leased Date],"&lt;"&amp;$AM$2,
     unit_details[Beds],$L400,
     unit_details[Baths],$M400,
     unit_details[Partial Baths],IF(ISNUMBER($N400),$N400,""),
     unit_details[Sqft],$P400,
     unit_details[Property Name],$F400)
 ),"")</f>
        <v/>
      </c>
      <c r="U400" s="552" t="str">
        <f>IFERROR(
 IF($F400="Total",
   SUMPRODUCT(
   INDEX(U:U, ROW()-COUNTIF($F$6:INDEX($F:$F, ROW()-1), $F399)) : INDEX(U:U, ROW()-1),
   INDEX(W:W, ROW()-COUNTIF($F$6:INDEX($F:$F, ROW()-1), $F399)) : INDEX(W:W, ROW()-1)
   )
   /SUM(INDEX(W:W, ROW()-COUNTIF($F$6:INDEX($F:$F, ROW()-1), $F399)) : INDEX(W:W, ROW()-1)),
   AVERAGEIFS(
     INDEX((unit_details[Effective Rent],unit_details[Effective PSF]),0,1,IF($U$3="Chunk Rent",1,2)),
     unit_details[Leased Date],"&gt;="&amp;($AM$2-T$5),
     unit_details[Leased Date],"&lt;"&amp;$AM$2,
     unit_details[Beds],$L400,
     unit_details[Baths],$M400,
     unit_details[Partial Baths],IF(ISNUMBER($N400),$N400,""),
     unit_details[Sqft],$P400,
     unit_details[Property Name],$F400)
 ),"")</f>
        <v/>
      </c>
      <c r="V400" s="27" t="str">
        <f t="shared" si="76"/>
        <v/>
      </c>
      <c r="W400" s="526">
        <f>IFERROR(
  IF($F400="Total",
    SUM(INDEX(W:W, ROW()-COUNTIF($F$6:INDEX($F:$F, ROW()-1), $F399)) : INDEX(W:W, ROW()-1)),
    COUNTIFS(
      unit_details[Leased Date], "&gt;="&amp;($AM$2-T$5),
      unit_details[Leased Date], "&lt;"&amp;$AM$2,
      unit_details[Beds], $L400,
      unit_details[Baths], $M400,
      unit_details[Partial Baths], IF(ISNUMBER($N400), $N400, ""),
      unit_details[Sqft],$P400,
      unit_details[Property Name], $F400
    )
  ),
"")</f>
        <v>0</v>
      </c>
      <c r="X400" s="531" t="str">
        <f>IFERROR(
 IF($F400="Total",
   SUMPRODUCT(
   INDEX(X:X, ROW()-COUNTIF($F$6:INDEX($F:$F, ROW()-1), $F399)) : INDEX(X:X, ROW()-1),
   INDEX(AA:AA, ROW()-COUNTIF($F$6:INDEX($F:$F, ROW()-1), $F399)) : INDEX(AA:AA, ROW()-1)
   )
   /SUM(INDEX(AA:AA, ROW()-COUNTIF($F$6:INDEX($F:$F, ROW()-1), $F399)) : INDEX(AA:AA, ROW()-1)),
   AVERAGEIFS(
     INDEX((unit_details[Asking Rent],unit_details[Asking PSF]),0,1,IF($U$3="Chunk Rent",1,2)),
     unit_details[Leased Date],"&gt;="&amp;($AM$2-X$5),
     unit_details[Leased Date],"&lt;"&amp;$AM$2,
     unit_details[Beds],$L400,
     unit_details[Baths],$M400,
     unit_details[Partial Baths],IF(ISNUMBER($N400),$N400,""),
     unit_details[Sqft],$P400,
     unit_details[Property Name],$F400)
 ),"")</f>
        <v/>
      </c>
      <c r="Y400" s="552" t="str">
        <f>IFERROR(
 IF($F400="Total",
   SUMPRODUCT(
   INDEX(Y:Y, ROW()-COUNTIF($F$6:INDEX($F:$F, ROW()-1), $F399)) : INDEX(Y:Y, ROW()-1),
   INDEX(AA:AA, ROW()-COUNTIF($F$6:INDEX($F:$F, ROW()-1), $F399)) : INDEX(AA:AA, ROW()-1)
   )
   /SUM(INDEX(AA:AA, ROW()-COUNTIF($F$6:INDEX($F:$F, ROW()-1), $F399)) : INDEX(AA:AA, ROW()-1)),
   AVERAGEIFS(
     INDEX((unit_details[Effective Rent],unit_details[Effective PSF]),0,1,IF($U$3="Chunk Rent",1,2)),
     unit_details[Leased Date],"&gt;="&amp;($AM$2-X$5),
     unit_details[Leased Date],"&lt;"&amp;$AM$2,
     unit_details[Beds],$L400,
     unit_details[Baths],$M400,
     unit_details[Partial Baths],IF(ISNUMBER($N400),$N400,""),
     unit_details[Sqft],$P400,
     unit_details[Property Name],$F400)
 ),"")</f>
        <v/>
      </c>
      <c r="Z400" s="27" t="str">
        <f t="shared" si="77"/>
        <v/>
      </c>
      <c r="AA400" s="526">
        <f>IFERROR(
  IF($F400="Total",
    SUM(INDEX(AA:AA, ROW()-COUNTIF($F$6:INDEX($F:$F, ROW()-1), $F399)) : INDEX(AA:AA, ROW()-1)),
    COUNTIFS(
      unit_details[Leased Date], "&gt;="&amp;($AM$2-X$5),
      unit_details[Leased Date], "&lt;"&amp;$AM$2,
      unit_details[Beds], $L400,
      unit_details[Baths], $M400,
      unit_details[Partial Baths], IF(ISNUMBER($N400), $N400, ""),
      unit_details[Sqft],$P400,
      unit_details[Property Name], $F400
    )
  ),
"")</f>
        <v>0</v>
      </c>
      <c r="AB400" s="290">
        <f>IF($F400="Total",
SUM(INDEX(AB:AB, ROW()-COUNTIF($F$6:INDEX($F:$F, ROW()-1), $F399)) : INDEX(AB:AB, ROW()-1)),
COUNTIFS(unit_details[Active Listing?],TRUE,
          unit_details[Property Name], $F400,
          unit_details[Beds], $L400,
          unit_details[Baths], $M400,
          unit_details[Partial Baths],IF(ISNUMBER($N400),$N400,""),
          unit_details[Sqft],$P400))</f>
        <v>0</v>
      </c>
      <c r="AC400" s="27" t="str">
        <f t="shared" si="69"/>
        <v/>
      </c>
      <c r="AD400" s="293" t="str">
        <f>IFERROR(IF(AE400="","",IF($F400="Total",
SUMPRODUCT(
   INDEX(AD:AD, ROW()-COUNTIF($F$6:INDEX($F:$F, ROW()-1), $F399)) : INDEX(AD:AD, ROW()-1),
   INDEX(AB:AB, ROW()-COUNTIF($F$6:INDEX($F:$F, ROW()-1), $F399)) : INDEX(AB:AB, ROW()-1)
   )
   /SUM(INDEX(AB:AB, ROW()-COUNTIF($F$6:INDEX($F:$F, ROW()-1), $F399)) : INDEX(AB:AB, ROW()-1)),
          _xlfn.MINIFS(unit_details[Asking Rent],
          unit_details[Active Listing?],TRUE,
          unit_details[Property Name], $F400,
          unit_details[Beds], $L400,
          unit_details[Baths], $M400,
          unit_details[Partial Baths], IF(ISNUMBER($N400),$N400,""),
          unit_details[Sqft],$P400
))),"")</f>
        <v/>
      </c>
      <c r="AE400" s="5" t="str">
        <f>IFERROR(IF($F400="Total",
          SUMPRODUCT(
   INDEX(AE:AE, ROW()-COUNTIF($F$6:INDEX($F:$F, ROW()-1), $F399)) : INDEX(AE:AE, ROW()-1),
   INDEX(AB:AB, ROW()-COUNTIF($F$6:INDEX($F:$F, ROW()-1), $F399)) : INDEX(AB:AB, ROW()-1)
   )
   /SUM(INDEX(AB:AB, ROW()-COUNTIF($F$6:INDEX($F:$F, ROW()-1), $F399)) : INDEX(AB:AB, ROW()-1)),
          AVERAGEIFS(unit_details[Asking Rent],
          unit_details[Active Listing?],TRUE,
          unit_details[Property Name], $F400,
          unit_details[Beds], $L400,
          unit_details[Baths], $M400,
          unit_details[Partial Baths], IF(ISNUMBER($N400),$N400,""),
          unit_details[Sqft],$P400
)),"")</f>
        <v/>
      </c>
      <c r="AF400" s="5" t="str">
        <f>IFERROR(IF(AE400="","",IF($F400="Total",
SUMPRODUCT(
   INDEX(AF:AF, ROW()-COUNTIF($F$6:INDEX($F:$F, ROW()-1), $F399)) : INDEX(AF:AF, ROW()-1),
   INDEX(AB:AB, ROW()-COUNTIF($F$6:INDEX($F:$F, ROW()-1), $F399)) : INDEX(AB:AB, ROW()-1)
   )
   /SUM(INDEX(AB:AB, ROW()-COUNTIF($F$6:INDEX($F:$F, ROW()-1), $F399)) : INDEX(AB:AB, ROW()-1)),
           _xlfn.MAXIFS(unit_details[Asking Rent],
          unit_details[Active Listing?],TRUE,
          unit_details[Property Name], $F400,
          unit_details[Beds], $L400,
          unit_details[Baths], $M400,
          unit_details[Partial Baths], IF(ISNUMBER($N400),$N400,""),
          unit_details[Sqft],$P400
))),"")</f>
        <v/>
      </c>
      <c r="AG400" s="6" t="str">
        <f>IFERROR(IF($F400="Total",
         SUMPRODUCT(
         INDEX(AG:AG, ROW()-COUNTIF($F$6:INDEX($F:$F, ROW()-1), $F399)) : INDEX(AG:AG, ROW()-1),
         INDEX(AB:AB, ROW()-COUNTIF($F$6:INDEX($F:$F, ROW()-1), $F399)) : INDEX(AB:AB, ROW()-1)
         )
         /SUM(INDEX(AB:AB, ROW()-COUNTIF($F$6:INDEX($F:$F, ROW()-1), $F399)) : INDEX(AB:AB, ROW()-1)),
          AVERAGEIFS(unit_details[Asking PSF],
          unit_details[Active Listing?],TRUE,
          unit_details[Property Name], $F400,
          unit_details[Beds], $L400,
          unit_details[Baths], $M400,
          unit_details[Partial Baths], IF(ISNUMBER($N400),$N400,""),
          unit_details[Sqft],$P400
)),"")</f>
        <v/>
      </c>
      <c r="AH400" s="293" t="str">
        <f>IFERROR(IF($F400="Total",
         SUMPRODUCT(
         INDEX(AH:AH, ROW()-COUNTIF($F$6:INDEX($F:$F, ROW()-1), $F399)) : INDEX(AH:AH, ROW()-1),
         INDEX(AB:AB, ROW()-COUNTIF($F$6:INDEX($F:$F, ROW()-1), $F399)) : INDEX(AB:AB, ROW()-1)
         )
         /SUM(INDEX(AB:AB, ROW()-COUNTIF($F$6:INDEX($F:$F, ROW()-1), $F399)) : INDEX(AB:AB, ROW()-1)),
          AVERAGEIFS(unit_details[Effective Rent],
          unit_details[Active Listing?],TRUE,
          unit_details[Property Name], $F400,
          unit_details[Beds], $L400,
          unit_details[Baths], $M400,
          unit_details[Partial Baths], IF(ISNUMBER($N400),$N400,""),
          unit_details[Sqft],$P400
)),"")</f>
        <v/>
      </c>
      <c r="AI400" s="6" t="str">
        <f>IFERROR(IF($F400="Total",
         SUMPRODUCT(
         INDEX(AI:AI, ROW()-COUNTIF($F$6:INDEX($F:$F, ROW()-1), $F399)) : INDEX(AI:AI, ROW()-1),
         INDEX(AB:AB, ROW()-COUNTIF($F$6:INDEX($F:$F, ROW()-1), $F399)) : INDEX(AB:AB, ROW()-1)
         )
         /SUM(INDEX(AB:AB, ROW()-COUNTIF($F$6:INDEX($F:$F, ROW()-1), $F399)) : INDEX(AB:AB, ROW()-1)),
           AVERAGEIFS(unit_details[Effective PSF],
          unit_details[Active Listing?],TRUE,
          unit_details[Property Name], $F400,
          unit_details[Beds], $L400,
          unit_details[Baths], $M400,
          unit_details[Partial Baths], IF(ISNUMBER($N400),$N400,""),
          unit_details[Sqft],$P400
)),"")</f>
        <v/>
      </c>
      <c r="AJ400" s="824" t="str">
        <f t="shared" si="70"/>
        <v/>
      </c>
      <c r="AK400" s="531" t="str">
        <f t="shared" si="71"/>
        <v/>
      </c>
      <c r="AL400" s="714" t="str">
        <f t="shared" si="72"/>
        <v/>
      </c>
      <c r="AM400" s="531" t="str">
        <f t="shared" si="73"/>
        <v/>
      </c>
      <c r="AN400" s="716" t="str">
        <f t="shared" si="74"/>
        <v/>
      </c>
    </row>
    <row r="401" spans="6:40" x14ac:dyDescent="0.2">
      <c r="F401" s="1" t="str">
        <f t="shared" si="67"/>
        <v/>
      </c>
      <c r="G401" s="713" t="str">
        <f t="shared" si="75"/>
        <v/>
      </c>
      <c r="H401" s="17" t="str">
        <f>IFERROR(VLOOKUP($G401,Table1[[Property]:[Exposure %]],4,0),"")</f>
        <v/>
      </c>
      <c r="I401" s="3" t="str">
        <f>IFERROR(VLOOKUP($G401,Table1[[Property]:[Exposure %]],6,0),"")</f>
        <v/>
      </c>
      <c r="J401" s="3" t="str">
        <f>IFERROR(VLOOKUP($G401,Table1[[Property]:[Exposure %]],7,0),"")</f>
        <v/>
      </c>
      <c r="R401" s="4" t="str">
        <f>IFERROR(VLOOKUP(IF(F401="Total",F400,F401),Table1[[Property]:['# Units]],7,0)*S401,"")</f>
        <v/>
      </c>
      <c r="S401" s="27" t="str">
        <f t="shared" si="68"/>
        <v/>
      </c>
      <c r="T401" s="531" t="str">
        <f>IFERROR(
 IF($F401="Total",
   SUMPRODUCT(
   INDEX(T:T, ROW()-COUNTIF($F$6:INDEX($F:$F, ROW()-1), $F400)) : INDEX(T:T, ROW()-1),
   INDEX(W:W, ROW()-COUNTIF($F$6:INDEX($F:$F, ROW()-1), $F400)) : INDEX(W:W, ROW()-1)
   )
   /SUM(INDEX(W:W, ROW()-COUNTIF($F$6:INDEX($F:$F, ROW()-1), $F400)) : INDEX(W:W, ROW()-1)),
   AVERAGEIFS(
     INDEX((unit_details[Asking Rent],unit_details[Asking PSF]),0,1,IF($U$3="Chunk Rent",1,2)),
     unit_details[Leased Date],"&gt;="&amp;($AM$2-T$5),
     unit_details[Leased Date],"&lt;"&amp;$AM$2,
     unit_details[Beds],$L401,
     unit_details[Baths],$M401,
     unit_details[Partial Baths],IF(ISNUMBER($N401),$N401,""),
     unit_details[Sqft],$P401,
     unit_details[Property Name],$F401)
 ),"")</f>
        <v/>
      </c>
      <c r="U401" s="552" t="str">
        <f>IFERROR(
 IF($F401="Total",
   SUMPRODUCT(
   INDEX(U:U, ROW()-COUNTIF($F$6:INDEX($F:$F, ROW()-1), $F400)) : INDEX(U:U, ROW()-1),
   INDEX(W:W, ROW()-COUNTIF($F$6:INDEX($F:$F, ROW()-1), $F400)) : INDEX(W:W, ROW()-1)
   )
   /SUM(INDEX(W:W, ROW()-COUNTIF($F$6:INDEX($F:$F, ROW()-1), $F400)) : INDEX(W:W, ROW()-1)),
   AVERAGEIFS(
     INDEX((unit_details[Effective Rent],unit_details[Effective PSF]),0,1,IF($U$3="Chunk Rent",1,2)),
     unit_details[Leased Date],"&gt;="&amp;($AM$2-T$5),
     unit_details[Leased Date],"&lt;"&amp;$AM$2,
     unit_details[Beds],$L401,
     unit_details[Baths],$M401,
     unit_details[Partial Baths],IF(ISNUMBER($N401),$N401,""),
     unit_details[Sqft],$P401,
     unit_details[Property Name],$F401)
 ),"")</f>
        <v/>
      </c>
      <c r="V401" s="27" t="str">
        <f t="shared" si="76"/>
        <v/>
      </c>
      <c r="W401" s="526">
        <f>IFERROR(
  IF($F401="Total",
    SUM(INDEX(W:W, ROW()-COUNTIF($F$6:INDEX($F:$F, ROW()-1), $F400)) : INDEX(W:W, ROW()-1)),
    COUNTIFS(
      unit_details[Leased Date], "&gt;="&amp;($AM$2-T$5),
      unit_details[Leased Date], "&lt;"&amp;$AM$2,
      unit_details[Beds], $L401,
      unit_details[Baths], $M401,
      unit_details[Partial Baths], IF(ISNUMBER($N401), $N401, ""),
      unit_details[Sqft],$P401,
      unit_details[Property Name], $F401
    )
  ),
"")</f>
        <v>0</v>
      </c>
      <c r="X401" s="531" t="str">
        <f>IFERROR(
 IF($F401="Total",
   SUMPRODUCT(
   INDEX(X:X, ROW()-COUNTIF($F$6:INDEX($F:$F, ROW()-1), $F400)) : INDEX(X:X, ROW()-1),
   INDEX(AA:AA, ROW()-COUNTIF($F$6:INDEX($F:$F, ROW()-1), $F400)) : INDEX(AA:AA, ROW()-1)
   )
   /SUM(INDEX(AA:AA, ROW()-COUNTIF($F$6:INDEX($F:$F, ROW()-1), $F400)) : INDEX(AA:AA, ROW()-1)),
   AVERAGEIFS(
     INDEX((unit_details[Asking Rent],unit_details[Asking PSF]),0,1,IF($U$3="Chunk Rent",1,2)),
     unit_details[Leased Date],"&gt;="&amp;($AM$2-X$5),
     unit_details[Leased Date],"&lt;"&amp;$AM$2,
     unit_details[Beds],$L401,
     unit_details[Baths],$M401,
     unit_details[Partial Baths],IF(ISNUMBER($N401),$N401,""),
     unit_details[Sqft],$P401,
     unit_details[Property Name],$F401)
 ),"")</f>
        <v/>
      </c>
      <c r="Y401" s="552" t="str">
        <f>IFERROR(
 IF($F401="Total",
   SUMPRODUCT(
   INDEX(Y:Y, ROW()-COUNTIF($F$6:INDEX($F:$F, ROW()-1), $F400)) : INDEX(Y:Y, ROW()-1),
   INDEX(AA:AA, ROW()-COUNTIF($F$6:INDEX($F:$F, ROW()-1), $F400)) : INDEX(AA:AA, ROW()-1)
   )
   /SUM(INDEX(AA:AA, ROW()-COUNTIF($F$6:INDEX($F:$F, ROW()-1), $F400)) : INDEX(AA:AA, ROW()-1)),
   AVERAGEIFS(
     INDEX((unit_details[Effective Rent],unit_details[Effective PSF]),0,1,IF($U$3="Chunk Rent",1,2)),
     unit_details[Leased Date],"&gt;="&amp;($AM$2-X$5),
     unit_details[Leased Date],"&lt;"&amp;$AM$2,
     unit_details[Beds],$L401,
     unit_details[Baths],$M401,
     unit_details[Partial Baths],IF(ISNUMBER($N401),$N401,""),
     unit_details[Sqft],$P401,
     unit_details[Property Name],$F401)
 ),"")</f>
        <v/>
      </c>
      <c r="Z401" s="27" t="str">
        <f t="shared" si="77"/>
        <v/>
      </c>
      <c r="AA401" s="526">
        <f>IFERROR(
  IF($F401="Total",
    SUM(INDEX(AA:AA, ROW()-COUNTIF($F$6:INDEX($F:$F, ROW()-1), $F400)) : INDEX(AA:AA, ROW()-1)),
    COUNTIFS(
      unit_details[Leased Date], "&gt;="&amp;($AM$2-X$5),
      unit_details[Leased Date], "&lt;"&amp;$AM$2,
      unit_details[Beds], $L401,
      unit_details[Baths], $M401,
      unit_details[Partial Baths], IF(ISNUMBER($N401), $N401, ""),
      unit_details[Sqft],$P401,
      unit_details[Property Name], $F401
    )
  ),
"")</f>
        <v>0</v>
      </c>
      <c r="AB401" s="290">
        <f>IF($F401="Total",
SUM(INDEX(AB:AB, ROW()-COUNTIF($F$6:INDEX($F:$F, ROW()-1), $F400)) : INDEX(AB:AB, ROW()-1)),
COUNTIFS(unit_details[Active Listing?],TRUE,
          unit_details[Property Name], $F401,
          unit_details[Beds], $L401,
          unit_details[Baths], $M401,
          unit_details[Partial Baths],IF(ISNUMBER($N401),$N401,""),
          unit_details[Sqft],$P401))</f>
        <v>0</v>
      </c>
      <c r="AC401" s="27" t="str">
        <f t="shared" si="69"/>
        <v/>
      </c>
      <c r="AD401" s="293" t="str">
        <f>IFERROR(IF(AE401="","",IF($F401="Total",
SUMPRODUCT(
   INDEX(AD:AD, ROW()-COUNTIF($F$6:INDEX($F:$F, ROW()-1), $F400)) : INDEX(AD:AD, ROW()-1),
   INDEX(AB:AB, ROW()-COUNTIF($F$6:INDEX($F:$F, ROW()-1), $F400)) : INDEX(AB:AB, ROW()-1)
   )
   /SUM(INDEX(AB:AB, ROW()-COUNTIF($F$6:INDEX($F:$F, ROW()-1), $F400)) : INDEX(AB:AB, ROW()-1)),
          _xlfn.MINIFS(unit_details[Asking Rent],
          unit_details[Active Listing?],TRUE,
          unit_details[Property Name], $F401,
          unit_details[Beds], $L401,
          unit_details[Baths], $M401,
          unit_details[Partial Baths], IF(ISNUMBER($N401),$N401,""),
          unit_details[Sqft],$P401
))),"")</f>
        <v/>
      </c>
      <c r="AE401" s="5" t="str">
        <f>IFERROR(IF($F401="Total",
          SUMPRODUCT(
   INDEX(AE:AE, ROW()-COUNTIF($F$6:INDEX($F:$F, ROW()-1), $F400)) : INDEX(AE:AE, ROW()-1),
   INDEX(AB:AB, ROW()-COUNTIF($F$6:INDEX($F:$F, ROW()-1), $F400)) : INDEX(AB:AB, ROW()-1)
   )
   /SUM(INDEX(AB:AB, ROW()-COUNTIF($F$6:INDEX($F:$F, ROW()-1), $F400)) : INDEX(AB:AB, ROW()-1)),
          AVERAGEIFS(unit_details[Asking Rent],
          unit_details[Active Listing?],TRUE,
          unit_details[Property Name], $F401,
          unit_details[Beds], $L401,
          unit_details[Baths], $M401,
          unit_details[Partial Baths], IF(ISNUMBER($N401),$N401,""),
          unit_details[Sqft],$P401
)),"")</f>
        <v/>
      </c>
      <c r="AF401" s="5" t="str">
        <f>IFERROR(IF(AE401="","",IF($F401="Total",
SUMPRODUCT(
   INDEX(AF:AF, ROW()-COUNTIF($F$6:INDEX($F:$F, ROW()-1), $F400)) : INDEX(AF:AF, ROW()-1),
   INDEX(AB:AB, ROW()-COUNTIF($F$6:INDEX($F:$F, ROW()-1), $F400)) : INDEX(AB:AB, ROW()-1)
   )
   /SUM(INDEX(AB:AB, ROW()-COUNTIF($F$6:INDEX($F:$F, ROW()-1), $F400)) : INDEX(AB:AB, ROW()-1)),
           _xlfn.MAXIFS(unit_details[Asking Rent],
          unit_details[Active Listing?],TRUE,
          unit_details[Property Name], $F401,
          unit_details[Beds], $L401,
          unit_details[Baths], $M401,
          unit_details[Partial Baths], IF(ISNUMBER($N401),$N401,""),
          unit_details[Sqft],$P401
))),"")</f>
        <v/>
      </c>
      <c r="AG401" s="6" t="str">
        <f>IFERROR(IF($F401="Total",
         SUMPRODUCT(
         INDEX(AG:AG, ROW()-COUNTIF($F$6:INDEX($F:$F, ROW()-1), $F400)) : INDEX(AG:AG, ROW()-1),
         INDEX(AB:AB, ROW()-COUNTIF($F$6:INDEX($F:$F, ROW()-1), $F400)) : INDEX(AB:AB, ROW()-1)
         )
         /SUM(INDEX(AB:AB, ROW()-COUNTIF($F$6:INDEX($F:$F, ROW()-1), $F400)) : INDEX(AB:AB, ROW()-1)),
          AVERAGEIFS(unit_details[Asking PSF],
          unit_details[Active Listing?],TRUE,
          unit_details[Property Name], $F401,
          unit_details[Beds], $L401,
          unit_details[Baths], $M401,
          unit_details[Partial Baths], IF(ISNUMBER($N401),$N401,""),
          unit_details[Sqft],$P401
)),"")</f>
        <v/>
      </c>
      <c r="AH401" s="293" t="str">
        <f>IFERROR(IF($F401="Total",
         SUMPRODUCT(
         INDEX(AH:AH, ROW()-COUNTIF($F$6:INDEX($F:$F, ROW()-1), $F400)) : INDEX(AH:AH, ROW()-1),
         INDEX(AB:AB, ROW()-COUNTIF($F$6:INDEX($F:$F, ROW()-1), $F400)) : INDEX(AB:AB, ROW()-1)
         )
         /SUM(INDEX(AB:AB, ROW()-COUNTIF($F$6:INDEX($F:$F, ROW()-1), $F400)) : INDEX(AB:AB, ROW()-1)),
          AVERAGEIFS(unit_details[Effective Rent],
          unit_details[Active Listing?],TRUE,
          unit_details[Property Name], $F401,
          unit_details[Beds], $L401,
          unit_details[Baths], $M401,
          unit_details[Partial Baths], IF(ISNUMBER($N401),$N401,""),
          unit_details[Sqft],$P401
)),"")</f>
        <v/>
      </c>
      <c r="AI401" s="6" t="str">
        <f>IFERROR(IF($F401="Total",
         SUMPRODUCT(
         INDEX(AI:AI, ROW()-COUNTIF($F$6:INDEX($F:$F, ROW()-1), $F400)) : INDEX(AI:AI, ROW()-1),
         INDEX(AB:AB, ROW()-COUNTIF($F$6:INDEX($F:$F, ROW()-1), $F400)) : INDEX(AB:AB, ROW()-1)
         )
         /SUM(INDEX(AB:AB, ROW()-COUNTIF($F$6:INDEX($F:$F, ROW()-1), $F400)) : INDEX(AB:AB, ROW()-1)),
           AVERAGEIFS(unit_details[Effective PSF],
          unit_details[Active Listing?],TRUE,
          unit_details[Property Name], $F401,
          unit_details[Beds], $L401,
          unit_details[Baths], $M401,
          unit_details[Partial Baths], IF(ISNUMBER($N401),$N401,""),
          unit_details[Sqft],$P401
)),"")</f>
        <v/>
      </c>
      <c r="AJ401" s="824" t="str">
        <f t="shared" si="70"/>
        <v/>
      </c>
      <c r="AK401" s="531" t="str">
        <f t="shared" si="71"/>
        <v/>
      </c>
      <c r="AL401" s="714" t="str">
        <f t="shared" si="72"/>
        <v/>
      </c>
      <c r="AM401" s="531" t="str">
        <f t="shared" si="73"/>
        <v/>
      </c>
      <c r="AN401" s="716" t="str">
        <f t="shared" si="74"/>
        <v/>
      </c>
    </row>
    <row r="402" spans="6:40" x14ac:dyDescent="0.2">
      <c r="F402" s="1" t="str">
        <f t="shared" si="67"/>
        <v/>
      </c>
      <c r="G402" s="713" t="str">
        <f t="shared" si="75"/>
        <v/>
      </c>
      <c r="H402" s="17" t="str">
        <f>IFERROR(VLOOKUP($G402,Table1[[Property]:[Exposure %]],4,0),"")</f>
        <v/>
      </c>
      <c r="I402" s="3" t="str">
        <f>IFERROR(VLOOKUP($G402,Table1[[Property]:[Exposure %]],6,0),"")</f>
        <v/>
      </c>
      <c r="J402" s="3" t="str">
        <f>IFERROR(VLOOKUP($G402,Table1[[Property]:[Exposure %]],7,0),"")</f>
        <v/>
      </c>
      <c r="R402" s="4" t="str">
        <f>IFERROR(VLOOKUP(IF(F402="Total",F401,F402),Table1[[Property]:['# Units]],7,0)*S402,"")</f>
        <v/>
      </c>
      <c r="S402" s="27" t="str">
        <f t="shared" si="68"/>
        <v/>
      </c>
      <c r="T402" s="531" t="str">
        <f>IFERROR(
 IF($F402="Total",
   SUMPRODUCT(
   INDEX(T:T, ROW()-COUNTIF($F$6:INDEX($F:$F, ROW()-1), $F401)) : INDEX(T:T, ROW()-1),
   INDEX(W:W, ROW()-COUNTIF($F$6:INDEX($F:$F, ROW()-1), $F401)) : INDEX(W:W, ROW()-1)
   )
   /SUM(INDEX(W:W, ROW()-COUNTIF($F$6:INDEX($F:$F, ROW()-1), $F401)) : INDEX(W:W, ROW()-1)),
   AVERAGEIFS(
     INDEX((unit_details[Asking Rent],unit_details[Asking PSF]),0,1,IF($U$3="Chunk Rent",1,2)),
     unit_details[Leased Date],"&gt;="&amp;($AM$2-T$5),
     unit_details[Leased Date],"&lt;"&amp;$AM$2,
     unit_details[Beds],$L402,
     unit_details[Baths],$M402,
     unit_details[Partial Baths],IF(ISNUMBER($N402),$N402,""),
     unit_details[Sqft],$P402,
     unit_details[Property Name],$F402)
 ),"")</f>
        <v/>
      </c>
      <c r="U402" s="552" t="str">
        <f>IFERROR(
 IF($F402="Total",
   SUMPRODUCT(
   INDEX(U:U, ROW()-COUNTIF($F$6:INDEX($F:$F, ROW()-1), $F401)) : INDEX(U:U, ROW()-1),
   INDEX(W:W, ROW()-COUNTIF($F$6:INDEX($F:$F, ROW()-1), $F401)) : INDEX(W:W, ROW()-1)
   )
   /SUM(INDEX(W:W, ROW()-COUNTIF($F$6:INDEX($F:$F, ROW()-1), $F401)) : INDEX(W:W, ROW()-1)),
   AVERAGEIFS(
     INDEX((unit_details[Effective Rent],unit_details[Effective PSF]),0,1,IF($U$3="Chunk Rent",1,2)),
     unit_details[Leased Date],"&gt;="&amp;($AM$2-T$5),
     unit_details[Leased Date],"&lt;"&amp;$AM$2,
     unit_details[Beds],$L402,
     unit_details[Baths],$M402,
     unit_details[Partial Baths],IF(ISNUMBER($N402),$N402,""),
     unit_details[Sqft],$P402,
     unit_details[Property Name],$F402)
 ),"")</f>
        <v/>
      </c>
      <c r="V402" s="27" t="str">
        <f t="shared" si="76"/>
        <v/>
      </c>
      <c r="W402" s="526">
        <f>IFERROR(
  IF($F402="Total",
    SUM(INDEX(W:W, ROW()-COUNTIF($F$6:INDEX($F:$F, ROW()-1), $F401)) : INDEX(W:W, ROW()-1)),
    COUNTIFS(
      unit_details[Leased Date], "&gt;="&amp;($AM$2-T$5),
      unit_details[Leased Date], "&lt;"&amp;$AM$2,
      unit_details[Beds], $L402,
      unit_details[Baths], $M402,
      unit_details[Partial Baths], IF(ISNUMBER($N402), $N402, ""),
      unit_details[Sqft],$P402,
      unit_details[Property Name], $F402
    )
  ),
"")</f>
        <v>0</v>
      </c>
      <c r="X402" s="531" t="str">
        <f>IFERROR(
 IF($F402="Total",
   SUMPRODUCT(
   INDEX(X:X, ROW()-COUNTIF($F$6:INDEX($F:$F, ROW()-1), $F401)) : INDEX(X:X, ROW()-1),
   INDEX(AA:AA, ROW()-COUNTIF($F$6:INDEX($F:$F, ROW()-1), $F401)) : INDEX(AA:AA, ROW()-1)
   )
   /SUM(INDEX(AA:AA, ROW()-COUNTIF($F$6:INDEX($F:$F, ROW()-1), $F401)) : INDEX(AA:AA, ROW()-1)),
   AVERAGEIFS(
     INDEX((unit_details[Asking Rent],unit_details[Asking PSF]),0,1,IF($U$3="Chunk Rent",1,2)),
     unit_details[Leased Date],"&gt;="&amp;($AM$2-X$5),
     unit_details[Leased Date],"&lt;"&amp;$AM$2,
     unit_details[Beds],$L402,
     unit_details[Baths],$M402,
     unit_details[Partial Baths],IF(ISNUMBER($N402),$N402,""),
     unit_details[Sqft],$P402,
     unit_details[Property Name],$F402)
 ),"")</f>
        <v/>
      </c>
      <c r="Y402" s="552" t="str">
        <f>IFERROR(
 IF($F402="Total",
   SUMPRODUCT(
   INDEX(Y:Y, ROW()-COUNTIF($F$6:INDEX($F:$F, ROW()-1), $F401)) : INDEX(Y:Y, ROW()-1),
   INDEX(AA:AA, ROW()-COUNTIF($F$6:INDEX($F:$F, ROW()-1), $F401)) : INDEX(AA:AA, ROW()-1)
   )
   /SUM(INDEX(AA:AA, ROW()-COUNTIF($F$6:INDEX($F:$F, ROW()-1), $F401)) : INDEX(AA:AA, ROW()-1)),
   AVERAGEIFS(
     INDEX((unit_details[Effective Rent],unit_details[Effective PSF]),0,1,IF($U$3="Chunk Rent",1,2)),
     unit_details[Leased Date],"&gt;="&amp;($AM$2-X$5),
     unit_details[Leased Date],"&lt;"&amp;$AM$2,
     unit_details[Beds],$L402,
     unit_details[Baths],$M402,
     unit_details[Partial Baths],IF(ISNUMBER($N402),$N402,""),
     unit_details[Sqft],$P402,
     unit_details[Property Name],$F402)
 ),"")</f>
        <v/>
      </c>
      <c r="Z402" s="27" t="str">
        <f t="shared" si="77"/>
        <v/>
      </c>
      <c r="AA402" s="526">
        <f>IFERROR(
  IF($F402="Total",
    SUM(INDEX(AA:AA, ROW()-COUNTIF($F$6:INDEX($F:$F, ROW()-1), $F401)) : INDEX(AA:AA, ROW()-1)),
    COUNTIFS(
      unit_details[Leased Date], "&gt;="&amp;($AM$2-X$5),
      unit_details[Leased Date], "&lt;"&amp;$AM$2,
      unit_details[Beds], $L402,
      unit_details[Baths], $M402,
      unit_details[Partial Baths], IF(ISNUMBER($N402), $N402, ""),
      unit_details[Sqft],$P402,
      unit_details[Property Name], $F402
    )
  ),
"")</f>
        <v>0</v>
      </c>
      <c r="AB402" s="290">
        <f>IF($F402="Total",
SUM(INDEX(AB:AB, ROW()-COUNTIF($F$6:INDEX($F:$F, ROW()-1), $F401)) : INDEX(AB:AB, ROW()-1)),
COUNTIFS(unit_details[Active Listing?],TRUE,
          unit_details[Property Name], $F402,
          unit_details[Beds], $L402,
          unit_details[Baths], $M402,
          unit_details[Partial Baths],IF(ISNUMBER($N402),$N402,""),
          unit_details[Sqft],$P402))</f>
        <v>0</v>
      </c>
      <c r="AC402" s="27" t="str">
        <f t="shared" si="69"/>
        <v/>
      </c>
      <c r="AD402" s="293" t="str">
        <f>IFERROR(IF(AE402="","",IF($F402="Total",
SUMPRODUCT(
   INDEX(AD:AD, ROW()-COUNTIF($F$6:INDEX($F:$F, ROW()-1), $F401)) : INDEX(AD:AD, ROW()-1),
   INDEX(AB:AB, ROW()-COUNTIF($F$6:INDEX($F:$F, ROW()-1), $F401)) : INDEX(AB:AB, ROW()-1)
   )
   /SUM(INDEX(AB:AB, ROW()-COUNTIF($F$6:INDEX($F:$F, ROW()-1), $F401)) : INDEX(AB:AB, ROW()-1)),
          _xlfn.MINIFS(unit_details[Asking Rent],
          unit_details[Active Listing?],TRUE,
          unit_details[Property Name], $F402,
          unit_details[Beds], $L402,
          unit_details[Baths], $M402,
          unit_details[Partial Baths], IF(ISNUMBER($N402),$N402,""),
          unit_details[Sqft],$P402
))),"")</f>
        <v/>
      </c>
      <c r="AE402" s="5" t="str">
        <f>IFERROR(IF($F402="Total",
          SUMPRODUCT(
   INDEX(AE:AE, ROW()-COUNTIF($F$6:INDEX($F:$F, ROW()-1), $F401)) : INDEX(AE:AE, ROW()-1),
   INDEX(AB:AB, ROW()-COUNTIF($F$6:INDEX($F:$F, ROW()-1), $F401)) : INDEX(AB:AB, ROW()-1)
   )
   /SUM(INDEX(AB:AB, ROW()-COUNTIF($F$6:INDEX($F:$F, ROW()-1), $F401)) : INDEX(AB:AB, ROW()-1)),
          AVERAGEIFS(unit_details[Asking Rent],
          unit_details[Active Listing?],TRUE,
          unit_details[Property Name], $F402,
          unit_details[Beds], $L402,
          unit_details[Baths], $M402,
          unit_details[Partial Baths], IF(ISNUMBER($N402),$N402,""),
          unit_details[Sqft],$P402
)),"")</f>
        <v/>
      </c>
      <c r="AF402" s="5" t="str">
        <f>IFERROR(IF(AE402="","",IF($F402="Total",
SUMPRODUCT(
   INDEX(AF:AF, ROW()-COUNTIF($F$6:INDEX($F:$F, ROW()-1), $F401)) : INDEX(AF:AF, ROW()-1),
   INDEX(AB:AB, ROW()-COUNTIF($F$6:INDEX($F:$F, ROW()-1), $F401)) : INDEX(AB:AB, ROW()-1)
   )
   /SUM(INDEX(AB:AB, ROW()-COUNTIF($F$6:INDEX($F:$F, ROW()-1), $F401)) : INDEX(AB:AB, ROW()-1)),
           _xlfn.MAXIFS(unit_details[Asking Rent],
          unit_details[Active Listing?],TRUE,
          unit_details[Property Name], $F402,
          unit_details[Beds], $L402,
          unit_details[Baths], $M402,
          unit_details[Partial Baths], IF(ISNUMBER($N402),$N402,""),
          unit_details[Sqft],$P402
))),"")</f>
        <v/>
      </c>
      <c r="AG402" s="6" t="str">
        <f>IFERROR(IF($F402="Total",
         SUMPRODUCT(
         INDEX(AG:AG, ROW()-COUNTIF($F$6:INDEX($F:$F, ROW()-1), $F401)) : INDEX(AG:AG, ROW()-1),
         INDEX(AB:AB, ROW()-COUNTIF($F$6:INDEX($F:$F, ROW()-1), $F401)) : INDEX(AB:AB, ROW()-1)
         )
         /SUM(INDEX(AB:AB, ROW()-COUNTIF($F$6:INDEX($F:$F, ROW()-1), $F401)) : INDEX(AB:AB, ROW()-1)),
          AVERAGEIFS(unit_details[Asking PSF],
          unit_details[Active Listing?],TRUE,
          unit_details[Property Name], $F402,
          unit_details[Beds], $L402,
          unit_details[Baths], $M402,
          unit_details[Partial Baths], IF(ISNUMBER($N402),$N402,""),
          unit_details[Sqft],$P402
)),"")</f>
        <v/>
      </c>
      <c r="AH402" s="293" t="str">
        <f>IFERROR(IF($F402="Total",
         SUMPRODUCT(
         INDEX(AH:AH, ROW()-COUNTIF($F$6:INDEX($F:$F, ROW()-1), $F401)) : INDEX(AH:AH, ROW()-1),
         INDEX(AB:AB, ROW()-COUNTIF($F$6:INDEX($F:$F, ROW()-1), $F401)) : INDEX(AB:AB, ROW()-1)
         )
         /SUM(INDEX(AB:AB, ROW()-COUNTIF($F$6:INDEX($F:$F, ROW()-1), $F401)) : INDEX(AB:AB, ROW()-1)),
          AVERAGEIFS(unit_details[Effective Rent],
          unit_details[Active Listing?],TRUE,
          unit_details[Property Name], $F402,
          unit_details[Beds], $L402,
          unit_details[Baths], $M402,
          unit_details[Partial Baths], IF(ISNUMBER($N402),$N402,""),
          unit_details[Sqft],$P402
)),"")</f>
        <v/>
      </c>
      <c r="AI402" s="6" t="str">
        <f>IFERROR(IF($F402="Total",
         SUMPRODUCT(
         INDEX(AI:AI, ROW()-COUNTIF($F$6:INDEX($F:$F, ROW()-1), $F401)) : INDEX(AI:AI, ROW()-1),
         INDEX(AB:AB, ROW()-COUNTIF($F$6:INDEX($F:$F, ROW()-1), $F401)) : INDEX(AB:AB, ROW()-1)
         )
         /SUM(INDEX(AB:AB, ROW()-COUNTIF($F$6:INDEX($F:$F, ROW()-1), $F401)) : INDEX(AB:AB, ROW()-1)),
           AVERAGEIFS(unit_details[Effective PSF],
          unit_details[Active Listing?],TRUE,
          unit_details[Property Name], $F402,
          unit_details[Beds], $L402,
          unit_details[Baths], $M402,
          unit_details[Partial Baths], IF(ISNUMBER($N402),$N402,""),
          unit_details[Sqft],$P402
)),"")</f>
        <v/>
      </c>
      <c r="AJ402" s="824" t="str">
        <f t="shared" si="70"/>
        <v/>
      </c>
      <c r="AK402" s="531" t="str">
        <f t="shared" si="71"/>
        <v/>
      </c>
      <c r="AL402" s="714" t="str">
        <f t="shared" si="72"/>
        <v/>
      </c>
      <c r="AM402" s="531" t="str">
        <f t="shared" si="73"/>
        <v/>
      </c>
      <c r="AN402" s="716" t="str">
        <f t="shared" si="74"/>
        <v/>
      </c>
    </row>
    <row r="403" spans="6:40" x14ac:dyDescent="0.2">
      <c r="F403" s="1" t="str">
        <f t="shared" si="67"/>
        <v/>
      </c>
      <c r="G403" s="713" t="str">
        <f t="shared" si="75"/>
        <v/>
      </c>
      <c r="H403" s="17" t="str">
        <f>IFERROR(VLOOKUP($G403,Table1[[Property]:[Exposure %]],4,0),"")</f>
        <v/>
      </c>
      <c r="I403" s="3" t="str">
        <f>IFERROR(VLOOKUP($G403,Table1[[Property]:[Exposure %]],6,0),"")</f>
        <v/>
      </c>
      <c r="J403" s="3" t="str">
        <f>IFERROR(VLOOKUP($G403,Table1[[Property]:[Exposure %]],7,0),"")</f>
        <v/>
      </c>
      <c r="R403" s="4" t="str">
        <f>IFERROR(VLOOKUP(IF(F403="Total",F402,F403),Table1[[Property]:['# Units]],7,0)*S403,"")</f>
        <v/>
      </c>
      <c r="S403" s="27" t="str">
        <f t="shared" si="68"/>
        <v/>
      </c>
      <c r="T403" s="531" t="str">
        <f>IFERROR(
 IF($F403="Total",
   SUMPRODUCT(
   INDEX(T:T, ROW()-COUNTIF($F$6:INDEX($F:$F, ROW()-1), $F402)) : INDEX(T:T, ROW()-1),
   INDEX(W:W, ROW()-COUNTIF($F$6:INDEX($F:$F, ROW()-1), $F402)) : INDEX(W:W, ROW()-1)
   )
   /SUM(INDEX(W:W, ROW()-COUNTIF($F$6:INDEX($F:$F, ROW()-1), $F402)) : INDEX(W:W, ROW()-1)),
   AVERAGEIFS(
     INDEX((unit_details[Asking Rent],unit_details[Asking PSF]),0,1,IF($U$3="Chunk Rent",1,2)),
     unit_details[Leased Date],"&gt;="&amp;($AM$2-T$5),
     unit_details[Leased Date],"&lt;"&amp;$AM$2,
     unit_details[Beds],$L403,
     unit_details[Baths],$M403,
     unit_details[Partial Baths],IF(ISNUMBER($N403),$N403,""),
     unit_details[Sqft],$P403,
     unit_details[Property Name],$F403)
 ),"")</f>
        <v/>
      </c>
      <c r="U403" s="552" t="str">
        <f>IFERROR(
 IF($F403="Total",
   SUMPRODUCT(
   INDEX(U:U, ROW()-COUNTIF($F$6:INDEX($F:$F, ROW()-1), $F402)) : INDEX(U:U, ROW()-1),
   INDEX(W:W, ROW()-COUNTIF($F$6:INDEX($F:$F, ROW()-1), $F402)) : INDEX(W:W, ROW()-1)
   )
   /SUM(INDEX(W:W, ROW()-COUNTIF($F$6:INDEX($F:$F, ROW()-1), $F402)) : INDEX(W:W, ROW()-1)),
   AVERAGEIFS(
     INDEX((unit_details[Effective Rent],unit_details[Effective PSF]),0,1,IF($U$3="Chunk Rent",1,2)),
     unit_details[Leased Date],"&gt;="&amp;($AM$2-T$5),
     unit_details[Leased Date],"&lt;"&amp;$AM$2,
     unit_details[Beds],$L403,
     unit_details[Baths],$M403,
     unit_details[Partial Baths],IF(ISNUMBER($N403),$N403,""),
     unit_details[Sqft],$P403,
     unit_details[Property Name],$F403)
 ),"")</f>
        <v/>
      </c>
      <c r="V403" s="27" t="str">
        <f t="shared" si="76"/>
        <v/>
      </c>
      <c r="W403" s="526">
        <f>IFERROR(
  IF($F403="Total",
    SUM(INDEX(W:W, ROW()-COUNTIF($F$6:INDEX($F:$F, ROW()-1), $F402)) : INDEX(W:W, ROW()-1)),
    COUNTIFS(
      unit_details[Leased Date], "&gt;="&amp;($AM$2-T$5),
      unit_details[Leased Date], "&lt;"&amp;$AM$2,
      unit_details[Beds], $L403,
      unit_details[Baths], $M403,
      unit_details[Partial Baths], IF(ISNUMBER($N403), $N403, ""),
      unit_details[Sqft],$P403,
      unit_details[Property Name], $F403
    )
  ),
"")</f>
        <v>0</v>
      </c>
      <c r="X403" s="531" t="str">
        <f>IFERROR(
 IF($F403="Total",
   SUMPRODUCT(
   INDEX(X:X, ROW()-COUNTIF($F$6:INDEX($F:$F, ROW()-1), $F402)) : INDEX(X:X, ROW()-1),
   INDEX(AA:AA, ROW()-COUNTIF($F$6:INDEX($F:$F, ROW()-1), $F402)) : INDEX(AA:AA, ROW()-1)
   )
   /SUM(INDEX(AA:AA, ROW()-COUNTIF($F$6:INDEX($F:$F, ROW()-1), $F402)) : INDEX(AA:AA, ROW()-1)),
   AVERAGEIFS(
     INDEX((unit_details[Asking Rent],unit_details[Asking PSF]),0,1,IF($U$3="Chunk Rent",1,2)),
     unit_details[Leased Date],"&gt;="&amp;($AM$2-X$5),
     unit_details[Leased Date],"&lt;"&amp;$AM$2,
     unit_details[Beds],$L403,
     unit_details[Baths],$M403,
     unit_details[Partial Baths],IF(ISNUMBER($N403),$N403,""),
     unit_details[Sqft],$P403,
     unit_details[Property Name],$F403)
 ),"")</f>
        <v/>
      </c>
      <c r="Y403" s="552" t="str">
        <f>IFERROR(
 IF($F403="Total",
   SUMPRODUCT(
   INDEX(Y:Y, ROW()-COUNTIF($F$6:INDEX($F:$F, ROW()-1), $F402)) : INDEX(Y:Y, ROW()-1),
   INDEX(AA:AA, ROW()-COUNTIF($F$6:INDEX($F:$F, ROW()-1), $F402)) : INDEX(AA:AA, ROW()-1)
   )
   /SUM(INDEX(AA:AA, ROW()-COUNTIF($F$6:INDEX($F:$F, ROW()-1), $F402)) : INDEX(AA:AA, ROW()-1)),
   AVERAGEIFS(
     INDEX((unit_details[Effective Rent],unit_details[Effective PSF]),0,1,IF($U$3="Chunk Rent",1,2)),
     unit_details[Leased Date],"&gt;="&amp;($AM$2-X$5),
     unit_details[Leased Date],"&lt;"&amp;$AM$2,
     unit_details[Beds],$L403,
     unit_details[Baths],$M403,
     unit_details[Partial Baths],IF(ISNUMBER($N403),$N403,""),
     unit_details[Sqft],$P403,
     unit_details[Property Name],$F403)
 ),"")</f>
        <v/>
      </c>
      <c r="Z403" s="27" t="str">
        <f t="shared" si="77"/>
        <v/>
      </c>
      <c r="AA403" s="526">
        <f>IFERROR(
  IF($F403="Total",
    SUM(INDEX(AA:AA, ROW()-COUNTIF($F$6:INDEX($F:$F, ROW()-1), $F402)) : INDEX(AA:AA, ROW()-1)),
    COUNTIFS(
      unit_details[Leased Date], "&gt;="&amp;($AM$2-X$5),
      unit_details[Leased Date], "&lt;"&amp;$AM$2,
      unit_details[Beds], $L403,
      unit_details[Baths], $M403,
      unit_details[Partial Baths], IF(ISNUMBER($N403), $N403, ""),
      unit_details[Sqft],$P403,
      unit_details[Property Name], $F403
    )
  ),
"")</f>
        <v>0</v>
      </c>
      <c r="AB403" s="290">
        <f>IF($F403="Total",
SUM(INDEX(AB:AB, ROW()-COUNTIF($F$6:INDEX($F:$F, ROW()-1), $F402)) : INDEX(AB:AB, ROW()-1)),
COUNTIFS(unit_details[Active Listing?],TRUE,
          unit_details[Property Name], $F403,
          unit_details[Beds], $L403,
          unit_details[Baths], $M403,
          unit_details[Partial Baths],IF(ISNUMBER($N403),$N403,""),
          unit_details[Sqft],$P403))</f>
        <v>0</v>
      </c>
      <c r="AC403" s="27" t="str">
        <f t="shared" si="69"/>
        <v/>
      </c>
      <c r="AD403" s="293" t="str">
        <f>IFERROR(IF(AE403="","",IF($F403="Total",
SUMPRODUCT(
   INDEX(AD:AD, ROW()-COUNTIF($F$6:INDEX($F:$F, ROW()-1), $F402)) : INDEX(AD:AD, ROW()-1),
   INDEX(AB:AB, ROW()-COUNTIF($F$6:INDEX($F:$F, ROW()-1), $F402)) : INDEX(AB:AB, ROW()-1)
   )
   /SUM(INDEX(AB:AB, ROW()-COUNTIF($F$6:INDEX($F:$F, ROW()-1), $F402)) : INDEX(AB:AB, ROW()-1)),
          _xlfn.MINIFS(unit_details[Asking Rent],
          unit_details[Active Listing?],TRUE,
          unit_details[Property Name], $F403,
          unit_details[Beds], $L403,
          unit_details[Baths], $M403,
          unit_details[Partial Baths], IF(ISNUMBER($N403),$N403,""),
          unit_details[Sqft],$P403
))),"")</f>
        <v/>
      </c>
      <c r="AE403" s="5" t="str">
        <f>IFERROR(IF($F403="Total",
          SUMPRODUCT(
   INDEX(AE:AE, ROW()-COUNTIF($F$6:INDEX($F:$F, ROW()-1), $F402)) : INDEX(AE:AE, ROW()-1),
   INDEX(AB:AB, ROW()-COUNTIF($F$6:INDEX($F:$F, ROW()-1), $F402)) : INDEX(AB:AB, ROW()-1)
   )
   /SUM(INDEX(AB:AB, ROW()-COUNTIF($F$6:INDEX($F:$F, ROW()-1), $F402)) : INDEX(AB:AB, ROW()-1)),
          AVERAGEIFS(unit_details[Asking Rent],
          unit_details[Active Listing?],TRUE,
          unit_details[Property Name], $F403,
          unit_details[Beds], $L403,
          unit_details[Baths], $M403,
          unit_details[Partial Baths], IF(ISNUMBER($N403),$N403,""),
          unit_details[Sqft],$P403
)),"")</f>
        <v/>
      </c>
      <c r="AF403" s="5" t="str">
        <f>IFERROR(IF(AE403="","",IF($F403="Total",
SUMPRODUCT(
   INDEX(AF:AF, ROW()-COUNTIF($F$6:INDEX($F:$F, ROW()-1), $F402)) : INDEX(AF:AF, ROW()-1),
   INDEX(AB:AB, ROW()-COUNTIF($F$6:INDEX($F:$F, ROW()-1), $F402)) : INDEX(AB:AB, ROW()-1)
   )
   /SUM(INDEX(AB:AB, ROW()-COUNTIF($F$6:INDEX($F:$F, ROW()-1), $F402)) : INDEX(AB:AB, ROW()-1)),
           _xlfn.MAXIFS(unit_details[Asking Rent],
          unit_details[Active Listing?],TRUE,
          unit_details[Property Name], $F403,
          unit_details[Beds], $L403,
          unit_details[Baths], $M403,
          unit_details[Partial Baths], IF(ISNUMBER($N403),$N403,""),
          unit_details[Sqft],$P403
))),"")</f>
        <v/>
      </c>
      <c r="AG403" s="6" t="str">
        <f>IFERROR(IF($F403="Total",
         SUMPRODUCT(
         INDEX(AG:AG, ROW()-COUNTIF($F$6:INDEX($F:$F, ROW()-1), $F402)) : INDEX(AG:AG, ROW()-1),
         INDEX(AB:AB, ROW()-COUNTIF($F$6:INDEX($F:$F, ROW()-1), $F402)) : INDEX(AB:AB, ROW()-1)
         )
         /SUM(INDEX(AB:AB, ROW()-COUNTIF($F$6:INDEX($F:$F, ROW()-1), $F402)) : INDEX(AB:AB, ROW()-1)),
          AVERAGEIFS(unit_details[Asking PSF],
          unit_details[Active Listing?],TRUE,
          unit_details[Property Name], $F403,
          unit_details[Beds], $L403,
          unit_details[Baths], $M403,
          unit_details[Partial Baths], IF(ISNUMBER($N403),$N403,""),
          unit_details[Sqft],$P403
)),"")</f>
        <v/>
      </c>
      <c r="AH403" s="293" t="str">
        <f>IFERROR(IF($F403="Total",
         SUMPRODUCT(
         INDEX(AH:AH, ROW()-COUNTIF($F$6:INDEX($F:$F, ROW()-1), $F402)) : INDEX(AH:AH, ROW()-1),
         INDEX(AB:AB, ROW()-COUNTIF($F$6:INDEX($F:$F, ROW()-1), $F402)) : INDEX(AB:AB, ROW()-1)
         )
         /SUM(INDEX(AB:AB, ROW()-COUNTIF($F$6:INDEX($F:$F, ROW()-1), $F402)) : INDEX(AB:AB, ROW()-1)),
          AVERAGEIFS(unit_details[Effective Rent],
          unit_details[Active Listing?],TRUE,
          unit_details[Property Name], $F403,
          unit_details[Beds], $L403,
          unit_details[Baths], $M403,
          unit_details[Partial Baths], IF(ISNUMBER($N403),$N403,""),
          unit_details[Sqft],$P403
)),"")</f>
        <v/>
      </c>
      <c r="AI403" s="6" t="str">
        <f>IFERROR(IF($F403="Total",
         SUMPRODUCT(
         INDEX(AI:AI, ROW()-COUNTIF($F$6:INDEX($F:$F, ROW()-1), $F402)) : INDEX(AI:AI, ROW()-1),
         INDEX(AB:AB, ROW()-COUNTIF($F$6:INDEX($F:$F, ROW()-1), $F402)) : INDEX(AB:AB, ROW()-1)
         )
         /SUM(INDEX(AB:AB, ROW()-COUNTIF($F$6:INDEX($F:$F, ROW()-1), $F402)) : INDEX(AB:AB, ROW()-1)),
           AVERAGEIFS(unit_details[Effective PSF],
          unit_details[Active Listing?],TRUE,
          unit_details[Property Name], $F403,
          unit_details[Beds], $L403,
          unit_details[Baths], $M403,
          unit_details[Partial Baths], IF(ISNUMBER($N403),$N403,""),
          unit_details[Sqft],$P403
)),"")</f>
        <v/>
      </c>
      <c r="AJ403" s="824" t="str">
        <f t="shared" si="70"/>
        <v/>
      </c>
      <c r="AK403" s="531" t="str">
        <f t="shared" si="71"/>
        <v/>
      </c>
      <c r="AL403" s="714" t="str">
        <f t="shared" si="72"/>
        <v/>
      </c>
      <c r="AM403" s="531" t="str">
        <f t="shared" si="73"/>
        <v/>
      </c>
      <c r="AN403" s="716" t="str">
        <f t="shared" si="74"/>
        <v/>
      </c>
    </row>
    <row r="404" spans="6:40" x14ac:dyDescent="0.2">
      <c r="F404" s="1" t="str">
        <f t="shared" si="67"/>
        <v/>
      </c>
      <c r="G404" s="713" t="str">
        <f t="shared" si="75"/>
        <v/>
      </c>
      <c r="H404" s="17" t="str">
        <f>IFERROR(VLOOKUP($G404,Table1[[Property]:[Exposure %]],4,0),"")</f>
        <v/>
      </c>
      <c r="I404" s="3" t="str">
        <f>IFERROR(VLOOKUP($G404,Table1[[Property]:[Exposure %]],6,0),"")</f>
        <v/>
      </c>
      <c r="J404" s="3" t="str">
        <f>IFERROR(VLOOKUP($G404,Table1[[Property]:[Exposure %]],7,0),"")</f>
        <v/>
      </c>
      <c r="R404" s="4" t="str">
        <f>IFERROR(VLOOKUP(IF(F404="Total",F403,F404),Table1[[Property]:['# Units]],7,0)*S404,"")</f>
        <v/>
      </c>
      <c r="S404" s="27" t="str">
        <f t="shared" si="68"/>
        <v/>
      </c>
      <c r="T404" s="531" t="str">
        <f>IFERROR(
 IF($F404="Total",
   SUMPRODUCT(
   INDEX(T:T, ROW()-COUNTIF($F$6:INDEX($F:$F, ROW()-1), $F403)) : INDEX(T:T, ROW()-1),
   INDEX(W:W, ROW()-COUNTIF($F$6:INDEX($F:$F, ROW()-1), $F403)) : INDEX(W:W, ROW()-1)
   )
   /SUM(INDEX(W:W, ROW()-COUNTIF($F$6:INDEX($F:$F, ROW()-1), $F403)) : INDEX(W:W, ROW()-1)),
   AVERAGEIFS(
     INDEX((unit_details[Asking Rent],unit_details[Asking PSF]),0,1,IF($U$3="Chunk Rent",1,2)),
     unit_details[Leased Date],"&gt;="&amp;($AM$2-T$5),
     unit_details[Leased Date],"&lt;"&amp;$AM$2,
     unit_details[Beds],$L404,
     unit_details[Baths],$M404,
     unit_details[Partial Baths],IF(ISNUMBER($N404),$N404,""),
     unit_details[Sqft],$P404,
     unit_details[Property Name],$F404)
 ),"")</f>
        <v/>
      </c>
      <c r="U404" s="552" t="str">
        <f>IFERROR(
 IF($F404="Total",
   SUMPRODUCT(
   INDEX(U:U, ROW()-COUNTIF($F$6:INDEX($F:$F, ROW()-1), $F403)) : INDEX(U:U, ROW()-1),
   INDEX(W:W, ROW()-COUNTIF($F$6:INDEX($F:$F, ROW()-1), $F403)) : INDEX(W:W, ROW()-1)
   )
   /SUM(INDEX(W:W, ROW()-COUNTIF($F$6:INDEX($F:$F, ROW()-1), $F403)) : INDEX(W:W, ROW()-1)),
   AVERAGEIFS(
     INDEX((unit_details[Effective Rent],unit_details[Effective PSF]),0,1,IF($U$3="Chunk Rent",1,2)),
     unit_details[Leased Date],"&gt;="&amp;($AM$2-T$5),
     unit_details[Leased Date],"&lt;"&amp;$AM$2,
     unit_details[Beds],$L404,
     unit_details[Baths],$M404,
     unit_details[Partial Baths],IF(ISNUMBER($N404),$N404,""),
     unit_details[Sqft],$P404,
     unit_details[Property Name],$F404)
 ),"")</f>
        <v/>
      </c>
      <c r="V404" s="27" t="str">
        <f t="shared" si="76"/>
        <v/>
      </c>
      <c r="W404" s="526">
        <f>IFERROR(
  IF($F404="Total",
    SUM(INDEX(W:W, ROW()-COUNTIF($F$6:INDEX($F:$F, ROW()-1), $F403)) : INDEX(W:W, ROW()-1)),
    COUNTIFS(
      unit_details[Leased Date], "&gt;="&amp;($AM$2-T$5),
      unit_details[Leased Date], "&lt;"&amp;$AM$2,
      unit_details[Beds], $L404,
      unit_details[Baths], $M404,
      unit_details[Partial Baths], IF(ISNUMBER($N404), $N404, ""),
      unit_details[Sqft],$P404,
      unit_details[Property Name], $F404
    )
  ),
"")</f>
        <v>0</v>
      </c>
      <c r="X404" s="531" t="str">
        <f>IFERROR(
 IF($F404="Total",
   SUMPRODUCT(
   INDEX(X:X, ROW()-COUNTIF($F$6:INDEX($F:$F, ROW()-1), $F403)) : INDEX(X:X, ROW()-1),
   INDEX(AA:AA, ROW()-COUNTIF($F$6:INDEX($F:$F, ROW()-1), $F403)) : INDEX(AA:AA, ROW()-1)
   )
   /SUM(INDEX(AA:AA, ROW()-COUNTIF($F$6:INDEX($F:$F, ROW()-1), $F403)) : INDEX(AA:AA, ROW()-1)),
   AVERAGEIFS(
     INDEX((unit_details[Asking Rent],unit_details[Asking PSF]),0,1,IF($U$3="Chunk Rent",1,2)),
     unit_details[Leased Date],"&gt;="&amp;($AM$2-X$5),
     unit_details[Leased Date],"&lt;"&amp;$AM$2,
     unit_details[Beds],$L404,
     unit_details[Baths],$M404,
     unit_details[Partial Baths],IF(ISNUMBER($N404),$N404,""),
     unit_details[Sqft],$P404,
     unit_details[Property Name],$F404)
 ),"")</f>
        <v/>
      </c>
      <c r="Y404" s="552" t="str">
        <f>IFERROR(
 IF($F404="Total",
   SUMPRODUCT(
   INDEX(Y:Y, ROW()-COUNTIF($F$6:INDEX($F:$F, ROW()-1), $F403)) : INDEX(Y:Y, ROW()-1),
   INDEX(AA:AA, ROW()-COUNTIF($F$6:INDEX($F:$F, ROW()-1), $F403)) : INDEX(AA:AA, ROW()-1)
   )
   /SUM(INDEX(AA:AA, ROW()-COUNTIF($F$6:INDEX($F:$F, ROW()-1), $F403)) : INDEX(AA:AA, ROW()-1)),
   AVERAGEIFS(
     INDEX((unit_details[Effective Rent],unit_details[Effective PSF]),0,1,IF($U$3="Chunk Rent",1,2)),
     unit_details[Leased Date],"&gt;="&amp;($AM$2-X$5),
     unit_details[Leased Date],"&lt;"&amp;$AM$2,
     unit_details[Beds],$L404,
     unit_details[Baths],$M404,
     unit_details[Partial Baths],IF(ISNUMBER($N404),$N404,""),
     unit_details[Sqft],$P404,
     unit_details[Property Name],$F404)
 ),"")</f>
        <v/>
      </c>
      <c r="Z404" s="27" t="str">
        <f t="shared" si="77"/>
        <v/>
      </c>
      <c r="AA404" s="526">
        <f>IFERROR(
  IF($F404="Total",
    SUM(INDEX(AA:AA, ROW()-COUNTIF($F$6:INDEX($F:$F, ROW()-1), $F403)) : INDEX(AA:AA, ROW()-1)),
    COUNTIFS(
      unit_details[Leased Date], "&gt;="&amp;($AM$2-X$5),
      unit_details[Leased Date], "&lt;"&amp;$AM$2,
      unit_details[Beds], $L404,
      unit_details[Baths], $M404,
      unit_details[Partial Baths], IF(ISNUMBER($N404), $N404, ""),
      unit_details[Sqft],$P404,
      unit_details[Property Name], $F404
    )
  ),
"")</f>
        <v>0</v>
      </c>
      <c r="AB404" s="290">
        <f>IF($F404="Total",
SUM(INDEX(AB:AB, ROW()-COUNTIF($F$6:INDEX($F:$F, ROW()-1), $F403)) : INDEX(AB:AB, ROW()-1)),
COUNTIFS(unit_details[Active Listing?],TRUE,
          unit_details[Property Name], $F404,
          unit_details[Beds], $L404,
          unit_details[Baths], $M404,
          unit_details[Partial Baths],IF(ISNUMBER($N404),$N404,""),
          unit_details[Sqft],$P404))</f>
        <v>0</v>
      </c>
      <c r="AC404" s="27" t="str">
        <f t="shared" si="69"/>
        <v/>
      </c>
      <c r="AD404" s="293" t="str">
        <f>IFERROR(IF(AE404="","",IF($F404="Total",
SUMPRODUCT(
   INDEX(AD:AD, ROW()-COUNTIF($F$6:INDEX($F:$F, ROW()-1), $F403)) : INDEX(AD:AD, ROW()-1),
   INDEX(AB:AB, ROW()-COUNTIF($F$6:INDEX($F:$F, ROW()-1), $F403)) : INDEX(AB:AB, ROW()-1)
   )
   /SUM(INDEX(AB:AB, ROW()-COUNTIF($F$6:INDEX($F:$F, ROW()-1), $F403)) : INDEX(AB:AB, ROW()-1)),
          _xlfn.MINIFS(unit_details[Asking Rent],
          unit_details[Active Listing?],TRUE,
          unit_details[Property Name], $F404,
          unit_details[Beds], $L404,
          unit_details[Baths], $M404,
          unit_details[Partial Baths], IF(ISNUMBER($N404),$N404,""),
          unit_details[Sqft],$P404
))),"")</f>
        <v/>
      </c>
      <c r="AE404" s="5" t="str">
        <f>IFERROR(IF($F404="Total",
          SUMPRODUCT(
   INDEX(AE:AE, ROW()-COUNTIF($F$6:INDEX($F:$F, ROW()-1), $F403)) : INDEX(AE:AE, ROW()-1),
   INDEX(AB:AB, ROW()-COUNTIF($F$6:INDEX($F:$F, ROW()-1), $F403)) : INDEX(AB:AB, ROW()-1)
   )
   /SUM(INDEX(AB:AB, ROW()-COUNTIF($F$6:INDEX($F:$F, ROW()-1), $F403)) : INDEX(AB:AB, ROW()-1)),
          AVERAGEIFS(unit_details[Asking Rent],
          unit_details[Active Listing?],TRUE,
          unit_details[Property Name], $F404,
          unit_details[Beds], $L404,
          unit_details[Baths], $M404,
          unit_details[Partial Baths], IF(ISNUMBER($N404),$N404,""),
          unit_details[Sqft],$P404
)),"")</f>
        <v/>
      </c>
      <c r="AF404" s="5" t="str">
        <f>IFERROR(IF(AE404="","",IF($F404="Total",
SUMPRODUCT(
   INDEX(AF:AF, ROW()-COUNTIF($F$6:INDEX($F:$F, ROW()-1), $F403)) : INDEX(AF:AF, ROW()-1),
   INDEX(AB:AB, ROW()-COUNTIF($F$6:INDEX($F:$F, ROW()-1), $F403)) : INDEX(AB:AB, ROW()-1)
   )
   /SUM(INDEX(AB:AB, ROW()-COUNTIF($F$6:INDEX($F:$F, ROW()-1), $F403)) : INDEX(AB:AB, ROW()-1)),
           _xlfn.MAXIFS(unit_details[Asking Rent],
          unit_details[Active Listing?],TRUE,
          unit_details[Property Name], $F404,
          unit_details[Beds], $L404,
          unit_details[Baths], $M404,
          unit_details[Partial Baths], IF(ISNUMBER($N404),$N404,""),
          unit_details[Sqft],$P404
))),"")</f>
        <v/>
      </c>
      <c r="AG404" s="6" t="str">
        <f>IFERROR(IF($F404="Total",
         SUMPRODUCT(
         INDEX(AG:AG, ROW()-COUNTIF($F$6:INDEX($F:$F, ROW()-1), $F403)) : INDEX(AG:AG, ROW()-1),
         INDEX(AB:AB, ROW()-COUNTIF($F$6:INDEX($F:$F, ROW()-1), $F403)) : INDEX(AB:AB, ROW()-1)
         )
         /SUM(INDEX(AB:AB, ROW()-COUNTIF($F$6:INDEX($F:$F, ROW()-1), $F403)) : INDEX(AB:AB, ROW()-1)),
          AVERAGEIFS(unit_details[Asking PSF],
          unit_details[Active Listing?],TRUE,
          unit_details[Property Name], $F404,
          unit_details[Beds], $L404,
          unit_details[Baths], $M404,
          unit_details[Partial Baths], IF(ISNUMBER($N404),$N404,""),
          unit_details[Sqft],$P404
)),"")</f>
        <v/>
      </c>
      <c r="AH404" s="293" t="str">
        <f>IFERROR(IF($F404="Total",
         SUMPRODUCT(
         INDEX(AH:AH, ROW()-COUNTIF($F$6:INDEX($F:$F, ROW()-1), $F403)) : INDEX(AH:AH, ROW()-1),
         INDEX(AB:AB, ROW()-COUNTIF($F$6:INDEX($F:$F, ROW()-1), $F403)) : INDEX(AB:AB, ROW()-1)
         )
         /SUM(INDEX(AB:AB, ROW()-COUNTIF($F$6:INDEX($F:$F, ROW()-1), $F403)) : INDEX(AB:AB, ROW()-1)),
          AVERAGEIFS(unit_details[Effective Rent],
          unit_details[Active Listing?],TRUE,
          unit_details[Property Name], $F404,
          unit_details[Beds], $L404,
          unit_details[Baths], $M404,
          unit_details[Partial Baths], IF(ISNUMBER($N404),$N404,""),
          unit_details[Sqft],$P404
)),"")</f>
        <v/>
      </c>
      <c r="AI404" s="6" t="str">
        <f>IFERROR(IF($F404="Total",
         SUMPRODUCT(
         INDEX(AI:AI, ROW()-COUNTIF($F$6:INDEX($F:$F, ROW()-1), $F403)) : INDEX(AI:AI, ROW()-1),
         INDEX(AB:AB, ROW()-COUNTIF($F$6:INDEX($F:$F, ROW()-1), $F403)) : INDEX(AB:AB, ROW()-1)
         )
         /SUM(INDEX(AB:AB, ROW()-COUNTIF($F$6:INDEX($F:$F, ROW()-1), $F403)) : INDEX(AB:AB, ROW()-1)),
           AVERAGEIFS(unit_details[Effective PSF],
          unit_details[Active Listing?],TRUE,
          unit_details[Property Name], $F404,
          unit_details[Beds], $L404,
          unit_details[Baths], $M404,
          unit_details[Partial Baths], IF(ISNUMBER($N404),$N404,""),
          unit_details[Sqft],$P404
)),"")</f>
        <v/>
      </c>
      <c r="AJ404" s="824" t="str">
        <f t="shared" si="70"/>
        <v/>
      </c>
      <c r="AK404" s="531" t="str">
        <f t="shared" si="71"/>
        <v/>
      </c>
      <c r="AL404" s="714" t="str">
        <f t="shared" si="72"/>
        <v/>
      </c>
      <c r="AM404" s="531" t="str">
        <f t="shared" si="73"/>
        <v/>
      </c>
      <c r="AN404" s="716" t="str">
        <f t="shared" si="74"/>
        <v/>
      </c>
    </row>
    <row r="405" spans="6:40" x14ac:dyDescent="0.2">
      <c r="F405" s="1" t="str">
        <f t="shared" si="67"/>
        <v/>
      </c>
      <c r="G405" s="713" t="str">
        <f t="shared" si="75"/>
        <v/>
      </c>
      <c r="H405" s="17" t="str">
        <f>IFERROR(VLOOKUP($G405,Table1[[Property]:[Exposure %]],4,0),"")</f>
        <v/>
      </c>
      <c r="I405" s="3" t="str">
        <f>IFERROR(VLOOKUP($G405,Table1[[Property]:[Exposure %]],6,0),"")</f>
        <v/>
      </c>
      <c r="J405" s="3" t="str">
        <f>IFERROR(VLOOKUP($G405,Table1[[Property]:[Exposure %]],7,0),"")</f>
        <v/>
      </c>
      <c r="R405" s="4" t="str">
        <f>IFERROR(VLOOKUP(IF(F405="Total",F404,F405),Table1[[Property]:['# Units]],7,0)*S405,"")</f>
        <v/>
      </c>
      <c r="S405" s="27" t="str">
        <f t="shared" si="68"/>
        <v/>
      </c>
      <c r="T405" s="531" t="str">
        <f>IFERROR(
 IF($F405="Total",
   SUMPRODUCT(
   INDEX(T:T, ROW()-COUNTIF($F$6:INDEX($F:$F, ROW()-1), $F404)) : INDEX(T:T, ROW()-1),
   INDEX(W:W, ROW()-COUNTIF($F$6:INDEX($F:$F, ROW()-1), $F404)) : INDEX(W:W, ROW()-1)
   )
   /SUM(INDEX(W:W, ROW()-COUNTIF($F$6:INDEX($F:$F, ROW()-1), $F404)) : INDEX(W:W, ROW()-1)),
   AVERAGEIFS(
     INDEX((unit_details[Asking Rent],unit_details[Asking PSF]),0,1,IF($U$3="Chunk Rent",1,2)),
     unit_details[Leased Date],"&gt;="&amp;($AM$2-T$5),
     unit_details[Leased Date],"&lt;"&amp;$AM$2,
     unit_details[Beds],$L405,
     unit_details[Baths],$M405,
     unit_details[Partial Baths],IF(ISNUMBER($N405),$N405,""),
     unit_details[Sqft],$P405,
     unit_details[Property Name],$F405)
 ),"")</f>
        <v/>
      </c>
      <c r="U405" s="552" t="str">
        <f>IFERROR(
 IF($F405="Total",
   SUMPRODUCT(
   INDEX(U:U, ROW()-COUNTIF($F$6:INDEX($F:$F, ROW()-1), $F404)) : INDEX(U:U, ROW()-1),
   INDEX(W:W, ROW()-COUNTIF($F$6:INDEX($F:$F, ROW()-1), $F404)) : INDEX(W:W, ROW()-1)
   )
   /SUM(INDEX(W:W, ROW()-COUNTIF($F$6:INDEX($F:$F, ROW()-1), $F404)) : INDEX(W:W, ROW()-1)),
   AVERAGEIFS(
     INDEX((unit_details[Effective Rent],unit_details[Effective PSF]),0,1,IF($U$3="Chunk Rent",1,2)),
     unit_details[Leased Date],"&gt;="&amp;($AM$2-T$5),
     unit_details[Leased Date],"&lt;"&amp;$AM$2,
     unit_details[Beds],$L405,
     unit_details[Baths],$M405,
     unit_details[Partial Baths],IF(ISNUMBER($N405),$N405,""),
     unit_details[Sqft],$P405,
     unit_details[Property Name],$F405)
 ),"")</f>
        <v/>
      </c>
      <c r="V405" s="27" t="str">
        <f t="shared" si="76"/>
        <v/>
      </c>
      <c r="W405" s="526">
        <f>IFERROR(
  IF($F405="Total",
    SUM(INDEX(W:W, ROW()-COUNTIF($F$6:INDEX($F:$F, ROW()-1), $F404)) : INDEX(W:W, ROW()-1)),
    COUNTIFS(
      unit_details[Leased Date], "&gt;="&amp;($AM$2-T$5),
      unit_details[Leased Date], "&lt;"&amp;$AM$2,
      unit_details[Beds], $L405,
      unit_details[Baths], $M405,
      unit_details[Partial Baths], IF(ISNUMBER($N405), $N405, ""),
      unit_details[Sqft],$P405,
      unit_details[Property Name], $F405
    )
  ),
"")</f>
        <v>0</v>
      </c>
      <c r="X405" s="531" t="str">
        <f>IFERROR(
 IF($F405="Total",
   SUMPRODUCT(
   INDEX(X:X, ROW()-COUNTIF($F$6:INDEX($F:$F, ROW()-1), $F404)) : INDEX(X:X, ROW()-1),
   INDEX(AA:AA, ROW()-COUNTIF($F$6:INDEX($F:$F, ROW()-1), $F404)) : INDEX(AA:AA, ROW()-1)
   )
   /SUM(INDEX(AA:AA, ROW()-COUNTIF($F$6:INDEX($F:$F, ROW()-1), $F404)) : INDEX(AA:AA, ROW()-1)),
   AVERAGEIFS(
     INDEX((unit_details[Asking Rent],unit_details[Asking PSF]),0,1,IF($U$3="Chunk Rent",1,2)),
     unit_details[Leased Date],"&gt;="&amp;($AM$2-X$5),
     unit_details[Leased Date],"&lt;"&amp;$AM$2,
     unit_details[Beds],$L405,
     unit_details[Baths],$M405,
     unit_details[Partial Baths],IF(ISNUMBER($N405),$N405,""),
     unit_details[Sqft],$P405,
     unit_details[Property Name],$F405)
 ),"")</f>
        <v/>
      </c>
      <c r="Y405" s="552" t="str">
        <f>IFERROR(
 IF($F405="Total",
   SUMPRODUCT(
   INDEX(Y:Y, ROW()-COUNTIF($F$6:INDEX($F:$F, ROW()-1), $F404)) : INDEX(Y:Y, ROW()-1),
   INDEX(AA:AA, ROW()-COUNTIF($F$6:INDEX($F:$F, ROW()-1), $F404)) : INDEX(AA:AA, ROW()-1)
   )
   /SUM(INDEX(AA:AA, ROW()-COUNTIF($F$6:INDEX($F:$F, ROW()-1), $F404)) : INDEX(AA:AA, ROW()-1)),
   AVERAGEIFS(
     INDEX((unit_details[Effective Rent],unit_details[Effective PSF]),0,1,IF($U$3="Chunk Rent",1,2)),
     unit_details[Leased Date],"&gt;="&amp;($AM$2-X$5),
     unit_details[Leased Date],"&lt;"&amp;$AM$2,
     unit_details[Beds],$L405,
     unit_details[Baths],$M405,
     unit_details[Partial Baths],IF(ISNUMBER($N405),$N405,""),
     unit_details[Sqft],$P405,
     unit_details[Property Name],$F405)
 ),"")</f>
        <v/>
      </c>
      <c r="Z405" s="27" t="str">
        <f t="shared" si="77"/>
        <v/>
      </c>
      <c r="AA405" s="526">
        <f>IFERROR(
  IF($F405="Total",
    SUM(INDEX(AA:AA, ROW()-COUNTIF($F$6:INDEX($F:$F, ROW()-1), $F404)) : INDEX(AA:AA, ROW()-1)),
    COUNTIFS(
      unit_details[Leased Date], "&gt;="&amp;($AM$2-X$5),
      unit_details[Leased Date], "&lt;"&amp;$AM$2,
      unit_details[Beds], $L405,
      unit_details[Baths], $M405,
      unit_details[Partial Baths], IF(ISNUMBER($N405), $N405, ""),
      unit_details[Sqft],$P405,
      unit_details[Property Name], $F405
    )
  ),
"")</f>
        <v>0</v>
      </c>
      <c r="AB405" s="290">
        <f>IF($F405="Total",
SUM(INDEX(AB:AB, ROW()-COUNTIF($F$6:INDEX($F:$F, ROW()-1), $F404)) : INDEX(AB:AB, ROW()-1)),
COUNTIFS(unit_details[Active Listing?],TRUE,
          unit_details[Property Name], $F405,
          unit_details[Beds], $L405,
          unit_details[Baths], $M405,
          unit_details[Partial Baths],IF(ISNUMBER($N405),$N405,""),
          unit_details[Sqft],$P405))</f>
        <v>0</v>
      </c>
      <c r="AC405" s="27" t="str">
        <f t="shared" si="69"/>
        <v/>
      </c>
      <c r="AD405" s="293" t="str">
        <f>IFERROR(IF(AE405="","",IF($F405="Total",
SUMPRODUCT(
   INDEX(AD:AD, ROW()-COUNTIF($F$6:INDEX($F:$F, ROW()-1), $F404)) : INDEX(AD:AD, ROW()-1),
   INDEX(AB:AB, ROW()-COUNTIF($F$6:INDEX($F:$F, ROW()-1), $F404)) : INDEX(AB:AB, ROW()-1)
   )
   /SUM(INDEX(AB:AB, ROW()-COUNTIF($F$6:INDEX($F:$F, ROW()-1), $F404)) : INDEX(AB:AB, ROW()-1)),
          _xlfn.MINIFS(unit_details[Asking Rent],
          unit_details[Active Listing?],TRUE,
          unit_details[Property Name], $F405,
          unit_details[Beds], $L405,
          unit_details[Baths], $M405,
          unit_details[Partial Baths], IF(ISNUMBER($N405),$N405,""),
          unit_details[Sqft],$P405
))),"")</f>
        <v/>
      </c>
      <c r="AE405" s="5" t="str">
        <f>IFERROR(IF($F405="Total",
          SUMPRODUCT(
   INDEX(AE:AE, ROW()-COUNTIF($F$6:INDEX($F:$F, ROW()-1), $F404)) : INDEX(AE:AE, ROW()-1),
   INDEX(AB:AB, ROW()-COUNTIF($F$6:INDEX($F:$F, ROW()-1), $F404)) : INDEX(AB:AB, ROW()-1)
   )
   /SUM(INDEX(AB:AB, ROW()-COUNTIF($F$6:INDEX($F:$F, ROW()-1), $F404)) : INDEX(AB:AB, ROW()-1)),
          AVERAGEIFS(unit_details[Asking Rent],
          unit_details[Active Listing?],TRUE,
          unit_details[Property Name], $F405,
          unit_details[Beds], $L405,
          unit_details[Baths], $M405,
          unit_details[Partial Baths], IF(ISNUMBER($N405),$N405,""),
          unit_details[Sqft],$P405
)),"")</f>
        <v/>
      </c>
      <c r="AF405" s="5" t="str">
        <f>IFERROR(IF(AE405="","",IF($F405="Total",
SUMPRODUCT(
   INDEX(AF:AF, ROW()-COUNTIF($F$6:INDEX($F:$F, ROW()-1), $F404)) : INDEX(AF:AF, ROW()-1),
   INDEX(AB:AB, ROW()-COUNTIF($F$6:INDEX($F:$F, ROW()-1), $F404)) : INDEX(AB:AB, ROW()-1)
   )
   /SUM(INDEX(AB:AB, ROW()-COUNTIF($F$6:INDEX($F:$F, ROW()-1), $F404)) : INDEX(AB:AB, ROW()-1)),
           _xlfn.MAXIFS(unit_details[Asking Rent],
          unit_details[Active Listing?],TRUE,
          unit_details[Property Name], $F405,
          unit_details[Beds], $L405,
          unit_details[Baths], $M405,
          unit_details[Partial Baths], IF(ISNUMBER($N405),$N405,""),
          unit_details[Sqft],$P405
))),"")</f>
        <v/>
      </c>
      <c r="AG405" s="6" t="str">
        <f>IFERROR(IF($F405="Total",
         SUMPRODUCT(
         INDEX(AG:AG, ROW()-COUNTIF($F$6:INDEX($F:$F, ROW()-1), $F404)) : INDEX(AG:AG, ROW()-1),
         INDEX(AB:AB, ROW()-COUNTIF($F$6:INDEX($F:$F, ROW()-1), $F404)) : INDEX(AB:AB, ROW()-1)
         )
         /SUM(INDEX(AB:AB, ROW()-COUNTIF($F$6:INDEX($F:$F, ROW()-1), $F404)) : INDEX(AB:AB, ROW()-1)),
          AVERAGEIFS(unit_details[Asking PSF],
          unit_details[Active Listing?],TRUE,
          unit_details[Property Name], $F405,
          unit_details[Beds], $L405,
          unit_details[Baths], $M405,
          unit_details[Partial Baths], IF(ISNUMBER($N405),$N405,""),
          unit_details[Sqft],$P405
)),"")</f>
        <v/>
      </c>
      <c r="AH405" s="293" t="str">
        <f>IFERROR(IF($F405="Total",
         SUMPRODUCT(
         INDEX(AH:AH, ROW()-COUNTIF($F$6:INDEX($F:$F, ROW()-1), $F404)) : INDEX(AH:AH, ROW()-1),
         INDEX(AB:AB, ROW()-COUNTIF($F$6:INDEX($F:$F, ROW()-1), $F404)) : INDEX(AB:AB, ROW()-1)
         )
         /SUM(INDEX(AB:AB, ROW()-COUNTIF($F$6:INDEX($F:$F, ROW()-1), $F404)) : INDEX(AB:AB, ROW()-1)),
          AVERAGEIFS(unit_details[Effective Rent],
          unit_details[Active Listing?],TRUE,
          unit_details[Property Name], $F405,
          unit_details[Beds], $L405,
          unit_details[Baths], $M405,
          unit_details[Partial Baths], IF(ISNUMBER($N405),$N405,""),
          unit_details[Sqft],$P405
)),"")</f>
        <v/>
      </c>
      <c r="AI405" s="6" t="str">
        <f>IFERROR(IF($F405="Total",
         SUMPRODUCT(
         INDEX(AI:AI, ROW()-COUNTIF($F$6:INDEX($F:$F, ROW()-1), $F404)) : INDEX(AI:AI, ROW()-1),
         INDEX(AB:AB, ROW()-COUNTIF($F$6:INDEX($F:$F, ROW()-1), $F404)) : INDEX(AB:AB, ROW()-1)
         )
         /SUM(INDEX(AB:AB, ROW()-COUNTIF($F$6:INDEX($F:$F, ROW()-1), $F404)) : INDEX(AB:AB, ROW()-1)),
           AVERAGEIFS(unit_details[Effective PSF],
          unit_details[Active Listing?],TRUE,
          unit_details[Property Name], $F405,
          unit_details[Beds], $L405,
          unit_details[Baths], $M405,
          unit_details[Partial Baths], IF(ISNUMBER($N405),$N405,""),
          unit_details[Sqft],$P405
)),"")</f>
        <v/>
      </c>
      <c r="AJ405" s="824" t="str">
        <f t="shared" si="70"/>
        <v/>
      </c>
      <c r="AK405" s="531" t="str">
        <f t="shared" si="71"/>
        <v/>
      </c>
      <c r="AL405" s="714" t="str">
        <f t="shared" si="72"/>
        <v/>
      </c>
      <c r="AM405" s="531" t="str">
        <f t="shared" si="73"/>
        <v/>
      </c>
      <c r="AN405" s="716" t="str">
        <f t="shared" si="74"/>
        <v/>
      </c>
    </row>
    <row r="406" spans="6:40" x14ac:dyDescent="0.2">
      <c r="F406" s="1" t="str">
        <f t="shared" si="67"/>
        <v/>
      </c>
      <c r="G406" s="713" t="str">
        <f t="shared" si="75"/>
        <v/>
      </c>
      <c r="H406" s="17" t="str">
        <f>IFERROR(VLOOKUP($G406,Table1[[Property]:[Exposure %]],4,0),"")</f>
        <v/>
      </c>
      <c r="I406" s="3" t="str">
        <f>IFERROR(VLOOKUP($G406,Table1[[Property]:[Exposure %]],6,0),"")</f>
        <v/>
      </c>
      <c r="J406" s="3" t="str">
        <f>IFERROR(VLOOKUP($G406,Table1[[Property]:[Exposure %]],7,0),"")</f>
        <v/>
      </c>
      <c r="R406" s="4" t="str">
        <f>IFERROR(VLOOKUP(IF(F406="Total",F405,F406),Table1[[Property]:['# Units]],7,0)*S406,"")</f>
        <v/>
      </c>
      <c r="S406" s="27" t="str">
        <f t="shared" si="68"/>
        <v/>
      </c>
      <c r="T406" s="531" t="str">
        <f>IFERROR(
 IF($F406="Total",
   SUMPRODUCT(
   INDEX(T:T, ROW()-COUNTIF($F$6:INDEX($F:$F, ROW()-1), $F405)) : INDEX(T:T, ROW()-1),
   INDEX(W:W, ROW()-COUNTIF($F$6:INDEX($F:$F, ROW()-1), $F405)) : INDEX(W:W, ROW()-1)
   )
   /SUM(INDEX(W:W, ROW()-COUNTIF($F$6:INDEX($F:$F, ROW()-1), $F405)) : INDEX(W:W, ROW()-1)),
   AVERAGEIFS(
     INDEX((unit_details[Asking Rent],unit_details[Asking PSF]),0,1,IF($U$3="Chunk Rent",1,2)),
     unit_details[Leased Date],"&gt;="&amp;($AM$2-T$5),
     unit_details[Leased Date],"&lt;"&amp;$AM$2,
     unit_details[Beds],$L406,
     unit_details[Baths],$M406,
     unit_details[Partial Baths],IF(ISNUMBER($N406),$N406,""),
     unit_details[Sqft],$P406,
     unit_details[Property Name],$F406)
 ),"")</f>
        <v/>
      </c>
      <c r="U406" s="552" t="str">
        <f>IFERROR(
 IF($F406="Total",
   SUMPRODUCT(
   INDEX(U:U, ROW()-COUNTIF($F$6:INDEX($F:$F, ROW()-1), $F405)) : INDEX(U:U, ROW()-1),
   INDEX(W:W, ROW()-COUNTIF($F$6:INDEX($F:$F, ROW()-1), $F405)) : INDEX(W:W, ROW()-1)
   )
   /SUM(INDEX(W:W, ROW()-COUNTIF($F$6:INDEX($F:$F, ROW()-1), $F405)) : INDEX(W:W, ROW()-1)),
   AVERAGEIFS(
     INDEX((unit_details[Effective Rent],unit_details[Effective PSF]),0,1,IF($U$3="Chunk Rent",1,2)),
     unit_details[Leased Date],"&gt;="&amp;($AM$2-T$5),
     unit_details[Leased Date],"&lt;"&amp;$AM$2,
     unit_details[Beds],$L406,
     unit_details[Baths],$M406,
     unit_details[Partial Baths],IF(ISNUMBER($N406),$N406,""),
     unit_details[Sqft],$P406,
     unit_details[Property Name],$F406)
 ),"")</f>
        <v/>
      </c>
      <c r="V406" s="27" t="str">
        <f t="shared" si="76"/>
        <v/>
      </c>
      <c r="W406" s="526">
        <f>IFERROR(
  IF($F406="Total",
    SUM(INDEX(W:W, ROW()-COUNTIF($F$6:INDEX($F:$F, ROW()-1), $F405)) : INDEX(W:W, ROW()-1)),
    COUNTIFS(
      unit_details[Leased Date], "&gt;="&amp;($AM$2-T$5),
      unit_details[Leased Date], "&lt;"&amp;$AM$2,
      unit_details[Beds], $L406,
      unit_details[Baths], $M406,
      unit_details[Partial Baths], IF(ISNUMBER($N406), $N406, ""),
      unit_details[Sqft],$P406,
      unit_details[Property Name], $F406
    )
  ),
"")</f>
        <v>0</v>
      </c>
      <c r="X406" s="531" t="str">
        <f>IFERROR(
 IF($F406="Total",
   SUMPRODUCT(
   INDEX(X:X, ROW()-COUNTIF($F$6:INDEX($F:$F, ROW()-1), $F405)) : INDEX(X:X, ROW()-1),
   INDEX(AA:AA, ROW()-COUNTIF($F$6:INDEX($F:$F, ROW()-1), $F405)) : INDEX(AA:AA, ROW()-1)
   )
   /SUM(INDEX(AA:AA, ROW()-COUNTIF($F$6:INDEX($F:$F, ROW()-1), $F405)) : INDEX(AA:AA, ROW()-1)),
   AVERAGEIFS(
     INDEX((unit_details[Asking Rent],unit_details[Asking PSF]),0,1,IF($U$3="Chunk Rent",1,2)),
     unit_details[Leased Date],"&gt;="&amp;($AM$2-X$5),
     unit_details[Leased Date],"&lt;"&amp;$AM$2,
     unit_details[Beds],$L406,
     unit_details[Baths],$M406,
     unit_details[Partial Baths],IF(ISNUMBER($N406),$N406,""),
     unit_details[Sqft],$P406,
     unit_details[Property Name],$F406)
 ),"")</f>
        <v/>
      </c>
      <c r="Y406" s="552" t="str">
        <f>IFERROR(
 IF($F406="Total",
   SUMPRODUCT(
   INDEX(Y:Y, ROW()-COUNTIF($F$6:INDEX($F:$F, ROW()-1), $F405)) : INDEX(Y:Y, ROW()-1),
   INDEX(AA:AA, ROW()-COUNTIF($F$6:INDEX($F:$F, ROW()-1), $F405)) : INDEX(AA:AA, ROW()-1)
   )
   /SUM(INDEX(AA:AA, ROW()-COUNTIF($F$6:INDEX($F:$F, ROW()-1), $F405)) : INDEX(AA:AA, ROW()-1)),
   AVERAGEIFS(
     INDEX((unit_details[Effective Rent],unit_details[Effective PSF]),0,1,IF($U$3="Chunk Rent",1,2)),
     unit_details[Leased Date],"&gt;="&amp;($AM$2-X$5),
     unit_details[Leased Date],"&lt;"&amp;$AM$2,
     unit_details[Beds],$L406,
     unit_details[Baths],$M406,
     unit_details[Partial Baths],IF(ISNUMBER($N406),$N406,""),
     unit_details[Sqft],$P406,
     unit_details[Property Name],$F406)
 ),"")</f>
        <v/>
      </c>
      <c r="Z406" s="27" t="str">
        <f t="shared" si="77"/>
        <v/>
      </c>
      <c r="AA406" s="526">
        <f>IFERROR(
  IF($F406="Total",
    SUM(INDEX(AA:AA, ROW()-COUNTIF($F$6:INDEX($F:$F, ROW()-1), $F405)) : INDEX(AA:AA, ROW()-1)),
    COUNTIFS(
      unit_details[Leased Date], "&gt;="&amp;($AM$2-X$5),
      unit_details[Leased Date], "&lt;"&amp;$AM$2,
      unit_details[Beds], $L406,
      unit_details[Baths], $M406,
      unit_details[Partial Baths], IF(ISNUMBER($N406), $N406, ""),
      unit_details[Sqft],$P406,
      unit_details[Property Name], $F406
    )
  ),
"")</f>
        <v>0</v>
      </c>
      <c r="AB406" s="290">
        <f>IF($F406="Total",
SUM(INDEX(AB:AB, ROW()-COUNTIF($F$6:INDEX($F:$F, ROW()-1), $F405)) : INDEX(AB:AB, ROW()-1)),
COUNTIFS(unit_details[Active Listing?],TRUE,
          unit_details[Property Name], $F406,
          unit_details[Beds], $L406,
          unit_details[Baths], $M406,
          unit_details[Partial Baths],IF(ISNUMBER($N406),$N406,""),
          unit_details[Sqft],$P406))</f>
        <v>0</v>
      </c>
      <c r="AC406" s="27" t="str">
        <f t="shared" si="69"/>
        <v/>
      </c>
      <c r="AD406" s="293" t="str">
        <f>IFERROR(IF(AE406="","",IF($F406="Total",
SUMPRODUCT(
   INDEX(AD:AD, ROW()-COUNTIF($F$6:INDEX($F:$F, ROW()-1), $F405)) : INDEX(AD:AD, ROW()-1),
   INDEX(AB:AB, ROW()-COUNTIF($F$6:INDEX($F:$F, ROW()-1), $F405)) : INDEX(AB:AB, ROW()-1)
   )
   /SUM(INDEX(AB:AB, ROW()-COUNTIF($F$6:INDEX($F:$F, ROW()-1), $F405)) : INDEX(AB:AB, ROW()-1)),
          _xlfn.MINIFS(unit_details[Asking Rent],
          unit_details[Active Listing?],TRUE,
          unit_details[Property Name], $F406,
          unit_details[Beds], $L406,
          unit_details[Baths], $M406,
          unit_details[Partial Baths], IF(ISNUMBER($N406),$N406,""),
          unit_details[Sqft],$P406
))),"")</f>
        <v/>
      </c>
      <c r="AE406" s="5" t="str">
        <f>IFERROR(IF($F406="Total",
          SUMPRODUCT(
   INDEX(AE:AE, ROW()-COUNTIF($F$6:INDEX($F:$F, ROW()-1), $F405)) : INDEX(AE:AE, ROW()-1),
   INDEX(AB:AB, ROW()-COUNTIF($F$6:INDEX($F:$F, ROW()-1), $F405)) : INDEX(AB:AB, ROW()-1)
   )
   /SUM(INDEX(AB:AB, ROW()-COUNTIF($F$6:INDEX($F:$F, ROW()-1), $F405)) : INDEX(AB:AB, ROW()-1)),
          AVERAGEIFS(unit_details[Asking Rent],
          unit_details[Active Listing?],TRUE,
          unit_details[Property Name], $F406,
          unit_details[Beds], $L406,
          unit_details[Baths], $M406,
          unit_details[Partial Baths], IF(ISNUMBER($N406),$N406,""),
          unit_details[Sqft],$P406
)),"")</f>
        <v/>
      </c>
      <c r="AF406" s="5" t="str">
        <f>IFERROR(IF(AE406="","",IF($F406="Total",
SUMPRODUCT(
   INDEX(AF:AF, ROW()-COUNTIF($F$6:INDEX($F:$F, ROW()-1), $F405)) : INDEX(AF:AF, ROW()-1),
   INDEX(AB:AB, ROW()-COUNTIF($F$6:INDEX($F:$F, ROW()-1), $F405)) : INDEX(AB:AB, ROW()-1)
   )
   /SUM(INDEX(AB:AB, ROW()-COUNTIF($F$6:INDEX($F:$F, ROW()-1), $F405)) : INDEX(AB:AB, ROW()-1)),
           _xlfn.MAXIFS(unit_details[Asking Rent],
          unit_details[Active Listing?],TRUE,
          unit_details[Property Name], $F406,
          unit_details[Beds], $L406,
          unit_details[Baths], $M406,
          unit_details[Partial Baths], IF(ISNUMBER($N406),$N406,""),
          unit_details[Sqft],$P406
))),"")</f>
        <v/>
      </c>
      <c r="AG406" s="6" t="str">
        <f>IFERROR(IF($F406="Total",
         SUMPRODUCT(
         INDEX(AG:AG, ROW()-COUNTIF($F$6:INDEX($F:$F, ROW()-1), $F405)) : INDEX(AG:AG, ROW()-1),
         INDEX(AB:AB, ROW()-COUNTIF($F$6:INDEX($F:$F, ROW()-1), $F405)) : INDEX(AB:AB, ROW()-1)
         )
         /SUM(INDEX(AB:AB, ROW()-COUNTIF($F$6:INDEX($F:$F, ROW()-1), $F405)) : INDEX(AB:AB, ROW()-1)),
          AVERAGEIFS(unit_details[Asking PSF],
          unit_details[Active Listing?],TRUE,
          unit_details[Property Name], $F406,
          unit_details[Beds], $L406,
          unit_details[Baths], $M406,
          unit_details[Partial Baths], IF(ISNUMBER($N406),$N406,""),
          unit_details[Sqft],$P406
)),"")</f>
        <v/>
      </c>
      <c r="AH406" s="293" t="str">
        <f>IFERROR(IF($F406="Total",
         SUMPRODUCT(
         INDEX(AH:AH, ROW()-COUNTIF($F$6:INDEX($F:$F, ROW()-1), $F405)) : INDEX(AH:AH, ROW()-1),
         INDEX(AB:AB, ROW()-COUNTIF($F$6:INDEX($F:$F, ROW()-1), $F405)) : INDEX(AB:AB, ROW()-1)
         )
         /SUM(INDEX(AB:AB, ROW()-COUNTIF($F$6:INDEX($F:$F, ROW()-1), $F405)) : INDEX(AB:AB, ROW()-1)),
          AVERAGEIFS(unit_details[Effective Rent],
          unit_details[Active Listing?],TRUE,
          unit_details[Property Name], $F406,
          unit_details[Beds], $L406,
          unit_details[Baths], $M406,
          unit_details[Partial Baths], IF(ISNUMBER($N406),$N406,""),
          unit_details[Sqft],$P406
)),"")</f>
        <v/>
      </c>
      <c r="AI406" s="6" t="str">
        <f>IFERROR(IF($F406="Total",
         SUMPRODUCT(
         INDEX(AI:AI, ROW()-COUNTIF($F$6:INDEX($F:$F, ROW()-1), $F405)) : INDEX(AI:AI, ROW()-1),
         INDEX(AB:AB, ROW()-COUNTIF($F$6:INDEX($F:$F, ROW()-1), $F405)) : INDEX(AB:AB, ROW()-1)
         )
         /SUM(INDEX(AB:AB, ROW()-COUNTIF($F$6:INDEX($F:$F, ROW()-1), $F405)) : INDEX(AB:AB, ROW()-1)),
           AVERAGEIFS(unit_details[Effective PSF],
          unit_details[Active Listing?],TRUE,
          unit_details[Property Name], $F406,
          unit_details[Beds], $L406,
          unit_details[Baths], $M406,
          unit_details[Partial Baths], IF(ISNUMBER($N406),$N406,""),
          unit_details[Sqft],$P406
)),"")</f>
        <v/>
      </c>
      <c r="AJ406" s="824" t="str">
        <f t="shared" si="70"/>
        <v/>
      </c>
      <c r="AK406" s="531" t="str">
        <f t="shared" si="71"/>
        <v/>
      </c>
      <c r="AL406" s="714" t="str">
        <f t="shared" si="72"/>
        <v/>
      </c>
      <c r="AM406" s="531" t="str">
        <f t="shared" si="73"/>
        <v/>
      </c>
      <c r="AN406" s="716" t="str">
        <f t="shared" si="74"/>
        <v/>
      </c>
    </row>
    <row r="407" spans="6:40" x14ac:dyDescent="0.2">
      <c r="F407" s="1" t="str">
        <f t="shared" si="67"/>
        <v/>
      </c>
      <c r="G407" s="713" t="str">
        <f t="shared" si="75"/>
        <v/>
      </c>
      <c r="H407" s="17" t="str">
        <f>IFERROR(VLOOKUP($G407,Table1[[Property]:[Exposure %]],4,0),"")</f>
        <v/>
      </c>
      <c r="I407" s="3" t="str">
        <f>IFERROR(VLOOKUP($G407,Table1[[Property]:[Exposure %]],6,0),"")</f>
        <v/>
      </c>
      <c r="J407" s="3" t="str">
        <f>IFERROR(VLOOKUP($G407,Table1[[Property]:[Exposure %]],7,0),"")</f>
        <v/>
      </c>
      <c r="R407" s="4" t="str">
        <f>IFERROR(VLOOKUP(IF(F407="Total",F406,F407),Table1[[Property]:['# Units]],7,0)*S407,"")</f>
        <v/>
      </c>
      <c r="S407" s="27" t="str">
        <f t="shared" si="68"/>
        <v/>
      </c>
      <c r="T407" s="531" t="str">
        <f>IFERROR(
 IF($F407="Total",
   SUMPRODUCT(
   INDEX(T:T, ROW()-COUNTIF($F$6:INDEX($F:$F, ROW()-1), $F406)) : INDEX(T:T, ROW()-1),
   INDEX(W:W, ROW()-COUNTIF($F$6:INDEX($F:$F, ROW()-1), $F406)) : INDEX(W:W, ROW()-1)
   )
   /SUM(INDEX(W:W, ROW()-COUNTIF($F$6:INDEX($F:$F, ROW()-1), $F406)) : INDEX(W:W, ROW()-1)),
   AVERAGEIFS(
     INDEX((unit_details[Asking Rent],unit_details[Asking PSF]),0,1,IF($U$3="Chunk Rent",1,2)),
     unit_details[Leased Date],"&gt;="&amp;($AM$2-T$5),
     unit_details[Leased Date],"&lt;"&amp;$AM$2,
     unit_details[Beds],$L407,
     unit_details[Baths],$M407,
     unit_details[Partial Baths],IF(ISNUMBER($N407),$N407,""),
     unit_details[Sqft],$P407,
     unit_details[Property Name],$F407)
 ),"")</f>
        <v/>
      </c>
      <c r="U407" s="552" t="str">
        <f>IFERROR(
 IF($F407="Total",
   SUMPRODUCT(
   INDEX(U:U, ROW()-COUNTIF($F$6:INDEX($F:$F, ROW()-1), $F406)) : INDEX(U:U, ROW()-1),
   INDEX(W:W, ROW()-COUNTIF($F$6:INDEX($F:$F, ROW()-1), $F406)) : INDEX(W:W, ROW()-1)
   )
   /SUM(INDEX(W:W, ROW()-COUNTIF($F$6:INDEX($F:$F, ROW()-1), $F406)) : INDEX(W:W, ROW()-1)),
   AVERAGEIFS(
     INDEX((unit_details[Effective Rent],unit_details[Effective PSF]),0,1,IF($U$3="Chunk Rent",1,2)),
     unit_details[Leased Date],"&gt;="&amp;($AM$2-T$5),
     unit_details[Leased Date],"&lt;"&amp;$AM$2,
     unit_details[Beds],$L407,
     unit_details[Baths],$M407,
     unit_details[Partial Baths],IF(ISNUMBER($N407),$N407,""),
     unit_details[Sqft],$P407,
     unit_details[Property Name],$F407)
 ),"")</f>
        <v/>
      </c>
      <c r="V407" s="27" t="str">
        <f t="shared" si="76"/>
        <v/>
      </c>
      <c r="W407" s="526">
        <f>IFERROR(
  IF($F407="Total",
    SUM(INDEX(W:W, ROW()-COUNTIF($F$6:INDEX($F:$F, ROW()-1), $F406)) : INDEX(W:W, ROW()-1)),
    COUNTIFS(
      unit_details[Leased Date], "&gt;="&amp;($AM$2-T$5),
      unit_details[Leased Date], "&lt;"&amp;$AM$2,
      unit_details[Beds], $L407,
      unit_details[Baths], $M407,
      unit_details[Partial Baths], IF(ISNUMBER($N407), $N407, ""),
      unit_details[Sqft],$P407,
      unit_details[Property Name], $F407
    )
  ),
"")</f>
        <v>0</v>
      </c>
      <c r="X407" s="531" t="str">
        <f>IFERROR(
 IF($F407="Total",
   SUMPRODUCT(
   INDEX(X:X, ROW()-COUNTIF($F$6:INDEX($F:$F, ROW()-1), $F406)) : INDEX(X:X, ROW()-1),
   INDEX(AA:AA, ROW()-COUNTIF($F$6:INDEX($F:$F, ROW()-1), $F406)) : INDEX(AA:AA, ROW()-1)
   )
   /SUM(INDEX(AA:AA, ROW()-COUNTIF($F$6:INDEX($F:$F, ROW()-1), $F406)) : INDEX(AA:AA, ROW()-1)),
   AVERAGEIFS(
     INDEX((unit_details[Asking Rent],unit_details[Asking PSF]),0,1,IF($U$3="Chunk Rent",1,2)),
     unit_details[Leased Date],"&gt;="&amp;($AM$2-X$5),
     unit_details[Leased Date],"&lt;"&amp;$AM$2,
     unit_details[Beds],$L407,
     unit_details[Baths],$M407,
     unit_details[Partial Baths],IF(ISNUMBER($N407),$N407,""),
     unit_details[Sqft],$P407,
     unit_details[Property Name],$F407)
 ),"")</f>
        <v/>
      </c>
      <c r="Y407" s="552" t="str">
        <f>IFERROR(
 IF($F407="Total",
   SUMPRODUCT(
   INDEX(Y:Y, ROW()-COUNTIF($F$6:INDEX($F:$F, ROW()-1), $F406)) : INDEX(Y:Y, ROW()-1),
   INDEX(AA:AA, ROW()-COUNTIF($F$6:INDEX($F:$F, ROW()-1), $F406)) : INDEX(AA:AA, ROW()-1)
   )
   /SUM(INDEX(AA:AA, ROW()-COUNTIF($F$6:INDEX($F:$F, ROW()-1), $F406)) : INDEX(AA:AA, ROW()-1)),
   AVERAGEIFS(
     INDEX((unit_details[Effective Rent],unit_details[Effective PSF]),0,1,IF($U$3="Chunk Rent",1,2)),
     unit_details[Leased Date],"&gt;="&amp;($AM$2-X$5),
     unit_details[Leased Date],"&lt;"&amp;$AM$2,
     unit_details[Beds],$L407,
     unit_details[Baths],$M407,
     unit_details[Partial Baths],IF(ISNUMBER($N407),$N407,""),
     unit_details[Sqft],$P407,
     unit_details[Property Name],$F407)
 ),"")</f>
        <v/>
      </c>
      <c r="Z407" s="27" t="str">
        <f t="shared" si="77"/>
        <v/>
      </c>
      <c r="AA407" s="526">
        <f>IFERROR(
  IF($F407="Total",
    SUM(INDEX(AA:AA, ROW()-COUNTIF($F$6:INDEX($F:$F, ROW()-1), $F406)) : INDEX(AA:AA, ROW()-1)),
    COUNTIFS(
      unit_details[Leased Date], "&gt;="&amp;($AM$2-X$5),
      unit_details[Leased Date], "&lt;"&amp;$AM$2,
      unit_details[Beds], $L407,
      unit_details[Baths], $M407,
      unit_details[Partial Baths], IF(ISNUMBER($N407), $N407, ""),
      unit_details[Sqft],$P407,
      unit_details[Property Name], $F407
    )
  ),
"")</f>
        <v>0</v>
      </c>
      <c r="AB407" s="290">
        <f>IF($F407="Total",
SUM(INDEX(AB:AB, ROW()-COUNTIF($F$6:INDEX($F:$F, ROW()-1), $F406)) : INDEX(AB:AB, ROW()-1)),
COUNTIFS(unit_details[Active Listing?],TRUE,
          unit_details[Property Name], $F407,
          unit_details[Beds], $L407,
          unit_details[Baths], $M407,
          unit_details[Partial Baths],IF(ISNUMBER($N407),$N407,""),
          unit_details[Sqft],$P407))</f>
        <v>0</v>
      </c>
      <c r="AC407" s="27" t="str">
        <f t="shared" si="69"/>
        <v/>
      </c>
      <c r="AD407" s="293" t="str">
        <f>IFERROR(IF(AE407="","",IF($F407="Total",
SUMPRODUCT(
   INDEX(AD:AD, ROW()-COUNTIF($F$6:INDEX($F:$F, ROW()-1), $F406)) : INDEX(AD:AD, ROW()-1),
   INDEX(AB:AB, ROW()-COUNTIF($F$6:INDEX($F:$F, ROW()-1), $F406)) : INDEX(AB:AB, ROW()-1)
   )
   /SUM(INDEX(AB:AB, ROW()-COUNTIF($F$6:INDEX($F:$F, ROW()-1), $F406)) : INDEX(AB:AB, ROW()-1)),
          _xlfn.MINIFS(unit_details[Asking Rent],
          unit_details[Active Listing?],TRUE,
          unit_details[Property Name], $F407,
          unit_details[Beds], $L407,
          unit_details[Baths], $M407,
          unit_details[Partial Baths], IF(ISNUMBER($N407),$N407,""),
          unit_details[Sqft],$P407
))),"")</f>
        <v/>
      </c>
      <c r="AE407" s="5" t="str">
        <f>IFERROR(IF($F407="Total",
          SUMPRODUCT(
   INDEX(AE:AE, ROW()-COUNTIF($F$6:INDEX($F:$F, ROW()-1), $F406)) : INDEX(AE:AE, ROW()-1),
   INDEX(AB:AB, ROW()-COUNTIF($F$6:INDEX($F:$F, ROW()-1), $F406)) : INDEX(AB:AB, ROW()-1)
   )
   /SUM(INDEX(AB:AB, ROW()-COUNTIF($F$6:INDEX($F:$F, ROW()-1), $F406)) : INDEX(AB:AB, ROW()-1)),
          AVERAGEIFS(unit_details[Asking Rent],
          unit_details[Active Listing?],TRUE,
          unit_details[Property Name], $F407,
          unit_details[Beds], $L407,
          unit_details[Baths], $M407,
          unit_details[Partial Baths], IF(ISNUMBER($N407),$N407,""),
          unit_details[Sqft],$P407
)),"")</f>
        <v/>
      </c>
      <c r="AF407" s="5" t="str">
        <f>IFERROR(IF(AE407="","",IF($F407="Total",
SUMPRODUCT(
   INDEX(AF:AF, ROW()-COUNTIF($F$6:INDEX($F:$F, ROW()-1), $F406)) : INDEX(AF:AF, ROW()-1),
   INDEX(AB:AB, ROW()-COUNTIF($F$6:INDEX($F:$F, ROW()-1), $F406)) : INDEX(AB:AB, ROW()-1)
   )
   /SUM(INDEX(AB:AB, ROW()-COUNTIF($F$6:INDEX($F:$F, ROW()-1), $F406)) : INDEX(AB:AB, ROW()-1)),
           _xlfn.MAXIFS(unit_details[Asking Rent],
          unit_details[Active Listing?],TRUE,
          unit_details[Property Name], $F407,
          unit_details[Beds], $L407,
          unit_details[Baths], $M407,
          unit_details[Partial Baths], IF(ISNUMBER($N407),$N407,""),
          unit_details[Sqft],$P407
))),"")</f>
        <v/>
      </c>
      <c r="AG407" s="6" t="str">
        <f>IFERROR(IF($F407="Total",
         SUMPRODUCT(
         INDEX(AG:AG, ROW()-COUNTIF($F$6:INDEX($F:$F, ROW()-1), $F406)) : INDEX(AG:AG, ROW()-1),
         INDEX(AB:AB, ROW()-COUNTIF($F$6:INDEX($F:$F, ROW()-1), $F406)) : INDEX(AB:AB, ROW()-1)
         )
         /SUM(INDEX(AB:AB, ROW()-COUNTIF($F$6:INDEX($F:$F, ROW()-1), $F406)) : INDEX(AB:AB, ROW()-1)),
          AVERAGEIFS(unit_details[Asking PSF],
          unit_details[Active Listing?],TRUE,
          unit_details[Property Name], $F407,
          unit_details[Beds], $L407,
          unit_details[Baths], $M407,
          unit_details[Partial Baths], IF(ISNUMBER($N407),$N407,""),
          unit_details[Sqft],$P407
)),"")</f>
        <v/>
      </c>
      <c r="AH407" s="293" t="str">
        <f>IFERROR(IF($F407="Total",
         SUMPRODUCT(
         INDEX(AH:AH, ROW()-COUNTIF($F$6:INDEX($F:$F, ROW()-1), $F406)) : INDEX(AH:AH, ROW()-1),
         INDEX(AB:AB, ROW()-COUNTIF($F$6:INDEX($F:$F, ROW()-1), $F406)) : INDEX(AB:AB, ROW()-1)
         )
         /SUM(INDEX(AB:AB, ROW()-COUNTIF($F$6:INDEX($F:$F, ROW()-1), $F406)) : INDEX(AB:AB, ROW()-1)),
          AVERAGEIFS(unit_details[Effective Rent],
          unit_details[Active Listing?],TRUE,
          unit_details[Property Name], $F407,
          unit_details[Beds], $L407,
          unit_details[Baths], $M407,
          unit_details[Partial Baths], IF(ISNUMBER($N407),$N407,""),
          unit_details[Sqft],$P407
)),"")</f>
        <v/>
      </c>
      <c r="AI407" s="6" t="str">
        <f>IFERROR(IF($F407="Total",
         SUMPRODUCT(
         INDEX(AI:AI, ROW()-COUNTIF($F$6:INDEX($F:$F, ROW()-1), $F406)) : INDEX(AI:AI, ROW()-1),
         INDEX(AB:AB, ROW()-COUNTIF($F$6:INDEX($F:$F, ROW()-1), $F406)) : INDEX(AB:AB, ROW()-1)
         )
         /SUM(INDEX(AB:AB, ROW()-COUNTIF($F$6:INDEX($F:$F, ROW()-1), $F406)) : INDEX(AB:AB, ROW()-1)),
           AVERAGEIFS(unit_details[Effective PSF],
          unit_details[Active Listing?],TRUE,
          unit_details[Property Name], $F407,
          unit_details[Beds], $L407,
          unit_details[Baths], $M407,
          unit_details[Partial Baths], IF(ISNUMBER($N407),$N407,""),
          unit_details[Sqft],$P407
)),"")</f>
        <v/>
      </c>
      <c r="AJ407" s="824" t="str">
        <f t="shared" si="70"/>
        <v/>
      </c>
      <c r="AK407" s="531" t="str">
        <f t="shared" si="71"/>
        <v/>
      </c>
      <c r="AL407" s="714" t="str">
        <f t="shared" si="72"/>
        <v/>
      </c>
      <c r="AM407" s="531" t="str">
        <f t="shared" si="73"/>
        <v/>
      </c>
      <c r="AN407" s="716" t="str">
        <f t="shared" si="74"/>
        <v/>
      </c>
    </row>
    <row r="408" spans="6:40" x14ac:dyDescent="0.2">
      <c r="F408" s="1" t="str">
        <f t="shared" si="67"/>
        <v/>
      </c>
      <c r="G408" s="713" t="str">
        <f t="shared" si="75"/>
        <v/>
      </c>
      <c r="H408" s="17" t="str">
        <f>IFERROR(VLOOKUP($G408,Table1[[Property]:[Exposure %]],4,0),"")</f>
        <v/>
      </c>
      <c r="I408" s="3" t="str">
        <f>IFERROR(VLOOKUP($G408,Table1[[Property]:[Exposure %]],6,0),"")</f>
        <v/>
      </c>
      <c r="J408" s="3" t="str">
        <f>IFERROR(VLOOKUP($G408,Table1[[Property]:[Exposure %]],7,0),"")</f>
        <v/>
      </c>
      <c r="R408" s="4" t="str">
        <f>IFERROR(VLOOKUP(IF(F408="Total",F407,F408),Table1[[Property]:['# Units]],7,0)*S408,"")</f>
        <v/>
      </c>
      <c r="S408" s="27" t="str">
        <f t="shared" si="68"/>
        <v/>
      </c>
      <c r="T408" s="531" t="str">
        <f>IFERROR(
 IF($F408="Total",
   SUMPRODUCT(
   INDEX(T:T, ROW()-COUNTIF($F$6:INDEX($F:$F, ROW()-1), $F407)) : INDEX(T:T, ROW()-1),
   INDEX(W:W, ROW()-COUNTIF($F$6:INDEX($F:$F, ROW()-1), $F407)) : INDEX(W:W, ROW()-1)
   )
   /SUM(INDEX(W:W, ROW()-COUNTIF($F$6:INDEX($F:$F, ROW()-1), $F407)) : INDEX(W:W, ROW()-1)),
   AVERAGEIFS(
     INDEX((unit_details[Asking Rent],unit_details[Asking PSF]),0,1,IF($U$3="Chunk Rent",1,2)),
     unit_details[Leased Date],"&gt;="&amp;($AM$2-T$5),
     unit_details[Leased Date],"&lt;"&amp;$AM$2,
     unit_details[Beds],$L408,
     unit_details[Baths],$M408,
     unit_details[Partial Baths],IF(ISNUMBER($N408),$N408,""),
     unit_details[Sqft],$P408,
     unit_details[Property Name],$F408)
 ),"")</f>
        <v/>
      </c>
      <c r="U408" s="552" t="str">
        <f>IFERROR(
 IF($F408="Total",
   SUMPRODUCT(
   INDEX(U:U, ROW()-COUNTIF($F$6:INDEX($F:$F, ROW()-1), $F407)) : INDEX(U:U, ROW()-1),
   INDEX(W:W, ROW()-COUNTIF($F$6:INDEX($F:$F, ROW()-1), $F407)) : INDEX(W:W, ROW()-1)
   )
   /SUM(INDEX(W:W, ROW()-COUNTIF($F$6:INDEX($F:$F, ROW()-1), $F407)) : INDEX(W:W, ROW()-1)),
   AVERAGEIFS(
     INDEX((unit_details[Effective Rent],unit_details[Effective PSF]),0,1,IF($U$3="Chunk Rent",1,2)),
     unit_details[Leased Date],"&gt;="&amp;($AM$2-T$5),
     unit_details[Leased Date],"&lt;"&amp;$AM$2,
     unit_details[Beds],$L408,
     unit_details[Baths],$M408,
     unit_details[Partial Baths],IF(ISNUMBER($N408),$N408,""),
     unit_details[Sqft],$P408,
     unit_details[Property Name],$F408)
 ),"")</f>
        <v/>
      </c>
      <c r="V408" s="27" t="str">
        <f t="shared" si="76"/>
        <v/>
      </c>
      <c r="W408" s="526">
        <f>IFERROR(
  IF($F408="Total",
    SUM(INDEX(W:W, ROW()-COUNTIF($F$6:INDEX($F:$F, ROW()-1), $F407)) : INDEX(W:W, ROW()-1)),
    COUNTIFS(
      unit_details[Leased Date], "&gt;="&amp;($AM$2-T$5),
      unit_details[Leased Date], "&lt;"&amp;$AM$2,
      unit_details[Beds], $L408,
      unit_details[Baths], $M408,
      unit_details[Partial Baths], IF(ISNUMBER($N408), $N408, ""),
      unit_details[Sqft],$P408,
      unit_details[Property Name], $F408
    )
  ),
"")</f>
        <v>0</v>
      </c>
      <c r="X408" s="531" t="str">
        <f>IFERROR(
 IF($F408="Total",
   SUMPRODUCT(
   INDEX(X:X, ROW()-COUNTIF($F$6:INDEX($F:$F, ROW()-1), $F407)) : INDEX(X:X, ROW()-1),
   INDEX(AA:AA, ROW()-COUNTIF($F$6:INDEX($F:$F, ROW()-1), $F407)) : INDEX(AA:AA, ROW()-1)
   )
   /SUM(INDEX(AA:AA, ROW()-COUNTIF($F$6:INDEX($F:$F, ROW()-1), $F407)) : INDEX(AA:AA, ROW()-1)),
   AVERAGEIFS(
     INDEX((unit_details[Asking Rent],unit_details[Asking PSF]),0,1,IF($U$3="Chunk Rent",1,2)),
     unit_details[Leased Date],"&gt;="&amp;($AM$2-X$5),
     unit_details[Leased Date],"&lt;"&amp;$AM$2,
     unit_details[Beds],$L408,
     unit_details[Baths],$M408,
     unit_details[Partial Baths],IF(ISNUMBER($N408),$N408,""),
     unit_details[Sqft],$P408,
     unit_details[Property Name],$F408)
 ),"")</f>
        <v/>
      </c>
      <c r="Y408" s="552" t="str">
        <f>IFERROR(
 IF($F408="Total",
   SUMPRODUCT(
   INDEX(Y:Y, ROW()-COUNTIF($F$6:INDEX($F:$F, ROW()-1), $F407)) : INDEX(Y:Y, ROW()-1),
   INDEX(AA:AA, ROW()-COUNTIF($F$6:INDEX($F:$F, ROW()-1), $F407)) : INDEX(AA:AA, ROW()-1)
   )
   /SUM(INDEX(AA:AA, ROW()-COUNTIF($F$6:INDEX($F:$F, ROW()-1), $F407)) : INDEX(AA:AA, ROW()-1)),
   AVERAGEIFS(
     INDEX((unit_details[Effective Rent],unit_details[Effective PSF]),0,1,IF($U$3="Chunk Rent",1,2)),
     unit_details[Leased Date],"&gt;="&amp;($AM$2-X$5),
     unit_details[Leased Date],"&lt;"&amp;$AM$2,
     unit_details[Beds],$L408,
     unit_details[Baths],$M408,
     unit_details[Partial Baths],IF(ISNUMBER($N408),$N408,""),
     unit_details[Sqft],$P408,
     unit_details[Property Name],$F408)
 ),"")</f>
        <v/>
      </c>
      <c r="Z408" s="27" t="str">
        <f t="shared" si="77"/>
        <v/>
      </c>
      <c r="AA408" s="526">
        <f>IFERROR(
  IF($F408="Total",
    SUM(INDEX(AA:AA, ROW()-COUNTIF($F$6:INDEX($F:$F, ROW()-1), $F407)) : INDEX(AA:AA, ROW()-1)),
    COUNTIFS(
      unit_details[Leased Date], "&gt;="&amp;($AM$2-X$5),
      unit_details[Leased Date], "&lt;"&amp;$AM$2,
      unit_details[Beds], $L408,
      unit_details[Baths], $M408,
      unit_details[Partial Baths], IF(ISNUMBER($N408), $N408, ""),
      unit_details[Sqft],$P408,
      unit_details[Property Name], $F408
    )
  ),
"")</f>
        <v>0</v>
      </c>
      <c r="AB408" s="290">
        <f>IF($F408="Total",
SUM(INDEX(AB:AB, ROW()-COUNTIF($F$6:INDEX($F:$F, ROW()-1), $F407)) : INDEX(AB:AB, ROW()-1)),
COUNTIFS(unit_details[Active Listing?],TRUE,
          unit_details[Property Name], $F408,
          unit_details[Beds], $L408,
          unit_details[Baths], $M408,
          unit_details[Partial Baths],IF(ISNUMBER($N408),$N408,""),
          unit_details[Sqft],$P408))</f>
        <v>0</v>
      </c>
      <c r="AC408" s="27" t="str">
        <f t="shared" si="69"/>
        <v/>
      </c>
      <c r="AD408" s="293" t="str">
        <f>IFERROR(IF(AE408="","",IF($F408="Total",
SUMPRODUCT(
   INDEX(AD:AD, ROW()-COUNTIF($F$6:INDEX($F:$F, ROW()-1), $F407)) : INDEX(AD:AD, ROW()-1),
   INDEX(AB:AB, ROW()-COUNTIF($F$6:INDEX($F:$F, ROW()-1), $F407)) : INDEX(AB:AB, ROW()-1)
   )
   /SUM(INDEX(AB:AB, ROW()-COUNTIF($F$6:INDEX($F:$F, ROW()-1), $F407)) : INDEX(AB:AB, ROW()-1)),
          _xlfn.MINIFS(unit_details[Asking Rent],
          unit_details[Active Listing?],TRUE,
          unit_details[Property Name], $F408,
          unit_details[Beds], $L408,
          unit_details[Baths], $M408,
          unit_details[Partial Baths], IF(ISNUMBER($N408),$N408,""),
          unit_details[Sqft],$P408
))),"")</f>
        <v/>
      </c>
      <c r="AE408" s="5" t="str">
        <f>IFERROR(IF($F408="Total",
          SUMPRODUCT(
   INDEX(AE:AE, ROW()-COUNTIF($F$6:INDEX($F:$F, ROW()-1), $F407)) : INDEX(AE:AE, ROW()-1),
   INDEX(AB:AB, ROW()-COUNTIF($F$6:INDEX($F:$F, ROW()-1), $F407)) : INDEX(AB:AB, ROW()-1)
   )
   /SUM(INDEX(AB:AB, ROW()-COUNTIF($F$6:INDEX($F:$F, ROW()-1), $F407)) : INDEX(AB:AB, ROW()-1)),
          AVERAGEIFS(unit_details[Asking Rent],
          unit_details[Active Listing?],TRUE,
          unit_details[Property Name], $F408,
          unit_details[Beds], $L408,
          unit_details[Baths], $M408,
          unit_details[Partial Baths], IF(ISNUMBER($N408),$N408,""),
          unit_details[Sqft],$P408
)),"")</f>
        <v/>
      </c>
      <c r="AF408" s="5" t="str">
        <f>IFERROR(IF(AE408="","",IF($F408="Total",
SUMPRODUCT(
   INDEX(AF:AF, ROW()-COUNTIF($F$6:INDEX($F:$F, ROW()-1), $F407)) : INDEX(AF:AF, ROW()-1),
   INDEX(AB:AB, ROW()-COUNTIF($F$6:INDEX($F:$F, ROW()-1), $F407)) : INDEX(AB:AB, ROW()-1)
   )
   /SUM(INDEX(AB:AB, ROW()-COUNTIF($F$6:INDEX($F:$F, ROW()-1), $F407)) : INDEX(AB:AB, ROW()-1)),
           _xlfn.MAXIFS(unit_details[Asking Rent],
          unit_details[Active Listing?],TRUE,
          unit_details[Property Name], $F408,
          unit_details[Beds], $L408,
          unit_details[Baths], $M408,
          unit_details[Partial Baths], IF(ISNUMBER($N408),$N408,""),
          unit_details[Sqft],$P408
))),"")</f>
        <v/>
      </c>
      <c r="AG408" s="6" t="str">
        <f>IFERROR(IF($F408="Total",
         SUMPRODUCT(
         INDEX(AG:AG, ROW()-COUNTIF($F$6:INDEX($F:$F, ROW()-1), $F407)) : INDEX(AG:AG, ROW()-1),
         INDEX(AB:AB, ROW()-COUNTIF($F$6:INDEX($F:$F, ROW()-1), $F407)) : INDEX(AB:AB, ROW()-1)
         )
         /SUM(INDEX(AB:AB, ROW()-COUNTIF($F$6:INDEX($F:$F, ROW()-1), $F407)) : INDEX(AB:AB, ROW()-1)),
          AVERAGEIFS(unit_details[Asking PSF],
          unit_details[Active Listing?],TRUE,
          unit_details[Property Name], $F408,
          unit_details[Beds], $L408,
          unit_details[Baths], $M408,
          unit_details[Partial Baths], IF(ISNUMBER($N408),$N408,""),
          unit_details[Sqft],$P408
)),"")</f>
        <v/>
      </c>
      <c r="AH408" s="293" t="str">
        <f>IFERROR(IF($F408="Total",
         SUMPRODUCT(
         INDEX(AH:AH, ROW()-COUNTIF($F$6:INDEX($F:$F, ROW()-1), $F407)) : INDEX(AH:AH, ROW()-1),
         INDEX(AB:AB, ROW()-COUNTIF($F$6:INDEX($F:$F, ROW()-1), $F407)) : INDEX(AB:AB, ROW()-1)
         )
         /SUM(INDEX(AB:AB, ROW()-COUNTIF($F$6:INDEX($F:$F, ROW()-1), $F407)) : INDEX(AB:AB, ROW()-1)),
          AVERAGEIFS(unit_details[Effective Rent],
          unit_details[Active Listing?],TRUE,
          unit_details[Property Name], $F408,
          unit_details[Beds], $L408,
          unit_details[Baths], $M408,
          unit_details[Partial Baths], IF(ISNUMBER($N408),$N408,""),
          unit_details[Sqft],$P408
)),"")</f>
        <v/>
      </c>
      <c r="AI408" s="6" t="str">
        <f>IFERROR(IF($F408="Total",
         SUMPRODUCT(
         INDEX(AI:AI, ROW()-COUNTIF($F$6:INDEX($F:$F, ROW()-1), $F407)) : INDEX(AI:AI, ROW()-1),
         INDEX(AB:AB, ROW()-COUNTIF($F$6:INDEX($F:$F, ROW()-1), $F407)) : INDEX(AB:AB, ROW()-1)
         )
         /SUM(INDEX(AB:AB, ROW()-COUNTIF($F$6:INDEX($F:$F, ROW()-1), $F407)) : INDEX(AB:AB, ROW()-1)),
           AVERAGEIFS(unit_details[Effective PSF],
          unit_details[Active Listing?],TRUE,
          unit_details[Property Name], $F408,
          unit_details[Beds], $L408,
          unit_details[Baths], $M408,
          unit_details[Partial Baths], IF(ISNUMBER($N408),$N408,""),
          unit_details[Sqft],$P408
)),"")</f>
        <v/>
      </c>
      <c r="AJ408" s="824" t="str">
        <f t="shared" si="70"/>
        <v/>
      </c>
      <c r="AK408" s="531" t="str">
        <f t="shared" si="71"/>
        <v/>
      </c>
      <c r="AL408" s="714" t="str">
        <f t="shared" si="72"/>
        <v/>
      </c>
      <c r="AM408" s="531" t="str">
        <f t="shared" si="73"/>
        <v/>
      </c>
      <c r="AN408" s="716" t="str">
        <f t="shared" si="74"/>
        <v/>
      </c>
    </row>
    <row r="409" spans="6:40" x14ac:dyDescent="0.2">
      <c r="F409" s="1" t="str">
        <f t="shared" si="67"/>
        <v/>
      </c>
      <c r="G409" s="713" t="str">
        <f t="shared" si="75"/>
        <v/>
      </c>
      <c r="H409" s="17" t="str">
        <f>IFERROR(VLOOKUP($G409,Table1[[Property]:[Exposure %]],4,0),"")</f>
        <v/>
      </c>
      <c r="I409" s="3" t="str">
        <f>IFERROR(VLOOKUP($G409,Table1[[Property]:[Exposure %]],6,0),"")</f>
        <v/>
      </c>
      <c r="J409" s="3" t="str">
        <f>IFERROR(VLOOKUP($G409,Table1[[Property]:[Exposure %]],7,0),"")</f>
        <v/>
      </c>
      <c r="R409" s="4" t="str">
        <f>IFERROR(VLOOKUP(IF(F409="Total",F408,F409),Table1[[Property]:['# Units]],7,0)*S409,"")</f>
        <v/>
      </c>
      <c r="S409" s="27" t="str">
        <f t="shared" si="68"/>
        <v/>
      </c>
      <c r="T409" s="531" t="str">
        <f>IFERROR(
 IF($F409="Total",
   SUMPRODUCT(
   INDEX(T:T, ROW()-COUNTIF($F$6:INDEX($F:$F, ROW()-1), $F408)) : INDEX(T:T, ROW()-1),
   INDEX(W:W, ROW()-COUNTIF($F$6:INDEX($F:$F, ROW()-1), $F408)) : INDEX(W:W, ROW()-1)
   )
   /SUM(INDEX(W:W, ROW()-COUNTIF($F$6:INDEX($F:$F, ROW()-1), $F408)) : INDEX(W:W, ROW()-1)),
   AVERAGEIFS(
     INDEX((unit_details[Asking Rent],unit_details[Asking PSF]),0,1,IF($U$3="Chunk Rent",1,2)),
     unit_details[Leased Date],"&gt;="&amp;($AM$2-T$5),
     unit_details[Leased Date],"&lt;"&amp;$AM$2,
     unit_details[Beds],$L409,
     unit_details[Baths],$M409,
     unit_details[Partial Baths],IF(ISNUMBER($N409),$N409,""),
     unit_details[Sqft],$P409,
     unit_details[Property Name],$F409)
 ),"")</f>
        <v/>
      </c>
      <c r="U409" s="552" t="str">
        <f>IFERROR(
 IF($F409="Total",
   SUMPRODUCT(
   INDEX(U:U, ROW()-COUNTIF($F$6:INDEX($F:$F, ROW()-1), $F408)) : INDEX(U:U, ROW()-1),
   INDEX(W:W, ROW()-COUNTIF($F$6:INDEX($F:$F, ROW()-1), $F408)) : INDEX(W:W, ROW()-1)
   )
   /SUM(INDEX(W:W, ROW()-COUNTIF($F$6:INDEX($F:$F, ROW()-1), $F408)) : INDEX(W:W, ROW()-1)),
   AVERAGEIFS(
     INDEX((unit_details[Effective Rent],unit_details[Effective PSF]),0,1,IF($U$3="Chunk Rent",1,2)),
     unit_details[Leased Date],"&gt;="&amp;($AM$2-T$5),
     unit_details[Leased Date],"&lt;"&amp;$AM$2,
     unit_details[Beds],$L409,
     unit_details[Baths],$M409,
     unit_details[Partial Baths],IF(ISNUMBER($N409),$N409,""),
     unit_details[Sqft],$P409,
     unit_details[Property Name],$F409)
 ),"")</f>
        <v/>
      </c>
      <c r="V409" s="27" t="str">
        <f t="shared" si="76"/>
        <v/>
      </c>
      <c r="W409" s="526">
        <f>IFERROR(
  IF($F409="Total",
    SUM(INDEX(W:W, ROW()-COUNTIF($F$6:INDEX($F:$F, ROW()-1), $F408)) : INDEX(W:W, ROW()-1)),
    COUNTIFS(
      unit_details[Leased Date], "&gt;="&amp;($AM$2-T$5),
      unit_details[Leased Date], "&lt;"&amp;$AM$2,
      unit_details[Beds], $L409,
      unit_details[Baths], $M409,
      unit_details[Partial Baths], IF(ISNUMBER($N409), $N409, ""),
      unit_details[Sqft],$P409,
      unit_details[Property Name], $F409
    )
  ),
"")</f>
        <v>0</v>
      </c>
      <c r="X409" s="531" t="str">
        <f>IFERROR(
 IF($F409="Total",
   SUMPRODUCT(
   INDEX(X:X, ROW()-COUNTIF($F$6:INDEX($F:$F, ROW()-1), $F408)) : INDEX(X:X, ROW()-1),
   INDEX(AA:AA, ROW()-COUNTIF($F$6:INDEX($F:$F, ROW()-1), $F408)) : INDEX(AA:AA, ROW()-1)
   )
   /SUM(INDEX(AA:AA, ROW()-COUNTIF($F$6:INDEX($F:$F, ROW()-1), $F408)) : INDEX(AA:AA, ROW()-1)),
   AVERAGEIFS(
     INDEX((unit_details[Asking Rent],unit_details[Asking PSF]),0,1,IF($U$3="Chunk Rent",1,2)),
     unit_details[Leased Date],"&gt;="&amp;($AM$2-X$5),
     unit_details[Leased Date],"&lt;"&amp;$AM$2,
     unit_details[Beds],$L409,
     unit_details[Baths],$M409,
     unit_details[Partial Baths],IF(ISNUMBER($N409),$N409,""),
     unit_details[Sqft],$P409,
     unit_details[Property Name],$F409)
 ),"")</f>
        <v/>
      </c>
      <c r="Y409" s="552" t="str">
        <f>IFERROR(
 IF($F409="Total",
   SUMPRODUCT(
   INDEX(Y:Y, ROW()-COUNTIF($F$6:INDEX($F:$F, ROW()-1), $F408)) : INDEX(Y:Y, ROW()-1),
   INDEX(AA:AA, ROW()-COUNTIF($F$6:INDEX($F:$F, ROW()-1), $F408)) : INDEX(AA:AA, ROW()-1)
   )
   /SUM(INDEX(AA:AA, ROW()-COUNTIF($F$6:INDEX($F:$F, ROW()-1), $F408)) : INDEX(AA:AA, ROW()-1)),
   AVERAGEIFS(
     INDEX((unit_details[Effective Rent],unit_details[Effective PSF]),0,1,IF($U$3="Chunk Rent",1,2)),
     unit_details[Leased Date],"&gt;="&amp;($AM$2-X$5),
     unit_details[Leased Date],"&lt;"&amp;$AM$2,
     unit_details[Beds],$L409,
     unit_details[Baths],$M409,
     unit_details[Partial Baths],IF(ISNUMBER($N409),$N409,""),
     unit_details[Sqft],$P409,
     unit_details[Property Name],$F409)
 ),"")</f>
        <v/>
      </c>
      <c r="Z409" s="27" t="str">
        <f t="shared" si="77"/>
        <v/>
      </c>
      <c r="AA409" s="526">
        <f>IFERROR(
  IF($F409="Total",
    SUM(INDEX(AA:AA, ROW()-COUNTIF($F$6:INDEX($F:$F, ROW()-1), $F408)) : INDEX(AA:AA, ROW()-1)),
    COUNTIFS(
      unit_details[Leased Date], "&gt;="&amp;($AM$2-X$5),
      unit_details[Leased Date], "&lt;"&amp;$AM$2,
      unit_details[Beds], $L409,
      unit_details[Baths], $M409,
      unit_details[Partial Baths], IF(ISNUMBER($N409), $N409, ""),
      unit_details[Sqft],$P409,
      unit_details[Property Name], $F409
    )
  ),
"")</f>
        <v>0</v>
      </c>
      <c r="AB409" s="290">
        <f>IF($F409="Total",
SUM(INDEX(AB:AB, ROW()-COUNTIF($F$6:INDEX($F:$F, ROW()-1), $F408)) : INDEX(AB:AB, ROW()-1)),
COUNTIFS(unit_details[Active Listing?],TRUE,
          unit_details[Property Name], $F409,
          unit_details[Beds], $L409,
          unit_details[Baths], $M409,
          unit_details[Partial Baths],IF(ISNUMBER($N409),$N409,""),
          unit_details[Sqft],$P409))</f>
        <v>0</v>
      </c>
      <c r="AC409" s="27" t="str">
        <f t="shared" si="69"/>
        <v/>
      </c>
      <c r="AD409" s="293" t="str">
        <f>IFERROR(IF(AE409="","",IF($F409="Total",
SUMPRODUCT(
   INDEX(AD:AD, ROW()-COUNTIF($F$6:INDEX($F:$F, ROW()-1), $F408)) : INDEX(AD:AD, ROW()-1),
   INDEX(AB:AB, ROW()-COUNTIF($F$6:INDEX($F:$F, ROW()-1), $F408)) : INDEX(AB:AB, ROW()-1)
   )
   /SUM(INDEX(AB:AB, ROW()-COUNTIF($F$6:INDEX($F:$F, ROW()-1), $F408)) : INDEX(AB:AB, ROW()-1)),
          _xlfn.MINIFS(unit_details[Asking Rent],
          unit_details[Active Listing?],TRUE,
          unit_details[Property Name], $F409,
          unit_details[Beds], $L409,
          unit_details[Baths], $M409,
          unit_details[Partial Baths], IF(ISNUMBER($N409),$N409,""),
          unit_details[Sqft],$P409
))),"")</f>
        <v/>
      </c>
      <c r="AE409" s="5" t="str">
        <f>IFERROR(IF($F409="Total",
          SUMPRODUCT(
   INDEX(AE:AE, ROW()-COUNTIF($F$6:INDEX($F:$F, ROW()-1), $F408)) : INDEX(AE:AE, ROW()-1),
   INDEX(AB:AB, ROW()-COUNTIF($F$6:INDEX($F:$F, ROW()-1), $F408)) : INDEX(AB:AB, ROW()-1)
   )
   /SUM(INDEX(AB:AB, ROW()-COUNTIF($F$6:INDEX($F:$F, ROW()-1), $F408)) : INDEX(AB:AB, ROW()-1)),
          AVERAGEIFS(unit_details[Asking Rent],
          unit_details[Active Listing?],TRUE,
          unit_details[Property Name], $F409,
          unit_details[Beds], $L409,
          unit_details[Baths], $M409,
          unit_details[Partial Baths], IF(ISNUMBER($N409),$N409,""),
          unit_details[Sqft],$P409
)),"")</f>
        <v/>
      </c>
      <c r="AF409" s="5" t="str">
        <f>IFERROR(IF(AE409="","",IF($F409="Total",
SUMPRODUCT(
   INDEX(AF:AF, ROW()-COUNTIF($F$6:INDEX($F:$F, ROW()-1), $F408)) : INDEX(AF:AF, ROW()-1),
   INDEX(AB:AB, ROW()-COUNTIF($F$6:INDEX($F:$F, ROW()-1), $F408)) : INDEX(AB:AB, ROW()-1)
   )
   /SUM(INDEX(AB:AB, ROW()-COUNTIF($F$6:INDEX($F:$F, ROW()-1), $F408)) : INDEX(AB:AB, ROW()-1)),
           _xlfn.MAXIFS(unit_details[Asking Rent],
          unit_details[Active Listing?],TRUE,
          unit_details[Property Name], $F409,
          unit_details[Beds], $L409,
          unit_details[Baths], $M409,
          unit_details[Partial Baths], IF(ISNUMBER($N409),$N409,""),
          unit_details[Sqft],$P409
))),"")</f>
        <v/>
      </c>
      <c r="AG409" s="6" t="str">
        <f>IFERROR(IF($F409="Total",
         SUMPRODUCT(
         INDEX(AG:AG, ROW()-COUNTIF($F$6:INDEX($F:$F, ROW()-1), $F408)) : INDEX(AG:AG, ROW()-1),
         INDEX(AB:AB, ROW()-COUNTIF($F$6:INDEX($F:$F, ROW()-1), $F408)) : INDEX(AB:AB, ROW()-1)
         )
         /SUM(INDEX(AB:AB, ROW()-COUNTIF($F$6:INDEX($F:$F, ROW()-1), $F408)) : INDEX(AB:AB, ROW()-1)),
          AVERAGEIFS(unit_details[Asking PSF],
          unit_details[Active Listing?],TRUE,
          unit_details[Property Name], $F409,
          unit_details[Beds], $L409,
          unit_details[Baths], $M409,
          unit_details[Partial Baths], IF(ISNUMBER($N409),$N409,""),
          unit_details[Sqft],$P409
)),"")</f>
        <v/>
      </c>
      <c r="AH409" s="293" t="str">
        <f>IFERROR(IF($F409="Total",
         SUMPRODUCT(
         INDEX(AH:AH, ROW()-COUNTIF($F$6:INDEX($F:$F, ROW()-1), $F408)) : INDEX(AH:AH, ROW()-1),
         INDEX(AB:AB, ROW()-COUNTIF($F$6:INDEX($F:$F, ROW()-1), $F408)) : INDEX(AB:AB, ROW()-1)
         )
         /SUM(INDEX(AB:AB, ROW()-COUNTIF($F$6:INDEX($F:$F, ROW()-1), $F408)) : INDEX(AB:AB, ROW()-1)),
          AVERAGEIFS(unit_details[Effective Rent],
          unit_details[Active Listing?],TRUE,
          unit_details[Property Name], $F409,
          unit_details[Beds], $L409,
          unit_details[Baths], $M409,
          unit_details[Partial Baths], IF(ISNUMBER($N409),$N409,""),
          unit_details[Sqft],$P409
)),"")</f>
        <v/>
      </c>
      <c r="AI409" s="6" t="str">
        <f>IFERROR(IF($F409="Total",
         SUMPRODUCT(
         INDEX(AI:AI, ROW()-COUNTIF($F$6:INDEX($F:$F, ROW()-1), $F408)) : INDEX(AI:AI, ROW()-1),
         INDEX(AB:AB, ROW()-COUNTIF($F$6:INDEX($F:$F, ROW()-1), $F408)) : INDEX(AB:AB, ROW()-1)
         )
         /SUM(INDEX(AB:AB, ROW()-COUNTIF($F$6:INDEX($F:$F, ROW()-1), $F408)) : INDEX(AB:AB, ROW()-1)),
           AVERAGEIFS(unit_details[Effective PSF],
          unit_details[Active Listing?],TRUE,
          unit_details[Property Name], $F409,
          unit_details[Beds], $L409,
          unit_details[Baths], $M409,
          unit_details[Partial Baths], IF(ISNUMBER($N409),$N409,""),
          unit_details[Sqft],$P409
)),"")</f>
        <v/>
      </c>
      <c r="AJ409" s="824" t="str">
        <f t="shared" si="70"/>
        <v/>
      </c>
      <c r="AK409" s="531" t="str">
        <f t="shared" si="71"/>
        <v/>
      </c>
      <c r="AL409" s="714" t="str">
        <f t="shared" si="72"/>
        <v/>
      </c>
      <c r="AM409" s="531" t="str">
        <f t="shared" si="73"/>
        <v/>
      </c>
      <c r="AN409" s="716" t="str">
        <f t="shared" si="74"/>
        <v/>
      </c>
    </row>
    <row r="410" spans="6:40" x14ac:dyDescent="0.2">
      <c r="F410" s="1" t="str">
        <f t="shared" si="67"/>
        <v/>
      </c>
      <c r="G410" s="713" t="str">
        <f t="shared" si="75"/>
        <v/>
      </c>
      <c r="H410" s="17" t="str">
        <f>IFERROR(VLOOKUP($G410,Table1[[Property]:[Exposure %]],4,0),"")</f>
        <v/>
      </c>
      <c r="I410" s="3" t="str">
        <f>IFERROR(VLOOKUP($G410,Table1[[Property]:[Exposure %]],6,0),"")</f>
        <v/>
      </c>
      <c r="J410" s="3" t="str">
        <f>IFERROR(VLOOKUP($G410,Table1[[Property]:[Exposure %]],7,0),"")</f>
        <v/>
      </c>
      <c r="R410" s="4" t="str">
        <f>IFERROR(VLOOKUP(IF(F410="Total",F409,F410),Table1[[Property]:['# Units]],7,0)*S410,"")</f>
        <v/>
      </c>
      <c r="S410" s="27" t="str">
        <f t="shared" si="68"/>
        <v/>
      </c>
      <c r="T410" s="531" t="str">
        <f>IFERROR(
 IF($F410="Total",
   SUMPRODUCT(
   INDEX(T:T, ROW()-COUNTIF($F$6:INDEX($F:$F, ROW()-1), $F409)) : INDEX(T:T, ROW()-1),
   INDEX(W:W, ROW()-COUNTIF($F$6:INDEX($F:$F, ROW()-1), $F409)) : INDEX(W:W, ROW()-1)
   )
   /SUM(INDEX(W:W, ROW()-COUNTIF($F$6:INDEX($F:$F, ROW()-1), $F409)) : INDEX(W:W, ROW()-1)),
   AVERAGEIFS(
     INDEX((unit_details[Asking Rent],unit_details[Asking PSF]),0,1,IF($U$3="Chunk Rent",1,2)),
     unit_details[Leased Date],"&gt;="&amp;($AM$2-T$5),
     unit_details[Leased Date],"&lt;"&amp;$AM$2,
     unit_details[Beds],$L410,
     unit_details[Baths],$M410,
     unit_details[Partial Baths],IF(ISNUMBER($N410),$N410,""),
     unit_details[Sqft],$P410,
     unit_details[Property Name],$F410)
 ),"")</f>
        <v/>
      </c>
      <c r="U410" s="552" t="str">
        <f>IFERROR(
 IF($F410="Total",
   SUMPRODUCT(
   INDEX(U:U, ROW()-COUNTIF($F$6:INDEX($F:$F, ROW()-1), $F409)) : INDEX(U:U, ROW()-1),
   INDEX(W:W, ROW()-COUNTIF($F$6:INDEX($F:$F, ROW()-1), $F409)) : INDEX(W:W, ROW()-1)
   )
   /SUM(INDEX(W:W, ROW()-COUNTIF($F$6:INDEX($F:$F, ROW()-1), $F409)) : INDEX(W:W, ROW()-1)),
   AVERAGEIFS(
     INDEX((unit_details[Effective Rent],unit_details[Effective PSF]),0,1,IF($U$3="Chunk Rent",1,2)),
     unit_details[Leased Date],"&gt;="&amp;($AM$2-T$5),
     unit_details[Leased Date],"&lt;"&amp;$AM$2,
     unit_details[Beds],$L410,
     unit_details[Baths],$M410,
     unit_details[Partial Baths],IF(ISNUMBER($N410),$N410,""),
     unit_details[Sqft],$P410,
     unit_details[Property Name],$F410)
 ),"")</f>
        <v/>
      </c>
      <c r="V410" s="27" t="str">
        <f t="shared" si="76"/>
        <v/>
      </c>
      <c r="W410" s="526">
        <f>IFERROR(
  IF($F410="Total",
    SUM(INDEX(W:W, ROW()-COUNTIF($F$6:INDEX($F:$F, ROW()-1), $F409)) : INDEX(W:W, ROW()-1)),
    COUNTIFS(
      unit_details[Leased Date], "&gt;="&amp;($AM$2-T$5),
      unit_details[Leased Date], "&lt;"&amp;$AM$2,
      unit_details[Beds], $L410,
      unit_details[Baths], $M410,
      unit_details[Partial Baths], IF(ISNUMBER($N410), $N410, ""),
      unit_details[Sqft],$P410,
      unit_details[Property Name], $F410
    )
  ),
"")</f>
        <v>0</v>
      </c>
      <c r="X410" s="531" t="str">
        <f>IFERROR(
 IF($F410="Total",
   SUMPRODUCT(
   INDEX(X:X, ROW()-COUNTIF($F$6:INDEX($F:$F, ROW()-1), $F409)) : INDEX(X:X, ROW()-1),
   INDEX(AA:AA, ROW()-COUNTIF($F$6:INDEX($F:$F, ROW()-1), $F409)) : INDEX(AA:AA, ROW()-1)
   )
   /SUM(INDEX(AA:AA, ROW()-COUNTIF($F$6:INDEX($F:$F, ROW()-1), $F409)) : INDEX(AA:AA, ROW()-1)),
   AVERAGEIFS(
     INDEX((unit_details[Asking Rent],unit_details[Asking PSF]),0,1,IF($U$3="Chunk Rent",1,2)),
     unit_details[Leased Date],"&gt;="&amp;($AM$2-X$5),
     unit_details[Leased Date],"&lt;"&amp;$AM$2,
     unit_details[Beds],$L410,
     unit_details[Baths],$M410,
     unit_details[Partial Baths],IF(ISNUMBER($N410),$N410,""),
     unit_details[Sqft],$P410,
     unit_details[Property Name],$F410)
 ),"")</f>
        <v/>
      </c>
      <c r="Y410" s="552" t="str">
        <f>IFERROR(
 IF($F410="Total",
   SUMPRODUCT(
   INDEX(Y:Y, ROW()-COUNTIF($F$6:INDEX($F:$F, ROW()-1), $F409)) : INDEX(Y:Y, ROW()-1),
   INDEX(AA:AA, ROW()-COUNTIF($F$6:INDEX($F:$F, ROW()-1), $F409)) : INDEX(AA:AA, ROW()-1)
   )
   /SUM(INDEX(AA:AA, ROW()-COUNTIF($F$6:INDEX($F:$F, ROW()-1), $F409)) : INDEX(AA:AA, ROW()-1)),
   AVERAGEIFS(
     INDEX((unit_details[Effective Rent],unit_details[Effective PSF]),0,1,IF($U$3="Chunk Rent",1,2)),
     unit_details[Leased Date],"&gt;="&amp;($AM$2-X$5),
     unit_details[Leased Date],"&lt;"&amp;$AM$2,
     unit_details[Beds],$L410,
     unit_details[Baths],$M410,
     unit_details[Partial Baths],IF(ISNUMBER($N410),$N410,""),
     unit_details[Sqft],$P410,
     unit_details[Property Name],$F410)
 ),"")</f>
        <v/>
      </c>
      <c r="Z410" s="27" t="str">
        <f t="shared" si="77"/>
        <v/>
      </c>
      <c r="AA410" s="526">
        <f>IFERROR(
  IF($F410="Total",
    SUM(INDEX(AA:AA, ROW()-COUNTIF($F$6:INDEX($F:$F, ROW()-1), $F409)) : INDEX(AA:AA, ROW()-1)),
    COUNTIFS(
      unit_details[Leased Date], "&gt;="&amp;($AM$2-X$5),
      unit_details[Leased Date], "&lt;"&amp;$AM$2,
      unit_details[Beds], $L410,
      unit_details[Baths], $M410,
      unit_details[Partial Baths], IF(ISNUMBER($N410), $N410, ""),
      unit_details[Sqft],$P410,
      unit_details[Property Name], $F410
    )
  ),
"")</f>
        <v>0</v>
      </c>
      <c r="AB410" s="290">
        <f>IF($F410="Total",
SUM(INDEX(AB:AB, ROW()-COUNTIF($F$6:INDEX($F:$F, ROW()-1), $F409)) : INDEX(AB:AB, ROW()-1)),
COUNTIFS(unit_details[Active Listing?],TRUE,
          unit_details[Property Name], $F410,
          unit_details[Beds], $L410,
          unit_details[Baths], $M410,
          unit_details[Partial Baths],IF(ISNUMBER($N410),$N410,""),
          unit_details[Sqft],$P410))</f>
        <v>0</v>
      </c>
      <c r="AC410" s="27" t="str">
        <f t="shared" si="69"/>
        <v/>
      </c>
      <c r="AD410" s="293" t="str">
        <f>IFERROR(IF(AE410="","",IF($F410="Total",
SUMPRODUCT(
   INDEX(AD:AD, ROW()-COUNTIF($F$6:INDEX($F:$F, ROW()-1), $F409)) : INDEX(AD:AD, ROW()-1),
   INDEX(AB:AB, ROW()-COUNTIF($F$6:INDEX($F:$F, ROW()-1), $F409)) : INDEX(AB:AB, ROW()-1)
   )
   /SUM(INDEX(AB:AB, ROW()-COUNTIF($F$6:INDEX($F:$F, ROW()-1), $F409)) : INDEX(AB:AB, ROW()-1)),
          _xlfn.MINIFS(unit_details[Asking Rent],
          unit_details[Active Listing?],TRUE,
          unit_details[Property Name], $F410,
          unit_details[Beds], $L410,
          unit_details[Baths], $M410,
          unit_details[Partial Baths], IF(ISNUMBER($N410),$N410,""),
          unit_details[Sqft],$P410
))),"")</f>
        <v/>
      </c>
      <c r="AE410" s="5" t="str">
        <f>IFERROR(IF($F410="Total",
          SUMPRODUCT(
   INDEX(AE:AE, ROW()-COUNTIF($F$6:INDEX($F:$F, ROW()-1), $F409)) : INDEX(AE:AE, ROW()-1),
   INDEX(AB:AB, ROW()-COUNTIF($F$6:INDEX($F:$F, ROW()-1), $F409)) : INDEX(AB:AB, ROW()-1)
   )
   /SUM(INDEX(AB:AB, ROW()-COUNTIF($F$6:INDEX($F:$F, ROW()-1), $F409)) : INDEX(AB:AB, ROW()-1)),
          AVERAGEIFS(unit_details[Asking Rent],
          unit_details[Active Listing?],TRUE,
          unit_details[Property Name], $F410,
          unit_details[Beds], $L410,
          unit_details[Baths], $M410,
          unit_details[Partial Baths], IF(ISNUMBER($N410),$N410,""),
          unit_details[Sqft],$P410
)),"")</f>
        <v/>
      </c>
      <c r="AF410" s="5" t="str">
        <f>IFERROR(IF(AE410="","",IF($F410="Total",
SUMPRODUCT(
   INDEX(AF:AF, ROW()-COUNTIF($F$6:INDEX($F:$F, ROW()-1), $F409)) : INDEX(AF:AF, ROW()-1),
   INDEX(AB:AB, ROW()-COUNTIF($F$6:INDEX($F:$F, ROW()-1), $F409)) : INDEX(AB:AB, ROW()-1)
   )
   /SUM(INDEX(AB:AB, ROW()-COUNTIF($F$6:INDEX($F:$F, ROW()-1), $F409)) : INDEX(AB:AB, ROW()-1)),
           _xlfn.MAXIFS(unit_details[Asking Rent],
          unit_details[Active Listing?],TRUE,
          unit_details[Property Name], $F410,
          unit_details[Beds], $L410,
          unit_details[Baths], $M410,
          unit_details[Partial Baths], IF(ISNUMBER($N410),$N410,""),
          unit_details[Sqft],$P410
))),"")</f>
        <v/>
      </c>
      <c r="AG410" s="6" t="str">
        <f>IFERROR(IF($F410="Total",
         SUMPRODUCT(
         INDEX(AG:AG, ROW()-COUNTIF($F$6:INDEX($F:$F, ROW()-1), $F409)) : INDEX(AG:AG, ROW()-1),
         INDEX(AB:AB, ROW()-COUNTIF($F$6:INDEX($F:$F, ROW()-1), $F409)) : INDEX(AB:AB, ROW()-1)
         )
         /SUM(INDEX(AB:AB, ROW()-COUNTIF($F$6:INDEX($F:$F, ROW()-1), $F409)) : INDEX(AB:AB, ROW()-1)),
          AVERAGEIFS(unit_details[Asking PSF],
          unit_details[Active Listing?],TRUE,
          unit_details[Property Name], $F410,
          unit_details[Beds], $L410,
          unit_details[Baths], $M410,
          unit_details[Partial Baths], IF(ISNUMBER($N410),$N410,""),
          unit_details[Sqft],$P410
)),"")</f>
        <v/>
      </c>
      <c r="AH410" s="293" t="str">
        <f>IFERROR(IF($F410="Total",
         SUMPRODUCT(
         INDEX(AH:AH, ROW()-COUNTIF($F$6:INDEX($F:$F, ROW()-1), $F409)) : INDEX(AH:AH, ROW()-1),
         INDEX(AB:AB, ROW()-COUNTIF($F$6:INDEX($F:$F, ROW()-1), $F409)) : INDEX(AB:AB, ROW()-1)
         )
         /SUM(INDEX(AB:AB, ROW()-COUNTIF($F$6:INDEX($F:$F, ROW()-1), $F409)) : INDEX(AB:AB, ROW()-1)),
          AVERAGEIFS(unit_details[Effective Rent],
          unit_details[Active Listing?],TRUE,
          unit_details[Property Name], $F410,
          unit_details[Beds], $L410,
          unit_details[Baths], $M410,
          unit_details[Partial Baths], IF(ISNUMBER($N410),$N410,""),
          unit_details[Sqft],$P410
)),"")</f>
        <v/>
      </c>
      <c r="AI410" s="6" t="str">
        <f>IFERROR(IF($F410="Total",
         SUMPRODUCT(
         INDEX(AI:AI, ROW()-COUNTIF($F$6:INDEX($F:$F, ROW()-1), $F409)) : INDEX(AI:AI, ROW()-1),
         INDEX(AB:AB, ROW()-COUNTIF($F$6:INDEX($F:$F, ROW()-1), $F409)) : INDEX(AB:AB, ROW()-1)
         )
         /SUM(INDEX(AB:AB, ROW()-COUNTIF($F$6:INDEX($F:$F, ROW()-1), $F409)) : INDEX(AB:AB, ROW()-1)),
           AVERAGEIFS(unit_details[Effective PSF],
          unit_details[Active Listing?],TRUE,
          unit_details[Property Name], $F410,
          unit_details[Beds], $L410,
          unit_details[Baths], $M410,
          unit_details[Partial Baths], IF(ISNUMBER($N410),$N410,""),
          unit_details[Sqft],$P410
)),"")</f>
        <v/>
      </c>
      <c r="AJ410" s="824" t="str">
        <f t="shared" si="70"/>
        <v/>
      </c>
      <c r="AK410" s="531" t="str">
        <f t="shared" si="71"/>
        <v/>
      </c>
      <c r="AL410" s="714" t="str">
        <f t="shared" si="72"/>
        <v/>
      </c>
      <c r="AM410" s="531" t="str">
        <f t="shared" si="73"/>
        <v/>
      </c>
      <c r="AN410" s="716" t="str">
        <f t="shared" si="74"/>
        <v/>
      </c>
    </row>
    <row r="411" spans="6:40" x14ac:dyDescent="0.2">
      <c r="F411" s="1" t="str">
        <f t="shared" si="67"/>
        <v/>
      </c>
      <c r="G411" s="713" t="str">
        <f t="shared" si="75"/>
        <v/>
      </c>
      <c r="H411" s="17" t="str">
        <f>IFERROR(VLOOKUP($G411,Table1[[Property]:[Exposure %]],4,0),"")</f>
        <v/>
      </c>
      <c r="I411" s="3" t="str">
        <f>IFERROR(VLOOKUP($G411,Table1[[Property]:[Exposure %]],6,0),"")</f>
        <v/>
      </c>
      <c r="J411" s="3" t="str">
        <f>IFERROR(VLOOKUP($G411,Table1[[Property]:[Exposure %]],7,0),"")</f>
        <v/>
      </c>
      <c r="R411" s="4" t="str">
        <f>IFERROR(VLOOKUP(IF(F411="Total",F410,F411),Table1[[Property]:['# Units]],7,0)*S411,"")</f>
        <v/>
      </c>
      <c r="S411" s="27" t="str">
        <f t="shared" si="68"/>
        <v/>
      </c>
      <c r="T411" s="531" t="str">
        <f>IFERROR(
 IF($F411="Total",
   SUMPRODUCT(
   INDEX(T:T, ROW()-COUNTIF($F$6:INDEX($F:$F, ROW()-1), $F410)) : INDEX(T:T, ROW()-1),
   INDEX(W:W, ROW()-COUNTIF($F$6:INDEX($F:$F, ROW()-1), $F410)) : INDEX(W:W, ROW()-1)
   )
   /SUM(INDEX(W:W, ROW()-COUNTIF($F$6:INDEX($F:$F, ROW()-1), $F410)) : INDEX(W:W, ROW()-1)),
   AVERAGEIFS(
     INDEX((unit_details[Asking Rent],unit_details[Asking PSF]),0,1,IF($U$3="Chunk Rent",1,2)),
     unit_details[Leased Date],"&gt;="&amp;($AM$2-T$5),
     unit_details[Leased Date],"&lt;"&amp;$AM$2,
     unit_details[Beds],$L411,
     unit_details[Baths],$M411,
     unit_details[Partial Baths],IF(ISNUMBER($N411),$N411,""),
     unit_details[Sqft],$P411,
     unit_details[Property Name],$F411)
 ),"")</f>
        <v/>
      </c>
      <c r="U411" s="552" t="str">
        <f>IFERROR(
 IF($F411="Total",
   SUMPRODUCT(
   INDEX(U:U, ROW()-COUNTIF($F$6:INDEX($F:$F, ROW()-1), $F410)) : INDEX(U:U, ROW()-1),
   INDEX(W:W, ROW()-COUNTIF($F$6:INDEX($F:$F, ROW()-1), $F410)) : INDEX(W:W, ROW()-1)
   )
   /SUM(INDEX(W:W, ROW()-COUNTIF($F$6:INDEX($F:$F, ROW()-1), $F410)) : INDEX(W:W, ROW()-1)),
   AVERAGEIFS(
     INDEX((unit_details[Effective Rent],unit_details[Effective PSF]),0,1,IF($U$3="Chunk Rent",1,2)),
     unit_details[Leased Date],"&gt;="&amp;($AM$2-T$5),
     unit_details[Leased Date],"&lt;"&amp;$AM$2,
     unit_details[Beds],$L411,
     unit_details[Baths],$M411,
     unit_details[Partial Baths],IF(ISNUMBER($N411),$N411,""),
     unit_details[Sqft],$P411,
     unit_details[Property Name],$F411)
 ),"")</f>
        <v/>
      </c>
      <c r="V411" s="27" t="str">
        <f t="shared" si="76"/>
        <v/>
      </c>
      <c r="W411" s="526">
        <f>IFERROR(
  IF($F411="Total",
    SUM(INDEX(W:W, ROW()-COUNTIF($F$6:INDEX($F:$F, ROW()-1), $F410)) : INDEX(W:W, ROW()-1)),
    COUNTIFS(
      unit_details[Leased Date], "&gt;="&amp;($AM$2-T$5),
      unit_details[Leased Date], "&lt;"&amp;$AM$2,
      unit_details[Beds], $L411,
      unit_details[Baths], $M411,
      unit_details[Partial Baths], IF(ISNUMBER($N411), $N411, ""),
      unit_details[Sqft],$P411,
      unit_details[Property Name], $F411
    )
  ),
"")</f>
        <v>0</v>
      </c>
      <c r="X411" s="531" t="str">
        <f>IFERROR(
 IF($F411="Total",
   SUMPRODUCT(
   INDEX(X:X, ROW()-COUNTIF($F$6:INDEX($F:$F, ROW()-1), $F410)) : INDEX(X:X, ROW()-1),
   INDEX(AA:AA, ROW()-COUNTIF($F$6:INDEX($F:$F, ROW()-1), $F410)) : INDEX(AA:AA, ROW()-1)
   )
   /SUM(INDEX(AA:AA, ROW()-COUNTIF($F$6:INDEX($F:$F, ROW()-1), $F410)) : INDEX(AA:AA, ROW()-1)),
   AVERAGEIFS(
     INDEX((unit_details[Asking Rent],unit_details[Asking PSF]),0,1,IF($U$3="Chunk Rent",1,2)),
     unit_details[Leased Date],"&gt;="&amp;($AM$2-X$5),
     unit_details[Leased Date],"&lt;"&amp;$AM$2,
     unit_details[Beds],$L411,
     unit_details[Baths],$M411,
     unit_details[Partial Baths],IF(ISNUMBER($N411),$N411,""),
     unit_details[Sqft],$P411,
     unit_details[Property Name],$F411)
 ),"")</f>
        <v/>
      </c>
      <c r="Y411" s="552" t="str">
        <f>IFERROR(
 IF($F411="Total",
   SUMPRODUCT(
   INDEX(Y:Y, ROW()-COUNTIF($F$6:INDEX($F:$F, ROW()-1), $F410)) : INDEX(Y:Y, ROW()-1),
   INDEX(AA:AA, ROW()-COUNTIF($F$6:INDEX($F:$F, ROW()-1), $F410)) : INDEX(AA:AA, ROW()-1)
   )
   /SUM(INDEX(AA:AA, ROW()-COUNTIF($F$6:INDEX($F:$F, ROW()-1), $F410)) : INDEX(AA:AA, ROW()-1)),
   AVERAGEIFS(
     INDEX((unit_details[Effective Rent],unit_details[Effective PSF]),0,1,IF($U$3="Chunk Rent",1,2)),
     unit_details[Leased Date],"&gt;="&amp;($AM$2-X$5),
     unit_details[Leased Date],"&lt;"&amp;$AM$2,
     unit_details[Beds],$L411,
     unit_details[Baths],$M411,
     unit_details[Partial Baths],IF(ISNUMBER($N411),$N411,""),
     unit_details[Sqft],$P411,
     unit_details[Property Name],$F411)
 ),"")</f>
        <v/>
      </c>
      <c r="Z411" s="27" t="str">
        <f t="shared" si="77"/>
        <v/>
      </c>
      <c r="AA411" s="526">
        <f>IFERROR(
  IF($F411="Total",
    SUM(INDEX(AA:AA, ROW()-COUNTIF($F$6:INDEX($F:$F, ROW()-1), $F410)) : INDEX(AA:AA, ROW()-1)),
    COUNTIFS(
      unit_details[Leased Date], "&gt;="&amp;($AM$2-X$5),
      unit_details[Leased Date], "&lt;"&amp;$AM$2,
      unit_details[Beds], $L411,
      unit_details[Baths], $M411,
      unit_details[Partial Baths], IF(ISNUMBER($N411), $N411, ""),
      unit_details[Sqft],$P411,
      unit_details[Property Name], $F411
    )
  ),
"")</f>
        <v>0</v>
      </c>
      <c r="AB411" s="290">
        <f>IF($F411="Total",
SUM(INDEX(AB:AB, ROW()-COUNTIF($F$6:INDEX($F:$F, ROW()-1), $F410)) : INDEX(AB:AB, ROW()-1)),
COUNTIFS(unit_details[Active Listing?],TRUE,
          unit_details[Property Name], $F411,
          unit_details[Beds], $L411,
          unit_details[Baths], $M411,
          unit_details[Partial Baths],IF(ISNUMBER($N411),$N411,""),
          unit_details[Sqft],$P411))</f>
        <v>0</v>
      </c>
      <c r="AC411" s="27" t="str">
        <f t="shared" si="69"/>
        <v/>
      </c>
      <c r="AD411" s="293" t="str">
        <f>IFERROR(IF(AE411="","",IF($F411="Total",
SUMPRODUCT(
   INDEX(AD:AD, ROW()-COUNTIF($F$6:INDEX($F:$F, ROW()-1), $F410)) : INDEX(AD:AD, ROW()-1),
   INDEX(AB:AB, ROW()-COUNTIF($F$6:INDEX($F:$F, ROW()-1), $F410)) : INDEX(AB:AB, ROW()-1)
   )
   /SUM(INDEX(AB:AB, ROW()-COUNTIF($F$6:INDEX($F:$F, ROW()-1), $F410)) : INDEX(AB:AB, ROW()-1)),
          _xlfn.MINIFS(unit_details[Asking Rent],
          unit_details[Active Listing?],TRUE,
          unit_details[Property Name], $F411,
          unit_details[Beds], $L411,
          unit_details[Baths], $M411,
          unit_details[Partial Baths], IF(ISNUMBER($N411),$N411,""),
          unit_details[Sqft],$P411
))),"")</f>
        <v/>
      </c>
      <c r="AE411" s="5" t="str">
        <f>IFERROR(IF($F411="Total",
          SUMPRODUCT(
   INDEX(AE:AE, ROW()-COUNTIF($F$6:INDEX($F:$F, ROW()-1), $F410)) : INDEX(AE:AE, ROW()-1),
   INDEX(AB:AB, ROW()-COUNTIF($F$6:INDEX($F:$F, ROW()-1), $F410)) : INDEX(AB:AB, ROW()-1)
   )
   /SUM(INDEX(AB:AB, ROW()-COUNTIF($F$6:INDEX($F:$F, ROW()-1), $F410)) : INDEX(AB:AB, ROW()-1)),
          AVERAGEIFS(unit_details[Asking Rent],
          unit_details[Active Listing?],TRUE,
          unit_details[Property Name], $F411,
          unit_details[Beds], $L411,
          unit_details[Baths], $M411,
          unit_details[Partial Baths], IF(ISNUMBER($N411),$N411,""),
          unit_details[Sqft],$P411
)),"")</f>
        <v/>
      </c>
      <c r="AF411" s="5" t="str">
        <f>IFERROR(IF(AE411="","",IF($F411="Total",
SUMPRODUCT(
   INDEX(AF:AF, ROW()-COUNTIF($F$6:INDEX($F:$F, ROW()-1), $F410)) : INDEX(AF:AF, ROW()-1),
   INDEX(AB:AB, ROW()-COUNTIF($F$6:INDEX($F:$F, ROW()-1), $F410)) : INDEX(AB:AB, ROW()-1)
   )
   /SUM(INDEX(AB:AB, ROW()-COUNTIF($F$6:INDEX($F:$F, ROW()-1), $F410)) : INDEX(AB:AB, ROW()-1)),
           _xlfn.MAXIFS(unit_details[Asking Rent],
          unit_details[Active Listing?],TRUE,
          unit_details[Property Name], $F411,
          unit_details[Beds], $L411,
          unit_details[Baths], $M411,
          unit_details[Partial Baths], IF(ISNUMBER($N411),$N411,""),
          unit_details[Sqft],$P411
))),"")</f>
        <v/>
      </c>
      <c r="AG411" s="6" t="str">
        <f>IFERROR(IF($F411="Total",
         SUMPRODUCT(
         INDEX(AG:AG, ROW()-COUNTIF($F$6:INDEX($F:$F, ROW()-1), $F410)) : INDEX(AG:AG, ROW()-1),
         INDEX(AB:AB, ROW()-COUNTIF($F$6:INDEX($F:$F, ROW()-1), $F410)) : INDEX(AB:AB, ROW()-1)
         )
         /SUM(INDEX(AB:AB, ROW()-COUNTIF($F$6:INDEX($F:$F, ROW()-1), $F410)) : INDEX(AB:AB, ROW()-1)),
          AVERAGEIFS(unit_details[Asking PSF],
          unit_details[Active Listing?],TRUE,
          unit_details[Property Name], $F411,
          unit_details[Beds], $L411,
          unit_details[Baths], $M411,
          unit_details[Partial Baths], IF(ISNUMBER($N411),$N411,""),
          unit_details[Sqft],$P411
)),"")</f>
        <v/>
      </c>
      <c r="AH411" s="293" t="str">
        <f>IFERROR(IF($F411="Total",
         SUMPRODUCT(
         INDEX(AH:AH, ROW()-COUNTIF($F$6:INDEX($F:$F, ROW()-1), $F410)) : INDEX(AH:AH, ROW()-1),
         INDEX(AB:AB, ROW()-COUNTIF($F$6:INDEX($F:$F, ROW()-1), $F410)) : INDEX(AB:AB, ROW()-1)
         )
         /SUM(INDEX(AB:AB, ROW()-COUNTIF($F$6:INDEX($F:$F, ROW()-1), $F410)) : INDEX(AB:AB, ROW()-1)),
          AVERAGEIFS(unit_details[Effective Rent],
          unit_details[Active Listing?],TRUE,
          unit_details[Property Name], $F411,
          unit_details[Beds], $L411,
          unit_details[Baths], $M411,
          unit_details[Partial Baths], IF(ISNUMBER($N411),$N411,""),
          unit_details[Sqft],$P411
)),"")</f>
        <v/>
      </c>
      <c r="AI411" s="6" t="str">
        <f>IFERROR(IF($F411="Total",
         SUMPRODUCT(
         INDEX(AI:AI, ROW()-COUNTIF($F$6:INDEX($F:$F, ROW()-1), $F410)) : INDEX(AI:AI, ROW()-1),
         INDEX(AB:AB, ROW()-COUNTIF($F$6:INDEX($F:$F, ROW()-1), $F410)) : INDEX(AB:AB, ROW()-1)
         )
         /SUM(INDEX(AB:AB, ROW()-COUNTIF($F$6:INDEX($F:$F, ROW()-1), $F410)) : INDEX(AB:AB, ROW()-1)),
           AVERAGEIFS(unit_details[Effective PSF],
          unit_details[Active Listing?],TRUE,
          unit_details[Property Name], $F411,
          unit_details[Beds], $L411,
          unit_details[Baths], $M411,
          unit_details[Partial Baths], IF(ISNUMBER($N411),$N411,""),
          unit_details[Sqft],$P411
)),"")</f>
        <v/>
      </c>
      <c r="AJ411" s="824" t="str">
        <f t="shared" si="70"/>
        <v/>
      </c>
      <c r="AK411" s="531" t="str">
        <f t="shared" si="71"/>
        <v/>
      </c>
      <c r="AL411" s="714" t="str">
        <f t="shared" si="72"/>
        <v/>
      </c>
      <c r="AM411" s="531" t="str">
        <f t="shared" si="73"/>
        <v/>
      </c>
      <c r="AN411" s="716" t="str">
        <f t="shared" si="74"/>
        <v/>
      </c>
    </row>
    <row r="412" spans="6:40" x14ac:dyDescent="0.2">
      <c r="F412" s="1" t="str">
        <f t="shared" si="67"/>
        <v/>
      </c>
      <c r="G412" s="713" t="str">
        <f t="shared" si="75"/>
        <v/>
      </c>
      <c r="H412" s="17" t="str">
        <f>IFERROR(VLOOKUP($G412,Table1[[Property]:[Exposure %]],4,0),"")</f>
        <v/>
      </c>
      <c r="I412" s="3" t="str">
        <f>IFERROR(VLOOKUP($G412,Table1[[Property]:[Exposure %]],6,0),"")</f>
        <v/>
      </c>
      <c r="J412" s="3" t="str">
        <f>IFERROR(VLOOKUP($G412,Table1[[Property]:[Exposure %]],7,0),"")</f>
        <v/>
      </c>
      <c r="R412" s="4" t="str">
        <f>IFERROR(VLOOKUP(IF(F412="Total",F411,F412),Table1[[Property]:['# Units]],7,0)*S412,"")</f>
        <v/>
      </c>
      <c r="S412" s="27" t="str">
        <f t="shared" si="68"/>
        <v/>
      </c>
      <c r="T412" s="531" t="str">
        <f>IFERROR(
 IF($F412="Total",
   SUMPRODUCT(
   INDEX(T:T, ROW()-COUNTIF($F$6:INDEX($F:$F, ROW()-1), $F411)) : INDEX(T:T, ROW()-1),
   INDEX(W:W, ROW()-COUNTIF($F$6:INDEX($F:$F, ROW()-1), $F411)) : INDEX(W:W, ROW()-1)
   )
   /SUM(INDEX(W:W, ROW()-COUNTIF($F$6:INDEX($F:$F, ROW()-1), $F411)) : INDEX(W:W, ROW()-1)),
   AVERAGEIFS(
     INDEX((unit_details[Asking Rent],unit_details[Asking PSF]),0,1,IF($U$3="Chunk Rent",1,2)),
     unit_details[Leased Date],"&gt;="&amp;($AM$2-T$5),
     unit_details[Leased Date],"&lt;"&amp;$AM$2,
     unit_details[Beds],$L412,
     unit_details[Baths],$M412,
     unit_details[Partial Baths],IF(ISNUMBER($N412),$N412,""),
     unit_details[Sqft],$P412,
     unit_details[Property Name],$F412)
 ),"")</f>
        <v/>
      </c>
      <c r="U412" s="552" t="str">
        <f>IFERROR(
 IF($F412="Total",
   SUMPRODUCT(
   INDEX(U:U, ROW()-COUNTIF($F$6:INDEX($F:$F, ROW()-1), $F411)) : INDEX(U:U, ROW()-1),
   INDEX(W:W, ROW()-COUNTIF($F$6:INDEX($F:$F, ROW()-1), $F411)) : INDEX(W:W, ROW()-1)
   )
   /SUM(INDEX(W:W, ROW()-COUNTIF($F$6:INDEX($F:$F, ROW()-1), $F411)) : INDEX(W:W, ROW()-1)),
   AVERAGEIFS(
     INDEX((unit_details[Effective Rent],unit_details[Effective PSF]),0,1,IF($U$3="Chunk Rent",1,2)),
     unit_details[Leased Date],"&gt;="&amp;($AM$2-T$5),
     unit_details[Leased Date],"&lt;"&amp;$AM$2,
     unit_details[Beds],$L412,
     unit_details[Baths],$M412,
     unit_details[Partial Baths],IF(ISNUMBER($N412),$N412,""),
     unit_details[Sqft],$P412,
     unit_details[Property Name],$F412)
 ),"")</f>
        <v/>
      </c>
      <c r="V412" s="27" t="str">
        <f t="shared" si="76"/>
        <v/>
      </c>
      <c r="W412" s="526">
        <f>IFERROR(
  IF($F412="Total",
    SUM(INDEX(W:W, ROW()-COUNTIF($F$6:INDEX($F:$F, ROW()-1), $F411)) : INDEX(W:W, ROW()-1)),
    COUNTIFS(
      unit_details[Leased Date], "&gt;="&amp;($AM$2-T$5),
      unit_details[Leased Date], "&lt;"&amp;$AM$2,
      unit_details[Beds], $L412,
      unit_details[Baths], $M412,
      unit_details[Partial Baths], IF(ISNUMBER($N412), $N412, ""),
      unit_details[Sqft],$P412,
      unit_details[Property Name], $F412
    )
  ),
"")</f>
        <v>0</v>
      </c>
      <c r="X412" s="531" t="str">
        <f>IFERROR(
 IF($F412="Total",
   SUMPRODUCT(
   INDEX(X:X, ROW()-COUNTIF($F$6:INDEX($F:$F, ROW()-1), $F411)) : INDEX(X:X, ROW()-1),
   INDEX(AA:AA, ROW()-COUNTIF($F$6:INDEX($F:$F, ROW()-1), $F411)) : INDEX(AA:AA, ROW()-1)
   )
   /SUM(INDEX(AA:AA, ROW()-COUNTIF($F$6:INDEX($F:$F, ROW()-1), $F411)) : INDEX(AA:AA, ROW()-1)),
   AVERAGEIFS(
     INDEX((unit_details[Asking Rent],unit_details[Asking PSF]),0,1,IF($U$3="Chunk Rent",1,2)),
     unit_details[Leased Date],"&gt;="&amp;($AM$2-X$5),
     unit_details[Leased Date],"&lt;"&amp;$AM$2,
     unit_details[Beds],$L412,
     unit_details[Baths],$M412,
     unit_details[Partial Baths],IF(ISNUMBER($N412),$N412,""),
     unit_details[Sqft],$P412,
     unit_details[Property Name],$F412)
 ),"")</f>
        <v/>
      </c>
      <c r="Y412" s="552" t="str">
        <f>IFERROR(
 IF($F412="Total",
   SUMPRODUCT(
   INDEX(Y:Y, ROW()-COUNTIF($F$6:INDEX($F:$F, ROW()-1), $F411)) : INDEX(Y:Y, ROW()-1),
   INDEX(AA:AA, ROW()-COUNTIF($F$6:INDEX($F:$F, ROW()-1), $F411)) : INDEX(AA:AA, ROW()-1)
   )
   /SUM(INDEX(AA:AA, ROW()-COUNTIF($F$6:INDEX($F:$F, ROW()-1), $F411)) : INDEX(AA:AA, ROW()-1)),
   AVERAGEIFS(
     INDEX((unit_details[Effective Rent],unit_details[Effective PSF]),0,1,IF($U$3="Chunk Rent",1,2)),
     unit_details[Leased Date],"&gt;="&amp;($AM$2-X$5),
     unit_details[Leased Date],"&lt;"&amp;$AM$2,
     unit_details[Beds],$L412,
     unit_details[Baths],$M412,
     unit_details[Partial Baths],IF(ISNUMBER($N412),$N412,""),
     unit_details[Sqft],$P412,
     unit_details[Property Name],$F412)
 ),"")</f>
        <v/>
      </c>
      <c r="Z412" s="27" t="str">
        <f t="shared" si="77"/>
        <v/>
      </c>
      <c r="AA412" s="526">
        <f>IFERROR(
  IF($F412="Total",
    SUM(INDEX(AA:AA, ROW()-COUNTIF($F$6:INDEX($F:$F, ROW()-1), $F411)) : INDEX(AA:AA, ROW()-1)),
    COUNTIFS(
      unit_details[Leased Date], "&gt;="&amp;($AM$2-X$5),
      unit_details[Leased Date], "&lt;"&amp;$AM$2,
      unit_details[Beds], $L412,
      unit_details[Baths], $M412,
      unit_details[Partial Baths], IF(ISNUMBER($N412), $N412, ""),
      unit_details[Sqft],$P412,
      unit_details[Property Name], $F412
    )
  ),
"")</f>
        <v>0</v>
      </c>
      <c r="AB412" s="290">
        <f>IF($F412="Total",
SUM(INDEX(AB:AB, ROW()-COUNTIF($F$6:INDEX($F:$F, ROW()-1), $F411)) : INDEX(AB:AB, ROW()-1)),
COUNTIFS(unit_details[Active Listing?],TRUE,
          unit_details[Property Name], $F412,
          unit_details[Beds], $L412,
          unit_details[Baths], $M412,
          unit_details[Partial Baths],IF(ISNUMBER($N412),$N412,""),
          unit_details[Sqft],$P412))</f>
        <v>0</v>
      </c>
      <c r="AC412" s="27" t="str">
        <f t="shared" si="69"/>
        <v/>
      </c>
      <c r="AD412" s="293" t="str">
        <f>IFERROR(IF(AE412="","",IF($F412="Total",
SUMPRODUCT(
   INDEX(AD:AD, ROW()-COUNTIF($F$6:INDEX($F:$F, ROW()-1), $F411)) : INDEX(AD:AD, ROW()-1),
   INDEX(AB:AB, ROW()-COUNTIF($F$6:INDEX($F:$F, ROW()-1), $F411)) : INDEX(AB:AB, ROW()-1)
   )
   /SUM(INDEX(AB:AB, ROW()-COUNTIF($F$6:INDEX($F:$F, ROW()-1), $F411)) : INDEX(AB:AB, ROW()-1)),
          _xlfn.MINIFS(unit_details[Asking Rent],
          unit_details[Active Listing?],TRUE,
          unit_details[Property Name], $F412,
          unit_details[Beds], $L412,
          unit_details[Baths], $M412,
          unit_details[Partial Baths], IF(ISNUMBER($N412),$N412,""),
          unit_details[Sqft],$P412
))),"")</f>
        <v/>
      </c>
      <c r="AE412" s="5" t="str">
        <f>IFERROR(IF($F412="Total",
          SUMPRODUCT(
   INDEX(AE:AE, ROW()-COUNTIF($F$6:INDEX($F:$F, ROW()-1), $F411)) : INDEX(AE:AE, ROW()-1),
   INDEX(AB:AB, ROW()-COUNTIF($F$6:INDEX($F:$F, ROW()-1), $F411)) : INDEX(AB:AB, ROW()-1)
   )
   /SUM(INDEX(AB:AB, ROW()-COUNTIF($F$6:INDEX($F:$F, ROW()-1), $F411)) : INDEX(AB:AB, ROW()-1)),
          AVERAGEIFS(unit_details[Asking Rent],
          unit_details[Active Listing?],TRUE,
          unit_details[Property Name], $F412,
          unit_details[Beds], $L412,
          unit_details[Baths], $M412,
          unit_details[Partial Baths], IF(ISNUMBER($N412),$N412,""),
          unit_details[Sqft],$P412
)),"")</f>
        <v/>
      </c>
      <c r="AF412" s="5" t="str">
        <f>IFERROR(IF(AE412="","",IF($F412="Total",
SUMPRODUCT(
   INDEX(AF:AF, ROW()-COUNTIF($F$6:INDEX($F:$F, ROW()-1), $F411)) : INDEX(AF:AF, ROW()-1),
   INDEX(AB:AB, ROW()-COUNTIF($F$6:INDEX($F:$F, ROW()-1), $F411)) : INDEX(AB:AB, ROW()-1)
   )
   /SUM(INDEX(AB:AB, ROW()-COUNTIF($F$6:INDEX($F:$F, ROW()-1), $F411)) : INDEX(AB:AB, ROW()-1)),
           _xlfn.MAXIFS(unit_details[Asking Rent],
          unit_details[Active Listing?],TRUE,
          unit_details[Property Name], $F412,
          unit_details[Beds], $L412,
          unit_details[Baths], $M412,
          unit_details[Partial Baths], IF(ISNUMBER($N412),$N412,""),
          unit_details[Sqft],$P412
))),"")</f>
        <v/>
      </c>
      <c r="AG412" s="6" t="str">
        <f>IFERROR(IF($F412="Total",
         SUMPRODUCT(
         INDEX(AG:AG, ROW()-COUNTIF($F$6:INDEX($F:$F, ROW()-1), $F411)) : INDEX(AG:AG, ROW()-1),
         INDEX(AB:AB, ROW()-COUNTIF($F$6:INDEX($F:$F, ROW()-1), $F411)) : INDEX(AB:AB, ROW()-1)
         )
         /SUM(INDEX(AB:AB, ROW()-COUNTIF($F$6:INDEX($F:$F, ROW()-1), $F411)) : INDEX(AB:AB, ROW()-1)),
          AVERAGEIFS(unit_details[Asking PSF],
          unit_details[Active Listing?],TRUE,
          unit_details[Property Name], $F412,
          unit_details[Beds], $L412,
          unit_details[Baths], $M412,
          unit_details[Partial Baths], IF(ISNUMBER($N412),$N412,""),
          unit_details[Sqft],$P412
)),"")</f>
        <v/>
      </c>
      <c r="AH412" s="293" t="str">
        <f>IFERROR(IF($F412="Total",
         SUMPRODUCT(
         INDEX(AH:AH, ROW()-COUNTIF($F$6:INDEX($F:$F, ROW()-1), $F411)) : INDEX(AH:AH, ROW()-1),
         INDEX(AB:AB, ROW()-COUNTIF($F$6:INDEX($F:$F, ROW()-1), $F411)) : INDEX(AB:AB, ROW()-1)
         )
         /SUM(INDEX(AB:AB, ROW()-COUNTIF($F$6:INDEX($F:$F, ROW()-1), $F411)) : INDEX(AB:AB, ROW()-1)),
          AVERAGEIFS(unit_details[Effective Rent],
          unit_details[Active Listing?],TRUE,
          unit_details[Property Name], $F412,
          unit_details[Beds], $L412,
          unit_details[Baths], $M412,
          unit_details[Partial Baths], IF(ISNUMBER($N412),$N412,""),
          unit_details[Sqft],$P412
)),"")</f>
        <v/>
      </c>
      <c r="AI412" s="6" t="str">
        <f>IFERROR(IF($F412="Total",
         SUMPRODUCT(
         INDEX(AI:AI, ROW()-COUNTIF($F$6:INDEX($F:$F, ROW()-1), $F411)) : INDEX(AI:AI, ROW()-1),
         INDEX(AB:AB, ROW()-COUNTIF($F$6:INDEX($F:$F, ROW()-1), $F411)) : INDEX(AB:AB, ROW()-1)
         )
         /SUM(INDEX(AB:AB, ROW()-COUNTIF($F$6:INDEX($F:$F, ROW()-1), $F411)) : INDEX(AB:AB, ROW()-1)),
           AVERAGEIFS(unit_details[Effective PSF],
          unit_details[Active Listing?],TRUE,
          unit_details[Property Name], $F412,
          unit_details[Beds], $L412,
          unit_details[Baths], $M412,
          unit_details[Partial Baths], IF(ISNUMBER($N412),$N412,""),
          unit_details[Sqft],$P412
)),"")</f>
        <v/>
      </c>
      <c r="AJ412" s="824" t="str">
        <f t="shared" si="70"/>
        <v/>
      </c>
      <c r="AK412" s="531" t="str">
        <f t="shared" si="71"/>
        <v/>
      </c>
      <c r="AL412" s="714" t="str">
        <f t="shared" si="72"/>
        <v/>
      </c>
      <c r="AM412" s="531" t="str">
        <f t="shared" si="73"/>
        <v/>
      </c>
      <c r="AN412" s="716" t="str">
        <f t="shared" si="74"/>
        <v/>
      </c>
    </row>
    <row r="413" spans="6:40" x14ac:dyDescent="0.2">
      <c r="F413" s="1" t="str">
        <f t="shared" si="67"/>
        <v/>
      </c>
      <c r="G413" s="713" t="str">
        <f t="shared" si="75"/>
        <v/>
      </c>
      <c r="H413" s="17" t="str">
        <f>IFERROR(VLOOKUP($G413,Table1[[Property]:[Exposure %]],4,0),"")</f>
        <v/>
      </c>
      <c r="I413" s="3" t="str">
        <f>IFERROR(VLOOKUP($G413,Table1[[Property]:[Exposure %]],6,0),"")</f>
        <v/>
      </c>
      <c r="J413" s="3" t="str">
        <f>IFERROR(VLOOKUP($G413,Table1[[Property]:[Exposure %]],7,0),"")</f>
        <v/>
      </c>
      <c r="R413" s="4" t="str">
        <f>IFERROR(VLOOKUP(IF(F413="Total",F412,F413),Table1[[Property]:['# Units]],7,0)*S413,"")</f>
        <v/>
      </c>
      <c r="S413" s="27" t="str">
        <f t="shared" si="68"/>
        <v/>
      </c>
      <c r="T413" s="531" t="str">
        <f>IFERROR(
 IF($F413="Total",
   SUMPRODUCT(
   INDEX(T:T, ROW()-COUNTIF($F$6:INDEX($F:$F, ROW()-1), $F412)) : INDEX(T:T, ROW()-1),
   INDEX(W:W, ROW()-COUNTIF($F$6:INDEX($F:$F, ROW()-1), $F412)) : INDEX(W:W, ROW()-1)
   )
   /SUM(INDEX(W:W, ROW()-COUNTIF($F$6:INDEX($F:$F, ROW()-1), $F412)) : INDEX(W:W, ROW()-1)),
   AVERAGEIFS(
     INDEX((unit_details[Asking Rent],unit_details[Asking PSF]),0,1,IF($U$3="Chunk Rent",1,2)),
     unit_details[Leased Date],"&gt;="&amp;($AM$2-T$5),
     unit_details[Leased Date],"&lt;"&amp;$AM$2,
     unit_details[Beds],$L413,
     unit_details[Baths],$M413,
     unit_details[Partial Baths],IF(ISNUMBER($N413),$N413,""),
     unit_details[Sqft],$P413,
     unit_details[Property Name],$F413)
 ),"")</f>
        <v/>
      </c>
      <c r="U413" s="552" t="str">
        <f>IFERROR(
 IF($F413="Total",
   SUMPRODUCT(
   INDEX(U:U, ROW()-COUNTIF($F$6:INDEX($F:$F, ROW()-1), $F412)) : INDEX(U:U, ROW()-1),
   INDEX(W:W, ROW()-COUNTIF($F$6:INDEX($F:$F, ROW()-1), $F412)) : INDEX(W:W, ROW()-1)
   )
   /SUM(INDEX(W:W, ROW()-COUNTIF($F$6:INDEX($F:$F, ROW()-1), $F412)) : INDEX(W:W, ROW()-1)),
   AVERAGEIFS(
     INDEX((unit_details[Effective Rent],unit_details[Effective PSF]),0,1,IF($U$3="Chunk Rent",1,2)),
     unit_details[Leased Date],"&gt;="&amp;($AM$2-T$5),
     unit_details[Leased Date],"&lt;"&amp;$AM$2,
     unit_details[Beds],$L413,
     unit_details[Baths],$M413,
     unit_details[Partial Baths],IF(ISNUMBER($N413),$N413,""),
     unit_details[Sqft],$P413,
     unit_details[Property Name],$F413)
 ),"")</f>
        <v/>
      </c>
      <c r="V413" s="27" t="str">
        <f t="shared" si="76"/>
        <v/>
      </c>
      <c r="W413" s="526">
        <f>IFERROR(
  IF($F413="Total",
    SUM(INDEX(W:W, ROW()-COUNTIF($F$6:INDEX($F:$F, ROW()-1), $F412)) : INDEX(W:W, ROW()-1)),
    COUNTIFS(
      unit_details[Leased Date], "&gt;="&amp;($AM$2-T$5),
      unit_details[Leased Date], "&lt;"&amp;$AM$2,
      unit_details[Beds], $L413,
      unit_details[Baths], $M413,
      unit_details[Partial Baths], IF(ISNUMBER($N413), $N413, ""),
      unit_details[Sqft],$P413,
      unit_details[Property Name], $F413
    )
  ),
"")</f>
        <v>0</v>
      </c>
      <c r="X413" s="531" t="str">
        <f>IFERROR(
 IF($F413="Total",
   SUMPRODUCT(
   INDEX(X:X, ROW()-COUNTIF($F$6:INDEX($F:$F, ROW()-1), $F412)) : INDEX(X:X, ROW()-1),
   INDEX(AA:AA, ROW()-COUNTIF($F$6:INDEX($F:$F, ROW()-1), $F412)) : INDEX(AA:AA, ROW()-1)
   )
   /SUM(INDEX(AA:AA, ROW()-COUNTIF($F$6:INDEX($F:$F, ROW()-1), $F412)) : INDEX(AA:AA, ROW()-1)),
   AVERAGEIFS(
     INDEX((unit_details[Asking Rent],unit_details[Asking PSF]),0,1,IF($U$3="Chunk Rent",1,2)),
     unit_details[Leased Date],"&gt;="&amp;($AM$2-X$5),
     unit_details[Leased Date],"&lt;"&amp;$AM$2,
     unit_details[Beds],$L413,
     unit_details[Baths],$M413,
     unit_details[Partial Baths],IF(ISNUMBER($N413),$N413,""),
     unit_details[Sqft],$P413,
     unit_details[Property Name],$F413)
 ),"")</f>
        <v/>
      </c>
      <c r="Y413" s="552" t="str">
        <f>IFERROR(
 IF($F413="Total",
   SUMPRODUCT(
   INDEX(Y:Y, ROW()-COUNTIF($F$6:INDEX($F:$F, ROW()-1), $F412)) : INDEX(Y:Y, ROW()-1),
   INDEX(AA:AA, ROW()-COUNTIF($F$6:INDEX($F:$F, ROW()-1), $F412)) : INDEX(AA:AA, ROW()-1)
   )
   /SUM(INDEX(AA:AA, ROW()-COUNTIF($F$6:INDEX($F:$F, ROW()-1), $F412)) : INDEX(AA:AA, ROW()-1)),
   AVERAGEIFS(
     INDEX((unit_details[Effective Rent],unit_details[Effective PSF]),0,1,IF($U$3="Chunk Rent",1,2)),
     unit_details[Leased Date],"&gt;="&amp;($AM$2-X$5),
     unit_details[Leased Date],"&lt;"&amp;$AM$2,
     unit_details[Beds],$L413,
     unit_details[Baths],$M413,
     unit_details[Partial Baths],IF(ISNUMBER($N413),$N413,""),
     unit_details[Sqft],$P413,
     unit_details[Property Name],$F413)
 ),"")</f>
        <v/>
      </c>
      <c r="Z413" s="27" t="str">
        <f t="shared" si="77"/>
        <v/>
      </c>
      <c r="AA413" s="526">
        <f>IFERROR(
  IF($F413="Total",
    SUM(INDEX(AA:AA, ROW()-COUNTIF($F$6:INDEX($F:$F, ROW()-1), $F412)) : INDEX(AA:AA, ROW()-1)),
    COUNTIFS(
      unit_details[Leased Date], "&gt;="&amp;($AM$2-X$5),
      unit_details[Leased Date], "&lt;"&amp;$AM$2,
      unit_details[Beds], $L413,
      unit_details[Baths], $M413,
      unit_details[Partial Baths], IF(ISNUMBER($N413), $N413, ""),
      unit_details[Sqft],$P413,
      unit_details[Property Name], $F413
    )
  ),
"")</f>
        <v>0</v>
      </c>
      <c r="AB413" s="290">
        <f>IF($F413="Total",
SUM(INDEX(AB:AB, ROW()-COUNTIF($F$6:INDEX($F:$F, ROW()-1), $F412)) : INDEX(AB:AB, ROW()-1)),
COUNTIFS(unit_details[Active Listing?],TRUE,
          unit_details[Property Name], $F413,
          unit_details[Beds], $L413,
          unit_details[Baths], $M413,
          unit_details[Partial Baths],IF(ISNUMBER($N413),$N413,""),
          unit_details[Sqft],$P413))</f>
        <v>0</v>
      </c>
      <c r="AC413" s="27" t="str">
        <f t="shared" si="69"/>
        <v/>
      </c>
      <c r="AD413" s="293" t="str">
        <f>IFERROR(IF(AE413="","",IF($F413="Total",
SUMPRODUCT(
   INDEX(AD:AD, ROW()-COUNTIF($F$6:INDEX($F:$F, ROW()-1), $F412)) : INDEX(AD:AD, ROW()-1),
   INDEX(AB:AB, ROW()-COUNTIF($F$6:INDEX($F:$F, ROW()-1), $F412)) : INDEX(AB:AB, ROW()-1)
   )
   /SUM(INDEX(AB:AB, ROW()-COUNTIF($F$6:INDEX($F:$F, ROW()-1), $F412)) : INDEX(AB:AB, ROW()-1)),
          _xlfn.MINIFS(unit_details[Asking Rent],
          unit_details[Active Listing?],TRUE,
          unit_details[Property Name], $F413,
          unit_details[Beds], $L413,
          unit_details[Baths], $M413,
          unit_details[Partial Baths], IF(ISNUMBER($N413),$N413,""),
          unit_details[Sqft],$P413
))),"")</f>
        <v/>
      </c>
      <c r="AE413" s="5" t="str">
        <f>IFERROR(IF($F413="Total",
          SUMPRODUCT(
   INDEX(AE:AE, ROW()-COUNTIF($F$6:INDEX($F:$F, ROW()-1), $F412)) : INDEX(AE:AE, ROW()-1),
   INDEX(AB:AB, ROW()-COUNTIF($F$6:INDEX($F:$F, ROW()-1), $F412)) : INDEX(AB:AB, ROW()-1)
   )
   /SUM(INDEX(AB:AB, ROW()-COUNTIF($F$6:INDEX($F:$F, ROW()-1), $F412)) : INDEX(AB:AB, ROW()-1)),
          AVERAGEIFS(unit_details[Asking Rent],
          unit_details[Active Listing?],TRUE,
          unit_details[Property Name], $F413,
          unit_details[Beds], $L413,
          unit_details[Baths], $M413,
          unit_details[Partial Baths], IF(ISNUMBER($N413),$N413,""),
          unit_details[Sqft],$P413
)),"")</f>
        <v/>
      </c>
      <c r="AF413" s="5" t="str">
        <f>IFERROR(IF(AE413="","",IF($F413="Total",
SUMPRODUCT(
   INDEX(AF:AF, ROW()-COUNTIF($F$6:INDEX($F:$F, ROW()-1), $F412)) : INDEX(AF:AF, ROW()-1),
   INDEX(AB:AB, ROW()-COUNTIF($F$6:INDEX($F:$F, ROW()-1), $F412)) : INDEX(AB:AB, ROW()-1)
   )
   /SUM(INDEX(AB:AB, ROW()-COUNTIF($F$6:INDEX($F:$F, ROW()-1), $F412)) : INDEX(AB:AB, ROW()-1)),
           _xlfn.MAXIFS(unit_details[Asking Rent],
          unit_details[Active Listing?],TRUE,
          unit_details[Property Name], $F413,
          unit_details[Beds], $L413,
          unit_details[Baths], $M413,
          unit_details[Partial Baths], IF(ISNUMBER($N413),$N413,""),
          unit_details[Sqft],$P413
))),"")</f>
        <v/>
      </c>
      <c r="AG413" s="6" t="str">
        <f>IFERROR(IF($F413="Total",
         SUMPRODUCT(
         INDEX(AG:AG, ROW()-COUNTIF($F$6:INDEX($F:$F, ROW()-1), $F412)) : INDEX(AG:AG, ROW()-1),
         INDEX(AB:AB, ROW()-COUNTIF($F$6:INDEX($F:$F, ROW()-1), $F412)) : INDEX(AB:AB, ROW()-1)
         )
         /SUM(INDEX(AB:AB, ROW()-COUNTIF($F$6:INDEX($F:$F, ROW()-1), $F412)) : INDEX(AB:AB, ROW()-1)),
          AVERAGEIFS(unit_details[Asking PSF],
          unit_details[Active Listing?],TRUE,
          unit_details[Property Name], $F413,
          unit_details[Beds], $L413,
          unit_details[Baths], $M413,
          unit_details[Partial Baths], IF(ISNUMBER($N413),$N413,""),
          unit_details[Sqft],$P413
)),"")</f>
        <v/>
      </c>
      <c r="AH413" s="293" t="str">
        <f>IFERROR(IF($F413="Total",
         SUMPRODUCT(
         INDEX(AH:AH, ROW()-COUNTIF($F$6:INDEX($F:$F, ROW()-1), $F412)) : INDEX(AH:AH, ROW()-1),
         INDEX(AB:AB, ROW()-COUNTIF($F$6:INDEX($F:$F, ROW()-1), $F412)) : INDEX(AB:AB, ROW()-1)
         )
         /SUM(INDEX(AB:AB, ROW()-COUNTIF($F$6:INDEX($F:$F, ROW()-1), $F412)) : INDEX(AB:AB, ROW()-1)),
          AVERAGEIFS(unit_details[Effective Rent],
          unit_details[Active Listing?],TRUE,
          unit_details[Property Name], $F413,
          unit_details[Beds], $L413,
          unit_details[Baths], $M413,
          unit_details[Partial Baths], IF(ISNUMBER($N413),$N413,""),
          unit_details[Sqft],$P413
)),"")</f>
        <v/>
      </c>
      <c r="AI413" s="6" t="str">
        <f>IFERROR(IF($F413="Total",
         SUMPRODUCT(
         INDEX(AI:AI, ROW()-COUNTIF($F$6:INDEX($F:$F, ROW()-1), $F412)) : INDEX(AI:AI, ROW()-1),
         INDEX(AB:AB, ROW()-COUNTIF($F$6:INDEX($F:$F, ROW()-1), $F412)) : INDEX(AB:AB, ROW()-1)
         )
         /SUM(INDEX(AB:AB, ROW()-COUNTIF($F$6:INDEX($F:$F, ROW()-1), $F412)) : INDEX(AB:AB, ROW()-1)),
           AVERAGEIFS(unit_details[Effective PSF],
          unit_details[Active Listing?],TRUE,
          unit_details[Property Name], $F413,
          unit_details[Beds], $L413,
          unit_details[Baths], $M413,
          unit_details[Partial Baths], IF(ISNUMBER($N413),$N413,""),
          unit_details[Sqft],$P413
)),"")</f>
        <v/>
      </c>
      <c r="AJ413" s="824" t="str">
        <f t="shared" si="70"/>
        <v/>
      </c>
      <c r="AK413" s="531" t="str">
        <f t="shared" si="71"/>
        <v/>
      </c>
      <c r="AL413" s="714" t="str">
        <f t="shared" si="72"/>
        <v/>
      </c>
      <c r="AM413" s="531" t="str">
        <f t="shared" si="73"/>
        <v/>
      </c>
      <c r="AN413" s="716" t="str">
        <f t="shared" si="74"/>
        <v/>
      </c>
    </row>
    <row r="414" spans="6:40" x14ac:dyDescent="0.2">
      <c r="F414" s="1" t="str">
        <f t="shared" si="67"/>
        <v/>
      </c>
      <c r="G414" s="713" t="str">
        <f t="shared" si="75"/>
        <v/>
      </c>
      <c r="H414" s="17" t="str">
        <f>IFERROR(VLOOKUP($G414,Table1[[Property]:[Exposure %]],4,0),"")</f>
        <v/>
      </c>
      <c r="I414" s="3" t="str">
        <f>IFERROR(VLOOKUP($G414,Table1[[Property]:[Exposure %]],6,0),"")</f>
        <v/>
      </c>
      <c r="J414" s="3" t="str">
        <f>IFERROR(VLOOKUP($G414,Table1[[Property]:[Exposure %]],7,0),"")</f>
        <v/>
      </c>
      <c r="R414" s="4" t="str">
        <f>IFERROR(VLOOKUP(IF(F414="Total",F413,F414),Table1[[Property]:['# Units]],7,0)*S414,"")</f>
        <v/>
      </c>
      <c r="S414" s="27" t="str">
        <f t="shared" si="68"/>
        <v/>
      </c>
      <c r="T414" s="531" t="str">
        <f>IFERROR(
 IF($F414="Total",
   SUMPRODUCT(
   INDEX(T:T, ROW()-COUNTIF($F$6:INDEX($F:$F, ROW()-1), $F413)) : INDEX(T:T, ROW()-1),
   INDEX(W:W, ROW()-COUNTIF($F$6:INDEX($F:$F, ROW()-1), $F413)) : INDEX(W:W, ROW()-1)
   )
   /SUM(INDEX(W:W, ROW()-COUNTIF($F$6:INDEX($F:$F, ROW()-1), $F413)) : INDEX(W:W, ROW()-1)),
   AVERAGEIFS(
     INDEX((unit_details[Asking Rent],unit_details[Asking PSF]),0,1,IF($U$3="Chunk Rent",1,2)),
     unit_details[Leased Date],"&gt;="&amp;($AM$2-T$5),
     unit_details[Leased Date],"&lt;"&amp;$AM$2,
     unit_details[Beds],$L414,
     unit_details[Baths],$M414,
     unit_details[Partial Baths],IF(ISNUMBER($N414),$N414,""),
     unit_details[Sqft],$P414,
     unit_details[Property Name],$F414)
 ),"")</f>
        <v/>
      </c>
      <c r="U414" s="552" t="str">
        <f>IFERROR(
 IF($F414="Total",
   SUMPRODUCT(
   INDEX(U:U, ROW()-COUNTIF($F$6:INDEX($F:$F, ROW()-1), $F413)) : INDEX(U:U, ROW()-1),
   INDEX(W:W, ROW()-COUNTIF($F$6:INDEX($F:$F, ROW()-1), $F413)) : INDEX(W:W, ROW()-1)
   )
   /SUM(INDEX(W:W, ROW()-COUNTIF($F$6:INDEX($F:$F, ROW()-1), $F413)) : INDEX(W:W, ROW()-1)),
   AVERAGEIFS(
     INDEX((unit_details[Effective Rent],unit_details[Effective PSF]),0,1,IF($U$3="Chunk Rent",1,2)),
     unit_details[Leased Date],"&gt;="&amp;($AM$2-T$5),
     unit_details[Leased Date],"&lt;"&amp;$AM$2,
     unit_details[Beds],$L414,
     unit_details[Baths],$M414,
     unit_details[Partial Baths],IF(ISNUMBER($N414),$N414,""),
     unit_details[Sqft],$P414,
     unit_details[Property Name],$F414)
 ),"")</f>
        <v/>
      </c>
      <c r="V414" s="27" t="str">
        <f t="shared" si="76"/>
        <v/>
      </c>
      <c r="W414" s="526">
        <f>IFERROR(
  IF($F414="Total",
    SUM(INDEX(W:W, ROW()-COUNTIF($F$6:INDEX($F:$F, ROW()-1), $F413)) : INDEX(W:W, ROW()-1)),
    COUNTIFS(
      unit_details[Leased Date], "&gt;="&amp;($AM$2-T$5),
      unit_details[Leased Date], "&lt;"&amp;$AM$2,
      unit_details[Beds], $L414,
      unit_details[Baths], $M414,
      unit_details[Partial Baths], IF(ISNUMBER($N414), $N414, ""),
      unit_details[Sqft],$P414,
      unit_details[Property Name], $F414
    )
  ),
"")</f>
        <v>0</v>
      </c>
      <c r="X414" s="531" t="str">
        <f>IFERROR(
 IF($F414="Total",
   SUMPRODUCT(
   INDEX(X:X, ROW()-COUNTIF($F$6:INDEX($F:$F, ROW()-1), $F413)) : INDEX(X:X, ROW()-1),
   INDEX(AA:AA, ROW()-COUNTIF($F$6:INDEX($F:$F, ROW()-1), $F413)) : INDEX(AA:AA, ROW()-1)
   )
   /SUM(INDEX(AA:AA, ROW()-COUNTIF($F$6:INDEX($F:$F, ROW()-1), $F413)) : INDEX(AA:AA, ROW()-1)),
   AVERAGEIFS(
     INDEX((unit_details[Asking Rent],unit_details[Asking PSF]),0,1,IF($U$3="Chunk Rent",1,2)),
     unit_details[Leased Date],"&gt;="&amp;($AM$2-X$5),
     unit_details[Leased Date],"&lt;"&amp;$AM$2,
     unit_details[Beds],$L414,
     unit_details[Baths],$M414,
     unit_details[Partial Baths],IF(ISNUMBER($N414),$N414,""),
     unit_details[Sqft],$P414,
     unit_details[Property Name],$F414)
 ),"")</f>
        <v/>
      </c>
      <c r="Y414" s="552" t="str">
        <f>IFERROR(
 IF($F414="Total",
   SUMPRODUCT(
   INDEX(Y:Y, ROW()-COUNTIF($F$6:INDEX($F:$F, ROW()-1), $F413)) : INDEX(Y:Y, ROW()-1),
   INDEX(AA:AA, ROW()-COUNTIF($F$6:INDEX($F:$F, ROW()-1), $F413)) : INDEX(AA:AA, ROW()-1)
   )
   /SUM(INDEX(AA:AA, ROW()-COUNTIF($F$6:INDEX($F:$F, ROW()-1), $F413)) : INDEX(AA:AA, ROW()-1)),
   AVERAGEIFS(
     INDEX((unit_details[Effective Rent],unit_details[Effective PSF]),0,1,IF($U$3="Chunk Rent",1,2)),
     unit_details[Leased Date],"&gt;="&amp;($AM$2-X$5),
     unit_details[Leased Date],"&lt;"&amp;$AM$2,
     unit_details[Beds],$L414,
     unit_details[Baths],$M414,
     unit_details[Partial Baths],IF(ISNUMBER($N414),$N414,""),
     unit_details[Sqft],$P414,
     unit_details[Property Name],$F414)
 ),"")</f>
        <v/>
      </c>
      <c r="Z414" s="27" t="str">
        <f t="shared" si="77"/>
        <v/>
      </c>
      <c r="AA414" s="526">
        <f>IFERROR(
  IF($F414="Total",
    SUM(INDEX(AA:AA, ROW()-COUNTIF($F$6:INDEX($F:$F, ROW()-1), $F413)) : INDEX(AA:AA, ROW()-1)),
    COUNTIFS(
      unit_details[Leased Date], "&gt;="&amp;($AM$2-X$5),
      unit_details[Leased Date], "&lt;"&amp;$AM$2,
      unit_details[Beds], $L414,
      unit_details[Baths], $M414,
      unit_details[Partial Baths], IF(ISNUMBER($N414), $N414, ""),
      unit_details[Sqft],$P414,
      unit_details[Property Name], $F414
    )
  ),
"")</f>
        <v>0</v>
      </c>
      <c r="AB414" s="290">
        <f>IF($F414="Total",
SUM(INDEX(AB:AB, ROW()-COUNTIF($F$6:INDEX($F:$F, ROW()-1), $F413)) : INDEX(AB:AB, ROW()-1)),
COUNTIFS(unit_details[Active Listing?],TRUE,
          unit_details[Property Name], $F414,
          unit_details[Beds], $L414,
          unit_details[Baths], $M414,
          unit_details[Partial Baths],IF(ISNUMBER($N414),$N414,""),
          unit_details[Sqft],$P414))</f>
        <v>0</v>
      </c>
      <c r="AC414" s="27" t="str">
        <f t="shared" si="69"/>
        <v/>
      </c>
      <c r="AD414" s="293" t="str">
        <f>IFERROR(IF(AE414="","",IF($F414="Total",
SUMPRODUCT(
   INDEX(AD:AD, ROW()-COUNTIF($F$6:INDEX($F:$F, ROW()-1), $F413)) : INDEX(AD:AD, ROW()-1),
   INDEX(AB:AB, ROW()-COUNTIF($F$6:INDEX($F:$F, ROW()-1), $F413)) : INDEX(AB:AB, ROW()-1)
   )
   /SUM(INDEX(AB:AB, ROW()-COUNTIF($F$6:INDEX($F:$F, ROW()-1), $F413)) : INDEX(AB:AB, ROW()-1)),
          _xlfn.MINIFS(unit_details[Asking Rent],
          unit_details[Active Listing?],TRUE,
          unit_details[Property Name], $F414,
          unit_details[Beds], $L414,
          unit_details[Baths], $M414,
          unit_details[Partial Baths], IF(ISNUMBER($N414),$N414,""),
          unit_details[Sqft],$P414
))),"")</f>
        <v/>
      </c>
      <c r="AE414" s="5" t="str">
        <f>IFERROR(IF($F414="Total",
          SUMPRODUCT(
   INDEX(AE:AE, ROW()-COUNTIF($F$6:INDEX($F:$F, ROW()-1), $F413)) : INDEX(AE:AE, ROW()-1),
   INDEX(AB:AB, ROW()-COUNTIF($F$6:INDEX($F:$F, ROW()-1), $F413)) : INDEX(AB:AB, ROW()-1)
   )
   /SUM(INDEX(AB:AB, ROW()-COUNTIF($F$6:INDEX($F:$F, ROW()-1), $F413)) : INDEX(AB:AB, ROW()-1)),
          AVERAGEIFS(unit_details[Asking Rent],
          unit_details[Active Listing?],TRUE,
          unit_details[Property Name], $F414,
          unit_details[Beds], $L414,
          unit_details[Baths], $M414,
          unit_details[Partial Baths], IF(ISNUMBER($N414),$N414,""),
          unit_details[Sqft],$P414
)),"")</f>
        <v/>
      </c>
      <c r="AF414" s="5" t="str">
        <f>IFERROR(IF(AE414="","",IF($F414="Total",
SUMPRODUCT(
   INDEX(AF:AF, ROW()-COUNTIF($F$6:INDEX($F:$F, ROW()-1), $F413)) : INDEX(AF:AF, ROW()-1),
   INDEX(AB:AB, ROW()-COUNTIF($F$6:INDEX($F:$F, ROW()-1), $F413)) : INDEX(AB:AB, ROW()-1)
   )
   /SUM(INDEX(AB:AB, ROW()-COUNTIF($F$6:INDEX($F:$F, ROW()-1), $F413)) : INDEX(AB:AB, ROW()-1)),
           _xlfn.MAXIFS(unit_details[Asking Rent],
          unit_details[Active Listing?],TRUE,
          unit_details[Property Name], $F414,
          unit_details[Beds], $L414,
          unit_details[Baths], $M414,
          unit_details[Partial Baths], IF(ISNUMBER($N414),$N414,""),
          unit_details[Sqft],$P414
))),"")</f>
        <v/>
      </c>
      <c r="AG414" s="6" t="str">
        <f>IFERROR(IF($F414="Total",
         SUMPRODUCT(
         INDEX(AG:AG, ROW()-COUNTIF($F$6:INDEX($F:$F, ROW()-1), $F413)) : INDEX(AG:AG, ROW()-1),
         INDEX(AB:AB, ROW()-COUNTIF($F$6:INDEX($F:$F, ROW()-1), $F413)) : INDEX(AB:AB, ROW()-1)
         )
         /SUM(INDEX(AB:AB, ROW()-COUNTIF($F$6:INDEX($F:$F, ROW()-1), $F413)) : INDEX(AB:AB, ROW()-1)),
          AVERAGEIFS(unit_details[Asking PSF],
          unit_details[Active Listing?],TRUE,
          unit_details[Property Name], $F414,
          unit_details[Beds], $L414,
          unit_details[Baths], $M414,
          unit_details[Partial Baths], IF(ISNUMBER($N414),$N414,""),
          unit_details[Sqft],$P414
)),"")</f>
        <v/>
      </c>
      <c r="AH414" s="293" t="str">
        <f>IFERROR(IF($F414="Total",
         SUMPRODUCT(
         INDEX(AH:AH, ROW()-COUNTIF($F$6:INDEX($F:$F, ROW()-1), $F413)) : INDEX(AH:AH, ROW()-1),
         INDEX(AB:AB, ROW()-COUNTIF($F$6:INDEX($F:$F, ROW()-1), $F413)) : INDEX(AB:AB, ROW()-1)
         )
         /SUM(INDEX(AB:AB, ROW()-COUNTIF($F$6:INDEX($F:$F, ROW()-1), $F413)) : INDEX(AB:AB, ROW()-1)),
          AVERAGEIFS(unit_details[Effective Rent],
          unit_details[Active Listing?],TRUE,
          unit_details[Property Name], $F414,
          unit_details[Beds], $L414,
          unit_details[Baths], $M414,
          unit_details[Partial Baths], IF(ISNUMBER($N414),$N414,""),
          unit_details[Sqft],$P414
)),"")</f>
        <v/>
      </c>
      <c r="AI414" s="6" t="str">
        <f>IFERROR(IF($F414="Total",
         SUMPRODUCT(
         INDEX(AI:AI, ROW()-COUNTIF($F$6:INDEX($F:$F, ROW()-1), $F413)) : INDEX(AI:AI, ROW()-1),
         INDEX(AB:AB, ROW()-COUNTIF($F$6:INDEX($F:$F, ROW()-1), $F413)) : INDEX(AB:AB, ROW()-1)
         )
         /SUM(INDEX(AB:AB, ROW()-COUNTIF($F$6:INDEX($F:$F, ROW()-1), $F413)) : INDEX(AB:AB, ROW()-1)),
           AVERAGEIFS(unit_details[Effective PSF],
          unit_details[Active Listing?],TRUE,
          unit_details[Property Name], $F414,
          unit_details[Beds], $L414,
          unit_details[Baths], $M414,
          unit_details[Partial Baths], IF(ISNUMBER($N414),$N414,""),
          unit_details[Sqft],$P414
)),"")</f>
        <v/>
      </c>
      <c r="AJ414" s="824" t="str">
        <f t="shared" si="70"/>
        <v/>
      </c>
      <c r="AK414" s="531" t="str">
        <f t="shared" si="71"/>
        <v/>
      </c>
      <c r="AL414" s="714" t="str">
        <f t="shared" si="72"/>
        <v/>
      </c>
      <c r="AM414" s="531" t="str">
        <f t="shared" si="73"/>
        <v/>
      </c>
      <c r="AN414" s="716" t="str">
        <f t="shared" si="74"/>
        <v/>
      </c>
    </row>
    <row r="415" spans="6:40" x14ac:dyDescent="0.2">
      <c r="F415" s="1" t="str">
        <f t="shared" si="67"/>
        <v/>
      </c>
      <c r="G415" s="713" t="str">
        <f t="shared" si="75"/>
        <v/>
      </c>
      <c r="H415" s="17" t="str">
        <f>IFERROR(VLOOKUP($G415,Table1[[Property]:[Exposure %]],4,0),"")</f>
        <v/>
      </c>
      <c r="I415" s="3" t="str">
        <f>IFERROR(VLOOKUP($G415,Table1[[Property]:[Exposure %]],6,0),"")</f>
        <v/>
      </c>
      <c r="J415" s="3" t="str">
        <f>IFERROR(VLOOKUP($G415,Table1[[Property]:[Exposure %]],7,0),"")</f>
        <v/>
      </c>
      <c r="R415" s="4" t="str">
        <f>IFERROR(VLOOKUP(IF(F415="Total",F414,F415),Table1[[Property]:['# Units]],7,0)*S415,"")</f>
        <v/>
      </c>
      <c r="S415" s="27" t="str">
        <f t="shared" si="68"/>
        <v/>
      </c>
      <c r="T415" s="531" t="str">
        <f>IFERROR(
 IF($F415="Total",
   SUMPRODUCT(
   INDEX(T:T, ROW()-COUNTIF($F$6:INDEX($F:$F, ROW()-1), $F414)) : INDEX(T:T, ROW()-1),
   INDEX(W:W, ROW()-COUNTIF($F$6:INDEX($F:$F, ROW()-1), $F414)) : INDEX(W:W, ROW()-1)
   )
   /SUM(INDEX(W:W, ROW()-COUNTIF($F$6:INDEX($F:$F, ROW()-1), $F414)) : INDEX(W:W, ROW()-1)),
   AVERAGEIFS(
     INDEX((unit_details[Asking Rent],unit_details[Asking PSF]),0,1,IF($U$3="Chunk Rent",1,2)),
     unit_details[Leased Date],"&gt;="&amp;($AM$2-T$5),
     unit_details[Leased Date],"&lt;"&amp;$AM$2,
     unit_details[Beds],$L415,
     unit_details[Baths],$M415,
     unit_details[Partial Baths],IF(ISNUMBER($N415),$N415,""),
     unit_details[Sqft],$P415,
     unit_details[Property Name],$F415)
 ),"")</f>
        <v/>
      </c>
      <c r="U415" s="552" t="str">
        <f>IFERROR(
 IF($F415="Total",
   SUMPRODUCT(
   INDEX(U:U, ROW()-COUNTIF($F$6:INDEX($F:$F, ROW()-1), $F414)) : INDEX(U:U, ROW()-1),
   INDEX(W:W, ROW()-COUNTIF($F$6:INDEX($F:$F, ROW()-1), $F414)) : INDEX(W:W, ROW()-1)
   )
   /SUM(INDEX(W:W, ROW()-COUNTIF($F$6:INDEX($F:$F, ROW()-1), $F414)) : INDEX(W:W, ROW()-1)),
   AVERAGEIFS(
     INDEX((unit_details[Effective Rent],unit_details[Effective PSF]),0,1,IF($U$3="Chunk Rent",1,2)),
     unit_details[Leased Date],"&gt;="&amp;($AM$2-T$5),
     unit_details[Leased Date],"&lt;"&amp;$AM$2,
     unit_details[Beds],$L415,
     unit_details[Baths],$M415,
     unit_details[Partial Baths],IF(ISNUMBER($N415),$N415,""),
     unit_details[Sqft],$P415,
     unit_details[Property Name],$F415)
 ),"")</f>
        <v/>
      </c>
      <c r="V415" s="27" t="str">
        <f t="shared" si="76"/>
        <v/>
      </c>
      <c r="W415" s="526">
        <f>IFERROR(
  IF($F415="Total",
    SUM(INDEX(W:W, ROW()-COUNTIF($F$6:INDEX($F:$F, ROW()-1), $F414)) : INDEX(W:W, ROW()-1)),
    COUNTIFS(
      unit_details[Leased Date], "&gt;="&amp;($AM$2-T$5),
      unit_details[Leased Date], "&lt;"&amp;$AM$2,
      unit_details[Beds], $L415,
      unit_details[Baths], $M415,
      unit_details[Partial Baths], IF(ISNUMBER($N415), $N415, ""),
      unit_details[Sqft],$P415,
      unit_details[Property Name], $F415
    )
  ),
"")</f>
        <v>0</v>
      </c>
      <c r="X415" s="531" t="str">
        <f>IFERROR(
 IF($F415="Total",
   SUMPRODUCT(
   INDEX(X:X, ROW()-COUNTIF($F$6:INDEX($F:$F, ROW()-1), $F414)) : INDEX(X:X, ROW()-1),
   INDEX(AA:AA, ROW()-COUNTIF($F$6:INDEX($F:$F, ROW()-1), $F414)) : INDEX(AA:AA, ROW()-1)
   )
   /SUM(INDEX(AA:AA, ROW()-COUNTIF($F$6:INDEX($F:$F, ROW()-1), $F414)) : INDEX(AA:AA, ROW()-1)),
   AVERAGEIFS(
     INDEX((unit_details[Asking Rent],unit_details[Asking PSF]),0,1,IF($U$3="Chunk Rent",1,2)),
     unit_details[Leased Date],"&gt;="&amp;($AM$2-X$5),
     unit_details[Leased Date],"&lt;"&amp;$AM$2,
     unit_details[Beds],$L415,
     unit_details[Baths],$M415,
     unit_details[Partial Baths],IF(ISNUMBER($N415),$N415,""),
     unit_details[Sqft],$P415,
     unit_details[Property Name],$F415)
 ),"")</f>
        <v/>
      </c>
      <c r="Y415" s="552" t="str">
        <f>IFERROR(
 IF($F415="Total",
   SUMPRODUCT(
   INDEX(Y:Y, ROW()-COUNTIF($F$6:INDEX($F:$F, ROW()-1), $F414)) : INDEX(Y:Y, ROW()-1),
   INDEX(AA:AA, ROW()-COUNTIF($F$6:INDEX($F:$F, ROW()-1), $F414)) : INDEX(AA:AA, ROW()-1)
   )
   /SUM(INDEX(AA:AA, ROW()-COUNTIF($F$6:INDEX($F:$F, ROW()-1), $F414)) : INDEX(AA:AA, ROW()-1)),
   AVERAGEIFS(
     INDEX((unit_details[Effective Rent],unit_details[Effective PSF]),0,1,IF($U$3="Chunk Rent",1,2)),
     unit_details[Leased Date],"&gt;="&amp;($AM$2-X$5),
     unit_details[Leased Date],"&lt;"&amp;$AM$2,
     unit_details[Beds],$L415,
     unit_details[Baths],$M415,
     unit_details[Partial Baths],IF(ISNUMBER($N415),$N415,""),
     unit_details[Sqft],$P415,
     unit_details[Property Name],$F415)
 ),"")</f>
        <v/>
      </c>
      <c r="Z415" s="27" t="str">
        <f t="shared" si="77"/>
        <v/>
      </c>
      <c r="AA415" s="526">
        <f>IFERROR(
  IF($F415="Total",
    SUM(INDEX(AA:AA, ROW()-COUNTIF($F$6:INDEX($F:$F, ROW()-1), $F414)) : INDEX(AA:AA, ROW()-1)),
    COUNTIFS(
      unit_details[Leased Date], "&gt;="&amp;($AM$2-X$5),
      unit_details[Leased Date], "&lt;"&amp;$AM$2,
      unit_details[Beds], $L415,
      unit_details[Baths], $M415,
      unit_details[Partial Baths], IF(ISNUMBER($N415), $N415, ""),
      unit_details[Sqft],$P415,
      unit_details[Property Name], $F415
    )
  ),
"")</f>
        <v>0</v>
      </c>
      <c r="AB415" s="290">
        <f>IF($F415="Total",
SUM(INDEX(AB:AB, ROW()-COUNTIF($F$6:INDEX($F:$F, ROW()-1), $F414)) : INDEX(AB:AB, ROW()-1)),
COUNTIFS(unit_details[Active Listing?],TRUE,
          unit_details[Property Name], $F415,
          unit_details[Beds], $L415,
          unit_details[Baths], $M415,
          unit_details[Partial Baths],IF(ISNUMBER($N415),$N415,""),
          unit_details[Sqft],$P415))</f>
        <v>0</v>
      </c>
      <c r="AC415" s="27" t="str">
        <f t="shared" si="69"/>
        <v/>
      </c>
      <c r="AD415" s="293" t="str">
        <f>IFERROR(IF(AE415="","",IF($F415="Total",
SUMPRODUCT(
   INDEX(AD:AD, ROW()-COUNTIF($F$6:INDEX($F:$F, ROW()-1), $F414)) : INDEX(AD:AD, ROW()-1),
   INDEX(AB:AB, ROW()-COUNTIF($F$6:INDEX($F:$F, ROW()-1), $F414)) : INDEX(AB:AB, ROW()-1)
   )
   /SUM(INDEX(AB:AB, ROW()-COUNTIF($F$6:INDEX($F:$F, ROW()-1), $F414)) : INDEX(AB:AB, ROW()-1)),
          _xlfn.MINIFS(unit_details[Asking Rent],
          unit_details[Active Listing?],TRUE,
          unit_details[Property Name], $F415,
          unit_details[Beds], $L415,
          unit_details[Baths], $M415,
          unit_details[Partial Baths], IF(ISNUMBER($N415),$N415,""),
          unit_details[Sqft],$P415
))),"")</f>
        <v/>
      </c>
      <c r="AE415" s="5" t="str">
        <f>IFERROR(IF($F415="Total",
          SUMPRODUCT(
   INDEX(AE:AE, ROW()-COUNTIF($F$6:INDEX($F:$F, ROW()-1), $F414)) : INDEX(AE:AE, ROW()-1),
   INDEX(AB:AB, ROW()-COUNTIF($F$6:INDEX($F:$F, ROW()-1), $F414)) : INDEX(AB:AB, ROW()-1)
   )
   /SUM(INDEX(AB:AB, ROW()-COUNTIF($F$6:INDEX($F:$F, ROW()-1), $F414)) : INDEX(AB:AB, ROW()-1)),
          AVERAGEIFS(unit_details[Asking Rent],
          unit_details[Active Listing?],TRUE,
          unit_details[Property Name], $F415,
          unit_details[Beds], $L415,
          unit_details[Baths], $M415,
          unit_details[Partial Baths], IF(ISNUMBER($N415),$N415,""),
          unit_details[Sqft],$P415
)),"")</f>
        <v/>
      </c>
      <c r="AF415" s="5" t="str">
        <f>IFERROR(IF(AE415="","",IF($F415="Total",
SUMPRODUCT(
   INDEX(AF:AF, ROW()-COUNTIF($F$6:INDEX($F:$F, ROW()-1), $F414)) : INDEX(AF:AF, ROW()-1),
   INDEX(AB:AB, ROW()-COUNTIF($F$6:INDEX($F:$F, ROW()-1), $F414)) : INDEX(AB:AB, ROW()-1)
   )
   /SUM(INDEX(AB:AB, ROW()-COUNTIF($F$6:INDEX($F:$F, ROW()-1), $F414)) : INDEX(AB:AB, ROW()-1)),
           _xlfn.MAXIFS(unit_details[Asking Rent],
          unit_details[Active Listing?],TRUE,
          unit_details[Property Name], $F415,
          unit_details[Beds], $L415,
          unit_details[Baths], $M415,
          unit_details[Partial Baths], IF(ISNUMBER($N415),$N415,""),
          unit_details[Sqft],$P415
))),"")</f>
        <v/>
      </c>
      <c r="AG415" s="6" t="str">
        <f>IFERROR(IF($F415="Total",
         SUMPRODUCT(
         INDEX(AG:AG, ROW()-COUNTIF($F$6:INDEX($F:$F, ROW()-1), $F414)) : INDEX(AG:AG, ROW()-1),
         INDEX(AB:AB, ROW()-COUNTIF($F$6:INDEX($F:$F, ROW()-1), $F414)) : INDEX(AB:AB, ROW()-1)
         )
         /SUM(INDEX(AB:AB, ROW()-COUNTIF($F$6:INDEX($F:$F, ROW()-1), $F414)) : INDEX(AB:AB, ROW()-1)),
          AVERAGEIFS(unit_details[Asking PSF],
          unit_details[Active Listing?],TRUE,
          unit_details[Property Name], $F415,
          unit_details[Beds], $L415,
          unit_details[Baths], $M415,
          unit_details[Partial Baths], IF(ISNUMBER($N415),$N415,""),
          unit_details[Sqft],$P415
)),"")</f>
        <v/>
      </c>
      <c r="AH415" s="293" t="str">
        <f>IFERROR(IF($F415="Total",
         SUMPRODUCT(
         INDEX(AH:AH, ROW()-COUNTIF($F$6:INDEX($F:$F, ROW()-1), $F414)) : INDEX(AH:AH, ROW()-1),
         INDEX(AB:AB, ROW()-COUNTIF($F$6:INDEX($F:$F, ROW()-1), $F414)) : INDEX(AB:AB, ROW()-1)
         )
         /SUM(INDEX(AB:AB, ROW()-COUNTIF($F$6:INDEX($F:$F, ROW()-1), $F414)) : INDEX(AB:AB, ROW()-1)),
          AVERAGEIFS(unit_details[Effective Rent],
          unit_details[Active Listing?],TRUE,
          unit_details[Property Name], $F415,
          unit_details[Beds], $L415,
          unit_details[Baths], $M415,
          unit_details[Partial Baths], IF(ISNUMBER($N415),$N415,""),
          unit_details[Sqft],$P415
)),"")</f>
        <v/>
      </c>
      <c r="AI415" s="6" t="str">
        <f>IFERROR(IF($F415="Total",
         SUMPRODUCT(
         INDEX(AI:AI, ROW()-COUNTIF($F$6:INDEX($F:$F, ROW()-1), $F414)) : INDEX(AI:AI, ROW()-1),
         INDEX(AB:AB, ROW()-COUNTIF($F$6:INDEX($F:$F, ROW()-1), $F414)) : INDEX(AB:AB, ROW()-1)
         )
         /SUM(INDEX(AB:AB, ROW()-COUNTIF($F$6:INDEX($F:$F, ROW()-1), $F414)) : INDEX(AB:AB, ROW()-1)),
           AVERAGEIFS(unit_details[Effective PSF],
          unit_details[Active Listing?],TRUE,
          unit_details[Property Name], $F415,
          unit_details[Beds], $L415,
          unit_details[Baths], $M415,
          unit_details[Partial Baths], IF(ISNUMBER($N415),$N415,""),
          unit_details[Sqft],$P415
)),"")</f>
        <v/>
      </c>
      <c r="AJ415" s="824" t="str">
        <f t="shared" si="70"/>
        <v/>
      </c>
      <c r="AK415" s="531" t="str">
        <f t="shared" si="71"/>
        <v/>
      </c>
      <c r="AL415" s="714" t="str">
        <f t="shared" si="72"/>
        <v/>
      </c>
      <c r="AM415" s="531" t="str">
        <f t="shared" si="73"/>
        <v/>
      </c>
      <c r="AN415" s="716" t="str">
        <f t="shared" si="74"/>
        <v/>
      </c>
    </row>
    <row r="416" spans="6:40" x14ac:dyDescent="0.2">
      <c r="F416" s="1" t="str">
        <f t="shared" si="67"/>
        <v/>
      </c>
      <c r="G416" s="713" t="str">
        <f t="shared" si="75"/>
        <v/>
      </c>
      <c r="H416" s="17" t="str">
        <f>IFERROR(VLOOKUP($G416,Table1[[Property]:[Exposure %]],4,0),"")</f>
        <v/>
      </c>
      <c r="I416" s="3" t="str">
        <f>IFERROR(VLOOKUP($G416,Table1[[Property]:[Exposure %]],6,0),"")</f>
        <v/>
      </c>
      <c r="J416" s="3" t="str">
        <f>IFERROR(VLOOKUP($G416,Table1[[Property]:[Exposure %]],7,0),"")</f>
        <v/>
      </c>
      <c r="R416" s="4" t="str">
        <f>IFERROR(VLOOKUP(IF(F416="Total",F415,F416),Table1[[Property]:['# Units]],7,0)*S416,"")</f>
        <v/>
      </c>
      <c r="S416" s="27" t="str">
        <f t="shared" si="68"/>
        <v/>
      </c>
      <c r="T416" s="531" t="str">
        <f>IFERROR(
 IF($F416="Total",
   SUMPRODUCT(
   INDEX(T:T, ROW()-COUNTIF($F$6:INDEX($F:$F, ROW()-1), $F415)) : INDEX(T:T, ROW()-1),
   INDEX(W:W, ROW()-COUNTIF($F$6:INDEX($F:$F, ROW()-1), $F415)) : INDEX(W:W, ROW()-1)
   )
   /SUM(INDEX(W:W, ROW()-COUNTIF($F$6:INDEX($F:$F, ROW()-1), $F415)) : INDEX(W:W, ROW()-1)),
   AVERAGEIFS(
     INDEX((unit_details[Asking Rent],unit_details[Asking PSF]),0,1,IF($U$3="Chunk Rent",1,2)),
     unit_details[Leased Date],"&gt;="&amp;($AM$2-T$5),
     unit_details[Leased Date],"&lt;"&amp;$AM$2,
     unit_details[Beds],$L416,
     unit_details[Baths],$M416,
     unit_details[Partial Baths],IF(ISNUMBER($N416),$N416,""),
     unit_details[Sqft],$P416,
     unit_details[Property Name],$F416)
 ),"")</f>
        <v/>
      </c>
      <c r="U416" s="552" t="str">
        <f>IFERROR(
 IF($F416="Total",
   SUMPRODUCT(
   INDEX(U:U, ROW()-COUNTIF($F$6:INDEX($F:$F, ROW()-1), $F415)) : INDEX(U:U, ROW()-1),
   INDEX(W:W, ROW()-COUNTIF($F$6:INDEX($F:$F, ROW()-1), $F415)) : INDEX(W:W, ROW()-1)
   )
   /SUM(INDEX(W:W, ROW()-COUNTIF($F$6:INDEX($F:$F, ROW()-1), $F415)) : INDEX(W:W, ROW()-1)),
   AVERAGEIFS(
     INDEX((unit_details[Effective Rent],unit_details[Effective PSF]),0,1,IF($U$3="Chunk Rent",1,2)),
     unit_details[Leased Date],"&gt;="&amp;($AM$2-T$5),
     unit_details[Leased Date],"&lt;"&amp;$AM$2,
     unit_details[Beds],$L416,
     unit_details[Baths],$M416,
     unit_details[Partial Baths],IF(ISNUMBER($N416),$N416,""),
     unit_details[Sqft],$P416,
     unit_details[Property Name],$F416)
 ),"")</f>
        <v/>
      </c>
      <c r="V416" s="27" t="str">
        <f t="shared" si="76"/>
        <v/>
      </c>
      <c r="W416" s="526">
        <f>IFERROR(
  IF($F416="Total",
    SUM(INDEX(W:W, ROW()-COUNTIF($F$6:INDEX($F:$F, ROW()-1), $F415)) : INDEX(W:W, ROW()-1)),
    COUNTIFS(
      unit_details[Leased Date], "&gt;="&amp;($AM$2-T$5),
      unit_details[Leased Date], "&lt;"&amp;$AM$2,
      unit_details[Beds], $L416,
      unit_details[Baths], $M416,
      unit_details[Partial Baths], IF(ISNUMBER($N416), $N416, ""),
      unit_details[Sqft],$P416,
      unit_details[Property Name], $F416
    )
  ),
"")</f>
        <v>0</v>
      </c>
      <c r="X416" s="531" t="str">
        <f>IFERROR(
 IF($F416="Total",
   SUMPRODUCT(
   INDEX(X:X, ROW()-COUNTIF($F$6:INDEX($F:$F, ROW()-1), $F415)) : INDEX(X:X, ROW()-1),
   INDEX(AA:AA, ROW()-COUNTIF($F$6:INDEX($F:$F, ROW()-1), $F415)) : INDEX(AA:AA, ROW()-1)
   )
   /SUM(INDEX(AA:AA, ROW()-COUNTIF($F$6:INDEX($F:$F, ROW()-1), $F415)) : INDEX(AA:AA, ROW()-1)),
   AVERAGEIFS(
     INDEX((unit_details[Asking Rent],unit_details[Asking PSF]),0,1,IF($U$3="Chunk Rent",1,2)),
     unit_details[Leased Date],"&gt;="&amp;($AM$2-X$5),
     unit_details[Leased Date],"&lt;"&amp;$AM$2,
     unit_details[Beds],$L416,
     unit_details[Baths],$M416,
     unit_details[Partial Baths],IF(ISNUMBER($N416),$N416,""),
     unit_details[Sqft],$P416,
     unit_details[Property Name],$F416)
 ),"")</f>
        <v/>
      </c>
      <c r="Y416" s="552" t="str">
        <f>IFERROR(
 IF($F416="Total",
   SUMPRODUCT(
   INDEX(Y:Y, ROW()-COUNTIF($F$6:INDEX($F:$F, ROW()-1), $F415)) : INDEX(Y:Y, ROW()-1),
   INDEX(AA:AA, ROW()-COUNTIF($F$6:INDEX($F:$F, ROW()-1), $F415)) : INDEX(AA:AA, ROW()-1)
   )
   /SUM(INDEX(AA:AA, ROW()-COUNTIF($F$6:INDEX($F:$F, ROW()-1), $F415)) : INDEX(AA:AA, ROW()-1)),
   AVERAGEIFS(
     INDEX((unit_details[Effective Rent],unit_details[Effective PSF]),0,1,IF($U$3="Chunk Rent",1,2)),
     unit_details[Leased Date],"&gt;="&amp;($AM$2-X$5),
     unit_details[Leased Date],"&lt;"&amp;$AM$2,
     unit_details[Beds],$L416,
     unit_details[Baths],$M416,
     unit_details[Partial Baths],IF(ISNUMBER($N416),$N416,""),
     unit_details[Sqft],$P416,
     unit_details[Property Name],$F416)
 ),"")</f>
        <v/>
      </c>
      <c r="Z416" s="27" t="str">
        <f t="shared" si="77"/>
        <v/>
      </c>
      <c r="AA416" s="526">
        <f>IFERROR(
  IF($F416="Total",
    SUM(INDEX(AA:AA, ROW()-COUNTIF($F$6:INDEX($F:$F, ROW()-1), $F415)) : INDEX(AA:AA, ROW()-1)),
    COUNTIFS(
      unit_details[Leased Date], "&gt;="&amp;($AM$2-X$5),
      unit_details[Leased Date], "&lt;"&amp;$AM$2,
      unit_details[Beds], $L416,
      unit_details[Baths], $M416,
      unit_details[Partial Baths], IF(ISNUMBER($N416), $N416, ""),
      unit_details[Sqft],$P416,
      unit_details[Property Name], $F416
    )
  ),
"")</f>
        <v>0</v>
      </c>
      <c r="AB416" s="290">
        <f>IF($F416="Total",
SUM(INDEX(AB:AB, ROW()-COUNTIF($F$6:INDEX($F:$F, ROW()-1), $F415)) : INDEX(AB:AB, ROW()-1)),
COUNTIFS(unit_details[Active Listing?],TRUE,
          unit_details[Property Name], $F416,
          unit_details[Beds], $L416,
          unit_details[Baths], $M416,
          unit_details[Partial Baths],IF(ISNUMBER($N416),$N416,""),
          unit_details[Sqft],$P416))</f>
        <v>0</v>
      </c>
      <c r="AC416" s="27" t="str">
        <f t="shared" si="69"/>
        <v/>
      </c>
      <c r="AD416" s="293" t="str">
        <f>IFERROR(IF(AE416="","",IF($F416="Total",
SUMPRODUCT(
   INDEX(AD:AD, ROW()-COUNTIF($F$6:INDEX($F:$F, ROW()-1), $F415)) : INDEX(AD:AD, ROW()-1),
   INDEX(AB:AB, ROW()-COUNTIF($F$6:INDEX($F:$F, ROW()-1), $F415)) : INDEX(AB:AB, ROW()-1)
   )
   /SUM(INDEX(AB:AB, ROW()-COUNTIF($F$6:INDEX($F:$F, ROW()-1), $F415)) : INDEX(AB:AB, ROW()-1)),
          _xlfn.MINIFS(unit_details[Asking Rent],
          unit_details[Active Listing?],TRUE,
          unit_details[Property Name], $F416,
          unit_details[Beds], $L416,
          unit_details[Baths], $M416,
          unit_details[Partial Baths], IF(ISNUMBER($N416),$N416,""),
          unit_details[Sqft],$P416
))),"")</f>
        <v/>
      </c>
      <c r="AE416" s="5" t="str">
        <f>IFERROR(IF($F416="Total",
          SUMPRODUCT(
   INDEX(AE:AE, ROW()-COUNTIF($F$6:INDEX($F:$F, ROW()-1), $F415)) : INDEX(AE:AE, ROW()-1),
   INDEX(AB:AB, ROW()-COUNTIF($F$6:INDEX($F:$F, ROW()-1), $F415)) : INDEX(AB:AB, ROW()-1)
   )
   /SUM(INDEX(AB:AB, ROW()-COUNTIF($F$6:INDEX($F:$F, ROW()-1), $F415)) : INDEX(AB:AB, ROW()-1)),
          AVERAGEIFS(unit_details[Asking Rent],
          unit_details[Active Listing?],TRUE,
          unit_details[Property Name], $F416,
          unit_details[Beds], $L416,
          unit_details[Baths], $M416,
          unit_details[Partial Baths], IF(ISNUMBER($N416),$N416,""),
          unit_details[Sqft],$P416
)),"")</f>
        <v/>
      </c>
      <c r="AF416" s="5" t="str">
        <f>IFERROR(IF(AE416="","",IF($F416="Total",
SUMPRODUCT(
   INDEX(AF:AF, ROW()-COUNTIF($F$6:INDEX($F:$F, ROW()-1), $F415)) : INDEX(AF:AF, ROW()-1),
   INDEX(AB:AB, ROW()-COUNTIF($F$6:INDEX($F:$F, ROW()-1), $F415)) : INDEX(AB:AB, ROW()-1)
   )
   /SUM(INDEX(AB:AB, ROW()-COUNTIF($F$6:INDEX($F:$F, ROW()-1), $F415)) : INDEX(AB:AB, ROW()-1)),
           _xlfn.MAXIFS(unit_details[Asking Rent],
          unit_details[Active Listing?],TRUE,
          unit_details[Property Name], $F416,
          unit_details[Beds], $L416,
          unit_details[Baths], $M416,
          unit_details[Partial Baths], IF(ISNUMBER($N416),$N416,""),
          unit_details[Sqft],$P416
))),"")</f>
        <v/>
      </c>
      <c r="AG416" s="6" t="str">
        <f>IFERROR(IF($F416="Total",
         SUMPRODUCT(
         INDEX(AG:AG, ROW()-COUNTIF($F$6:INDEX($F:$F, ROW()-1), $F415)) : INDEX(AG:AG, ROW()-1),
         INDEX(AB:AB, ROW()-COUNTIF($F$6:INDEX($F:$F, ROW()-1), $F415)) : INDEX(AB:AB, ROW()-1)
         )
         /SUM(INDEX(AB:AB, ROW()-COUNTIF($F$6:INDEX($F:$F, ROW()-1), $F415)) : INDEX(AB:AB, ROW()-1)),
          AVERAGEIFS(unit_details[Asking PSF],
          unit_details[Active Listing?],TRUE,
          unit_details[Property Name], $F416,
          unit_details[Beds], $L416,
          unit_details[Baths], $M416,
          unit_details[Partial Baths], IF(ISNUMBER($N416),$N416,""),
          unit_details[Sqft],$P416
)),"")</f>
        <v/>
      </c>
      <c r="AH416" s="293" t="str">
        <f>IFERROR(IF($F416="Total",
         SUMPRODUCT(
         INDEX(AH:AH, ROW()-COUNTIF($F$6:INDEX($F:$F, ROW()-1), $F415)) : INDEX(AH:AH, ROW()-1),
         INDEX(AB:AB, ROW()-COUNTIF($F$6:INDEX($F:$F, ROW()-1), $F415)) : INDEX(AB:AB, ROW()-1)
         )
         /SUM(INDEX(AB:AB, ROW()-COUNTIF($F$6:INDEX($F:$F, ROW()-1), $F415)) : INDEX(AB:AB, ROW()-1)),
          AVERAGEIFS(unit_details[Effective Rent],
          unit_details[Active Listing?],TRUE,
          unit_details[Property Name], $F416,
          unit_details[Beds], $L416,
          unit_details[Baths], $M416,
          unit_details[Partial Baths], IF(ISNUMBER($N416),$N416,""),
          unit_details[Sqft],$P416
)),"")</f>
        <v/>
      </c>
      <c r="AI416" s="6" t="str">
        <f>IFERROR(IF($F416="Total",
         SUMPRODUCT(
         INDEX(AI:AI, ROW()-COUNTIF($F$6:INDEX($F:$F, ROW()-1), $F415)) : INDEX(AI:AI, ROW()-1),
         INDEX(AB:AB, ROW()-COUNTIF($F$6:INDEX($F:$F, ROW()-1), $F415)) : INDEX(AB:AB, ROW()-1)
         )
         /SUM(INDEX(AB:AB, ROW()-COUNTIF($F$6:INDEX($F:$F, ROW()-1), $F415)) : INDEX(AB:AB, ROW()-1)),
           AVERAGEIFS(unit_details[Effective PSF],
          unit_details[Active Listing?],TRUE,
          unit_details[Property Name], $F416,
          unit_details[Beds], $L416,
          unit_details[Baths], $M416,
          unit_details[Partial Baths], IF(ISNUMBER($N416),$N416,""),
          unit_details[Sqft],$P416
)),"")</f>
        <v/>
      </c>
      <c r="AJ416" s="824" t="str">
        <f t="shared" si="70"/>
        <v/>
      </c>
      <c r="AK416" s="531" t="str">
        <f t="shared" si="71"/>
        <v/>
      </c>
      <c r="AL416" s="714" t="str">
        <f t="shared" si="72"/>
        <v/>
      </c>
      <c r="AM416" s="531" t="str">
        <f t="shared" si="73"/>
        <v/>
      </c>
      <c r="AN416" s="716" t="str">
        <f t="shared" si="74"/>
        <v/>
      </c>
    </row>
    <row r="417" spans="6:40" x14ac:dyDescent="0.2">
      <c r="F417" s="1" t="str">
        <f t="shared" si="67"/>
        <v/>
      </c>
      <c r="G417" s="713" t="str">
        <f t="shared" si="75"/>
        <v/>
      </c>
      <c r="H417" s="17" t="str">
        <f>IFERROR(VLOOKUP($G417,Table1[[Property]:[Exposure %]],4,0),"")</f>
        <v/>
      </c>
      <c r="I417" s="3" t="str">
        <f>IFERROR(VLOOKUP($G417,Table1[[Property]:[Exposure %]],6,0),"")</f>
        <v/>
      </c>
      <c r="J417" s="3" t="str">
        <f>IFERROR(VLOOKUP($G417,Table1[[Property]:[Exposure %]],7,0),"")</f>
        <v/>
      </c>
      <c r="R417" s="4" t="str">
        <f>IFERROR(VLOOKUP(IF(F417="Total",F416,F417),Table1[[Property]:['# Units]],7,0)*S417,"")</f>
        <v/>
      </c>
      <c r="S417" s="27" t="str">
        <f t="shared" si="68"/>
        <v/>
      </c>
      <c r="T417" s="531" t="str">
        <f>IFERROR(
 IF($F417="Total",
   SUMPRODUCT(
   INDEX(T:T, ROW()-COUNTIF($F$6:INDEX($F:$F, ROW()-1), $F416)) : INDEX(T:T, ROW()-1),
   INDEX(W:W, ROW()-COUNTIF($F$6:INDEX($F:$F, ROW()-1), $F416)) : INDEX(W:W, ROW()-1)
   )
   /SUM(INDEX(W:W, ROW()-COUNTIF($F$6:INDEX($F:$F, ROW()-1), $F416)) : INDEX(W:W, ROW()-1)),
   AVERAGEIFS(
     INDEX((unit_details[Asking Rent],unit_details[Asking PSF]),0,1,IF($U$3="Chunk Rent",1,2)),
     unit_details[Leased Date],"&gt;="&amp;($AM$2-T$5),
     unit_details[Leased Date],"&lt;"&amp;$AM$2,
     unit_details[Beds],$L417,
     unit_details[Baths],$M417,
     unit_details[Partial Baths],IF(ISNUMBER($N417),$N417,""),
     unit_details[Sqft],$P417,
     unit_details[Property Name],$F417)
 ),"")</f>
        <v/>
      </c>
      <c r="U417" s="552" t="str">
        <f>IFERROR(
 IF($F417="Total",
   SUMPRODUCT(
   INDEX(U:U, ROW()-COUNTIF($F$6:INDEX($F:$F, ROW()-1), $F416)) : INDEX(U:U, ROW()-1),
   INDEX(W:W, ROW()-COUNTIF($F$6:INDEX($F:$F, ROW()-1), $F416)) : INDEX(W:W, ROW()-1)
   )
   /SUM(INDEX(W:W, ROW()-COUNTIF($F$6:INDEX($F:$F, ROW()-1), $F416)) : INDEX(W:W, ROW()-1)),
   AVERAGEIFS(
     INDEX((unit_details[Effective Rent],unit_details[Effective PSF]),0,1,IF($U$3="Chunk Rent",1,2)),
     unit_details[Leased Date],"&gt;="&amp;($AM$2-T$5),
     unit_details[Leased Date],"&lt;"&amp;$AM$2,
     unit_details[Beds],$L417,
     unit_details[Baths],$M417,
     unit_details[Partial Baths],IF(ISNUMBER($N417),$N417,""),
     unit_details[Sqft],$P417,
     unit_details[Property Name],$F417)
 ),"")</f>
        <v/>
      </c>
      <c r="V417" s="27" t="str">
        <f t="shared" si="76"/>
        <v/>
      </c>
      <c r="W417" s="526">
        <f>IFERROR(
  IF($F417="Total",
    SUM(INDEX(W:W, ROW()-COUNTIF($F$6:INDEX($F:$F, ROW()-1), $F416)) : INDEX(W:W, ROW()-1)),
    COUNTIFS(
      unit_details[Leased Date], "&gt;="&amp;($AM$2-T$5),
      unit_details[Leased Date], "&lt;"&amp;$AM$2,
      unit_details[Beds], $L417,
      unit_details[Baths], $M417,
      unit_details[Partial Baths], IF(ISNUMBER($N417), $N417, ""),
      unit_details[Sqft],$P417,
      unit_details[Property Name], $F417
    )
  ),
"")</f>
        <v>0</v>
      </c>
      <c r="X417" s="531" t="str">
        <f>IFERROR(
 IF($F417="Total",
   SUMPRODUCT(
   INDEX(X:X, ROW()-COUNTIF($F$6:INDEX($F:$F, ROW()-1), $F416)) : INDEX(X:X, ROW()-1),
   INDEX(AA:AA, ROW()-COUNTIF($F$6:INDEX($F:$F, ROW()-1), $F416)) : INDEX(AA:AA, ROW()-1)
   )
   /SUM(INDEX(AA:AA, ROW()-COUNTIF($F$6:INDEX($F:$F, ROW()-1), $F416)) : INDEX(AA:AA, ROW()-1)),
   AVERAGEIFS(
     INDEX((unit_details[Asking Rent],unit_details[Asking PSF]),0,1,IF($U$3="Chunk Rent",1,2)),
     unit_details[Leased Date],"&gt;="&amp;($AM$2-X$5),
     unit_details[Leased Date],"&lt;"&amp;$AM$2,
     unit_details[Beds],$L417,
     unit_details[Baths],$M417,
     unit_details[Partial Baths],IF(ISNUMBER($N417),$N417,""),
     unit_details[Sqft],$P417,
     unit_details[Property Name],$F417)
 ),"")</f>
        <v/>
      </c>
      <c r="Y417" s="552" t="str">
        <f>IFERROR(
 IF($F417="Total",
   SUMPRODUCT(
   INDEX(Y:Y, ROW()-COUNTIF($F$6:INDEX($F:$F, ROW()-1), $F416)) : INDEX(Y:Y, ROW()-1),
   INDEX(AA:AA, ROW()-COUNTIF($F$6:INDEX($F:$F, ROW()-1), $F416)) : INDEX(AA:AA, ROW()-1)
   )
   /SUM(INDEX(AA:AA, ROW()-COUNTIF($F$6:INDEX($F:$F, ROW()-1), $F416)) : INDEX(AA:AA, ROW()-1)),
   AVERAGEIFS(
     INDEX((unit_details[Effective Rent],unit_details[Effective PSF]),0,1,IF($U$3="Chunk Rent",1,2)),
     unit_details[Leased Date],"&gt;="&amp;($AM$2-X$5),
     unit_details[Leased Date],"&lt;"&amp;$AM$2,
     unit_details[Beds],$L417,
     unit_details[Baths],$M417,
     unit_details[Partial Baths],IF(ISNUMBER($N417),$N417,""),
     unit_details[Sqft],$P417,
     unit_details[Property Name],$F417)
 ),"")</f>
        <v/>
      </c>
      <c r="Z417" s="27" t="str">
        <f t="shared" si="77"/>
        <v/>
      </c>
      <c r="AA417" s="526">
        <f>IFERROR(
  IF($F417="Total",
    SUM(INDEX(AA:AA, ROW()-COUNTIF($F$6:INDEX($F:$F, ROW()-1), $F416)) : INDEX(AA:AA, ROW()-1)),
    COUNTIFS(
      unit_details[Leased Date], "&gt;="&amp;($AM$2-X$5),
      unit_details[Leased Date], "&lt;"&amp;$AM$2,
      unit_details[Beds], $L417,
      unit_details[Baths], $M417,
      unit_details[Partial Baths], IF(ISNUMBER($N417), $N417, ""),
      unit_details[Sqft],$P417,
      unit_details[Property Name], $F417
    )
  ),
"")</f>
        <v>0</v>
      </c>
      <c r="AB417" s="290">
        <f>IF($F417="Total",
SUM(INDEX(AB:AB, ROW()-COUNTIF($F$6:INDEX($F:$F, ROW()-1), $F416)) : INDEX(AB:AB, ROW()-1)),
COUNTIFS(unit_details[Active Listing?],TRUE,
          unit_details[Property Name], $F417,
          unit_details[Beds], $L417,
          unit_details[Baths], $M417,
          unit_details[Partial Baths],IF(ISNUMBER($N417),$N417,""),
          unit_details[Sqft],$P417))</f>
        <v>0</v>
      </c>
      <c r="AC417" s="27" t="str">
        <f t="shared" si="69"/>
        <v/>
      </c>
      <c r="AD417" s="293" t="str">
        <f>IFERROR(IF(AE417="","",IF($F417="Total",
SUMPRODUCT(
   INDEX(AD:AD, ROW()-COUNTIF($F$6:INDEX($F:$F, ROW()-1), $F416)) : INDEX(AD:AD, ROW()-1),
   INDEX(AB:AB, ROW()-COUNTIF($F$6:INDEX($F:$F, ROW()-1), $F416)) : INDEX(AB:AB, ROW()-1)
   )
   /SUM(INDEX(AB:AB, ROW()-COUNTIF($F$6:INDEX($F:$F, ROW()-1), $F416)) : INDEX(AB:AB, ROW()-1)),
          _xlfn.MINIFS(unit_details[Asking Rent],
          unit_details[Active Listing?],TRUE,
          unit_details[Property Name], $F417,
          unit_details[Beds], $L417,
          unit_details[Baths], $M417,
          unit_details[Partial Baths], IF(ISNUMBER($N417),$N417,""),
          unit_details[Sqft],$P417
))),"")</f>
        <v/>
      </c>
      <c r="AE417" s="5" t="str">
        <f>IFERROR(IF($F417="Total",
          SUMPRODUCT(
   INDEX(AE:AE, ROW()-COUNTIF($F$6:INDEX($F:$F, ROW()-1), $F416)) : INDEX(AE:AE, ROW()-1),
   INDEX(AB:AB, ROW()-COUNTIF($F$6:INDEX($F:$F, ROW()-1), $F416)) : INDEX(AB:AB, ROW()-1)
   )
   /SUM(INDEX(AB:AB, ROW()-COUNTIF($F$6:INDEX($F:$F, ROW()-1), $F416)) : INDEX(AB:AB, ROW()-1)),
          AVERAGEIFS(unit_details[Asking Rent],
          unit_details[Active Listing?],TRUE,
          unit_details[Property Name], $F417,
          unit_details[Beds], $L417,
          unit_details[Baths], $M417,
          unit_details[Partial Baths], IF(ISNUMBER($N417),$N417,""),
          unit_details[Sqft],$P417
)),"")</f>
        <v/>
      </c>
      <c r="AF417" s="5" t="str">
        <f>IFERROR(IF(AE417="","",IF($F417="Total",
SUMPRODUCT(
   INDEX(AF:AF, ROW()-COUNTIF($F$6:INDEX($F:$F, ROW()-1), $F416)) : INDEX(AF:AF, ROW()-1),
   INDEX(AB:AB, ROW()-COUNTIF($F$6:INDEX($F:$F, ROW()-1), $F416)) : INDEX(AB:AB, ROW()-1)
   )
   /SUM(INDEX(AB:AB, ROW()-COUNTIF($F$6:INDEX($F:$F, ROW()-1), $F416)) : INDEX(AB:AB, ROW()-1)),
           _xlfn.MAXIFS(unit_details[Asking Rent],
          unit_details[Active Listing?],TRUE,
          unit_details[Property Name], $F417,
          unit_details[Beds], $L417,
          unit_details[Baths], $M417,
          unit_details[Partial Baths], IF(ISNUMBER($N417),$N417,""),
          unit_details[Sqft],$P417
))),"")</f>
        <v/>
      </c>
      <c r="AG417" s="6" t="str">
        <f>IFERROR(IF($F417="Total",
         SUMPRODUCT(
         INDEX(AG:AG, ROW()-COUNTIF($F$6:INDEX($F:$F, ROW()-1), $F416)) : INDEX(AG:AG, ROW()-1),
         INDEX(AB:AB, ROW()-COUNTIF($F$6:INDEX($F:$F, ROW()-1), $F416)) : INDEX(AB:AB, ROW()-1)
         )
         /SUM(INDEX(AB:AB, ROW()-COUNTIF($F$6:INDEX($F:$F, ROW()-1), $F416)) : INDEX(AB:AB, ROW()-1)),
          AVERAGEIFS(unit_details[Asking PSF],
          unit_details[Active Listing?],TRUE,
          unit_details[Property Name], $F417,
          unit_details[Beds], $L417,
          unit_details[Baths], $M417,
          unit_details[Partial Baths], IF(ISNUMBER($N417),$N417,""),
          unit_details[Sqft],$P417
)),"")</f>
        <v/>
      </c>
      <c r="AH417" s="293" t="str">
        <f>IFERROR(IF($F417="Total",
         SUMPRODUCT(
         INDEX(AH:AH, ROW()-COUNTIF($F$6:INDEX($F:$F, ROW()-1), $F416)) : INDEX(AH:AH, ROW()-1),
         INDEX(AB:AB, ROW()-COUNTIF($F$6:INDEX($F:$F, ROW()-1), $F416)) : INDEX(AB:AB, ROW()-1)
         )
         /SUM(INDEX(AB:AB, ROW()-COUNTIF($F$6:INDEX($F:$F, ROW()-1), $F416)) : INDEX(AB:AB, ROW()-1)),
          AVERAGEIFS(unit_details[Effective Rent],
          unit_details[Active Listing?],TRUE,
          unit_details[Property Name], $F417,
          unit_details[Beds], $L417,
          unit_details[Baths], $M417,
          unit_details[Partial Baths], IF(ISNUMBER($N417),$N417,""),
          unit_details[Sqft],$P417
)),"")</f>
        <v/>
      </c>
      <c r="AI417" s="6" t="str">
        <f>IFERROR(IF($F417="Total",
         SUMPRODUCT(
         INDEX(AI:AI, ROW()-COUNTIF($F$6:INDEX($F:$F, ROW()-1), $F416)) : INDEX(AI:AI, ROW()-1),
         INDEX(AB:AB, ROW()-COUNTIF($F$6:INDEX($F:$F, ROW()-1), $F416)) : INDEX(AB:AB, ROW()-1)
         )
         /SUM(INDEX(AB:AB, ROW()-COUNTIF($F$6:INDEX($F:$F, ROW()-1), $F416)) : INDEX(AB:AB, ROW()-1)),
           AVERAGEIFS(unit_details[Effective PSF],
          unit_details[Active Listing?],TRUE,
          unit_details[Property Name], $F417,
          unit_details[Beds], $L417,
          unit_details[Baths], $M417,
          unit_details[Partial Baths], IF(ISNUMBER($N417),$N417,""),
          unit_details[Sqft],$P417
)),"")</f>
        <v/>
      </c>
      <c r="AJ417" s="824" t="str">
        <f t="shared" si="70"/>
        <v/>
      </c>
      <c r="AK417" s="531" t="str">
        <f t="shared" si="71"/>
        <v/>
      </c>
      <c r="AL417" s="714" t="str">
        <f t="shared" si="72"/>
        <v/>
      </c>
      <c r="AM417" s="531" t="str">
        <f t="shared" si="73"/>
        <v/>
      </c>
      <c r="AN417" s="716" t="str">
        <f t="shared" si="74"/>
        <v/>
      </c>
    </row>
    <row r="418" spans="6:40" x14ac:dyDescent="0.2">
      <c r="F418" s="1" t="str">
        <f t="shared" si="67"/>
        <v/>
      </c>
      <c r="G418" s="713" t="str">
        <f t="shared" si="75"/>
        <v/>
      </c>
      <c r="H418" s="17" t="str">
        <f>IFERROR(VLOOKUP($G418,Table1[[Property]:[Exposure %]],4,0),"")</f>
        <v/>
      </c>
      <c r="I418" s="3" t="str">
        <f>IFERROR(VLOOKUP($G418,Table1[[Property]:[Exposure %]],6,0),"")</f>
        <v/>
      </c>
      <c r="J418" s="3" t="str">
        <f>IFERROR(VLOOKUP($G418,Table1[[Property]:[Exposure %]],7,0),"")</f>
        <v/>
      </c>
      <c r="R418" s="4" t="str">
        <f>IFERROR(VLOOKUP(IF(F418="Total",F417,F418),Table1[[Property]:['# Units]],7,0)*S418,"")</f>
        <v/>
      </c>
      <c r="S418" s="27" t="str">
        <f t="shared" si="68"/>
        <v/>
      </c>
      <c r="T418" s="531" t="str">
        <f>IFERROR(
 IF($F418="Total",
   SUMPRODUCT(
   INDEX(T:T, ROW()-COUNTIF($F$6:INDEX($F:$F, ROW()-1), $F417)) : INDEX(T:T, ROW()-1),
   INDEX(W:W, ROW()-COUNTIF($F$6:INDEX($F:$F, ROW()-1), $F417)) : INDEX(W:W, ROW()-1)
   )
   /SUM(INDEX(W:W, ROW()-COUNTIF($F$6:INDEX($F:$F, ROW()-1), $F417)) : INDEX(W:W, ROW()-1)),
   AVERAGEIFS(
     INDEX((unit_details[Asking Rent],unit_details[Asking PSF]),0,1,IF($U$3="Chunk Rent",1,2)),
     unit_details[Leased Date],"&gt;="&amp;($AM$2-T$5),
     unit_details[Leased Date],"&lt;"&amp;$AM$2,
     unit_details[Beds],$L418,
     unit_details[Baths],$M418,
     unit_details[Partial Baths],IF(ISNUMBER($N418),$N418,""),
     unit_details[Sqft],$P418,
     unit_details[Property Name],$F418)
 ),"")</f>
        <v/>
      </c>
      <c r="U418" s="552" t="str">
        <f>IFERROR(
 IF($F418="Total",
   SUMPRODUCT(
   INDEX(U:U, ROW()-COUNTIF($F$6:INDEX($F:$F, ROW()-1), $F417)) : INDEX(U:U, ROW()-1),
   INDEX(W:W, ROW()-COUNTIF($F$6:INDEX($F:$F, ROW()-1), $F417)) : INDEX(W:W, ROW()-1)
   )
   /SUM(INDEX(W:W, ROW()-COUNTIF($F$6:INDEX($F:$F, ROW()-1), $F417)) : INDEX(W:W, ROW()-1)),
   AVERAGEIFS(
     INDEX((unit_details[Effective Rent],unit_details[Effective PSF]),0,1,IF($U$3="Chunk Rent",1,2)),
     unit_details[Leased Date],"&gt;="&amp;($AM$2-T$5),
     unit_details[Leased Date],"&lt;"&amp;$AM$2,
     unit_details[Beds],$L418,
     unit_details[Baths],$M418,
     unit_details[Partial Baths],IF(ISNUMBER($N418),$N418,""),
     unit_details[Sqft],$P418,
     unit_details[Property Name],$F418)
 ),"")</f>
        <v/>
      </c>
      <c r="V418" s="27" t="str">
        <f t="shared" si="76"/>
        <v/>
      </c>
      <c r="W418" s="526">
        <f>IFERROR(
  IF($F418="Total",
    SUM(INDEX(W:W, ROW()-COUNTIF($F$6:INDEX($F:$F, ROW()-1), $F417)) : INDEX(W:W, ROW()-1)),
    COUNTIFS(
      unit_details[Leased Date], "&gt;="&amp;($AM$2-T$5),
      unit_details[Leased Date], "&lt;"&amp;$AM$2,
      unit_details[Beds], $L418,
      unit_details[Baths], $M418,
      unit_details[Partial Baths], IF(ISNUMBER($N418), $N418, ""),
      unit_details[Sqft],$P418,
      unit_details[Property Name], $F418
    )
  ),
"")</f>
        <v>0</v>
      </c>
      <c r="X418" s="531" t="str">
        <f>IFERROR(
 IF($F418="Total",
   SUMPRODUCT(
   INDEX(X:X, ROW()-COUNTIF($F$6:INDEX($F:$F, ROW()-1), $F417)) : INDEX(X:X, ROW()-1),
   INDEX(AA:AA, ROW()-COUNTIF($F$6:INDEX($F:$F, ROW()-1), $F417)) : INDEX(AA:AA, ROW()-1)
   )
   /SUM(INDEX(AA:AA, ROW()-COUNTIF($F$6:INDEX($F:$F, ROW()-1), $F417)) : INDEX(AA:AA, ROW()-1)),
   AVERAGEIFS(
     INDEX((unit_details[Asking Rent],unit_details[Asking PSF]),0,1,IF($U$3="Chunk Rent",1,2)),
     unit_details[Leased Date],"&gt;="&amp;($AM$2-X$5),
     unit_details[Leased Date],"&lt;"&amp;$AM$2,
     unit_details[Beds],$L418,
     unit_details[Baths],$M418,
     unit_details[Partial Baths],IF(ISNUMBER($N418),$N418,""),
     unit_details[Sqft],$P418,
     unit_details[Property Name],$F418)
 ),"")</f>
        <v/>
      </c>
      <c r="Y418" s="552" t="str">
        <f>IFERROR(
 IF($F418="Total",
   SUMPRODUCT(
   INDEX(Y:Y, ROW()-COUNTIF($F$6:INDEX($F:$F, ROW()-1), $F417)) : INDEX(Y:Y, ROW()-1),
   INDEX(AA:AA, ROW()-COUNTIF($F$6:INDEX($F:$F, ROW()-1), $F417)) : INDEX(AA:AA, ROW()-1)
   )
   /SUM(INDEX(AA:AA, ROW()-COUNTIF($F$6:INDEX($F:$F, ROW()-1), $F417)) : INDEX(AA:AA, ROW()-1)),
   AVERAGEIFS(
     INDEX((unit_details[Effective Rent],unit_details[Effective PSF]),0,1,IF($U$3="Chunk Rent",1,2)),
     unit_details[Leased Date],"&gt;="&amp;($AM$2-X$5),
     unit_details[Leased Date],"&lt;"&amp;$AM$2,
     unit_details[Beds],$L418,
     unit_details[Baths],$M418,
     unit_details[Partial Baths],IF(ISNUMBER($N418),$N418,""),
     unit_details[Sqft],$P418,
     unit_details[Property Name],$F418)
 ),"")</f>
        <v/>
      </c>
      <c r="Z418" s="27" t="str">
        <f t="shared" si="77"/>
        <v/>
      </c>
      <c r="AA418" s="526">
        <f>IFERROR(
  IF($F418="Total",
    SUM(INDEX(AA:AA, ROW()-COUNTIF($F$6:INDEX($F:$F, ROW()-1), $F417)) : INDEX(AA:AA, ROW()-1)),
    COUNTIFS(
      unit_details[Leased Date], "&gt;="&amp;($AM$2-X$5),
      unit_details[Leased Date], "&lt;"&amp;$AM$2,
      unit_details[Beds], $L418,
      unit_details[Baths], $M418,
      unit_details[Partial Baths], IF(ISNUMBER($N418), $N418, ""),
      unit_details[Sqft],$P418,
      unit_details[Property Name], $F418
    )
  ),
"")</f>
        <v>0</v>
      </c>
      <c r="AB418" s="290">
        <f>IF($F418="Total",
SUM(INDEX(AB:AB, ROW()-COUNTIF($F$6:INDEX($F:$F, ROW()-1), $F417)) : INDEX(AB:AB, ROW()-1)),
COUNTIFS(unit_details[Active Listing?],TRUE,
          unit_details[Property Name], $F418,
          unit_details[Beds], $L418,
          unit_details[Baths], $M418,
          unit_details[Partial Baths],IF(ISNUMBER($N418),$N418,""),
          unit_details[Sqft],$P418))</f>
        <v>0</v>
      </c>
      <c r="AC418" s="27" t="str">
        <f t="shared" si="69"/>
        <v/>
      </c>
      <c r="AD418" s="293" t="str">
        <f>IFERROR(IF(AE418="","",IF($F418="Total",
SUMPRODUCT(
   INDEX(AD:AD, ROW()-COUNTIF($F$6:INDEX($F:$F, ROW()-1), $F417)) : INDEX(AD:AD, ROW()-1),
   INDEX(AB:AB, ROW()-COUNTIF($F$6:INDEX($F:$F, ROW()-1), $F417)) : INDEX(AB:AB, ROW()-1)
   )
   /SUM(INDEX(AB:AB, ROW()-COUNTIF($F$6:INDEX($F:$F, ROW()-1), $F417)) : INDEX(AB:AB, ROW()-1)),
          _xlfn.MINIFS(unit_details[Asking Rent],
          unit_details[Active Listing?],TRUE,
          unit_details[Property Name], $F418,
          unit_details[Beds], $L418,
          unit_details[Baths], $M418,
          unit_details[Partial Baths], IF(ISNUMBER($N418),$N418,""),
          unit_details[Sqft],$P418
))),"")</f>
        <v/>
      </c>
      <c r="AE418" s="5" t="str">
        <f>IFERROR(IF($F418="Total",
          SUMPRODUCT(
   INDEX(AE:AE, ROW()-COUNTIF($F$6:INDEX($F:$F, ROW()-1), $F417)) : INDEX(AE:AE, ROW()-1),
   INDEX(AB:AB, ROW()-COUNTIF($F$6:INDEX($F:$F, ROW()-1), $F417)) : INDEX(AB:AB, ROW()-1)
   )
   /SUM(INDEX(AB:AB, ROW()-COUNTIF($F$6:INDEX($F:$F, ROW()-1), $F417)) : INDEX(AB:AB, ROW()-1)),
          AVERAGEIFS(unit_details[Asking Rent],
          unit_details[Active Listing?],TRUE,
          unit_details[Property Name], $F418,
          unit_details[Beds], $L418,
          unit_details[Baths], $M418,
          unit_details[Partial Baths], IF(ISNUMBER($N418),$N418,""),
          unit_details[Sqft],$P418
)),"")</f>
        <v/>
      </c>
      <c r="AF418" s="5" t="str">
        <f>IFERROR(IF(AE418="","",IF($F418="Total",
SUMPRODUCT(
   INDEX(AF:AF, ROW()-COUNTIF($F$6:INDEX($F:$F, ROW()-1), $F417)) : INDEX(AF:AF, ROW()-1),
   INDEX(AB:AB, ROW()-COUNTIF($F$6:INDEX($F:$F, ROW()-1), $F417)) : INDEX(AB:AB, ROW()-1)
   )
   /SUM(INDEX(AB:AB, ROW()-COUNTIF($F$6:INDEX($F:$F, ROW()-1), $F417)) : INDEX(AB:AB, ROW()-1)),
           _xlfn.MAXIFS(unit_details[Asking Rent],
          unit_details[Active Listing?],TRUE,
          unit_details[Property Name], $F418,
          unit_details[Beds], $L418,
          unit_details[Baths], $M418,
          unit_details[Partial Baths], IF(ISNUMBER($N418),$N418,""),
          unit_details[Sqft],$P418
))),"")</f>
        <v/>
      </c>
      <c r="AG418" s="6" t="str">
        <f>IFERROR(IF($F418="Total",
         SUMPRODUCT(
         INDEX(AG:AG, ROW()-COUNTIF($F$6:INDEX($F:$F, ROW()-1), $F417)) : INDEX(AG:AG, ROW()-1),
         INDEX(AB:AB, ROW()-COUNTIF($F$6:INDEX($F:$F, ROW()-1), $F417)) : INDEX(AB:AB, ROW()-1)
         )
         /SUM(INDEX(AB:AB, ROW()-COUNTIF($F$6:INDEX($F:$F, ROW()-1), $F417)) : INDEX(AB:AB, ROW()-1)),
          AVERAGEIFS(unit_details[Asking PSF],
          unit_details[Active Listing?],TRUE,
          unit_details[Property Name], $F418,
          unit_details[Beds], $L418,
          unit_details[Baths], $M418,
          unit_details[Partial Baths], IF(ISNUMBER($N418),$N418,""),
          unit_details[Sqft],$P418
)),"")</f>
        <v/>
      </c>
      <c r="AH418" s="293" t="str">
        <f>IFERROR(IF($F418="Total",
         SUMPRODUCT(
         INDEX(AH:AH, ROW()-COUNTIF($F$6:INDEX($F:$F, ROW()-1), $F417)) : INDEX(AH:AH, ROW()-1),
         INDEX(AB:AB, ROW()-COUNTIF($F$6:INDEX($F:$F, ROW()-1), $F417)) : INDEX(AB:AB, ROW()-1)
         )
         /SUM(INDEX(AB:AB, ROW()-COUNTIF($F$6:INDEX($F:$F, ROW()-1), $F417)) : INDEX(AB:AB, ROW()-1)),
          AVERAGEIFS(unit_details[Effective Rent],
          unit_details[Active Listing?],TRUE,
          unit_details[Property Name], $F418,
          unit_details[Beds], $L418,
          unit_details[Baths], $M418,
          unit_details[Partial Baths], IF(ISNUMBER($N418),$N418,""),
          unit_details[Sqft],$P418
)),"")</f>
        <v/>
      </c>
      <c r="AI418" s="6" t="str">
        <f>IFERROR(IF($F418="Total",
         SUMPRODUCT(
         INDEX(AI:AI, ROW()-COUNTIF($F$6:INDEX($F:$F, ROW()-1), $F417)) : INDEX(AI:AI, ROW()-1),
         INDEX(AB:AB, ROW()-COUNTIF($F$6:INDEX($F:$F, ROW()-1), $F417)) : INDEX(AB:AB, ROW()-1)
         )
         /SUM(INDEX(AB:AB, ROW()-COUNTIF($F$6:INDEX($F:$F, ROW()-1), $F417)) : INDEX(AB:AB, ROW()-1)),
           AVERAGEIFS(unit_details[Effective PSF],
          unit_details[Active Listing?],TRUE,
          unit_details[Property Name], $F418,
          unit_details[Beds], $L418,
          unit_details[Baths], $M418,
          unit_details[Partial Baths], IF(ISNUMBER($N418),$N418,""),
          unit_details[Sqft],$P418
)),"")</f>
        <v/>
      </c>
      <c r="AJ418" s="824" t="str">
        <f t="shared" si="70"/>
        <v/>
      </c>
      <c r="AK418" s="531" t="str">
        <f t="shared" si="71"/>
        <v/>
      </c>
      <c r="AL418" s="714" t="str">
        <f t="shared" si="72"/>
        <v/>
      </c>
      <c r="AM418" s="531" t="str">
        <f t="shared" si="73"/>
        <v/>
      </c>
      <c r="AN418" s="716" t="str">
        <f t="shared" si="74"/>
        <v/>
      </c>
    </row>
    <row r="419" spans="6:40" x14ac:dyDescent="0.2">
      <c r="F419" s="1" t="str">
        <f t="shared" si="67"/>
        <v/>
      </c>
      <c r="G419" s="713" t="str">
        <f t="shared" si="75"/>
        <v/>
      </c>
      <c r="H419" s="17" t="str">
        <f>IFERROR(VLOOKUP($G419,Table1[[Property]:[Exposure %]],4,0),"")</f>
        <v/>
      </c>
      <c r="I419" s="3" t="str">
        <f>IFERROR(VLOOKUP($G419,Table1[[Property]:[Exposure %]],6,0),"")</f>
        <v/>
      </c>
      <c r="J419" s="3" t="str">
        <f>IFERROR(VLOOKUP($G419,Table1[[Property]:[Exposure %]],7,0),"")</f>
        <v/>
      </c>
      <c r="R419" s="4" t="str">
        <f>IFERROR(VLOOKUP(IF(F419="Total",F418,F419),Table1[[Property]:['# Units]],7,0)*S419,"")</f>
        <v/>
      </c>
      <c r="S419" s="27" t="str">
        <f t="shared" si="68"/>
        <v/>
      </c>
      <c r="T419" s="531" t="str">
        <f>IFERROR(
 IF($F419="Total",
   SUMPRODUCT(
   INDEX(T:T, ROW()-COUNTIF($F$6:INDEX($F:$F, ROW()-1), $F418)) : INDEX(T:T, ROW()-1),
   INDEX(W:W, ROW()-COUNTIF($F$6:INDEX($F:$F, ROW()-1), $F418)) : INDEX(W:W, ROW()-1)
   )
   /SUM(INDEX(W:W, ROW()-COUNTIF($F$6:INDEX($F:$F, ROW()-1), $F418)) : INDEX(W:W, ROW()-1)),
   AVERAGEIFS(
     INDEX((unit_details[Asking Rent],unit_details[Asking PSF]),0,1,IF($U$3="Chunk Rent",1,2)),
     unit_details[Leased Date],"&gt;="&amp;($AM$2-T$5),
     unit_details[Leased Date],"&lt;"&amp;$AM$2,
     unit_details[Beds],$L419,
     unit_details[Baths],$M419,
     unit_details[Partial Baths],IF(ISNUMBER($N419),$N419,""),
     unit_details[Sqft],$P419,
     unit_details[Property Name],$F419)
 ),"")</f>
        <v/>
      </c>
      <c r="U419" s="552" t="str">
        <f>IFERROR(
 IF($F419="Total",
   SUMPRODUCT(
   INDEX(U:U, ROW()-COUNTIF($F$6:INDEX($F:$F, ROW()-1), $F418)) : INDEX(U:U, ROW()-1),
   INDEX(W:W, ROW()-COUNTIF($F$6:INDEX($F:$F, ROW()-1), $F418)) : INDEX(W:W, ROW()-1)
   )
   /SUM(INDEX(W:W, ROW()-COUNTIF($F$6:INDEX($F:$F, ROW()-1), $F418)) : INDEX(W:W, ROW()-1)),
   AVERAGEIFS(
     INDEX((unit_details[Effective Rent],unit_details[Effective PSF]),0,1,IF($U$3="Chunk Rent",1,2)),
     unit_details[Leased Date],"&gt;="&amp;($AM$2-T$5),
     unit_details[Leased Date],"&lt;"&amp;$AM$2,
     unit_details[Beds],$L419,
     unit_details[Baths],$M419,
     unit_details[Partial Baths],IF(ISNUMBER($N419),$N419,""),
     unit_details[Sqft],$P419,
     unit_details[Property Name],$F419)
 ),"")</f>
        <v/>
      </c>
      <c r="V419" s="27" t="str">
        <f t="shared" si="76"/>
        <v/>
      </c>
      <c r="W419" s="526">
        <f>IFERROR(
  IF($F419="Total",
    SUM(INDEX(W:W, ROW()-COUNTIF($F$6:INDEX($F:$F, ROW()-1), $F418)) : INDEX(W:W, ROW()-1)),
    COUNTIFS(
      unit_details[Leased Date], "&gt;="&amp;($AM$2-T$5),
      unit_details[Leased Date], "&lt;"&amp;$AM$2,
      unit_details[Beds], $L419,
      unit_details[Baths], $M419,
      unit_details[Partial Baths], IF(ISNUMBER($N419), $N419, ""),
      unit_details[Sqft],$P419,
      unit_details[Property Name], $F419
    )
  ),
"")</f>
        <v>0</v>
      </c>
      <c r="X419" s="531" t="str">
        <f>IFERROR(
 IF($F419="Total",
   SUMPRODUCT(
   INDEX(X:X, ROW()-COUNTIF($F$6:INDEX($F:$F, ROW()-1), $F418)) : INDEX(X:X, ROW()-1),
   INDEX(AA:AA, ROW()-COUNTIF($F$6:INDEX($F:$F, ROW()-1), $F418)) : INDEX(AA:AA, ROW()-1)
   )
   /SUM(INDEX(AA:AA, ROW()-COUNTIF($F$6:INDEX($F:$F, ROW()-1), $F418)) : INDEX(AA:AA, ROW()-1)),
   AVERAGEIFS(
     INDEX((unit_details[Asking Rent],unit_details[Asking PSF]),0,1,IF($U$3="Chunk Rent",1,2)),
     unit_details[Leased Date],"&gt;="&amp;($AM$2-X$5),
     unit_details[Leased Date],"&lt;"&amp;$AM$2,
     unit_details[Beds],$L419,
     unit_details[Baths],$M419,
     unit_details[Partial Baths],IF(ISNUMBER($N419),$N419,""),
     unit_details[Sqft],$P419,
     unit_details[Property Name],$F419)
 ),"")</f>
        <v/>
      </c>
      <c r="Y419" s="552" t="str">
        <f>IFERROR(
 IF($F419="Total",
   SUMPRODUCT(
   INDEX(Y:Y, ROW()-COUNTIF($F$6:INDEX($F:$F, ROW()-1), $F418)) : INDEX(Y:Y, ROW()-1),
   INDEX(AA:AA, ROW()-COUNTIF($F$6:INDEX($F:$F, ROW()-1), $F418)) : INDEX(AA:AA, ROW()-1)
   )
   /SUM(INDEX(AA:AA, ROW()-COUNTIF($F$6:INDEX($F:$F, ROW()-1), $F418)) : INDEX(AA:AA, ROW()-1)),
   AVERAGEIFS(
     INDEX((unit_details[Effective Rent],unit_details[Effective PSF]),0,1,IF($U$3="Chunk Rent",1,2)),
     unit_details[Leased Date],"&gt;="&amp;($AM$2-X$5),
     unit_details[Leased Date],"&lt;"&amp;$AM$2,
     unit_details[Beds],$L419,
     unit_details[Baths],$M419,
     unit_details[Partial Baths],IF(ISNUMBER($N419),$N419,""),
     unit_details[Sqft],$P419,
     unit_details[Property Name],$F419)
 ),"")</f>
        <v/>
      </c>
      <c r="Z419" s="27" t="str">
        <f t="shared" si="77"/>
        <v/>
      </c>
      <c r="AA419" s="526">
        <f>IFERROR(
  IF($F419="Total",
    SUM(INDEX(AA:AA, ROW()-COUNTIF($F$6:INDEX($F:$F, ROW()-1), $F418)) : INDEX(AA:AA, ROW()-1)),
    COUNTIFS(
      unit_details[Leased Date], "&gt;="&amp;($AM$2-X$5),
      unit_details[Leased Date], "&lt;"&amp;$AM$2,
      unit_details[Beds], $L419,
      unit_details[Baths], $M419,
      unit_details[Partial Baths], IF(ISNUMBER($N419), $N419, ""),
      unit_details[Sqft],$P419,
      unit_details[Property Name], $F419
    )
  ),
"")</f>
        <v>0</v>
      </c>
      <c r="AB419" s="290">
        <f>IF($F419="Total",
SUM(INDEX(AB:AB, ROW()-COUNTIF($F$6:INDEX($F:$F, ROW()-1), $F418)) : INDEX(AB:AB, ROW()-1)),
COUNTIFS(unit_details[Active Listing?],TRUE,
          unit_details[Property Name], $F419,
          unit_details[Beds], $L419,
          unit_details[Baths], $M419,
          unit_details[Partial Baths],IF(ISNUMBER($N419),$N419,""),
          unit_details[Sqft],$P419))</f>
        <v>0</v>
      </c>
      <c r="AC419" s="27" t="str">
        <f t="shared" si="69"/>
        <v/>
      </c>
      <c r="AD419" s="293" t="str">
        <f>IFERROR(IF(AE419="","",IF($F419="Total",
SUMPRODUCT(
   INDEX(AD:AD, ROW()-COUNTIF($F$6:INDEX($F:$F, ROW()-1), $F418)) : INDEX(AD:AD, ROW()-1),
   INDEX(AB:AB, ROW()-COUNTIF($F$6:INDEX($F:$F, ROW()-1), $F418)) : INDEX(AB:AB, ROW()-1)
   )
   /SUM(INDEX(AB:AB, ROW()-COUNTIF($F$6:INDEX($F:$F, ROW()-1), $F418)) : INDEX(AB:AB, ROW()-1)),
          _xlfn.MINIFS(unit_details[Asking Rent],
          unit_details[Active Listing?],TRUE,
          unit_details[Property Name], $F419,
          unit_details[Beds], $L419,
          unit_details[Baths], $M419,
          unit_details[Partial Baths], IF(ISNUMBER($N419),$N419,""),
          unit_details[Sqft],$P419
))),"")</f>
        <v/>
      </c>
      <c r="AE419" s="5" t="str">
        <f>IFERROR(IF($F419="Total",
          SUMPRODUCT(
   INDEX(AE:AE, ROW()-COUNTIF($F$6:INDEX($F:$F, ROW()-1), $F418)) : INDEX(AE:AE, ROW()-1),
   INDEX(AB:AB, ROW()-COUNTIF($F$6:INDEX($F:$F, ROW()-1), $F418)) : INDEX(AB:AB, ROW()-1)
   )
   /SUM(INDEX(AB:AB, ROW()-COUNTIF($F$6:INDEX($F:$F, ROW()-1), $F418)) : INDEX(AB:AB, ROW()-1)),
          AVERAGEIFS(unit_details[Asking Rent],
          unit_details[Active Listing?],TRUE,
          unit_details[Property Name], $F419,
          unit_details[Beds], $L419,
          unit_details[Baths], $M419,
          unit_details[Partial Baths], IF(ISNUMBER($N419),$N419,""),
          unit_details[Sqft],$P419
)),"")</f>
        <v/>
      </c>
      <c r="AF419" s="5" t="str">
        <f>IFERROR(IF(AE419="","",IF($F419="Total",
SUMPRODUCT(
   INDEX(AF:AF, ROW()-COUNTIF($F$6:INDEX($F:$F, ROW()-1), $F418)) : INDEX(AF:AF, ROW()-1),
   INDEX(AB:AB, ROW()-COUNTIF($F$6:INDEX($F:$F, ROW()-1), $F418)) : INDEX(AB:AB, ROW()-1)
   )
   /SUM(INDEX(AB:AB, ROW()-COUNTIF($F$6:INDEX($F:$F, ROW()-1), $F418)) : INDEX(AB:AB, ROW()-1)),
           _xlfn.MAXIFS(unit_details[Asking Rent],
          unit_details[Active Listing?],TRUE,
          unit_details[Property Name], $F419,
          unit_details[Beds], $L419,
          unit_details[Baths], $M419,
          unit_details[Partial Baths], IF(ISNUMBER($N419),$N419,""),
          unit_details[Sqft],$P419
))),"")</f>
        <v/>
      </c>
      <c r="AG419" s="6" t="str">
        <f>IFERROR(IF($F419="Total",
         SUMPRODUCT(
         INDEX(AG:AG, ROW()-COUNTIF($F$6:INDEX($F:$F, ROW()-1), $F418)) : INDEX(AG:AG, ROW()-1),
         INDEX(AB:AB, ROW()-COUNTIF($F$6:INDEX($F:$F, ROW()-1), $F418)) : INDEX(AB:AB, ROW()-1)
         )
         /SUM(INDEX(AB:AB, ROW()-COUNTIF($F$6:INDEX($F:$F, ROW()-1), $F418)) : INDEX(AB:AB, ROW()-1)),
          AVERAGEIFS(unit_details[Asking PSF],
          unit_details[Active Listing?],TRUE,
          unit_details[Property Name], $F419,
          unit_details[Beds], $L419,
          unit_details[Baths], $M419,
          unit_details[Partial Baths], IF(ISNUMBER($N419),$N419,""),
          unit_details[Sqft],$P419
)),"")</f>
        <v/>
      </c>
      <c r="AH419" s="293" t="str">
        <f>IFERROR(IF($F419="Total",
         SUMPRODUCT(
         INDEX(AH:AH, ROW()-COUNTIF($F$6:INDEX($F:$F, ROW()-1), $F418)) : INDEX(AH:AH, ROW()-1),
         INDEX(AB:AB, ROW()-COUNTIF($F$6:INDEX($F:$F, ROW()-1), $F418)) : INDEX(AB:AB, ROW()-1)
         )
         /SUM(INDEX(AB:AB, ROW()-COUNTIF($F$6:INDEX($F:$F, ROW()-1), $F418)) : INDEX(AB:AB, ROW()-1)),
          AVERAGEIFS(unit_details[Effective Rent],
          unit_details[Active Listing?],TRUE,
          unit_details[Property Name], $F419,
          unit_details[Beds], $L419,
          unit_details[Baths], $M419,
          unit_details[Partial Baths], IF(ISNUMBER($N419),$N419,""),
          unit_details[Sqft],$P419
)),"")</f>
        <v/>
      </c>
      <c r="AI419" s="6" t="str">
        <f>IFERROR(IF($F419="Total",
         SUMPRODUCT(
         INDEX(AI:AI, ROW()-COUNTIF($F$6:INDEX($F:$F, ROW()-1), $F418)) : INDEX(AI:AI, ROW()-1),
         INDEX(AB:AB, ROW()-COUNTIF($F$6:INDEX($F:$F, ROW()-1), $F418)) : INDEX(AB:AB, ROW()-1)
         )
         /SUM(INDEX(AB:AB, ROW()-COUNTIF($F$6:INDEX($F:$F, ROW()-1), $F418)) : INDEX(AB:AB, ROW()-1)),
           AVERAGEIFS(unit_details[Effective PSF],
          unit_details[Active Listing?],TRUE,
          unit_details[Property Name], $F419,
          unit_details[Beds], $L419,
          unit_details[Baths], $M419,
          unit_details[Partial Baths], IF(ISNUMBER($N419),$N419,""),
          unit_details[Sqft],$P419
)),"")</f>
        <v/>
      </c>
      <c r="AJ419" s="824" t="str">
        <f t="shared" si="70"/>
        <v/>
      </c>
      <c r="AK419" s="531" t="str">
        <f t="shared" si="71"/>
        <v/>
      </c>
      <c r="AL419" s="714" t="str">
        <f t="shared" si="72"/>
        <v/>
      </c>
      <c r="AM419" s="531" t="str">
        <f t="shared" si="73"/>
        <v/>
      </c>
      <c r="AN419" s="716" t="str">
        <f t="shared" si="74"/>
        <v/>
      </c>
    </row>
    <row r="420" spans="6:40" x14ac:dyDescent="0.2">
      <c r="F420" s="1" t="str">
        <f t="shared" si="67"/>
        <v/>
      </c>
      <c r="G420" s="713" t="str">
        <f t="shared" si="75"/>
        <v/>
      </c>
      <c r="H420" s="17" t="str">
        <f>IFERROR(VLOOKUP($G420,Table1[[Property]:[Exposure %]],4,0),"")</f>
        <v/>
      </c>
      <c r="I420" s="3" t="str">
        <f>IFERROR(VLOOKUP($G420,Table1[[Property]:[Exposure %]],6,0),"")</f>
        <v/>
      </c>
      <c r="J420" s="3" t="str">
        <f>IFERROR(VLOOKUP($G420,Table1[[Property]:[Exposure %]],7,0),"")</f>
        <v/>
      </c>
      <c r="R420" s="4" t="str">
        <f>IFERROR(VLOOKUP(IF(F420="Total",F419,F420),Table1[[Property]:['# Units]],7,0)*S420,"")</f>
        <v/>
      </c>
      <c r="S420" s="27" t="str">
        <f t="shared" si="68"/>
        <v/>
      </c>
      <c r="T420" s="531" t="str">
        <f>IFERROR(
 IF($F420="Total",
   SUMPRODUCT(
   INDEX(T:T, ROW()-COUNTIF($F$6:INDEX($F:$F, ROW()-1), $F419)) : INDEX(T:T, ROW()-1),
   INDEX(W:W, ROW()-COUNTIF($F$6:INDEX($F:$F, ROW()-1), $F419)) : INDEX(W:W, ROW()-1)
   )
   /SUM(INDEX(W:W, ROW()-COUNTIF($F$6:INDEX($F:$F, ROW()-1), $F419)) : INDEX(W:W, ROW()-1)),
   AVERAGEIFS(
     INDEX((unit_details[Asking Rent],unit_details[Asking PSF]),0,1,IF($U$3="Chunk Rent",1,2)),
     unit_details[Leased Date],"&gt;="&amp;($AM$2-T$5),
     unit_details[Leased Date],"&lt;"&amp;$AM$2,
     unit_details[Beds],$L420,
     unit_details[Baths],$M420,
     unit_details[Partial Baths],IF(ISNUMBER($N420),$N420,""),
     unit_details[Sqft],$P420,
     unit_details[Property Name],$F420)
 ),"")</f>
        <v/>
      </c>
      <c r="U420" s="552" t="str">
        <f>IFERROR(
 IF($F420="Total",
   SUMPRODUCT(
   INDEX(U:U, ROW()-COUNTIF($F$6:INDEX($F:$F, ROW()-1), $F419)) : INDEX(U:U, ROW()-1),
   INDEX(W:W, ROW()-COUNTIF($F$6:INDEX($F:$F, ROW()-1), $F419)) : INDEX(W:W, ROW()-1)
   )
   /SUM(INDEX(W:W, ROW()-COUNTIF($F$6:INDEX($F:$F, ROW()-1), $F419)) : INDEX(W:W, ROW()-1)),
   AVERAGEIFS(
     INDEX((unit_details[Effective Rent],unit_details[Effective PSF]),0,1,IF($U$3="Chunk Rent",1,2)),
     unit_details[Leased Date],"&gt;="&amp;($AM$2-T$5),
     unit_details[Leased Date],"&lt;"&amp;$AM$2,
     unit_details[Beds],$L420,
     unit_details[Baths],$M420,
     unit_details[Partial Baths],IF(ISNUMBER($N420),$N420,""),
     unit_details[Sqft],$P420,
     unit_details[Property Name],$F420)
 ),"")</f>
        <v/>
      </c>
      <c r="V420" s="27" t="str">
        <f t="shared" si="76"/>
        <v/>
      </c>
      <c r="W420" s="526">
        <f>IFERROR(
  IF($F420="Total",
    SUM(INDEX(W:W, ROW()-COUNTIF($F$6:INDEX($F:$F, ROW()-1), $F419)) : INDEX(W:W, ROW()-1)),
    COUNTIFS(
      unit_details[Leased Date], "&gt;="&amp;($AM$2-T$5),
      unit_details[Leased Date], "&lt;"&amp;$AM$2,
      unit_details[Beds], $L420,
      unit_details[Baths], $M420,
      unit_details[Partial Baths], IF(ISNUMBER($N420), $N420, ""),
      unit_details[Sqft],$P420,
      unit_details[Property Name], $F420
    )
  ),
"")</f>
        <v>0</v>
      </c>
      <c r="X420" s="531" t="str">
        <f>IFERROR(
 IF($F420="Total",
   SUMPRODUCT(
   INDEX(X:X, ROW()-COUNTIF($F$6:INDEX($F:$F, ROW()-1), $F419)) : INDEX(X:X, ROW()-1),
   INDEX(AA:AA, ROW()-COUNTIF($F$6:INDEX($F:$F, ROW()-1), $F419)) : INDEX(AA:AA, ROW()-1)
   )
   /SUM(INDEX(AA:AA, ROW()-COUNTIF($F$6:INDEX($F:$F, ROW()-1), $F419)) : INDEX(AA:AA, ROW()-1)),
   AVERAGEIFS(
     INDEX((unit_details[Asking Rent],unit_details[Asking PSF]),0,1,IF($U$3="Chunk Rent",1,2)),
     unit_details[Leased Date],"&gt;="&amp;($AM$2-X$5),
     unit_details[Leased Date],"&lt;"&amp;$AM$2,
     unit_details[Beds],$L420,
     unit_details[Baths],$M420,
     unit_details[Partial Baths],IF(ISNUMBER($N420),$N420,""),
     unit_details[Sqft],$P420,
     unit_details[Property Name],$F420)
 ),"")</f>
        <v/>
      </c>
      <c r="Y420" s="552" t="str">
        <f>IFERROR(
 IF($F420="Total",
   SUMPRODUCT(
   INDEX(Y:Y, ROW()-COUNTIF($F$6:INDEX($F:$F, ROW()-1), $F419)) : INDEX(Y:Y, ROW()-1),
   INDEX(AA:AA, ROW()-COUNTIF($F$6:INDEX($F:$F, ROW()-1), $F419)) : INDEX(AA:AA, ROW()-1)
   )
   /SUM(INDEX(AA:AA, ROW()-COUNTIF($F$6:INDEX($F:$F, ROW()-1), $F419)) : INDEX(AA:AA, ROW()-1)),
   AVERAGEIFS(
     INDEX((unit_details[Effective Rent],unit_details[Effective PSF]),0,1,IF($U$3="Chunk Rent",1,2)),
     unit_details[Leased Date],"&gt;="&amp;($AM$2-X$5),
     unit_details[Leased Date],"&lt;"&amp;$AM$2,
     unit_details[Beds],$L420,
     unit_details[Baths],$M420,
     unit_details[Partial Baths],IF(ISNUMBER($N420),$N420,""),
     unit_details[Sqft],$P420,
     unit_details[Property Name],$F420)
 ),"")</f>
        <v/>
      </c>
      <c r="Z420" s="27" t="str">
        <f t="shared" si="77"/>
        <v/>
      </c>
      <c r="AA420" s="526">
        <f>IFERROR(
  IF($F420="Total",
    SUM(INDEX(AA:AA, ROW()-COUNTIF($F$6:INDEX($F:$F, ROW()-1), $F419)) : INDEX(AA:AA, ROW()-1)),
    COUNTIFS(
      unit_details[Leased Date], "&gt;="&amp;($AM$2-X$5),
      unit_details[Leased Date], "&lt;"&amp;$AM$2,
      unit_details[Beds], $L420,
      unit_details[Baths], $M420,
      unit_details[Partial Baths], IF(ISNUMBER($N420), $N420, ""),
      unit_details[Sqft],$P420,
      unit_details[Property Name], $F420
    )
  ),
"")</f>
        <v>0</v>
      </c>
      <c r="AB420" s="290">
        <f>IF($F420="Total",
SUM(INDEX(AB:AB, ROW()-COUNTIF($F$6:INDEX($F:$F, ROW()-1), $F419)) : INDEX(AB:AB, ROW()-1)),
COUNTIFS(unit_details[Active Listing?],TRUE,
          unit_details[Property Name], $F420,
          unit_details[Beds], $L420,
          unit_details[Baths], $M420,
          unit_details[Partial Baths],IF(ISNUMBER($N420),$N420,""),
          unit_details[Sqft],$P420))</f>
        <v>0</v>
      </c>
      <c r="AC420" s="27" t="str">
        <f t="shared" si="69"/>
        <v/>
      </c>
      <c r="AD420" s="293" t="str">
        <f>IFERROR(IF(AE420="","",IF($F420="Total",
SUMPRODUCT(
   INDEX(AD:AD, ROW()-COUNTIF($F$6:INDEX($F:$F, ROW()-1), $F419)) : INDEX(AD:AD, ROW()-1),
   INDEX(AB:AB, ROW()-COUNTIF($F$6:INDEX($F:$F, ROW()-1), $F419)) : INDEX(AB:AB, ROW()-1)
   )
   /SUM(INDEX(AB:AB, ROW()-COUNTIF($F$6:INDEX($F:$F, ROW()-1), $F419)) : INDEX(AB:AB, ROW()-1)),
          _xlfn.MINIFS(unit_details[Asking Rent],
          unit_details[Active Listing?],TRUE,
          unit_details[Property Name], $F420,
          unit_details[Beds], $L420,
          unit_details[Baths], $M420,
          unit_details[Partial Baths], IF(ISNUMBER($N420),$N420,""),
          unit_details[Sqft],$P420
))),"")</f>
        <v/>
      </c>
      <c r="AE420" s="5" t="str">
        <f>IFERROR(IF($F420="Total",
          SUMPRODUCT(
   INDEX(AE:AE, ROW()-COUNTIF($F$6:INDEX($F:$F, ROW()-1), $F419)) : INDEX(AE:AE, ROW()-1),
   INDEX(AB:AB, ROW()-COUNTIF($F$6:INDEX($F:$F, ROW()-1), $F419)) : INDEX(AB:AB, ROW()-1)
   )
   /SUM(INDEX(AB:AB, ROW()-COUNTIF($F$6:INDEX($F:$F, ROW()-1), $F419)) : INDEX(AB:AB, ROW()-1)),
          AVERAGEIFS(unit_details[Asking Rent],
          unit_details[Active Listing?],TRUE,
          unit_details[Property Name], $F420,
          unit_details[Beds], $L420,
          unit_details[Baths], $M420,
          unit_details[Partial Baths], IF(ISNUMBER($N420),$N420,""),
          unit_details[Sqft],$P420
)),"")</f>
        <v/>
      </c>
      <c r="AF420" s="5" t="str">
        <f>IFERROR(IF(AE420="","",IF($F420="Total",
SUMPRODUCT(
   INDEX(AF:AF, ROW()-COUNTIF($F$6:INDEX($F:$F, ROW()-1), $F419)) : INDEX(AF:AF, ROW()-1),
   INDEX(AB:AB, ROW()-COUNTIF($F$6:INDEX($F:$F, ROW()-1), $F419)) : INDEX(AB:AB, ROW()-1)
   )
   /SUM(INDEX(AB:AB, ROW()-COUNTIF($F$6:INDEX($F:$F, ROW()-1), $F419)) : INDEX(AB:AB, ROW()-1)),
           _xlfn.MAXIFS(unit_details[Asking Rent],
          unit_details[Active Listing?],TRUE,
          unit_details[Property Name], $F420,
          unit_details[Beds], $L420,
          unit_details[Baths], $M420,
          unit_details[Partial Baths], IF(ISNUMBER($N420),$N420,""),
          unit_details[Sqft],$P420
))),"")</f>
        <v/>
      </c>
      <c r="AG420" s="6" t="str">
        <f>IFERROR(IF($F420="Total",
         SUMPRODUCT(
         INDEX(AG:AG, ROW()-COUNTIF($F$6:INDEX($F:$F, ROW()-1), $F419)) : INDEX(AG:AG, ROW()-1),
         INDEX(AB:AB, ROW()-COUNTIF($F$6:INDEX($F:$F, ROW()-1), $F419)) : INDEX(AB:AB, ROW()-1)
         )
         /SUM(INDEX(AB:AB, ROW()-COUNTIF($F$6:INDEX($F:$F, ROW()-1), $F419)) : INDEX(AB:AB, ROW()-1)),
          AVERAGEIFS(unit_details[Asking PSF],
          unit_details[Active Listing?],TRUE,
          unit_details[Property Name], $F420,
          unit_details[Beds], $L420,
          unit_details[Baths], $M420,
          unit_details[Partial Baths], IF(ISNUMBER($N420),$N420,""),
          unit_details[Sqft],$P420
)),"")</f>
        <v/>
      </c>
      <c r="AH420" s="293" t="str">
        <f>IFERROR(IF($F420="Total",
         SUMPRODUCT(
         INDEX(AH:AH, ROW()-COUNTIF($F$6:INDEX($F:$F, ROW()-1), $F419)) : INDEX(AH:AH, ROW()-1),
         INDEX(AB:AB, ROW()-COUNTIF($F$6:INDEX($F:$F, ROW()-1), $F419)) : INDEX(AB:AB, ROW()-1)
         )
         /SUM(INDEX(AB:AB, ROW()-COUNTIF($F$6:INDEX($F:$F, ROW()-1), $F419)) : INDEX(AB:AB, ROW()-1)),
          AVERAGEIFS(unit_details[Effective Rent],
          unit_details[Active Listing?],TRUE,
          unit_details[Property Name], $F420,
          unit_details[Beds], $L420,
          unit_details[Baths], $M420,
          unit_details[Partial Baths], IF(ISNUMBER($N420),$N420,""),
          unit_details[Sqft],$P420
)),"")</f>
        <v/>
      </c>
      <c r="AI420" s="6" t="str">
        <f>IFERROR(IF($F420="Total",
         SUMPRODUCT(
         INDEX(AI:AI, ROW()-COUNTIF($F$6:INDEX($F:$F, ROW()-1), $F419)) : INDEX(AI:AI, ROW()-1),
         INDEX(AB:AB, ROW()-COUNTIF($F$6:INDEX($F:$F, ROW()-1), $F419)) : INDEX(AB:AB, ROW()-1)
         )
         /SUM(INDEX(AB:AB, ROW()-COUNTIF($F$6:INDEX($F:$F, ROW()-1), $F419)) : INDEX(AB:AB, ROW()-1)),
           AVERAGEIFS(unit_details[Effective PSF],
          unit_details[Active Listing?],TRUE,
          unit_details[Property Name], $F420,
          unit_details[Beds], $L420,
          unit_details[Baths], $M420,
          unit_details[Partial Baths], IF(ISNUMBER($N420),$N420,""),
          unit_details[Sqft],$P420
)),"")</f>
        <v/>
      </c>
      <c r="AJ420" s="824" t="str">
        <f t="shared" si="70"/>
        <v/>
      </c>
      <c r="AK420" s="531" t="str">
        <f t="shared" si="71"/>
        <v/>
      </c>
      <c r="AL420" s="714" t="str">
        <f t="shared" si="72"/>
        <v/>
      </c>
      <c r="AM420" s="531" t="str">
        <f t="shared" si="73"/>
        <v/>
      </c>
      <c r="AN420" s="716" t="str">
        <f t="shared" si="74"/>
        <v/>
      </c>
    </row>
    <row r="421" spans="6:40" x14ac:dyDescent="0.2">
      <c r="F421" s="1" t="str">
        <f t="shared" si="67"/>
        <v/>
      </c>
      <c r="G421" s="713" t="str">
        <f t="shared" si="75"/>
        <v/>
      </c>
      <c r="H421" s="17" t="str">
        <f>IFERROR(VLOOKUP($G421,Table1[[Property]:[Exposure %]],4,0),"")</f>
        <v/>
      </c>
      <c r="I421" s="3" t="str">
        <f>IFERROR(VLOOKUP($G421,Table1[[Property]:[Exposure %]],6,0),"")</f>
        <v/>
      </c>
      <c r="J421" s="3" t="str">
        <f>IFERROR(VLOOKUP($G421,Table1[[Property]:[Exposure %]],7,0),"")</f>
        <v/>
      </c>
      <c r="R421" s="4" t="str">
        <f>IFERROR(VLOOKUP(IF(F421="Total",F420,F421),Table1[[Property]:['# Units]],7,0)*S421,"")</f>
        <v/>
      </c>
      <c r="S421" s="27" t="str">
        <f t="shared" si="68"/>
        <v/>
      </c>
      <c r="T421" s="531" t="str">
        <f>IFERROR(
 IF($F421="Total",
   SUMPRODUCT(
   INDEX(T:T, ROW()-COUNTIF($F$6:INDEX($F:$F, ROW()-1), $F420)) : INDEX(T:T, ROW()-1),
   INDEX(W:W, ROW()-COUNTIF($F$6:INDEX($F:$F, ROW()-1), $F420)) : INDEX(W:W, ROW()-1)
   )
   /SUM(INDEX(W:W, ROW()-COUNTIF($F$6:INDEX($F:$F, ROW()-1), $F420)) : INDEX(W:W, ROW()-1)),
   AVERAGEIFS(
     INDEX((unit_details[Asking Rent],unit_details[Asking PSF]),0,1,IF($U$3="Chunk Rent",1,2)),
     unit_details[Leased Date],"&gt;="&amp;($AM$2-T$5),
     unit_details[Leased Date],"&lt;"&amp;$AM$2,
     unit_details[Beds],$L421,
     unit_details[Baths],$M421,
     unit_details[Partial Baths],IF(ISNUMBER($N421),$N421,""),
     unit_details[Sqft],$P421,
     unit_details[Property Name],$F421)
 ),"")</f>
        <v/>
      </c>
      <c r="U421" s="552" t="str">
        <f>IFERROR(
 IF($F421="Total",
   SUMPRODUCT(
   INDEX(U:U, ROW()-COUNTIF($F$6:INDEX($F:$F, ROW()-1), $F420)) : INDEX(U:U, ROW()-1),
   INDEX(W:W, ROW()-COUNTIF($F$6:INDEX($F:$F, ROW()-1), $F420)) : INDEX(W:W, ROW()-1)
   )
   /SUM(INDEX(W:W, ROW()-COUNTIF($F$6:INDEX($F:$F, ROW()-1), $F420)) : INDEX(W:W, ROW()-1)),
   AVERAGEIFS(
     INDEX((unit_details[Effective Rent],unit_details[Effective PSF]),0,1,IF($U$3="Chunk Rent",1,2)),
     unit_details[Leased Date],"&gt;="&amp;($AM$2-T$5),
     unit_details[Leased Date],"&lt;"&amp;$AM$2,
     unit_details[Beds],$L421,
     unit_details[Baths],$M421,
     unit_details[Partial Baths],IF(ISNUMBER($N421),$N421,""),
     unit_details[Sqft],$P421,
     unit_details[Property Name],$F421)
 ),"")</f>
        <v/>
      </c>
      <c r="V421" s="27" t="str">
        <f t="shared" si="76"/>
        <v/>
      </c>
      <c r="W421" s="526">
        <f>IFERROR(
  IF($F421="Total",
    SUM(INDEX(W:W, ROW()-COUNTIF($F$6:INDEX($F:$F, ROW()-1), $F420)) : INDEX(W:W, ROW()-1)),
    COUNTIFS(
      unit_details[Leased Date], "&gt;="&amp;($AM$2-T$5),
      unit_details[Leased Date], "&lt;"&amp;$AM$2,
      unit_details[Beds], $L421,
      unit_details[Baths], $M421,
      unit_details[Partial Baths], IF(ISNUMBER($N421), $N421, ""),
      unit_details[Sqft],$P421,
      unit_details[Property Name], $F421
    )
  ),
"")</f>
        <v>0</v>
      </c>
      <c r="X421" s="531" t="str">
        <f>IFERROR(
 IF($F421="Total",
   SUMPRODUCT(
   INDEX(X:X, ROW()-COUNTIF($F$6:INDEX($F:$F, ROW()-1), $F420)) : INDEX(X:X, ROW()-1),
   INDEX(AA:AA, ROW()-COUNTIF($F$6:INDEX($F:$F, ROW()-1), $F420)) : INDEX(AA:AA, ROW()-1)
   )
   /SUM(INDEX(AA:AA, ROW()-COUNTIF($F$6:INDEX($F:$F, ROW()-1), $F420)) : INDEX(AA:AA, ROW()-1)),
   AVERAGEIFS(
     INDEX((unit_details[Asking Rent],unit_details[Asking PSF]),0,1,IF($U$3="Chunk Rent",1,2)),
     unit_details[Leased Date],"&gt;="&amp;($AM$2-X$5),
     unit_details[Leased Date],"&lt;"&amp;$AM$2,
     unit_details[Beds],$L421,
     unit_details[Baths],$M421,
     unit_details[Partial Baths],IF(ISNUMBER($N421),$N421,""),
     unit_details[Sqft],$P421,
     unit_details[Property Name],$F421)
 ),"")</f>
        <v/>
      </c>
      <c r="Y421" s="552" t="str">
        <f>IFERROR(
 IF($F421="Total",
   SUMPRODUCT(
   INDEX(Y:Y, ROW()-COUNTIF($F$6:INDEX($F:$F, ROW()-1), $F420)) : INDEX(Y:Y, ROW()-1),
   INDEX(AA:AA, ROW()-COUNTIF($F$6:INDEX($F:$F, ROW()-1), $F420)) : INDEX(AA:AA, ROW()-1)
   )
   /SUM(INDEX(AA:AA, ROW()-COUNTIF($F$6:INDEX($F:$F, ROW()-1), $F420)) : INDEX(AA:AA, ROW()-1)),
   AVERAGEIFS(
     INDEX((unit_details[Effective Rent],unit_details[Effective PSF]),0,1,IF($U$3="Chunk Rent",1,2)),
     unit_details[Leased Date],"&gt;="&amp;($AM$2-X$5),
     unit_details[Leased Date],"&lt;"&amp;$AM$2,
     unit_details[Beds],$L421,
     unit_details[Baths],$M421,
     unit_details[Partial Baths],IF(ISNUMBER($N421),$N421,""),
     unit_details[Sqft],$P421,
     unit_details[Property Name],$F421)
 ),"")</f>
        <v/>
      </c>
      <c r="Z421" s="27" t="str">
        <f t="shared" si="77"/>
        <v/>
      </c>
      <c r="AA421" s="526">
        <f>IFERROR(
  IF($F421="Total",
    SUM(INDEX(AA:AA, ROW()-COUNTIF($F$6:INDEX($F:$F, ROW()-1), $F420)) : INDEX(AA:AA, ROW()-1)),
    COUNTIFS(
      unit_details[Leased Date], "&gt;="&amp;($AM$2-X$5),
      unit_details[Leased Date], "&lt;"&amp;$AM$2,
      unit_details[Beds], $L421,
      unit_details[Baths], $M421,
      unit_details[Partial Baths], IF(ISNUMBER($N421), $N421, ""),
      unit_details[Sqft],$P421,
      unit_details[Property Name], $F421
    )
  ),
"")</f>
        <v>0</v>
      </c>
      <c r="AB421" s="290">
        <f>IF($F421="Total",
SUM(INDEX(AB:AB, ROW()-COUNTIF($F$6:INDEX($F:$F, ROW()-1), $F420)) : INDEX(AB:AB, ROW()-1)),
COUNTIFS(unit_details[Active Listing?],TRUE,
          unit_details[Property Name], $F421,
          unit_details[Beds], $L421,
          unit_details[Baths], $M421,
          unit_details[Partial Baths],IF(ISNUMBER($N421),$N421,""),
          unit_details[Sqft],$P421))</f>
        <v>0</v>
      </c>
      <c r="AC421" s="27" t="str">
        <f t="shared" si="69"/>
        <v/>
      </c>
      <c r="AD421" s="293" t="str">
        <f>IFERROR(IF(AE421="","",IF($F421="Total",
SUMPRODUCT(
   INDEX(AD:AD, ROW()-COUNTIF($F$6:INDEX($F:$F, ROW()-1), $F420)) : INDEX(AD:AD, ROW()-1),
   INDEX(AB:AB, ROW()-COUNTIF($F$6:INDEX($F:$F, ROW()-1), $F420)) : INDEX(AB:AB, ROW()-1)
   )
   /SUM(INDEX(AB:AB, ROW()-COUNTIF($F$6:INDEX($F:$F, ROW()-1), $F420)) : INDEX(AB:AB, ROW()-1)),
          _xlfn.MINIFS(unit_details[Asking Rent],
          unit_details[Active Listing?],TRUE,
          unit_details[Property Name], $F421,
          unit_details[Beds], $L421,
          unit_details[Baths], $M421,
          unit_details[Partial Baths], IF(ISNUMBER($N421),$N421,""),
          unit_details[Sqft],$P421
))),"")</f>
        <v/>
      </c>
      <c r="AE421" s="5" t="str">
        <f>IFERROR(IF($F421="Total",
          SUMPRODUCT(
   INDEX(AE:AE, ROW()-COUNTIF($F$6:INDEX($F:$F, ROW()-1), $F420)) : INDEX(AE:AE, ROW()-1),
   INDEX(AB:AB, ROW()-COUNTIF($F$6:INDEX($F:$F, ROW()-1), $F420)) : INDEX(AB:AB, ROW()-1)
   )
   /SUM(INDEX(AB:AB, ROW()-COUNTIF($F$6:INDEX($F:$F, ROW()-1), $F420)) : INDEX(AB:AB, ROW()-1)),
          AVERAGEIFS(unit_details[Asking Rent],
          unit_details[Active Listing?],TRUE,
          unit_details[Property Name], $F421,
          unit_details[Beds], $L421,
          unit_details[Baths], $M421,
          unit_details[Partial Baths], IF(ISNUMBER($N421),$N421,""),
          unit_details[Sqft],$P421
)),"")</f>
        <v/>
      </c>
      <c r="AF421" s="5" t="str">
        <f>IFERROR(IF(AE421="","",IF($F421="Total",
SUMPRODUCT(
   INDEX(AF:AF, ROW()-COUNTIF($F$6:INDEX($F:$F, ROW()-1), $F420)) : INDEX(AF:AF, ROW()-1),
   INDEX(AB:AB, ROW()-COUNTIF($F$6:INDEX($F:$F, ROW()-1), $F420)) : INDEX(AB:AB, ROW()-1)
   )
   /SUM(INDEX(AB:AB, ROW()-COUNTIF($F$6:INDEX($F:$F, ROW()-1), $F420)) : INDEX(AB:AB, ROW()-1)),
           _xlfn.MAXIFS(unit_details[Asking Rent],
          unit_details[Active Listing?],TRUE,
          unit_details[Property Name], $F421,
          unit_details[Beds], $L421,
          unit_details[Baths], $M421,
          unit_details[Partial Baths], IF(ISNUMBER($N421),$N421,""),
          unit_details[Sqft],$P421
))),"")</f>
        <v/>
      </c>
      <c r="AG421" s="6" t="str">
        <f>IFERROR(IF($F421="Total",
         SUMPRODUCT(
         INDEX(AG:AG, ROW()-COUNTIF($F$6:INDEX($F:$F, ROW()-1), $F420)) : INDEX(AG:AG, ROW()-1),
         INDEX(AB:AB, ROW()-COUNTIF($F$6:INDEX($F:$F, ROW()-1), $F420)) : INDEX(AB:AB, ROW()-1)
         )
         /SUM(INDEX(AB:AB, ROW()-COUNTIF($F$6:INDEX($F:$F, ROW()-1), $F420)) : INDEX(AB:AB, ROW()-1)),
          AVERAGEIFS(unit_details[Asking PSF],
          unit_details[Active Listing?],TRUE,
          unit_details[Property Name], $F421,
          unit_details[Beds], $L421,
          unit_details[Baths], $M421,
          unit_details[Partial Baths], IF(ISNUMBER($N421),$N421,""),
          unit_details[Sqft],$P421
)),"")</f>
        <v/>
      </c>
      <c r="AH421" s="293" t="str">
        <f>IFERROR(IF($F421="Total",
         SUMPRODUCT(
         INDEX(AH:AH, ROW()-COUNTIF($F$6:INDEX($F:$F, ROW()-1), $F420)) : INDEX(AH:AH, ROW()-1),
         INDEX(AB:AB, ROW()-COUNTIF($F$6:INDEX($F:$F, ROW()-1), $F420)) : INDEX(AB:AB, ROW()-1)
         )
         /SUM(INDEX(AB:AB, ROW()-COUNTIF($F$6:INDEX($F:$F, ROW()-1), $F420)) : INDEX(AB:AB, ROW()-1)),
          AVERAGEIFS(unit_details[Effective Rent],
          unit_details[Active Listing?],TRUE,
          unit_details[Property Name], $F421,
          unit_details[Beds], $L421,
          unit_details[Baths], $M421,
          unit_details[Partial Baths], IF(ISNUMBER($N421),$N421,""),
          unit_details[Sqft],$P421
)),"")</f>
        <v/>
      </c>
      <c r="AI421" s="6" t="str">
        <f>IFERROR(IF($F421="Total",
         SUMPRODUCT(
         INDEX(AI:AI, ROW()-COUNTIF($F$6:INDEX($F:$F, ROW()-1), $F420)) : INDEX(AI:AI, ROW()-1),
         INDEX(AB:AB, ROW()-COUNTIF($F$6:INDEX($F:$F, ROW()-1), $F420)) : INDEX(AB:AB, ROW()-1)
         )
         /SUM(INDEX(AB:AB, ROW()-COUNTIF($F$6:INDEX($F:$F, ROW()-1), $F420)) : INDEX(AB:AB, ROW()-1)),
           AVERAGEIFS(unit_details[Effective PSF],
          unit_details[Active Listing?],TRUE,
          unit_details[Property Name], $F421,
          unit_details[Beds], $L421,
          unit_details[Baths], $M421,
          unit_details[Partial Baths], IF(ISNUMBER($N421),$N421,""),
          unit_details[Sqft],$P421
)),"")</f>
        <v/>
      </c>
      <c r="AJ421" s="824" t="str">
        <f t="shared" si="70"/>
        <v/>
      </c>
      <c r="AK421" s="531" t="str">
        <f t="shared" si="71"/>
        <v/>
      </c>
      <c r="AL421" s="714" t="str">
        <f t="shared" si="72"/>
        <v/>
      </c>
      <c r="AM421" s="531" t="str">
        <f t="shared" si="73"/>
        <v/>
      </c>
      <c r="AN421" s="716" t="str">
        <f t="shared" si="74"/>
        <v/>
      </c>
    </row>
    <row r="422" spans="6:40" x14ac:dyDescent="0.2">
      <c r="F422" s="1" t="str">
        <f t="shared" si="67"/>
        <v/>
      </c>
      <c r="G422" s="713" t="str">
        <f t="shared" si="75"/>
        <v/>
      </c>
      <c r="H422" s="17" t="str">
        <f>IFERROR(VLOOKUP($G422,Table1[[Property]:[Exposure %]],4,0),"")</f>
        <v/>
      </c>
      <c r="I422" s="3" t="str">
        <f>IFERROR(VLOOKUP($G422,Table1[[Property]:[Exposure %]],6,0),"")</f>
        <v/>
      </c>
      <c r="J422" s="3" t="str">
        <f>IFERROR(VLOOKUP($G422,Table1[[Property]:[Exposure %]],7,0),"")</f>
        <v/>
      </c>
      <c r="R422" s="4" t="str">
        <f>IFERROR(VLOOKUP(IF(F422="Total",F421,F422),Table1[[Property]:['# Units]],7,0)*S422,"")</f>
        <v/>
      </c>
      <c r="S422" s="27" t="str">
        <f t="shared" si="68"/>
        <v/>
      </c>
      <c r="T422" s="531" t="str">
        <f>IFERROR(
 IF($F422="Total",
   SUMPRODUCT(
   INDEX(T:T, ROW()-COUNTIF($F$6:INDEX($F:$F, ROW()-1), $F421)) : INDEX(T:T, ROW()-1),
   INDEX(W:W, ROW()-COUNTIF($F$6:INDEX($F:$F, ROW()-1), $F421)) : INDEX(W:W, ROW()-1)
   )
   /SUM(INDEX(W:W, ROW()-COUNTIF($F$6:INDEX($F:$F, ROW()-1), $F421)) : INDEX(W:W, ROW()-1)),
   AVERAGEIFS(
     INDEX((unit_details[Asking Rent],unit_details[Asking PSF]),0,1,IF($U$3="Chunk Rent",1,2)),
     unit_details[Leased Date],"&gt;="&amp;($AM$2-T$5),
     unit_details[Leased Date],"&lt;"&amp;$AM$2,
     unit_details[Beds],$L422,
     unit_details[Baths],$M422,
     unit_details[Partial Baths],IF(ISNUMBER($N422),$N422,""),
     unit_details[Sqft],$P422,
     unit_details[Property Name],$F422)
 ),"")</f>
        <v/>
      </c>
      <c r="U422" s="552" t="str">
        <f>IFERROR(
 IF($F422="Total",
   SUMPRODUCT(
   INDEX(U:U, ROW()-COUNTIF($F$6:INDEX($F:$F, ROW()-1), $F421)) : INDEX(U:U, ROW()-1),
   INDEX(W:W, ROW()-COUNTIF($F$6:INDEX($F:$F, ROW()-1), $F421)) : INDEX(W:W, ROW()-1)
   )
   /SUM(INDEX(W:W, ROW()-COUNTIF($F$6:INDEX($F:$F, ROW()-1), $F421)) : INDEX(W:W, ROW()-1)),
   AVERAGEIFS(
     INDEX((unit_details[Effective Rent],unit_details[Effective PSF]),0,1,IF($U$3="Chunk Rent",1,2)),
     unit_details[Leased Date],"&gt;="&amp;($AM$2-T$5),
     unit_details[Leased Date],"&lt;"&amp;$AM$2,
     unit_details[Beds],$L422,
     unit_details[Baths],$M422,
     unit_details[Partial Baths],IF(ISNUMBER($N422),$N422,""),
     unit_details[Sqft],$P422,
     unit_details[Property Name],$F422)
 ),"")</f>
        <v/>
      </c>
      <c r="V422" s="27" t="str">
        <f t="shared" si="76"/>
        <v/>
      </c>
      <c r="W422" s="526">
        <f>IFERROR(
  IF($F422="Total",
    SUM(INDEX(W:W, ROW()-COUNTIF($F$6:INDEX($F:$F, ROW()-1), $F421)) : INDEX(W:W, ROW()-1)),
    COUNTIFS(
      unit_details[Leased Date], "&gt;="&amp;($AM$2-T$5),
      unit_details[Leased Date], "&lt;"&amp;$AM$2,
      unit_details[Beds], $L422,
      unit_details[Baths], $M422,
      unit_details[Partial Baths], IF(ISNUMBER($N422), $N422, ""),
      unit_details[Sqft],$P422,
      unit_details[Property Name], $F422
    )
  ),
"")</f>
        <v>0</v>
      </c>
      <c r="X422" s="531" t="str">
        <f>IFERROR(
 IF($F422="Total",
   SUMPRODUCT(
   INDEX(X:X, ROW()-COUNTIF($F$6:INDEX($F:$F, ROW()-1), $F421)) : INDEX(X:X, ROW()-1),
   INDEX(AA:AA, ROW()-COUNTIF($F$6:INDEX($F:$F, ROW()-1), $F421)) : INDEX(AA:AA, ROW()-1)
   )
   /SUM(INDEX(AA:AA, ROW()-COUNTIF($F$6:INDEX($F:$F, ROW()-1), $F421)) : INDEX(AA:AA, ROW()-1)),
   AVERAGEIFS(
     INDEX((unit_details[Asking Rent],unit_details[Asking PSF]),0,1,IF($U$3="Chunk Rent",1,2)),
     unit_details[Leased Date],"&gt;="&amp;($AM$2-X$5),
     unit_details[Leased Date],"&lt;"&amp;$AM$2,
     unit_details[Beds],$L422,
     unit_details[Baths],$M422,
     unit_details[Partial Baths],IF(ISNUMBER($N422),$N422,""),
     unit_details[Sqft],$P422,
     unit_details[Property Name],$F422)
 ),"")</f>
        <v/>
      </c>
      <c r="Y422" s="552" t="str">
        <f>IFERROR(
 IF($F422="Total",
   SUMPRODUCT(
   INDEX(Y:Y, ROW()-COUNTIF($F$6:INDEX($F:$F, ROW()-1), $F421)) : INDEX(Y:Y, ROW()-1),
   INDEX(AA:AA, ROW()-COUNTIF($F$6:INDEX($F:$F, ROW()-1), $F421)) : INDEX(AA:AA, ROW()-1)
   )
   /SUM(INDEX(AA:AA, ROW()-COUNTIF($F$6:INDEX($F:$F, ROW()-1), $F421)) : INDEX(AA:AA, ROW()-1)),
   AVERAGEIFS(
     INDEX((unit_details[Effective Rent],unit_details[Effective PSF]),0,1,IF($U$3="Chunk Rent",1,2)),
     unit_details[Leased Date],"&gt;="&amp;($AM$2-X$5),
     unit_details[Leased Date],"&lt;"&amp;$AM$2,
     unit_details[Beds],$L422,
     unit_details[Baths],$M422,
     unit_details[Partial Baths],IF(ISNUMBER($N422),$N422,""),
     unit_details[Sqft],$P422,
     unit_details[Property Name],$F422)
 ),"")</f>
        <v/>
      </c>
      <c r="Z422" s="27" t="str">
        <f t="shared" si="77"/>
        <v/>
      </c>
      <c r="AA422" s="526">
        <f>IFERROR(
  IF($F422="Total",
    SUM(INDEX(AA:AA, ROW()-COUNTIF($F$6:INDEX($F:$F, ROW()-1), $F421)) : INDEX(AA:AA, ROW()-1)),
    COUNTIFS(
      unit_details[Leased Date], "&gt;="&amp;($AM$2-X$5),
      unit_details[Leased Date], "&lt;"&amp;$AM$2,
      unit_details[Beds], $L422,
      unit_details[Baths], $M422,
      unit_details[Partial Baths], IF(ISNUMBER($N422), $N422, ""),
      unit_details[Sqft],$P422,
      unit_details[Property Name], $F422
    )
  ),
"")</f>
        <v>0</v>
      </c>
      <c r="AB422" s="290">
        <f>IF($F422="Total",
SUM(INDEX(AB:AB, ROW()-COUNTIF($F$6:INDEX($F:$F, ROW()-1), $F421)) : INDEX(AB:AB, ROW()-1)),
COUNTIFS(unit_details[Active Listing?],TRUE,
          unit_details[Property Name], $F422,
          unit_details[Beds], $L422,
          unit_details[Baths], $M422,
          unit_details[Partial Baths],IF(ISNUMBER($N422),$N422,""),
          unit_details[Sqft],$P422))</f>
        <v>0</v>
      </c>
      <c r="AC422" s="27" t="str">
        <f t="shared" si="69"/>
        <v/>
      </c>
      <c r="AD422" s="293" t="str">
        <f>IFERROR(IF(AE422="","",IF($F422="Total",
SUMPRODUCT(
   INDEX(AD:AD, ROW()-COUNTIF($F$6:INDEX($F:$F, ROW()-1), $F421)) : INDEX(AD:AD, ROW()-1),
   INDEX(AB:AB, ROW()-COUNTIF($F$6:INDEX($F:$F, ROW()-1), $F421)) : INDEX(AB:AB, ROW()-1)
   )
   /SUM(INDEX(AB:AB, ROW()-COUNTIF($F$6:INDEX($F:$F, ROW()-1), $F421)) : INDEX(AB:AB, ROW()-1)),
          _xlfn.MINIFS(unit_details[Asking Rent],
          unit_details[Active Listing?],TRUE,
          unit_details[Property Name], $F422,
          unit_details[Beds], $L422,
          unit_details[Baths], $M422,
          unit_details[Partial Baths], IF(ISNUMBER($N422),$N422,""),
          unit_details[Sqft],$P422
))),"")</f>
        <v/>
      </c>
      <c r="AE422" s="5" t="str">
        <f>IFERROR(IF($F422="Total",
          SUMPRODUCT(
   INDEX(AE:AE, ROW()-COUNTIF($F$6:INDEX($F:$F, ROW()-1), $F421)) : INDEX(AE:AE, ROW()-1),
   INDEX(AB:AB, ROW()-COUNTIF($F$6:INDEX($F:$F, ROW()-1), $F421)) : INDEX(AB:AB, ROW()-1)
   )
   /SUM(INDEX(AB:AB, ROW()-COUNTIF($F$6:INDEX($F:$F, ROW()-1), $F421)) : INDEX(AB:AB, ROW()-1)),
          AVERAGEIFS(unit_details[Asking Rent],
          unit_details[Active Listing?],TRUE,
          unit_details[Property Name], $F422,
          unit_details[Beds], $L422,
          unit_details[Baths], $M422,
          unit_details[Partial Baths], IF(ISNUMBER($N422),$N422,""),
          unit_details[Sqft],$P422
)),"")</f>
        <v/>
      </c>
      <c r="AF422" s="5" t="str">
        <f>IFERROR(IF(AE422="","",IF($F422="Total",
SUMPRODUCT(
   INDEX(AF:AF, ROW()-COUNTIF($F$6:INDEX($F:$F, ROW()-1), $F421)) : INDEX(AF:AF, ROW()-1),
   INDEX(AB:AB, ROW()-COUNTIF($F$6:INDEX($F:$F, ROW()-1), $F421)) : INDEX(AB:AB, ROW()-1)
   )
   /SUM(INDEX(AB:AB, ROW()-COUNTIF($F$6:INDEX($F:$F, ROW()-1), $F421)) : INDEX(AB:AB, ROW()-1)),
           _xlfn.MAXIFS(unit_details[Asking Rent],
          unit_details[Active Listing?],TRUE,
          unit_details[Property Name], $F422,
          unit_details[Beds], $L422,
          unit_details[Baths], $M422,
          unit_details[Partial Baths], IF(ISNUMBER($N422),$N422,""),
          unit_details[Sqft],$P422
))),"")</f>
        <v/>
      </c>
      <c r="AG422" s="6" t="str">
        <f>IFERROR(IF($F422="Total",
         SUMPRODUCT(
         INDEX(AG:AG, ROW()-COUNTIF($F$6:INDEX($F:$F, ROW()-1), $F421)) : INDEX(AG:AG, ROW()-1),
         INDEX(AB:AB, ROW()-COUNTIF($F$6:INDEX($F:$F, ROW()-1), $F421)) : INDEX(AB:AB, ROW()-1)
         )
         /SUM(INDEX(AB:AB, ROW()-COUNTIF($F$6:INDEX($F:$F, ROW()-1), $F421)) : INDEX(AB:AB, ROW()-1)),
          AVERAGEIFS(unit_details[Asking PSF],
          unit_details[Active Listing?],TRUE,
          unit_details[Property Name], $F422,
          unit_details[Beds], $L422,
          unit_details[Baths], $M422,
          unit_details[Partial Baths], IF(ISNUMBER($N422),$N422,""),
          unit_details[Sqft],$P422
)),"")</f>
        <v/>
      </c>
      <c r="AH422" s="293" t="str">
        <f>IFERROR(IF($F422="Total",
         SUMPRODUCT(
         INDEX(AH:AH, ROW()-COUNTIF($F$6:INDEX($F:$F, ROW()-1), $F421)) : INDEX(AH:AH, ROW()-1),
         INDEX(AB:AB, ROW()-COUNTIF($F$6:INDEX($F:$F, ROW()-1), $F421)) : INDEX(AB:AB, ROW()-1)
         )
         /SUM(INDEX(AB:AB, ROW()-COUNTIF($F$6:INDEX($F:$F, ROW()-1), $F421)) : INDEX(AB:AB, ROW()-1)),
          AVERAGEIFS(unit_details[Effective Rent],
          unit_details[Active Listing?],TRUE,
          unit_details[Property Name], $F422,
          unit_details[Beds], $L422,
          unit_details[Baths], $M422,
          unit_details[Partial Baths], IF(ISNUMBER($N422),$N422,""),
          unit_details[Sqft],$P422
)),"")</f>
        <v/>
      </c>
      <c r="AI422" s="6" t="str">
        <f>IFERROR(IF($F422="Total",
         SUMPRODUCT(
         INDEX(AI:AI, ROW()-COUNTIF($F$6:INDEX($F:$F, ROW()-1), $F421)) : INDEX(AI:AI, ROW()-1),
         INDEX(AB:AB, ROW()-COUNTIF($F$6:INDEX($F:$F, ROW()-1), $F421)) : INDEX(AB:AB, ROW()-1)
         )
         /SUM(INDEX(AB:AB, ROW()-COUNTIF($F$6:INDEX($F:$F, ROW()-1), $F421)) : INDEX(AB:AB, ROW()-1)),
           AVERAGEIFS(unit_details[Effective PSF],
          unit_details[Active Listing?],TRUE,
          unit_details[Property Name], $F422,
          unit_details[Beds], $L422,
          unit_details[Baths], $M422,
          unit_details[Partial Baths], IF(ISNUMBER($N422),$N422,""),
          unit_details[Sqft],$P422
)),"")</f>
        <v/>
      </c>
      <c r="AJ422" s="824" t="str">
        <f t="shared" si="70"/>
        <v/>
      </c>
      <c r="AK422" s="531" t="str">
        <f t="shared" si="71"/>
        <v/>
      </c>
      <c r="AL422" s="714" t="str">
        <f t="shared" si="72"/>
        <v/>
      </c>
      <c r="AM422" s="531" t="str">
        <f t="shared" si="73"/>
        <v/>
      </c>
      <c r="AN422" s="716" t="str">
        <f t="shared" si="74"/>
        <v/>
      </c>
    </row>
    <row r="423" spans="6:40" x14ac:dyDescent="0.2">
      <c r="F423" s="1" t="str">
        <f t="shared" si="67"/>
        <v/>
      </c>
      <c r="G423" s="713" t="str">
        <f t="shared" si="75"/>
        <v/>
      </c>
      <c r="H423" s="17" t="str">
        <f>IFERROR(VLOOKUP($G423,Table1[[Property]:[Exposure %]],4,0),"")</f>
        <v/>
      </c>
      <c r="I423" s="3" t="str">
        <f>IFERROR(VLOOKUP($G423,Table1[[Property]:[Exposure %]],6,0),"")</f>
        <v/>
      </c>
      <c r="J423" s="3" t="str">
        <f>IFERROR(VLOOKUP($G423,Table1[[Property]:[Exposure %]],7,0),"")</f>
        <v/>
      </c>
      <c r="R423" s="4" t="str">
        <f>IFERROR(VLOOKUP(IF(F423="Total",F422,F423),Table1[[Property]:['# Units]],7,0)*S423,"")</f>
        <v/>
      </c>
      <c r="S423" s="27" t="str">
        <f t="shared" si="68"/>
        <v/>
      </c>
      <c r="T423" s="531" t="str">
        <f>IFERROR(
 IF($F423="Total",
   SUMPRODUCT(
   INDEX(T:T, ROW()-COUNTIF($F$6:INDEX($F:$F, ROW()-1), $F422)) : INDEX(T:T, ROW()-1),
   INDEX(W:W, ROW()-COUNTIF($F$6:INDEX($F:$F, ROW()-1), $F422)) : INDEX(W:W, ROW()-1)
   )
   /SUM(INDEX(W:W, ROW()-COUNTIF($F$6:INDEX($F:$F, ROW()-1), $F422)) : INDEX(W:W, ROW()-1)),
   AVERAGEIFS(
     INDEX((unit_details[Asking Rent],unit_details[Asking PSF]),0,1,IF($U$3="Chunk Rent",1,2)),
     unit_details[Leased Date],"&gt;="&amp;($AM$2-T$5),
     unit_details[Leased Date],"&lt;"&amp;$AM$2,
     unit_details[Beds],$L423,
     unit_details[Baths],$M423,
     unit_details[Partial Baths],IF(ISNUMBER($N423),$N423,""),
     unit_details[Sqft],$P423,
     unit_details[Property Name],$F423)
 ),"")</f>
        <v/>
      </c>
      <c r="U423" s="552" t="str">
        <f>IFERROR(
 IF($F423="Total",
   SUMPRODUCT(
   INDEX(U:U, ROW()-COUNTIF($F$6:INDEX($F:$F, ROW()-1), $F422)) : INDEX(U:U, ROW()-1),
   INDEX(W:W, ROW()-COUNTIF($F$6:INDEX($F:$F, ROW()-1), $F422)) : INDEX(W:W, ROW()-1)
   )
   /SUM(INDEX(W:W, ROW()-COUNTIF($F$6:INDEX($F:$F, ROW()-1), $F422)) : INDEX(W:W, ROW()-1)),
   AVERAGEIFS(
     INDEX((unit_details[Effective Rent],unit_details[Effective PSF]),0,1,IF($U$3="Chunk Rent",1,2)),
     unit_details[Leased Date],"&gt;="&amp;($AM$2-T$5),
     unit_details[Leased Date],"&lt;"&amp;$AM$2,
     unit_details[Beds],$L423,
     unit_details[Baths],$M423,
     unit_details[Partial Baths],IF(ISNUMBER($N423),$N423,""),
     unit_details[Sqft],$P423,
     unit_details[Property Name],$F423)
 ),"")</f>
        <v/>
      </c>
      <c r="V423" s="27" t="str">
        <f t="shared" si="76"/>
        <v/>
      </c>
      <c r="W423" s="526">
        <f>IFERROR(
  IF($F423="Total",
    SUM(INDEX(W:W, ROW()-COUNTIF($F$6:INDEX($F:$F, ROW()-1), $F422)) : INDEX(W:W, ROW()-1)),
    COUNTIFS(
      unit_details[Leased Date], "&gt;="&amp;($AM$2-T$5),
      unit_details[Leased Date], "&lt;"&amp;$AM$2,
      unit_details[Beds], $L423,
      unit_details[Baths], $M423,
      unit_details[Partial Baths], IF(ISNUMBER($N423), $N423, ""),
      unit_details[Sqft],$P423,
      unit_details[Property Name], $F423
    )
  ),
"")</f>
        <v>0</v>
      </c>
      <c r="X423" s="531" t="str">
        <f>IFERROR(
 IF($F423="Total",
   SUMPRODUCT(
   INDEX(X:X, ROW()-COUNTIF($F$6:INDEX($F:$F, ROW()-1), $F422)) : INDEX(X:X, ROW()-1),
   INDEX(AA:AA, ROW()-COUNTIF($F$6:INDEX($F:$F, ROW()-1), $F422)) : INDEX(AA:AA, ROW()-1)
   )
   /SUM(INDEX(AA:AA, ROW()-COUNTIF($F$6:INDEX($F:$F, ROW()-1), $F422)) : INDEX(AA:AA, ROW()-1)),
   AVERAGEIFS(
     INDEX((unit_details[Asking Rent],unit_details[Asking PSF]),0,1,IF($U$3="Chunk Rent",1,2)),
     unit_details[Leased Date],"&gt;="&amp;($AM$2-X$5),
     unit_details[Leased Date],"&lt;"&amp;$AM$2,
     unit_details[Beds],$L423,
     unit_details[Baths],$M423,
     unit_details[Partial Baths],IF(ISNUMBER($N423),$N423,""),
     unit_details[Sqft],$P423,
     unit_details[Property Name],$F423)
 ),"")</f>
        <v/>
      </c>
      <c r="Y423" s="552" t="str">
        <f>IFERROR(
 IF($F423="Total",
   SUMPRODUCT(
   INDEX(Y:Y, ROW()-COUNTIF($F$6:INDEX($F:$F, ROW()-1), $F422)) : INDEX(Y:Y, ROW()-1),
   INDEX(AA:AA, ROW()-COUNTIF($F$6:INDEX($F:$F, ROW()-1), $F422)) : INDEX(AA:AA, ROW()-1)
   )
   /SUM(INDEX(AA:AA, ROW()-COUNTIF($F$6:INDEX($F:$F, ROW()-1), $F422)) : INDEX(AA:AA, ROW()-1)),
   AVERAGEIFS(
     INDEX((unit_details[Effective Rent],unit_details[Effective PSF]),0,1,IF($U$3="Chunk Rent",1,2)),
     unit_details[Leased Date],"&gt;="&amp;($AM$2-X$5),
     unit_details[Leased Date],"&lt;"&amp;$AM$2,
     unit_details[Beds],$L423,
     unit_details[Baths],$M423,
     unit_details[Partial Baths],IF(ISNUMBER($N423),$N423,""),
     unit_details[Sqft],$P423,
     unit_details[Property Name],$F423)
 ),"")</f>
        <v/>
      </c>
      <c r="Z423" s="27" t="str">
        <f t="shared" si="77"/>
        <v/>
      </c>
      <c r="AA423" s="526">
        <f>IFERROR(
  IF($F423="Total",
    SUM(INDEX(AA:AA, ROW()-COUNTIF($F$6:INDEX($F:$F, ROW()-1), $F422)) : INDEX(AA:AA, ROW()-1)),
    COUNTIFS(
      unit_details[Leased Date], "&gt;="&amp;($AM$2-X$5),
      unit_details[Leased Date], "&lt;"&amp;$AM$2,
      unit_details[Beds], $L423,
      unit_details[Baths], $M423,
      unit_details[Partial Baths], IF(ISNUMBER($N423), $N423, ""),
      unit_details[Sqft],$P423,
      unit_details[Property Name], $F423
    )
  ),
"")</f>
        <v>0</v>
      </c>
      <c r="AB423" s="290">
        <f>IF($F423="Total",
SUM(INDEX(AB:AB, ROW()-COUNTIF($F$6:INDEX($F:$F, ROW()-1), $F422)) : INDEX(AB:AB, ROW()-1)),
COUNTIFS(unit_details[Active Listing?],TRUE,
          unit_details[Property Name], $F423,
          unit_details[Beds], $L423,
          unit_details[Baths], $M423,
          unit_details[Partial Baths],IF(ISNUMBER($N423),$N423,""),
          unit_details[Sqft],$P423))</f>
        <v>0</v>
      </c>
      <c r="AC423" s="27" t="str">
        <f t="shared" si="69"/>
        <v/>
      </c>
      <c r="AD423" s="293" t="str">
        <f>IFERROR(IF(AE423="","",IF($F423="Total",
SUMPRODUCT(
   INDEX(AD:AD, ROW()-COUNTIF($F$6:INDEX($F:$F, ROW()-1), $F422)) : INDEX(AD:AD, ROW()-1),
   INDEX(AB:AB, ROW()-COUNTIF($F$6:INDEX($F:$F, ROW()-1), $F422)) : INDEX(AB:AB, ROW()-1)
   )
   /SUM(INDEX(AB:AB, ROW()-COUNTIF($F$6:INDEX($F:$F, ROW()-1), $F422)) : INDEX(AB:AB, ROW()-1)),
          _xlfn.MINIFS(unit_details[Asking Rent],
          unit_details[Active Listing?],TRUE,
          unit_details[Property Name], $F423,
          unit_details[Beds], $L423,
          unit_details[Baths], $M423,
          unit_details[Partial Baths], IF(ISNUMBER($N423),$N423,""),
          unit_details[Sqft],$P423
))),"")</f>
        <v/>
      </c>
      <c r="AE423" s="5" t="str">
        <f>IFERROR(IF($F423="Total",
          SUMPRODUCT(
   INDEX(AE:AE, ROW()-COUNTIF($F$6:INDEX($F:$F, ROW()-1), $F422)) : INDEX(AE:AE, ROW()-1),
   INDEX(AB:AB, ROW()-COUNTIF($F$6:INDEX($F:$F, ROW()-1), $F422)) : INDEX(AB:AB, ROW()-1)
   )
   /SUM(INDEX(AB:AB, ROW()-COUNTIF($F$6:INDEX($F:$F, ROW()-1), $F422)) : INDEX(AB:AB, ROW()-1)),
          AVERAGEIFS(unit_details[Asking Rent],
          unit_details[Active Listing?],TRUE,
          unit_details[Property Name], $F423,
          unit_details[Beds], $L423,
          unit_details[Baths], $M423,
          unit_details[Partial Baths], IF(ISNUMBER($N423),$N423,""),
          unit_details[Sqft],$P423
)),"")</f>
        <v/>
      </c>
      <c r="AF423" s="5" t="str">
        <f>IFERROR(IF(AE423="","",IF($F423="Total",
SUMPRODUCT(
   INDEX(AF:AF, ROW()-COUNTIF($F$6:INDEX($F:$F, ROW()-1), $F422)) : INDEX(AF:AF, ROW()-1),
   INDEX(AB:AB, ROW()-COUNTIF($F$6:INDEX($F:$F, ROW()-1), $F422)) : INDEX(AB:AB, ROW()-1)
   )
   /SUM(INDEX(AB:AB, ROW()-COUNTIF($F$6:INDEX($F:$F, ROW()-1), $F422)) : INDEX(AB:AB, ROW()-1)),
           _xlfn.MAXIFS(unit_details[Asking Rent],
          unit_details[Active Listing?],TRUE,
          unit_details[Property Name], $F423,
          unit_details[Beds], $L423,
          unit_details[Baths], $M423,
          unit_details[Partial Baths], IF(ISNUMBER($N423),$N423,""),
          unit_details[Sqft],$P423
))),"")</f>
        <v/>
      </c>
      <c r="AG423" s="6" t="str">
        <f>IFERROR(IF($F423="Total",
         SUMPRODUCT(
         INDEX(AG:AG, ROW()-COUNTIF($F$6:INDEX($F:$F, ROW()-1), $F422)) : INDEX(AG:AG, ROW()-1),
         INDEX(AB:AB, ROW()-COUNTIF($F$6:INDEX($F:$F, ROW()-1), $F422)) : INDEX(AB:AB, ROW()-1)
         )
         /SUM(INDEX(AB:AB, ROW()-COUNTIF($F$6:INDEX($F:$F, ROW()-1), $F422)) : INDEX(AB:AB, ROW()-1)),
          AVERAGEIFS(unit_details[Asking PSF],
          unit_details[Active Listing?],TRUE,
          unit_details[Property Name], $F423,
          unit_details[Beds], $L423,
          unit_details[Baths], $M423,
          unit_details[Partial Baths], IF(ISNUMBER($N423),$N423,""),
          unit_details[Sqft],$P423
)),"")</f>
        <v/>
      </c>
      <c r="AH423" s="293" t="str">
        <f>IFERROR(IF($F423="Total",
         SUMPRODUCT(
         INDEX(AH:AH, ROW()-COUNTIF($F$6:INDEX($F:$F, ROW()-1), $F422)) : INDEX(AH:AH, ROW()-1),
         INDEX(AB:AB, ROW()-COUNTIF($F$6:INDEX($F:$F, ROW()-1), $F422)) : INDEX(AB:AB, ROW()-1)
         )
         /SUM(INDEX(AB:AB, ROW()-COUNTIF($F$6:INDEX($F:$F, ROW()-1), $F422)) : INDEX(AB:AB, ROW()-1)),
          AVERAGEIFS(unit_details[Effective Rent],
          unit_details[Active Listing?],TRUE,
          unit_details[Property Name], $F423,
          unit_details[Beds], $L423,
          unit_details[Baths], $M423,
          unit_details[Partial Baths], IF(ISNUMBER($N423),$N423,""),
          unit_details[Sqft],$P423
)),"")</f>
        <v/>
      </c>
      <c r="AI423" s="6" t="str">
        <f>IFERROR(IF($F423="Total",
         SUMPRODUCT(
         INDEX(AI:AI, ROW()-COUNTIF($F$6:INDEX($F:$F, ROW()-1), $F422)) : INDEX(AI:AI, ROW()-1),
         INDEX(AB:AB, ROW()-COUNTIF($F$6:INDEX($F:$F, ROW()-1), $F422)) : INDEX(AB:AB, ROW()-1)
         )
         /SUM(INDEX(AB:AB, ROW()-COUNTIF($F$6:INDEX($F:$F, ROW()-1), $F422)) : INDEX(AB:AB, ROW()-1)),
           AVERAGEIFS(unit_details[Effective PSF],
          unit_details[Active Listing?],TRUE,
          unit_details[Property Name], $F423,
          unit_details[Beds], $L423,
          unit_details[Baths], $M423,
          unit_details[Partial Baths], IF(ISNUMBER($N423),$N423,""),
          unit_details[Sqft],$P423
)),"")</f>
        <v/>
      </c>
      <c r="AJ423" s="824" t="str">
        <f t="shared" si="70"/>
        <v/>
      </c>
      <c r="AK423" s="531" t="str">
        <f t="shared" si="71"/>
        <v/>
      </c>
      <c r="AL423" s="714" t="str">
        <f t="shared" si="72"/>
        <v/>
      </c>
      <c r="AM423" s="531" t="str">
        <f t="shared" si="73"/>
        <v/>
      </c>
      <c r="AN423" s="716" t="str">
        <f t="shared" si="74"/>
        <v/>
      </c>
    </row>
    <row r="424" spans="6:40" x14ac:dyDescent="0.2">
      <c r="F424" s="1" t="str">
        <f t="shared" si="67"/>
        <v/>
      </c>
      <c r="G424" s="713" t="str">
        <f t="shared" si="75"/>
        <v/>
      </c>
      <c r="H424" s="17" t="str">
        <f>IFERROR(VLOOKUP($G424,Table1[[Property]:[Exposure %]],4,0),"")</f>
        <v/>
      </c>
      <c r="I424" s="3" t="str">
        <f>IFERROR(VLOOKUP($G424,Table1[[Property]:[Exposure %]],6,0),"")</f>
        <v/>
      </c>
      <c r="J424" s="3" t="str">
        <f>IFERROR(VLOOKUP($G424,Table1[[Property]:[Exposure %]],7,0),"")</f>
        <v/>
      </c>
      <c r="R424" s="4" t="str">
        <f>IFERROR(VLOOKUP(IF(F424="Total",F423,F424),Table1[[Property]:['# Units]],7,0)*S424,"")</f>
        <v/>
      </c>
      <c r="S424" s="27" t="str">
        <f t="shared" si="68"/>
        <v/>
      </c>
      <c r="T424" s="531" t="str">
        <f>IFERROR(
 IF($F424="Total",
   SUMPRODUCT(
   INDEX(T:T, ROW()-COUNTIF($F$6:INDEX($F:$F, ROW()-1), $F423)) : INDEX(T:T, ROW()-1),
   INDEX(W:W, ROW()-COUNTIF($F$6:INDEX($F:$F, ROW()-1), $F423)) : INDEX(W:W, ROW()-1)
   )
   /SUM(INDEX(W:W, ROW()-COUNTIF($F$6:INDEX($F:$F, ROW()-1), $F423)) : INDEX(W:W, ROW()-1)),
   AVERAGEIFS(
     INDEX((unit_details[Asking Rent],unit_details[Asking PSF]),0,1,IF($U$3="Chunk Rent",1,2)),
     unit_details[Leased Date],"&gt;="&amp;($AM$2-T$5),
     unit_details[Leased Date],"&lt;"&amp;$AM$2,
     unit_details[Beds],$L424,
     unit_details[Baths],$M424,
     unit_details[Partial Baths],IF(ISNUMBER($N424),$N424,""),
     unit_details[Sqft],$P424,
     unit_details[Property Name],$F424)
 ),"")</f>
        <v/>
      </c>
      <c r="U424" s="552" t="str">
        <f>IFERROR(
 IF($F424="Total",
   SUMPRODUCT(
   INDEX(U:U, ROW()-COUNTIF($F$6:INDEX($F:$F, ROW()-1), $F423)) : INDEX(U:U, ROW()-1),
   INDEX(W:W, ROW()-COUNTIF($F$6:INDEX($F:$F, ROW()-1), $F423)) : INDEX(W:W, ROW()-1)
   )
   /SUM(INDEX(W:W, ROW()-COUNTIF($F$6:INDEX($F:$F, ROW()-1), $F423)) : INDEX(W:W, ROW()-1)),
   AVERAGEIFS(
     INDEX((unit_details[Effective Rent],unit_details[Effective PSF]),0,1,IF($U$3="Chunk Rent",1,2)),
     unit_details[Leased Date],"&gt;="&amp;($AM$2-T$5),
     unit_details[Leased Date],"&lt;"&amp;$AM$2,
     unit_details[Beds],$L424,
     unit_details[Baths],$M424,
     unit_details[Partial Baths],IF(ISNUMBER($N424),$N424,""),
     unit_details[Sqft],$P424,
     unit_details[Property Name],$F424)
 ),"")</f>
        <v/>
      </c>
      <c r="V424" s="27" t="str">
        <f t="shared" si="76"/>
        <v/>
      </c>
      <c r="W424" s="526">
        <f>IFERROR(
  IF($F424="Total",
    SUM(INDEX(W:W, ROW()-COUNTIF($F$6:INDEX($F:$F, ROW()-1), $F423)) : INDEX(W:W, ROW()-1)),
    COUNTIFS(
      unit_details[Leased Date], "&gt;="&amp;($AM$2-T$5),
      unit_details[Leased Date], "&lt;"&amp;$AM$2,
      unit_details[Beds], $L424,
      unit_details[Baths], $M424,
      unit_details[Partial Baths], IF(ISNUMBER($N424), $N424, ""),
      unit_details[Sqft],$P424,
      unit_details[Property Name], $F424
    )
  ),
"")</f>
        <v>0</v>
      </c>
      <c r="X424" s="531" t="str">
        <f>IFERROR(
 IF($F424="Total",
   SUMPRODUCT(
   INDEX(X:X, ROW()-COUNTIF($F$6:INDEX($F:$F, ROW()-1), $F423)) : INDEX(X:X, ROW()-1),
   INDEX(AA:AA, ROW()-COUNTIF($F$6:INDEX($F:$F, ROW()-1), $F423)) : INDEX(AA:AA, ROW()-1)
   )
   /SUM(INDEX(AA:AA, ROW()-COUNTIF($F$6:INDEX($F:$F, ROW()-1), $F423)) : INDEX(AA:AA, ROW()-1)),
   AVERAGEIFS(
     INDEX((unit_details[Asking Rent],unit_details[Asking PSF]),0,1,IF($U$3="Chunk Rent",1,2)),
     unit_details[Leased Date],"&gt;="&amp;($AM$2-X$5),
     unit_details[Leased Date],"&lt;"&amp;$AM$2,
     unit_details[Beds],$L424,
     unit_details[Baths],$M424,
     unit_details[Partial Baths],IF(ISNUMBER($N424),$N424,""),
     unit_details[Sqft],$P424,
     unit_details[Property Name],$F424)
 ),"")</f>
        <v/>
      </c>
      <c r="Y424" s="552" t="str">
        <f>IFERROR(
 IF($F424="Total",
   SUMPRODUCT(
   INDEX(Y:Y, ROW()-COUNTIF($F$6:INDEX($F:$F, ROW()-1), $F423)) : INDEX(Y:Y, ROW()-1),
   INDEX(AA:AA, ROW()-COUNTIF($F$6:INDEX($F:$F, ROW()-1), $F423)) : INDEX(AA:AA, ROW()-1)
   )
   /SUM(INDEX(AA:AA, ROW()-COUNTIF($F$6:INDEX($F:$F, ROW()-1), $F423)) : INDEX(AA:AA, ROW()-1)),
   AVERAGEIFS(
     INDEX((unit_details[Effective Rent],unit_details[Effective PSF]),0,1,IF($U$3="Chunk Rent",1,2)),
     unit_details[Leased Date],"&gt;="&amp;($AM$2-X$5),
     unit_details[Leased Date],"&lt;"&amp;$AM$2,
     unit_details[Beds],$L424,
     unit_details[Baths],$M424,
     unit_details[Partial Baths],IF(ISNUMBER($N424),$N424,""),
     unit_details[Sqft],$P424,
     unit_details[Property Name],$F424)
 ),"")</f>
        <v/>
      </c>
      <c r="Z424" s="27" t="str">
        <f t="shared" si="77"/>
        <v/>
      </c>
      <c r="AA424" s="526">
        <f>IFERROR(
  IF($F424="Total",
    SUM(INDEX(AA:AA, ROW()-COUNTIF($F$6:INDEX($F:$F, ROW()-1), $F423)) : INDEX(AA:AA, ROW()-1)),
    COUNTIFS(
      unit_details[Leased Date], "&gt;="&amp;($AM$2-X$5),
      unit_details[Leased Date], "&lt;"&amp;$AM$2,
      unit_details[Beds], $L424,
      unit_details[Baths], $M424,
      unit_details[Partial Baths], IF(ISNUMBER($N424), $N424, ""),
      unit_details[Sqft],$P424,
      unit_details[Property Name], $F424
    )
  ),
"")</f>
        <v>0</v>
      </c>
      <c r="AB424" s="290">
        <f>IF($F424="Total",
SUM(INDEX(AB:AB, ROW()-COUNTIF($F$6:INDEX($F:$F, ROW()-1), $F423)) : INDEX(AB:AB, ROW()-1)),
COUNTIFS(unit_details[Active Listing?],TRUE,
          unit_details[Property Name], $F424,
          unit_details[Beds], $L424,
          unit_details[Baths], $M424,
          unit_details[Partial Baths],IF(ISNUMBER($N424),$N424,""),
          unit_details[Sqft],$P424))</f>
        <v>0</v>
      </c>
      <c r="AC424" s="27" t="str">
        <f t="shared" si="69"/>
        <v/>
      </c>
      <c r="AD424" s="293" t="str">
        <f>IFERROR(IF(AE424="","",IF($F424="Total",
SUMPRODUCT(
   INDEX(AD:AD, ROW()-COUNTIF($F$6:INDEX($F:$F, ROW()-1), $F423)) : INDEX(AD:AD, ROW()-1),
   INDEX(AB:AB, ROW()-COUNTIF($F$6:INDEX($F:$F, ROW()-1), $F423)) : INDEX(AB:AB, ROW()-1)
   )
   /SUM(INDEX(AB:AB, ROW()-COUNTIF($F$6:INDEX($F:$F, ROW()-1), $F423)) : INDEX(AB:AB, ROW()-1)),
          _xlfn.MINIFS(unit_details[Asking Rent],
          unit_details[Active Listing?],TRUE,
          unit_details[Property Name], $F424,
          unit_details[Beds], $L424,
          unit_details[Baths], $M424,
          unit_details[Partial Baths], IF(ISNUMBER($N424),$N424,""),
          unit_details[Sqft],$P424
))),"")</f>
        <v/>
      </c>
      <c r="AE424" s="5" t="str">
        <f>IFERROR(IF($F424="Total",
          SUMPRODUCT(
   INDEX(AE:AE, ROW()-COUNTIF($F$6:INDEX($F:$F, ROW()-1), $F423)) : INDEX(AE:AE, ROW()-1),
   INDEX(AB:AB, ROW()-COUNTIF($F$6:INDEX($F:$F, ROW()-1), $F423)) : INDEX(AB:AB, ROW()-1)
   )
   /SUM(INDEX(AB:AB, ROW()-COUNTIF($F$6:INDEX($F:$F, ROW()-1), $F423)) : INDEX(AB:AB, ROW()-1)),
          AVERAGEIFS(unit_details[Asking Rent],
          unit_details[Active Listing?],TRUE,
          unit_details[Property Name], $F424,
          unit_details[Beds], $L424,
          unit_details[Baths], $M424,
          unit_details[Partial Baths], IF(ISNUMBER($N424),$N424,""),
          unit_details[Sqft],$P424
)),"")</f>
        <v/>
      </c>
      <c r="AF424" s="5" t="str">
        <f>IFERROR(IF(AE424="","",IF($F424="Total",
SUMPRODUCT(
   INDEX(AF:AF, ROW()-COUNTIF($F$6:INDEX($F:$F, ROW()-1), $F423)) : INDEX(AF:AF, ROW()-1),
   INDEX(AB:AB, ROW()-COUNTIF($F$6:INDEX($F:$F, ROW()-1), $F423)) : INDEX(AB:AB, ROW()-1)
   )
   /SUM(INDEX(AB:AB, ROW()-COUNTIF($F$6:INDEX($F:$F, ROW()-1), $F423)) : INDEX(AB:AB, ROW()-1)),
           _xlfn.MAXIFS(unit_details[Asking Rent],
          unit_details[Active Listing?],TRUE,
          unit_details[Property Name], $F424,
          unit_details[Beds], $L424,
          unit_details[Baths], $M424,
          unit_details[Partial Baths], IF(ISNUMBER($N424),$N424,""),
          unit_details[Sqft],$P424
))),"")</f>
        <v/>
      </c>
      <c r="AG424" s="6" t="str">
        <f>IFERROR(IF($F424="Total",
         SUMPRODUCT(
         INDEX(AG:AG, ROW()-COUNTIF($F$6:INDEX($F:$F, ROW()-1), $F423)) : INDEX(AG:AG, ROW()-1),
         INDEX(AB:AB, ROW()-COUNTIF($F$6:INDEX($F:$F, ROW()-1), $F423)) : INDEX(AB:AB, ROW()-1)
         )
         /SUM(INDEX(AB:AB, ROW()-COUNTIF($F$6:INDEX($F:$F, ROW()-1), $F423)) : INDEX(AB:AB, ROW()-1)),
          AVERAGEIFS(unit_details[Asking PSF],
          unit_details[Active Listing?],TRUE,
          unit_details[Property Name], $F424,
          unit_details[Beds], $L424,
          unit_details[Baths], $M424,
          unit_details[Partial Baths], IF(ISNUMBER($N424),$N424,""),
          unit_details[Sqft],$P424
)),"")</f>
        <v/>
      </c>
      <c r="AH424" s="293" t="str">
        <f>IFERROR(IF($F424="Total",
         SUMPRODUCT(
         INDEX(AH:AH, ROW()-COUNTIF($F$6:INDEX($F:$F, ROW()-1), $F423)) : INDEX(AH:AH, ROW()-1),
         INDEX(AB:AB, ROW()-COUNTIF($F$6:INDEX($F:$F, ROW()-1), $F423)) : INDEX(AB:AB, ROW()-1)
         )
         /SUM(INDEX(AB:AB, ROW()-COUNTIF($F$6:INDEX($F:$F, ROW()-1), $F423)) : INDEX(AB:AB, ROW()-1)),
          AVERAGEIFS(unit_details[Effective Rent],
          unit_details[Active Listing?],TRUE,
          unit_details[Property Name], $F424,
          unit_details[Beds], $L424,
          unit_details[Baths], $M424,
          unit_details[Partial Baths], IF(ISNUMBER($N424),$N424,""),
          unit_details[Sqft],$P424
)),"")</f>
        <v/>
      </c>
      <c r="AI424" s="6" t="str">
        <f>IFERROR(IF($F424="Total",
         SUMPRODUCT(
         INDEX(AI:AI, ROW()-COUNTIF($F$6:INDEX($F:$F, ROW()-1), $F423)) : INDEX(AI:AI, ROW()-1),
         INDEX(AB:AB, ROW()-COUNTIF($F$6:INDEX($F:$F, ROW()-1), $F423)) : INDEX(AB:AB, ROW()-1)
         )
         /SUM(INDEX(AB:AB, ROW()-COUNTIF($F$6:INDEX($F:$F, ROW()-1), $F423)) : INDEX(AB:AB, ROW()-1)),
           AVERAGEIFS(unit_details[Effective PSF],
          unit_details[Active Listing?],TRUE,
          unit_details[Property Name], $F424,
          unit_details[Beds], $L424,
          unit_details[Baths], $M424,
          unit_details[Partial Baths], IF(ISNUMBER($N424),$N424,""),
          unit_details[Sqft],$P424
)),"")</f>
        <v/>
      </c>
      <c r="AJ424" s="824" t="str">
        <f t="shared" si="70"/>
        <v/>
      </c>
      <c r="AK424" s="531" t="str">
        <f t="shared" si="71"/>
        <v/>
      </c>
      <c r="AL424" s="714" t="str">
        <f t="shared" si="72"/>
        <v/>
      </c>
      <c r="AM424" s="531" t="str">
        <f t="shared" si="73"/>
        <v/>
      </c>
      <c r="AN424" s="716" t="str">
        <f t="shared" si="74"/>
        <v/>
      </c>
    </row>
    <row r="425" spans="6:40" x14ac:dyDescent="0.2">
      <c r="F425" s="1" t="str">
        <f t="shared" si="67"/>
        <v/>
      </c>
      <c r="G425" s="713" t="str">
        <f t="shared" si="75"/>
        <v/>
      </c>
      <c r="H425" s="17" t="str">
        <f>IFERROR(VLOOKUP($G425,Table1[[Property]:[Exposure %]],4,0),"")</f>
        <v/>
      </c>
      <c r="I425" s="3" t="str">
        <f>IFERROR(VLOOKUP($G425,Table1[[Property]:[Exposure %]],6,0),"")</f>
        <v/>
      </c>
      <c r="J425" s="3" t="str">
        <f>IFERROR(VLOOKUP($G425,Table1[[Property]:[Exposure %]],7,0),"")</f>
        <v/>
      </c>
      <c r="R425" s="4" t="str">
        <f>IFERROR(VLOOKUP(IF(F425="Total",F424,F425),Table1[[Property]:['# Units]],7,0)*S425,"")</f>
        <v/>
      </c>
      <c r="S425" s="27" t="str">
        <f t="shared" si="68"/>
        <v/>
      </c>
      <c r="T425" s="531" t="str">
        <f>IFERROR(
 IF($F425="Total",
   SUMPRODUCT(
   INDEX(T:T, ROW()-COUNTIF($F$6:INDEX($F:$F, ROW()-1), $F424)) : INDEX(T:T, ROW()-1),
   INDEX(W:W, ROW()-COUNTIF($F$6:INDEX($F:$F, ROW()-1), $F424)) : INDEX(W:W, ROW()-1)
   )
   /SUM(INDEX(W:W, ROW()-COUNTIF($F$6:INDEX($F:$F, ROW()-1), $F424)) : INDEX(W:W, ROW()-1)),
   AVERAGEIFS(
     INDEX((unit_details[Asking Rent],unit_details[Asking PSF]),0,1,IF($U$3="Chunk Rent",1,2)),
     unit_details[Leased Date],"&gt;="&amp;($AM$2-T$5),
     unit_details[Leased Date],"&lt;"&amp;$AM$2,
     unit_details[Beds],$L425,
     unit_details[Baths],$M425,
     unit_details[Partial Baths],IF(ISNUMBER($N425),$N425,""),
     unit_details[Sqft],$P425,
     unit_details[Property Name],$F425)
 ),"")</f>
        <v/>
      </c>
      <c r="U425" s="552" t="str">
        <f>IFERROR(
 IF($F425="Total",
   SUMPRODUCT(
   INDEX(U:U, ROW()-COUNTIF($F$6:INDEX($F:$F, ROW()-1), $F424)) : INDEX(U:U, ROW()-1),
   INDEX(W:W, ROW()-COUNTIF($F$6:INDEX($F:$F, ROW()-1), $F424)) : INDEX(W:W, ROW()-1)
   )
   /SUM(INDEX(W:W, ROW()-COUNTIF($F$6:INDEX($F:$F, ROW()-1), $F424)) : INDEX(W:W, ROW()-1)),
   AVERAGEIFS(
     INDEX((unit_details[Effective Rent],unit_details[Effective PSF]),0,1,IF($U$3="Chunk Rent",1,2)),
     unit_details[Leased Date],"&gt;="&amp;($AM$2-T$5),
     unit_details[Leased Date],"&lt;"&amp;$AM$2,
     unit_details[Beds],$L425,
     unit_details[Baths],$M425,
     unit_details[Partial Baths],IF(ISNUMBER($N425),$N425,""),
     unit_details[Sqft],$P425,
     unit_details[Property Name],$F425)
 ),"")</f>
        <v/>
      </c>
      <c r="V425" s="27" t="str">
        <f t="shared" si="76"/>
        <v/>
      </c>
      <c r="W425" s="526">
        <f>IFERROR(
  IF($F425="Total",
    SUM(INDEX(W:W, ROW()-COUNTIF($F$6:INDEX($F:$F, ROW()-1), $F424)) : INDEX(W:W, ROW()-1)),
    COUNTIFS(
      unit_details[Leased Date], "&gt;="&amp;($AM$2-T$5),
      unit_details[Leased Date], "&lt;"&amp;$AM$2,
      unit_details[Beds], $L425,
      unit_details[Baths], $M425,
      unit_details[Partial Baths], IF(ISNUMBER($N425), $N425, ""),
      unit_details[Sqft],$P425,
      unit_details[Property Name], $F425
    )
  ),
"")</f>
        <v>0</v>
      </c>
      <c r="X425" s="531" t="str">
        <f>IFERROR(
 IF($F425="Total",
   SUMPRODUCT(
   INDEX(X:X, ROW()-COUNTIF($F$6:INDEX($F:$F, ROW()-1), $F424)) : INDEX(X:X, ROW()-1),
   INDEX(AA:AA, ROW()-COUNTIF($F$6:INDEX($F:$F, ROW()-1), $F424)) : INDEX(AA:AA, ROW()-1)
   )
   /SUM(INDEX(AA:AA, ROW()-COUNTIF($F$6:INDEX($F:$F, ROW()-1), $F424)) : INDEX(AA:AA, ROW()-1)),
   AVERAGEIFS(
     INDEX((unit_details[Asking Rent],unit_details[Asking PSF]),0,1,IF($U$3="Chunk Rent",1,2)),
     unit_details[Leased Date],"&gt;="&amp;($AM$2-X$5),
     unit_details[Leased Date],"&lt;"&amp;$AM$2,
     unit_details[Beds],$L425,
     unit_details[Baths],$M425,
     unit_details[Partial Baths],IF(ISNUMBER($N425),$N425,""),
     unit_details[Sqft],$P425,
     unit_details[Property Name],$F425)
 ),"")</f>
        <v/>
      </c>
      <c r="Y425" s="552" t="str">
        <f>IFERROR(
 IF($F425="Total",
   SUMPRODUCT(
   INDEX(Y:Y, ROW()-COUNTIF($F$6:INDEX($F:$F, ROW()-1), $F424)) : INDEX(Y:Y, ROW()-1),
   INDEX(AA:AA, ROW()-COUNTIF($F$6:INDEX($F:$F, ROW()-1), $F424)) : INDEX(AA:AA, ROW()-1)
   )
   /SUM(INDEX(AA:AA, ROW()-COUNTIF($F$6:INDEX($F:$F, ROW()-1), $F424)) : INDEX(AA:AA, ROW()-1)),
   AVERAGEIFS(
     INDEX((unit_details[Effective Rent],unit_details[Effective PSF]),0,1,IF($U$3="Chunk Rent",1,2)),
     unit_details[Leased Date],"&gt;="&amp;($AM$2-X$5),
     unit_details[Leased Date],"&lt;"&amp;$AM$2,
     unit_details[Beds],$L425,
     unit_details[Baths],$M425,
     unit_details[Partial Baths],IF(ISNUMBER($N425),$N425,""),
     unit_details[Sqft],$P425,
     unit_details[Property Name],$F425)
 ),"")</f>
        <v/>
      </c>
      <c r="Z425" s="27" t="str">
        <f t="shared" si="77"/>
        <v/>
      </c>
      <c r="AA425" s="526">
        <f>IFERROR(
  IF($F425="Total",
    SUM(INDEX(AA:AA, ROW()-COUNTIF($F$6:INDEX($F:$F, ROW()-1), $F424)) : INDEX(AA:AA, ROW()-1)),
    COUNTIFS(
      unit_details[Leased Date], "&gt;="&amp;($AM$2-X$5),
      unit_details[Leased Date], "&lt;"&amp;$AM$2,
      unit_details[Beds], $L425,
      unit_details[Baths], $M425,
      unit_details[Partial Baths], IF(ISNUMBER($N425), $N425, ""),
      unit_details[Sqft],$P425,
      unit_details[Property Name], $F425
    )
  ),
"")</f>
        <v>0</v>
      </c>
      <c r="AB425" s="290">
        <f>IF($F425="Total",
SUM(INDEX(AB:AB, ROW()-COUNTIF($F$6:INDEX($F:$F, ROW()-1), $F424)) : INDEX(AB:AB, ROW()-1)),
COUNTIFS(unit_details[Active Listing?],TRUE,
          unit_details[Property Name], $F425,
          unit_details[Beds], $L425,
          unit_details[Baths], $M425,
          unit_details[Partial Baths],IF(ISNUMBER($N425),$N425,""),
          unit_details[Sqft],$P425))</f>
        <v>0</v>
      </c>
      <c r="AC425" s="27" t="str">
        <f t="shared" si="69"/>
        <v/>
      </c>
      <c r="AD425" s="293" t="str">
        <f>IFERROR(IF(AE425="","",IF($F425="Total",
SUMPRODUCT(
   INDEX(AD:AD, ROW()-COUNTIF($F$6:INDEX($F:$F, ROW()-1), $F424)) : INDEX(AD:AD, ROW()-1),
   INDEX(AB:AB, ROW()-COUNTIF($F$6:INDEX($F:$F, ROW()-1), $F424)) : INDEX(AB:AB, ROW()-1)
   )
   /SUM(INDEX(AB:AB, ROW()-COUNTIF($F$6:INDEX($F:$F, ROW()-1), $F424)) : INDEX(AB:AB, ROW()-1)),
          _xlfn.MINIFS(unit_details[Asking Rent],
          unit_details[Active Listing?],TRUE,
          unit_details[Property Name], $F425,
          unit_details[Beds], $L425,
          unit_details[Baths], $M425,
          unit_details[Partial Baths], IF(ISNUMBER($N425),$N425,""),
          unit_details[Sqft],$P425
))),"")</f>
        <v/>
      </c>
      <c r="AE425" s="5" t="str">
        <f>IFERROR(IF($F425="Total",
          SUMPRODUCT(
   INDEX(AE:AE, ROW()-COUNTIF($F$6:INDEX($F:$F, ROW()-1), $F424)) : INDEX(AE:AE, ROW()-1),
   INDEX(AB:AB, ROW()-COUNTIF($F$6:INDEX($F:$F, ROW()-1), $F424)) : INDEX(AB:AB, ROW()-1)
   )
   /SUM(INDEX(AB:AB, ROW()-COUNTIF($F$6:INDEX($F:$F, ROW()-1), $F424)) : INDEX(AB:AB, ROW()-1)),
          AVERAGEIFS(unit_details[Asking Rent],
          unit_details[Active Listing?],TRUE,
          unit_details[Property Name], $F425,
          unit_details[Beds], $L425,
          unit_details[Baths], $M425,
          unit_details[Partial Baths], IF(ISNUMBER($N425),$N425,""),
          unit_details[Sqft],$P425
)),"")</f>
        <v/>
      </c>
      <c r="AF425" s="5" t="str">
        <f>IFERROR(IF(AE425="","",IF($F425="Total",
SUMPRODUCT(
   INDEX(AF:AF, ROW()-COUNTIF($F$6:INDEX($F:$F, ROW()-1), $F424)) : INDEX(AF:AF, ROW()-1),
   INDEX(AB:AB, ROW()-COUNTIF($F$6:INDEX($F:$F, ROW()-1), $F424)) : INDEX(AB:AB, ROW()-1)
   )
   /SUM(INDEX(AB:AB, ROW()-COUNTIF($F$6:INDEX($F:$F, ROW()-1), $F424)) : INDEX(AB:AB, ROW()-1)),
           _xlfn.MAXIFS(unit_details[Asking Rent],
          unit_details[Active Listing?],TRUE,
          unit_details[Property Name], $F425,
          unit_details[Beds], $L425,
          unit_details[Baths], $M425,
          unit_details[Partial Baths], IF(ISNUMBER($N425),$N425,""),
          unit_details[Sqft],$P425
))),"")</f>
        <v/>
      </c>
      <c r="AG425" s="6" t="str">
        <f>IFERROR(IF($F425="Total",
         SUMPRODUCT(
         INDEX(AG:AG, ROW()-COUNTIF($F$6:INDEX($F:$F, ROW()-1), $F424)) : INDEX(AG:AG, ROW()-1),
         INDEX(AB:AB, ROW()-COUNTIF($F$6:INDEX($F:$F, ROW()-1), $F424)) : INDEX(AB:AB, ROW()-1)
         )
         /SUM(INDEX(AB:AB, ROW()-COUNTIF($F$6:INDEX($F:$F, ROW()-1), $F424)) : INDEX(AB:AB, ROW()-1)),
          AVERAGEIFS(unit_details[Asking PSF],
          unit_details[Active Listing?],TRUE,
          unit_details[Property Name], $F425,
          unit_details[Beds], $L425,
          unit_details[Baths], $M425,
          unit_details[Partial Baths], IF(ISNUMBER($N425),$N425,""),
          unit_details[Sqft],$P425
)),"")</f>
        <v/>
      </c>
      <c r="AH425" s="293" t="str">
        <f>IFERROR(IF($F425="Total",
         SUMPRODUCT(
         INDEX(AH:AH, ROW()-COUNTIF($F$6:INDEX($F:$F, ROW()-1), $F424)) : INDEX(AH:AH, ROW()-1),
         INDEX(AB:AB, ROW()-COUNTIF($F$6:INDEX($F:$F, ROW()-1), $F424)) : INDEX(AB:AB, ROW()-1)
         )
         /SUM(INDEX(AB:AB, ROW()-COUNTIF($F$6:INDEX($F:$F, ROW()-1), $F424)) : INDEX(AB:AB, ROW()-1)),
          AVERAGEIFS(unit_details[Effective Rent],
          unit_details[Active Listing?],TRUE,
          unit_details[Property Name], $F425,
          unit_details[Beds], $L425,
          unit_details[Baths], $M425,
          unit_details[Partial Baths], IF(ISNUMBER($N425),$N425,""),
          unit_details[Sqft],$P425
)),"")</f>
        <v/>
      </c>
      <c r="AI425" s="6" t="str">
        <f>IFERROR(IF($F425="Total",
         SUMPRODUCT(
         INDEX(AI:AI, ROW()-COUNTIF($F$6:INDEX($F:$F, ROW()-1), $F424)) : INDEX(AI:AI, ROW()-1),
         INDEX(AB:AB, ROW()-COUNTIF($F$6:INDEX($F:$F, ROW()-1), $F424)) : INDEX(AB:AB, ROW()-1)
         )
         /SUM(INDEX(AB:AB, ROW()-COUNTIF($F$6:INDEX($F:$F, ROW()-1), $F424)) : INDEX(AB:AB, ROW()-1)),
           AVERAGEIFS(unit_details[Effective PSF],
          unit_details[Active Listing?],TRUE,
          unit_details[Property Name], $F425,
          unit_details[Beds], $L425,
          unit_details[Baths], $M425,
          unit_details[Partial Baths], IF(ISNUMBER($N425),$N425,""),
          unit_details[Sqft],$P425
)),"")</f>
        <v/>
      </c>
      <c r="AJ425" s="824" t="str">
        <f t="shared" si="70"/>
        <v/>
      </c>
      <c r="AK425" s="531" t="str">
        <f t="shared" si="71"/>
        <v/>
      </c>
      <c r="AL425" s="714" t="str">
        <f t="shared" si="72"/>
        <v/>
      </c>
      <c r="AM425" s="531" t="str">
        <f t="shared" si="73"/>
        <v/>
      </c>
      <c r="AN425" s="716" t="str">
        <f t="shared" si="74"/>
        <v/>
      </c>
    </row>
    <row r="426" spans="6:40" x14ac:dyDescent="0.2">
      <c r="F426" s="1" t="str">
        <f t="shared" si="67"/>
        <v/>
      </c>
      <c r="G426" s="713" t="str">
        <f t="shared" si="75"/>
        <v/>
      </c>
      <c r="H426" s="17" t="str">
        <f>IFERROR(VLOOKUP($G426,Table1[[Property]:[Exposure %]],4,0),"")</f>
        <v/>
      </c>
      <c r="I426" s="3" t="str">
        <f>IFERROR(VLOOKUP($G426,Table1[[Property]:[Exposure %]],6,0),"")</f>
        <v/>
      </c>
      <c r="J426" s="3" t="str">
        <f>IFERROR(VLOOKUP($G426,Table1[[Property]:[Exposure %]],7,0),"")</f>
        <v/>
      </c>
      <c r="R426" s="4" t="str">
        <f>IFERROR(VLOOKUP(IF(F426="Total",F425,F426),Table1[[Property]:['# Units]],7,0)*S426,"")</f>
        <v/>
      </c>
      <c r="S426" s="27" t="str">
        <f t="shared" si="68"/>
        <v/>
      </c>
      <c r="T426" s="531" t="str">
        <f>IFERROR(
 IF($F426="Total",
   SUMPRODUCT(
   INDEX(T:T, ROW()-COUNTIF($F$6:INDEX($F:$F, ROW()-1), $F425)) : INDEX(T:T, ROW()-1),
   INDEX(W:W, ROW()-COUNTIF($F$6:INDEX($F:$F, ROW()-1), $F425)) : INDEX(W:W, ROW()-1)
   )
   /SUM(INDEX(W:W, ROW()-COUNTIF($F$6:INDEX($F:$F, ROW()-1), $F425)) : INDEX(W:W, ROW()-1)),
   AVERAGEIFS(
     INDEX((unit_details[Asking Rent],unit_details[Asking PSF]),0,1,IF($U$3="Chunk Rent",1,2)),
     unit_details[Leased Date],"&gt;="&amp;($AM$2-T$5),
     unit_details[Leased Date],"&lt;"&amp;$AM$2,
     unit_details[Beds],$L426,
     unit_details[Baths],$M426,
     unit_details[Partial Baths],IF(ISNUMBER($N426),$N426,""),
     unit_details[Sqft],$P426,
     unit_details[Property Name],$F426)
 ),"")</f>
        <v/>
      </c>
      <c r="U426" s="552" t="str">
        <f>IFERROR(
 IF($F426="Total",
   SUMPRODUCT(
   INDEX(U:U, ROW()-COUNTIF($F$6:INDEX($F:$F, ROW()-1), $F425)) : INDEX(U:U, ROW()-1),
   INDEX(W:W, ROW()-COUNTIF($F$6:INDEX($F:$F, ROW()-1), $F425)) : INDEX(W:W, ROW()-1)
   )
   /SUM(INDEX(W:W, ROW()-COUNTIF($F$6:INDEX($F:$F, ROW()-1), $F425)) : INDEX(W:W, ROW()-1)),
   AVERAGEIFS(
     INDEX((unit_details[Effective Rent],unit_details[Effective PSF]),0,1,IF($U$3="Chunk Rent",1,2)),
     unit_details[Leased Date],"&gt;="&amp;($AM$2-T$5),
     unit_details[Leased Date],"&lt;"&amp;$AM$2,
     unit_details[Beds],$L426,
     unit_details[Baths],$M426,
     unit_details[Partial Baths],IF(ISNUMBER($N426),$N426,""),
     unit_details[Sqft],$P426,
     unit_details[Property Name],$F426)
 ),"")</f>
        <v/>
      </c>
      <c r="V426" s="27" t="str">
        <f t="shared" si="76"/>
        <v/>
      </c>
      <c r="W426" s="526">
        <f>IFERROR(
  IF($F426="Total",
    SUM(INDEX(W:W, ROW()-COUNTIF($F$6:INDEX($F:$F, ROW()-1), $F425)) : INDEX(W:W, ROW()-1)),
    COUNTIFS(
      unit_details[Leased Date], "&gt;="&amp;($AM$2-T$5),
      unit_details[Leased Date], "&lt;"&amp;$AM$2,
      unit_details[Beds], $L426,
      unit_details[Baths], $M426,
      unit_details[Partial Baths], IF(ISNUMBER($N426), $N426, ""),
      unit_details[Sqft],$P426,
      unit_details[Property Name], $F426
    )
  ),
"")</f>
        <v>0</v>
      </c>
      <c r="X426" s="531" t="str">
        <f>IFERROR(
 IF($F426="Total",
   SUMPRODUCT(
   INDEX(X:X, ROW()-COUNTIF($F$6:INDEX($F:$F, ROW()-1), $F425)) : INDEX(X:X, ROW()-1),
   INDEX(AA:AA, ROW()-COUNTIF($F$6:INDEX($F:$F, ROW()-1), $F425)) : INDEX(AA:AA, ROW()-1)
   )
   /SUM(INDEX(AA:AA, ROW()-COUNTIF($F$6:INDEX($F:$F, ROW()-1), $F425)) : INDEX(AA:AA, ROW()-1)),
   AVERAGEIFS(
     INDEX((unit_details[Asking Rent],unit_details[Asking PSF]),0,1,IF($U$3="Chunk Rent",1,2)),
     unit_details[Leased Date],"&gt;="&amp;($AM$2-X$5),
     unit_details[Leased Date],"&lt;"&amp;$AM$2,
     unit_details[Beds],$L426,
     unit_details[Baths],$M426,
     unit_details[Partial Baths],IF(ISNUMBER($N426),$N426,""),
     unit_details[Sqft],$P426,
     unit_details[Property Name],$F426)
 ),"")</f>
        <v/>
      </c>
      <c r="Y426" s="552" t="str">
        <f>IFERROR(
 IF($F426="Total",
   SUMPRODUCT(
   INDEX(Y:Y, ROW()-COUNTIF($F$6:INDEX($F:$F, ROW()-1), $F425)) : INDEX(Y:Y, ROW()-1),
   INDEX(AA:AA, ROW()-COUNTIF($F$6:INDEX($F:$F, ROW()-1), $F425)) : INDEX(AA:AA, ROW()-1)
   )
   /SUM(INDEX(AA:AA, ROW()-COUNTIF($F$6:INDEX($F:$F, ROW()-1), $F425)) : INDEX(AA:AA, ROW()-1)),
   AVERAGEIFS(
     INDEX((unit_details[Effective Rent],unit_details[Effective PSF]),0,1,IF($U$3="Chunk Rent",1,2)),
     unit_details[Leased Date],"&gt;="&amp;($AM$2-X$5),
     unit_details[Leased Date],"&lt;"&amp;$AM$2,
     unit_details[Beds],$L426,
     unit_details[Baths],$M426,
     unit_details[Partial Baths],IF(ISNUMBER($N426),$N426,""),
     unit_details[Sqft],$P426,
     unit_details[Property Name],$F426)
 ),"")</f>
        <v/>
      </c>
      <c r="Z426" s="27" t="str">
        <f t="shared" si="77"/>
        <v/>
      </c>
      <c r="AA426" s="526">
        <f>IFERROR(
  IF($F426="Total",
    SUM(INDEX(AA:AA, ROW()-COUNTIF($F$6:INDEX($F:$F, ROW()-1), $F425)) : INDEX(AA:AA, ROW()-1)),
    COUNTIFS(
      unit_details[Leased Date], "&gt;="&amp;($AM$2-X$5),
      unit_details[Leased Date], "&lt;"&amp;$AM$2,
      unit_details[Beds], $L426,
      unit_details[Baths], $M426,
      unit_details[Partial Baths], IF(ISNUMBER($N426), $N426, ""),
      unit_details[Sqft],$P426,
      unit_details[Property Name], $F426
    )
  ),
"")</f>
        <v>0</v>
      </c>
      <c r="AB426" s="290">
        <f>IF($F426="Total",
SUM(INDEX(AB:AB, ROW()-COUNTIF($F$6:INDEX($F:$F, ROW()-1), $F425)) : INDEX(AB:AB, ROW()-1)),
COUNTIFS(unit_details[Active Listing?],TRUE,
          unit_details[Property Name], $F426,
          unit_details[Beds], $L426,
          unit_details[Baths], $M426,
          unit_details[Partial Baths],IF(ISNUMBER($N426),$N426,""),
          unit_details[Sqft],$P426))</f>
        <v>0</v>
      </c>
      <c r="AC426" s="27" t="str">
        <f t="shared" si="69"/>
        <v/>
      </c>
      <c r="AD426" s="293" t="str">
        <f>IFERROR(IF(AE426="","",IF($F426="Total",
SUMPRODUCT(
   INDEX(AD:AD, ROW()-COUNTIF($F$6:INDEX($F:$F, ROW()-1), $F425)) : INDEX(AD:AD, ROW()-1),
   INDEX(AB:AB, ROW()-COUNTIF($F$6:INDEX($F:$F, ROW()-1), $F425)) : INDEX(AB:AB, ROW()-1)
   )
   /SUM(INDEX(AB:AB, ROW()-COUNTIF($F$6:INDEX($F:$F, ROW()-1), $F425)) : INDEX(AB:AB, ROW()-1)),
          _xlfn.MINIFS(unit_details[Asking Rent],
          unit_details[Active Listing?],TRUE,
          unit_details[Property Name], $F426,
          unit_details[Beds], $L426,
          unit_details[Baths], $M426,
          unit_details[Partial Baths], IF(ISNUMBER($N426),$N426,""),
          unit_details[Sqft],$P426
))),"")</f>
        <v/>
      </c>
      <c r="AE426" s="5" t="str">
        <f>IFERROR(IF($F426="Total",
          SUMPRODUCT(
   INDEX(AE:AE, ROW()-COUNTIF($F$6:INDEX($F:$F, ROW()-1), $F425)) : INDEX(AE:AE, ROW()-1),
   INDEX(AB:AB, ROW()-COUNTIF($F$6:INDEX($F:$F, ROW()-1), $F425)) : INDEX(AB:AB, ROW()-1)
   )
   /SUM(INDEX(AB:AB, ROW()-COUNTIF($F$6:INDEX($F:$F, ROW()-1), $F425)) : INDEX(AB:AB, ROW()-1)),
          AVERAGEIFS(unit_details[Asking Rent],
          unit_details[Active Listing?],TRUE,
          unit_details[Property Name], $F426,
          unit_details[Beds], $L426,
          unit_details[Baths], $M426,
          unit_details[Partial Baths], IF(ISNUMBER($N426),$N426,""),
          unit_details[Sqft],$P426
)),"")</f>
        <v/>
      </c>
      <c r="AF426" s="5" t="str">
        <f>IFERROR(IF(AE426="","",IF($F426="Total",
SUMPRODUCT(
   INDEX(AF:AF, ROW()-COUNTIF($F$6:INDEX($F:$F, ROW()-1), $F425)) : INDEX(AF:AF, ROW()-1),
   INDEX(AB:AB, ROW()-COUNTIF($F$6:INDEX($F:$F, ROW()-1), $F425)) : INDEX(AB:AB, ROW()-1)
   )
   /SUM(INDEX(AB:AB, ROW()-COUNTIF($F$6:INDEX($F:$F, ROW()-1), $F425)) : INDEX(AB:AB, ROW()-1)),
           _xlfn.MAXIFS(unit_details[Asking Rent],
          unit_details[Active Listing?],TRUE,
          unit_details[Property Name], $F426,
          unit_details[Beds], $L426,
          unit_details[Baths], $M426,
          unit_details[Partial Baths], IF(ISNUMBER($N426),$N426,""),
          unit_details[Sqft],$P426
))),"")</f>
        <v/>
      </c>
      <c r="AG426" s="6" t="str">
        <f>IFERROR(IF($F426="Total",
         SUMPRODUCT(
         INDEX(AG:AG, ROW()-COUNTIF($F$6:INDEX($F:$F, ROW()-1), $F425)) : INDEX(AG:AG, ROW()-1),
         INDEX(AB:AB, ROW()-COUNTIF($F$6:INDEX($F:$F, ROW()-1), $F425)) : INDEX(AB:AB, ROW()-1)
         )
         /SUM(INDEX(AB:AB, ROW()-COUNTIF($F$6:INDEX($F:$F, ROW()-1), $F425)) : INDEX(AB:AB, ROW()-1)),
          AVERAGEIFS(unit_details[Asking PSF],
          unit_details[Active Listing?],TRUE,
          unit_details[Property Name], $F426,
          unit_details[Beds], $L426,
          unit_details[Baths], $M426,
          unit_details[Partial Baths], IF(ISNUMBER($N426),$N426,""),
          unit_details[Sqft],$P426
)),"")</f>
        <v/>
      </c>
      <c r="AH426" s="293" t="str">
        <f>IFERROR(IF($F426="Total",
         SUMPRODUCT(
         INDEX(AH:AH, ROW()-COUNTIF($F$6:INDEX($F:$F, ROW()-1), $F425)) : INDEX(AH:AH, ROW()-1),
         INDEX(AB:AB, ROW()-COUNTIF($F$6:INDEX($F:$F, ROW()-1), $F425)) : INDEX(AB:AB, ROW()-1)
         )
         /SUM(INDEX(AB:AB, ROW()-COUNTIF($F$6:INDEX($F:$F, ROW()-1), $F425)) : INDEX(AB:AB, ROW()-1)),
          AVERAGEIFS(unit_details[Effective Rent],
          unit_details[Active Listing?],TRUE,
          unit_details[Property Name], $F426,
          unit_details[Beds], $L426,
          unit_details[Baths], $M426,
          unit_details[Partial Baths], IF(ISNUMBER($N426),$N426,""),
          unit_details[Sqft],$P426
)),"")</f>
        <v/>
      </c>
      <c r="AI426" s="6" t="str">
        <f>IFERROR(IF($F426="Total",
         SUMPRODUCT(
         INDEX(AI:AI, ROW()-COUNTIF($F$6:INDEX($F:$F, ROW()-1), $F425)) : INDEX(AI:AI, ROW()-1),
         INDEX(AB:AB, ROW()-COUNTIF($F$6:INDEX($F:$F, ROW()-1), $F425)) : INDEX(AB:AB, ROW()-1)
         )
         /SUM(INDEX(AB:AB, ROW()-COUNTIF($F$6:INDEX($F:$F, ROW()-1), $F425)) : INDEX(AB:AB, ROW()-1)),
           AVERAGEIFS(unit_details[Effective PSF],
          unit_details[Active Listing?],TRUE,
          unit_details[Property Name], $F426,
          unit_details[Beds], $L426,
          unit_details[Baths], $M426,
          unit_details[Partial Baths], IF(ISNUMBER($N426),$N426,""),
          unit_details[Sqft],$P426
)),"")</f>
        <v/>
      </c>
      <c r="AJ426" s="824" t="str">
        <f t="shared" si="70"/>
        <v/>
      </c>
      <c r="AK426" s="531" t="str">
        <f t="shared" si="71"/>
        <v/>
      </c>
      <c r="AL426" s="714" t="str">
        <f t="shared" si="72"/>
        <v/>
      </c>
      <c r="AM426" s="531" t="str">
        <f t="shared" si="73"/>
        <v/>
      </c>
      <c r="AN426" s="716" t="str">
        <f t="shared" si="74"/>
        <v/>
      </c>
    </row>
    <row r="427" spans="6:40" x14ac:dyDescent="0.2">
      <c r="F427" s="1" t="str">
        <f t="shared" si="67"/>
        <v/>
      </c>
      <c r="G427" s="713" t="str">
        <f t="shared" si="75"/>
        <v/>
      </c>
      <c r="H427" s="17" t="str">
        <f>IFERROR(VLOOKUP($G427,Table1[[Property]:[Exposure %]],4,0),"")</f>
        <v/>
      </c>
      <c r="I427" s="3" t="str">
        <f>IFERROR(VLOOKUP($G427,Table1[[Property]:[Exposure %]],6,0),"")</f>
        <v/>
      </c>
      <c r="J427" s="3" t="str">
        <f>IFERROR(VLOOKUP($G427,Table1[[Property]:[Exposure %]],7,0),"")</f>
        <v/>
      </c>
      <c r="R427" s="4" t="str">
        <f>IFERROR(VLOOKUP(IF(F427="Total",F426,F427),Table1[[Property]:['# Units]],7,0)*S427,"")</f>
        <v/>
      </c>
      <c r="S427" s="27" t="str">
        <f t="shared" si="68"/>
        <v/>
      </c>
      <c r="T427" s="531" t="str">
        <f>IFERROR(
 IF($F427="Total",
   SUMPRODUCT(
   INDEX(T:T, ROW()-COUNTIF($F$6:INDEX($F:$F, ROW()-1), $F426)) : INDEX(T:T, ROW()-1),
   INDEX(W:W, ROW()-COUNTIF($F$6:INDEX($F:$F, ROW()-1), $F426)) : INDEX(W:W, ROW()-1)
   )
   /SUM(INDEX(W:W, ROW()-COUNTIF($F$6:INDEX($F:$F, ROW()-1), $F426)) : INDEX(W:W, ROW()-1)),
   AVERAGEIFS(
     INDEX((unit_details[Asking Rent],unit_details[Asking PSF]),0,1,IF($U$3="Chunk Rent",1,2)),
     unit_details[Leased Date],"&gt;="&amp;($AM$2-T$5),
     unit_details[Leased Date],"&lt;"&amp;$AM$2,
     unit_details[Beds],$L427,
     unit_details[Baths],$M427,
     unit_details[Partial Baths],IF(ISNUMBER($N427),$N427,""),
     unit_details[Sqft],$P427,
     unit_details[Property Name],$F427)
 ),"")</f>
        <v/>
      </c>
      <c r="U427" s="552" t="str">
        <f>IFERROR(
 IF($F427="Total",
   SUMPRODUCT(
   INDEX(U:U, ROW()-COUNTIF($F$6:INDEX($F:$F, ROW()-1), $F426)) : INDEX(U:U, ROW()-1),
   INDEX(W:W, ROW()-COUNTIF($F$6:INDEX($F:$F, ROW()-1), $F426)) : INDEX(W:W, ROW()-1)
   )
   /SUM(INDEX(W:W, ROW()-COUNTIF($F$6:INDEX($F:$F, ROW()-1), $F426)) : INDEX(W:W, ROW()-1)),
   AVERAGEIFS(
     INDEX((unit_details[Effective Rent],unit_details[Effective PSF]),0,1,IF($U$3="Chunk Rent",1,2)),
     unit_details[Leased Date],"&gt;="&amp;($AM$2-T$5),
     unit_details[Leased Date],"&lt;"&amp;$AM$2,
     unit_details[Beds],$L427,
     unit_details[Baths],$M427,
     unit_details[Partial Baths],IF(ISNUMBER($N427),$N427,""),
     unit_details[Sqft],$P427,
     unit_details[Property Name],$F427)
 ),"")</f>
        <v/>
      </c>
      <c r="V427" s="27" t="str">
        <f t="shared" si="76"/>
        <v/>
      </c>
      <c r="W427" s="526">
        <f>IFERROR(
  IF($F427="Total",
    SUM(INDEX(W:W, ROW()-COUNTIF($F$6:INDEX($F:$F, ROW()-1), $F426)) : INDEX(W:W, ROW()-1)),
    COUNTIFS(
      unit_details[Leased Date], "&gt;="&amp;($AM$2-T$5),
      unit_details[Leased Date], "&lt;"&amp;$AM$2,
      unit_details[Beds], $L427,
      unit_details[Baths], $M427,
      unit_details[Partial Baths], IF(ISNUMBER($N427), $N427, ""),
      unit_details[Sqft],$P427,
      unit_details[Property Name], $F427
    )
  ),
"")</f>
        <v>0</v>
      </c>
      <c r="X427" s="531" t="str">
        <f>IFERROR(
 IF($F427="Total",
   SUMPRODUCT(
   INDEX(X:X, ROW()-COUNTIF($F$6:INDEX($F:$F, ROW()-1), $F426)) : INDEX(X:X, ROW()-1),
   INDEX(AA:AA, ROW()-COUNTIF($F$6:INDEX($F:$F, ROW()-1), $F426)) : INDEX(AA:AA, ROW()-1)
   )
   /SUM(INDEX(AA:AA, ROW()-COUNTIF($F$6:INDEX($F:$F, ROW()-1), $F426)) : INDEX(AA:AA, ROW()-1)),
   AVERAGEIFS(
     INDEX((unit_details[Asking Rent],unit_details[Asking PSF]),0,1,IF($U$3="Chunk Rent",1,2)),
     unit_details[Leased Date],"&gt;="&amp;($AM$2-X$5),
     unit_details[Leased Date],"&lt;"&amp;$AM$2,
     unit_details[Beds],$L427,
     unit_details[Baths],$M427,
     unit_details[Partial Baths],IF(ISNUMBER($N427),$N427,""),
     unit_details[Sqft],$P427,
     unit_details[Property Name],$F427)
 ),"")</f>
        <v/>
      </c>
      <c r="Y427" s="552" t="str">
        <f>IFERROR(
 IF($F427="Total",
   SUMPRODUCT(
   INDEX(Y:Y, ROW()-COUNTIF($F$6:INDEX($F:$F, ROW()-1), $F426)) : INDEX(Y:Y, ROW()-1),
   INDEX(AA:AA, ROW()-COUNTIF($F$6:INDEX($F:$F, ROW()-1), $F426)) : INDEX(AA:AA, ROW()-1)
   )
   /SUM(INDEX(AA:AA, ROW()-COUNTIF($F$6:INDEX($F:$F, ROW()-1), $F426)) : INDEX(AA:AA, ROW()-1)),
   AVERAGEIFS(
     INDEX((unit_details[Effective Rent],unit_details[Effective PSF]),0,1,IF($U$3="Chunk Rent",1,2)),
     unit_details[Leased Date],"&gt;="&amp;($AM$2-X$5),
     unit_details[Leased Date],"&lt;"&amp;$AM$2,
     unit_details[Beds],$L427,
     unit_details[Baths],$M427,
     unit_details[Partial Baths],IF(ISNUMBER($N427),$N427,""),
     unit_details[Sqft],$P427,
     unit_details[Property Name],$F427)
 ),"")</f>
        <v/>
      </c>
      <c r="Z427" s="27" t="str">
        <f t="shared" si="77"/>
        <v/>
      </c>
      <c r="AA427" s="526">
        <f>IFERROR(
  IF($F427="Total",
    SUM(INDEX(AA:AA, ROW()-COUNTIF($F$6:INDEX($F:$F, ROW()-1), $F426)) : INDEX(AA:AA, ROW()-1)),
    COUNTIFS(
      unit_details[Leased Date], "&gt;="&amp;($AM$2-X$5),
      unit_details[Leased Date], "&lt;"&amp;$AM$2,
      unit_details[Beds], $L427,
      unit_details[Baths], $M427,
      unit_details[Partial Baths], IF(ISNUMBER($N427), $N427, ""),
      unit_details[Sqft],$P427,
      unit_details[Property Name], $F427
    )
  ),
"")</f>
        <v>0</v>
      </c>
      <c r="AB427" s="290">
        <f>IF($F427="Total",
SUM(INDEX(AB:AB, ROW()-COUNTIF($F$6:INDEX($F:$F, ROW()-1), $F426)) : INDEX(AB:AB, ROW()-1)),
COUNTIFS(unit_details[Active Listing?],TRUE,
          unit_details[Property Name], $F427,
          unit_details[Beds], $L427,
          unit_details[Baths], $M427,
          unit_details[Partial Baths],IF(ISNUMBER($N427),$N427,""),
          unit_details[Sqft],$P427))</f>
        <v>0</v>
      </c>
      <c r="AC427" s="27" t="str">
        <f t="shared" si="69"/>
        <v/>
      </c>
      <c r="AD427" s="293" t="str">
        <f>IFERROR(IF(AE427="","",IF($F427="Total",
SUMPRODUCT(
   INDEX(AD:AD, ROW()-COUNTIF($F$6:INDEX($F:$F, ROW()-1), $F426)) : INDEX(AD:AD, ROW()-1),
   INDEX(AB:AB, ROW()-COUNTIF($F$6:INDEX($F:$F, ROW()-1), $F426)) : INDEX(AB:AB, ROW()-1)
   )
   /SUM(INDEX(AB:AB, ROW()-COUNTIF($F$6:INDEX($F:$F, ROW()-1), $F426)) : INDEX(AB:AB, ROW()-1)),
          _xlfn.MINIFS(unit_details[Asking Rent],
          unit_details[Active Listing?],TRUE,
          unit_details[Property Name], $F427,
          unit_details[Beds], $L427,
          unit_details[Baths], $M427,
          unit_details[Partial Baths], IF(ISNUMBER($N427),$N427,""),
          unit_details[Sqft],$P427
))),"")</f>
        <v/>
      </c>
      <c r="AE427" s="5" t="str">
        <f>IFERROR(IF($F427="Total",
          SUMPRODUCT(
   INDEX(AE:AE, ROW()-COUNTIF($F$6:INDEX($F:$F, ROW()-1), $F426)) : INDEX(AE:AE, ROW()-1),
   INDEX(AB:AB, ROW()-COUNTIF($F$6:INDEX($F:$F, ROW()-1), $F426)) : INDEX(AB:AB, ROW()-1)
   )
   /SUM(INDEX(AB:AB, ROW()-COUNTIF($F$6:INDEX($F:$F, ROW()-1), $F426)) : INDEX(AB:AB, ROW()-1)),
          AVERAGEIFS(unit_details[Asking Rent],
          unit_details[Active Listing?],TRUE,
          unit_details[Property Name], $F427,
          unit_details[Beds], $L427,
          unit_details[Baths], $M427,
          unit_details[Partial Baths], IF(ISNUMBER($N427),$N427,""),
          unit_details[Sqft],$P427
)),"")</f>
        <v/>
      </c>
      <c r="AF427" s="5" t="str">
        <f>IFERROR(IF(AE427="","",IF($F427="Total",
SUMPRODUCT(
   INDEX(AF:AF, ROW()-COUNTIF($F$6:INDEX($F:$F, ROW()-1), $F426)) : INDEX(AF:AF, ROW()-1),
   INDEX(AB:AB, ROW()-COUNTIF($F$6:INDEX($F:$F, ROW()-1), $F426)) : INDEX(AB:AB, ROW()-1)
   )
   /SUM(INDEX(AB:AB, ROW()-COUNTIF($F$6:INDEX($F:$F, ROW()-1), $F426)) : INDEX(AB:AB, ROW()-1)),
           _xlfn.MAXIFS(unit_details[Asking Rent],
          unit_details[Active Listing?],TRUE,
          unit_details[Property Name], $F427,
          unit_details[Beds], $L427,
          unit_details[Baths], $M427,
          unit_details[Partial Baths], IF(ISNUMBER($N427),$N427,""),
          unit_details[Sqft],$P427
))),"")</f>
        <v/>
      </c>
      <c r="AG427" s="6" t="str">
        <f>IFERROR(IF($F427="Total",
         SUMPRODUCT(
         INDEX(AG:AG, ROW()-COUNTIF($F$6:INDEX($F:$F, ROW()-1), $F426)) : INDEX(AG:AG, ROW()-1),
         INDEX(AB:AB, ROW()-COUNTIF($F$6:INDEX($F:$F, ROW()-1), $F426)) : INDEX(AB:AB, ROW()-1)
         )
         /SUM(INDEX(AB:AB, ROW()-COUNTIF($F$6:INDEX($F:$F, ROW()-1), $F426)) : INDEX(AB:AB, ROW()-1)),
          AVERAGEIFS(unit_details[Asking PSF],
          unit_details[Active Listing?],TRUE,
          unit_details[Property Name], $F427,
          unit_details[Beds], $L427,
          unit_details[Baths], $M427,
          unit_details[Partial Baths], IF(ISNUMBER($N427),$N427,""),
          unit_details[Sqft],$P427
)),"")</f>
        <v/>
      </c>
      <c r="AH427" s="293" t="str">
        <f>IFERROR(IF($F427="Total",
         SUMPRODUCT(
         INDEX(AH:AH, ROW()-COUNTIF($F$6:INDEX($F:$F, ROW()-1), $F426)) : INDEX(AH:AH, ROW()-1),
         INDEX(AB:AB, ROW()-COUNTIF($F$6:INDEX($F:$F, ROW()-1), $F426)) : INDEX(AB:AB, ROW()-1)
         )
         /SUM(INDEX(AB:AB, ROW()-COUNTIF($F$6:INDEX($F:$F, ROW()-1), $F426)) : INDEX(AB:AB, ROW()-1)),
          AVERAGEIFS(unit_details[Effective Rent],
          unit_details[Active Listing?],TRUE,
          unit_details[Property Name], $F427,
          unit_details[Beds], $L427,
          unit_details[Baths], $M427,
          unit_details[Partial Baths], IF(ISNUMBER($N427),$N427,""),
          unit_details[Sqft],$P427
)),"")</f>
        <v/>
      </c>
      <c r="AI427" s="6" t="str">
        <f>IFERROR(IF($F427="Total",
         SUMPRODUCT(
         INDEX(AI:AI, ROW()-COUNTIF($F$6:INDEX($F:$F, ROW()-1), $F426)) : INDEX(AI:AI, ROW()-1),
         INDEX(AB:AB, ROW()-COUNTIF($F$6:INDEX($F:$F, ROW()-1), $F426)) : INDEX(AB:AB, ROW()-1)
         )
         /SUM(INDEX(AB:AB, ROW()-COUNTIF($F$6:INDEX($F:$F, ROW()-1), $F426)) : INDEX(AB:AB, ROW()-1)),
           AVERAGEIFS(unit_details[Effective PSF],
          unit_details[Active Listing?],TRUE,
          unit_details[Property Name], $F427,
          unit_details[Beds], $L427,
          unit_details[Baths], $M427,
          unit_details[Partial Baths], IF(ISNUMBER($N427),$N427,""),
          unit_details[Sqft],$P427
)),"")</f>
        <v/>
      </c>
      <c r="AJ427" s="824" t="str">
        <f t="shared" si="70"/>
        <v/>
      </c>
      <c r="AK427" s="531" t="str">
        <f t="shared" si="71"/>
        <v/>
      </c>
      <c r="AL427" s="714" t="str">
        <f t="shared" si="72"/>
        <v/>
      </c>
      <c r="AM427" s="531" t="str">
        <f t="shared" si="73"/>
        <v/>
      </c>
      <c r="AN427" s="716" t="str">
        <f t="shared" si="74"/>
        <v/>
      </c>
    </row>
    <row r="428" spans="6:40" x14ac:dyDescent="0.2">
      <c r="F428" s="1" t="str">
        <f t="shared" si="67"/>
        <v/>
      </c>
      <c r="G428" s="713" t="str">
        <f t="shared" si="75"/>
        <v/>
      </c>
      <c r="H428" s="17" t="str">
        <f>IFERROR(VLOOKUP($G428,Table1[[Property]:[Exposure %]],4,0),"")</f>
        <v/>
      </c>
      <c r="I428" s="3" t="str">
        <f>IFERROR(VLOOKUP($G428,Table1[[Property]:[Exposure %]],6,0),"")</f>
        <v/>
      </c>
      <c r="J428" s="3" t="str">
        <f>IFERROR(VLOOKUP($G428,Table1[[Property]:[Exposure %]],7,0),"")</f>
        <v/>
      </c>
      <c r="R428" s="4" t="str">
        <f>IFERROR(VLOOKUP(IF(F428="Total",F427,F428),Table1[[Property]:['# Units]],7,0)*S428,"")</f>
        <v/>
      </c>
      <c r="S428" s="27" t="str">
        <f t="shared" si="68"/>
        <v/>
      </c>
      <c r="T428" s="531" t="str">
        <f>IFERROR(
 IF($F428="Total",
   SUMPRODUCT(
   INDEX(T:T, ROW()-COUNTIF($F$6:INDEX($F:$F, ROW()-1), $F427)) : INDEX(T:T, ROW()-1),
   INDEX(W:W, ROW()-COUNTIF($F$6:INDEX($F:$F, ROW()-1), $F427)) : INDEX(W:W, ROW()-1)
   )
   /SUM(INDEX(W:W, ROW()-COUNTIF($F$6:INDEX($F:$F, ROW()-1), $F427)) : INDEX(W:W, ROW()-1)),
   AVERAGEIFS(
     INDEX((unit_details[Asking Rent],unit_details[Asking PSF]),0,1,IF($U$3="Chunk Rent",1,2)),
     unit_details[Leased Date],"&gt;="&amp;($AM$2-T$5),
     unit_details[Leased Date],"&lt;"&amp;$AM$2,
     unit_details[Beds],$L428,
     unit_details[Baths],$M428,
     unit_details[Partial Baths],IF(ISNUMBER($N428),$N428,""),
     unit_details[Sqft],$P428,
     unit_details[Property Name],$F428)
 ),"")</f>
        <v/>
      </c>
      <c r="U428" s="552" t="str">
        <f>IFERROR(
 IF($F428="Total",
   SUMPRODUCT(
   INDEX(U:U, ROW()-COUNTIF($F$6:INDEX($F:$F, ROW()-1), $F427)) : INDEX(U:U, ROW()-1),
   INDEX(W:W, ROW()-COUNTIF($F$6:INDEX($F:$F, ROW()-1), $F427)) : INDEX(W:W, ROW()-1)
   )
   /SUM(INDEX(W:W, ROW()-COUNTIF($F$6:INDEX($F:$F, ROW()-1), $F427)) : INDEX(W:W, ROW()-1)),
   AVERAGEIFS(
     INDEX((unit_details[Effective Rent],unit_details[Effective PSF]),0,1,IF($U$3="Chunk Rent",1,2)),
     unit_details[Leased Date],"&gt;="&amp;($AM$2-T$5),
     unit_details[Leased Date],"&lt;"&amp;$AM$2,
     unit_details[Beds],$L428,
     unit_details[Baths],$M428,
     unit_details[Partial Baths],IF(ISNUMBER($N428),$N428,""),
     unit_details[Sqft],$P428,
     unit_details[Property Name],$F428)
 ),"")</f>
        <v/>
      </c>
      <c r="V428" s="27" t="str">
        <f t="shared" si="76"/>
        <v/>
      </c>
      <c r="W428" s="526">
        <f>IFERROR(
  IF($F428="Total",
    SUM(INDEX(W:W, ROW()-COUNTIF($F$6:INDEX($F:$F, ROW()-1), $F427)) : INDEX(W:W, ROW()-1)),
    COUNTIFS(
      unit_details[Leased Date], "&gt;="&amp;($AM$2-T$5),
      unit_details[Leased Date], "&lt;"&amp;$AM$2,
      unit_details[Beds], $L428,
      unit_details[Baths], $M428,
      unit_details[Partial Baths], IF(ISNUMBER($N428), $N428, ""),
      unit_details[Sqft],$P428,
      unit_details[Property Name], $F428
    )
  ),
"")</f>
        <v>0</v>
      </c>
      <c r="X428" s="531" t="str">
        <f>IFERROR(
 IF($F428="Total",
   SUMPRODUCT(
   INDEX(X:X, ROW()-COUNTIF($F$6:INDEX($F:$F, ROW()-1), $F427)) : INDEX(X:X, ROW()-1),
   INDEX(AA:AA, ROW()-COUNTIF($F$6:INDEX($F:$F, ROW()-1), $F427)) : INDEX(AA:AA, ROW()-1)
   )
   /SUM(INDEX(AA:AA, ROW()-COUNTIF($F$6:INDEX($F:$F, ROW()-1), $F427)) : INDEX(AA:AA, ROW()-1)),
   AVERAGEIFS(
     INDEX((unit_details[Asking Rent],unit_details[Asking PSF]),0,1,IF($U$3="Chunk Rent",1,2)),
     unit_details[Leased Date],"&gt;="&amp;($AM$2-X$5),
     unit_details[Leased Date],"&lt;"&amp;$AM$2,
     unit_details[Beds],$L428,
     unit_details[Baths],$M428,
     unit_details[Partial Baths],IF(ISNUMBER($N428),$N428,""),
     unit_details[Sqft],$P428,
     unit_details[Property Name],$F428)
 ),"")</f>
        <v/>
      </c>
      <c r="Y428" s="552" t="str">
        <f>IFERROR(
 IF($F428="Total",
   SUMPRODUCT(
   INDEX(Y:Y, ROW()-COUNTIF($F$6:INDEX($F:$F, ROW()-1), $F427)) : INDEX(Y:Y, ROW()-1),
   INDEX(AA:AA, ROW()-COUNTIF($F$6:INDEX($F:$F, ROW()-1), $F427)) : INDEX(AA:AA, ROW()-1)
   )
   /SUM(INDEX(AA:AA, ROW()-COUNTIF($F$6:INDEX($F:$F, ROW()-1), $F427)) : INDEX(AA:AA, ROW()-1)),
   AVERAGEIFS(
     INDEX((unit_details[Effective Rent],unit_details[Effective PSF]),0,1,IF($U$3="Chunk Rent",1,2)),
     unit_details[Leased Date],"&gt;="&amp;($AM$2-X$5),
     unit_details[Leased Date],"&lt;"&amp;$AM$2,
     unit_details[Beds],$L428,
     unit_details[Baths],$M428,
     unit_details[Partial Baths],IF(ISNUMBER($N428),$N428,""),
     unit_details[Sqft],$P428,
     unit_details[Property Name],$F428)
 ),"")</f>
        <v/>
      </c>
      <c r="Z428" s="27" t="str">
        <f t="shared" si="77"/>
        <v/>
      </c>
      <c r="AA428" s="526">
        <f>IFERROR(
  IF($F428="Total",
    SUM(INDEX(AA:AA, ROW()-COUNTIF($F$6:INDEX($F:$F, ROW()-1), $F427)) : INDEX(AA:AA, ROW()-1)),
    COUNTIFS(
      unit_details[Leased Date], "&gt;="&amp;($AM$2-X$5),
      unit_details[Leased Date], "&lt;"&amp;$AM$2,
      unit_details[Beds], $L428,
      unit_details[Baths], $M428,
      unit_details[Partial Baths], IF(ISNUMBER($N428), $N428, ""),
      unit_details[Sqft],$P428,
      unit_details[Property Name], $F428
    )
  ),
"")</f>
        <v>0</v>
      </c>
      <c r="AB428" s="290">
        <f>IF($F428="Total",
SUM(INDEX(AB:AB, ROW()-COUNTIF($F$6:INDEX($F:$F, ROW()-1), $F427)) : INDEX(AB:AB, ROW()-1)),
COUNTIFS(unit_details[Active Listing?],TRUE,
          unit_details[Property Name], $F428,
          unit_details[Beds], $L428,
          unit_details[Baths], $M428,
          unit_details[Partial Baths],IF(ISNUMBER($N428),$N428,""),
          unit_details[Sqft],$P428))</f>
        <v>0</v>
      </c>
      <c r="AC428" s="27" t="str">
        <f t="shared" si="69"/>
        <v/>
      </c>
      <c r="AD428" s="293" t="str">
        <f>IFERROR(IF(AE428="","",IF($F428="Total",
SUMPRODUCT(
   INDEX(AD:AD, ROW()-COUNTIF($F$6:INDEX($F:$F, ROW()-1), $F427)) : INDEX(AD:AD, ROW()-1),
   INDEX(AB:AB, ROW()-COUNTIF($F$6:INDEX($F:$F, ROW()-1), $F427)) : INDEX(AB:AB, ROW()-1)
   )
   /SUM(INDEX(AB:AB, ROW()-COUNTIF($F$6:INDEX($F:$F, ROW()-1), $F427)) : INDEX(AB:AB, ROW()-1)),
          _xlfn.MINIFS(unit_details[Asking Rent],
          unit_details[Active Listing?],TRUE,
          unit_details[Property Name], $F428,
          unit_details[Beds], $L428,
          unit_details[Baths], $M428,
          unit_details[Partial Baths], IF(ISNUMBER($N428),$N428,""),
          unit_details[Sqft],$P428
))),"")</f>
        <v/>
      </c>
      <c r="AE428" s="5" t="str">
        <f>IFERROR(IF($F428="Total",
          SUMPRODUCT(
   INDEX(AE:AE, ROW()-COUNTIF($F$6:INDEX($F:$F, ROW()-1), $F427)) : INDEX(AE:AE, ROW()-1),
   INDEX(AB:AB, ROW()-COUNTIF($F$6:INDEX($F:$F, ROW()-1), $F427)) : INDEX(AB:AB, ROW()-1)
   )
   /SUM(INDEX(AB:AB, ROW()-COUNTIF($F$6:INDEX($F:$F, ROW()-1), $F427)) : INDEX(AB:AB, ROW()-1)),
          AVERAGEIFS(unit_details[Asking Rent],
          unit_details[Active Listing?],TRUE,
          unit_details[Property Name], $F428,
          unit_details[Beds], $L428,
          unit_details[Baths], $M428,
          unit_details[Partial Baths], IF(ISNUMBER($N428),$N428,""),
          unit_details[Sqft],$P428
)),"")</f>
        <v/>
      </c>
      <c r="AF428" s="5" t="str">
        <f>IFERROR(IF(AE428="","",IF($F428="Total",
SUMPRODUCT(
   INDEX(AF:AF, ROW()-COUNTIF($F$6:INDEX($F:$F, ROW()-1), $F427)) : INDEX(AF:AF, ROW()-1),
   INDEX(AB:AB, ROW()-COUNTIF($F$6:INDEX($F:$F, ROW()-1), $F427)) : INDEX(AB:AB, ROW()-1)
   )
   /SUM(INDEX(AB:AB, ROW()-COUNTIF($F$6:INDEX($F:$F, ROW()-1), $F427)) : INDEX(AB:AB, ROW()-1)),
           _xlfn.MAXIFS(unit_details[Asking Rent],
          unit_details[Active Listing?],TRUE,
          unit_details[Property Name], $F428,
          unit_details[Beds], $L428,
          unit_details[Baths], $M428,
          unit_details[Partial Baths], IF(ISNUMBER($N428),$N428,""),
          unit_details[Sqft],$P428
))),"")</f>
        <v/>
      </c>
      <c r="AG428" s="6" t="str">
        <f>IFERROR(IF($F428="Total",
         SUMPRODUCT(
         INDEX(AG:AG, ROW()-COUNTIF($F$6:INDEX($F:$F, ROW()-1), $F427)) : INDEX(AG:AG, ROW()-1),
         INDEX(AB:AB, ROW()-COUNTIF($F$6:INDEX($F:$F, ROW()-1), $F427)) : INDEX(AB:AB, ROW()-1)
         )
         /SUM(INDEX(AB:AB, ROW()-COUNTIF($F$6:INDEX($F:$F, ROW()-1), $F427)) : INDEX(AB:AB, ROW()-1)),
          AVERAGEIFS(unit_details[Asking PSF],
          unit_details[Active Listing?],TRUE,
          unit_details[Property Name], $F428,
          unit_details[Beds], $L428,
          unit_details[Baths], $M428,
          unit_details[Partial Baths], IF(ISNUMBER($N428),$N428,""),
          unit_details[Sqft],$P428
)),"")</f>
        <v/>
      </c>
      <c r="AH428" s="293" t="str">
        <f>IFERROR(IF($F428="Total",
         SUMPRODUCT(
         INDEX(AH:AH, ROW()-COUNTIF($F$6:INDEX($F:$F, ROW()-1), $F427)) : INDEX(AH:AH, ROW()-1),
         INDEX(AB:AB, ROW()-COUNTIF($F$6:INDEX($F:$F, ROW()-1), $F427)) : INDEX(AB:AB, ROW()-1)
         )
         /SUM(INDEX(AB:AB, ROW()-COUNTIF($F$6:INDEX($F:$F, ROW()-1), $F427)) : INDEX(AB:AB, ROW()-1)),
          AVERAGEIFS(unit_details[Effective Rent],
          unit_details[Active Listing?],TRUE,
          unit_details[Property Name], $F428,
          unit_details[Beds], $L428,
          unit_details[Baths], $M428,
          unit_details[Partial Baths], IF(ISNUMBER($N428),$N428,""),
          unit_details[Sqft],$P428
)),"")</f>
        <v/>
      </c>
      <c r="AI428" s="6" t="str">
        <f>IFERROR(IF($F428="Total",
         SUMPRODUCT(
         INDEX(AI:AI, ROW()-COUNTIF($F$6:INDEX($F:$F, ROW()-1), $F427)) : INDEX(AI:AI, ROW()-1),
         INDEX(AB:AB, ROW()-COUNTIF($F$6:INDEX($F:$F, ROW()-1), $F427)) : INDEX(AB:AB, ROW()-1)
         )
         /SUM(INDEX(AB:AB, ROW()-COUNTIF($F$6:INDEX($F:$F, ROW()-1), $F427)) : INDEX(AB:AB, ROW()-1)),
           AVERAGEIFS(unit_details[Effective PSF],
          unit_details[Active Listing?],TRUE,
          unit_details[Property Name], $F428,
          unit_details[Beds], $L428,
          unit_details[Baths], $M428,
          unit_details[Partial Baths], IF(ISNUMBER($N428),$N428,""),
          unit_details[Sqft],$P428
)),"")</f>
        <v/>
      </c>
      <c r="AJ428" s="824" t="str">
        <f t="shared" si="70"/>
        <v/>
      </c>
      <c r="AK428" s="531" t="str">
        <f t="shared" si="71"/>
        <v/>
      </c>
      <c r="AL428" s="714" t="str">
        <f t="shared" si="72"/>
        <v/>
      </c>
      <c r="AM428" s="531" t="str">
        <f t="shared" si="73"/>
        <v/>
      </c>
      <c r="AN428" s="716" t="str">
        <f t="shared" si="74"/>
        <v/>
      </c>
    </row>
    <row r="429" spans="6:40" x14ac:dyDescent="0.2">
      <c r="F429" s="1" t="str">
        <f t="shared" si="67"/>
        <v/>
      </c>
      <c r="G429" s="713" t="str">
        <f t="shared" si="75"/>
        <v/>
      </c>
      <c r="H429" s="17" t="str">
        <f>IFERROR(VLOOKUP($G429,Table1[[Property]:[Exposure %]],4,0),"")</f>
        <v/>
      </c>
      <c r="I429" s="3" t="str">
        <f>IFERROR(VLOOKUP($G429,Table1[[Property]:[Exposure %]],6,0),"")</f>
        <v/>
      </c>
      <c r="J429" s="3" t="str">
        <f>IFERROR(VLOOKUP($G429,Table1[[Property]:[Exposure %]],7,0),"")</f>
        <v/>
      </c>
      <c r="R429" s="4" t="str">
        <f>IFERROR(VLOOKUP(IF(F429="Total",F428,F429),Table1[[Property]:['# Units]],7,0)*S429,"")</f>
        <v/>
      </c>
      <c r="S429" s="27" t="str">
        <f t="shared" si="68"/>
        <v/>
      </c>
      <c r="T429" s="531" t="str">
        <f>IFERROR(
 IF($F429="Total",
   SUMPRODUCT(
   INDEX(T:T, ROW()-COUNTIF($F$6:INDEX($F:$F, ROW()-1), $F428)) : INDEX(T:T, ROW()-1),
   INDEX(W:W, ROW()-COUNTIF($F$6:INDEX($F:$F, ROW()-1), $F428)) : INDEX(W:W, ROW()-1)
   )
   /SUM(INDEX(W:W, ROW()-COUNTIF($F$6:INDEX($F:$F, ROW()-1), $F428)) : INDEX(W:W, ROW()-1)),
   AVERAGEIFS(
     INDEX((unit_details[Asking Rent],unit_details[Asking PSF]),0,1,IF($U$3="Chunk Rent",1,2)),
     unit_details[Leased Date],"&gt;="&amp;($AM$2-T$5),
     unit_details[Leased Date],"&lt;"&amp;$AM$2,
     unit_details[Beds],$L429,
     unit_details[Baths],$M429,
     unit_details[Partial Baths],IF(ISNUMBER($N429),$N429,""),
     unit_details[Sqft],$P429,
     unit_details[Property Name],$F429)
 ),"")</f>
        <v/>
      </c>
      <c r="U429" s="552" t="str">
        <f>IFERROR(
 IF($F429="Total",
   SUMPRODUCT(
   INDEX(U:U, ROW()-COUNTIF($F$6:INDEX($F:$F, ROW()-1), $F428)) : INDEX(U:U, ROW()-1),
   INDEX(W:W, ROW()-COUNTIF($F$6:INDEX($F:$F, ROW()-1), $F428)) : INDEX(W:W, ROW()-1)
   )
   /SUM(INDEX(W:W, ROW()-COUNTIF($F$6:INDEX($F:$F, ROW()-1), $F428)) : INDEX(W:W, ROW()-1)),
   AVERAGEIFS(
     INDEX((unit_details[Effective Rent],unit_details[Effective PSF]),0,1,IF($U$3="Chunk Rent",1,2)),
     unit_details[Leased Date],"&gt;="&amp;($AM$2-T$5),
     unit_details[Leased Date],"&lt;"&amp;$AM$2,
     unit_details[Beds],$L429,
     unit_details[Baths],$M429,
     unit_details[Partial Baths],IF(ISNUMBER($N429),$N429,""),
     unit_details[Sqft],$P429,
     unit_details[Property Name],$F429)
 ),"")</f>
        <v/>
      </c>
      <c r="V429" s="27" t="str">
        <f t="shared" si="76"/>
        <v/>
      </c>
      <c r="W429" s="526">
        <f>IFERROR(
  IF($F429="Total",
    SUM(INDEX(W:W, ROW()-COUNTIF($F$6:INDEX($F:$F, ROW()-1), $F428)) : INDEX(W:W, ROW()-1)),
    COUNTIFS(
      unit_details[Leased Date], "&gt;="&amp;($AM$2-T$5),
      unit_details[Leased Date], "&lt;"&amp;$AM$2,
      unit_details[Beds], $L429,
      unit_details[Baths], $M429,
      unit_details[Partial Baths], IF(ISNUMBER($N429), $N429, ""),
      unit_details[Sqft],$P429,
      unit_details[Property Name], $F429
    )
  ),
"")</f>
        <v>0</v>
      </c>
      <c r="X429" s="531" t="str">
        <f>IFERROR(
 IF($F429="Total",
   SUMPRODUCT(
   INDEX(X:X, ROW()-COUNTIF($F$6:INDEX($F:$F, ROW()-1), $F428)) : INDEX(X:X, ROW()-1),
   INDEX(AA:AA, ROW()-COUNTIF($F$6:INDEX($F:$F, ROW()-1), $F428)) : INDEX(AA:AA, ROW()-1)
   )
   /SUM(INDEX(AA:AA, ROW()-COUNTIF($F$6:INDEX($F:$F, ROW()-1), $F428)) : INDEX(AA:AA, ROW()-1)),
   AVERAGEIFS(
     INDEX((unit_details[Asking Rent],unit_details[Asking PSF]),0,1,IF($U$3="Chunk Rent",1,2)),
     unit_details[Leased Date],"&gt;="&amp;($AM$2-X$5),
     unit_details[Leased Date],"&lt;"&amp;$AM$2,
     unit_details[Beds],$L429,
     unit_details[Baths],$M429,
     unit_details[Partial Baths],IF(ISNUMBER($N429),$N429,""),
     unit_details[Sqft],$P429,
     unit_details[Property Name],$F429)
 ),"")</f>
        <v/>
      </c>
      <c r="Y429" s="552" t="str">
        <f>IFERROR(
 IF($F429="Total",
   SUMPRODUCT(
   INDEX(Y:Y, ROW()-COUNTIF($F$6:INDEX($F:$F, ROW()-1), $F428)) : INDEX(Y:Y, ROW()-1),
   INDEX(AA:AA, ROW()-COUNTIF($F$6:INDEX($F:$F, ROW()-1), $F428)) : INDEX(AA:AA, ROW()-1)
   )
   /SUM(INDEX(AA:AA, ROW()-COUNTIF($F$6:INDEX($F:$F, ROW()-1), $F428)) : INDEX(AA:AA, ROW()-1)),
   AVERAGEIFS(
     INDEX((unit_details[Effective Rent],unit_details[Effective PSF]),0,1,IF($U$3="Chunk Rent",1,2)),
     unit_details[Leased Date],"&gt;="&amp;($AM$2-X$5),
     unit_details[Leased Date],"&lt;"&amp;$AM$2,
     unit_details[Beds],$L429,
     unit_details[Baths],$M429,
     unit_details[Partial Baths],IF(ISNUMBER($N429),$N429,""),
     unit_details[Sqft],$P429,
     unit_details[Property Name],$F429)
 ),"")</f>
        <v/>
      </c>
      <c r="Z429" s="27" t="str">
        <f t="shared" si="77"/>
        <v/>
      </c>
      <c r="AA429" s="526">
        <f>IFERROR(
  IF($F429="Total",
    SUM(INDEX(AA:AA, ROW()-COUNTIF($F$6:INDEX($F:$F, ROW()-1), $F428)) : INDEX(AA:AA, ROW()-1)),
    COUNTIFS(
      unit_details[Leased Date], "&gt;="&amp;($AM$2-X$5),
      unit_details[Leased Date], "&lt;"&amp;$AM$2,
      unit_details[Beds], $L429,
      unit_details[Baths], $M429,
      unit_details[Partial Baths], IF(ISNUMBER($N429), $N429, ""),
      unit_details[Sqft],$P429,
      unit_details[Property Name], $F429
    )
  ),
"")</f>
        <v>0</v>
      </c>
      <c r="AB429" s="290">
        <f>IF($F429="Total",
SUM(INDEX(AB:AB, ROW()-COUNTIF($F$6:INDEX($F:$F, ROW()-1), $F428)) : INDEX(AB:AB, ROW()-1)),
COUNTIFS(unit_details[Active Listing?],TRUE,
          unit_details[Property Name], $F429,
          unit_details[Beds], $L429,
          unit_details[Baths], $M429,
          unit_details[Partial Baths],IF(ISNUMBER($N429),$N429,""),
          unit_details[Sqft],$P429))</f>
        <v>0</v>
      </c>
      <c r="AC429" s="27" t="str">
        <f t="shared" si="69"/>
        <v/>
      </c>
      <c r="AD429" s="293" t="str">
        <f>IFERROR(IF(AE429="","",IF($F429="Total",
SUMPRODUCT(
   INDEX(AD:AD, ROW()-COUNTIF($F$6:INDEX($F:$F, ROW()-1), $F428)) : INDEX(AD:AD, ROW()-1),
   INDEX(AB:AB, ROW()-COUNTIF($F$6:INDEX($F:$F, ROW()-1), $F428)) : INDEX(AB:AB, ROW()-1)
   )
   /SUM(INDEX(AB:AB, ROW()-COUNTIF($F$6:INDEX($F:$F, ROW()-1), $F428)) : INDEX(AB:AB, ROW()-1)),
          _xlfn.MINIFS(unit_details[Asking Rent],
          unit_details[Active Listing?],TRUE,
          unit_details[Property Name], $F429,
          unit_details[Beds], $L429,
          unit_details[Baths], $M429,
          unit_details[Partial Baths], IF(ISNUMBER($N429),$N429,""),
          unit_details[Sqft],$P429
))),"")</f>
        <v/>
      </c>
      <c r="AE429" s="5" t="str">
        <f>IFERROR(IF($F429="Total",
          SUMPRODUCT(
   INDEX(AE:AE, ROW()-COUNTIF($F$6:INDEX($F:$F, ROW()-1), $F428)) : INDEX(AE:AE, ROW()-1),
   INDEX(AB:AB, ROW()-COUNTIF($F$6:INDEX($F:$F, ROW()-1), $F428)) : INDEX(AB:AB, ROW()-1)
   )
   /SUM(INDEX(AB:AB, ROW()-COUNTIF($F$6:INDEX($F:$F, ROW()-1), $F428)) : INDEX(AB:AB, ROW()-1)),
          AVERAGEIFS(unit_details[Asking Rent],
          unit_details[Active Listing?],TRUE,
          unit_details[Property Name], $F429,
          unit_details[Beds], $L429,
          unit_details[Baths], $M429,
          unit_details[Partial Baths], IF(ISNUMBER($N429),$N429,""),
          unit_details[Sqft],$P429
)),"")</f>
        <v/>
      </c>
      <c r="AF429" s="5" t="str">
        <f>IFERROR(IF(AE429="","",IF($F429="Total",
SUMPRODUCT(
   INDEX(AF:AF, ROW()-COUNTIF($F$6:INDEX($F:$F, ROW()-1), $F428)) : INDEX(AF:AF, ROW()-1),
   INDEX(AB:AB, ROW()-COUNTIF($F$6:INDEX($F:$F, ROW()-1), $F428)) : INDEX(AB:AB, ROW()-1)
   )
   /SUM(INDEX(AB:AB, ROW()-COUNTIF($F$6:INDEX($F:$F, ROW()-1), $F428)) : INDEX(AB:AB, ROW()-1)),
           _xlfn.MAXIFS(unit_details[Asking Rent],
          unit_details[Active Listing?],TRUE,
          unit_details[Property Name], $F429,
          unit_details[Beds], $L429,
          unit_details[Baths], $M429,
          unit_details[Partial Baths], IF(ISNUMBER($N429),$N429,""),
          unit_details[Sqft],$P429
))),"")</f>
        <v/>
      </c>
      <c r="AG429" s="6" t="str">
        <f>IFERROR(IF($F429="Total",
         SUMPRODUCT(
         INDEX(AG:AG, ROW()-COUNTIF($F$6:INDEX($F:$F, ROW()-1), $F428)) : INDEX(AG:AG, ROW()-1),
         INDEX(AB:AB, ROW()-COUNTIF($F$6:INDEX($F:$F, ROW()-1), $F428)) : INDEX(AB:AB, ROW()-1)
         )
         /SUM(INDEX(AB:AB, ROW()-COUNTIF($F$6:INDEX($F:$F, ROW()-1), $F428)) : INDEX(AB:AB, ROW()-1)),
          AVERAGEIFS(unit_details[Asking PSF],
          unit_details[Active Listing?],TRUE,
          unit_details[Property Name], $F429,
          unit_details[Beds], $L429,
          unit_details[Baths], $M429,
          unit_details[Partial Baths], IF(ISNUMBER($N429),$N429,""),
          unit_details[Sqft],$P429
)),"")</f>
        <v/>
      </c>
      <c r="AH429" s="293" t="str">
        <f>IFERROR(IF($F429="Total",
         SUMPRODUCT(
         INDEX(AH:AH, ROW()-COUNTIF($F$6:INDEX($F:$F, ROW()-1), $F428)) : INDEX(AH:AH, ROW()-1),
         INDEX(AB:AB, ROW()-COUNTIF($F$6:INDEX($F:$F, ROW()-1), $F428)) : INDEX(AB:AB, ROW()-1)
         )
         /SUM(INDEX(AB:AB, ROW()-COUNTIF($F$6:INDEX($F:$F, ROW()-1), $F428)) : INDEX(AB:AB, ROW()-1)),
          AVERAGEIFS(unit_details[Effective Rent],
          unit_details[Active Listing?],TRUE,
          unit_details[Property Name], $F429,
          unit_details[Beds], $L429,
          unit_details[Baths], $M429,
          unit_details[Partial Baths], IF(ISNUMBER($N429),$N429,""),
          unit_details[Sqft],$P429
)),"")</f>
        <v/>
      </c>
      <c r="AI429" s="6" t="str">
        <f>IFERROR(IF($F429="Total",
         SUMPRODUCT(
         INDEX(AI:AI, ROW()-COUNTIF($F$6:INDEX($F:$F, ROW()-1), $F428)) : INDEX(AI:AI, ROW()-1),
         INDEX(AB:AB, ROW()-COUNTIF($F$6:INDEX($F:$F, ROW()-1), $F428)) : INDEX(AB:AB, ROW()-1)
         )
         /SUM(INDEX(AB:AB, ROW()-COUNTIF($F$6:INDEX($F:$F, ROW()-1), $F428)) : INDEX(AB:AB, ROW()-1)),
           AVERAGEIFS(unit_details[Effective PSF],
          unit_details[Active Listing?],TRUE,
          unit_details[Property Name], $F429,
          unit_details[Beds], $L429,
          unit_details[Baths], $M429,
          unit_details[Partial Baths], IF(ISNUMBER($N429),$N429,""),
          unit_details[Sqft],$P429
)),"")</f>
        <v/>
      </c>
      <c r="AJ429" s="824" t="str">
        <f t="shared" si="70"/>
        <v/>
      </c>
      <c r="AK429" s="531" t="str">
        <f t="shared" si="71"/>
        <v/>
      </c>
      <c r="AL429" s="714" t="str">
        <f t="shared" si="72"/>
        <v/>
      </c>
      <c r="AM429" s="531" t="str">
        <f t="shared" si="73"/>
        <v/>
      </c>
      <c r="AN429" s="716" t="str">
        <f t="shared" si="74"/>
        <v/>
      </c>
    </row>
    <row r="430" spans="6:40" x14ac:dyDescent="0.2">
      <c r="F430" s="1" t="str">
        <f t="shared" si="67"/>
        <v/>
      </c>
      <c r="G430" s="713" t="str">
        <f t="shared" si="75"/>
        <v/>
      </c>
      <c r="H430" s="17" t="str">
        <f>IFERROR(VLOOKUP($G430,Table1[[Property]:[Exposure %]],4,0),"")</f>
        <v/>
      </c>
      <c r="I430" s="3" t="str">
        <f>IFERROR(VLOOKUP($G430,Table1[[Property]:[Exposure %]],6,0),"")</f>
        <v/>
      </c>
      <c r="J430" s="3" t="str">
        <f>IFERROR(VLOOKUP($G430,Table1[[Property]:[Exposure %]],7,0),"")</f>
        <v/>
      </c>
      <c r="R430" s="4" t="str">
        <f>IFERROR(VLOOKUP(IF(F430="Total",F429,F430),Table1[[Property]:['# Units]],7,0)*S430,"")</f>
        <v/>
      </c>
      <c r="S430" s="27" t="str">
        <f t="shared" si="68"/>
        <v/>
      </c>
      <c r="T430" s="531" t="str">
        <f>IFERROR(
 IF($F430="Total",
   SUMPRODUCT(
   INDEX(T:T, ROW()-COUNTIF($F$6:INDEX($F:$F, ROW()-1), $F429)) : INDEX(T:T, ROW()-1),
   INDEX(W:W, ROW()-COUNTIF($F$6:INDEX($F:$F, ROW()-1), $F429)) : INDEX(W:W, ROW()-1)
   )
   /SUM(INDEX(W:W, ROW()-COUNTIF($F$6:INDEX($F:$F, ROW()-1), $F429)) : INDEX(W:W, ROW()-1)),
   AVERAGEIFS(
     INDEX((unit_details[Asking Rent],unit_details[Asking PSF]),0,1,IF($U$3="Chunk Rent",1,2)),
     unit_details[Leased Date],"&gt;="&amp;($AM$2-T$5),
     unit_details[Leased Date],"&lt;"&amp;$AM$2,
     unit_details[Beds],$L430,
     unit_details[Baths],$M430,
     unit_details[Partial Baths],IF(ISNUMBER($N430),$N430,""),
     unit_details[Sqft],$P430,
     unit_details[Property Name],$F430)
 ),"")</f>
        <v/>
      </c>
      <c r="U430" s="552" t="str">
        <f>IFERROR(
 IF($F430="Total",
   SUMPRODUCT(
   INDEX(U:U, ROW()-COUNTIF($F$6:INDEX($F:$F, ROW()-1), $F429)) : INDEX(U:U, ROW()-1),
   INDEX(W:W, ROW()-COUNTIF($F$6:INDEX($F:$F, ROW()-1), $F429)) : INDEX(W:W, ROW()-1)
   )
   /SUM(INDEX(W:W, ROW()-COUNTIF($F$6:INDEX($F:$F, ROW()-1), $F429)) : INDEX(W:W, ROW()-1)),
   AVERAGEIFS(
     INDEX((unit_details[Effective Rent],unit_details[Effective PSF]),0,1,IF($U$3="Chunk Rent",1,2)),
     unit_details[Leased Date],"&gt;="&amp;($AM$2-T$5),
     unit_details[Leased Date],"&lt;"&amp;$AM$2,
     unit_details[Beds],$L430,
     unit_details[Baths],$M430,
     unit_details[Partial Baths],IF(ISNUMBER($N430),$N430,""),
     unit_details[Sqft],$P430,
     unit_details[Property Name],$F430)
 ),"")</f>
        <v/>
      </c>
      <c r="V430" s="27" t="str">
        <f t="shared" si="76"/>
        <v/>
      </c>
      <c r="W430" s="526">
        <f>IFERROR(
  IF($F430="Total",
    SUM(INDEX(W:W, ROW()-COUNTIF($F$6:INDEX($F:$F, ROW()-1), $F429)) : INDEX(W:W, ROW()-1)),
    COUNTIFS(
      unit_details[Leased Date], "&gt;="&amp;($AM$2-T$5),
      unit_details[Leased Date], "&lt;"&amp;$AM$2,
      unit_details[Beds], $L430,
      unit_details[Baths], $M430,
      unit_details[Partial Baths], IF(ISNUMBER($N430), $N430, ""),
      unit_details[Sqft],$P430,
      unit_details[Property Name], $F430
    )
  ),
"")</f>
        <v>0</v>
      </c>
      <c r="X430" s="531" t="str">
        <f>IFERROR(
 IF($F430="Total",
   SUMPRODUCT(
   INDEX(X:X, ROW()-COUNTIF($F$6:INDEX($F:$F, ROW()-1), $F429)) : INDEX(X:X, ROW()-1),
   INDEX(AA:AA, ROW()-COUNTIF($F$6:INDEX($F:$F, ROW()-1), $F429)) : INDEX(AA:AA, ROW()-1)
   )
   /SUM(INDEX(AA:AA, ROW()-COUNTIF($F$6:INDEX($F:$F, ROW()-1), $F429)) : INDEX(AA:AA, ROW()-1)),
   AVERAGEIFS(
     INDEX((unit_details[Asking Rent],unit_details[Asking PSF]),0,1,IF($U$3="Chunk Rent",1,2)),
     unit_details[Leased Date],"&gt;="&amp;($AM$2-X$5),
     unit_details[Leased Date],"&lt;"&amp;$AM$2,
     unit_details[Beds],$L430,
     unit_details[Baths],$M430,
     unit_details[Partial Baths],IF(ISNUMBER($N430),$N430,""),
     unit_details[Sqft],$P430,
     unit_details[Property Name],$F430)
 ),"")</f>
        <v/>
      </c>
      <c r="Y430" s="552" t="str">
        <f>IFERROR(
 IF($F430="Total",
   SUMPRODUCT(
   INDEX(Y:Y, ROW()-COUNTIF($F$6:INDEX($F:$F, ROW()-1), $F429)) : INDEX(Y:Y, ROW()-1),
   INDEX(AA:AA, ROW()-COUNTIF($F$6:INDEX($F:$F, ROW()-1), $F429)) : INDEX(AA:AA, ROW()-1)
   )
   /SUM(INDEX(AA:AA, ROW()-COUNTIF($F$6:INDEX($F:$F, ROW()-1), $F429)) : INDEX(AA:AA, ROW()-1)),
   AVERAGEIFS(
     INDEX((unit_details[Effective Rent],unit_details[Effective PSF]),0,1,IF($U$3="Chunk Rent",1,2)),
     unit_details[Leased Date],"&gt;="&amp;($AM$2-X$5),
     unit_details[Leased Date],"&lt;"&amp;$AM$2,
     unit_details[Beds],$L430,
     unit_details[Baths],$M430,
     unit_details[Partial Baths],IF(ISNUMBER($N430),$N430,""),
     unit_details[Sqft],$P430,
     unit_details[Property Name],$F430)
 ),"")</f>
        <v/>
      </c>
      <c r="Z430" s="27" t="str">
        <f t="shared" si="77"/>
        <v/>
      </c>
      <c r="AA430" s="526">
        <f>IFERROR(
  IF($F430="Total",
    SUM(INDEX(AA:AA, ROW()-COUNTIF($F$6:INDEX($F:$F, ROW()-1), $F429)) : INDEX(AA:AA, ROW()-1)),
    COUNTIFS(
      unit_details[Leased Date], "&gt;="&amp;($AM$2-X$5),
      unit_details[Leased Date], "&lt;"&amp;$AM$2,
      unit_details[Beds], $L430,
      unit_details[Baths], $M430,
      unit_details[Partial Baths], IF(ISNUMBER($N430), $N430, ""),
      unit_details[Sqft],$P430,
      unit_details[Property Name], $F430
    )
  ),
"")</f>
        <v>0</v>
      </c>
      <c r="AB430" s="290">
        <f>IF($F430="Total",
SUM(INDEX(AB:AB, ROW()-COUNTIF($F$6:INDEX($F:$F, ROW()-1), $F429)) : INDEX(AB:AB, ROW()-1)),
COUNTIFS(unit_details[Active Listing?],TRUE,
          unit_details[Property Name], $F430,
          unit_details[Beds], $L430,
          unit_details[Baths], $M430,
          unit_details[Partial Baths],IF(ISNUMBER($N430),$N430,""),
          unit_details[Sqft],$P430))</f>
        <v>0</v>
      </c>
      <c r="AC430" s="27" t="str">
        <f t="shared" si="69"/>
        <v/>
      </c>
      <c r="AD430" s="293" t="str">
        <f>IFERROR(IF(AE430="","",IF($F430="Total",
SUMPRODUCT(
   INDEX(AD:AD, ROW()-COUNTIF($F$6:INDEX($F:$F, ROW()-1), $F429)) : INDEX(AD:AD, ROW()-1),
   INDEX(AB:AB, ROW()-COUNTIF($F$6:INDEX($F:$F, ROW()-1), $F429)) : INDEX(AB:AB, ROW()-1)
   )
   /SUM(INDEX(AB:AB, ROW()-COUNTIF($F$6:INDEX($F:$F, ROW()-1), $F429)) : INDEX(AB:AB, ROW()-1)),
          _xlfn.MINIFS(unit_details[Asking Rent],
          unit_details[Active Listing?],TRUE,
          unit_details[Property Name], $F430,
          unit_details[Beds], $L430,
          unit_details[Baths], $M430,
          unit_details[Partial Baths], IF(ISNUMBER($N430),$N430,""),
          unit_details[Sqft],$P430
))),"")</f>
        <v/>
      </c>
      <c r="AE430" s="5" t="str">
        <f>IFERROR(IF($F430="Total",
          SUMPRODUCT(
   INDEX(AE:AE, ROW()-COUNTIF($F$6:INDEX($F:$F, ROW()-1), $F429)) : INDEX(AE:AE, ROW()-1),
   INDEX(AB:AB, ROW()-COUNTIF($F$6:INDEX($F:$F, ROW()-1), $F429)) : INDEX(AB:AB, ROW()-1)
   )
   /SUM(INDEX(AB:AB, ROW()-COUNTIF($F$6:INDEX($F:$F, ROW()-1), $F429)) : INDEX(AB:AB, ROW()-1)),
          AVERAGEIFS(unit_details[Asking Rent],
          unit_details[Active Listing?],TRUE,
          unit_details[Property Name], $F430,
          unit_details[Beds], $L430,
          unit_details[Baths], $M430,
          unit_details[Partial Baths], IF(ISNUMBER($N430),$N430,""),
          unit_details[Sqft],$P430
)),"")</f>
        <v/>
      </c>
      <c r="AF430" s="5" t="str">
        <f>IFERROR(IF(AE430="","",IF($F430="Total",
SUMPRODUCT(
   INDEX(AF:AF, ROW()-COUNTIF($F$6:INDEX($F:$F, ROW()-1), $F429)) : INDEX(AF:AF, ROW()-1),
   INDEX(AB:AB, ROW()-COUNTIF($F$6:INDEX($F:$F, ROW()-1), $F429)) : INDEX(AB:AB, ROW()-1)
   )
   /SUM(INDEX(AB:AB, ROW()-COUNTIF($F$6:INDEX($F:$F, ROW()-1), $F429)) : INDEX(AB:AB, ROW()-1)),
           _xlfn.MAXIFS(unit_details[Asking Rent],
          unit_details[Active Listing?],TRUE,
          unit_details[Property Name], $F430,
          unit_details[Beds], $L430,
          unit_details[Baths], $M430,
          unit_details[Partial Baths], IF(ISNUMBER($N430),$N430,""),
          unit_details[Sqft],$P430
))),"")</f>
        <v/>
      </c>
      <c r="AG430" s="6" t="str">
        <f>IFERROR(IF($F430="Total",
         SUMPRODUCT(
         INDEX(AG:AG, ROW()-COUNTIF($F$6:INDEX($F:$F, ROW()-1), $F429)) : INDEX(AG:AG, ROW()-1),
         INDEX(AB:AB, ROW()-COUNTIF($F$6:INDEX($F:$F, ROW()-1), $F429)) : INDEX(AB:AB, ROW()-1)
         )
         /SUM(INDEX(AB:AB, ROW()-COUNTIF($F$6:INDEX($F:$F, ROW()-1), $F429)) : INDEX(AB:AB, ROW()-1)),
          AVERAGEIFS(unit_details[Asking PSF],
          unit_details[Active Listing?],TRUE,
          unit_details[Property Name], $F430,
          unit_details[Beds], $L430,
          unit_details[Baths], $M430,
          unit_details[Partial Baths], IF(ISNUMBER($N430),$N430,""),
          unit_details[Sqft],$P430
)),"")</f>
        <v/>
      </c>
      <c r="AH430" s="293" t="str">
        <f>IFERROR(IF($F430="Total",
         SUMPRODUCT(
         INDEX(AH:AH, ROW()-COUNTIF($F$6:INDEX($F:$F, ROW()-1), $F429)) : INDEX(AH:AH, ROW()-1),
         INDEX(AB:AB, ROW()-COUNTIF($F$6:INDEX($F:$F, ROW()-1), $F429)) : INDEX(AB:AB, ROW()-1)
         )
         /SUM(INDEX(AB:AB, ROW()-COUNTIF($F$6:INDEX($F:$F, ROW()-1), $F429)) : INDEX(AB:AB, ROW()-1)),
          AVERAGEIFS(unit_details[Effective Rent],
          unit_details[Active Listing?],TRUE,
          unit_details[Property Name], $F430,
          unit_details[Beds], $L430,
          unit_details[Baths], $M430,
          unit_details[Partial Baths], IF(ISNUMBER($N430),$N430,""),
          unit_details[Sqft],$P430
)),"")</f>
        <v/>
      </c>
      <c r="AI430" s="6" t="str">
        <f>IFERROR(IF($F430="Total",
         SUMPRODUCT(
         INDEX(AI:AI, ROW()-COUNTIF($F$6:INDEX($F:$F, ROW()-1), $F429)) : INDEX(AI:AI, ROW()-1),
         INDEX(AB:AB, ROW()-COUNTIF($F$6:INDEX($F:$F, ROW()-1), $F429)) : INDEX(AB:AB, ROW()-1)
         )
         /SUM(INDEX(AB:AB, ROW()-COUNTIF($F$6:INDEX($F:$F, ROW()-1), $F429)) : INDEX(AB:AB, ROW()-1)),
           AVERAGEIFS(unit_details[Effective PSF],
          unit_details[Active Listing?],TRUE,
          unit_details[Property Name], $F430,
          unit_details[Beds], $L430,
          unit_details[Baths], $M430,
          unit_details[Partial Baths], IF(ISNUMBER($N430),$N430,""),
          unit_details[Sqft],$P430
)),"")</f>
        <v/>
      </c>
      <c r="AJ430" s="824" t="str">
        <f t="shared" si="70"/>
        <v/>
      </c>
      <c r="AK430" s="531" t="str">
        <f t="shared" si="71"/>
        <v/>
      </c>
      <c r="AL430" s="714" t="str">
        <f t="shared" si="72"/>
        <v/>
      </c>
      <c r="AM430" s="531" t="str">
        <f t="shared" si="73"/>
        <v/>
      </c>
      <c r="AN430" s="716" t="str">
        <f t="shared" si="74"/>
        <v/>
      </c>
    </row>
    <row r="431" spans="6:40" x14ac:dyDescent="0.2">
      <c r="F431" s="1" t="str">
        <f t="shared" si="67"/>
        <v/>
      </c>
      <c r="G431" s="713" t="str">
        <f t="shared" si="75"/>
        <v/>
      </c>
      <c r="H431" s="17" t="str">
        <f>IFERROR(VLOOKUP($G431,Table1[[Property]:[Exposure %]],4,0),"")</f>
        <v/>
      </c>
      <c r="I431" s="3" t="str">
        <f>IFERROR(VLOOKUP($G431,Table1[[Property]:[Exposure %]],6,0),"")</f>
        <v/>
      </c>
      <c r="J431" s="3" t="str">
        <f>IFERROR(VLOOKUP($G431,Table1[[Property]:[Exposure %]],7,0),"")</f>
        <v/>
      </c>
      <c r="R431" s="4" t="str">
        <f>IFERROR(VLOOKUP(IF(F431="Total",F430,F431),Table1[[Property]:['# Units]],7,0)*S431,"")</f>
        <v/>
      </c>
      <c r="S431" s="27" t="str">
        <f t="shared" si="68"/>
        <v/>
      </c>
      <c r="T431" s="531" t="str">
        <f>IFERROR(
 IF($F431="Total",
   SUMPRODUCT(
   INDEX(T:T, ROW()-COUNTIF($F$6:INDEX($F:$F, ROW()-1), $F430)) : INDEX(T:T, ROW()-1),
   INDEX(W:W, ROW()-COUNTIF($F$6:INDEX($F:$F, ROW()-1), $F430)) : INDEX(W:W, ROW()-1)
   )
   /SUM(INDEX(W:W, ROW()-COUNTIF($F$6:INDEX($F:$F, ROW()-1), $F430)) : INDEX(W:W, ROW()-1)),
   AVERAGEIFS(
     INDEX((unit_details[Asking Rent],unit_details[Asking PSF]),0,1,IF($U$3="Chunk Rent",1,2)),
     unit_details[Leased Date],"&gt;="&amp;($AM$2-T$5),
     unit_details[Leased Date],"&lt;"&amp;$AM$2,
     unit_details[Beds],$L431,
     unit_details[Baths],$M431,
     unit_details[Partial Baths],IF(ISNUMBER($N431),$N431,""),
     unit_details[Sqft],$P431,
     unit_details[Property Name],$F431)
 ),"")</f>
        <v/>
      </c>
      <c r="U431" s="552" t="str">
        <f>IFERROR(
 IF($F431="Total",
   SUMPRODUCT(
   INDEX(U:U, ROW()-COUNTIF($F$6:INDEX($F:$F, ROW()-1), $F430)) : INDEX(U:U, ROW()-1),
   INDEX(W:W, ROW()-COUNTIF($F$6:INDEX($F:$F, ROW()-1), $F430)) : INDEX(W:W, ROW()-1)
   )
   /SUM(INDEX(W:W, ROW()-COUNTIF($F$6:INDEX($F:$F, ROW()-1), $F430)) : INDEX(W:W, ROW()-1)),
   AVERAGEIFS(
     INDEX((unit_details[Effective Rent],unit_details[Effective PSF]),0,1,IF($U$3="Chunk Rent",1,2)),
     unit_details[Leased Date],"&gt;="&amp;($AM$2-T$5),
     unit_details[Leased Date],"&lt;"&amp;$AM$2,
     unit_details[Beds],$L431,
     unit_details[Baths],$M431,
     unit_details[Partial Baths],IF(ISNUMBER($N431),$N431,""),
     unit_details[Sqft],$P431,
     unit_details[Property Name],$F431)
 ),"")</f>
        <v/>
      </c>
      <c r="V431" s="27" t="str">
        <f t="shared" si="76"/>
        <v/>
      </c>
      <c r="W431" s="526">
        <f>IFERROR(
  IF($F431="Total",
    SUM(INDEX(W:W, ROW()-COUNTIF($F$6:INDEX($F:$F, ROW()-1), $F430)) : INDEX(W:W, ROW()-1)),
    COUNTIFS(
      unit_details[Leased Date], "&gt;="&amp;($AM$2-T$5),
      unit_details[Leased Date], "&lt;"&amp;$AM$2,
      unit_details[Beds], $L431,
      unit_details[Baths], $M431,
      unit_details[Partial Baths], IF(ISNUMBER($N431), $N431, ""),
      unit_details[Sqft],$P431,
      unit_details[Property Name], $F431
    )
  ),
"")</f>
        <v>0</v>
      </c>
      <c r="X431" s="531" t="str">
        <f>IFERROR(
 IF($F431="Total",
   SUMPRODUCT(
   INDEX(X:X, ROW()-COUNTIF($F$6:INDEX($F:$F, ROW()-1), $F430)) : INDEX(X:X, ROW()-1),
   INDEX(AA:AA, ROW()-COUNTIF($F$6:INDEX($F:$F, ROW()-1), $F430)) : INDEX(AA:AA, ROW()-1)
   )
   /SUM(INDEX(AA:AA, ROW()-COUNTIF($F$6:INDEX($F:$F, ROW()-1), $F430)) : INDEX(AA:AA, ROW()-1)),
   AVERAGEIFS(
     INDEX((unit_details[Asking Rent],unit_details[Asking PSF]),0,1,IF($U$3="Chunk Rent",1,2)),
     unit_details[Leased Date],"&gt;="&amp;($AM$2-X$5),
     unit_details[Leased Date],"&lt;"&amp;$AM$2,
     unit_details[Beds],$L431,
     unit_details[Baths],$M431,
     unit_details[Partial Baths],IF(ISNUMBER($N431),$N431,""),
     unit_details[Sqft],$P431,
     unit_details[Property Name],$F431)
 ),"")</f>
        <v/>
      </c>
      <c r="Y431" s="552" t="str">
        <f>IFERROR(
 IF($F431="Total",
   SUMPRODUCT(
   INDEX(Y:Y, ROW()-COUNTIF($F$6:INDEX($F:$F, ROW()-1), $F430)) : INDEX(Y:Y, ROW()-1),
   INDEX(AA:AA, ROW()-COUNTIF($F$6:INDEX($F:$F, ROW()-1), $F430)) : INDEX(AA:AA, ROW()-1)
   )
   /SUM(INDEX(AA:AA, ROW()-COUNTIF($F$6:INDEX($F:$F, ROW()-1), $F430)) : INDEX(AA:AA, ROW()-1)),
   AVERAGEIFS(
     INDEX((unit_details[Effective Rent],unit_details[Effective PSF]),0,1,IF($U$3="Chunk Rent",1,2)),
     unit_details[Leased Date],"&gt;="&amp;($AM$2-X$5),
     unit_details[Leased Date],"&lt;"&amp;$AM$2,
     unit_details[Beds],$L431,
     unit_details[Baths],$M431,
     unit_details[Partial Baths],IF(ISNUMBER($N431),$N431,""),
     unit_details[Sqft],$P431,
     unit_details[Property Name],$F431)
 ),"")</f>
        <v/>
      </c>
      <c r="Z431" s="27" t="str">
        <f t="shared" si="77"/>
        <v/>
      </c>
      <c r="AA431" s="526">
        <f>IFERROR(
  IF($F431="Total",
    SUM(INDEX(AA:AA, ROW()-COUNTIF($F$6:INDEX($F:$F, ROW()-1), $F430)) : INDEX(AA:AA, ROW()-1)),
    COUNTIFS(
      unit_details[Leased Date], "&gt;="&amp;($AM$2-X$5),
      unit_details[Leased Date], "&lt;"&amp;$AM$2,
      unit_details[Beds], $L431,
      unit_details[Baths], $M431,
      unit_details[Partial Baths], IF(ISNUMBER($N431), $N431, ""),
      unit_details[Sqft],$P431,
      unit_details[Property Name], $F431
    )
  ),
"")</f>
        <v>0</v>
      </c>
      <c r="AB431" s="290">
        <f>IF($F431="Total",
SUM(INDEX(AB:AB, ROW()-COUNTIF($F$6:INDEX($F:$F, ROW()-1), $F430)) : INDEX(AB:AB, ROW()-1)),
COUNTIFS(unit_details[Active Listing?],TRUE,
          unit_details[Property Name], $F431,
          unit_details[Beds], $L431,
          unit_details[Baths], $M431,
          unit_details[Partial Baths],IF(ISNUMBER($N431),$N431,""),
          unit_details[Sqft],$P431))</f>
        <v>0</v>
      </c>
      <c r="AC431" s="27" t="str">
        <f t="shared" si="69"/>
        <v/>
      </c>
      <c r="AD431" s="293" t="str">
        <f>IFERROR(IF(AE431="","",IF($F431="Total",
SUMPRODUCT(
   INDEX(AD:AD, ROW()-COUNTIF($F$6:INDEX($F:$F, ROW()-1), $F430)) : INDEX(AD:AD, ROW()-1),
   INDEX(AB:AB, ROW()-COUNTIF($F$6:INDEX($F:$F, ROW()-1), $F430)) : INDEX(AB:AB, ROW()-1)
   )
   /SUM(INDEX(AB:AB, ROW()-COUNTIF($F$6:INDEX($F:$F, ROW()-1), $F430)) : INDEX(AB:AB, ROW()-1)),
          _xlfn.MINIFS(unit_details[Asking Rent],
          unit_details[Active Listing?],TRUE,
          unit_details[Property Name], $F431,
          unit_details[Beds], $L431,
          unit_details[Baths], $M431,
          unit_details[Partial Baths], IF(ISNUMBER($N431),$N431,""),
          unit_details[Sqft],$P431
))),"")</f>
        <v/>
      </c>
      <c r="AE431" s="5" t="str">
        <f>IFERROR(IF($F431="Total",
          SUMPRODUCT(
   INDEX(AE:AE, ROW()-COUNTIF($F$6:INDEX($F:$F, ROW()-1), $F430)) : INDEX(AE:AE, ROW()-1),
   INDEX(AB:AB, ROW()-COUNTIF($F$6:INDEX($F:$F, ROW()-1), $F430)) : INDEX(AB:AB, ROW()-1)
   )
   /SUM(INDEX(AB:AB, ROW()-COUNTIF($F$6:INDEX($F:$F, ROW()-1), $F430)) : INDEX(AB:AB, ROW()-1)),
          AVERAGEIFS(unit_details[Asking Rent],
          unit_details[Active Listing?],TRUE,
          unit_details[Property Name], $F431,
          unit_details[Beds], $L431,
          unit_details[Baths], $M431,
          unit_details[Partial Baths], IF(ISNUMBER($N431),$N431,""),
          unit_details[Sqft],$P431
)),"")</f>
        <v/>
      </c>
      <c r="AF431" s="5" t="str">
        <f>IFERROR(IF(AE431="","",IF($F431="Total",
SUMPRODUCT(
   INDEX(AF:AF, ROW()-COUNTIF($F$6:INDEX($F:$F, ROW()-1), $F430)) : INDEX(AF:AF, ROW()-1),
   INDEX(AB:AB, ROW()-COUNTIF($F$6:INDEX($F:$F, ROW()-1), $F430)) : INDEX(AB:AB, ROW()-1)
   )
   /SUM(INDEX(AB:AB, ROW()-COUNTIF($F$6:INDEX($F:$F, ROW()-1), $F430)) : INDEX(AB:AB, ROW()-1)),
           _xlfn.MAXIFS(unit_details[Asking Rent],
          unit_details[Active Listing?],TRUE,
          unit_details[Property Name], $F431,
          unit_details[Beds], $L431,
          unit_details[Baths], $M431,
          unit_details[Partial Baths], IF(ISNUMBER($N431),$N431,""),
          unit_details[Sqft],$P431
))),"")</f>
        <v/>
      </c>
      <c r="AG431" s="6" t="str">
        <f>IFERROR(IF($F431="Total",
         SUMPRODUCT(
         INDEX(AG:AG, ROW()-COUNTIF($F$6:INDEX($F:$F, ROW()-1), $F430)) : INDEX(AG:AG, ROW()-1),
         INDEX(AB:AB, ROW()-COUNTIF($F$6:INDEX($F:$F, ROW()-1), $F430)) : INDEX(AB:AB, ROW()-1)
         )
         /SUM(INDEX(AB:AB, ROW()-COUNTIF($F$6:INDEX($F:$F, ROW()-1), $F430)) : INDEX(AB:AB, ROW()-1)),
          AVERAGEIFS(unit_details[Asking PSF],
          unit_details[Active Listing?],TRUE,
          unit_details[Property Name], $F431,
          unit_details[Beds], $L431,
          unit_details[Baths], $M431,
          unit_details[Partial Baths], IF(ISNUMBER($N431),$N431,""),
          unit_details[Sqft],$P431
)),"")</f>
        <v/>
      </c>
      <c r="AH431" s="293" t="str">
        <f>IFERROR(IF($F431="Total",
         SUMPRODUCT(
         INDEX(AH:AH, ROW()-COUNTIF($F$6:INDEX($F:$F, ROW()-1), $F430)) : INDEX(AH:AH, ROW()-1),
         INDEX(AB:AB, ROW()-COUNTIF($F$6:INDEX($F:$F, ROW()-1), $F430)) : INDEX(AB:AB, ROW()-1)
         )
         /SUM(INDEX(AB:AB, ROW()-COUNTIF($F$6:INDEX($F:$F, ROW()-1), $F430)) : INDEX(AB:AB, ROW()-1)),
          AVERAGEIFS(unit_details[Effective Rent],
          unit_details[Active Listing?],TRUE,
          unit_details[Property Name], $F431,
          unit_details[Beds], $L431,
          unit_details[Baths], $M431,
          unit_details[Partial Baths], IF(ISNUMBER($N431),$N431,""),
          unit_details[Sqft],$P431
)),"")</f>
        <v/>
      </c>
      <c r="AI431" s="6" t="str">
        <f>IFERROR(IF($F431="Total",
         SUMPRODUCT(
         INDEX(AI:AI, ROW()-COUNTIF($F$6:INDEX($F:$F, ROW()-1), $F430)) : INDEX(AI:AI, ROW()-1),
         INDEX(AB:AB, ROW()-COUNTIF($F$6:INDEX($F:$F, ROW()-1), $F430)) : INDEX(AB:AB, ROW()-1)
         )
         /SUM(INDEX(AB:AB, ROW()-COUNTIF($F$6:INDEX($F:$F, ROW()-1), $F430)) : INDEX(AB:AB, ROW()-1)),
           AVERAGEIFS(unit_details[Effective PSF],
          unit_details[Active Listing?],TRUE,
          unit_details[Property Name], $F431,
          unit_details[Beds], $L431,
          unit_details[Baths], $M431,
          unit_details[Partial Baths], IF(ISNUMBER($N431),$N431,""),
          unit_details[Sqft],$P431
)),"")</f>
        <v/>
      </c>
      <c r="AJ431" s="824" t="str">
        <f t="shared" si="70"/>
        <v/>
      </c>
      <c r="AK431" s="531" t="str">
        <f t="shared" si="71"/>
        <v/>
      </c>
      <c r="AL431" s="714" t="str">
        <f t="shared" si="72"/>
        <v/>
      </c>
      <c r="AM431" s="531" t="str">
        <f t="shared" si="73"/>
        <v/>
      </c>
      <c r="AN431" s="716" t="str">
        <f t="shared" si="74"/>
        <v/>
      </c>
    </row>
    <row r="432" spans="6:40" x14ac:dyDescent="0.2">
      <c r="F432" s="1" t="str">
        <f t="shared" si="67"/>
        <v/>
      </c>
      <c r="G432" s="713" t="str">
        <f t="shared" si="75"/>
        <v/>
      </c>
      <c r="H432" s="17" t="str">
        <f>IFERROR(VLOOKUP($G432,Table1[[Property]:[Exposure %]],4,0),"")</f>
        <v/>
      </c>
      <c r="I432" s="3" t="str">
        <f>IFERROR(VLOOKUP($G432,Table1[[Property]:[Exposure %]],6,0),"")</f>
        <v/>
      </c>
      <c r="J432" s="3" t="str">
        <f>IFERROR(VLOOKUP($G432,Table1[[Property]:[Exposure %]],7,0),"")</f>
        <v/>
      </c>
      <c r="R432" s="4" t="str">
        <f>IFERROR(VLOOKUP(IF(F432="Total",F431,F432),Table1[[Property]:['# Units]],7,0)*S432,"")</f>
        <v/>
      </c>
      <c r="S432" s="27" t="str">
        <f t="shared" si="68"/>
        <v/>
      </c>
      <c r="T432" s="531" t="str">
        <f>IFERROR(
 IF($F432="Total",
   SUMPRODUCT(
   INDEX(T:T, ROW()-COUNTIF($F$6:INDEX($F:$F, ROW()-1), $F431)) : INDEX(T:T, ROW()-1),
   INDEX(W:W, ROW()-COUNTIF($F$6:INDEX($F:$F, ROW()-1), $F431)) : INDEX(W:W, ROW()-1)
   )
   /SUM(INDEX(W:W, ROW()-COUNTIF($F$6:INDEX($F:$F, ROW()-1), $F431)) : INDEX(W:W, ROW()-1)),
   AVERAGEIFS(
     INDEX((unit_details[Asking Rent],unit_details[Asking PSF]),0,1,IF($U$3="Chunk Rent",1,2)),
     unit_details[Leased Date],"&gt;="&amp;($AM$2-T$5),
     unit_details[Leased Date],"&lt;"&amp;$AM$2,
     unit_details[Beds],$L432,
     unit_details[Baths],$M432,
     unit_details[Partial Baths],IF(ISNUMBER($N432),$N432,""),
     unit_details[Sqft],$P432,
     unit_details[Property Name],$F432)
 ),"")</f>
        <v/>
      </c>
      <c r="U432" s="552" t="str">
        <f>IFERROR(
 IF($F432="Total",
   SUMPRODUCT(
   INDEX(U:U, ROW()-COUNTIF($F$6:INDEX($F:$F, ROW()-1), $F431)) : INDEX(U:U, ROW()-1),
   INDEX(W:W, ROW()-COUNTIF($F$6:INDEX($F:$F, ROW()-1), $F431)) : INDEX(W:W, ROW()-1)
   )
   /SUM(INDEX(W:W, ROW()-COUNTIF($F$6:INDEX($F:$F, ROW()-1), $F431)) : INDEX(W:W, ROW()-1)),
   AVERAGEIFS(
     INDEX((unit_details[Effective Rent],unit_details[Effective PSF]),0,1,IF($U$3="Chunk Rent",1,2)),
     unit_details[Leased Date],"&gt;="&amp;($AM$2-T$5),
     unit_details[Leased Date],"&lt;"&amp;$AM$2,
     unit_details[Beds],$L432,
     unit_details[Baths],$M432,
     unit_details[Partial Baths],IF(ISNUMBER($N432),$N432,""),
     unit_details[Sqft],$P432,
     unit_details[Property Name],$F432)
 ),"")</f>
        <v/>
      </c>
      <c r="V432" s="27" t="str">
        <f t="shared" si="76"/>
        <v/>
      </c>
      <c r="W432" s="526">
        <f>IFERROR(
  IF($F432="Total",
    SUM(INDEX(W:W, ROW()-COUNTIF($F$6:INDEX($F:$F, ROW()-1), $F431)) : INDEX(W:W, ROW()-1)),
    COUNTIFS(
      unit_details[Leased Date], "&gt;="&amp;($AM$2-T$5),
      unit_details[Leased Date], "&lt;"&amp;$AM$2,
      unit_details[Beds], $L432,
      unit_details[Baths], $M432,
      unit_details[Partial Baths], IF(ISNUMBER($N432), $N432, ""),
      unit_details[Sqft],$P432,
      unit_details[Property Name], $F432
    )
  ),
"")</f>
        <v>0</v>
      </c>
      <c r="X432" s="531" t="str">
        <f>IFERROR(
 IF($F432="Total",
   SUMPRODUCT(
   INDEX(X:X, ROW()-COUNTIF($F$6:INDEX($F:$F, ROW()-1), $F431)) : INDEX(X:X, ROW()-1),
   INDEX(AA:AA, ROW()-COUNTIF($F$6:INDEX($F:$F, ROW()-1), $F431)) : INDEX(AA:AA, ROW()-1)
   )
   /SUM(INDEX(AA:AA, ROW()-COUNTIF($F$6:INDEX($F:$F, ROW()-1), $F431)) : INDEX(AA:AA, ROW()-1)),
   AVERAGEIFS(
     INDEX((unit_details[Asking Rent],unit_details[Asking PSF]),0,1,IF($U$3="Chunk Rent",1,2)),
     unit_details[Leased Date],"&gt;="&amp;($AM$2-X$5),
     unit_details[Leased Date],"&lt;"&amp;$AM$2,
     unit_details[Beds],$L432,
     unit_details[Baths],$M432,
     unit_details[Partial Baths],IF(ISNUMBER($N432),$N432,""),
     unit_details[Sqft],$P432,
     unit_details[Property Name],$F432)
 ),"")</f>
        <v/>
      </c>
      <c r="Y432" s="552" t="str">
        <f>IFERROR(
 IF($F432="Total",
   SUMPRODUCT(
   INDEX(Y:Y, ROW()-COUNTIF($F$6:INDEX($F:$F, ROW()-1), $F431)) : INDEX(Y:Y, ROW()-1),
   INDEX(AA:AA, ROW()-COUNTIF($F$6:INDEX($F:$F, ROW()-1), $F431)) : INDEX(AA:AA, ROW()-1)
   )
   /SUM(INDEX(AA:AA, ROW()-COUNTIF($F$6:INDEX($F:$F, ROW()-1), $F431)) : INDEX(AA:AA, ROW()-1)),
   AVERAGEIFS(
     INDEX((unit_details[Effective Rent],unit_details[Effective PSF]),0,1,IF($U$3="Chunk Rent",1,2)),
     unit_details[Leased Date],"&gt;="&amp;($AM$2-X$5),
     unit_details[Leased Date],"&lt;"&amp;$AM$2,
     unit_details[Beds],$L432,
     unit_details[Baths],$M432,
     unit_details[Partial Baths],IF(ISNUMBER($N432),$N432,""),
     unit_details[Sqft],$P432,
     unit_details[Property Name],$F432)
 ),"")</f>
        <v/>
      </c>
      <c r="Z432" s="27" t="str">
        <f t="shared" si="77"/>
        <v/>
      </c>
      <c r="AA432" s="526">
        <f>IFERROR(
  IF($F432="Total",
    SUM(INDEX(AA:AA, ROW()-COUNTIF($F$6:INDEX($F:$F, ROW()-1), $F431)) : INDEX(AA:AA, ROW()-1)),
    COUNTIFS(
      unit_details[Leased Date], "&gt;="&amp;($AM$2-X$5),
      unit_details[Leased Date], "&lt;"&amp;$AM$2,
      unit_details[Beds], $L432,
      unit_details[Baths], $M432,
      unit_details[Partial Baths], IF(ISNUMBER($N432), $N432, ""),
      unit_details[Sqft],$P432,
      unit_details[Property Name], $F432
    )
  ),
"")</f>
        <v>0</v>
      </c>
      <c r="AB432" s="290">
        <f>IF($F432="Total",
SUM(INDEX(AB:AB, ROW()-COUNTIF($F$6:INDEX($F:$F, ROW()-1), $F431)) : INDEX(AB:AB, ROW()-1)),
COUNTIFS(unit_details[Active Listing?],TRUE,
          unit_details[Property Name], $F432,
          unit_details[Beds], $L432,
          unit_details[Baths], $M432,
          unit_details[Partial Baths],IF(ISNUMBER($N432),$N432,""),
          unit_details[Sqft],$P432))</f>
        <v>0</v>
      </c>
      <c r="AC432" s="27" t="str">
        <f t="shared" si="69"/>
        <v/>
      </c>
      <c r="AD432" s="293" t="str">
        <f>IFERROR(IF(AE432="","",IF($F432="Total",
SUMPRODUCT(
   INDEX(AD:AD, ROW()-COUNTIF($F$6:INDEX($F:$F, ROW()-1), $F431)) : INDEX(AD:AD, ROW()-1),
   INDEX(AB:AB, ROW()-COUNTIF($F$6:INDEX($F:$F, ROW()-1), $F431)) : INDEX(AB:AB, ROW()-1)
   )
   /SUM(INDEX(AB:AB, ROW()-COUNTIF($F$6:INDEX($F:$F, ROW()-1), $F431)) : INDEX(AB:AB, ROW()-1)),
          _xlfn.MINIFS(unit_details[Asking Rent],
          unit_details[Active Listing?],TRUE,
          unit_details[Property Name], $F432,
          unit_details[Beds], $L432,
          unit_details[Baths], $M432,
          unit_details[Partial Baths], IF(ISNUMBER($N432),$N432,""),
          unit_details[Sqft],$P432
))),"")</f>
        <v/>
      </c>
      <c r="AE432" s="5" t="str">
        <f>IFERROR(IF($F432="Total",
          SUMPRODUCT(
   INDEX(AE:AE, ROW()-COUNTIF($F$6:INDEX($F:$F, ROW()-1), $F431)) : INDEX(AE:AE, ROW()-1),
   INDEX(AB:AB, ROW()-COUNTIF($F$6:INDEX($F:$F, ROW()-1), $F431)) : INDEX(AB:AB, ROW()-1)
   )
   /SUM(INDEX(AB:AB, ROW()-COUNTIF($F$6:INDEX($F:$F, ROW()-1), $F431)) : INDEX(AB:AB, ROW()-1)),
          AVERAGEIFS(unit_details[Asking Rent],
          unit_details[Active Listing?],TRUE,
          unit_details[Property Name], $F432,
          unit_details[Beds], $L432,
          unit_details[Baths], $M432,
          unit_details[Partial Baths], IF(ISNUMBER($N432),$N432,""),
          unit_details[Sqft],$P432
)),"")</f>
        <v/>
      </c>
      <c r="AF432" s="5" t="str">
        <f>IFERROR(IF(AE432="","",IF($F432="Total",
SUMPRODUCT(
   INDEX(AF:AF, ROW()-COUNTIF($F$6:INDEX($F:$F, ROW()-1), $F431)) : INDEX(AF:AF, ROW()-1),
   INDEX(AB:AB, ROW()-COUNTIF($F$6:INDEX($F:$F, ROW()-1), $F431)) : INDEX(AB:AB, ROW()-1)
   )
   /SUM(INDEX(AB:AB, ROW()-COUNTIF($F$6:INDEX($F:$F, ROW()-1), $F431)) : INDEX(AB:AB, ROW()-1)),
           _xlfn.MAXIFS(unit_details[Asking Rent],
          unit_details[Active Listing?],TRUE,
          unit_details[Property Name], $F432,
          unit_details[Beds], $L432,
          unit_details[Baths], $M432,
          unit_details[Partial Baths], IF(ISNUMBER($N432),$N432,""),
          unit_details[Sqft],$P432
))),"")</f>
        <v/>
      </c>
      <c r="AG432" s="6" t="str">
        <f>IFERROR(IF($F432="Total",
         SUMPRODUCT(
         INDEX(AG:AG, ROW()-COUNTIF($F$6:INDEX($F:$F, ROW()-1), $F431)) : INDEX(AG:AG, ROW()-1),
         INDEX(AB:AB, ROW()-COUNTIF($F$6:INDEX($F:$F, ROW()-1), $F431)) : INDEX(AB:AB, ROW()-1)
         )
         /SUM(INDEX(AB:AB, ROW()-COUNTIF($F$6:INDEX($F:$F, ROW()-1), $F431)) : INDEX(AB:AB, ROW()-1)),
          AVERAGEIFS(unit_details[Asking PSF],
          unit_details[Active Listing?],TRUE,
          unit_details[Property Name], $F432,
          unit_details[Beds], $L432,
          unit_details[Baths], $M432,
          unit_details[Partial Baths], IF(ISNUMBER($N432),$N432,""),
          unit_details[Sqft],$P432
)),"")</f>
        <v/>
      </c>
      <c r="AH432" s="293" t="str">
        <f>IFERROR(IF($F432="Total",
         SUMPRODUCT(
         INDEX(AH:AH, ROW()-COUNTIF($F$6:INDEX($F:$F, ROW()-1), $F431)) : INDEX(AH:AH, ROW()-1),
         INDEX(AB:AB, ROW()-COUNTIF($F$6:INDEX($F:$F, ROW()-1), $F431)) : INDEX(AB:AB, ROW()-1)
         )
         /SUM(INDEX(AB:AB, ROW()-COUNTIF($F$6:INDEX($F:$F, ROW()-1), $F431)) : INDEX(AB:AB, ROW()-1)),
          AVERAGEIFS(unit_details[Effective Rent],
          unit_details[Active Listing?],TRUE,
          unit_details[Property Name], $F432,
          unit_details[Beds], $L432,
          unit_details[Baths], $M432,
          unit_details[Partial Baths], IF(ISNUMBER($N432),$N432,""),
          unit_details[Sqft],$P432
)),"")</f>
        <v/>
      </c>
      <c r="AI432" s="6" t="str">
        <f>IFERROR(IF($F432="Total",
         SUMPRODUCT(
         INDEX(AI:AI, ROW()-COUNTIF($F$6:INDEX($F:$F, ROW()-1), $F431)) : INDEX(AI:AI, ROW()-1),
         INDEX(AB:AB, ROW()-COUNTIF($F$6:INDEX($F:$F, ROW()-1), $F431)) : INDEX(AB:AB, ROW()-1)
         )
         /SUM(INDEX(AB:AB, ROW()-COUNTIF($F$6:INDEX($F:$F, ROW()-1), $F431)) : INDEX(AB:AB, ROW()-1)),
           AVERAGEIFS(unit_details[Effective PSF],
          unit_details[Active Listing?],TRUE,
          unit_details[Property Name], $F432,
          unit_details[Beds], $L432,
          unit_details[Baths], $M432,
          unit_details[Partial Baths], IF(ISNUMBER($N432),$N432,""),
          unit_details[Sqft],$P432
)),"")</f>
        <v/>
      </c>
      <c r="AJ432" s="824" t="str">
        <f t="shared" si="70"/>
        <v/>
      </c>
      <c r="AK432" s="531" t="str">
        <f t="shared" si="71"/>
        <v/>
      </c>
      <c r="AL432" s="714" t="str">
        <f t="shared" si="72"/>
        <v/>
      </c>
      <c r="AM432" s="531" t="str">
        <f t="shared" si="73"/>
        <v/>
      </c>
      <c r="AN432" s="716" t="str">
        <f t="shared" si="74"/>
        <v/>
      </c>
    </row>
    <row r="433" spans="6:40" x14ac:dyDescent="0.2">
      <c r="F433" s="1" t="str">
        <f t="shared" si="67"/>
        <v/>
      </c>
      <c r="G433" s="713" t="str">
        <f t="shared" si="75"/>
        <v/>
      </c>
      <c r="H433" s="17" t="str">
        <f>IFERROR(VLOOKUP($G433,Table1[[Property]:[Exposure %]],4,0),"")</f>
        <v/>
      </c>
      <c r="I433" s="3" t="str">
        <f>IFERROR(VLOOKUP($G433,Table1[[Property]:[Exposure %]],6,0),"")</f>
        <v/>
      </c>
      <c r="J433" s="3" t="str">
        <f>IFERROR(VLOOKUP($G433,Table1[[Property]:[Exposure %]],7,0),"")</f>
        <v/>
      </c>
      <c r="R433" s="4" t="str">
        <f>IFERROR(VLOOKUP(IF(F433="Total",F432,F433),Table1[[Property]:['# Units]],7,0)*S433,"")</f>
        <v/>
      </c>
      <c r="S433" s="27" t="str">
        <f t="shared" si="68"/>
        <v/>
      </c>
      <c r="T433" s="531" t="str">
        <f>IFERROR(
 IF($F433="Total",
   SUMPRODUCT(
   INDEX(T:T, ROW()-COUNTIF($F$6:INDEX($F:$F, ROW()-1), $F432)) : INDEX(T:T, ROW()-1),
   INDEX(W:W, ROW()-COUNTIF($F$6:INDEX($F:$F, ROW()-1), $F432)) : INDEX(W:W, ROW()-1)
   )
   /SUM(INDEX(W:W, ROW()-COUNTIF($F$6:INDEX($F:$F, ROW()-1), $F432)) : INDEX(W:W, ROW()-1)),
   AVERAGEIFS(
     INDEX((unit_details[Asking Rent],unit_details[Asking PSF]),0,1,IF($U$3="Chunk Rent",1,2)),
     unit_details[Leased Date],"&gt;="&amp;($AM$2-T$5),
     unit_details[Leased Date],"&lt;"&amp;$AM$2,
     unit_details[Beds],$L433,
     unit_details[Baths],$M433,
     unit_details[Partial Baths],IF(ISNUMBER($N433),$N433,""),
     unit_details[Sqft],$P433,
     unit_details[Property Name],$F433)
 ),"")</f>
        <v/>
      </c>
      <c r="U433" s="552" t="str">
        <f>IFERROR(
 IF($F433="Total",
   SUMPRODUCT(
   INDEX(U:U, ROW()-COUNTIF($F$6:INDEX($F:$F, ROW()-1), $F432)) : INDEX(U:U, ROW()-1),
   INDEX(W:W, ROW()-COUNTIF($F$6:INDEX($F:$F, ROW()-1), $F432)) : INDEX(W:W, ROW()-1)
   )
   /SUM(INDEX(W:W, ROW()-COUNTIF($F$6:INDEX($F:$F, ROW()-1), $F432)) : INDEX(W:W, ROW()-1)),
   AVERAGEIFS(
     INDEX((unit_details[Effective Rent],unit_details[Effective PSF]),0,1,IF($U$3="Chunk Rent",1,2)),
     unit_details[Leased Date],"&gt;="&amp;($AM$2-T$5),
     unit_details[Leased Date],"&lt;"&amp;$AM$2,
     unit_details[Beds],$L433,
     unit_details[Baths],$M433,
     unit_details[Partial Baths],IF(ISNUMBER($N433),$N433,""),
     unit_details[Sqft],$P433,
     unit_details[Property Name],$F433)
 ),"")</f>
        <v/>
      </c>
      <c r="V433" s="27" t="str">
        <f t="shared" si="76"/>
        <v/>
      </c>
      <c r="W433" s="526">
        <f>IFERROR(
  IF($F433="Total",
    SUM(INDEX(W:W, ROW()-COUNTIF($F$6:INDEX($F:$F, ROW()-1), $F432)) : INDEX(W:W, ROW()-1)),
    COUNTIFS(
      unit_details[Leased Date], "&gt;="&amp;($AM$2-T$5),
      unit_details[Leased Date], "&lt;"&amp;$AM$2,
      unit_details[Beds], $L433,
      unit_details[Baths], $M433,
      unit_details[Partial Baths], IF(ISNUMBER($N433), $N433, ""),
      unit_details[Sqft],$P433,
      unit_details[Property Name], $F433
    )
  ),
"")</f>
        <v>0</v>
      </c>
      <c r="X433" s="531" t="str">
        <f>IFERROR(
 IF($F433="Total",
   SUMPRODUCT(
   INDEX(X:X, ROW()-COUNTIF($F$6:INDEX($F:$F, ROW()-1), $F432)) : INDEX(X:X, ROW()-1),
   INDEX(AA:AA, ROW()-COUNTIF($F$6:INDEX($F:$F, ROW()-1), $F432)) : INDEX(AA:AA, ROW()-1)
   )
   /SUM(INDEX(AA:AA, ROW()-COUNTIF($F$6:INDEX($F:$F, ROW()-1), $F432)) : INDEX(AA:AA, ROW()-1)),
   AVERAGEIFS(
     INDEX((unit_details[Asking Rent],unit_details[Asking PSF]),0,1,IF($U$3="Chunk Rent",1,2)),
     unit_details[Leased Date],"&gt;="&amp;($AM$2-X$5),
     unit_details[Leased Date],"&lt;"&amp;$AM$2,
     unit_details[Beds],$L433,
     unit_details[Baths],$M433,
     unit_details[Partial Baths],IF(ISNUMBER($N433),$N433,""),
     unit_details[Sqft],$P433,
     unit_details[Property Name],$F433)
 ),"")</f>
        <v/>
      </c>
      <c r="Y433" s="552" t="str">
        <f>IFERROR(
 IF($F433="Total",
   SUMPRODUCT(
   INDEX(Y:Y, ROW()-COUNTIF($F$6:INDEX($F:$F, ROW()-1), $F432)) : INDEX(Y:Y, ROW()-1),
   INDEX(AA:AA, ROW()-COUNTIF($F$6:INDEX($F:$F, ROW()-1), $F432)) : INDEX(AA:AA, ROW()-1)
   )
   /SUM(INDEX(AA:AA, ROW()-COUNTIF($F$6:INDEX($F:$F, ROW()-1), $F432)) : INDEX(AA:AA, ROW()-1)),
   AVERAGEIFS(
     INDEX((unit_details[Effective Rent],unit_details[Effective PSF]),0,1,IF($U$3="Chunk Rent",1,2)),
     unit_details[Leased Date],"&gt;="&amp;($AM$2-X$5),
     unit_details[Leased Date],"&lt;"&amp;$AM$2,
     unit_details[Beds],$L433,
     unit_details[Baths],$M433,
     unit_details[Partial Baths],IF(ISNUMBER($N433),$N433,""),
     unit_details[Sqft],$P433,
     unit_details[Property Name],$F433)
 ),"")</f>
        <v/>
      </c>
      <c r="Z433" s="27" t="str">
        <f t="shared" si="77"/>
        <v/>
      </c>
      <c r="AA433" s="526">
        <f>IFERROR(
  IF($F433="Total",
    SUM(INDEX(AA:AA, ROW()-COUNTIF($F$6:INDEX($F:$F, ROW()-1), $F432)) : INDEX(AA:AA, ROW()-1)),
    COUNTIFS(
      unit_details[Leased Date], "&gt;="&amp;($AM$2-X$5),
      unit_details[Leased Date], "&lt;"&amp;$AM$2,
      unit_details[Beds], $L433,
      unit_details[Baths], $M433,
      unit_details[Partial Baths], IF(ISNUMBER($N433), $N433, ""),
      unit_details[Sqft],$P433,
      unit_details[Property Name], $F433
    )
  ),
"")</f>
        <v>0</v>
      </c>
      <c r="AB433" s="290">
        <f>IF($F433="Total",
SUM(INDEX(AB:AB, ROW()-COUNTIF($F$6:INDEX($F:$F, ROW()-1), $F432)) : INDEX(AB:AB, ROW()-1)),
COUNTIFS(unit_details[Active Listing?],TRUE,
          unit_details[Property Name], $F433,
          unit_details[Beds], $L433,
          unit_details[Baths], $M433,
          unit_details[Partial Baths],IF(ISNUMBER($N433),$N433,""),
          unit_details[Sqft],$P433))</f>
        <v>0</v>
      </c>
      <c r="AC433" s="27" t="str">
        <f t="shared" si="69"/>
        <v/>
      </c>
      <c r="AD433" s="293" t="str">
        <f>IFERROR(IF(AE433="","",IF($F433="Total",
SUMPRODUCT(
   INDEX(AD:AD, ROW()-COUNTIF($F$6:INDEX($F:$F, ROW()-1), $F432)) : INDEX(AD:AD, ROW()-1),
   INDEX(AB:AB, ROW()-COUNTIF($F$6:INDEX($F:$F, ROW()-1), $F432)) : INDEX(AB:AB, ROW()-1)
   )
   /SUM(INDEX(AB:AB, ROW()-COUNTIF($F$6:INDEX($F:$F, ROW()-1), $F432)) : INDEX(AB:AB, ROW()-1)),
          _xlfn.MINIFS(unit_details[Asking Rent],
          unit_details[Active Listing?],TRUE,
          unit_details[Property Name], $F433,
          unit_details[Beds], $L433,
          unit_details[Baths], $M433,
          unit_details[Partial Baths], IF(ISNUMBER($N433),$N433,""),
          unit_details[Sqft],$P433
))),"")</f>
        <v/>
      </c>
      <c r="AE433" s="5" t="str">
        <f>IFERROR(IF($F433="Total",
          SUMPRODUCT(
   INDEX(AE:AE, ROW()-COUNTIF($F$6:INDEX($F:$F, ROW()-1), $F432)) : INDEX(AE:AE, ROW()-1),
   INDEX(AB:AB, ROW()-COUNTIF($F$6:INDEX($F:$F, ROW()-1), $F432)) : INDEX(AB:AB, ROW()-1)
   )
   /SUM(INDEX(AB:AB, ROW()-COUNTIF($F$6:INDEX($F:$F, ROW()-1), $F432)) : INDEX(AB:AB, ROW()-1)),
          AVERAGEIFS(unit_details[Asking Rent],
          unit_details[Active Listing?],TRUE,
          unit_details[Property Name], $F433,
          unit_details[Beds], $L433,
          unit_details[Baths], $M433,
          unit_details[Partial Baths], IF(ISNUMBER($N433),$N433,""),
          unit_details[Sqft],$P433
)),"")</f>
        <v/>
      </c>
      <c r="AF433" s="5" t="str">
        <f>IFERROR(IF(AE433="","",IF($F433="Total",
SUMPRODUCT(
   INDEX(AF:AF, ROW()-COUNTIF($F$6:INDEX($F:$F, ROW()-1), $F432)) : INDEX(AF:AF, ROW()-1),
   INDEX(AB:AB, ROW()-COUNTIF($F$6:INDEX($F:$F, ROW()-1), $F432)) : INDEX(AB:AB, ROW()-1)
   )
   /SUM(INDEX(AB:AB, ROW()-COUNTIF($F$6:INDEX($F:$F, ROW()-1), $F432)) : INDEX(AB:AB, ROW()-1)),
           _xlfn.MAXIFS(unit_details[Asking Rent],
          unit_details[Active Listing?],TRUE,
          unit_details[Property Name], $F433,
          unit_details[Beds], $L433,
          unit_details[Baths], $M433,
          unit_details[Partial Baths], IF(ISNUMBER($N433),$N433,""),
          unit_details[Sqft],$P433
))),"")</f>
        <v/>
      </c>
      <c r="AG433" s="6" t="str">
        <f>IFERROR(IF($F433="Total",
         SUMPRODUCT(
         INDEX(AG:AG, ROW()-COUNTIF($F$6:INDEX($F:$F, ROW()-1), $F432)) : INDEX(AG:AG, ROW()-1),
         INDEX(AB:AB, ROW()-COUNTIF($F$6:INDEX($F:$F, ROW()-1), $F432)) : INDEX(AB:AB, ROW()-1)
         )
         /SUM(INDEX(AB:AB, ROW()-COUNTIF($F$6:INDEX($F:$F, ROW()-1), $F432)) : INDEX(AB:AB, ROW()-1)),
          AVERAGEIFS(unit_details[Asking PSF],
          unit_details[Active Listing?],TRUE,
          unit_details[Property Name], $F433,
          unit_details[Beds], $L433,
          unit_details[Baths], $M433,
          unit_details[Partial Baths], IF(ISNUMBER($N433),$N433,""),
          unit_details[Sqft],$P433
)),"")</f>
        <v/>
      </c>
      <c r="AH433" s="293" t="str">
        <f>IFERROR(IF($F433="Total",
         SUMPRODUCT(
         INDEX(AH:AH, ROW()-COUNTIF($F$6:INDEX($F:$F, ROW()-1), $F432)) : INDEX(AH:AH, ROW()-1),
         INDEX(AB:AB, ROW()-COUNTIF($F$6:INDEX($F:$F, ROW()-1), $F432)) : INDEX(AB:AB, ROW()-1)
         )
         /SUM(INDEX(AB:AB, ROW()-COUNTIF($F$6:INDEX($F:$F, ROW()-1), $F432)) : INDEX(AB:AB, ROW()-1)),
          AVERAGEIFS(unit_details[Effective Rent],
          unit_details[Active Listing?],TRUE,
          unit_details[Property Name], $F433,
          unit_details[Beds], $L433,
          unit_details[Baths], $M433,
          unit_details[Partial Baths], IF(ISNUMBER($N433),$N433,""),
          unit_details[Sqft],$P433
)),"")</f>
        <v/>
      </c>
      <c r="AI433" s="6" t="str">
        <f>IFERROR(IF($F433="Total",
         SUMPRODUCT(
         INDEX(AI:AI, ROW()-COUNTIF($F$6:INDEX($F:$F, ROW()-1), $F432)) : INDEX(AI:AI, ROW()-1),
         INDEX(AB:AB, ROW()-COUNTIF($F$6:INDEX($F:$F, ROW()-1), $F432)) : INDEX(AB:AB, ROW()-1)
         )
         /SUM(INDEX(AB:AB, ROW()-COUNTIF($F$6:INDEX($F:$F, ROW()-1), $F432)) : INDEX(AB:AB, ROW()-1)),
           AVERAGEIFS(unit_details[Effective PSF],
          unit_details[Active Listing?],TRUE,
          unit_details[Property Name], $F433,
          unit_details[Beds], $L433,
          unit_details[Baths], $M433,
          unit_details[Partial Baths], IF(ISNUMBER($N433),$N433,""),
          unit_details[Sqft],$P433
)),"")</f>
        <v/>
      </c>
      <c r="AJ433" s="824" t="str">
        <f t="shared" si="70"/>
        <v/>
      </c>
      <c r="AK433" s="531" t="str">
        <f t="shared" si="71"/>
        <v/>
      </c>
      <c r="AL433" s="714" t="str">
        <f t="shared" si="72"/>
        <v/>
      </c>
      <c r="AM433" s="531" t="str">
        <f t="shared" si="73"/>
        <v/>
      </c>
      <c r="AN433" s="716" t="str">
        <f t="shared" si="74"/>
        <v/>
      </c>
    </row>
    <row r="434" spans="6:40" x14ac:dyDescent="0.2">
      <c r="F434" s="1" t="str">
        <f t="shared" si="67"/>
        <v/>
      </c>
      <c r="G434" s="713" t="str">
        <f t="shared" si="75"/>
        <v/>
      </c>
      <c r="H434" s="17" t="str">
        <f>IFERROR(VLOOKUP($G434,Table1[[Property]:[Exposure %]],4,0),"")</f>
        <v/>
      </c>
      <c r="I434" s="3" t="str">
        <f>IFERROR(VLOOKUP($G434,Table1[[Property]:[Exposure %]],6,0),"")</f>
        <v/>
      </c>
      <c r="J434" s="3" t="str">
        <f>IFERROR(VLOOKUP($G434,Table1[[Property]:[Exposure %]],7,0),"")</f>
        <v/>
      </c>
      <c r="R434" s="4" t="str">
        <f>IFERROR(VLOOKUP(IF(F434="Total",F433,F434),Table1[[Property]:['# Units]],7,0)*S434,"")</f>
        <v/>
      </c>
      <c r="S434" s="27" t="str">
        <f t="shared" si="68"/>
        <v/>
      </c>
      <c r="T434" s="531" t="str">
        <f>IFERROR(
 IF($F434="Total",
   SUMPRODUCT(
   INDEX(T:T, ROW()-COUNTIF($F$6:INDEX($F:$F, ROW()-1), $F433)) : INDEX(T:T, ROW()-1),
   INDEX(W:W, ROW()-COUNTIF($F$6:INDEX($F:$F, ROW()-1), $F433)) : INDEX(W:W, ROW()-1)
   )
   /SUM(INDEX(W:W, ROW()-COUNTIF($F$6:INDEX($F:$F, ROW()-1), $F433)) : INDEX(W:W, ROW()-1)),
   AVERAGEIFS(
     INDEX((unit_details[Asking Rent],unit_details[Asking PSF]),0,1,IF($U$3="Chunk Rent",1,2)),
     unit_details[Leased Date],"&gt;="&amp;($AM$2-T$5),
     unit_details[Leased Date],"&lt;"&amp;$AM$2,
     unit_details[Beds],$L434,
     unit_details[Baths],$M434,
     unit_details[Partial Baths],IF(ISNUMBER($N434),$N434,""),
     unit_details[Sqft],$P434,
     unit_details[Property Name],$F434)
 ),"")</f>
        <v/>
      </c>
      <c r="U434" s="552" t="str">
        <f>IFERROR(
 IF($F434="Total",
   SUMPRODUCT(
   INDEX(U:U, ROW()-COUNTIF($F$6:INDEX($F:$F, ROW()-1), $F433)) : INDEX(U:U, ROW()-1),
   INDEX(W:W, ROW()-COUNTIF($F$6:INDEX($F:$F, ROW()-1), $F433)) : INDEX(W:W, ROW()-1)
   )
   /SUM(INDEX(W:W, ROW()-COUNTIF($F$6:INDEX($F:$F, ROW()-1), $F433)) : INDEX(W:W, ROW()-1)),
   AVERAGEIFS(
     INDEX((unit_details[Effective Rent],unit_details[Effective PSF]),0,1,IF($U$3="Chunk Rent",1,2)),
     unit_details[Leased Date],"&gt;="&amp;($AM$2-T$5),
     unit_details[Leased Date],"&lt;"&amp;$AM$2,
     unit_details[Beds],$L434,
     unit_details[Baths],$M434,
     unit_details[Partial Baths],IF(ISNUMBER($N434),$N434,""),
     unit_details[Sqft],$P434,
     unit_details[Property Name],$F434)
 ),"")</f>
        <v/>
      </c>
      <c r="V434" s="27" t="str">
        <f t="shared" si="76"/>
        <v/>
      </c>
      <c r="W434" s="526">
        <f>IFERROR(
  IF($F434="Total",
    SUM(INDEX(W:W, ROW()-COUNTIF($F$6:INDEX($F:$F, ROW()-1), $F433)) : INDEX(W:W, ROW()-1)),
    COUNTIFS(
      unit_details[Leased Date], "&gt;="&amp;($AM$2-T$5),
      unit_details[Leased Date], "&lt;"&amp;$AM$2,
      unit_details[Beds], $L434,
      unit_details[Baths], $M434,
      unit_details[Partial Baths], IF(ISNUMBER($N434), $N434, ""),
      unit_details[Sqft],$P434,
      unit_details[Property Name], $F434
    )
  ),
"")</f>
        <v>0</v>
      </c>
      <c r="X434" s="531" t="str">
        <f>IFERROR(
 IF($F434="Total",
   SUMPRODUCT(
   INDEX(X:X, ROW()-COUNTIF($F$6:INDEX($F:$F, ROW()-1), $F433)) : INDEX(X:X, ROW()-1),
   INDEX(AA:AA, ROW()-COUNTIF($F$6:INDEX($F:$F, ROW()-1), $F433)) : INDEX(AA:AA, ROW()-1)
   )
   /SUM(INDEX(AA:AA, ROW()-COUNTIF($F$6:INDEX($F:$F, ROW()-1), $F433)) : INDEX(AA:AA, ROW()-1)),
   AVERAGEIFS(
     INDEX((unit_details[Asking Rent],unit_details[Asking PSF]),0,1,IF($U$3="Chunk Rent",1,2)),
     unit_details[Leased Date],"&gt;="&amp;($AM$2-X$5),
     unit_details[Leased Date],"&lt;"&amp;$AM$2,
     unit_details[Beds],$L434,
     unit_details[Baths],$M434,
     unit_details[Partial Baths],IF(ISNUMBER($N434),$N434,""),
     unit_details[Sqft],$P434,
     unit_details[Property Name],$F434)
 ),"")</f>
        <v/>
      </c>
      <c r="Y434" s="552" t="str">
        <f>IFERROR(
 IF($F434="Total",
   SUMPRODUCT(
   INDEX(Y:Y, ROW()-COUNTIF($F$6:INDEX($F:$F, ROW()-1), $F433)) : INDEX(Y:Y, ROW()-1),
   INDEX(AA:AA, ROW()-COUNTIF($F$6:INDEX($F:$F, ROW()-1), $F433)) : INDEX(AA:AA, ROW()-1)
   )
   /SUM(INDEX(AA:AA, ROW()-COUNTIF($F$6:INDEX($F:$F, ROW()-1), $F433)) : INDEX(AA:AA, ROW()-1)),
   AVERAGEIFS(
     INDEX((unit_details[Effective Rent],unit_details[Effective PSF]),0,1,IF($U$3="Chunk Rent",1,2)),
     unit_details[Leased Date],"&gt;="&amp;($AM$2-X$5),
     unit_details[Leased Date],"&lt;"&amp;$AM$2,
     unit_details[Beds],$L434,
     unit_details[Baths],$M434,
     unit_details[Partial Baths],IF(ISNUMBER($N434),$N434,""),
     unit_details[Sqft],$P434,
     unit_details[Property Name],$F434)
 ),"")</f>
        <v/>
      </c>
      <c r="Z434" s="27" t="str">
        <f t="shared" si="77"/>
        <v/>
      </c>
      <c r="AA434" s="526">
        <f>IFERROR(
  IF($F434="Total",
    SUM(INDEX(AA:AA, ROW()-COUNTIF($F$6:INDEX($F:$F, ROW()-1), $F433)) : INDEX(AA:AA, ROW()-1)),
    COUNTIFS(
      unit_details[Leased Date], "&gt;="&amp;($AM$2-X$5),
      unit_details[Leased Date], "&lt;"&amp;$AM$2,
      unit_details[Beds], $L434,
      unit_details[Baths], $M434,
      unit_details[Partial Baths], IF(ISNUMBER($N434), $N434, ""),
      unit_details[Sqft],$P434,
      unit_details[Property Name], $F434
    )
  ),
"")</f>
        <v>0</v>
      </c>
      <c r="AB434" s="290">
        <f>IF($F434="Total",
SUM(INDEX(AB:AB, ROW()-COUNTIF($F$6:INDEX($F:$F, ROW()-1), $F433)) : INDEX(AB:AB, ROW()-1)),
COUNTIFS(unit_details[Active Listing?],TRUE,
          unit_details[Property Name], $F434,
          unit_details[Beds], $L434,
          unit_details[Baths], $M434,
          unit_details[Partial Baths],IF(ISNUMBER($N434),$N434,""),
          unit_details[Sqft],$P434))</f>
        <v>0</v>
      </c>
      <c r="AC434" s="27" t="str">
        <f t="shared" si="69"/>
        <v/>
      </c>
      <c r="AD434" s="293" t="str">
        <f>IFERROR(IF(AE434="","",IF($F434="Total",
SUMPRODUCT(
   INDEX(AD:AD, ROW()-COUNTIF($F$6:INDEX($F:$F, ROW()-1), $F433)) : INDEX(AD:AD, ROW()-1),
   INDEX(AB:AB, ROW()-COUNTIF($F$6:INDEX($F:$F, ROW()-1), $F433)) : INDEX(AB:AB, ROW()-1)
   )
   /SUM(INDEX(AB:AB, ROW()-COUNTIF($F$6:INDEX($F:$F, ROW()-1), $F433)) : INDEX(AB:AB, ROW()-1)),
          _xlfn.MINIFS(unit_details[Asking Rent],
          unit_details[Active Listing?],TRUE,
          unit_details[Property Name], $F434,
          unit_details[Beds], $L434,
          unit_details[Baths], $M434,
          unit_details[Partial Baths], IF(ISNUMBER($N434),$N434,""),
          unit_details[Sqft],$P434
))),"")</f>
        <v/>
      </c>
      <c r="AE434" s="5" t="str">
        <f>IFERROR(IF($F434="Total",
          SUMPRODUCT(
   INDEX(AE:AE, ROW()-COUNTIF($F$6:INDEX($F:$F, ROW()-1), $F433)) : INDEX(AE:AE, ROW()-1),
   INDEX(AB:AB, ROW()-COUNTIF($F$6:INDEX($F:$F, ROW()-1), $F433)) : INDEX(AB:AB, ROW()-1)
   )
   /SUM(INDEX(AB:AB, ROW()-COUNTIF($F$6:INDEX($F:$F, ROW()-1), $F433)) : INDEX(AB:AB, ROW()-1)),
          AVERAGEIFS(unit_details[Asking Rent],
          unit_details[Active Listing?],TRUE,
          unit_details[Property Name], $F434,
          unit_details[Beds], $L434,
          unit_details[Baths], $M434,
          unit_details[Partial Baths], IF(ISNUMBER($N434),$N434,""),
          unit_details[Sqft],$P434
)),"")</f>
        <v/>
      </c>
      <c r="AF434" s="5" t="str">
        <f>IFERROR(IF(AE434="","",IF($F434="Total",
SUMPRODUCT(
   INDEX(AF:AF, ROW()-COUNTIF($F$6:INDEX($F:$F, ROW()-1), $F433)) : INDEX(AF:AF, ROW()-1),
   INDEX(AB:AB, ROW()-COUNTIF($F$6:INDEX($F:$F, ROW()-1), $F433)) : INDEX(AB:AB, ROW()-1)
   )
   /SUM(INDEX(AB:AB, ROW()-COUNTIF($F$6:INDEX($F:$F, ROW()-1), $F433)) : INDEX(AB:AB, ROW()-1)),
           _xlfn.MAXIFS(unit_details[Asking Rent],
          unit_details[Active Listing?],TRUE,
          unit_details[Property Name], $F434,
          unit_details[Beds], $L434,
          unit_details[Baths], $M434,
          unit_details[Partial Baths], IF(ISNUMBER($N434),$N434,""),
          unit_details[Sqft],$P434
))),"")</f>
        <v/>
      </c>
      <c r="AG434" s="6" t="str">
        <f>IFERROR(IF($F434="Total",
         SUMPRODUCT(
         INDEX(AG:AG, ROW()-COUNTIF($F$6:INDEX($F:$F, ROW()-1), $F433)) : INDEX(AG:AG, ROW()-1),
         INDEX(AB:AB, ROW()-COUNTIF($F$6:INDEX($F:$F, ROW()-1), $F433)) : INDEX(AB:AB, ROW()-1)
         )
         /SUM(INDEX(AB:AB, ROW()-COUNTIF($F$6:INDEX($F:$F, ROW()-1), $F433)) : INDEX(AB:AB, ROW()-1)),
          AVERAGEIFS(unit_details[Asking PSF],
          unit_details[Active Listing?],TRUE,
          unit_details[Property Name], $F434,
          unit_details[Beds], $L434,
          unit_details[Baths], $M434,
          unit_details[Partial Baths], IF(ISNUMBER($N434),$N434,""),
          unit_details[Sqft],$P434
)),"")</f>
        <v/>
      </c>
      <c r="AH434" s="293" t="str">
        <f>IFERROR(IF($F434="Total",
         SUMPRODUCT(
         INDEX(AH:AH, ROW()-COUNTIF($F$6:INDEX($F:$F, ROW()-1), $F433)) : INDEX(AH:AH, ROW()-1),
         INDEX(AB:AB, ROW()-COUNTIF($F$6:INDEX($F:$F, ROW()-1), $F433)) : INDEX(AB:AB, ROW()-1)
         )
         /SUM(INDEX(AB:AB, ROW()-COUNTIF($F$6:INDEX($F:$F, ROW()-1), $F433)) : INDEX(AB:AB, ROW()-1)),
          AVERAGEIFS(unit_details[Effective Rent],
          unit_details[Active Listing?],TRUE,
          unit_details[Property Name], $F434,
          unit_details[Beds], $L434,
          unit_details[Baths], $M434,
          unit_details[Partial Baths], IF(ISNUMBER($N434),$N434,""),
          unit_details[Sqft],$P434
)),"")</f>
        <v/>
      </c>
      <c r="AI434" s="6" t="str">
        <f>IFERROR(IF($F434="Total",
         SUMPRODUCT(
         INDEX(AI:AI, ROW()-COUNTIF($F$6:INDEX($F:$F, ROW()-1), $F433)) : INDEX(AI:AI, ROW()-1),
         INDEX(AB:AB, ROW()-COUNTIF($F$6:INDEX($F:$F, ROW()-1), $F433)) : INDEX(AB:AB, ROW()-1)
         )
         /SUM(INDEX(AB:AB, ROW()-COUNTIF($F$6:INDEX($F:$F, ROW()-1), $F433)) : INDEX(AB:AB, ROW()-1)),
           AVERAGEIFS(unit_details[Effective PSF],
          unit_details[Active Listing?],TRUE,
          unit_details[Property Name], $F434,
          unit_details[Beds], $L434,
          unit_details[Baths], $M434,
          unit_details[Partial Baths], IF(ISNUMBER($N434),$N434,""),
          unit_details[Sqft],$P434
)),"")</f>
        <v/>
      </c>
      <c r="AJ434" s="824" t="str">
        <f t="shared" si="70"/>
        <v/>
      </c>
      <c r="AK434" s="531" t="str">
        <f t="shared" si="71"/>
        <v/>
      </c>
      <c r="AL434" s="714" t="str">
        <f t="shared" si="72"/>
        <v/>
      </c>
      <c r="AM434" s="531" t="str">
        <f t="shared" si="73"/>
        <v/>
      </c>
      <c r="AN434" s="716" t="str">
        <f t="shared" si="74"/>
        <v/>
      </c>
    </row>
    <row r="435" spans="6:40" x14ac:dyDescent="0.2">
      <c r="F435" s="1" t="str">
        <f t="shared" si="67"/>
        <v/>
      </c>
      <c r="G435" s="713" t="str">
        <f t="shared" si="75"/>
        <v/>
      </c>
      <c r="H435" s="17" t="str">
        <f>IFERROR(VLOOKUP($G435,Table1[[Property]:[Exposure %]],4,0),"")</f>
        <v/>
      </c>
      <c r="I435" s="3" t="str">
        <f>IFERROR(VLOOKUP($G435,Table1[[Property]:[Exposure %]],6,0),"")</f>
        <v/>
      </c>
      <c r="J435" s="3" t="str">
        <f>IFERROR(VLOOKUP($G435,Table1[[Property]:[Exposure %]],7,0),"")</f>
        <v/>
      </c>
      <c r="R435" s="4" t="str">
        <f>IFERROR(VLOOKUP(IF(F435="Total",F434,F435),Table1[[Property]:['# Units]],7,0)*S435,"")</f>
        <v/>
      </c>
      <c r="S435" s="27" t="str">
        <f t="shared" si="68"/>
        <v/>
      </c>
      <c r="T435" s="531" t="str">
        <f>IFERROR(
 IF($F435="Total",
   SUMPRODUCT(
   INDEX(T:T, ROW()-COUNTIF($F$6:INDEX($F:$F, ROW()-1), $F434)) : INDEX(T:T, ROW()-1),
   INDEX(W:W, ROW()-COUNTIF($F$6:INDEX($F:$F, ROW()-1), $F434)) : INDEX(W:W, ROW()-1)
   )
   /SUM(INDEX(W:W, ROW()-COUNTIF($F$6:INDEX($F:$F, ROW()-1), $F434)) : INDEX(W:W, ROW()-1)),
   AVERAGEIFS(
     INDEX((unit_details[Asking Rent],unit_details[Asking PSF]),0,1,IF($U$3="Chunk Rent",1,2)),
     unit_details[Leased Date],"&gt;="&amp;($AM$2-T$5),
     unit_details[Leased Date],"&lt;"&amp;$AM$2,
     unit_details[Beds],$L435,
     unit_details[Baths],$M435,
     unit_details[Partial Baths],IF(ISNUMBER($N435),$N435,""),
     unit_details[Sqft],$P435,
     unit_details[Property Name],$F435)
 ),"")</f>
        <v/>
      </c>
      <c r="U435" s="552" t="str">
        <f>IFERROR(
 IF($F435="Total",
   SUMPRODUCT(
   INDEX(U:U, ROW()-COUNTIF($F$6:INDEX($F:$F, ROW()-1), $F434)) : INDEX(U:U, ROW()-1),
   INDEX(W:W, ROW()-COUNTIF($F$6:INDEX($F:$F, ROW()-1), $F434)) : INDEX(W:W, ROW()-1)
   )
   /SUM(INDEX(W:W, ROW()-COUNTIF($F$6:INDEX($F:$F, ROW()-1), $F434)) : INDEX(W:W, ROW()-1)),
   AVERAGEIFS(
     INDEX((unit_details[Effective Rent],unit_details[Effective PSF]),0,1,IF($U$3="Chunk Rent",1,2)),
     unit_details[Leased Date],"&gt;="&amp;($AM$2-T$5),
     unit_details[Leased Date],"&lt;"&amp;$AM$2,
     unit_details[Beds],$L435,
     unit_details[Baths],$M435,
     unit_details[Partial Baths],IF(ISNUMBER($N435),$N435,""),
     unit_details[Sqft],$P435,
     unit_details[Property Name],$F435)
 ),"")</f>
        <v/>
      </c>
      <c r="V435" s="27" t="str">
        <f t="shared" si="76"/>
        <v/>
      </c>
      <c r="W435" s="526">
        <f>IFERROR(
  IF($F435="Total",
    SUM(INDEX(W:W, ROW()-COUNTIF($F$6:INDEX($F:$F, ROW()-1), $F434)) : INDEX(W:W, ROW()-1)),
    COUNTIFS(
      unit_details[Leased Date], "&gt;="&amp;($AM$2-T$5),
      unit_details[Leased Date], "&lt;"&amp;$AM$2,
      unit_details[Beds], $L435,
      unit_details[Baths], $M435,
      unit_details[Partial Baths], IF(ISNUMBER($N435), $N435, ""),
      unit_details[Sqft],$P435,
      unit_details[Property Name], $F435
    )
  ),
"")</f>
        <v>0</v>
      </c>
      <c r="X435" s="531" t="str">
        <f>IFERROR(
 IF($F435="Total",
   SUMPRODUCT(
   INDEX(X:X, ROW()-COUNTIF($F$6:INDEX($F:$F, ROW()-1), $F434)) : INDEX(X:X, ROW()-1),
   INDEX(AA:AA, ROW()-COUNTIF($F$6:INDEX($F:$F, ROW()-1), $F434)) : INDEX(AA:AA, ROW()-1)
   )
   /SUM(INDEX(AA:AA, ROW()-COUNTIF($F$6:INDEX($F:$F, ROW()-1), $F434)) : INDEX(AA:AA, ROW()-1)),
   AVERAGEIFS(
     INDEX((unit_details[Asking Rent],unit_details[Asking PSF]),0,1,IF($U$3="Chunk Rent",1,2)),
     unit_details[Leased Date],"&gt;="&amp;($AM$2-X$5),
     unit_details[Leased Date],"&lt;"&amp;$AM$2,
     unit_details[Beds],$L435,
     unit_details[Baths],$M435,
     unit_details[Partial Baths],IF(ISNUMBER($N435),$N435,""),
     unit_details[Sqft],$P435,
     unit_details[Property Name],$F435)
 ),"")</f>
        <v/>
      </c>
      <c r="Y435" s="552" t="str">
        <f>IFERROR(
 IF($F435="Total",
   SUMPRODUCT(
   INDEX(Y:Y, ROW()-COUNTIF($F$6:INDEX($F:$F, ROW()-1), $F434)) : INDEX(Y:Y, ROW()-1),
   INDEX(AA:AA, ROW()-COUNTIF($F$6:INDEX($F:$F, ROW()-1), $F434)) : INDEX(AA:AA, ROW()-1)
   )
   /SUM(INDEX(AA:AA, ROW()-COUNTIF($F$6:INDEX($F:$F, ROW()-1), $F434)) : INDEX(AA:AA, ROW()-1)),
   AVERAGEIFS(
     INDEX((unit_details[Effective Rent],unit_details[Effective PSF]),0,1,IF($U$3="Chunk Rent",1,2)),
     unit_details[Leased Date],"&gt;="&amp;($AM$2-X$5),
     unit_details[Leased Date],"&lt;"&amp;$AM$2,
     unit_details[Beds],$L435,
     unit_details[Baths],$M435,
     unit_details[Partial Baths],IF(ISNUMBER($N435),$N435,""),
     unit_details[Sqft],$P435,
     unit_details[Property Name],$F435)
 ),"")</f>
        <v/>
      </c>
      <c r="Z435" s="27" t="str">
        <f t="shared" si="77"/>
        <v/>
      </c>
      <c r="AA435" s="526">
        <f>IFERROR(
  IF($F435="Total",
    SUM(INDEX(AA:AA, ROW()-COUNTIF($F$6:INDEX($F:$F, ROW()-1), $F434)) : INDEX(AA:AA, ROW()-1)),
    COUNTIFS(
      unit_details[Leased Date], "&gt;="&amp;($AM$2-X$5),
      unit_details[Leased Date], "&lt;"&amp;$AM$2,
      unit_details[Beds], $L435,
      unit_details[Baths], $M435,
      unit_details[Partial Baths], IF(ISNUMBER($N435), $N435, ""),
      unit_details[Sqft],$P435,
      unit_details[Property Name], $F435
    )
  ),
"")</f>
        <v>0</v>
      </c>
      <c r="AB435" s="290">
        <f>IF($F435="Total",
SUM(INDEX(AB:AB, ROW()-COUNTIF($F$6:INDEX($F:$F, ROW()-1), $F434)) : INDEX(AB:AB, ROW()-1)),
COUNTIFS(unit_details[Active Listing?],TRUE,
          unit_details[Property Name], $F435,
          unit_details[Beds], $L435,
          unit_details[Baths], $M435,
          unit_details[Partial Baths],IF(ISNUMBER($N435),$N435,""),
          unit_details[Sqft],$P435))</f>
        <v>0</v>
      </c>
      <c r="AC435" s="27" t="str">
        <f t="shared" si="69"/>
        <v/>
      </c>
      <c r="AD435" s="293" t="str">
        <f>IFERROR(IF(AE435="","",IF($F435="Total",
SUMPRODUCT(
   INDEX(AD:AD, ROW()-COUNTIF($F$6:INDEX($F:$F, ROW()-1), $F434)) : INDEX(AD:AD, ROW()-1),
   INDEX(AB:AB, ROW()-COUNTIF($F$6:INDEX($F:$F, ROW()-1), $F434)) : INDEX(AB:AB, ROW()-1)
   )
   /SUM(INDEX(AB:AB, ROW()-COUNTIF($F$6:INDEX($F:$F, ROW()-1), $F434)) : INDEX(AB:AB, ROW()-1)),
          _xlfn.MINIFS(unit_details[Asking Rent],
          unit_details[Active Listing?],TRUE,
          unit_details[Property Name], $F435,
          unit_details[Beds], $L435,
          unit_details[Baths], $M435,
          unit_details[Partial Baths], IF(ISNUMBER($N435),$N435,""),
          unit_details[Sqft],$P435
))),"")</f>
        <v/>
      </c>
      <c r="AE435" s="5" t="str">
        <f>IFERROR(IF($F435="Total",
          SUMPRODUCT(
   INDEX(AE:AE, ROW()-COUNTIF($F$6:INDEX($F:$F, ROW()-1), $F434)) : INDEX(AE:AE, ROW()-1),
   INDEX(AB:AB, ROW()-COUNTIF($F$6:INDEX($F:$F, ROW()-1), $F434)) : INDEX(AB:AB, ROW()-1)
   )
   /SUM(INDEX(AB:AB, ROW()-COUNTIF($F$6:INDEX($F:$F, ROW()-1), $F434)) : INDEX(AB:AB, ROW()-1)),
          AVERAGEIFS(unit_details[Asking Rent],
          unit_details[Active Listing?],TRUE,
          unit_details[Property Name], $F435,
          unit_details[Beds], $L435,
          unit_details[Baths], $M435,
          unit_details[Partial Baths], IF(ISNUMBER($N435),$N435,""),
          unit_details[Sqft],$P435
)),"")</f>
        <v/>
      </c>
      <c r="AF435" s="5" t="str">
        <f>IFERROR(IF(AE435="","",IF($F435="Total",
SUMPRODUCT(
   INDEX(AF:AF, ROW()-COUNTIF($F$6:INDEX($F:$F, ROW()-1), $F434)) : INDEX(AF:AF, ROW()-1),
   INDEX(AB:AB, ROW()-COUNTIF($F$6:INDEX($F:$F, ROW()-1), $F434)) : INDEX(AB:AB, ROW()-1)
   )
   /SUM(INDEX(AB:AB, ROW()-COUNTIF($F$6:INDEX($F:$F, ROW()-1), $F434)) : INDEX(AB:AB, ROW()-1)),
           _xlfn.MAXIFS(unit_details[Asking Rent],
          unit_details[Active Listing?],TRUE,
          unit_details[Property Name], $F435,
          unit_details[Beds], $L435,
          unit_details[Baths], $M435,
          unit_details[Partial Baths], IF(ISNUMBER($N435),$N435,""),
          unit_details[Sqft],$P435
))),"")</f>
        <v/>
      </c>
      <c r="AG435" s="6" t="str">
        <f>IFERROR(IF($F435="Total",
         SUMPRODUCT(
         INDEX(AG:AG, ROW()-COUNTIF($F$6:INDEX($F:$F, ROW()-1), $F434)) : INDEX(AG:AG, ROW()-1),
         INDEX(AB:AB, ROW()-COUNTIF($F$6:INDEX($F:$F, ROW()-1), $F434)) : INDEX(AB:AB, ROW()-1)
         )
         /SUM(INDEX(AB:AB, ROW()-COUNTIF($F$6:INDEX($F:$F, ROW()-1), $F434)) : INDEX(AB:AB, ROW()-1)),
          AVERAGEIFS(unit_details[Asking PSF],
          unit_details[Active Listing?],TRUE,
          unit_details[Property Name], $F435,
          unit_details[Beds], $L435,
          unit_details[Baths], $M435,
          unit_details[Partial Baths], IF(ISNUMBER($N435),$N435,""),
          unit_details[Sqft],$P435
)),"")</f>
        <v/>
      </c>
      <c r="AH435" s="293" t="str">
        <f>IFERROR(IF($F435="Total",
         SUMPRODUCT(
         INDEX(AH:AH, ROW()-COUNTIF($F$6:INDEX($F:$F, ROW()-1), $F434)) : INDEX(AH:AH, ROW()-1),
         INDEX(AB:AB, ROW()-COUNTIF($F$6:INDEX($F:$F, ROW()-1), $F434)) : INDEX(AB:AB, ROW()-1)
         )
         /SUM(INDEX(AB:AB, ROW()-COUNTIF($F$6:INDEX($F:$F, ROW()-1), $F434)) : INDEX(AB:AB, ROW()-1)),
          AVERAGEIFS(unit_details[Effective Rent],
          unit_details[Active Listing?],TRUE,
          unit_details[Property Name], $F435,
          unit_details[Beds], $L435,
          unit_details[Baths], $M435,
          unit_details[Partial Baths], IF(ISNUMBER($N435),$N435,""),
          unit_details[Sqft],$P435
)),"")</f>
        <v/>
      </c>
      <c r="AI435" s="6" t="str">
        <f>IFERROR(IF($F435="Total",
         SUMPRODUCT(
         INDEX(AI:AI, ROW()-COUNTIF($F$6:INDEX($F:$F, ROW()-1), $F434)) : INDEX(AI:AI, ROW()-1),
         INDEX(AB:AB, ROW()-COUNTIF($F$6:INDEX($F:$F, ROW()-1), $F434)) : INDEX(AB:AB, ROW()-1)
         )
         /SUM(INDEX(AB:AB, ROW()-COUNTIF($F$6:INDEX($F:$F, ROW()-1), $F434)) : INDEX(AB:AB, ROW()-1)),
           AVERAGEIFS(unit_details[Effective PSF],
          unit_details[Active Listing?],TRUE,
          unit_details[Property Name], $F435,
          unit_details[Beds], $L435,
          unit_details[Baths], $M435,
          unit_details[Partial Baths], IF(ISNUMBER($N435),$N435,""),
          unit_details[Sqft],$P435
)),"")</f>
        <v/>
      </c>
      <c r="AJ435" s="824" t="str">
        <f t="shared" si="70"/>
        <v/>
      </c>
      <c r="AK435" s="531" t="str">
        <f t="shared" si="71"/>
        <v/>
      </c>
      <c r="AL435" s="714" t="str">
        <f t="shared" si="72"/>
        <v/>
      </c>
      <c r="AM435" s="531" t="str">
        <f t="shared" si="73"/>
        <v/>
      </c>
      <c r="AN435" s="716" t="str">
        <f t="shared" si="74"/>
        <v/>
      </c>
    </row>
    <row r="436" spans="6:40" x14ac:dyDescent="0.2">
      <c r="F436" s="1" t="str">
        <f t="shared" si="67"/>
        <v/>
      </c>
      <c r="G436" s="713" t="str">
        <f t="shared" si="75"/>
        <v/>
      </c>
      <c r="H436" s="17" t="str">
        <f>IFERROR(VLOOKUP($G436,Table1[[Property]:[Exposure %]],4,0),"")</f>
        <v/>
      </c>
      <c r="I436" s="3" t="str">
        <f>IFERROR(VLOOKUP($G436,Table1[[Property]:[Exposure %]],6,0),"")</f>
        <v/>
      </c>
      <c r="J436" s="3" t="str">
        <f>IFERROR(VLOOKUP($G436,Table1[[Property]:[Exposure %]],7,0),"")</f>
        <v/>
      </c>
      <c r="R436" s="4" t="str">
        <f>IFERROR(VLOOKUP(IF(F436="Total",F435,F436),Table1[[Property]:['# Units]],7,0)*S436,"")</f>
        <v/>
      </c>
      <c r="S436" s="27" t="str">
        <f t="shared" si="68"/>
        <v/>
      </c>
      <c r="T436" s="531" t="str">
        <f>IFERROR(
 IF($F436="Total",
   SUMPRODUCT(
   INDEX(T:T, ROW()-COUNTIF($F$6:INDEX($F:$F, ROW()-1), $F435)) : INDEX(T:T, ROW()-1),
   INDEX(W:W, ROW()-COUNTIF($F$6:INDEX($F:$F, ROW()-1), $F435)) : INDEX(W:W, ROW()-1)
   )
   /SUM(INDEX(W:W, ROW()-COUNTIF($F$6:INDEX($F:$F, ROW()-1), $F435)) : INDEX(W:W, ROW()-1)),
   AVERAGEIFS(
     INDEX((unit_details[Asking Rent],unit_details[Asking PSF]),0,1,IF($U$3="Chunk Rent",1,2)),
     unit_details[Leased Date],"&gt;="&amp;($AM$2-T$5),
     unit_details[Leased Date],"&lt;"&amp;$AM$2,
     unit_details[Beds],$L436,
     unit_details[Baths],$M436,
     unit_details[Partial Baths],IF(ISNUMBER($N436),$N436,""),
     unit_details[Sqft],$P436,
     unit_details[Property Name],$F436)
 ),"")</f>
        <v/>
      </c>
      <c r="U436" s="552" t="str">
        <f>IFERROR(
 IF($F436="Total",
   SUMPRODUCT(
   INDEX(U:U, ROW()-COUNTIF($F$6:INDEX($F:$F, ROW()-1), $F435)) : INDEX(U:U, ROW()-1),
   INDEX(W:W, ROW()-COUNTIF($F$6:INDEX($F:$F, ROW()-1), $F435)) : INDEX(W:W, ROW()-1)
   )
   /SUM(INDEX(W:W, ROW()-COUNTIF($F$6:INDEX($F:$F, ROW()-1), $F435)) : INDEX(W:W, ROW()-1)),
   AVERAGEIFS(
     INDEX((unit_details[Effective Rent],unit_details[Effective PSF]),0,1,IF($U$3="Chunk Rent",1,2)),
     unit_details[Leased Date],"&gt;="&amp;($AM$2-T$5),
     unit_details[Leased Date],"&lt;"&amp;$AM$2,
     unit_details[Beds],$L436,
     unit_details[Baths],$M436,
     unit_details[Partial Baths],IF(ISNUMBER($N436),$N436,""),
     unit_details[Sqft],$P436,
     unit_details[Property Name],$F436)
 ),"")</f>
        <v/>
      </c>
      <c r="V436" s="27" t="str">
        <f t="shared" si="76"/>
        <v/>
      </c>
      <c r="W436" s="526">
        <f>IFERROR(
  IF($F436="Total",
    SUM(INDEX(W:W, ROW()-COUNTIF($F$6:INDEX($F:$F, ROW()-1), $F435)) : INDEX(W:W, ROW()-1)),
    COUNTIFS(
      unit_details[Leased Date], "&gt;="&amp;($AM$2-T$5),
      unit_details[Leased Date], "&lt;"&amp;$AM$2,
      unit_details[Beds], $L436,
      unit_details[Baths], $M436,
      unit_details[Partial Baths], IF(ISNUMBER($N436), $N436, ""),
      unit_details[Sqft],$P436,
      unit_details[Property Name], $F436
    )
  ),
"")</f>
        <v>0</v>
      </c>
      <c r="X436" s="531" t="str">
        <f>IFERROR(
 IF($F436="Total",
   SUMPRODUCT(
   INDEX(X:X, ROW()-COUNTIF($F$6:INDEX($F:$F, ROW()-1), $F435)) : INDEX(X:X, ROW()-1),
   INDEX(AA:AA, ROW()-COUNTIF($F$6:INDEX($F:$F, ROW()-1), $F435)) : INDEX(AA:AA, ROW()-1)
   )
   /SUM(INDEX(AA:AA, ROW()-COUNTIF($F$6:INDEX($F:$F, ROW()-1), $F435)) : INDEX(AA:AA, ROW()-1)),
   AVERAGEIFS(
     INDEX((unit_details[Asking Rent],unit_details[Asking PSF]),0,1,IF($U$3="Chunk Rent",1,2)),
     unit_details[Leased Date],"&gt;="&amp;($AM$2-X$5),
     unit_details[Leased Date],"&lt;"&amp;$AM$2,
     unit_details[Beds],$L436,
     unit_details[Baths],$M436,
     unit_details[Partial Baths],IF(ISNUMBER($N436),$N436,""),
     unit_details[Sqft],$P436,
     unit_details[Property Name],$F436)
 ),"")</f>
        <v/>
      </c>
      <c r="Y436" s="552" t="str">
        <f>IFERROR(
 IF($F436="Total",
   SUMPRODUCT(
   INDEX(Y:Y, ROW()-COUNTIF($F$6:INDEX($F:$F, ROW()-1), $F435)) : INDEX(Y:Y, ROW()-1),
   INDEX(AA:AA, ROW()-COUNTIF($F$6:INDEX($F:$F, ROW()-1), $F435)) : INDEX(AA:AA, ROW()-1)
   )
   /SUM(INDEX(AA:AA, ROW()-COUNTIF($F$6:INDEX($F:$F, ROW()-1), $F435)) : INDEX(AA:AA, ROW()-1)),
   AVERAGEIFS(
     INDEX((unit_details[Effective Rent],unit_details[Effective PSF]),0,1,IF($U$3="Chunk Rent",1,2)),
     unit_details[Leased Date],"&gt;="&amp;($AM$2-X$5),
     unit_details[Leased Date],"&lt;"&amp;$AM$2,
     unit_details[Beds],$L436,
     unit_details[Baths],$M436,
     unit_details[Partial Baths],IF(ISNUMBER($N436),$N436,""),
     unit_details[Sqft],$P436,
     unit_details[Property Name],$F436)
 ),"")</f>
        <v/>
      </c>
      <c r="Z436" s="27" t="str">
        <f t="shared" si="77"/>
        <v/>
      </c>
      <c r="AA436" s="526">
        <f>IFERROR(
  IF($F436="Total",
    SUM(INDEX(AA:AA, ROW()-COUNTIF($F$6:INDEX($F:$F, ROW()-1), $F435)) : INDEX(AA:AA, ROW()-1)),
    COUNTIFS(
      unit_details[Leased Date], "&gt;="&amp;($AM$2-X$5),
      unit_details[Leased Date], "&lt;"&amp;$AM$2,
      unit_details[Beds], $L436,
      unit_details[Baths], $M436,
      unit_details[Partial Baths], IF(ISNUMBER($N436), $N436, ""),
      unit_details[Sqft],$P436,
      unit_details[Property Name], $F436
    )
  ),
"")</f>
        <v>0</v>
      </c>
      <c r="AB436" s="290">
        <f>IF($F436="Total",
SUM(INDEX(AB:AB, ROW()-COUNTIF($F$6:INDEX($F:$F, ROW()-1), $F435)) : INDEX(AB:AB, ROW()-1)),
COUNTIFS(unit_details[Active Listing?],TRUE,
          unit_details[Property Name], $F436,
          unit_details[Beds], $L436,
          unit_details[Baths], $M436,
          unit_details[Partial Baths],IF(ISNUMBER($N436),$N436,""),
          unit_details[Sqft],$P436))</f>
        <v>0</v>
      </c>
      <c r="AC436" s="27" t="str">
        <f t="shared" si="69"/>
        <v/>
      </c>
      <c r="AD436" s="293" t="str">
        <f>IFERROR(IF(AE436="","",IF($F436="Total",
SUMPRODUCT(
   INDEX(AD:AD, ROW()-COUNTIF($F$6:INDEX($F:$F, ROW()-1), $F435)) : INDEX(AD:AD, ROW()-1),
   INDEX(AB:AB, ROW()-COUNTIF($F$6:INDEX($F:$F, ROW()-1), $F435)) : INDEX(AB:AB, ROW()-1)
   )
   /SUM(INDEX(AB:AB, ROW()-COUNTIF($F$6:INDEX($F:$F, ROW()-1), $F435)) : INDEX(AB:AB, ROW()-1)),
          _xlfn.MINIFS(unit_details[Asking Rent],
          unit_details[Active Listing?],TRUE,
          unit_details[Property Name], $F436,
          unit_details[Beds], $L436,
          unit_details[Baths], $M436,
          unit_details[Partial Baths], IF(ISNUMBER($N436),$N436,""),
          unit_details[Sqft],$P436
))),"")</f>
        <v/>
      </c>
      <c r="AE436" s="5" t="str">
        <f>IFERROR(IF($F436="Total",
          SUMPRODUCT(
   INDEX(AE:AE, ROW()-COUNTIF($F$6:INDEX($F:$F, ROW()-1), $F435)) : INDEX(AE:AE, ROW()-1),
   INDEX(AB:AB, ROW()-COUNTIF($F$6:INDEX($F:$F, ROW()-1), $F435)) : INDEX(AB:AB, ROW()-1)
   )
   /SUM(INDEX(AB:AB, ROW()-COUNTIF($F$6:INDEX($F:$F, ROW()-1), $F435)) : INDEX(AB:AB, ROW()-1)),
          AVERAGEIFS(unit_details[Asking Rent],
          unit_details[Active Listing?],TRUE,
          unit_details[Property Name], $F436,
          unit_details[Beds], $L436,
          unit_details[Baths], $M436,
          unit_details[Partial Baths], IF(ISNUMBER($N436),$N436,""),
          unit_details[Sqft],$P436
)),"")</f>
        <v/>
      </c>
      <c r="AF436" s="5" t="str">
        <f>IFERROR(IF(AE436="","",IF($F436="Total",
SUMPRODUCT(
   INDEX(AF:AF, ROW()-COUNTIF($F$6:INDEX($F:$F, ROW()-1), $F435)) : INDEX(AF:AF, ROW()-1),
   INDEX(AB:AB, ROW()-COUNTIF($F$6:INDEX($F:$F, ROW()-1), $F435)) : INDEX(AB:AB, ROW()-1)
   )
   /SUM(INDEX(AB:AB, ROW()-COUNTIF($F$6:INDEX($F:$F, ROW()-1), $F435)) : INDEX(AB:AB, ROW()-1)),
           _xlfn.MAXIFS(unit_details[Asking Rent],
          unit_details[Active Listing?],TRUE,
          unit_details[Property Name], $F436,
          unit_details[Beds], $L436,
          unit_details[Baths], $M436,
          unit_details[Partial Baths], IF(ISNUMBER($N436),$N436,""),
          unit_details[Sqft],$P436
))),"")</f>
        <v/>
      </c>
      <c r="AG436" s="6" t="str">
        <f>IFERROR(IF($F436="Total",
         SUMPRODUCT(
         INDEX(AG:AG, ROW()-COUNTIF($F$6:INDEX($F:$F, ROW()-1), $F435)) : INDEX(AG:AG, ROW()-1),
         INDEX(AB:AB, ROW()-COUNTIF($F$6:INDEX($F:$F, ROW()-1), $F435)) : INDEX(AB:AB, ROW()-1)
         )
         /SUM(INDEX(AB:AB, ROW()-COUNTIF($F$6:INDEX($F:$F, ROW()-1), $F435)) : INDEX(AB:AB, ROW()-1)),
          AVERAGEIFS(unit_details[Asking PSF],
          unit_details[Active Listing?],TRUE,
          unit_details[Property Name], $F436,
          unit_details[Beds], $L436,
          unit_details[Baths], $M436,
          unit_details[Partial Baths], IF(ISNUMBER($N436),$N436,""),
          unit_details[Sqft],$P436
)),"")</f>
        <v/>
      </c>
      <c r="AH436" s="293" t="str">
        <f>IFERROR(IF($F436="Total",
         SUMPRODUCT(
         INDEX(AH:AH, ROW()-COUNTIF($F$6:INDEX($F:$F, ROW()-1), $F435)) : INDEX(AH:AH, ROW()-1),
         INDEX(AB:AB, ROW()-COUNTIF($F$6:INDEX($F:$F, ROW()-1), $F435)) : INDEX(AB:AB, ROW()-1)
         )
         /SUM(INDEX(AB:AB, ROW()-COUNTIF($F$6:INDEX($F:$F, ROW()-1), $F435)) : INDEX(AB:AB, ROW()-1)),
          AVERAGEIFS(unit_details[Effective Rent],
          unit_details[Active Listing?],TRUE,
          unit_details[Property Name], $F436,
          unit_details[Beds], $L436,
          unit_details[Baths], $M436,
          unit_details[Partial Baths], IF(ISNUMBER($N436),$N436,""),
          unit_details[Sqft],$P436
)),"")</f>
        <v/>
      </c>
      <c r="AI436" s="6" t="str">
        <f>IFERROR(IF($F436="Total",
         SUMPRODUCT(
         INDEX(AI:AI, ROW()-COUNTIF($F$6:INDEX($F:$F, ROW()-1), $F435)) : INDEX(AI:AI, ROW()-1),
         INDEX(AB:AB, ROW()-COUNTIF($F$6:INDEX($F:$F, ROW()-1), $F435)) : INDEX(AB:AB, ROW()-1)
         )
         /SUM(INDEX(AB:AB, ROW()-COUNTIF($F$6:INDEX($F:$F, ROW()-1), $F435)) : INDEX(AB:AB, ROW()-1)),
           AVERAGEIFS(unit_details[Effective PSF],
          unit_details[Active Listing?],TRUE,
          unit_details[Property Name], $F436,
          unit_details[Beds], $L436,
          unit_details[Baths], $M436,
          unit_details[Partial Baths], IF(ISNUMBER($N436),$N436,""),
          unit_details[Sqft],$P436
)),"")</f>
        <v/>
      </c>
      <c r="AJ436" s="824" t="str">
        <f t="shared" si="70"/>
        <v/>
      </c>
      <c r="AK436" s="531" t="str">
        <f t="shared" si="71"/>
        <v/>
      </c>
      <c r="AL436" s="714" t="str">
        <f t="shared" si="72"/>
        <v/>
      </c>
      <c r="AM436" s="531" t="str">
        <f t="shared" si="73"/>
        <v/>
      </c>
      <c r="AN436" s="716" t="str">
        <f t="shared" si="74"/>
        <v/>
      </c>
    </row>
    <row r="437" spans="6:40" x14ac:dyDescent="0.2">
      <c r="F437" s="1" t="str">
        <f t="shared" si="67"/>
        <v/>
      </c>
      <c r="G437" s="713" t="str">
        <f t="shared" si="75"/>
        <v/>
      </c>
      <c r="H437" s="17" t="str">
        <f>IFERROR(VLOOKUP($G437,Table1[[Property]:[Exposure %]],4,0),"")</f>
        <v/>
      </c>
      <c r="I437" s="3" t="str">
        <f>IFERROR(VLOOKUP($G437,Table1[[Property]:[Exposure %]],6,0),"")</f>
        <v/>
      </c>
      <c r="J437" s="3" t="str">
        <f>IFERROR(VLOOKUP($G437,Table1[[Property]:[Exposure %]],7,0),"")</f>
        <v/>
      </c>
      <c r="R437" s="4" t="str">
        <f>IFERROR(VLOOKUP(IF(F437="Total",F436,F437),Table1[[Property]:['# Units]],7,0)*S437,"")</f>
        <v/>
      </c>
      <c r="S437" s="27" t="str">
        <f t="shared" si="68"/>
        <v/>
      </c>
      <c r="T437" s="531" t="str">
        <f>IFERROR(
 IF($F437="Total",
   SUMPRODUCT(
   INDEX(T:T, ROW()-COUNTIF($F$6:INDEX($F:$F, ROW()-1), $F436)) : INDEX(T:T, ROW()-1),
   INDEX(W:W, ROW()-COUNTIF($F$6:INDEX($F:$F, ROW()-1), $F436)) : INDEX(W:W, ROW()-1)
   )
   /SUM(INDEX(W:W, ROW()-COUNTIF($F$6:INDEX($F:$F, ROW()-1), $F436)) : INDEX(W:W, ROW()-1)),
   AVERAGEIFS(
     INDEX((unit_details[Asking Rent],unit_details[Asking PSF]),0,1,IF($U$3="Chunk Rent",1,2)),
     unit_details[Leased Date],"&gt;="&amp;($AM$2-T$5),
     unit_details[Leased Date],"&lt;"&amp;$AM$2,
     unit_details[Beds],$L437,
     unit_details[Baths],$M437,
     unit_details[Partial Baths],IF(ISNUMBER($N437),$N437,""),
     unit_details[Sqft],$P437,
     unit_details[Property Name],$F437)
 ),"")</f>
        <v/>
      </c>
      <c r="U437" s="552" t="str">
        <f>IFERROR(
 IF($F437="Total",
   SUMPRODUCT(
   INDEX(U:U, ROW()-COUNTIF($F$6:INDEX($F:$F, ROW()-1), $F436)) : INDEX(U:U, ROW()-1),
   INDEX(W:W, ROW()-COUNTIF($F$6:INDEX($F:$F, ROW()-1), $F436)) : INDEX(W:W, ROW()-1)
   )
   /SUM(INDEX(W:W, ROW()-COUNTIF($F$6:INDEX($F:$F, ROW()-1), $F436)) : INDEX(W:W, ROW()-1)),
   AVERAGEIFS(
     INDEX((unit_details[Effective Rent],unit_details[Effective PSF]),0,1,IF($U$3="Chunk Rent",1,2)),
     unit_details[Leased Date],"&gt;="&amp;($AM$2-T$5),
     unit_details[Leased Date],"&lt;"&amp;$AM$2,
     unit_details[Beds],$L437,
     unit_details[Baths],$M437,
     unit_details[Partial Baths],IF(ISNUMBER($N437),$N437,""),
     unit_details[Sqft],$P437,
     unit_details[Property Name],$F437)
 ),"")</f>
        <v/>
      </c>
      <c r="V437" s="27" t="str">
        <f t="shared" si="76"/>
        <v/>
      </c>
      <c r="W437" s="526">
        <f>IFERROR(
  IF($F437="Total",
    SUM(INDEX(W:W, ROW()-COUNTIF($F$6:INDEX($F:$F, ROW()-1), $F436)) : INDEX(W:W, ROW()-1)),
    COUNTIFS(
      unit_details[Leased Date], "&gt;="&amp;($AM$2-T$5),
      unit_details[Leased Date], "&lt;"&amp;$AM$2,
      unit_details[Beds], $L437,
      unit_details[Baths], $M437,
      unit_details[Partial Baths], IF(ISNUMBER($N437), $N437, ""),
      unit_details[Sqft],$P437,
      unit_details[Property Name], $F437
    )
  ),
"")</f>
        <v>0</v>
      </c>
      <c r="X437" s="531" t="str">
        <f>IFERROR(
 IF($F437="Total",
   SUMPRODUCT(
   INDEX(X:X, ROW()-COUNTIF($F$6:INDEX($F:$F, ROW()-1), $F436)) : INDEX(X:X, ROW()-1),
   INDEX(AA:AA, ROW()-COUNTIF($F$6:INDEX($F:$F, ROW()-1), $F436)) : INDEX(AA:AA, ROW()-1)
   )
   /SUM(INDEX(AA:AA, ROW()-COUNTIF($F$6:INDEX($F:$F, ROW()-1), $F436)) : INDEX(AA:AA, ROW()-1)),
   AVERAGEIFS(
     INDEX((unit_details[Asking Rent],unit_details[Asking PSF]),0,1,IF($U$3="Chunk Rent",1,2)),
     unit_details[Leased Date],"&gt;="&amp;($AM$2-X$5),
     unit_details[Leased Date],"&lt;"&amp;$AM$2,
     unit_details[Beds],$L437,
     unit_details[Baths],$M437,
     unit_details[Partial Baths],IF(ISNUMBER($N437),$N437,""),
     unit_details[Sqft],$P437,
     unit_details[Property Name],$F437)
 ),"")</f>
        <v/>
      </c>
      <c r="Y437" s="552" t="str">
        <f>IFERROR(
 IF($F437="Total",
   SUMPRODUCT(
   INDEX(Y:Y, ROW()-COUNTIF($F$6:INDEX($F:$F, ROW()-1), $F436)) : INDEX(Y:Y, ROW()-1),
   INDEX(AA:AA, ROW()-COUNTIF($F$6:INDEX($F:$F, ROW()-1), $F436)) : INDEX(AA:AA, ROW()-1)
   )
   /SUM(INDEX(AA:AA, ROW()-COUNTIF($F$6:INDEX($F:$F, ROW()-1), $F436)) : INDEX(AA:AA, ROW()-1)),
   AVERAGEIFS(
     INDEX((unit_details[Effective Rent],unit_details[Effective PSF]),0,1,IF($U$3="Chunk Rent",1,2)),
     unit_details[Leased Date],"&gt;="&amp;($AM$2-X$5),
     unit_details[Leased Date],"&lt;"&amp;$AM$2,
     unit_details[Beds],$L437,
     unit_details[Baths],$M437,
     unit_details[Partial Baths],IF(ISNUMBER($N437),$N437,""),
     unit_details[Sqft],$P437,
     unit_details[Property Name],$F437)
 ),"")</f>
        <v/>
      </c>
      <c r="Z437" s="27" t="str">
        <f t="shared" si="77"/>
        <v/>
      </c>
      <c r="AA437" s="526">
        <f>IFERROR(
  IF($F437="Total",
    SUM(INDEX(AA:AA, ROW()-COUNTIF($F$6:INDEX($F:$F, ROW()-1), $F436)) : INDEX(AA:AA, ROW()-1)),
    COUNTIFS(
      unit_details[Leased Date], "&gt;="&amp;($AM$2-X$5),
      unit_details[Leased Date], "&lt;"&amp;$AM$2,
      unit_details[Beds], $L437,
      unit_details[Baths], $M437,
      unit_details[Partial Baths], IF(ISNUMBER($N437), $N437, ""),
      unit_details[Sqft],$P437,
      unit_details[Property Name], $F437
    )
  ),
"")</f>
        <v>0</v>
      </c>
      <c r="AB437" s="290">
        <f>IF($F437="Total",
SUM(INDEX(AB:AB, ROW()-COUNTIF($F$6:INDEX($F:$F, ROW()-1), $F436)) : INDEX(AB:AB, ROW()-1)),
COUNTIFS(unit_details[Active Listing?],TRUE,
          unit_details[Property Name], $F437,
          unit_details[Beds], $L437,
          unit_details[Baths], $M437,
          unit_details[Partial Baths],IF(ISNUMBER($N437),$N437,""),
          unit_details[Sqft],$P437))</f>
        <v>0</v>
      </c>
      <c r="AC437" s="27" t="str">
        <f t="shared" si="69"/>
        <v/>
      </c>
      <c r="AD437" s="293" t="str">
        <f>IFERROR(IF(AE437="","",IF($F437="Total",
SUMPRODUCT(
   INDEX(AD:AD, ROW()-COUNTIF($F$6:INDEX($F:$F, ROW()-1), $F436)) : INDEX(AD:AD, ROW()-1),
   INDEX(AB:AB, ROW()-COUNTIF($F$6:INDEX($F:$F, ROW()-1), $F436)) : INDEX(AB:AB, ROW()-1)
   )
   /SUM(INDEX(AB:AB, ROW()-COUNTIF($F$6:INDEX($F:$F, ROW()-1), $F436)) : INDEX(AB:AB, ROW()-1)),
          _xlfn.MINIFS(unit_details[Asking Rent],
          unit_details[Active Listing?],TRUE,
          unit_details[Property Name], $F437,
          unit_details[Beds], $L437,
          unit_details[Baths], $M437,
          unit_details[Partial Baths], IF(ISNUMBER($N437),$N437,""),
          unit_details[Sqft],$P437
))),"")</f>
        <v/>
      </c>
      <c r="AE437" s="5" t="str">
        <f>IFERROR(IF($F437="Total",
          SUMPRODUCT(
   INDEX(AE:AE, ROW()-COUNTIF($F$6:INDEX($F:$F, ROW()-1), $F436)) : INDEX(AE:AE, ROW()-1),
   INDEX(AB:AB, ROW()-COUNTIF($F$6:INDEX($F:$F, ROW()-1), $F436)) : INDEX(AB:AB, ROW()-1)
   )
   /SUM(INDEX(AB:AB, ROW()-COUNTIF($F$6:INDEX($F:$F, ROW()-1), $F436)) : INDEX(AB:AB, ROW()-1)),
          AVERAGEIFS(unit_details[Asking Rent],
          unit_details[Active Listing?],TRUE,
          unit_details[Property Name], $F437,
          unit_details[Beds], $L437,
          unit_details[Baths], $M437,
          unit_details[Partial Baths], IF(ISNUMBER($N437),$N437,""),
          unit_details[Sqft],$P437
)),"")</f>
        <v/>
      </c>
      <c r="AF437" s="5" t="str">
        <f>IFERROR(IF(AE437="","",IF($F437="Total",
SUMPRODUCT(
   INDEX(AF:AF, ROW()-COUNTIF($F$6:INDEX($F:$F, ROW()-1), $F436)) : INDEX(AF:AF, ROW()-1),
   INDEX(AB:AB, ROW()-COUNTIF($F$6:INDEX($F:$F, ROW()-1), $F436)) : INDEX(AB:AB, ROW()-1)
   )
   /SUM(INDEX(AB:AB, ROW()-COUNTIF($F$6:INDEX($F:$F, ROW()-1), $F436)) : INDEX(AB:AB, ROW()-1)),
           _xlfn.MAXIFS(unit_details[Asking Rent],
          unit_details[Active Listing?],TRUE,
          unit_details[Property Name], $F437,
          unit_details[Beds], $L437,
          unit_details[Baths], $M437,
          unit_details[Partial Baths], IF(ISNUMBER($N437),$N437,""),
          unit_details[Sqft],$P437
))),"")</f>
        <v/>
      </c>
      <c r="AG437" s="6" t="str">
        <f>IFERROR(IF($F437="Total",
         SUMPRODUCT(
         INDEX(AG:AG, ROW()-COUNTIF($F$6:INDEX($F:$F, ROW()-1), $F436)) : INDEX(AG:AG, ROW()-1),
         INDEX(AB:AB, ROW()-COUNTIF($F$6:INDEX($F:$F, ROW()-1), $F436)) : INDEX(AB:AB, ROW()-1)
         )
         /SUM(INDEX(AB:AB, ROW()-COUNTIF($F$6:INDEX($F:$F, ROW()-1), $F436)) : INDEX(AB:AB, ROW()-1)),
          AVERAGEIFS(unit_details[Asking PSF],
          unit_details[Active Listing?],TRUE,
          unit_details[Property Name], $F437,
          unit_details[Beds], $L437,
          unit_details[Baths], $M437,
          unit_details[Partial Baths], IF(ISNUMBER($N437),$N437,""),
          unit_details[Sqft],$P437
)),"")</f>
        <v/>
      </c>
      <c r="AH437" s="293" t="str">
        <f>IFERROR(IF($F437="Total",
         SUMPRODUCT(
         INDEX(AH:AH, ROW()-COUNTIF($F$6:INDEX($F:$F, ROW()-1), $F436)) : INDEX(AH:AH, ROW()-1),
         INDEX(AB:AB, ROW()-COUNTIF($F$6:INDEX($F:$F, ROW()-1), $F436)) : INDEX(AB:AB, ROW()-1)
         )
         /SUM(INDEX(AB:AB, ROW()-COUNTIF($F$6:INDEX($F:$F, ROW()-1), $F436)) : INDEX(AB:AB, ROW()-1)),
          AVERAGEIFS(unit_details[Effective Rent],
          unit_details[Active Listing?],TRUE,
          unit_details[Property Name], $F437,
          unit_details[Beds], $L437,
          unit_details[Baths], $M437,
          unit_details[Partial Baths], IF(ISNUMBER($N437),$N437,""),
          unit_details[Sqft],$P437
)),"")</f>
        <v/>
      </c>
      <c r="AI437" s="6" t="str">
        <f>IFERROR(IF($F437="Total",
         SUMPRODUCT(
         INDEX(AI:AI, ROW()-COUNTIF($F$6:INDEX($F:$F, ROW()-1), $F436)) : INDEX(AI:AI, ROW()-1),
         INDEX(AB:AB, ROW()-COUNTIF($F$6:INDEX($F:$F, ROW()-1), $F436)) : INDEX(AB:AB, ROW()-1)
         )
         /SUM(INDEX(AB:AB, ROW()-COUNTIF($F$6:INDEX($F:$F, ROW()-1), $F436)) : INDEX(AB:AB, ROW()-1)),
           AVERAGEIFS(unit_details[Effective PSF],
          unit_details[Active Listing?],TRUE,
          unit_details[Property Name], $F437,
          unit_details[Beds], $L437,
          unit_details[Baths], $M437,
          unit_details[Partial Baths], IF(ISNUMBER($N437),$N437,""),
          unit_details[Sqft],$P437
)),"")</f>
        <v/>
      </c>
      <c r="AJ437" s="824" t="str">
        <f t="shared" si="70"/>
        <v/>
      </c>
      <c r="AK437" s="531" t="str">
        <f t="shared" si="71"/>
        <v/>
      </c>
      <c r="AL437" s="714" t="str">
        <f t="shared" si="72"/>
        <v/>
      </c>
      <c r="AM437" s="531" t="str">
        <f t="shared" si="73"/>
        <v/>
      </c>
      <c r="AN437" s="716" t="str">
        <f t="shared" si="74"/>
        <v/>
      </c>
    </row>
    <row r="438" spans="6:40" x14ac:dyDescent="0.2">
      <c r="F438" s="1" t="str">
        <f t="shared" si="67"/>
        <v/>
      </c>
      <c r="G438" s="713" t="str">
        <f t="shared" si="75"/>
        <v/>
      </c>
      <c r="H438" s="17" t="str">
        <f>IFERROR(VLOOKUP($G438,Table1[[Property]:[Exposure %]],4,0),"")</f>
        <v/>
      </c>
      <c r="I438" s="3" t="str">
        <f>IFERROR(VLOOKUP($G438,Table1[[Property]:[Exposure %]],6,0),"")</f>
        <v/>
      </c>
      <c r="J438" s="3" t="str">
        <f>IFERROR(VLOOKUP($G438,Table1[[Property]:[Exposure %]],7,0),"")</f>
        <v/>
      </c>
      <c r="R438" s="4" t="str">
        <f>IFERROR(VLOOKUP(IF(F438="Total",F437,F438),Table1[[Property]:['# Units]],7,0)*S438,"")</f>
        <v/>
      </c>
      <c r="S438" s="27" t="str">
        <f t="shared" si="68"/>
        <v/>
      </c>
      <c r="T438" s="531" t="str">
        <f>IFERROR(
 IF($F438="Total",
   SUMPRODUCT(
   INDEX(T:T, ROW()-COUNTIF($F$6:INDEX($F:$F, ROW()-1), $F437)) : INDEX(T:T, ROW()-1),
   INDEX(W:W, ROW()-COUNTIF($F$6:INDEX($F:$F, ROW()-1), $F437)) : INDEX(W:W, ROW()-1)
   )
   /SUM(INDEX(W:W, ROW()-COUNTIF($F$6:INDEX($F:$F, ROW()-1), $F437)) : INDEX(W:W, ROW()-1)),
   AVERAGEIFS(
     INDEX((unit_details[Asking Rent],unit_details[Asking PSF]),0,1,IF($U$3="Chunk Rent",1,2)),
     unit_details[Leased Date],"&gt;="&amp;($AM$2-T$5),
     unit_details[Leased Date],"&lt;"&amp;$AM$2,
     unit_details[Beds],$L438,
     unit_details[Baths],$M438,
     unit_details[Partial Baths],IF(ISNUMBER($N438),$N438,""),
     unit_details[Sqft],$P438,
     unit_details[Property Name],$F438)
 ),"")</f>
        <v/>
      </c>
      <c r="U438" s="552" t="str">
        <f>IFERROR(
 IF($F438="Total",
   SUMPRODUCT(
   INDEX(U:U, ROW()-COUNTIF($F$6:INDEX($F:$F, ROW()-1), $F437)) : INDEX(U:U, ROW()-1),
   INDEX(W:W, ROW()-COUNTIF($F$6:INDEX($F:$F, ROW()-1), $F437)) : INDEX(W:W, ROW()-1)
   )
   /SUM(INDEX(W:W, ROW()-COUNTIF($F$6:INDEX($F:$F, ROW()-1), $F437)) : INDEX(W:W, ROW()-1)),
   AVERAGEIFS(
     INDEX((unit_details[Effective Rent],unit_details[Effective PSF]),0,1,IF($U$3="Chunk Rent",1,2)),
     unit_details[Leased Date],"&gt;="&amp;($AM$2-T$5),
     unit_details[Leased Date],"&lt;"&amp;$AM$2,
     unit_details[Beds],$L438,
     unit_details[Baths],$M438,
     unit_details[Partial Baths],IF(ISNUMBER($N438),$N438,""),
     unit_details[Sqft],$P438,
     unit_details[Property Name],$F438)
 ),"")</f>
        <v/>
      </c>
      <c r="V438" s="27" t="str">
        <f t="shared" si="76"/>
        <v/>
      </c>
      <c r="W438" s="526">
        <f>IFERROR(
  IF($F438="Total",
    SUM(INDEX(W:W, ROW()-COUNTIF($F$6:INDEX($F:$F, ROW()-1), $F437)) : INDEX(W:W, ROW()-1)),
    COUNTIFS(
      unit_details[Leased Date], "&gt;="&amp;($AM$2-T$5),
      unit_details[Leased Date], "&lt;"&amp;$AM$2,
      unit_details[Beds], $L438,
      unit_details[Baths], $M438,
      unit_details[Partial Baths], IF(ISNUMBER($N438), $N438, ""),
      unit_details[Sqft],$P438,
      unit_details[Property Name], $F438
    )
  ),
"")</f>
        <v>0</v>
      </c>
      <c r="X438" s="531" t="str">
        <f>IFERROR(
 IF($F438="Total",
   SUMPRODUCT(
   INDEX(X:X, ROW()-COUNTIF($F$6:INDEX($F:$F, ROW()-1), $F437)) : INDEX(X:X, ROW()-1),
   INDEX(AA:AA, ROW()-COUNTIF($F$6:INDEX($F:$F, ROW()-1), $F437)) : INDEX(AA:AA, ROW()-1)
   )
   /SUM(INDEX(AA:AA, ROW()-COUNTIF($F$6:INDEX($F:$F, ROW()-1), $F437)) : INDEX(AA:AA, ROW()-1)),
   AVERAGEIFS(
     INDEX((unit_details[Asking Rent],unit_details[Asking PSF]),0,1,IF($U$3="Chunk Rent",1,2)),
     unit_details[Leased Date],"&gt;="&amp;($AM$2-X$5),
     unit_details[Leased Date],"&lt;"&amp;$AM$2,
     unit_details[Beds],$L438,
     unit_details[Baths],$M438,
     unit_details[Partial Baths],IF(ISNUMBER($N438),$N438,""),
     unit_details[Sqft],$P438,
     unit_details[Property Name],$F438)
 ),"")</f>
        <v/>
      </c>
      <c r="Y438" s="552" t="str">
        <f>IFERROR(
 IF($F438="Total",
   SUMPRODUCT(
   INDEX(Y:Y, ROW()-COUNTIF($F$6:INDEX($F:$F, ROW()-1), $F437)) : INDEX(Y:Y, ROW()-1),
   INDEX(AA:AA, ROW()-COUNTIF($F$6:INDEX($F:$F, ROW()-1), $F437)) : INDEX(AA:AA, ROW()-1)
   )
   /SUM(INDEX(AA:AA, ROW()-COUNTIF($F$6:INDEX($F:$F, ROW()-1), $F437)) : INDEX(AA:AA, ROW()-1)),
   AVERAGEIFS(
     INDEX((unit_details[Effective Rent],unit_details[Effective PSF]),0,1,IF($U$3="Chunk Rent",1,2)),
     unit_details[Leased Date],"&gt;="&amp;($AM$2-X$5),
     unit_details[Leased Date],"&lt;"&amp;$AM$2,
     unit_details[Beds],$L438,
     unit_details[Baths],$M438,
     unit_details[Partial Baths],IF(ISNUMBER($N438),$N438,""),
     unit_details[Sqft],$P438,
     unit_details[Property Name],$F438)
 ),"")</f>
        <v/>
      </c>
      <c r="Z438" s="27" t="str">
        <f t="shared" si="77"/>
        <v/>
      </c>
      <c r="AA438" s="526">
        <f>IFERROR(
  IF($F438="Total",
    SUM(INDEX(AA:AA, ROW()-COUNTIF($F$6:INDEX($F:$F, ROW()-1), $F437)) : INDEX(AA:AA, ROW()-1)),
    COUNTIFS(
      unit_details[Leased Date], "&gt;="&amp;($AM$2-X$5),
      unit_details[Leased Date], "&lt;"&amp;$AM$2,
      unit_details[Beds], $L438,
      unit_details[Baths], $M438,
      unit_details[Partial Baths], IF(ISNUMBER($N438), $N438, ""),
      unit_details[Sqft],$P438,
      unit_details[Property Name], $F438
    )
  ),
"")</f>
        <v>0</v>
      </c>
      <c r="AB438" s="290">
        <f>IF($F438="Total",
SUM(INDEX(AB:AB, ROW()-COUNTIF($F$6:INDEX($F:$F, ROW()-1), $F437)) : INDEX(AB:AB, ROW()-1)),
COUNTIFS(unit_details[Active Listing?],TRUE,
          unit_details[Property Name], $F438,
          unit_details[Beds], $L438,
          unit_details[Baths], $M438,
          unit_details[Partial Baths],IF(ISNUMBER($N438),$N438,""),
          unit_details[Sqft],$P438))</f>
        <v>0</v>
      </c>
      <c r="AC438" s="27" t="str">
        <f t="shared" si="69"/>
        <v/>
      </c>
      <c r="AD438" s="293" t="str">
        <f>IFERROR(IF(AE438="","",IF($F438="Total",
SUMPRODUCT(
   INDEX(AD:AD, ROW()-COUNTIF($F$6:INDEX($F:$F, ROW()-1), $F437)) : INDEX(AD:AD, ROW()-1),
   INDEX(AB:AB, ROW()-COUNTIF($F$6:INDEX($F:$F, ROW()-1), $F437)) : INDEX(AB:AB, ROW()-1)
   )
   /SUM(INDEX(AB:AB, ROW()-COUNTIF($F$6:INDEX($F:$F, ROW()-1), $F437)) : INDEX(AB:AB, ROW()-1)),
          _xlfn.MINIFS(unit_details[Asking Rent],
          unit_details[Active Listing?],TRUE,
          unit_details[Property Name], $F438,
          unit_details[Beds], $L438,
          unit_details[Baths], $M438,
          unit_details[Partial Baths], IF(ISNUMBER($N438),$N438,""),
          unit_details[Sqft],$P438
))),"")</f>
        <v/>
      </c>
      <c r="AE438" s="5" t="str">
        <f>IFERROR(IF($F438="Total",
          SUMPRODUCT(
   INDEX(AE:AE, ROW()-COUNTIF($F$6:INDEX($F:$F, ROW()-1), $F437)) : INDEX(AE:AE, ROW()-1),
   INDEX(AB:AB, ROW()-COUNTIF($F$6:INDEX($F:$F, ROW()-1), $F437)) : INDEX(AB:AB, ROW()-1)
   )
   /SUM(INDEX(AB:AB, ROW()-COUNTIF($F$6:INDEX($F:$F, ROW()-1), $F437)) : INDEX(AB:AB, ROW()-1)),
          AVERAGEIFS(unit_details[Asking Rent],
          unit_details[Active Listing?],TRUE,
          unit_details[Property Name], $F438,
          unit_details[Beds], $L438,
          unit_details[Baths], $M438,
          unit_details[Partial Baths], IF(ISNUMBER($N438),$N438,""),
          unit_details[Sqft],$P438
)),"")</f>
        <v/>
      </c>
      <c r="AF438" s="5" t="str">
        <f>IFERROR(IF(AE438="","",IF($F438="Total",
SUMPRODUCT(
   INDEX(AF:AF, ROW()-COUNTIF($F$6:INDEX($F:$F, ROW()-1), $F437)) : INDEX(AF:AF, ROW()-1),
   INDEX(AB:AB, ROW()-COUNTIF($F$6:INDEX($F:$F, ROW()-1), $F437)) : INDEX(AB:AB, ROW()-1)
   )
   /SUM(INDEX(AB:AB, ROW()-COUNTIF($F$6:INDEX($F:$F, ROW()-1), $F437)) : INDEX(AB:AB, ROW()-1)),
           _xlfn.MAXIFS(unit_details[Asking Rent],
          unit_details[Active Listing?],TRUE,
          unit_details[Property Name], $F438,
          unit_details[Beds], $L438,
          unit_details[Baths], $M438,
          unit_details[Partial Baths], IF(ISNUMBER($N438),$N438,""),
          unit_details[Sqft],$P438
))),"")</f>
        <v/>
      </c>
      <c r="AG438" s="6" t="str">
        <f>IFERROR(IF($F438="Total",
         SUMPRODUCT(
         INDEX(AG:AG, ROW()-COUNTIF($F$6:INDEX($F:$F, ROW()-1), $F437)) : INDEX(AG:AG, ROW()-1),
         INDEX(AB:AB, ROW()-COUNTIF($F$6:INDEX($F:$F, ROW()-1), $F437)) : INDEX(AB:AB, ROW()-1)
         )
         /SUM(INDEX(AB:AB, ROW()-COUNTIF($F$6:INDEX($F:$F, ROW()-1), $F437)) : INDEX(AB:AB, ROW()-1)),
          AVERAGEIFS(unit_details[Asking PSF],
          unit_details[Active Listing?],TRUE,
          unit_details[Property Name], $F438,
          unit_details[Beds], $L438,
          unit_details[Baths], $M438,
          unit_details[Partial Baths], IF(ISNUMBER($N438),$N438,""),
          unit_details[Sqft],$P438
)),"")</f>
        <v/>
      </c>
      <c r="AH438" s="293" t="str">
        <f>IFERROR(IF($F438="Total",
         SUMPRODUCT(
         INDEX(AH:AH, ROW()-COUNTIF($F$6:INDEX($F:$F, ROW()-1), $F437)) : INDEX(AH:AH, ROW()-1),
         INDEX(AB:AB, ROW()-COUNTIF($F$6:INDEX($F:$F, ROW()-1), $F437)) : INDEX(AB:AB, ROW()-1)
         )
         /SUM(INDEX(AB:AB, ROW()-COUNTIF($F$6:INDEX($F:$F, ROW()-1), $F437)) : INDEX(AB:AB, ROW()-1)),
          AVERAGEIFS(unit_details[Effective Rent],
          unit_details[Active Listing?],TRUE,
          unit_details[Property Name], $F438,
          unit_details[Beds], $L438,
          unit_details[Baths], $M438,
          unit_details[Partial Baths], IF(ISNUMBER($N438),$N438,""),
          unit_details[Sqft],$P438
)),"")</f>
        <v/>
      </c>
      <c r="AI438" s="6" t="str">
        <f>IFERROR(IF($F438="Total",
         SUMPRODUCT(
         INDEX(AI:AI, ROW()-COUNTIF($F$6:INDEX($F:$F, ROW()-1), $F437)) : INDEX(AI:AI, ROW()-1),
         INDEX(AB:AB, ROW()-COUNTIF($F$6:INDEX($F:$F, ROW()-1), $F437)) : INDEX(AB:AB, ROW()-1)
         )
         /SUM(INDEX(AB:AB, ROW()-COUNTIF($F$6:INDEX($F:$F, ROW()-1), $F437)) : INDEX(AB:AB, ROW()-1)),
           AVERAGEIFS(unit_details[Effective PSF],
          unit_details[Active Listing?],TRUE,
          unit_details[Property Name], $F438,
          unit_details[Beds], $L438,
          unit_details[Baths], $M438,
          unit_details[Partial Baths], IF(ISNUMBER($N438),$N438,""),
          unit_details[Sqft],$P438
)),"")</f>
        <v/>
      </c>
      <c r="AJ438" s="824" t="str">
        <f t="shared" si="70"/>
        <v/>
      </c>
      <c r="AK438" s="531" t="str">
        <f t="shared" si="71"/>
        <v/>
      </c>
      <c r="AL438" s="714" t="str">
        <f t="shared" si="72"/>
        <v/>
      </c>
      <c r="AM438" s="531" t="str">
        <f t="shared" si="73"/>
        <v/>
      </c>
      <c r="AN438" s="716" t="str">
        <f t="shared" si="74"/>
        <v/>
      </c>
    </row>
    <row r="439" spans="6:40" x14ac:dyDescent="0.2">
      <c r="F439" s="1" t="str">
        <f t="shared" si="67"/>
        <v/>
      </c>
      <c r="G439" s="713" t="str">
        <f t="shared" si="75"/>
        <v/>
      </c>
      <c r="H439" s="17" t="str">
        <f>IFERROR(VLOOKUP($G439,Table1[[Property]:[Exposure %]],4,0),"")</f>
        <v/>
      </c>
      <c r="I439" s="3" t="str">
        <f>IFERROR(VLOOKUP($G439,Table1[[Property]:[Exposure %]],6,0),"")</f>
        <v/>
      </c>
      <c r="J439" s="3" t="str">
        <f>IFERROR(VLOOKUP($G439,Table1[[Property]:[Exposure %]],7,0),"")</f>
        <v/>
      </c>
      <c r="R439" s="4" t="str">
        <f>IFERROR(VLOOKUP(IF(F439="Total",F438,F439),Table1[[Property]:['# Units]],7,0)*S439,"")</f>
        <v/>
      </c>
      <c r="S439" s="27" t="str">
        <f t="shared" si="68"/>
        <v/>
      </c>
      <c r="T439" s="531" t="str">
        <f>IFERROR(
 IF($F439="Total",
   SUMPRODUCT(
   INDEX(T:T, ROW()-COUNTIF($F$6:INDEX($F:$F, ROW()-1), $F438)) : INDEX(T:T, ROW()-1),
   INDEX(W:W, ROW()-COUNTIF($F$6:INDEX($F:$F, ROW()-1), $F438)) : INDEX(W:W, ROW()-1)
   )
   /SUM(INDEX(W:W, ROW()-COUNTIF($F$6:INDEX($F:$F, ROW()-1), $F438)) : INDEX(W:W, ROW()-1)),
   AVERAGEIFS(
     INDEX((unit_details[Asking Rent],unit_details[Asking PSF]),0,1,IF($U$3="Chunk Rent",1,2)),
     unit_details[Leased Date],"&gt;="&amp;($AM$2-T$5),
     unit_details[Leased Date],"&lt;"&amp;$AM$2,
     unit_details[Beds],$L439,
     unit_details[Baths],$M439,
     unit_details[Partial Baths],IF(ISNUMBER($N439),$N439,""),
     unit_details[Sqft],$P439,
     unit_details[Property Name],$F439)
 ),"")</f>
        <v/>
      </c>
      <c r="U439" s="552" t="str">
        <f>IFERROR(
 IF($F439="Total",
   SUMPRODUCT(
   INDEX(U:U, ROW()-COUNTIF($F$6:INDEX($F:$F, ROW()-1), $F438)) : INDEX(U:U, ROW()-1),
   INDEX(W:W, ROW()-COUNTIF($F$6:INDEX($F:$F, ROW()-1), $F438)) : INDEX(W:W, ROW()-1)
   )
   /SUM(INDEX(W:W, ROW()-COUNTIF($F$6:INDEX($F:$F, ROW()-1), $F438)) : INDEX(W:W, ROW()-1)),
   AVERAGEIFS(
     INDEX((unit_details[Effective Rent],unit_details[Effective PSF]),0,1,IF($U$3="Chunk Rent",1,2)),
     unit_details[Leased Date],"&gt;="&amp;($AM$2-T$5),
     unit_details[Leased Date],"&lt;"&amp;$AM$2,
     unit_details[Beds],$L439,
     unit_details[Baths],$M439,
     unit_details[Partial Baths],IF(ISNUMBER($N439),$N439,""),
     unit_details[Sqft],$P439,
     unit_details[Property Name],$F439)
 ),"")</f>
        <v/>
      </c>
      <c r="V439" s="27" t="str">
        <f t="shared" si="76"/>
        <v/>
      </c>
      <c r="W439" s="526">
        <f>IFERROR(
  IF($F439="Total",
    SUM(INDEX(W:W, ROW()-COUNTIF($F$6:INDEX($F:$F, ROW()-1), $F438)) : INDEX(W:W, ROW()-1)),
    COUNTIFS(
      unit_details[Leased Date], "&gt;="&amp;($AM$2-T$5),
      unit_details[Leased Date], "&lt;"&amp;$AM$2,
      unit_details[Beds], $L439,
      unit_details[Baths], $M439,
      unit_details[Partial Baths], IF(ISNUMBER($N439), $N439, ""),
      unit_details[Sqft],$P439,
      unit_details[Property Name], $F439
    )
  ),
"")</f>
        <v>0</v>
      </c>
      <c r="X439" s="531" t="str">
        <f>IFERROR(
 IF($F439="Total",
   SUMPRODUCT(
   INDEX(X:X, ROW()-COUNTIF($F$6:INDEX($F:$F, ROW()-1), $F438)) : INDEX(X:X, ROW()-1),
   INDEX(AA:AA, ROW()-COUNTIF($F$6:INDEX($F:$F, ROW()-1), $F438)) : INDEX(AA:AA, ROW()-1)
   )
   /SUM(INDEX(AA:AA, ROW()-COUNTIF($F$6:INDEX($F:$F, ROW()-1), $F438)) : INDEX(AA:AA, ROW()-1)),
   AVERAGEIFS(
     INDEX((unit_details[Asking Rent],unit_details[Asking PSF]),0,1,IF($U$3="Chunk Rent",1,2)),
     unit_details[Leased Date],"&gt;="&amp;($AM$2-X$5),
     unit_details[Leased Date],"&lt;"&amp;$AM$2,
     unit_details[Beds],$L439,
     unit_details[Baths],$M439,
     unit_details[Partial Baths],IF(ISNUMBER($N439),$N439,""),
     unit_details[Sqft],$P439,
     unit_details[Property Name],$F439)
 ),"")</f>
        <v/>
      </c>
      <c r="Y439" s="552" t="str">
        <f>IFERROR(
 IF($F439="Total",
   SUMPRODUCT(
   INDEX(Y:Y, ROW()-COUNTIF($F$6:INDEX($F:$F, ROW()-1), $F438)) : INDEX(Y:Y, ROW()-1),
   INDEX(AA:AA, ROW()-COUNTIF($F$6:INDEX($F:$F, ROW()-1), $F438)) : INDEX(AA:AA, ROW()-1)
   )
   /SUM(INDEX(AA:AA, ROW()-COUNTIF($F$6:INDEX($F:$F, ROW()-1), $F438)) : INDEX(AA:AA, ROW()-1)),
   AVERAGEIFS(
     INDEX((unit_details[Effective Rent],unit_details[Effective PSF]),0,1,IF($U$3="Chunk Rent",1,2)),
     unit_details[Leased Date],"&gt;="&amp;($AM$2-X$5),
     unit_details[Leased Date],"&lt;"&amp;$AM$2,
     unit_details[Beds],$L439,
     unit_details[Baths],$M439,
     unit_details[Partial Baths],IF(ISNUMBER($N439),$N439,""),
     unit_details[Sqft],$P439,
     unit_details[Property Name],$F439)
 ),"")</f>
        <v/>
      </c>
      <c r="Z439" s="27" t="str">
        <f t="shared" si="77"/>
        <v/>
      </c>
      <c r="AA439" s="526">
        <f>IFERROR(
  IF($F439="Total",
    SUM(INDEX(AA:AA, ROW()-COUNTIF($F$6:INDEX($F:$F, ROW()-1), $F438)) : INDEX(AA:AA, ROW()-1)),
    COUNTIFS(
      unit_details[Leased Date], "&gt;="&amp;($AM$2-X$5),
      unit_details[Leased Date], "&lt;"&amp;$AM$2,
      unit_details[Beds], $L439,
      unit_details[Baths], $M439,
      unit_details[Partial Baths], IF(ISNUMBER($N439), $N439, ""),
      unit_details[Sqft],$P439,
      unit_details[Property Name], $F439
    )
  ),
"")</f>
        <v>0</v>
      </c>
      <c r="AB439" s="290">
        <f>IF($F439="Total",
SUM(INDEX(AB:AB, ROW()-COUNTIF($F$6:INDEX($F:$F, ROW()-1), $F438)) : INDEX(AB:AB, ROW()-1)),
COUNTIFS(unit_details[Active Listing?],TRUE,
          unit_details[Property Name], $F439,
          unit_details[Beds], $L439,
          unit_details[Baths], $M439,
          unit_details[Partial Baths],IF(ISNUMBER($N439),$N439,""),
          unit_details[Sqft],$P439))</f>
        <v>0</v>
      </c>
      <c r="AC439" s="27" t="str">
        <f t="shared" si="69"/>
        <v/>
      </c>
      <c r="AD439" s="293" t="str">
        <f>IFERROR(IF(AE439="","",IF($F439="Total",
SUMPRODUCT(
   INDEX(AD:AD, ROW()-COUNTIF($F$6:INDEX($F:$F, ROW()-1), $F438)) : INDEX(AD:AD, ROW()-1),
   INDEX(AB:AB, ROW()-COUNTIF($F$6:INDEX($F:$F, ROW()-1), $F438)) : INDEX(AB:AB, ROW()-1)
   )
   /SUM(INDEX(AB:AB, ROW()-COUNTIF($F$6:INDEX($F:$F, ROW()-1), $F438)) : INDEX(AB:AB, ROW()-1)),
          _xlfn.MINIFS(unit_details[Asking Rent],
          unit_details[Active Listing?],TRUE,
          unit_details[Property Name], $F439,
          unit_details[Beds], $L439,
          unit_details[Baths], $M439,
          unit_details[Partial Baths], IF(ISNUMBER($N439),$N439,""),
          unit_details[Sqft],$P439
))),"")</f>
        <v/>
      </c>
      <c r="AE439" s="5" t="str">
        <f>IFERROR(IF($F439="Total",
          SUMPRODUCT(
   INDEX(AE:AE, ROW()-COUNTIF($F$6:INDEX($F:$F, ROW()-1), $F438)) : INDEX(AE:AE, ROW()-1),
   INDEX(AB:AB, ROW()-COUNTIF($F$6:INDEX($F:$F, ROW()-1), $F438)) : INDEX(AB:AB, ROW()-1)
   )
   /SUM(INDEX(AB:AB, ROW()-COUNTIF($F$6:INDEX($F:$F, ROW()-1), $F438)) : INDEX(AB:AB, ROW()-1)),
          AVERAGEIFS(unit_details[Asking Rent],
          unit_details[Active Listing?],TRUE,
          unit_details[Property Name], $F439,
          unit_details[Beds], $L439,
          unit_details[Baths], $M439,
          unit_details[Partial Baths], IF(ISNUMBER($N439),$N439,""),
          unit_details[Sqft],$P439
)),"")</f>
        <v/>
      </c>
      <c r="AF439" s="5" t="str">
        <f>IFERROR(IF(AE439="","",IF($F439="Total",
SUMPRODUCT(
   INDEX(AF:AF, ROW()-COUNTIF($F$6:INDEX($F:$F, ROW()-1), $F438)) : INDEX(AF:AF, ROW()-1),
   INDEX(AB:AB, ROW()-COUNTIF($F$6:INDEX($F:$F, ROW()-1), $F438)) : INDEX(AB:AB, ROW()-1)
   )
   /SUM(INDEX(AB:AB, ROW()-COUNTIF($F$6:INDEX($F:$F, ROW()-1), $F438)) : INDEX(AB:AB, ROW()-1)),
           _xlfn.MAXIFS(unit_details[Asking Rent],
          unit_details[Active Listing?],TRUE,
          unit_details[Property Name], $F439,
          unit_details[Beds], $L439,
          unit_details[Baths], $M439,
          unit_details[Partial Baths], IF(ISNUMBER($N439),$N439,""),
          unit_details[Sqft],$P439
))),"")</f>
        <v/>
      </c>
      <c r="AG439" s="6" t="str">
        <f>IFERROR(IF($F439="Total",
         SUMPRODUCT(
         INDEX(AG:AG, ROW()-COUNTIF($F$6:INDEX($F:$F, ROW()-1), $F438)) : INDEX(AG:AG, ROW()-1),
         INDEX(AB:AB, ROW()-COUNTIF($F$6:INDEX($F:$F, ROW()-1), $F438)) : INDEX(AB:AB, ROW()-1)
         )
         /SUM(INDEX(AB:AB, ROW()-COUNTIF($F$6:INDEX($F:$F, ROW()-1), $F438)) : INDEX(AB:AB, ROW()-1)),
          AVERAGEIFS(unit_details[Asking PSF],
          unit_details[Active Listing?],TRUE,
          unit_details[Property Name], $F439,
          unit_details[Beds], $L439,
          unit_details[Baths], $M439,
          unit_details[Partial Baths], IF(ISNUMBER($N439),$N439,""),
          unit_details[Sqft],$P439
)),"")</f>
        <v/>
      </c>
      <c r="AH439" s="293" t="str">
        <f>IFERROR(IF($F439="Total",
         SUMPRODUCT(
         INDEX(AH:AH, ROW()-COUNTIF($F$6:INDEX($F:$F, ROW()-1), $F438)) : INDEX(AH:AH, ROW()-1),
         INDEX(AB:AB, ROW()-COUNTIF($F$6:INDEX($F:$F, ROW()-1), $F438)) : INDEX(AB:AB, ROW()-1)
         )
         /SUM(INDEX(AB:AB, ROW()-COUNTIF($F$6:INDEX($F:$F, ROW()-1), $F438)) : INDEX(AB:AB, ROW()-1)),
          AVERAGEIFS(unit_details[Effective Rent],
          unit_details[Active Listing?],TRUE,
          unit_details[Property Name], $F439,
          unit_details[Beds], $L439,
          unit_details[Baths], $M439,
          unit_details[Partial Baths], IF(ISNUMBER($N439),$N439,""),
          unit_details[Sqft],$P439
)),"")</f>
        <v/>
      </c>
      <c r="AI439" s="6" t="str">
        <f>IFERROR(IF($F439="Total",
         SUMPRODUCT(
         INDEX(AI:AI, ROW()-COUNTIF($F$6:INDEX($F:$F, ROW()-1), $F438)) : INDEX(AI:AI, ROW()-1),
         INDEX(AB:AB, ROW()-COUNTIF($F$6:INDEX($F:$F, ROW()-1), $F438)) : INDEX(AB:AB, ROW()-1)
         )
         /SUM(INDEX(AB:AB, ROW()-COUNTIF($F$6:INDEX($F:$F, ROW()-1), $F438)) : INDEX(AB:AB, ROW()-1)),
           AVERAGEIFS(unit_details[Effective PSF],
          unit_details[Active Listing?],TRUE,
          unit_details[Property Name], $F439,
          unit_details[Beds], $L439,
          unit_details[Baths], $M439,
          unit_details[Partial Baths], IF(ISNUMBER($N439),$N439,""),
          unit_details[Sqft],$P439
)),"")</f>
        <v/>
      </c>
      <c r="AJ439" s="824" t="str">
        <f t="shared" si="70"/>
        <v/>
      </c>
      <c r="AK439" s="531" t="str">
        <f t="shared" si="71"/>
        <v/>
      </c>
      <c r="AL439" s="714" t="str">
        <f t="shared" si="72"/>
        <v/>
      </c>
      <c r="AM439" s="531" t="str">
        <f t="shared" si="73"/>
        <v/>
      </c>
      <c r="AN439" s="716" t="str">
        <f t="shared" si="74"/>
        <v/>
      </c>
    </row>
    <row r="440" spans="6:40" x14ac:dyDescent="0.2">
      <c r="F440" s="1" t="str">
        <f t="shared" si="67"/>
        <v/>
      </c>
      <c r="G440" s="713" t="str">
        <f t="shared" si="75"/>
        <v/>
      </c>
      <c r="H440" s="17" t="str">
        <f>IFERROR(VLOOKUP($G440,Table1[[Property]:[Exposure %]],4,0),"")</f>
        <v/>
      </c>
      <c r="I440" s="3" t="str">
        <f>IFERROR(VLOOKUP($G440,Table1[[Property]:[Exposure %]],6,0),"")</f>
        <v/>
      </c>
      <c r="J440" s="3" t="str">
        <f>IFERROR(VLOOKUP($G440,Table1[[Property]:[Exposure %]],7,0),"")</f>
        <v/>
      </c>
      <c r="R440" s="4" t="str">
        <f>IFERROR(VLOOKUP(IF(F440="Total",F439,F440),Table1[[Property]:['# Units]],7,0)*S440,"")</f>
        <v/>
      </c>
      <c r="S440" s="27" t="str">
        <f t="shared" si="68"/>
        <v/>
      </c>
      <c r="T440" s="531" t="str">
        <f>IFERROR(
 IF($F440="Total",
   SUMPRODUCT(
   INDEX(T:T, ROW()-COUNTIF($F$6:INDEX($F:$F, ROW()-1), $F439)) : INDEX(T:T, ROW()-1),
   INDEX(W:W, ROW()-COUNTIF($F$6:INDEX($F:$F, ROW()-1), $F439)) : INDEX(W:W, ROW()-1)
   )
   /SUM(INDEX(W:W, ROW()-COUNTIF($F$6:INDEX($F:$F, ROW()-1), $F439)) : INDEX(W:W, ROW()-1)),
   AVERAGEIFS(
     INDEX((unit_details[Asking Rent],unit_details[Asking PSF]),0,1,IF($U$3="Chunk Rent",1,2)),
     unit_details[Leased Date],"&gt;="&amp;($AM$2-T$5),
     unit_details[Leased Date],"&lt;"&amp;$AM$2,
     unit_details[Beds],$L440,
     unit_details[Baths],$M440,
     unit_details[Partial Baths],IF(ISNUMBER($N440),$N440,""),
     unit_details[Sqft],$P440,
     unit_details[Property Name],$F440)
 ),"")</f>
        <v/>
      </c>
      <c r="U440" s="552" t="str">
        <f>IFERROR(
 IF($F440="Total",
   SUMPRODUCT(
   INDEX(U:U, ROW()-COUNTIF($F$6:INDEX($F:$F, ROW()-1), $F439)) : INDEX(U:U, ROW()-1),
   INDEX(W:W, ROW()-COUNTIF($F$6:INDEX($F:$F, ROW()-1), $F439)) : INDEX(W:W, ROW()-1)
   )
   /SUM(INDEX(W:W, ROW()-COUNTIF($F$6:INDEX($F:$F, ROW()-1), $F439)) : INDEX(W:W, ROW()-1)),
   AVERAGEIFS(
     INDEX((unit_details[Effective Rent],unit_details[Effective PSF]),0,1,IF($U$3="Chunk Rent",1,2)),
     unit_details[Leased Date],"&gt;="&amp;($AM$2-T$5),
     unit_details[Leased Date],"&lt;"&amp;$AM$2,
     unit_details[Beds],$L440,
     unit_details[Baths],$M440,
     unit_details[Partial Baths],IF(ISNUMBER($N440),$N440,""),
     unit_details[Sqft],$P440,
     unit_details[Property Name],$F440)
 ),"")</f>
        <v/>
      </c>
      <c r="V440" s="27" t="str">
        <f t="shared" si="76"/>
        <v/>
      </c>
      <c r="W440" s="526">
        <f>IFERROR(
  IF($F440="Total",
    SUM(INDEX(W:W, ROW()-COUNTIF($F$6:INDEX($F:$F, ROW()-1), $F439)) : INDEX(W:W, ROW()-1)),
    COUNTIFS(
      unit_details[Leased Date], "&gt;="&amp;($AM$2-T$5),
      unit_details[Leased Date], "&lt;"&amp;$AM$2,
      unit_details[Beds], $L440,
      unit_details[Baths], $M440,
      unit_details[Partial Baths], IF(ISNUMBER($N440), $N440, ""),
      unit_details[Sqft],$P440,
      unit_details[Property Name], $F440
    )
  ),
"")</f>
        <v>0</v>
      </c>
      <c r="X440" s="531" t="str">
        <f>IFERROR(
 IF($F440="Total",
   SUMPRODUCT(
   INDEX(X:X, ROW()-COUNTIF($F$6:INDEX($F:$F, ROW()-1), $F439)) : INDEX(X:X, ROW()-1),
   INDEX(AA:AA, ROW()-COUNTIF($F$6:INDEX($F:$F, ROW()-1), $F439)) : INDEX(AA:AA, ROW()-1)
   )
   /SUM(INDEX(AA:AA, ROW()-COUNTIF($F$6:INDEX($F:$F, ROW()-1), $F439)) : INDEX(AA:AA, ROW()-1)),
   AVERAGEIFS(
     INDEX((unit_details[Asking Rent],unit_details[Asking PSF]),0,1,IF($U$3="Chunk Rent",1,2)),
     unit_details[Leased Date],"&gt;="&amp;($AM$2-X$5),
     unit_details[Leased Date],"&lt;"&amp;$AM$2,
     unit_details[Beds],$L440,
     unit_details[Baths],$M440,
     unit_details[Partial Baths],IF(ISNUMBER($N440),$N440,""),
     unit_details[Sqft],$P440,
     unit_details[Property Name],$F440)
 ),"")</f>
        <v/>
      </c>
      <c r="Y440" s="552" t="str">
        <f>IFERROR(
 IF($F440="Total",
   SUMPRODUCT(
   INDEX(Y:Y, ROW()-COUNTIF($F$6:INDEX($F:$F, ROW()-1), $F439)) : INDEX(Y:Y, ROW()-1),
   INDEX(AA:AA, ROW()-COUNTIF($F$6:INDEX($F:$F, ROW()-1), $F439)) : INDEX(AA:AA, ROW()-1)
   )
   /SUM(INDEX(AA:AA, ROW()-COUNTIF($F$6:INDEX($F:$F, ROW()-1), $F439)) : INDEX(AA:AA, ROW()-1)),
   AVERAGEIFS(
     INDEX((unit_details[Effective Rent],unit_details[Effective PSF]),0,1,IF($U$3="Chunk Rent",1,2)),
     unit_details[Leased Date],"&gt;="&amp;($AM$2-X$5),
     unit_details[Leased Date],"&lt;"&amp;$AM$2,
     unit_details[Beds],$L440,
     unit_details[Baths],$M440,
     unit_details[Partial Baths],IF(ISNUMBER($N440),$N440,""),
     unit_details[Sqft],$P440,
     unit_details[Property Name],$F440)
 ),"")</f>
        <v/>
      </c>
      <c r="Z440" s="27" t="str">
        <f t="shared" si="77"/>
        <v/>
      </c>
      <c r="AA440" s="526">
        <f>IFERROR(
  IF($F440="Total",
    SUM(INDEX(AA:AA, ROW()-COUNTIF($F$6:INDEX($F:$F, ROW()-1), $F439)) : INDEX(AA:AA, ROW()-1)),
    COUNTIFS(
      unit_details[Leased Date], "&gt;="&amp;($AM$2-X$5),
      unit_details[Leased Date], "&lt;"&amp;$AM$2,
      unit_details[Beds], $L440,
      unit_details[Baths], $M440,
      unit_details[Partial Baths], IF(ISNUMBER($N440), $N440, ""),
      unit_details[Sqft],$P440,
      unit_details[Property Name], $F440
    )
  ),
"")</f>
        <v>0</v>
      </c>
      <c r="AB440" s="290">
        <f>IF($F440="Total",
SUM(INDEX(AB:AB, ROW()-COUNTIF($F$6:INDEX($F:$F, ROW()-1), $F439)) : INDEX(AB:AB, ROW()-1)),
COUNTIFS(unit_details[Active Listing?],TRUE,
          unit_details[Property Name], $F440,
          unit_details[Beds], $L440,
          unit_details[Baths], $M440,
          unit_details[Partial Baths],IF(ISNUMBER($N440),$N440,""),
          unit_details[Sqft],$P440))</f>
        <v>0</v>
      </c>
      <c r="AC440" s="27" t="str">
        <f t="shared" si="69"/>
        <v/>
      </c>
      <c r="AD440" s="293" t="str">
        <f>IFERROR(IF(AE440="","",IF($F440="Total",
SUMPRODUCT(
   INDEX(AD:AD, ROW()-COUNTIF($F$6:INDEX($F:$F, ROW()-1), $F439)) : INDEX(AD:AD, ROW()-1),
   INDEX(AB:AB, ROW()-COUNTIF($F$6:INDEX($F:$F, ROW()-1), $F439)) : INDEX(AB:AB, ROW()-1)
   )
   /SUM(INDEX(AB:AB, ROW()-COUNTIF($F$6:INDEX($F:$F, ROW()-1), $F439)) : INDEX(AB:AB, ROW()-1)),
          _xlfn.MINIFS(unit_details[Asking Rent],
          unit_details[Active Listing?],TRUE,
          unit_details[Property Name], $F440,
          unit_details[Beds], $L440,
          unit_details[Baths], $M440,
          unit_details[Partial Baths], IF(ISNUMBER($N440),$N440,""),
          unit_details[Sqft],$P440
))),"")</f>
        <v/>
      </c>
      <c r="AE440" s="5" t="str">
        <f>IFERROR(IF($F440="Total",
          SUMPRODUCT(
   INDEX(AE:AE, ROW()-COUNTIF($F$6:INDEX($F:$F, ROW()-1), $F439)) : INDEX(AE:AE, ROW()-1),
   INDEX(AB:AB, ROW()-COUNTIF($F$6:INDEX($F:$F, ROW()-1), $F439)) : INDEX(AB:AB, ROW()-1)
   )
   /SUM(INDEX(AB:AB, ROW()-COUNTIF($F$6:INDEX($F:$F, ROW()-1), $F439)) : INDEX(AB:AB, ROW()-1)),
          AVERAGEIFS(unit_details[Asking Rent],
          unit_details[Active Listing?],TRUE,
          unit_details[Property Name], $F440,
          unit_details[Beds], $L440,
          unit_details[Baths], $M440,
          unit_details[Partial Baths], IF(ISNUMBER($N440),$N440,""),
          unit_details[Sqft],$P440
)),"")</f>
        <v/>
      </c>
      <c r="AF440" s="5" t="str">
        <f>IFERROR(IF(AE440="","",IF($F440="Total",
SUMPRODUCT(
   INDEX(AF:AF, ROW()-COUNTIF($F$6:INDEX($F:$F, ROW()-1), $F439)) : INDEX(AF:AF, ROW()-1),
   INDEX(AB:AB, ROW()-COUNTIF($F$6:INDEX($F:$F, ROW()-1), $F439)) : INDEX(AB:AB, ROW()-1)
   )
   /SUM(INDEX(AB:AB, ROW()-COUNTIF($F$6:INDEX($F:$F, ROW()-1), $F439)) : INDEX(AB:AB, ROW()-1)),
           _xlfn.MAXIFS(unit_details[Asking Rent],
          unit_details[Active Listing?],TRUE,
          unit_details[Property Name], $F440,
          unit_details[Beds], $L440,
          unit_details[Baths], $M440,
          unit_details[Partial Baths], IF(ISNUMBER($N440),$N440,""),
          unit_details[Sqft],$P440
))),"")</f>
        <v/>
      </c>
      <c r="AG440" s="6" t="str">
        <f>IFERROR(IF($F440="Total",
         SUMPRODUCT(
         INDEX(AG:AG, ROW()-COUNTIF($F$6:INDEX($F:$F, ROW()-1), $F439)) : INDEX(AG:AG, ROW()-1),
         INDEX(AB:AB, ROW()-COUNTIF($F$6:INDEX($F:$F, ROW()-1), $F439)) : INDEX(AB:AB, ROW()-1)
         )
         /SUM(INDEX(AB:AB, ROW()-COUNTIF($F$6:INDEX($F:$F, ROW()-1), $F439)) : INDEX(AB:AB, ROW()-1)),
          AVERAGEIFS(unit_details[Asking PSF],
          unit_details[Active Listing?],TRUE,
          unit_details[Property Name], $F440,
          unit_details[Beds], $L440,
          unit_details[Baths], $M440,
          unit_details[Partial Baths], IF(ISNUMBER($N440),$N440,""),
          unit_details[Sqft],$P440
)),"")</f>
        <v/>
      </c>
      <c r="AH440" s="293" t="str">
        <f>IFERROR(IF($F440="Total",
         SUMPRODUCT(
         INDEX(AH:AH, ROW()-COUNTIF($F$6:INDEX($F:$F, ROW()-1), $F439)) : INDEX(AH:AH, ROW()-1),
         INDEX(AB:AB, ROW()-COUNTIF($F$6:INDEX($F:$F, ROW()-1), $F439)) : INDEX(AB:AB, ROW()-1)
         )
         /SUM(INDEX(AB:AB, ROW()-COUNTIF($F$6:INDEX($F:$F, ROW()-1), $F439)) : INDEX(AB:AB, ROW()-1)),
          AVERAGEIFS(unit_details[Effective Rent],
          unit_details[Active Listing?],TRUE,
          unit_details[Property Name], $F440,
          unit_details[Beds], $L440,
          unit_details[Baths], $M440,
          unit_details[Partial Baths], IF(ISNUMBER($N440),$N440,""),
          unit_details[Sqft],$P440
)),"")</f>
        <v/>
      </c>
      <c r="AI440" s="6" t="str">
        <f>IFERROR(IF($F440="Total",
         SUMPRODUCT(
         INDEX(AI:AI, ROW()-COUNTIF($F$6:INDEX($F:$F, ROW()-1), $F439)) : INDEX(AI:AI, ROW()-1),
         INDEX(AB:AB, ROW()-COUNTIF($F$6:INDEX($F:$F, ROW()-1), $F439)) : INDEX(AB:AB, ROW()-1)
         )
         /SUM(INDEX(AB:AB, ROW()-COUNTIF($F$6:INDEX($F:$F, ROW()-1), $F439)) : INDEX(AB:AB, ROW()-1)),
           AVERAGEIFS(unit_details[Effective PSF],
          unit_details[Active Listing?],TRUE,
          unit_details[Property Name], $F440,
          unit_details[Beds], $L440,
          unit_details[Baths], $M440,
          unit_details[Partial Baths], IF(ISNUMBER($N440),$N440,""),
          unit_details[Sqft],$P440
)),"")</f>
        <v/>
      </c>
      <c r="AJ440" s="824" t="str">
        <f t="shared" si="70"/>
        <v/>
      </c>
      <c r="AK440" s="531" t="str">
        <f t="shared" si="71"/>
        <v/>
      </c>
      <c r="AL440" s="714" t="str">
        <f t="shared" si="72"/>
        <v/>
      </c>
      <c r="AM440" s="531" t="str">
        <f t="shared" si="73"/>
        <v/>
      </c>
      <c r="AN440" s="716" t="str">
        <f t="shared" si="74"/>
        <v/>
      </c>
    </row>
    <row r="441" spans="6:40" x14ac:dyDescent="0.2">
      <c r="F441" s="1" t="str">
        <f t="shared" si="67"/>
        <v/>
      </c>
      <c r="G441" s="713" t="str">
        <f t="shared" si="75"/>
        <v/>
      </c>
      <c r="H441" s="17" t="str">
        <f>IFERROR(VLOOKUP($G441,Table1[[Property]:[Exposure %]],4,0),"")</f>
        <v/>
      </c>
      <c r="I441" s="3" t="str">
        <f>IFERROR(VLOOKUP($G441,Table1[[Property]:[Exposure %]],6,0),"")</f>
        <v/>
      </c>
      <c r="J441" s="3" t="str">
        <f>IFERROR(VLOOKUP($G441,Table1[[Property]:[Exposure %]],7,0),"")</f>
        <v/>
      </c>
      <c r="R441" s="4" t="str">
        <f>IFERROR(VLOOKUP(IF(F441="Total",F440,F441),Table1[[Property]:['# Units]],7,0)*S441,"")</f>
        <v/>
      </c>
      <c r="S441" s="27" t="str">
        <f t="shared" si="68"/>
        <v/>
      </c>
      <c r="T441" s="531" t="str">
        <f>IFERROR(
 IF($F441="Total",
   SUMPRODUCT(
   INDEX(T:T, ROW()-COUNTIF($F$6:INDEX($F:$F, ROW()-1), $F440)) : INDEX(T:T, ROW()-1),
   INDEX(W:W, ROW()-COUNTIF($F$6:INDEX($F:$F, ROW()-1), $F440)) : INDEX(W:W, ROW()-1)
   )
   /SUM(INDEX(W:W, ROW()-COUNTIF($F$6:INDEX($F:$F, ROW()-1), $F440)) : INDEX(W:W, ROW()-1)),
   AVERAGEIFS(
     INDEX((unit_details[Asking Rent],unit_details[Asking PSF]),0,1,IF($U$3="Chunk Rent",1,2)),
     unit_details[Leased Date],"&gt;="&amp;($AM$2-T$5),
     unit_details[Leased Date],"&lt;"&amp;$AM$2,
     unit_details[Beds],$L441,
     unit_details[Baths],$M441,
     unit_details[Partial Baths],IF(ISNUMBER($N441),$N441,""),
     unit_details[Sqft],$P441,
     unit_details[Property Name],$F441)
 ),"")</f>
        <v/>
      </c>
      <c r="U441" s="552" t="str">
        <f>IFERROR(
 IF($F441="Total",
   SUMPRODUCT(
   INDEX(U:U, ROW()-COUNTIF($F$6:INDEX($F:$F, ROW()-1), $F440)) : INDEX(U:U, ROW()-1),
   INDEX(W:W, ROW()-COUNTIF($F$6:INDEX($F:$F, ROW()-1), $F440)) : INDEX(W:W, ROW()-1)
   )
   /SUM(INDEX(W:W, ROW()-COUNTIF($F$6:INDEX($F:$F, ROW()-1), $F440)) : INDEX(W:W, ROW()-1)),
   AVERAGEIFS(
     INDEX((unit_details[Effective Rent],unit_details[Effective PSF]),0,1,IF($U$3="Chunk Rent",1,2)),
     unit_details[Leased Date],"&gt;="&amp;($AM$2-T$5),
     unit_details[Leased Date],"&lt;"&amp;$AM$2,
     unit_details[Beds],$L441,
     unit_details[Baths],$M441,
     unit_details[Partial Baths],IF(ISNUMBER($N441),$N441,""),
     unit_details[Sqft],$P441,
     unit_details[Property Name],$F441)
 ),"")</f>
        <v/>
      </c>
      <c r="V441" s="27" t="str">
        <f t="shared" si="76"/>
        <v/>
      </c>
      <c r="W441" s="526">
        <f>IFERROR(
  IF($F441="Total",
    SUM(INDEX(W:W, ROW()-COUNTIF($F$6:INDEX($F:$F, ROW()-1), $F440)) : INDEX(W:W, ROW()-1)),
    COUNTIFS(
      unit_details[Leased Date], "&gt;="&amp;($AM$2-T$5),
      unit_details[Leased Date], "&lt;"&amp;$AM$2,
      unit_details[Beds], $L441,
      unit_details[Baths], $M441,
      unit_details[Partial Baths], IF(ISNUMBER($N441), $N441, ""),
      unit_details[Sqft],$P441,
      unit_details[Property Name], $F441
    )
  ),
"")</f>
        <v>0</v>
      </c>
      <c r="X441" s="531" t="str">
        <f>IFERROR(
 IF($F441="Total",
   SUMPRODUCT(
   INDEX(X:X, ROW()-COUNTIF($F$6:INDEX($F:$F, ROW()-1), $F440)) : INDEX(X:X, ROW()-1),
   INDEX(AA:AA, ROW()-COUNTIF($F$6:INDEX($F:$F, ROW()-1), $F440)) : INDEX(AA:AA, ROW()-1)
   )
   /SUM(INDEX(AA:AA, ROW()-COUNTIF($F$6:INDEX($F:$F, ROW()-1), $F440)) : INDEX(AA:AA, ROW()-1)),
   AVERAGEIFS(
     INDEX((unit_details[Asking Rent],unit_details[Asking PSF]),0,1,IF($U$3="Chunk Rent",1,2)),
     unit_details[Leased Date],"&gt;="&amp;($AM$2-X$5),
     unit_details[Leased Date],"&lt;"&amp;$AM$2,
     unit_details[Beds],$L441,
     unit_details[Baths],$M441,
     unit_details[Partial Baths],IF(ISNUMBER($N441),$N441,""),
     unit_details[Sqft],$P441,
     unit_details[Property Name],$F441)
 ),"")</f>
        <v/>
      </c>
      <c r="Y441" s="552" t="str">
        <f>IFERROR(
 IF($F441="Total",
   SUMPRODUCT(
   INDEX(Y:Y, ROW()-COUNTIF($F$6:INDEX($F:$F, ROW()-1), $F440)) : INDEX(Y:Y, ROW()-1),
   INDEX(AA:AA, ROW()-COUNTIF($F$6:INDEX($F:$F, ROW()-1), $F440)) : INDEX(AA:AA, ROW()-1)
   )
   /SUM(INDEX(AA:AA, ROW()-COUNTIF($F$6:INDEX($F:$F, ROW()-1), $F440)) : INDEX(AA:AA, ROW()-1)),
   AVERAGEIFS(
     INDEX((unit_details[Effective Rent],unit_details[Effective PSF]),0,1,IF($U$3="Chunk Rent",1,2)),
     unit_details[Leased Date],"&gt;="&amp;($AM$2-X$5),
     unit_details[Leased Date],"&lt;"&amp;$AM$2,
     unit_details[Beds],$L441,
     unit_details[Baths],$M441,
     unit_details[Partial Baths],IF(ISNUMBER($N441),$N441,""),
     unit_details[Sqft],$P441,
     unit_details[Property Name],$F441)
 ),"")</f>
        <v/>
      </c>
      <c r="Z441" s="27" t="str">
        <f t="shared" si="77"/>
        <v/>
      </c>
      <c r="AA441" s="526">
        <f>IFERROR(
  IF($F441="Total",
    SUM(INDEX(AA:AA, ROW()-COUNTIF($F$6:INDEX($F:$F, ROW()-1), $F440)) : INDEX(AA:AA, ROW()-1)),
    COUNTIFS(
      unit_details[Leased Date], "&gt;="&amp;($AM$2-X$5),
      unit_details[Leased Date], "&lt;"&amp;$AM$2,
      unit_details[Beds], $L441,
      unit_details[Baths], $M441,
      unit_details[Partial Baths], IF(ISNUMBER($N441), $N441, ""),
      unit_details[Sqft],$P441,
      unit_details[Property Name], $F441
    )
  ),
"")</f>
        <v>0</v>
      </c>
      <c r="AB441" s="290">
        <f>IF($F441="Total",
SUM(INDEX(AB:AB, ROW()-COUNTIF($F$6:INDEX($F:$F, ROW()-1), $F440)) : INDEX(AB:AB, ROW()-1)),
COUNTIFS(unit_details[Active Listing?],TRUE,
          unit_details[Property Name], $F441,
          unit_details[Beds], $L441,
          unit_details[Baths], $M441,
          unit_details[Partial Baths],IF(ISNUMBER($N441),$N441,""),
          unit_details[Sqft],$P441))</f>
        <v>0</v>
      </c>
      <c r="AC441" s="27" t="str">
        <f t="shared" si="69"/>
        <v/>
      </c>
      <c r="AD441" s="293" t="str">
        <f>IFERROR(IF(AE441="","",IF($F441="Total",
SUMPRODUCT(
   INDEX(AD:AD, ROW()-COUNTIF($F$6:INDEX($F:$F, ROW()-1), $F440)) : INDEX(AD:AD, ROW()-1),
   INDEX(AB:AB, ROW()-COUNTIF($F$6:INDEX($F:$F, ROW()-1), $F440)) : INDEX(AB:AB, ROW()-1)
   )
   /SUM(INDEX(AB:AB, ROW()-COUNTIF($F$6:INDEX($F:$F, ROW()-1), $F440)) : INDEX(AB:AB, ROW()-1)),
          _xlfn.MINIFS(unit_details[Asking Rent],
          unit_details[Active Listing?],TRUE,
          unit_details[Property Name], $F441,
          unit_details[Beds], $L441,
          unit_details[Baths], $M441,
          unit_details[Partial Baths], IF(ISNUMBER($N441),$N441,""),
          unit_details[Sqft],$P441
))),"")</f>
        <v/>
      </c>
      <c r="AE441" s="5" t="str">
        <f>IFERROR(IF($F441="Total",
          SUMPRODUCT(
   INDEX(AE:AE, ROW()-COUNTIF($F$6:INDEX($F:$F, ROW()-1), $F440)) : INDEX(AE:AE, ROW()-1),
   INDEX(AB:AB, ROW()-COUNTIF($F$6:INDEX($F:$F, ROW()-1), $F440)) : INDEX(AB:AB, ROW()-1)
   )
   /SUM(INDEX(AB:AB, ROW()-COUNTIF($F$6:INDEX($F:$F, ROW()-1), $F440)) : INDEX(AB:AB, ROW()-1)),
          AVERAGEIFS(unit_details[Asking Rent],
          unit_details[Active Listing?],TRUE,
          unit_details[Property Name], $F441,
          unit_details[Beds], $L441,
          unit_details[Baths], $M441,
          unit_details[Partial Baths], IF(ISNUMBER($N441),$N441,""),
          unit_details[Sqft],$P441
)),"")</f>
        <v/>
      </c>
      <c r="AF441" s="5" t="str">
        <f>IFERROR(IF(AE441="","",IF($F441="Total",
SUMPRODUCT(
   INDEX(AF:AF, ROW()-COUNTIF($F$6:INDEX($F:$F, ROW()-1), $F440)) : INDEX(AF:AF, ROW()-1),
   INDEX(AB:AB, ROW()-COUNTIF($F$6:INDEX($F:$F, ROW()-1), $F440)) : INDEX(AB:AB, ROW()-1)
   )
   /SUM(INDEX(AB:AB, ROW()-COUNTIF($F$6:INDEX($F:$F, ROW()-1), $F440)) : INDEX(AB:AB, ROW()-1)),
           _xlfn.MAXIFS(unit_details[Asking Rent],
          unit_details[Active Listing?],TRUE,
          unit_details[Property Name], $F441,
          unit_details[Beds], $L441,
          unit_details[Baths], $M441,
          unit_details[Partial Baths], IF(ISNUMBER($N441),$N441,""),
          unit_details[Sqft],$P441
))),"")</f>
        <v/>
      </c>
      <c r="AG441" s="6" t="str">
        <f>IFERROR(IF($F441="Total",
         SUMPRODUCT(
         INDEX(AG:AG, ROW()-COUNTIF($F$6:INDEX($F:$F, ROW()-1), $F440)) : INDEX(AG:AG, ROW()-1),
         INDEX(AB:AB, ROW()-COUNTIF($F$6:INDEX($F:$F, ROW()-1), $F440)) : INDEX(AB:AB, ROW()-1)
         )
         /SUM(INDEX(AB:AB, ROW()-COUNTIF($F$6:INDEX($F:$F, ROW()-1), $F440)) : INDEX(AB:AB, ROW()-1)),
          AVERAGEIFS(unit_details[Asking PSF],
          unit_details[Active Listing?],TRUE,
          unit_details[Property Name], $F441,
          unit_details[Beds], $L441,
          unit_details[Baths], $M441,
          unit_details[Partial Baths], IF(ISNUMBER($N441),$N441,""),
          unit_details[Sqft],$P441
)),"")</f>
        <v/>
      </c>
      <c r="AH441" s="293" t="str">
        <f>IFERROR(IF($F441="Total",
         SUMPRODUCT(
         INDEX(AH:AH, ROW()-COUNTIF($F$6:INDEX($F:$F, ROW()-1), $F440)) : INDEX(AH:AH, ROW()-1),
         INDEX(AB:AB, ROW()-COUNTIF($F$6:INDEX($F:$F, ROW()-1), $F440)) : INDEX(AB:AB, ROW()-1)
         )
         /SUM(INDEX(AB:AB, ROW()-COUNTIF($F$6:INDEX($F:$F, ROW()-1), $F440)) : INDEX(AB:AB, ROW()-1)),
          AVERAGEIFS(unit_details[Effective Rent],
          unit_details[Active Listing?],TRUE,
          unit_details[Property Name], $F441,
          unit_details[Beds], $L441,
          unit_details[Baths], $M441,
          unit_details[Partial Baths], IF(ISNUMBER($N441),$N441,""),
          unit_details[Sqft],$P441
)),"")</f>
        <v/>
      </c>
      <c r="AI441" s="6" t="str">
        <f>IFERROR(IF($F441="Total",
         SUMPRODUCT(
         INDEX(AI:AI, ROW()-COUNTIF($F$6:INDEX($F:$F, ROW()-1), $F440)) : INDEX(AI:AI, ROW()-1),
         INDEX(AB:AB, ROW()-COUNTIF($F$6:INDEX($F:$F, ROW()-1), $F440)) : INDEX(AB:AB, ROW()-1)
         )
         /SUM(INDEX(AB:AB, ROW()-COUNTIF($F$6:INDEX($F:$F, ROW()-1), $F440)) : INDEX(AB:AB, ROW()-1)),
           AVERAGEIFS(unit_details[Effective PSF],
          unit_details[Active Listing?],TRUE,
          unit_details[Property Name], $F441,
          unit_details[Beds], $L441,
          unit_details[Baths], $M441,
          unit_details[Partial Baths], IF(ISNUMBER($N441),$N441,""),
          unit_details[Sqft],$P441
)),"")</f>
        <v/>
      </c>
      <c r="AJ441" s="824" t="str">
        <f t="shared" si="70"/>
        <v/>
      </c>
      <c r="AK441" s="531" t="str">
        <f t="shared" si="71"/>
        <v/>
      </c>
      <c r="AL441" s="714" t="str">
        <f t="shared" si="72"/>
        <v/>
      </c>
      <c r="AM441" s="531" t="str">
        <f t="shared" si="73"/>
        <v/>
      </c>
      <c r="AN441" s="716" t="str">
        <f t="shared" si="74"/>
        <v/>
      </c>
    </row>
    <row r="442" spans="6:40" x14ac:dyDescent="0.2">
      <c r="F442" s="1" t="str">
        <f t="shared" si="67"/>
        <v/>
      </c>
      <c r="G442" s="713" t="str">
        <f t="shared" si="75"/>
        <v/>
      </c>
      <c r="H442" s="17" t="str">
        <f>IFERROR(VLOOKUP($G442,Table1[[Property]:[Exposure %]],4,0),"")</f>
        <v/>
      </c>
      <c r="I442" s="3" t="str">
        <f>IFERROR(VLOOKUP($G442,Table1[[Property]:[Exposure %]],6,0),"")</f>
        <v/>
      </c>
      <c r="J442" s="3" t="str">
        <f>IFERROR(VLOOKUP($G442,Table1[[Property]:[Exposure %]],7,0),"")</f>
        <v/>
      </c>
      <c r="R442" s="4" t="str">
        <f>IFERROR(VLOOKUP(IF(F442="Total",F441,F442),Table1[[Property]:['# Units]],7,0)*S442,"")</f>
        <v/>
      </c>
      <c r="S442" s="27" t="str">
        <f t="shared" si="68"/>
        <v/>
      </c>
      <c r="T442" s="531" t="str">
        <f>IFERROR(
 IF($F442="Total",
   SUMPRODUCT(
   INDEX(T:T, ROW()-COUNTIF($F$6:INDEX($F:$F, ROW()-1), $F441)) : INDEX(T:T, ROW()-1),
   INDEX(W:W, ROW()-COUNTIF($F$6:INDEX($F:$F, ROW()-1), $F441)) : INDEX(W:W, ROW()-1)
   )
   /SUM(INDEX(W:W, ROW()-COUNTIF($F$6:INDEX($F:$F, ROW()-1), $F441)) : INDEX(W:W, ROW()-1)),
   AVERAGEIFS(
     INDEX((unit_details[Asking Rent],unit_details[Asking PSF]),0,1,IF($U$3="Chunk Rent",1,2)),
     unit_details[Leased Date],"&gt;="&amp;($AM$2-T$5),
     unit_details[Leased Date],"&lt;"&amp;$AM$2,
     unit_details[Beds],$L442,
     unit_details[Baths],$M442,
     unit_details[Partial Baths],IF(ISNUMBER($N442),$N442,""),
     unit_details[Sqft],$P442,
     unit_details[Property Name],$F442)
 ),"")</f>
        <v/>
      </c>
      <c r="U442" s="552" t="str">
        <f>IFERROR(
 IF($F442="Total",
   SUMPRODUCT(
   INDEX(U:U, ROW()-COUNTIF($F$6:INDEX($F:$F, ROW()-1), $F441)) : INDEX(U:U, ROW()-1),
   INDEX(W:W, ROW()-COUNTIF($F$6:INDEX($F:$F, ROW()-1), $F441)) : INDEX(W:W, ROW()-1)
   )
   /SUM(INDEX(W:W, ROW()-COUNTIF($F$6:INDEX($F:$F, ROW()-1), $F441)) : INDEX(W:W, ROW()-1)),
   AVERAGEIFS(
     INDEX((unit_details[Effective Rent],unit_details[Effective PSF]),0,1,IF($U$3="Chunk Rent",1,2)),
     unit_details[Leased Date],"&gt;="&amp;($AM$2-T$5),
     unit_details[Leased Date],"&lt;"&amp;$AM$2,
     unit_details[Beds],$L442,
     unit_details[Baths],$M442,
     unit_details[Partial Baths],IF(ISNUMBER($N442),$N442,""),
     unit_details[Sqft],$P442,
     unit_details[Property Name],$F442)
 ),"")</f>
        <v/>
      </c>
      <c r="V442" s="27" t="str">
        <f t="shared" si="76"/>
        <v/>
      </c>
      <c r="W442" s="526">
        <f>IFERROR(
  IF($F442="Total",
    SUM(INDEX(W:W, ROW()-COUNTIF($F$6:INDEX($F:$F, ROW()-1), $F441)) : INDEX(W:W, ROW()-1)),
    COUNTIFS(
      unit_details[Leased Date], "&gt;="&amp;($AM$2-T$5),
      unit_details[Leased Date], "&lt;"&amp;$AM$2,
      unit_details[Beds], $L442,
      unit_details[Baths], $M442,
      unit_details[Partial Baths], IF(ISNUMBER($N442), $N442, ""),
      unit_details[Sqft],$P442,
      unit_details[Property Name], $F442
    )
  ),
"")</f>
        <v>0</v>
      </c>
      <c r="X442" s="531" t="str">
        <f>IFERROR(
 IF($F442="Total",
   SUMPRODUCT(
   INDEX(X:X, ROW()-COUNTIF($F$6:INDEX($F:$F, ROW()-1), $F441)) : INDEX(X:X, ROW()-1),
   INDEX(AA:AA, ROW()-COUNTIF($F$6:INDEX($F:$F, ROW()-1), $F441)) : INDEX(AA:AA, ROW()-1)
   )
   /SUM(INDEX(AA:AA, ROW()-COUNTIF($F$6:INDEX($F:$F, ROW()-1), $F441)) : INDEX(AA:AA, ROW()-1)),
   AVERAGEIFS(
     INDEX((unit_details[Asking Rent],unit_details[Asking PSF]),0,1,IF($U$3="Chunk Rent",1,2)),
     unit_details[Leased Date],"&gt;="&amp;($AM$2-X$5),
     unit_details[Leased Date],"&lt;"&amp;$AM$2,
     unit_details[Beds],$L442,
     unit_details[Baths],$M442,
     unit_details[Partial Baths],IF(ISNUMBER($N442),$N442,""),
     unit_details[Sqft],$P442,
     unit_details[Property Name],$F442)
 ),"")</f>
        <v/>
      </c>
      <c r="Y442" s="552" t="str">
        <f>IFERROR(
 IF($F442="Total",
   SUMPRODUCT(
   INDEX(Y:Y, ROW()-COUNTIF($F$6:INDEX($F:$F, ROW()-1), $F441)) : INDEX(Y:Y, ROW()-1),
   INDEX(AA:AA, ROW()-COUNTIF($F$6:INDEX($F:$F, ROW()-1), $F441)) : INDEX(AA:AA, ROW()-1)
   )
   /SUM(INDEX(AA:AA, ROW()-COUNTIF($F$6:INDEX($F:$F, ROW()-1), $F441)) : INDEX(AA:AA, ROW()-1)),
   AVERAGEIFS(
     INDEX((unit_details[Effective Rent],unit_details[Effective PSF]),0,1,IF($U$3="Chunk Rent",1,2)),
     unit_details[Leased Date],"&gt;="&amp;($AM$2-X$5),
     unit_details[Leased Date],"&lt;"&amp;$AM$2,
     unit_details[Beds],$L442,
     unit_details[Baths],$M442,
     unit_details[Partial Baths],IF(ISNUMBER($N442),$N442,""),
     unit_details[Sqft],$P442,
     unit_details[Property Name],$F442)
 ),"")</f>
        <v/>
      </c>
      <c r="Z442" s="27" t="str">
        <f t="shared" si="77"/>
        <v/>
      </c>
      <c r="AA442" s="526">
        <f>IFERROR(
  IF($F442="Total",
    SUM(INDEX(AA:AA, ROW()-COUNTIF($F$6:INDEX($F:$F, ROW()-1), $F441)) : INDEX(AA:AA, ROW()-1)),
    COUNTIFS(
      unit_details[Leased Date], "&gt;="&amp;($AM$2-X$5),
      unit_details[Leased Date], "&lt;"&amp;$AM$2,
      unit_details[Beds], $L442,
      unit_details[Baths], $M442,
      unit_details[Partial Baths], IF(ISNUMBER($N442), $N442, ""),
      unit_details[Sqft],$P442,
      unit_details[Property Name], $F442
    )
  ),
"")</f>
        <v>0</v>
      </c>
      <c r="AB442" s="290">
        <f>IF($F442="Total",
SUM(INDEX(AB:AB, ROW()-COUNTIF($F$6:INDEX($F:$F, ROW()-1), $F441)) : INDEX(AB:AB, ROW()-1)),
COUNTIFS(unit_details[Active Listing?],TRUE,
          unit_details[Property Name], $F442,
          unit_details[Beds], $L442,
          unit_details[Baths], $M442,
          unit_details[Partial Baths],IF(ISNUMBER($N442),$N442,""),
          unit_details[Sqft],$P442))</f>
        <v>0</v>
      </c>
      <c r="AC442" s="27" t="str">
        <f t="shared" si="69"/>
        <v/>
      </c>
      <c r="AD442" s="293" t="str">
        <f>IFERROR(IF(AE442="","",IF($F442="Total",
SUMPRODUCT(
   INDEX(AD:AD, ROW()-COUNTIF($F$6:INDEX($F:$F, ROW()-1), $F441)) : INDEX(AD:AD, ROW()-1),
   INDEX(AB:AB, ROW()-COUNTIF($F$6:INDEX($F:$F, ROW()-1), $F441)) : INDEX(AB:AB, ROW()-1)
   )
   /SUM(INDEX(AB:AB, ROW()-COUNTIF($F$6:INDEX($F:$F, ROW()-1), $F441)) : INDEX(AB:AB, ROW()-1)),
          _xlfn.MINIFS(unit_details[Asking Rent],
          unit_details[Active Listing?],TRUE,
          unit_details[Property Name], $F442,
          unit_details[Beds], $L442,
          unit_details[Baths], $M442,
          unit_details[Partial Baths], IF(ISNUMBER($N442),$N442,""),
          unit_details[Sqft],$P442
))),"")</f>
        <v/>
      </c>
      <c r="AE442" s="5" t="str">
        <f>IFERROR(IF($F442="Total",
          SUMPRODUCT(
   INDEX(AE:AE, ROW()-COUNTIF($F$6:INDEX($F:$F, ROW()-1), $F441)) : INDEX(AE:AE, ROW()-1),
   INDEX(AB:AB, ROW()-COUNTIF($F$6:INDEX($F:$F, ROW()-1), $F441)) : INDEX(AB:AB, ROW()-1)
   )
   /SUM(INDEX(AB:AB, ROW()-COUNTIF($F$6:INDEX($F:$F, ROW()-1), $F441)) : INDEX(AB:AB, ROW()-1)),
          AVERAGEIFS(unit_details[Asking Rent],
          unit_details[Active Listing?],TRUE,
          unit_details[Property Name], $F442,
          unit_details[Beds], $L442,
          unit_details[Baths], $M442,
          unit_details[Partial Baths], IF(ISNUMBER($N442),$N442,""),
          unit_details[Sqft],$P442
)),"")</f>
        <v/>
      </c>
      <c r="AF442" s="5" t="str">
        <f>IFERROR(IF(AE442="","",IF($F442="Total",
SUMPRODUCT(
   INDEX(AF:AF, ROW()-COUNTIF($F$6:INDEX($F:$F, ROW()-1), $F441)) : INDEX(AF:AF, ROW()-1),
   INDEX(AB:AB, ROW()-COUNTIF($F$6:INDEX($F:$F, ROW()-1), $F441)) : INDEX(AB:AB, ROW()-1)
   )
   /SUM(INDEX(AB:AB, ROW()-COUNTIF($F$6:INDEX($F:$F, ROW()-1), $F441)) : INDEX(AB:AB, ROW()-1)),
           _xlfn.MAXIFS(unit_details[Asking Rent],
          unit_details[Active Listing?],TRUE,
          unit_details[Property Name], $F442,
          unit_details[Beds], $L442,
          unit_details[Baths], $M442,
          unit_details[Partial Baths], IF(ISNUMBER($N442),$N442,""),
          unit_details[Sqft],$P442
))),"")</f>
        <v/>
      </c>
      <c r="AG442" s="6" t="str">
        <f>IFERROR(IF($F442="Total",
         SUMPRODUCT(
         INDEX(AG:AG, ROW()-COUNTIF($F$6:INDEX($F:$F, ROW()-1), $F441)) : INDEX(AG:AG, ROW()-1),
         INDEX(AB:AB, ROW()-COUNTIF($F$6:INDEX($F:$F, ROW()-1), $F441)) : INDEX(AB:AB, ROW()-1)
         )
         /SUM(INDEX(AB:AB, ROW()-COUNTIF($F$6:INDEX($F:$F, ROW()-1), $F441)) : INDEX(AB:AB, ROW()-1)),
          AVERAGEIFS(unit_details[Asking PSF],
          unit_details[Active Listing?],TRUE,
          unit_details[Property Name], $F442,
          unit_details[Beds], $L442,
          unit_details[Baths], $M442,
          unit_details[Partial Baths], IF(ISNUMBER($N442),$N442,""),
          unit_details[Sqft],$P442
)),"")</f>
        <v/>
      </c>
      <c r="AH442" s="293" t="str">
        <f>IFERROR(IF($F442="Total",
         SUMPRODUCT(
         INDEX(AH:AH, ROW()-COUNTIF($F$6:INDEX($F:$F, ROW()-1), $F441)) : INDEX(AH:AH, ROW()-1),
         INDEX(AB:AB, ROW()-COUNTIF($F$6:INDEX($F:$F, ROW()-1), $F441)) : INDEX(AB:AB, ROW()-1)
         )
         /SUM(INDEX(AB:AB, ROW()-COUNTIF($F$6:INDEX($F:$F, ROW()-1), $F441)) : INDEX(AB:AB, ROW()-1)),
          AVERAGEIFS(unit_details[Effective Rent],
          unit_details[Active Listing?],TRUE,
          unit_details[Property Name], $F442,
          unit_details[Beds], $L442,
          unit_details[Baths], $M442,
          unit_details[Partial Baths], IF(ISNUMBER($N442),$N442,""),
          unit_details[Sqft],$P442
)),"")</f>
        <v/>
      </c>
      <c r="AI442" s="6" t="str">
        <f>IFERROR(IF($F442="Total",
         SUMPRODUCT(
         INDEX(AI:AI, ROW()-COUNTIF($F$6:INDEX($F:$F, ROW()-1), $F441)) : INDEX(AI:AI, ROW()-1),
         INDEX(AB:AB, ROW()-COUNTIF($F$6:INDEX($F:$F, ROW()-1), $F441)) : INDEX(AB:AB, ROW()-1)
         )
         /SUM(INDEX(AB:AB, ROW()-COUNTIF($F$6:INDEX($F:$F, ROW()-1), $F441)) : INDEX(AB:AB, ROW()-1)),
           AVERAGEIFS(unit_details[Effective PSF],
          unit_details[Active Listing?],TRUE,
          unit_details[Property Name], $F442,
          unit_details[Beds], $L442,
          unit_details[Baths], $M442,
          unit_details[Partial Baths], IF(ISNUMBER($N442),$N442,""),
          unit_details[Sqft],$P442
)),"")</f>
        <v/>
      </c>
      <c r="AJ442" s="824" t="str">
        <f t="shared" si="70"/>
        <v/>
      </c>
      <c r="AK442" s="531" t="str">
        <f t="shared" si="71"/>
        <v/>
      </c>
      <c r="AL442" s="714" t="str">
        <f t="shared" si="72"/>
        <v/>
      </c>
      <c r="AM442" s="531" t="str">
        <f t="shared" si="73"/>
        <v/>
      </c>
      <c r="AN442" s="716" t="str">
        <f t="shared" si="74"/>
        <v/>
      </c>
    </row>
    <row r="443" spans="6:40" x14ac:dyDescent="0.2">
      <c r="F443" s="1" t="str">
        <f t="shared" si="67"/>
        <v/>
      </c>
      <c r="G443" s="713" t="str">
        <f t="shared" si="75"/>
        <v/>
      </c>
      <c r="H443" s="17" t="str">
        <f>IFERROR(VLOOKUP($G443,Table1[[Property]:[Exposure %]],4,0),"")</f>
        <v/>
      </c>
      <c r="I443" s="3" t="str">
        <f>IFERROR(VLOOKUP($G443,Table1[[Property]:[Exposure %]],6,0),"")</f>
        <v/>
      </c>
      <c r="J443" s="3" t="str">
        <f>IFERROR(VLOOKUP($G443,Table1[[Property]:[Exposure %]],7,0),"")</f>
        <v/>
      </c>
      <c r="R443" s="4" t="str">
        <f>IFERROR(VLOOKUP(IF(F443="Total",F442,F443),Table1[[Property]:['# Units]],7,0)*S443,"")</f>
        <v/>
      </c>
      <c r="S443" s="27" t="str">
        <f t="shared" si="68"/>
        <v/>
      </c>
      <c r="T443" s="531" t="str">
        <f>IFERROR(
 IF($F443="Total",
   SUMPRODUCT(
   INDEX(T:T, ROW()-COUNTIF($F$6:INDEX($F:$F, ROW()-1), $F442)) : INDEX(T:T, ROW()-1),
   INDEX(W:W, ROW()-COUNTIF($F$6:INDEX($F:$F, ROW()-1), $F442)) : INDEX(W:W, ROW()-1)
   )
   /SUM(INDEX(W:W, ROW()-COUNTIF($F$6:INDEX($F:$F, ROW()-1), $F442)) : INDEX(W:W, ROW()-1)),
   AVERAGEIFS(
     INDEX((unit_details[Asking Rent],unit_details[Asking PSF]),0,1,IF($U$3="Chunk Rent",1,2)),
     unit_details[Leased Date],"&gt;="&amp;($AM$2-T$5),
     unit_details[Leased Date],"&lt;"&amp;$AM$2,
     unit_details[Beds],$L443,
     unit_details[Baths],$M443,
     unit_details[Partial Baths],IF(ISNUMBER($N443),$N443,""),
     unit_details[Sqft],$P443,
     unit_details[Property Name],$F443)
 ),"")</f>
        <v/>
      </c>
      <c r="U443" s="552" t="str">
        <f>IFERROR(
 IF($F443="Total",
   SUMPRODUCT(
   INDEX(U:U, ROW()-COUNTIF($F$6:INDEX($F:$F, ROW()-1), $F442)) : INDEX(U:U, ROW()-1),
   INDEX(W:W, ROW()-COUNTIF($F$6:INDEX($F:$F, ROW()-1), $F442)) : INDEX(W:W, ROW()-1)
   )
   /SUM(INDEX(W:W, ROW()-COUNTIF($F$6:INDEX($F:$F, ROW()-1), $F442)) : INDEX(W:W, ROW()-1)),
   AVERAGEIFS(
     INDEX((unit_details[Effective Rent],unit_details[Effective PSF]),0,1,IF($U$3="Chunk Rent",1,2)),
     unit_details[Leased Date],"&gt;="&amp;($AM$2-T$5),
     unit_details[Leased Date],"&lt;"&amp;$AM$2,
     unit_details[Beds],$L443,
     unit_details[Baths],$M443,
     unit_details[Partial Baths],IF(ISNUMBER($N443),$N443,""),
     unit_details[Sqft],$P443,
     unit_details[Property Name],$F443)
 ),"")</f>
        <v/>
      </c>
      <c r="V443" s="27" t="str">
        <f t="shared" si="76"/>
        <v/>
      </c>
      <c r="W443" s="526">
        <f>IFERROR(
  IF($F443="Total",
    SUM(INDEX(W:W, ROW()-COUNTIF($F$6:INDEX($F:$F, ROW()-1), $F442)) : INDEX(W:W, ROW()-1)),
    COUNTIFS(
      unit_details[Leased Date], "&gt;="&amp;($AM$2-T$5),
      unit_details[Leased Date], "&lt;"&amp;$AM$2,
      unit_details[Beds], $L443,
      unit_details[Baths], $M443,
      unit_details[Partial Baths], IF(ISNUMBER($N443), $N443, ""),
      unit_details[Sqft],$P443,
      unit_details[Property Name], $F443
    )
  ),
"")</f>
        <v>0</v>
      </c>
      <c r="X443" s="531" t="str">
        <f>IFERROR(
 IF($F443="Total",
   SUMPRODUCT(
   INDEX(X:X, ROW()-COUNTIF($F$6:INDEX($F:$F, ROW()-1), $F442)) : INDEX(X:X, ROW()-1),
   INDEX(AA:AA, ROW()-COUNTIF($F$6:INDEX($F:$F, ROW()-1), $F442)) : INDEX(AA:AA, ROW()-1)
   )
   /SUM(INDEX(AA:AA, ROW()-COUNTIF($F$6:INDEX($F:$F, ROW()-1), $F442)) : INDEX(AA:AA, ROW()-1)),
   AVERAGEIFS(
     INDEX((unit_details[Asking Rent],unit_details[Asking PSF]),0,1,IF($U$3="Chunk Rent",1,2)),
     unit_details[Leased Date],"&gt;="&amp;($AM$2-X$5),
     unit_details[Leased Date],"&lt;"&amp;$AM$2,
     unit_details[Beds],$L443,
     unit_details[Baths],$M443,
     unit_details[Partial Baths],IF(ISNUMBER($N443),$N443,""),
     unit_details[Sqft],$P443,
     unit_details[Property Name],$F443)
 ),"")</f>
        <v/>
      </c>
      <c r="Y443" s="552" t="str">
        <f>IFERROR(
 IF($F443="Total",
   SUMPRODUCT(
   INDEX(Y:Y, ROW()-COUNTIF($F$6:INDEX($F:$F, ROW()-1), $F442)) : INDEX(Y:Y, ROW()-1),
   INDEX(AA:AA, ROW()-COUNTIF($F$6:INDEX($F:$F, ROW()-1), $F442)) : INDEX(AA:AA, ROW()-1)
   )
   /SUM(INDEX(AA:AA, ROW()-COUNTIF($F$6:INDEX($F:$F, ROW()-1), $F442)) : INDEX(AA:AA, ROW()-1)),
   AVERAGEIFS(
     INDEX((unit_details[Effective Rent],unit_details[Effective PSF]),0,1,IF($U$3="Chunk Rent",1,2)),
     unit_details[Leased Date],"&gt;="&amp;($AM$2-X$5),
     unit_details[Leased Date],"&lt;"&amp;$AM$2,
     unit_details[Beds],$L443,
     unit_details[Baths],$M443,
     unit_details[Partial Baths],IF(ISNUMBER($N443),$N443,""),
     unit_details[Sqft],$P443,
     unit_details[Property Name],$F443)
 ),"")</f>
        <v/>
      </c>
      <c r="Z443" s="27" t="str">
        <f t="shared" si="77"/>
        <v/>
      </c>
      <c r="AA443" s="526">
        <f>IFERROR(
  IF($F443="Total",
    SUM(INDEX(AA:AA, ROW()-COUNTIF($F$6:INDEX($F:$F, ROW()-1), $F442)) : INDEX(AA:AA, ROW()-1)),
    COUNTIFS(
      unit_details[Leased Date], "&gt;="&amp;($AM$2-X$5),
      unit_details[Leased Date], "&lt;"&amp;$AM$2,
      unit_details[Beds], $L443,
      unit_details[Baths], $M443,
      unit_details[Partial Baths], IF(ISNUMBER($N443), $N443, ""),
      unit_details[Sqft],$P443,
      unit_details[Property Name], $F443
    )
  ),
"")</f>
        <v>0</v>
      </c>
      <c r="AB443" s="290">
        <f>IF($F443="Total",
SUM(INDEX(AB:AB, ROW()-COUNTIF($F$6:INDEX($F:$F, ROW()-1), $F442)) : INDEX(AB:AB, ROW()-1)),
COUNTIFS(unit_details[Active Listing?],TRUE,
          unit_details[Property Name], $F443,
          unit_details[Beds], $L443,
          unit_details[Baths], $M443,
          unit_details[Partial Baths],IF(ISNUMBER($N443),$N443,""),
          unit_details[Sqft],$P443))</f>
        <v>0</v>
      </c>
      <c r="AC443" s="27" t="str">
        <f t="shared" si="69"/>
        <v/>
      </c>
      <c r="AD443" s="293" t="str">
        <f>IFERROR(IF(AE443="","",IF($F443="Total",
SUMPRODUCT(
   INDEX(AD:AD, ROW()-COUNTIF($F$6:INDEX($F:$F, ROW()-1), $F442)) : INDEX(AD:AD, ROW()-1),
   INDEX(AB:AB, ROW()-COUNTIF($F$6:INDEX($F:$F, ROW()-1), $F442)) : INDEX(AB:AB, ROW()-1)
   )
   /SUM(INDEX(AB:AB, ROW()-COUNTIF($F$6:INDEX($F:$F, ROW()-1), $F442)) : INDEX(AB:AB, ROW()-1)),
          _xlfn.MINIFS(unit_details[Asking Rent],
          unit_details[Active Listing?],TRUE,
          unit_details[Property Name], $F443,
          unit_details[Beds], $L443,
          unit_details[Baths], $M443,
          unit_details[Partial Baths], IF(ISNUMBER($N443),$N443,""),
          unit_details[Sqft],$P443
))),"")</f>
        <v/>
      </c>
      <c r="AE443" s="5" t="str">
        <f>IFERROR(IF($F443="Total",
          SUMPRODUCT(
   INDEX(AE:AE, ROW()-COUNTIF($F$6:INDEX($F:$F, ROW()-1), $F442)) : INDEX(AE:AE, ROW()-1),
   INDEX(AB:AB, ROW()-COUNTIF($F$6:INDEX($F:$F, ROW()-1), $F442)) : INDEX(AB:AB, ROW()-1)
   )
   /SUM(INDEX(AB:AB, ROW()-COUNTIF($F$6:INDEX($F:$F, ROW()-1), $F442)) : INDEX(AB:AB, ROW()-1)),
          AVERAGEIFS(unit_details[Asking Rent],
          unit_details[Active Listing?],TRUE,
          unit_details[Property Name], $F443,
          unit_details[Beds], $L443,
          unit_details[Baths], $M443,
          unit_details[Partial Baths], IF(ISNUMBER($N443),$N443,""),
          unit_details[Sqft],$P443
)),"")</f>
        <v/>
      </c>
      <c r="AF443" s="5" t="str">
        <f>IFERROR(IF(AE443="","",IF($F443="Total",
SUMPRODUCT(
   INDEX(AF:AF, ROW()-COUNTIF($F$6:INDEX($F:$F, ROW()-1), $F442)) : INDEX(AF:AF, ROW()-1),
   INDEX(AB:AB, ROW()-COUNTIF($F$6:INDEX($F:$F, ROW()-1), $F442)) : INDEX(AB:AB, ROW()-1)
   )
   /SUM(INDEX(AB:AB, ROW()-COUNTIF($F$6:INDEX($F:$F, ROW()-1), $F442)) : INDEX(AB:AB, ROW()-1)),
           _xlfn.MAXIFS(unit_details[Asking Rent],
          unit_details[Active Listing?],TRUE,
          unit_details[Property Name], $F443,
          unit_details[Beds], $L443,
          unit_details[Baths], $M443,
          unit_details[Partial Baths], IF(ISNUMBER($N443),$N443,""),
          unit_details[Sqft],$P443
))),"")</f>
        <v/>
      </c>
      <c r="AG443" s="6" t="str">
        <f>IFERROR(IF($F443="Total",
         SUMPRODUCT(
         INDEX(AG:AG, ROW()-COUNTIF($F$6:INDEX($F:$F, ROW()-1), $F442)) : INDEX(AG:AG, ROW()-1),
         INDEX(AB:AB, ROW()-COUNTIF($F$6:INDEX($F:$F, ROW()-1), $F442)) : INDEX(AB:AB, ROW()-1)
         )
         /SUM(INDEX(AB:AB, ROW()-COUNTIF($F$6:INDEX($F:$F, ROW()-1), $F442)) : INDEX(AB:AB, ROW()-1)),
          AVERAGEIFS(unit_details[Asking PSF],
          unit_details[Active Listing?],TRUE,
          unit_details[Property Name], $F443,
          unit_details[Beds], $L443,
          unit_details[Baths], $M443,
          unit_details[Partial Baths], IF(ISNUMBER($N443),$N443,""),
          unit_details[Sqft],$P443
)),"")</f>
        <v/>
      </c>
      <c r="AH443" s="293" t="str">
        <f>IFERROR(IF($F443="Total",
         SUMPRODUCT(
         INDEX(AH:AH, ROW()-COUNTIF($F$6:INDEX($F:$F, ROW()-1), $F442)) : INDEX(AH:AH, ROW()-1),
         INDEX(AB:AB, ROW()-COUNTIF($F$6:INDEX($F:$F, ROW()-1), $F442)) : INDEX(AB:AB, ROW()-1)
         )
         /SUM(INDEX(AB:AB, ROW()-COUNTIF($F$6:INDEX($F:$F, ROW()-1), $F442)) : INDEX(AB:AB, ROW()-1)),
          AVERAGEIFS(unit_details[Effective Rent],
          unit_details[Active Listing?],TRUE,
          unit_details[Property Name], $F443,
          unit_details[Beds], $L443,
          unit_details[Baths], $M443,
          unit_details[Partial Baths], IF(ISNUMBER($N443),$N443,""),
          unit_details[Sqft],$P443
)),"")</f>
        <v/>
      </c>
      <c r="AI443" s="6" t="str">
        <f>IFERROR(IF($F443="Total",
         SUMPRODUCT(
         INDEX(AI:AI, ROW()-COUNTIF($F$6:INDEX($F:$F, ROW()-1), $F442)) : INDEX(AI:AI, ROW()-1),
         INDEX(AB:AB, ROW()-COUNTIF($F$6:INDEX($F:$F, ROW()-1), $F442)) : INDEX(AB:AB, ROW()-1)
         )
         /SUM(INDEX(AB:AB, ROW()-COUNTIF($F$6:INDEX($F:$F, ROW()-1), $F442)) : INDEX(AB:AB, ROW()-1)),
           AVERAGEIFS(unit_details[Effective PSF],
          unit_details[Active Listing?],TRUE,
          unit_details[Property Name], $F443,
          unit_details[Beds], $L443,
          unit_details[Baths], $M443,
          unit_details[Partial Baths], IF(ISNUMBER($N443),$N443,""),
          unit_details[Sqft],$P443
)),"")</f>
        <v/>
      </c>
      <c r="AJ443" s="824" t="str">
        <f t="shared" si="70"/>
        <v/>
      </c>
      <c r="AK443" s="531" t="str">
        <f t="shared" si="71"/>
        <v/>
      </c>
      <c r="AL443" s="714" t="str">
        <f t="shared" si="72"/>
        <v/>
      </c>
      <c r="AM443" s="531" t="str">
        <f t="shared" si="73"/>
        <v/>
      </c>
      <c r="AN443" s="716" t="str">
        <f t="shared" si="74"/>
        <v/>
      </c>
    </row>
    <row r="444" spans="6:40" x14ac:dyDescent="0.2">
      <c r="F444" s="1" t="str">
        <f t="shared" si="67"/>
        <v/>
      </c>
      <c r="G444" s="713" t="str">
        <f t="shared" si="75"/>
        <v/>
      </c>
      <c r="H444" s="17" t="str">
        <f>IFERROR(VLOOKUP($G444,Table1[[Property]:[Exposure %]],4,0),"")</f>
        <v/>
      </c>
      <c r="I444" s="3" t="str">
        <f>IFERROR(VLOOKUP($G444,Table1[[Property]:[Exposure %]],6,0),"")</f>
        <v/>
      </c>
      <c r="J444" s="3" t="str">
        <f>IFERROR(VLOOKUP($G444,Table1[[Property]:[Exposure %]],7,0),"")</f>
        <v/>
      </c>
      <c r="R444" s="4" t="str">
        <f>IFERROR(VLOOKUP(IF(F444="Total",F443,F444),Table1[[Property]:['# Units]],7,0)*S444,"")</f>
        <v/>
      </c>
      <c r="S444" s="27" t="str">
        <f t="shared" si="68"/>
        <v/>
      </c>
      <c r="T444" s="531" t="str">
        <f>IFERROR(
 IF($F444="Total",
   SUMPRODUCT(
   INDEX(T:T, ROW()-COUNTIF($F$6:INDEX($F:$F, ROW()-1), $F443)) : INDEX(T:T, ROW()-1),
   INDEX(W:W, ROW()-COUNTIF($F$6:INDEX($F:$F, ROW()-1), $F443)) : INDEX(W:W, ROW()-1)
   )
   /SUM(INDEX(W:W, ROW()-COUNTIF($F$6:INDEX($F:$F, ROW()-1), $F443)) : INDEX(W:W, ROW()-1)),
   AVERAGEIFS(
     INDEX((unit_details[Asking Rent],unit_details[Asking PSF]),0,1,IF($U$3="Chunk Rent",1,2)),
     unit_details[Leased Date],"&gt;="&amp;($AM$2-T$5),
     unit_details[Leased Date],"&lt;"&amp;$AM$2,
     unit_details[Beds],$L444,
     unit_details[Baths],$M444,
     unit_details[Partial Baths],IF(ISNUMBER($N444),$N444,""),
     unit_details[Sqft],$P444,
     unit_details[Property Name],$F444)
 ),"")</f>
        <v/>
      </c>
      <c r="U444" s="552" t="str">
        <f>IFERROR(
 IF($F444="Total",
   SUMPRODUCT(
   INDEX(U:U, ROW()-COUNTIF($F$6:INDEX($F:$F, ROW()-1), $F443)) : INDEX(U:U, ROW()-1),
   INDEX(W:W, ROW()-COUNTIF($F$6:INDEX($F:$F, ROW()-1), $F443)) : INDEX(W:W, ROW()-1)
   )
   /SUM(INDEX(W:W, ROW()-COUNTIF($F$6:INDEX($F:$F, ROW()-1), $F443)) : INDEX(W:W, ROW()-1)),
   AVERAGEIFS(
     INDEX((unit_details[Effective Rent],unit_details[Effective PSF]),0,1,IF($U$3="Chunk Rent",1,2)),
     unit_details[Leased Date],"&gt;="&amp;($AM$2-T$5),
     unit_details[Leased Date],"&lt;"&amp;$AM$2,
     unit_details[Beds],$L444,
     unit_details[Baths],$M444,
     unit_details[Partial Baths],IF(ISNUMBER($N444),$N444,""),
     unit_details[Sqft],$P444,
     unit_details[Property Name],$F444)
 ),"")</f>
        <v/>
      </c>
      <c r="V444" s="27" t="str">
        <f t="shared" si="76"/>
        <v/>
      </c>
      <c r="W444" s="526">
        <f>IFERROR(
  IF($F444="Total",
    SUM(INDEX(W:W, ROW()-COUNTIF($F$6:INDEX($F:$F, ROW()-1), $F443)) : INDEX(W:W, ROW()-1)),
    COUNTIFS(
      unit_details[Leased Date], "&gt;="&amp;($AM$2-T$5),
      unit_details[Leased Date], "&lt;"&amp;$AM$2,
      unit_details[Beds], $L444,
      unit_details[Baths], $M444,
      unit_details[Partial Baths], IF(ISNUMBER($N444), $N444, ""),
      unit_details[Sqft],$P444,
      unit_details[Property Name], $F444
    )
  ),
"")</f>
        <v>0</v>
      </c>
      <c r="X444" s="531" t="str">
        <f>IFERROR(
 IF($F444="Total",
   SUMPRODUCT(
   INDEX(X:X, ROW()-COUNTIF($F$6:INDEX($F:$F, ROW()-1), $F443)) : INDEX(X:X, ROW()-1),
   INDEX(AA:AA, ROW()-COUNTIF($F$6:INDEX($F:$F, ROW()-1), $F443)) : INDEX(AA:AA, ROW()-1)
   )
   /SUM(INDEX(AA:AA, ROW()-COUNTIF($F$6:INDEX($F:$F, ROW()-1), $F443)) : INDEX(AA:AA, ROW()-1)),
   AVERAGEIFS(
     INDEX((unit_details[Asking Rent],unit_details[Asking PSF]),0,1,IF($U$3="Chunk Rent",1,2)),
     unit_details[Leased Date],"&gt;="&amp;($AM$2-X$5),
     unit_details[Leased Date],"&lt;"&amp;$AM$2,
     unit_details[Beds],$L444,
     unit_details[Baths],$M444,
     unit_details[Partial Baths],IF(ISNUMBER($N444),$N444,""),
     unit_details[Sqft],$P444,
     unit_details[Property Name],$F444)
 ),"")</f>
        <v/>
      </c>
      <c r="Y444" s="552" t="str">
        <f>IFERROR(
 IF($F444="Total",
   SUMPRODUCT(
   INDEX(Y:Y, ROW()-COUNTIF($F$6:INDEX($F:$F, ROW()-1), $F443)) : INDEX(Y:Y, ROW()-1),
   INDEX(AA:AA, ROW()-COUNTIF($F$6:INDEX($F:$F, ROW()-1), $F443)) : INDEX(AA:AA, ROW()-1)
   )
   /SUM(INDEX(AA:AA, ROW()-COUNTIF($F$6:INDEX($F:$F, ROW()-1), $F443)) : INDEX(AA:AA, ROW()-1)),
   AVERAGEIFS(
     INDEX((unit_details[Effective Rent],unit_details[Effective PSF]),0,1,IF($U$3="Chunk Rent",1,2)),
     unit_details[Leased Date],"&gt;="&amp;($AM$2-X$5),
     unit_details[Leased Date],"&lt;"&amp;$AM$2,
     unit_details[Beds],$L444,
     unit_details[Baths],$M444,
     unit_details[Partial Baths],IF(ISNUMBER($N444),$N444,""),
     unit_details[Sqft],$P444,
     unit_details[Property Name],$F444)
 ),"")</f>
        <v/>
      </c>
      <c r="Z444" s="27" t="str">
        <f t="shared" si="77"/>
        <v/>
      </c>
      <c r="AA444" s="526">
        <f>IFERROR(
  IF($F444="Total",
    SUM(INDEX(AA:AA, ROW()-COUNTIF($F$6:INDEX($F:$F, ROW()-1), $F443)) : INDEX(AA:AA, ROW()-1)),
    COUNTIFS(
      unit_details[Leased Date], "&gt;="&amp;($AM$2-X$5),
      unit_details[Leased Date], "&lt;"&amp;$AM$2,
      unit_details[Beds], $L444,
      unit_details[Baths], $M444,
      unit_details[Partial Baths], IF(ISNUMBER($N444), $N444, ""),
      unit_details[Sqft],$P444,
      unit_details[Property Name], $F444
    )
  ),
"")</f>
        <v>0</v>
      </c>
      <c r="AB444" s="290">
        <f>IF($F444="Total",
SUM(INDEX(AB:AB, ROW()-COUNTIF($F$6:INDEX($F:$F, ROW()-1), $F443)) : INDEX(AB:AB, ROW()-1)),
COUNTIFS(unit_details[Active Listing?],TRUE,
          unit_details[Property Name], $F444,
          unit_details[Beds], $L444,
          unit_details[Baths], $M444,
          unit_details[Partial Baths],IF(ISNUMBER($N444),$N444,""),
          unit_details[Sqft],$P444))</f>
        <v>0</v>
      </c>
      <c r="AC444" s="27" t="str">
        <f t="shared" si="69"/>
        <v/>
      </c>
      <c r="AD444" s="293" t="str">
        <f>IFERROR(IF(AE444="","",IF($F444="Total",
SUMPRODUCT(
   INDEX(AD:AD, ROW()-COUNTIF($F$6:INDEX($F:$F, ROW()-1), $F443)) : INDEX(AD:AD, ROW()-1),
   INDEX(AB:AB, ROW()-COUNTIF($F$6:INDEX($F:$F, ROW()-1), $F443)) : INDEX(AB:AB, ROW()-1)
   )
   /SUM(INDEX(AB:AB, ROW()-COUNTIF($F$6:INDEX($F:$F, ROW()-1), $F443)) : INDEX(AB:AB, ROW()-1)),
          _xlfn.MINIFS(unit_details[Asking Rent],
          unit_details[Active Listing?],TRUE,
          unit_details[Property Name], $F444,
          unit_details[Beds], $L444,
          unit_details[Baths], $M444,
          unit_details[Partial Baths], IF(ISNUMBER($N444),$N444,""),
          unit_details[Sqft],$P444
))),"")</f>
        <v/>
      </c>
      <c r="AE444" s="5" t="str">
        <f>IFERROR(IF($F444="Total",
          SUMPRODUCT(
   INDEX(AE:AE, ROW()-COUNTIF($F$6:INDEX($F:$F, ROW()-1), $F443)) : INDEX(AE:AE, ROW()-1),
   INDEX(AB:AB, ROW()-COUNTIF($F$6:INDEX($F:$F, ROW()-1), $F443)) : INDEX(AB:AB, ROW()-1)
   )
   /SUM(INDEX(AB:AB, ROW()-COUNTIF($F$6:INDEX($F:$F, ROW()-1), $F443)) : INDEX(AB:AB, ROW()-1)),
          AVERAGEIFS(unit_details[Asking Rent],
          unit_details[Active Listing?],TRUE,
          unit_details[Property Name], $F444,
          unit_details[Beds], $L444,
          unit_details[Baths], $M444,
          unit_details[Partial Baths], IF(ISNUMBER($N444),$N444,""),
          unit_details[Sqft],$P444
)),"")</f>
        <v/>
      </c>
      <c r="AF444" s="5" t="str">
        <f>IFERROR(IF(AE444="","",IF($F444="Total",
SUMPRODUCT(
   INDEX(AF:AF, ROW()-COUNTIF($F$6:INDEX($F:$F, ROW()-1), $F443)) : INDEX(AF:AF, ROW()-1),
   INDEX(AB:AB, ROW()-COUNTIF($F$6:INDEX($F:$F, ROW()-1), $F443)) : INDEX(AB:AB, ROW()-1)
   )
   /SUM(INDEX(AB:AB, ROW()-COUNTIF($F$6:INDEX($F:$F, ROW()-1), $F443)) : INDEX(AB:AB, ROW()-1)),
           _xlfn.MAXIFS(unit_details[Asking Rent],
          unit_details[Active Listing?],TRUE,
          unit_details[Property Name], $F444,
          unit_details[Beds], $L444,
          unit_details[Baths], $M444,
          unit_details[Partial Baths], IF(ISNUMBER($N444),$N444,""),
          unit_details[Sqft],$P444
))),"")</f>
        <v/>
      </c>
      <c r="AG444" s="6" t="str">
        <f>IFERROR(IF($F444="Total",
         SUMPRODUCT(
         INDEX(AG:AG, ROW()-COUNTIF($F$6:INDEX($F:$F, ROW()-1), $F443)) : INDEX(AG:AG, ROW()-1),
         INDEX(AB:AB, ROW()-COUNTIF($F$6:INDEX($F:$F, ROW()-1), $F443)) : INDEX(AB:AB, ROW()-1)
         )
         /SUM(INDEX(AB:AB, ROW()-COUNTIF($F$6:INDEX($F:$F, ROW()-1), $F443)) : INDEX(AB:AB, ROW()-1)),
          AVERAGEIFS(unit_details[Asking PSF],
          unit_details[Active Listing?],TRUE,
          unit_details[Property Name], $F444,
          unit_details[Beds], $L444,
          unit_details[Baths], $M444,
          unit_details[Partial Baths], IF(ISNUMBER($N444),$N444,""),
          unit_details[Sqft],$P444
)),"")</f>
        <v/>
      </c>
      <c r="AH444" s="293" t="str">
        <f>IFERROR(IF($F444="Total",
         SUMPRODUCT(
         INDEX(AH:AH, ROW()-COUNTIF($F$6:INDEX($F:$F, ROW()-1), $F443)) : INDEX(AH:AH, ROW()-1),
         INDEX(AB:AB, ROW()-COUNTIF($F$6:INDEX($F:$F, ROW()-1), $F443)) : INDEX(AB:AB, ROW()-1)
         )
         /SUM(INDEX(AB:AB, ROW()-COUNTIF($F$6:INDEX($F:$F, ROW()-1), $F443)) : INDEX(AB:AB, ROW()-1)),
          AVERAGEIFS(unit_details[Effective Rent],
          unit_details[Active Listing?],TRUE,
          unit_details[Property Name], $F444,
          unit_details[Beds], $L444,
          unit_details[Baths], $M444,
          unit_details[Partial Baths], IF(ISNUMBER($N444),$N444,""),
          unit_details[Sqft],$P444
)),"")</f>
        <v/>
      </c>
      <c r="AI444" s="6" t="str">
        <f>IFERROR(IF($F444="Total",
         SUMPRODUCT(
         INDEX(AI:AI, ROW()-COUNTIF($F$6:INDEX($F:$F, ROW()-1), $F443)) : INDEX(AI:AI, ROW()-1),
         INDEX(AB:AB, ROW()-COUNTIF($F$6:INDEX($F:$F, ROW()-1), $F443)) : INDEX(AB:AB, ROW()-1)
         )
         /SUM(INDEX(AB:AB, ROW()-COUNTIF($F$6:INDEX($F:$F, ROW()-1), $F443)) : INDEX(AB:AB, ROW()-1)),
           AVERAGEIFS(unit_details[Effective PSF],
          unit_details[Active Listing?],TRUE,
          unit_details[Property Name], $F444,
          unit_details[Beds], $L444,
          unit_details[Baths], $M444,
          unit_details[Partial Baths], IF(ISNUMBER($N444),$N444,""),
          unit_details[Sqft],$P444
)),"")</f>
        <v/>
      </c>
      <c r="AJ444" s="824" t="str">
        <f t="shared" si="70"/>
        <v/>
      </c>
      <c r="AK444" s="531" t="str">
        <f t="shared" si="71"/>
        <v/>
      </c>
      <c r="AL444" s="714" t="str">
        <f t="shared" si="72"/>
        <v/>
      </c>
      <c r="AM444" s="531" t="str">
        <f t="shared" si="73"/>
        <v/>
      </c>
      <c r="AN444" s="716" t="str">
        <f t="shared" si="74"/>
        <v/>
      </c>
    </row>
    <row r="445" spans="6:40" x14ac:dyDescent="0.2">
      <c r="F445" s="1" t="str">
        <f t="shared" si="67"/>
        <v/>
      </c>
      <c r="G445" s="713" t="str">
        <f t="shared" si="75"/>
        <v/>
      </c>
      <c r="H445" s="17" t="str">
        <f>IFERROR(VLOOKUP($G445,Table1[[Property]:[Exposure %]],4,0),"")</f>
        <v/>
      </c>
      <c r="I445" s="3" t="str">
        <f>IFERROR(VLOOKUP($G445,Table1[[Property]:[Exposure %]],6,0),"")</f>
        <v/>
      </c>
      <c r="J445" s="3" t="str">
        <f>IFERROR(VLOOKUP($G445,Table1[[Property]:[Exposure %]],7,0),"")</f>
        <v/>
      </c>
      <c r="R445" s="4" t="str">
        <f>IFERROR(VLOOKUP(IF(F445="Total",F444,F445),Table1[[Property]:['# Units]],7,0)*S445,"")</f>
        <v/>
      </c>
      <c r="S445" s="27" t="str">
        <f t="shared" si="68"/>
        <v/>
      </c>
      <c r="T445" s="531" t="str">
        <f>IFERROR(
 IF($F445="Total",
   SUMPRODUCT(
   INDEX(T:T, ROW()-COUNTIF($F$6:INDEX($F:$F, ROW()-1), $F444)) : INDEX(T:T, ROW()-1),
   INDEX(W:W, ROW()-COUNTIF($F$6:INDEX($F:$F, ROW()-1), $F444)) : INDEX(W:W, ROW()-1)
   )
   /SUM(INDEX(W:W, ROW()-COUNTIF($F$6:INDEX($F:$F, ROW()-1), $F444)) : INDEX(W:W, ROW()-1)),
   AVERAGEIFS(
     INDEX((unit_details[Asking Rent],unit_details[Asking PSF]),0,1,IF($U$3="Chunk Rent",1,2)),
     unit_details[Leased Date],"&gt;="&amp;($AM$2-T$5),
     unit_details[Leased Date],"&lt;"&amp;$AM$2,
     unit_details[Beds],$L445,
     unit_details[Baths],$M445,
     unit_details[Partial Baths],IF(ISNUMBER($N445),$N445,""),
     unit_details[Sqft],$P445,
     unit_details[Property Name],$F445)
 ),"")</f>
        <v/>
      </c>
      <c r="U445" s="552" t="str">
        <f>IFERROR(
 IF($F445="Total",
   SUMPRODUCT(
   INDEX(U:U, ROW()-COUNTIF($F$6:INDEX($F:$F, ROW()-1), $F444)) : INDEX(U:U, ROW()-1),
   INDEX(W:W, ROW()-COUNTIF($F$6:INDEX($F:$F, ROW()-1), $F444)) : INDEX(W:W, ROW()-1)
   )
   /SUM(INDEX(W:W, ROW()-COUNTIF($F$6:INDEX($F:$F, ROW()-1), $F444)) : INDEX(W:W, ROW()-1)),
   AVERAGEIFS(
     INDEX((unit_details[Effective Rent],unit_details[Effective PSF]),0,1,IF($U$3="Chunk Rent",1,2)),
     unit_details[Leased Date],"&gt;="&amp;($AM$2-T$5),
     unit_details[Leased Date],"&lt;"&amp;$AM$2,
     unit_details[Beds],$L445,
     unit_details[Baths],$M445,
     unit_details[Partial Baths],IF(ISNUMBER($N445),$N445,""),
     unit_details[Sqft],$P445,
     unit_details[Property Name],$F445)
 ),"")</f>
        <v/>
      </c>
      <c r="V445" s="27" t="str">
        <f t="shared" si="76"/>
        <v/>
      </c>
      <c r="W445" s="526">
        <f>IFERROR(
  IF($F445="Total",
    SUM(INDEX(W:W, ROW()-COUNTIF($F$6:INDEX($F:$F, ROW()-1), $F444)) : INDEX(W:W, ROW()-1)),
    COUNTIFS(
      unit_details[Leased Date], "&gt;="&amp;($AM$2-T$5),
      unit_details[Leased Date], "&lt;"&amp;$AM$2,
      unit_details[Beds], $L445,
      unit_details[Baths], $M445,
      unit_details[Partial Baths], IF(ISNUMBER($N445), $N445, ""),
      unit_details[Sqft],$P445,
      unit_details[Property Name], $F445
    )
  ),
"")</f>
        <v>0</v>
      </c>
      <c r="X445" s="531" t="str">
        <f>IFERROR(
 IF($F445="Total",
   SUMPRODUCT(
   INDEX(X:X, ROW()-COUNTIF($F$6:INDEX($F:$F, ROW()-1), $F444)) : INDEX(X:X, ROW()-1),
   INDEX(AA:AA, ROW()-COUNTIF($F$6:INDEX($F:$F, ROW()-1), $F444)) : INDEX(AA:AA, ROW()-1)
   )
   /SUM(INDEX(AA:AA, ROW()-COUNTIF($F$6:INDEX($F:$F, ROW()-1), $F444)) : INDEX(AA:AA, ROW()-1)),
   AVERAGEIFS(
     INDEX((unit_details[Asking Rent],unit_details[Asking PSF]),0,1,IF($U$3="Chunk Rent",1,2)),
     unit_details[Leased Date],"&gt;="&amp;($AM$2-X$5),
     unit_details[Leased Date],"&lt;"&amp;$AM$2,
     unit_details[Beds],$L445,
     unit_details[Baths],$M445,
     unit_details[Partial Baths],IF(ISNUMBER($N445),$N445,""),
     unit_details[Sqft],$P445,
     unit_details[Property Name],$F445)
 ),"")</f>
        <v/>
      </c>
      <c r="Y445" s="552" t="str">
        <f>IFERROR(
 IF($F445="Total",
   SUMPRODUCT(
   INDEX(Y:Y, ROW()-COUNTIF($F$6:INDEX($F:$F, ROW()-1), $F444)) : INDEX(Y:Y, ROW()-1),
   INDEX(AA:AA, ROW()-COUNTIF($F$6:INDEX($F:$F, ROW()-1), $F444)) : INDEX(AA:AA, ROW()-1)
   )
   /SUM(INDEX(AA:AA, ROW()-COUNTIF($F$6:INDEX($F:$F, ROW()-1), $F444)) : INDEX(AA:AA, ROW()-1)),
   AVERAGEIFS(
     INDEX((unit_details[Effective Rent],unit_details[Effective PSF]),0,1,IF($U$3="Chunk Rent",1,2)),
     unit_details[Leased Date],"&gt;="&amp;($AM$2-X$5),
     unit_details[Leased Date],"&lt;"&amp;$AM$2,
     unit_details[Beds],$L445,
     unit_details[Baths],$M445,
     unit_details[Partial Baths],IF(ISNUMBER($N445),$N445,""),
     unit_details[Sqft],$P445,
     unit_details[Property Name],$F445)
 ),"")</f>
        <v/>
      </c>
      <c r="Z445" s="27" t="str">
        <f t="shared" si="77"/>
        <v/>
      </c>
      <c r="AA445" s="526">
        <f>IFERROR(
  IF($F445="Total",
    SUM(INDEX(AA:AA, ROW()-COUNTIF($F$6:INDEX($F:$F, ROW()-1), $F444)) : INDEX(AA:AA, ROW()-1)),
    COUNTIFS(
      unit_details[Leased Date], "&gt;="&amp;($AM$2-X$5),
      unit_details[Leased Date], "&lt;"&amp;$AM$2,
      unit_details[Beds], $L445,
      unit_details[Baths], $M445,
      unit_details[Partial Baths], IF(ISNUMBER($N445), $N445, ""),
      unit_details[Sqft],$P445,
      unit_details[Property Name], $F445
    )
  ),
"")</f>
        <v>0</v>
      </c>
      <c r="AB445" s="290">
        <f>IF($F445="Total",
SUM(INDEX(AB:AB, ROW()-COUNTIF($F$6:INDEX($F:$F, ROW()-1), $F444)) : INDEX(AB:AB, ROW()-1)),
COUNTIFS(unit_details[Active Listing?],TRUE,
          unit_details[Property Name], $F445,
          unit_details[Beds], $L445,
          unit_details[Baths], $M445,
          unit_details[Partial Baths],IF(ISNUMBER($N445),$N445,""),
          unit_details[Sqft],$P445))</f>
        <v>0</v>
      </c>
      <c r="AC445" s="27" t="str">
        <f t="shared" si="69"/>
        <v/>
      </c>
      <c r="AD445" s="293" t="str">
        <f>IFERROR(IF(AE445="","",IF($F445="Total",
SUMPRODUCT(
   INDEX(AD:AD, ROW()-COUNTIF($F$6:INDEX($F:$F, ROW()-1), $F444)) : INDEX(AD:AD, ROW()-1),
   INDEX(AB:AB, ROW()-COUNTIF($F$6:INDEX($F:$F, ROW()-1), $F444)) : INDEX(AB:AB, ROW()-1)
   )
   /SUM(INDEX(AB:AB, ROW()-COUNTIF($F$6:INDEX($F:$F, ROW()-1), $F444)) : INDEX(AB:AB, ROW()-1)),
          _xlfn.MINIFS(unit_details[Asking Rent],
          unit_details[Active Listing?],TRUE,
          unit_details[Property Name], $F445,
          unit_details[Beds], $L445,
          unit_details[Baths], $M445,
          unit_details[Partial Baths], IF(ISNUMBER($N445),$N445,""),
          unit_details[Sqft],$P445
))),"")</f>
        <v/>
      </c>
      <c r="AE445" s="5" t="str">
        <f>IFERROR(IF($F445="Total",
          SUMPRODUCT(
   INDEX(AE:AE, ROW()-COUNTIF($F$6:INDEX($F:$F, ROW()-1), $F444)) : INDEX(AE:AE, ROW()-1),
   INDEX(AB:AB, ROW()-COUNTIF($F$6:INDEX($F:$F, ROW()-1), $F444)) : INDEX(AB:AB, ROW()-1)
   )
   /SUM(INDEX(AB:AB, ROW()-COUNTIF($F$6:INDEX($F:$F, ROW()-1), $F444)) : INDEX(AB:AB, ROW()-1)),
          AVERAGEIFS(unit_details[Asking Rent],
          unit_details[Active Listing?],TRUE,
          unit_details[Property Name], $F445,
          unit_details[Beds], $L445,
          unit_details[Baths], $M445,
          unit_details[Partial Baths], IF(ISNUMBER($N445),$N445,""),
          unit_details[Sqft],$P445
)),"")</f>
        <v/>
      </c>
      <c r="AF445" s="5" t="str">
        <f>IFERROR(IF(AE445="","",IF($F445="Total",
SUMPRODUCT(
   INDEX(AF:AF, ROW()-COUNTIF($F$6:INDEX($F:$F, ROW()-1), $F444)) : INDEX(AF:AF, ROW()-1),
   INDEX(AB:AB, ROW()-COUNTIF($F$6:INDEX($F:$F, ROW()-1), $F444)) : INDEX(AB:AB, ROW()-1)
   )
   /SUM(INDEX(AB:AB, ROW()-COUNTIF($F$6:INDEX($F:$F, ROW()-1), $F444)) : INDEX(AB:AB, ROW()-1)),
           _xlfn.MAXIFS(unit_details[Asking Rent],
          unit_details[Active Listing?],TRUE,
          unit_details[Property Name], $F445,
          unit_details[Beds], $L445,
          unit_details[Baths], $M445,
          unit_details[Partial Baths], IF(ISNUMBER($N445),$N445,""),
          unit_details[Sqft],$P445
))),"")</f>
        <v/>
      </c>
      <c r="AG445" s="6" t="str">
        <f>IFERROR(IF($F445="Total",
         SUMPRODUCT(
         INDEX(AG:AG, ROW()-COUNTIF($F$6:INDEX($F:$F, ROW()-1), $F444)) : INDEX(AG:AG, ROW()-1),
         INDEX(AB:AB, ROW()-COUNTIF($F$6:INDEX($F:$F, ROW()-1), $F444)) : INDEX(AB:AB, ROW()-1)
         )
         /SUM(INDEX(AB:AB, ROW()-COUNTIF($F$6:INDEX($F:$F, ROW()-1), $F444)) : INDEX(AB:AB, ROW()-1)),
          AVERAGEIFS(unit_details[Asking PSF],
          unit_details[Active Listing?],TRUE,
          unit_details[Property Name], $F445,
          unit_details[Beds], $L445,
          unit_details[Baths], $M445,
          unit_details[Partial Baths], IF(ISNUMBER($N445),$N445,""),
          unit_details[Sqft],$P445
)),"")</f>
        <v/>
      </c>
      <c r="AH445" s="293" t="str">
        <f>IFERROR(IF($F445="Total",
         SUMPRODUCT(
         INDEX(AH:AH, ROW()-COUNTIF($F$6:INDEX($F:$F, ROW()-1), $F444)) : INDEX(AH:AH, ROW()-1),
         INDEX(AB:AB, ROW()-COUNTIF($F$6:INDEX($F:$F, ROW()-1), $F444)) : INDEX(AB:AB, ROW()-1)
         )
         /SUM(INDEX(AB:AB, ROW()-COUNTIF($F$6:INDEX($F:$F, ROW()-1), $F444)) : INDEX(AB:AB, ROW()-1)),
          AVERAGEIFS(unit_details[Effective Rent],
          unit_details[Active Listing?],TRUE,
          unit_details[Property Name], $F445,
          unit_details[Beds], $L445,
          unit_details[Baths], $M445,
          unit_details[Partial Baths], IF(ISNUMBER($N445),$N445,""),
          unit_details[Sqft],$P445
)),"")</f>
        <v/>
      </c>
      <c r="AI445" s="6" t="str">
        <f>IFERROR(IF($F445="Total",
         SUMPRODUCT(
         INDEX(AI:AI, ROW()-COUNTIF($F$6:INDEX($F:$F, ROW()-1), $F444)) : INDEX(AI:AI, ROW()-1),
         INDEX(AB:AB, ROW()-COUNTIF($F$6:INDEX($F:$F, ROW()-1), $F444)) : INDEX(AB:AB, ROW()-1)
         )
         /SUM(INDEX(AB:AB, ROW()-COUNTIF($F$6:INDEX($F:$F, ROW()-1), $F444)) : INDEX(AB:AB, ROW()-1)),
           AVERAGEIFS(unit_details[Effective PSF],
          unit_details[Active Listing?],TRUE,
          unit_details[Property Name], $F445,
          unit_details[Beds], $L445,
          unit_details[Baths], $M445,
          unit_details[Partial Baths], IF(ISNUMBER($N445),$N445,""),
          unit_details[Sqft],$P445
)),"")</f>
        <v/>
      </c>
      <c r="AJ445" s="824" t="str">
        <f t="shared" si="70"/>
        <v/>
      </c>
      <c r="AK445" s="531" t="str">
        <f t="shared" si="71"/>
        <v/>
      </c>
      <c r="AL445" s="714" t="str">
        <f t="shared" si="72"/>
        <v/>
      </c>
      <c r="AM445" s="531" t="str">
        <f t="shared" si="73"/>
        <v/>
      </c>
      <c r="AN445" s="716" t="str">
        <f t="shared" si="74"/>
        <v/>
      </c>
    </row>
    <row r="446" spans="6:40" x14ac:dyDescent="0.2">
      <c r="F446" s="1" t="str">
        <f t="shared" si="67"/>
        <v/>
      </c>
      <c r="G446" s="713" t="str">
        <f t="shared" si="75"/>
        <v/>
      </c>
      <c r="H446" s="17" t="str">
        <f>IFERROR(VLOOKUP($G446,Table1[[Property]:[Exposure %]],4,0),"")</f>
        <v/>
      </c>
      <c r="I446" s="3" t="str">
        <f>IFERROR(VLOOKUP($G446,Table1[[Property]:[Exposure %]],6,0),"")</f>
        <v/>
      </c>
      <c r="J446" s="3" t="str">
        <f>IFERROR(VLOOKUP($G446,Table1[[Property]:[Exposure %]],7,0),"")</f>
        <v/>
      </c>
      <c r="R446" s="4" t="str">
        <f>IFERROR(VLOOKUP(IF(F446="Total",F445,F446),Table1[[Property]:['# Units]],7,0)*S446,"")</f>
        <v/>
      </c>
      <c r="S446" s="27" t="str">
        <f t="shared" si="68"/>
        <v/>
      </c>
      <c r="T446" s="531" t="str">
        <f>IFERROR(
 IF($F446="Total",
   SUMPRODUCT(
   INDEX(T:T, ROW()-COUNTIF($F$6:INDEX($F:$F, ROW()-1), $F445)) : INDEX(T:T, ROW()-1),
   INDEX(W:W, ROW()-COUNTIF($F$6:INDEX($F:$F, ROW()-1), $F445)) : INDEX(W:W, ROW()-1)
   )
   /SUM(INDEX(W:W, ROW()-COUNTIF($F$6:INDEX($F:$F, ROW()-1), $F445)) : INDEX(W:W, ROW()-1)),
   AVERAGEIFS(
     INDEX((unit_details[Asking Rent],unit_details[Asking PSF]),0,1,IF($U$3="Chunk Rent",1,2)),
     unit_details[Leased Date],"&gt;="&amp;($AM$2-T$5),
     unit_details[Leased Date],"&lt;"&amp;$AM$2,
     unit_details[Beds],$L446,
     unit_details[Baths],$M446,
     unit_details[Partial Baths],IF(ISNUMBER($N446),$N446,""),
     unit_details[Sqft],$P446,
     unit_details[Property Name],$F446)
 ),"")</f>
        <v/>
      </c>
      <c r="U446" s="552" t="str">
        <f>IFERROR(
 IF($F446="Total",
   SUMPRODUCT(
   INDEX(U:U, ROW()-COUNTIF($F$6:INDEX($F:$F, ROW()-1), $F445)) : INDEX(U:U, ROW()-1),
   INDEX(W:W, ROW()-COUNTIF($F$6:INDEX($F:$F, ROW()-1), $F445)) : INDEX(W:W, ROW()-1)
   )
   /SUM(INDEX(W:W, ROW()-COUNTIF($F$6:INDEX($F:$F, ROW()-1), $F445)) : INDEX(W:W, ROW()-1)),
   AVERAGEIFS(
     INDEX((unit_details[Effective Rent],unit_details[Effective PSF]),0,1,IF($U$3="Chunk Rent",1,2)),
     unit_details[Leased Date],"&gt;="&amp;($AM$2-T$5),
     unit_details[Leased Date],"&lt;"&amp;$AM$2,
     unit_details[Beds],$L446,
     unit_details[Baths],$M446,
     unit_details[Partial Baths],IF(ISNUMBER($N446),$N446,""),
     unit_details[Sqft],$P446,
     unit_details[Property Name],$F446)
 ),"")</f>
        <v/>
      </c>
      <c r="V446" s="27" t="str">
        <f t="shared" si="76"/>
        <v/>
      </c>
      <c r="W446" s="526">
        <f>IFERROR(
  IF($F446="Total",
    SUM(INDEX(W:W, ROW()-COUNTIF($F$6:INDEX($F:$F, ROW()-1), $F445)) : INDEX(W:W, ROW()-1)),
    COUNTIFS(
      unit_details[Leased Date], "&gt;="&amp;($AM$2-T$5),
      unit_details[Leased Date], "&lt;"&amp;$AM$2,
      unit_details[Beds], $L446,
      unit_details[Baths], $M446,
      unit_details[Partial Baths], IF(ISNUMBER($N446), $N446, ""),
      unit_details[Sqft],$P446,
      unit_details[Property Name], $F446
    )
  ),
"")</f>
        <v>0</v>
      </c>
      <c r="X446" s="531" t="str">
        <f>IFERROR(
 IF($F446="Total",
   SUMPRODUCT(
   INDEX(X:X, ROW()-COUNTIF($F$6:INDEX($F:$F, ROW()-1), $F445)) : INDEX(X:X, ROW()-1),
   INDEX(AA:AA, ROW()-COUNTIF($F$6:INDEX($F:$F, ROW()-1), $F445)) : INDEX(AA:AA, ROW()-1)
   )
   /SUM(INDEX(AA:AA, ROW()-COUNTIF($F$6:INDEX($F:$F, ROW()-1), $F445)) : INDEX(AA:AA, ROW()-1)),
   AVERAGEIFS(
     INDEX((unit_details[Asking Rent],unit_details[Asking PSF]),0,1,IF($U$3="Chunk Rent",1,2)),
     unit_details[Leased Date],"&gt;="&amp;($AM$2-X$5),
     unit_details[Leased Date],"&lt;"&amp;$AM$2,
     unit_details[Beds],$L446,
     unit_details[Baths],$M446,
     unit_details[Partial Baths],IF(ISNUMBER($N446),$N446,""),
     unit_details[Sqft],$P446,
     unit_details[Property Name],$F446)
 ),"")</f>
        <v/>
      </c>
      <c r="Y446" s="552" t="str">
        <f>IFERROR(
 IF($F446="Total",
   SUMPRODUCT(
   INDEX(Y:Y, ROW()-COUNTIF($F$6:INDEX($F:$F, ROW()-1), $F445)) : INDEX(Y:Y, ROW()-1),
   INDEX(AA:AA, ROW()-COUNTIF($F$6:INDEX($F:$F, ROW()-1), $F445)) : INDEX(AA:AA, ROW()-1)
   )
   /SUM(INDEX(AA:AA, ROW()-COUNTIF($F$6:INDEX($F:$F, ROW()-1), $F445)) : INDEX(AA:AA, ROW()-1)),
   AVERAGEIFS(
     INDEX((unit_details[Effective Rent],unit_details[Effective PSF]),0,1,IF($U$3="Chunk Rent",1,2)),
     unit_details[Leased Date],"&gt;="&amp;($AM$2-X$5),
     unit_details[Leased Date],"&lt;"&amp;$AM$2,
     unit_details[Beds],$L446,
     unit_details[Baths],$M446,
     unit_details[Partial Baths],IF(ISNUMBER($N446),$N446,""),
     unit_details[Sqft],$P446,
     unit_details[Property Name],$F446)
 ),"")</f>
        <v/>
      </c>
      <c r="Z446" s="27" t="str">
        <f t="shared" si="77"/>
        <v/>
      </c>
      <c r="AA446" s="526">
        <f>IFERROR(
  IF($F446="Total",
    SUM(INDEX(AA:AA, ROW()-COUNTIF($F$6:INDEX($F:$F, ROW()-1), $F445)) : INDEX(AA:AA, ROW()-1)),
    COUNTIFS(
      unit_details[Leased Date], "&gt;="&amp;($AM$2-X$5),
      unit_details[Leased Date], "&lt;"&amp;$AM$2,
      unit_details[Beds], $L446,
      unit_details[Baths], $M446,
      unit_details[Partial Baths], IF(ISNUMBER($N446), $N446, ""),
      unit_details[Sqft],$P446,
      unit_details[Property Name], $F446
    )
  ),
"")</f>
        <v>0</v>
      </c>
      <c r="AB446" s="290">
        <f>IF($F446="Total",
SUM(INDEX(AB:AB, ROW()-COUNTIF($F$6:INDEX($F:$F, ROW()-1), $F445)) : INDEX(AB:AB, ROW()-1)),
COUNTIFS(unit_details[Active Listing?],TRUE,
          unit_details[Property Name], $F446,
          unit_details[Beds], $L446,
          unit_details[Baths], $M446,
          unit_details[Partial Baths],IF(ISNUMBER($N446),$N446,""),
          unit_details[Sqft],$P446))</f>
        <v>0</v>
      </c>
      <c r="AC446" s="27" t="str">
        <f t="shared" si="69"/>
        <v/>
      </c>
      <c r="AD446" s="293" t="str">
        <f>IFERROR(IF(AE446="","",IF($F446="Total",
SUMPRODUCT(
   INDEX(AD:AD, ROW()-COUNTIF($F$6:INDEX($F:$F, ROW()-1), $F445)) : INDEX(AD:AD, ROW()-1),
   INDEX(AB:AB, ROW()-COUNTIF($F$6:INDEX($F:$F, ROW()-1), $F445)) : INDEX(AB:AB, ROW()-1)
   )
   /SUM(INDEX(AB:AB, ROW()-COUNTIF($F$6:INDEX($F:$F, ROW()-1), $F445)) : INDEX(AB:AB, ROW()-1)),
          _xlfn.MINIFS(unit_details[Asking Rent],
          unit_details[Active Listing?],TRUE,
          unit_details[Property Name], $F446,
          unit_details[Beds], $L446,
          unit_details[Baths], $M446,
          unit_details[Partial Baths], IF(ISNUMBER($N446),$N446,""),
          unit_details[Sqft],$P446
))),"")</f>
        <v/>
      </c>
      <c r="AE446" s="5" t="str">
        <f>IFERROR(IF($F446="Total",
          SUMPRODUCT(
   INDEX(AE:AE, ROW()-COUNTIF($F$6:INDEX($F:$F, ROW()-1), $F445)) : INDEX(AE:AE, ROW()-1),
   INDEX(AB:AB, ROW()-COUNTIF($F$6:INDEX($F:$F, ROW()-1), $F445)) : INDEX(AB:AB, ROW()-1)
   )
   /SUM(INDEX(AB:AB, ROW()-COUNTIF($F$6:INDEX($F:$F, ROW()-1), $F445)) : INDEX(AB:AB, ROW()-1)),
          AVERAGEIFS(unit_details[Asking Rent],
          unit_details[Active Listing?],TRUE,
          unit_details[Property Name], $F446,
          unit_details[Beds], $L446,
          unit_details[Baths], $M446,
          unit_details[Partial Baths], IF(ISNUMBER($N446),$N446,""),
          unit_details[Sqft],$P446
)),"")</f>
        <v/>
      </c>
      <c r="AF446" s="5" t="str">
        <f>IFERROR(IF(AE446="","",IF($F446="Total",
SUMPRODUCT(
   INDEX(AF:AF, ROW()-COUNTIF($F$6:INDEX($F:$F, ROW()-1), $F445)) : INDEX(AF:AF, ROW()-1),
   INDEX(AB:AB, ROW()-COUNTIF($F$6:INDEX($F:$F, ROW()-1), $F445)) : INDEX(AB:AB, ROW()-1)
   )
   /SUM(INDEX(AB:AB, ROW()-COUNTIF($F$6:INDEX($F:$F, ROW()-1), $F445)) : INDEX(AB:AB, ROW()-1)),
           _xlfn.MAXIFS(unit_details[Asking Rent],
          unit_details[Active Listing?],TRUE,
          unit_details[Property Name], $F446,
          unit_details[Beds], $L446,
          unit_details[Baths], $M446,
          unit_details[Partial Baths], IF(ISNUMBER($N446),$N446,""),
          unit_details[Sqft],$P446
))),"")</f>
        <v/>
      </c>
      <c r="AG446" s="6" t="str">
        <f>IFERROR(IF($F446="Total",
         SUMPRODUCT(
         INDEX(AG:AG, ROW()-COUNTIF($F$6:INDEX($F:$F, ROW()-1), $F445)) : INDEX(AG:AG, ROW()-1),
         INDEX(AB:AB, ROW()-COUNTIF($F$6:INDEX($F:$F, ROW()-1), $F445)) : INDEX(AB:AB, ROW()-1)
         )
         /SUM(INDEX(AB:AB, ROW()-COUNTIF($F$6:INDEX($F:$F, ROW()-1), $F445)) : INDEX(AB:AB, ROW()-1)),
          AVERAGEIFS(unit_details[Asking PSF],
          unit_details[Active Listing?],TRUE,
          unit_details[Property Name], $F446,
          unit_details[Beds], $L446,
          unit_details[Baths], $M446,
          unit_details[Partial Baths], IF(ISNUMBER($N446),$N446,""),
          unit_details[Sqft],$P446
)),"")</f>
        <v/>
      </c>
      <c r="AH446" s="293" t="str">
        <f>IFERROR(IF($F446="Total",
         SUMPRODUCT(
         INDEX(AH:AH, ROW()-COUNTIF($F$6:INDEX($F:$F, ROW()-1), $F445)) : INDEX(AH:AH, ROW()-1),
         INDEX(AB:AB, ROW()-COUNTIF($F$6:INDEX($F:$F, ROW()-1), $F445)) : INDEX(AB:AB, ROW()-1)
         )
         /SUM(INDEX(AB:AB, ROW()-COUNTIF($F$6:INDEX($F:$F, ROW()-1), $F445)) : INDEX(AB:AB, ROW()-1)),
          AVERAGEIFS(unit_details[Effective Rent],
          unit_details[Active Listing?],TRUE,
          unit_details[Property Name], $F446,
          unit_details[Beds], $L446,
          unit_details[Baths], $M446,
          unit_details[Partial Baths], IF(ISNUMBER($N446),$N446,""),
          unit_details[Sqft],$P446
)),"")</f>
        <v/>
      </c>
      <c r="AI446" s="6" t="str">
        <f>IFERROR(IF($F446="Total",
         SUMPRODUCT(
         INDEX(AI:AI, ROW()-COUNTIF($F$6:INDEX($F:$F, ROW()-1), $F445)) : INDEX(AI:AI, ROW()-1),
         INDEX(AB:AB, ROW()-COUNTIF($F$6:INDEX($F:$F, ROW()-1), $F445)) : INDEX(AB:AB, ROW()-1)
         )
         /SUM(INDEX(AB:AB, ROW()-COUNTIF($F$6:INDEX($F:$F, ROW()-1), $F445)) : INDEX(AB:AB, ROW()-1)),
           AVERAGEIFS(unit_details[Effective PSF],
          unit_details[Active Listing?],TRUE,
          unit_details[Property Name], $F446,
          unit_details[Beds], $L446,
          unit_details[Baths], $M446,
          unit_details[Partial Baths], IF(ISNUMBER($N446),$N446,""),
          unit_details[Sqft],$P446
)),"")</f>
        <v/>
      </c>
      <c r="AJ446" s="824" t="str">
        <f t="shared" si="70"/>
        <v/>
      </c>
      <c r="AK446" s="531" t="str">
        <f t="shared" si="71"/>
        <v/>
      </c>
      <c r="AL446" s="714" t="str">
        <f t="shared" si="72"/>
        <v/>
      </c>
      <c r="AM446" s="531" t="str">
        <f t="shared" si="73"/>
        <v/>
      </c>
      <c r="AN446" s="716" t="str">
        <f t="shared" si="74"/>
        <v/>
      </c>
    </row>
    <row r="447" spans="6:40" x14ac:dyDescent="0.2">
      <c r="F447" s="1" t="str">
        <f t="shared" si="67"/>
        <v/>
      </c>
      <c r="G447" s="713" t="str">
        <f t="shared" si="75"/>
        <v/>
      </c>
      <c r="H447" s="17" t="str">
        <f>IFERROR(VLOOKUP($G447,Table1[[Property]:[Exposure %]],4,0),"")</f>
        <v/>
      </c>
      <c r="I447" s="3" t="str">
        <f>IFERROR(VLOOKUP($G447,Table1[[Property]:[Exposure %]],6,0),"")</f>
        <v/>
      </c>
      <c r="J447" s="3" t="str">
        <f>IFERROR(VLOOKUP($G447,Table1[[Property]:[Exposure %]],7,0),"")</f>
        <v/>
      </c>
      <c r="R447" s="4" t="str">
        <f>IFERROR(VLOOKUP(IF(F447="Total",F446,F447),Table1[[Property]:['# Units]],7,0)*S447,"")</f>
        <v/>
      </c>
      <c r="S447" s="27" t="str">
        <f t="shared" si="68"/>
        <v/>
      </c>
      <c r="T447" s="531" t="str">
        <f>IFERROR(
 IF($F447="Total",
   SUMPRODUCT(
   INDEX(T:T, ROW()-COUNTIF($F$6:INDEX($F:$F, ROW()-1), $F446)) : INDEX(T:T, ROW()-1),
   INDEX(W:W, ROW()-COUNTIF($F$6:INDEX($F:$F, ROW()-1), $F446)) : INDEX(W:W, ROW()-1)
   )
   /SUM(INDEX(W:W, ROW()-COUNTIF($F$6:INDEX($F:$F, ROW()-1), $F446)) : INDEX(W:W, ROW()-1)),
   AVERAGEIFS(
     INDEX((unit_details[Asking Rent],unit_details[Asking PSF]),0,1,IF($U$3="Chunk Rent",1,2)),
     unit_details[Leased Date],"&gt;="&amp;($AM$2-T$5),
     unit_details[Leased Date],"&lt;"&amp;$AM$2,
     unit_details[Beds],$L447,
     unit_details[Baths],$M447,
     unit_details[Partial Baths],IF(ISNUMBER($N447),$N447,""),
     unit_details[Sqft],$P447,
     unit_details[Property Name],$F447)
 ),"")</f>
        <v/>
      </c>
      <c r="U447" s="552" t="str">
        <f>IFERROR(
 IF($F447="Total",
   SUMPRODUCT(
   INDEX(U:U, ROW()-COUNTIF($F$6:INDEX($F:$F, ROW()-1), $F446)) : INDEX(U:U, ROW()-1),
   INDEX(W:W, ROW()-COUNTIF($F$6:INDEX($F:$F, ROW()-1), $F446)) : INDEX(W:W, ROW()-1)
   )
   /SUM(INDEX(W:W, ROW()-COUNTIF($F$6:INDEX($F:$F, ROW()-1), $F446)) : INDEX(W:W, ROW()-1)),
   AVERAGEIFS(
     INDEX((unit_details[Effective Rent],unit_details[Effective PSF]),0,1,IF($U$3="Chunk Rent",1,2)),
     unit_details[Leased Date],"&gt;="&amp;($AM$2-T$5),
     unit_details[Leased Date],"&lt;"&amp;$AM$2,
     unit_details[Beds],$L447,
     unit_details[Baths],$M447,
     unit_details[Partial Baths],IF(ISNUMBER($N447),$N447,""),
     unit_details[Sqft],$P447,
     unit_details[Property Name],$F447)
 ),"")</f>
        <v/>
      </c>
      <c r="V447" s="27" t="str">
        <f t="shared" si="76"/>
        <v/>
      </c>
      <c r="W447" s="526">
        <f>IFERROR(
  IF($F447="Total",
    SUM(INDEX(W:W, ROW()-COUNTIF($F$6:INDEX($F:$F, ROW()-1), $F446)) : INDEX(W:W, ROW()-1)),
    COUNTIFS(
      unit_details[Leased Date], "&gt;="&amp;($AM$2-T$5),
      unit_details[Leased Date], "&lt;"&amp;$AM$2,
      unit_details[Beds], $L447,
      unit_details[Baths], $M447,
      unit_details[Partial Baths], IF(ISNUMBER($N447), $N447, ""),
      unit_details[Sqft],$P447,
      unit_details[Property Name], $F447
    )
  ),
"")</f>
        <v>0</v>
      </c>
      <c r="X447" s="531" t="str">
        <f>IFERROR(
 IF($F447="Total",
   SUMPRODUCT(
   INDEX(X:X, ROW()-COUNTIF($F$6:INDEX($F:$F, ROW()-1), $F446)) : INDEX(X:X, ROW()-1),
   INDEX(AA:AA, ROW()-COUNTIF($F$6:INDEX($F:$F, ROW()-1), $F446)) : INDEX(AA:AA, ROW()-1)
   )
   /SUM(INDEX(AA:AA, ROW()-COUNTIF($F$6:INDEX($F:$F, ROW()-1), $F446)) : INDEX(AA:AA, ROW()-1)),
   AVERAGEIFS(
     INDEX((unit_details[Asking Rent],unit_details[Asking PSF]),0,1,IF($U$3="Chunk Rent",1,2)),
     unit_details[Leased Date],"&gt;="&amp;($AM$2-X$5),
     unit_details[Leased Date],"&lt;"&amp;$AM$2,
     unit_details[Beds],$L447,
     unit_details[Baths],$M447,
     unit_details[Partial Baths],IF(ISNUMBER($N447),$N447,""),
     unit_details[Sqft],$P447,
     unit_details[Property Name],$F447)
 ),"")</f>
        <v/>
      </c>
      <c r="Y447" s="552" t="str">
        <f>IFERROR(
 IF($F447="Total",
   SUMPRODUCT(
   INDEX(Y:Y, ROW()-COUNTIF($F$6:INDEX($F:$F, ROW()-1), $F446)) : INDEX(Y:Y, ROW()-1),
   INDEX(AA:AA, ROW()-COUNTIF($F$6:INDEX($F:$F, ROW()-1), $F446)) : INDEX(AA:AA, ROW()-1)
   )
   /SUM(INDEX(AA:AA, ROW()-COUNTIF($F$6:INDEX($F:$F, ROW()-1), $F446)) : INDEX(AA:AA, ROW()-1)),
   AVERAGEIFS(
     INDEX((unit_details[Effective Rent],unit_details[Effective PSF]),0,1,IF($U$3="Chunk Rent",1,2)),
     unit_details[Leased Date],"&gt;="&amp;($AM$2-X$5),
     unit_details[Leased Date],"&lt;"&amp;$AM$2,
     unit_details[Beds],$L447,
     unit_details[Baths],$M447,
     unit_details[Partial Baths],IF(ISNUMBER($N447),$N447,""),
     unit_details[Sqft],$P447,
     unit_details[Property Name],$F447)
 ),"")</f>
        <v/>
      </c>
      <c r="Z447" s="27" t="str">
        <f t="shared" si="77"/>
        <v/>
      </c>
      <c r="AA447" s="526">
        <f>IFERROR(
  IF($F447="Total",
    SUM(INDEX(AA:AA, ROW()-COUNTIF($F$6:INDEX($F:$F, ROW()-1), $F446)) : INDEX(AA:AA, ROW()-1)),
    COUNTIFS(
      unit_details[Leased Date], "&gt;="&amp;($AM$2-X$5),
      unit_details[Leased Date], "&lt;"&amp;$AM$2,
      unit_details[Beds], $L447,
      unit_details[Baths], $M447,
      unit_details[Partial Baths], IF(ISNUMBER($N447), $N447, ""),
      unit_details[Sqft],$P447,
      unit_details[Property Name], $F447
    )
  ),
"")</f>
        <v>0</v>
      </c>
      <c r="AB447" s="290">
        <f>IF($F447="Total",
SUM(INDEX(AB:AB, ROW()-COUNTIF($F$6:INDEX($F:$F, ROW()-1), $F446)) : INDEX(AB:AB, ROW()-1)),
COUNTIFS(unit_details[Active Listing?],TRUE,
          unit_details[Property Name], $F447,
          unit_details[Beds], $L447,
          unit_details[Baths], $M447,
          unit_details[Partial Baths],IF(ISNUMBER($N447),$N447,""),
          unit_details[Sqft],$P447))</f>
        <v>0</v>
      </c>
      <c r="AC447" s="27" t="str">
        <f t="shared" si="69"/>
        <v/>
      </c>
      <c r="AD447" s="293" t="str">
        <f>IFERROR(IF(AE447="","",IF($F447="Total",
SUMPRODUCT(
   INDEX(AD:AD, ROW()-COUNTIF($F$6:INDEX($F:$F, ROW()-1), $F446)) : INDEX(AD:AD, ROW()-1),
   INDEX(AB:AB, ROW()-COUNTIF($F$6:INDEX($F:$F, ROW()-1), $F446)) : INDEX(AB:AB, ROW()-1)
   )
   /SUM(INDEX(AB:AB, ROW()-COUNTIF($F$6:INDEX($F:$F, ROW()-1), $F446)) : INDEX(AB:AB, ROW()-1)),
          _xlfn.MINIFS(unit_details[Asking Rent],
          unit_details[Active Listing?],TRUE,
          unit_details[Property Name], $F447,
          unit_details[Beds], $L447,
          unit_details[Baths], $M447,
          unit_details[Partial Baths], IF(ISNUMBER($N447),$N447,""),
          unit_details[Sqft],$P447
))),"")</f>
        <v/>
      </c>
      <c r="AE447" s="5" t="str">
        <f>IFERROR(IF($F447="Total",
          SUMPRODUCT(
   INDEX(AE:AE, ROW()-COUNTIF($F$6:INDEX($F:$F, ROW()-1), $F446)) : INDEX(AE:AE, ROW()-1),
   INDEX(AB:AB, ROW()-COUNTIF($F$6:INDEX($F:$F, ROW()-1), $F446)) : INDEX(AB:AB, ROW()-1)
   )
   /SUM(INDEX(AB:AB, ROW()-COUNTIF($F$6:INDEX($F:$F, ROW()-1), $F446)) : INDEX(AB:AB, ROW()-1)),
          AVERAGEIFS(unit_details[Asking Rent],
          unit_details[Active Listing?],TRUE,
          unit_details[Property Name], $F447,
          unit_details[Beds], $L447,
          unit_details[Baths], $M447,
          unit_details[Partial Baths], IF(ISNUMBER($N447),$N447,""),
          unit_details[Sqft],$P447
)),"")</f>
        <v/>
      </c>
      <c r="AF447" s="5" t="str">
        <f>IFERROR(IF(AE447="","",IF($F447="Total",
SUMPRODUCT(
   INDEX(AF:AF, ROW()-COUNTIF($F$6:INDEX($F:$F, ROW()-1), $F446)) : INDEX(AF:AF, ROW()-1),
   INDEX(AB:AB, ROW()-COUNTIF($F$6:INDEX($F:$F, ROW()-1), $F446)) : INDEX(AB:AB, ROW()-1)
   )
   /SUM(INDEX(AB:AB, ROW()-COUNTIF($F$6:INDEX($F:$F, ROW()-1), $F446)) : INDEX(AB:AB, ROW()-1)),
           _xlfn.MAXIFS(unit_details[Asking Rent],
          unit_details[Active Listing?],TRUE,
          unit_details[Property Name], $F447,
          unit_details[Beds], $L447,
          unit_details[Baths], $M447,
          unit_details[Partial Baths], IF(ISNUMBER($N447),$N447,""),
          unit_details[Sqft],$P447
))),"")</f>
        <v/>
      </c>
      <c r="AG447" s="6" t="str">
        <f>IFERROR(IF($F447="Total",
         SUMPRODUCT(
         INDEX(AG:AG, ROW()-COUNTIF($F$6:INDEX($F:$F, ROW()-1), $F446)) : INDEX(AG:AG, ROW()-1),
         INDEX(AB:AB, ROW()-COUNTIF($F$6:INDEX($F:$F, ROW()-1), $F446)) : INDEX(AB:AB, ROW()-1)
         )
         /SUM(INDEX(AB:AB, ROW()-COUNTIF($F$6:INDEX($F:$F, ROW()-1), $F446)) : INDEX(AB:AB, ROW()-1)),
          AVERAGEIFS(unit_details[Asking PSF],
          unit_details[Active Listing?],TRUE,
          unit_details[Property Name], $F447,
          unit_details[Beds], $L447,
          unit_details[Baths], $M447,
          unit_details[Partial Baths], IF(ISNUMBER($N447),$N447,""),
          unit_details[Sqft],$P447
)),"")</f>
        <v/>
      </c>
      <c r="AH447" s="293" t="str">
        <f>IFERROR(IF($F447="Total",
         SUMPRODUCT(
         INDEX(AH:AH, ROW()-COUNTIF($F$6:INDEX($F:$F, ROW()-1), $F446)) : INDEX(AH:AH, ROW()-1),
         INDEX(AB:AB, ROW()-COUNTIF($F$6:INDEX($F:$F, ROW()-1), $F446)) : INDEX(AB:AB, ROW()-1)
         )
         /SUM(INDEX(AB:AB, ROW()-COUNTIF($F$6:INDEX($F:$F, ROW()-1), $F446)) : INDEX(AB:AB, ROW()-1)),
          AVERAGEIFS(unit_details[Effective Rent],
          unit_details[Active Listing?],TRUE,
          unit_details[Property Name], $F447,
          unit_details[Beds], $L447,
          unit_details[Baths], $M447,
          unit_details[Partial Baths], IF(ISNUMBER($N447),$N447,""),
          unit_details[Sqft],$P447
)),"")</f>
        <v/>
      </c>
      <c r="AI447" s="6" t="str">
        <f>IFERROR(IF($F447="Total",
         SUMPRODUCT(
         INDEX(AI:AI, ROW()-COUNTIF($F$6:INDEX($F:$F, ROW()-1), $F446)) : INDEX(AI:AI, ROW()-1),
         INDEX(AB:AB, ROW()-COUNTIF($F$6:INDEX($F:$F, ROW()-1), $F446)) : INDEX(AB:AB, ROW()-1)
         )
         /SUM(INDEX(AB:AB, ROW()-COUNTIF($F$6:INDEX($F:$F, ROW()-1), $F446)) : INDEX(AB:AB, ROW()-1)),
           AVERAGEIFS(unit_details[Effective PSF],
          unit_details[Active Listing?],TRUE,
          unit_details[Property Name], $F447,
          unit_details[Beds], $L447,
          unit_details[Baths], $M447,
          unit_details[Partial Baths], IF(ISNUMBER($N447),$N447,""),
          unit_details[Sqft],$P447
)),"")</f>
        <v/>
      </c>
      <c r="AJ447" s="824" t="str">
        <f t="shared" si="70"/>
        <v/>
      </c>
      <c r="AK447" s="531" t="str">
        <f t="shared" si="71"/>
        <v/>
      </c>
      <c r="AL447" s="714" t="str">
        <f t="shared" si="72"/>
        <v/>
      </c>
      <c r="AM447" s="531" t="str">
        <f t="shared" si="73"/>
        <v/>
      </c>
      <c r="AN447" s="716" t="str">
        <f t="shared" si="74"/>
        <v/>
      </c>
    </row>
    <row r="448" spans="6:40" x14ac:dyDescent="0.2">
      <c r="F448" s="1" t="str">
        <f t="shared" si="67"/>
        <v/>
      </c>
      <c r="G448" s="713" t="str">
        <f t="shared" si="75"/>
        <v/>
      </c>
      <c r="H448" s="17" t="str">
        <f>IFERROR(VLOOKUP($G448,Table1[[Property]:[Exposure %]],4,0),"")</f>
        <v/>
      </c>
      <c r="I448" s="3" t="str">
        <f>IFERROR(VLOOKUP($G448,Table1[[Property]:[Exposure %]],6,0),"")</f>
        <v/>
      </c>
      <c r="J448" s="3" t="str">
        <f>IFERROR(VLOOKUP($G448,Table1[[Property]:[Exposure %]],7,0),"")</f>
        <v/>
      </c>
      <c r="R448" s="4" t="str">
        <f>IFERROR(VLOOKUP(IF(F448="Total",F447,F448),Table1[[Property]:['# Units]],7,0)*S448,"")</f>
        <v/>
      </c>
      <c r="S448" s="27" t="str">
        <f t="shared" si="68"/>
        <v/>
      </c>
      <c r="T448" s="531" t="str">
        <f>IFERROR(
 IF($F448="Total",
   SUMPRODUCT(
   INDEX(T:T, ROW()-COUNTIF($F$6:INDEX($F:$F, ROW()-1), $F447)) : INDEX(T:T, ROW()-1),
   INDEX(W:W, ROW()-COUNTIF($F$6:INDEX($F:$F, ROW()-1), $F447)) : INDEX(W:W, ROW()-1)
   )
   /SUM(INDEX(W:W, ROW()-COUNTIF($F$6:INDEX($F:$F, ROW()-1), $F447)) : INDEX(W:W, ROW()-1)),
   AVERAGEIFS(
     INDEX((unit_details[Asking Rent],unit_details[Asking PSF]),0,1,IF($U$3="Chunk Rent",1,2)),
     unit_details[Leased Date],"&gt;="&amp;($AM$2-T$5),
     unit_details[Leased Date],"&lt;"&amp;$AM$2,
     unit_details[Beds],$L448,
     unit_details[Baths],$M448,
     unit_details[Partial Baths],IF(ISNUMBER($N448),$N448,""),
     unit_details[Sqft],$P448,
     unit_details[Property Name],$F448)
 ),"")</f>
        <v/>
      </c>
      <c r="U448" s="552" t="str">
        <f>IFERROR(
 IF($F448="Total",
   SUMPRODUCT(
   INDEX(U:U, ROW()-COUNTIF($F$6:INDEX($F:$F, ROW()-1), $F447)) : INDEX(U:U, ROW()-1),
   INDEX(W:W, ROW()-COUNTIF($F$6:INDEX($F:$F, ROW()-1), $F447)) : INDEX(W:W, ROW()-1)
   )
   /SUM(INDEX(W:W, ROW()-COUNTIF($F$6:INDEX($F:$F, ROW()-1), $F447)) : INDEX(W:W, ROW()-1)),
   AVERAGEIFS(
     INDEX((unit_details[Effective Rent],unit_details[Effective PSF]),0,1,IF($U$3="Chunk Rent",1,2)),
     unit_details[Leased Date],"&gt;="&amp;($AM$2-T$5),
     unit_details[Leased Date],"&lt;"&amp;$AM$2,
     unit_details[Beds],$L448,
     unit_details[Baths],$M448,
     unit_details[Partial Baths],IF(ISNUMBER($N448),$N448,""),
     unit_details[Sqft],$P448,
     unit_details[Property Name],$F448)
 ),"")</f>
        <v/>
      </c>
      <c r="V448" s="27" t="str">
        <f t="shared" si="76"/>
        <v/>
      </c>
      <c r="W448" s="526">
        <f>IFERROR(
  IF($F448="Total",
    SUM(INDEX(W:W, ROW()-COUNTIF($F$6:INDEX($F:$F, ROW()-1), $F447)) : INDEX(W:W, ROW()-1)),
    COUNTIFS(
      unit_details[Leased Date], "&gt;="&amp;($AM$2-T$5),
      unit_details[Leased Date], "&lt;"&amp;$AM$2,
      unit_details[Beds], $L448,
      unit_details[Baths], $M448,
      unit_details[Partial Baths], IF(ISNUMBER($N448), $N448, ""),
      unit_details[Sqft],$P448,
      unit_details[Property Name], $F448
    )
  ),
"")</f>
        <v>0</v>
      </c>
      <c r="X448" s="531" t="str">
        <f>IFERROR(
 IF($F448="Total",
   SUMPRODUCT(
   INDEX(X:X, ROW()-COUNTIF($F$6:INDEX($F:$F, ROW()-1), $F447)) : INDEX(X:X, ROW()-1),
   INDEX(AA:AA, ROW()-COUNTIF($F$6:INDEX($F:$F, ROW()-1), $F447)) : INDEX(AA:AA, ROW()-1)
   )
   /SUM(INDEX(AA:AA, ROW()-COUNTIF($F$6:INDEX($F:$F, ROW()-1), $F447)) : INDEX(AA:AA, ROW()-1)),
   AVERAGEIFS(
     INDEX((unit_details[Asking Rent],unit_details[Asking PSF]),0,1,IF($U$3="Chunk Rent",1,2)),
     unit_details[Leased Date],"&gt;="&amp;($AM$2-X$5),
     unit_details[Leased Date],"&lt;"&amp;$AM$2,
     unit_details[Beds],$L448,
     unit_details[Baths],$M448,
     unit_details[Partial Baths],IF(ISNUMBER($N448),$N448,""),
     unit_details[Sqft],$P448,
     unit_details[Property Name],$F448)
 ),"")</f>
        <v/>
      </c>
      <c r="Y448" s="552" t="str">
        <f>IFERROR(
 IF($F448="Total",
   SUMPRODUCT(
   INDEX(Y:Y, ROW()-COUNTIF($F$6:INDEX($F:$F, ROW()-1), $F447)) : INDEX(Y:Y, ROW()-1),
   INDEX(AA:AA, ROW()-COUNTIF($F$6:INDEX($F:$F, ROW()-1), $F447)) : INDEX(AA:AA, ROW()-1)
   )
   /SUM(INDEX(AA:AA, ROW()-COUNTIF($F$6:INDEX($F:$F, ROW()-1), $F447)) : INDEX(AA:AA, ROW()-1)),
   AVERAGEIFS(
     INDEX((unit_details[Effective Rent],unit_details[Effective PSF]),0,1,IF($U$3="Chunk Rent",1,2)),
     unit_details[Leased Date],"&gt;="&amp;($AM$2-X$5),
     unit_details[Leased Date],"&lt;"&amp;$AM$2,
     unit_details[Beds],$L448,
     unit_details[Baths],$M448,
     unit_details[Partial Baths],IF(ISNUMBER($N448),$N448,""),
     unit_details[Sqft],$P448,
     unit_details[Property Name],$F448)
 ),"")</f>
        <v/>
      </c>
      <c r="Z448" s="27" t="str">
        <f t="shared" si="77"/>
        <v/>
      </c>
      <c r="AA448" s="526">
        <f>IFERROR(
  IF($F448="Total",
    SUM(INDEX(AA:AA, ROW()-COUNTIF($F$6:INDEX($F:$F, ROW()-1), $F447)) : INDEX(AA:AA, ROW()-1)),
    COUNTIFS(
      unit_details[Leased Date], "&gt;="&amp;($AM$2-X$5),
      unit_details[Leased Date], "&lt;"&amp;$AM$2,
      unit_details[Beds], $L448,
      unit_details[Baths], $M448,
      unit_details[Partial Baths], IF(ISNUMBER($N448), $N448, ""),
      unit_details[Sqft],$P448,
      unit_details[Property Name], $F448
    )
  ),
"")</f>
        <v>0</v>
      </c>
      <c r="AB448" s="290">
        <f>IF($F448="Total",
SUM(INDEX(AB:AB, ROW()-COUNTIF($F$6:INDEX($F:$F, ROW()-1), $F447)) : INDEX(AB:AB, ROW()-1)),
COUNTIFS(unit_details[Active Listing?],TRUE,
          unit_details[Property Name], $F448,
          unit_details[Beds], $L448,
          unit_details[Baths], $M448,
          unit_details[Partial Baths],IF(ISNUMBER($N448),$N448,""),
          unit_details[Sqft],$P448))</f>
        <v>0</v>
      </c>
      <c r="AC448" s="27" t="str">
        <f t="shared" si="69"/>
        <v/>
      </c>
      <c r="AD448" s="293" t="str">
        <f>IFERROR(IF(AE448="","",IF($F448="Total",
SUMPRODUCT(
   INDEX(AD:AD, ROW()-COUNTIF($F$6:INDEX($F:$F, ROW()-1), $F447)) : INDEX(AD:AD, ROW()-1),
   INDEX(AB:AB, ROW()-COUNTIF($F$6:INDEX($F:$F, ROW()-1), $F447)) : INDEX(AB:AB, ROW()-1)
   )
   /SUM(INDEX(AB:AB, ROW()-COUNTIF($F$6:INDEX($F:$F, ROW()-1), $F447)) : INDEX(AB:AB, ROW()-1)),
          _xlfn.MINIFS(unit_details[Asking Rent],
          unit_details[Active Listing?],TRUE,
          unit_details[Property Name], $F448,
          unit_details[Beds], $L448,
          unit_details[Baths], $M448,
          unit_details[Partial Baths], IF(ISNUMBER($N448),$N448,""),
          unit_details[Sqft],$P448
))),"")</f>
        <v/>
      </c>
      <c r="AE448" s="5" t="str">
        <f>IFERROR(IF($F448="Total",
          SUMPRODUCT(
   INDEX(AE:AE, ROW()-COUNTIF($F$6:INDEX($F:$F, ROW()-1), $F447)) : INDEX(AE:AE, ROW()-1),
   INDEX(AB:AB, ROW()-COUNTIF($F$6:INDEX($F:$F, ROW()-1), $F447)) : INDEX(AB:AB, ROW()-1)
   )
   /SUM(INDEX(AB:AB, ROW()-COUNTIF($F$6:INDEX($F:$F, ROW()-1), $F447)) : INDEX(AB:AB, ROW()-1)),
          AVERAGEIFS(unit_details[Asking Rent],
          unit_details[Active Listing?],TRUE,
          unit_details[Property Name], $F448,
          unit_details[Beds], $L448,
          unit_details[Baths], $M448,
          unit_details[Partial Baths], IF(ISNUMBER($N448),$N448,""),
          unit_details[Sqft],$P448
)),"")</f>
        <v/>
      </c>
      <c r="AF448" s="5" t="str">
        <f>IFERROR(IF(AE448="","",IF($F448="Total",
SUMPRODUCT(
   INDEX(AF:AF, ROW()-COUNTIF($F$6:INDEX($F:$F, ROW()-1), $F447)) : INDEX(AF:AF, ROW()-1),
   INDEX(AB:AB, ROW()-COUNTIF($F$6:INDEX($F:$F, ROW()-1), $F447)) : INDEX(AB:AB, ROW()-1)
   )
   /SUM(INDEX(AB:AB, ROW()-COUNTIF($F$6:INDEX($F:$F, ROW()-1), $F447)) : INDEX(AB:AB, ROW()-1)),
           _xlfn.MAXIFS(unit_details[Asking Rent],
          unit_details[Active Listing?],TRUE,
          unit_details[Property Name], $F448,
          unit_details[Beds], $L448,
          unit_details[Baths], $M448,
          unit_details[Partial Baths], IF(ISNUMBER($N448),$N448,""),
          unit_details[Sqft],$P448
))),"")</f>
        <v/>
      </c>
      <c r="AG448" s="6" t="str">
        <f>IFERROR(IF($F448="Total",
         SUMPRODUCT(
         INDEX(AG:AG, ROW()-COUNTIF($F$6:INDEX($F:$F, ROW()-1), $F447)) : INDEX(AG:AG, ROW()-1),
         INDEX(AB:AB, ROW()-COUNTIF($F$6:INDEX($F:$F, ROW()-1), $F447)) : INDEX(AB:AB, ROW()-1)
         )
         /SUM(INDEX(AB:AB, ROW()-COUNTIF($F$6:INDEX($F:$F, ROW()-1), $F447)) : INDEX(AB:AB, ROW()-1)),
          AVERAGEIFS(unit_details[Asking PSF],
          unit_details[Active Listing?],TRUE,
          unit_details[Property Name], $F448,
          unit_details[Beds], $L448,
          unit_details[Baths], $M448,
          unit_details[Partial Baths], IF(ISNUMBER($N448),$N448,""),
          unit_details[Sqft],$P448
)),"")</f>
        <v/>
      </c>
      <c r="AH448" s="293" t="str">
        <f>IFERROR(IF($F448="Total",
         SUMPRODUCT(
         INDEX(AH:AH, ROW()-COUNTIF($F$6:INDEX($F:$F, ROW()-1), $F447)) : INDEX(AH:AH, ROW()-1),
         INDEX(AB:AB, ROW()-COUNTIF($F$6:INDEX($F:$F, ROW()-1), $F447)) : INDEX(AB:AB, ROW()-1)
         )
         /SUM(INDEX(AB:AB, ROW()-COUNTIF($F$6:INDEX($F:$F, ROW()-1), $F447)) : INDEX(AB:AB, ROW()-1)),
          AVERAGEIFS(unit_details[Effective Rent],
          unit_details[Active Listing?],TRUE,
          unit_details[Property Name], $F448,
          unit_details[Beds], $L448,
          unit_details[Baths], $M448,
          unit_details[Partial Baths], IF(ISNUMBER($N448),$N448,""),
          unit_details[Sqft],$P448
)),"")</f>
        <v/>
      </c>
      <c r="AI448" s="6" t="str">
        <f>IFERROR(IF($F448="Total",
         SUMPRODUCT(
         INDEX(AI:AI, ROW()-COUNTIF($F$6:INDEX($F:$F, ROW()-1), $F447)) : INDEX(AI:AI, ROW()-1),
         INDEX(AB:AB, ROW()-COUNTIF($F$6:INDEX($F:$F, ROW()-1), $F447)) : INDEX(AB:AB, ROW()-1)
         )
         /SUM(INDEX(AB:AB, ROW()-COUNTIF($F$6:INDEX($F:$F, ROW()-1), $F447)) : INDEX(AB:AB, ROW()-1)),
           AVERAGEIFS(unit_details[Effective PSF],
          unit_details[Active Listing?],TRUE,
          unit_details[Property Name], $F448,
          unit_details[Beds], $L448,
          unit_details[Baths], $M448,
          unit_details[Partial Baths], IF(ISNUMBER($N448),$N448,""),
          unit_details[Sqft],$P448
)),"")</f>
        <v/>
      </c>
      <c r="AJ448" s="824" t="str">
        <f t="shared" si="70"/>
        <v/>
      </c>
      <c r="AK448" s="531" t="str">
        <f t="shared" si="71"/>
        <v/>
      </c>
      <c r="AL448" s="714" t="str">
        <f t="shared" si="72"/>
        <v/>
      </c>
      <c r="AM448" s="531" t="str">
        <f t="shared" si="73"/>
        <v/>
      </c>
      <c r="AN448" s="716" t="str">
        <f t="shared" si="74"/>
        <v/>
      </c>
    </row>
    <row r="449" spans="6:40" x14ac:dyDescent="0.2">
      <c r="F449" s="1" t="str">
        <f t="shared" si="67"/>
        <v/>
      </c>
      <c r="G449" s="713" t="str">
        <f t="shared" si="75"/>
        <v/>
      </c>
      <c r="H449" s="17" t="str">
        <f>IFERROR(VLOOKUP($G449,Table1[[Property]:[Exposure %]],4,0),"")</f>
        <v/>
      </c>
      <c r="I449" s="3" t="str">
        <f>IFERROR(VLOOKUP($G449,Table1[[Property]:[Exposure %]],6,0),"")</f>
        <v/>
      </c>
      <c r="J449" s="3" t="str">
        <f>IFERROR(VLOOKUP($G449,Table1[[Property]:[Exposure %]],7,0),"")</f>
        <v/>
      </c>
      <c r="R449" s="4" t="str">
        <f>IFERROR(VLOOKUP(IF(F449="Total",F448,F449),Table1[[Property]:['# Units]],7,0)*S449,"")</f>
        <v/>
      </c>
      <c r="S449" s="27" t="str">
        <f t="shared" si="68"/>
        <v/>
      </c>
      <c r="T449" s="531" t="str">
        <f>IFERROR(
 IF($F449="Total",
   SUMPRODUCT(
   INDEX(T:T, ROW()-COUNTIF($F$6:INDEX($F:$F, ROW()-1), $F448)) : INDEX(T:T, ROW()-1),
   INDEX(W:W, ROW()-COUNTIF($F$6:INDEX($F:$F, ROW()-1), $F448)) : INDEX(W:W, ROW()-1)
   )
   /SUM(INDEX(W:W, ROW()-COUNTIF($F$6:INDEX($F:$F, ROW()-1), $F448)) : INDEX(W:W, ROW()-1)),
   AVERAGEIFS(
     INDEX((unit_details[Asking Rent],unit_details[Asking PSF]),0,1,IF($U$3="Chunk Rent",1,2)),
     unit_details[Leased Date],"&gt;="&amp;($AM$2-T$5),
     unit_details[Leased Date],"&lt;"&amp;$AM$2,
     unit_details[Beds],$L449,
     unit_details[Baths],$M449,
     unit_details[Partial Baths],IF(ISNUMBER($N449),$N449,""),
     unit_details[Sqft],$P449,
     unit_details[Property Name],$F449)
 ),"")</f>
        <v/>
      </c>
      <c r="U449" s="552" t="str">
        <f>IFERROR(
 IF($F449="Total",
   SUMPRODUCT(
   INDEX(U:U, ROW()-COUNTIF($F$6:INDEX($F:$F, ROW()-1), $F448)) : INDEX(U:U, ROW()-1),
   INDEX(W:W, ROW()-COUNTIF($F$6:INDEX($F:$F, ROW()-1), $F448)) : INDEX(W:W, ROW()-1)
   )
   /SUM(INDEX(W:W, ROW()-COUNTIF($F$6:INDEX($F:$F, ROW()-1), $F448)) : INDEX(W:W, ROW()-1)),
   AVERAGEIFS(
     INDEX((unit_details[Effective Rent],unit_details[Effective PSF]),0,1,IF($U$3="Chunk Rent",1,2)),
     unit_details[Leased Date],"&gt;="&amp;($AM$2-T$5),
     unit_details[Leased Date],"&lt;"&amp;$AM$2,
     unit_details[Beds],$L449,
     unit_details[Baths],$M449,
     unit_details[Partial Baths],IF(ISNUMBER($N449),$N449,""),
     unit_details[Sqft],$P449,
     unit_details[Property Name],$F449)
 ),"")</f>
        <v/>
      </c>
      <c r="V449" s="27" t="str">
        <f t="shared" si="76"/>
        <v/>
      </c>
      <c r="W449" s="526">
        <f>IFERROR(
  IF($F449="Total",
    SUM(INDEX(W:W, ROW()-COUNTIF($F$6:INDEX($F:$F, ROW()-1), $F448)) : INDEX(W:W, ROW()-1)),
    COUNTIFS(
      unit_details[Leased Date], "&gt;="&amp;($AM$2-T$5),
      unit_details[Leased Date], "&lt;"&amp;$AM$2,
      unit_details[Beds], $L449,
      unit_details[Baths], $M449,
      unit_details[Partial Baths], IF(ISNUMBER($N449), $N449, ""),
      unit_details[Sqft],$P449,
      unit_details[Property Name], $F449
    )
  ),
"")</f>
        <v>0</v>
      </c>
      <c r="X449" s="531" t="str">
        <f>IFERROR(
 IF($F449="Total",
   SUMPRODUCT(
   INDEX(X:X, ROW()-COUNTIF($F$6:INDEX($F:$F, ROW()-1), $F448)) : INDEX(X:X, ROW()-1),
   INDEX(AA:AA, ROW()-COUNTIF($F$6:INDEX($F:$F, ROW()-1), $F448)) : INDEX(AA:AA, ROW()-1)
   )
   /SUM(INDEX(AA:AA, ROW()-COUNTIF($F$6:INDEX($F:$F, ROW()-1), $F448)) : INDEX(AA:AA, ROW()-1)),
   AVERAGEIFS(
     INDEX((unit_details[Asking Rent],unit_details[Asking PSF]),0,1,IF($U$3="Chunk Rent",1,2)),
     unit_details[Leased Date],"&gt;="&amp;($AM$2-X$5),
     unit_details[Leased Date],"&lt;"&amp;$AM$2,
     unit_details[Beds],$L449,
     unit_details[Baths],$M449,
     unit_details[Partial Baths],IF(ISNUMBER($N449),$N449,""),
     unit_details[Sqft],$P449,
     unit_details[Property Name],$F449)
 ),"")</f>
        <v/>
      </c>
      <c r="Y449" s="552" t="str">
        <f>IFERROR(
 IF($F449="Total",
   SUMPRODUCT(
   INDEX(Y:Y, ROW()-COUNTIF($F$6:INDEX($F:$F, ROW()-1), $F448)) : INDEX(Y:Y, ROW()-1),
   INDEX(AA:AA, ROW()-COUNTIF($F$6:INDEX($F:$F, ROW()-1), $F448)) : INDEX(AA:AA, ROW()-1)
   )
   /SUM(INDEX(AA:AA, ROW()-COUNTIF($F$6:INDEX($F:$F, ROW()-1), $F448)) : INDEX(AA:AA, ROW()-1)),
   AVERAGEIFS(
     INDEX((unit_details[Effective Rent],unit_details[Effective PSF]),0,1,IF($U$3="Chunk Rent",1,2)),
     unit_details[Leased Date],"&gt;="&amp;($AM$2-X$5),
     unit_details[Leased Date],"&lt;"&amp;$AM$2,
     unit_details[Beds],$L449,
     unit_details[Baths],$M449,
     unit_details[Partial Baths],IF(ISNUMBER($N449),$N449,""),
     unit_details[Sqft],$P449,
     unit_details[Property Name],$F449)
 ),"")</f>
        <v/>
      </c>
      <c r="Z449" s="27" t="str">
        <f t="shared" si="77"/>
        <v/>
      </c>
      <c r="AA449" s="526">
        <f>IFERROR(
  IF($F449="Total",
    SUM(INDEX(AA:AA, ROW()-COUNTIF($F$6:INDEX($F:$F, ROW()-1), $F448)) : INDEX(AA:AA, ROW()-1)),
    COUNTIFS(
      unit_details[Leased Date], "&gt;="&amp;($AM$2-X$5),
      unit_details[Leased Date], "&lt;"&amp;$AM$2,
      unit_details[Beds], $L449,
      unit_details[Baths], $M449,
      unit_details[Partial Baths], IF(ISNUMBER($N449), $N449, ""),
      unit_details[Sqft],$P449,
      unit_details[Property Name], $F449
    )
  ),
"")</f>
        <v>0</v>
      </c>
      <c r="AB449" s="290">
        <f>IF($F449="Total",
SUM(INDEX(AB:AB, ROW()-COUNTIF($F$6:INDEX($F:$F, ROW()-1), $F448)) : INDEX(AB:AB, ROW()-1)),
COUNTIFS(unit_details[Active Listing?],TRUE,
          unit_details[Property Name], $F449,
          unit_details[Beds], $L449,
          unit_details[Baths], $M449,
          unit_details[Partial Baths],IF(ISNUMBER($N449),$N449,""),
          unit_details[Sqft],$P449))</f>
        <v>0</v>
      </c>
      <c r="AC449" s="27" t="str">
        <f t="shared" si="69"/>
        <v/>
      </c>
      <c r="AD449" s="293" t="str">
        <f>IFERROR(IF(AE449="","",IF($F449="Total",
SUMPRODUCT(
   INDEX(AD:AD, ROW()-COUNTIF($F$6:INDEX($F:$F, ROW()-1), $F448)) : INDEX(AD:AD, ROW()-1),
   INDEX(AB:AB, ROW()-COUNTIF($F$6:INDEX($F:$F, ROW()-1), $F448)) : INDEX(AB:AB, ROW()-1)
   )
   /SUM(INDEX(AB:AB, ROW()-COUNTIF($F$6:INDEX($F:$F, ROW()-1), $F448)) : INDEX(AB:AB, ROW()-1)),
          _xlfn.MINIFS(unit_details[Asking Rent],
          unit_details[Active Listing?],TRUE,
          unit_details[Property Name], $F449,
          unit_details[Beds], $L449,
          unit_details[Baths], $M449,
          unit_details[Partial Baths], IF(ISNUMBER($N449),$N449,""),
          unit_details[Sqft],$P449
))),"")</f>
        <v/>
      </c>
      <c r="AE449" s="5" t="str">
        <f>IFERROR(IF($F449="Total",
          SUMPRODUCT(
   INDEX(AE:AE, ROW()-COUNTIF($F$6:INDEX($F:$F, ROW()-1), $F448)) : INDEX(AE:AE, ROW()-1),
   INDEX(AB:AB, ROW()-COUNTIF($F$6:INDEX($F:$F, ROW()-1), $F448)) : INDEX(AB:AB, ROW()-1)
   )
   /SUM(INDEX(AB:AB, ROW()-COUNTIF($F$6:INDEX($F:$F, ROW()-1), $F448)) : INDEX(AB:AB, ROW()-1)),
          AVERAGEIFS(unit_details[Asking Rent],
          unit_details[Active Listing?],TRUE,
          unit_details[Property Name], $F449,
          unit_details[Beds], $L449,
          unit_details[Baths], $M449,
          unit_details[Partial Baths], IF(ISNUMBER($N449),$N449,""),
          unit_details[Sqft],$P449
)),"")</f>
        <v/>
      </c>
      <c r="AF449" s="5" t="str">
        <f>IFERROR(IF(AE449="","",IF($F449="Total",
SUMPRODUCT(
   INDEX(AF:AF, ROW()-COUNTIF($F$6:INDEX($F:$F, ROW()-1), $F448)) : INDEX(AF:AF, ROW()-1),
   INDEX(AB:AB, ROW()-COUNTIF($F$6:INDEX($F:$F, ROW()-1), $F448)) : INDEX(AB:AB, ROW()-1)
   )
   /SUM(INDEX(AB:AB, ROW()-COUNTIF($F$6:INDEX($F:$F, ROW()-1), $F448)) : INDEX(AB:AB, ROW()-1)),
           _xlfn.MAXIFS(unit_details[Asking Rent],
          unit_details[Active Listing?],TRUE,
          unit_details[Property Name], $F449,
          unit_details[Beds], $L449,
          unit_details[Baths], $M449,
          unit_details[Partial Baths], IF(ISNUMBER($N449),$N449,""),
          unit_details[Sqft],$P449
))),"")</f>
        <v/>
      </c>
      <c r="AG449" s="6" t="str">
        <f>IFERROR(IF($F449="Total",
         SUMPRODUCT(
         INDEX(AG:AG, ROW()-COUNTIF($F$6:INDEX($F:$F, ROW()-1), $F448)) : INDEX(AG:AG, ROW()-1),
         INDEX(AB:AB, ROW()-COUNTIF($F$6:INDEX($F:$F, ROW()-1), $F448)) : INDEX(AB:AB, ROW()-1)
         )
         /SUM(INDEX(AB:AB, ROW()-COUNTIF($F$6:INDEX($F:$F, ROW()-1), $F448)) : INDEX(AB:AB, ROW()-1)),
          AVERAGEIFS(unit_details[Asking PSF],
          unit_details[Active Listing?],TRUE,
          unit_details[Property Name], $F449,
          unit_details[Beds], $L449,
          unit_details[Baths], $M449,
          unit_details[Partial Baths], IF(ISNUMBER($N449),$N449,""),
          unit_details[Sqft],$P449
)),"")</f>
        <v/>
      </c>
      <c r="AH449" s="293" t="str">
        <f>IFERROR(IF($F449="Total",
         SUMPRODUCT(
         INDEX(AH:AH, ROW()-COUNTIF($F$6:INDEX($F:$F, ROW()-1), $F448)) : INDEX(AH:AH, ROW()-1),
         INDEX(AB:AB, ROW()-COUNTIF($F$6:INDEX($F:$F, ROW()-1), $F448)) : INDEX(AB:AB, ROW()-1)
         )
         /SUM(INDEX(AB:AB, ROW()-COUNTIF($F$6:INDEX($F:$F, ROW()-1), $F448)) : INDEX(AB:AB, ROW()-1)),
          AVERAGEIFS(unit_details[Effective Rent],
          unit_details[Active Listing?],TRUE,
          unit_details[Property Name], $F449,
          unit_details[Beds], $L449,
          unit_details[Baths], $M449,
          unit_details[Partial Baths], IF(ISNUMBER($N449),$N449,""),
          unit_details[Sqft],$P449
)),"")</f>
        <v/>
      </c>
      <c r="AI449" s="6" t="str">
        <f>IFERROR(IF($F449="Total",
         SUMPRODUCT(
         INDEX(AI:AI, ROW()-COUNTIF($F$6:INDEX($F:$F, ROW()-1), $F448)) : INDEX(AI:AI, ROW()-1),
         INDEX(AB:AB, ROW()-COUNTIF($F$6:INDEX($F:$F, ROW()-1), $F448)) : INDEX(AB:AB, ROW()-1)
         )
         /SUM(INDEX(AB:AB, ROW()-COUNTIF($F$6:INDEX($F:$F, ROW()-1), $F448)) : INDEX(AB:AB, ROW()-1)),
           AVERAGEIFS(unit_details[Effective PSF],
          unit_details[Active Listing?],TRUE,
          unit_details[Property Name], $F449,
          unit_details[Beds], $L449,
          unit_details[Baths], $M449,
          unit_details[Partial Baths], IF(ISNUMBER($N449),$N449,""),
          unit_details[Sqft],$P449
)),"")</f>
        <v/>
      </c>
      <c r="AJ449" s="824" t="str">
        <f t="shared" si="70"/>
        <v/>
      </c>
      <c r="AK449" s="531" t="str">
        <f t="shared" si="71"/>
        <v/>
      </c>
      <c r="AL449" s="714" t="str">
        <f t="shared" si="72"/>
        <v/>
      </c>
      <c r="AM449" s="531" t="str">
        <f t="shared" si="73"/>
        <v/>
      </c>
      <c r="AN449" s="716" t="str">
        <f t="shared" si="74"/>
        <v/>
      </c>
    </row>
    <row r="450" spans="6:40" x14ac:dyDescent="0.2">
      <c r="F450" s="1" t="str">
        <f t="shared" si="67"/>
        <v/>
      </c>
      <c r="G450" s="713" t="str">
        <f t="shared" si="75"/>
        <v/>
      </c>
      <c r="H450" s="17" t="str">
        <f>IFERROR(VLOOKUP($G450,Table1[[Property]:[Exposure %]],4,0),"")</f>
        <v/>
      </c>
      <c r="I450" s="3" t="str">
        <f>IFERROR(VLOOKUP($G450,Table1[[Property]:[Exposure %]],6,0),"")</f>
        <v/>
      </c>
      <c r="J450" s="3" t="str">
        <f>IFERROR(VLOOKUP($G450,Table1[[Property]:[Exposure %]],7,0),"")</f>
        <v/>
      </c>
      <c r="R450" s="4" t="str">
        <f>IFERROR(VLOOKUP(IF(F450="Total",F449,F450),Table1[[Property]:['# Units]],7,0)*S450,"")</f>
        <v/>
      </c>
      <c r="S450" s="27" t="str">
        <f t="shared" si="68"/>
        <v/>
      </c>
      <c r="T450" s="531" t="str">
        <f>IFERROR(
 IF($F450="Total",
   SUMPRODUCT(
   INDEX(T:T, ROW()-COUNTIF($F$6:INDEX($F:$F, ROW()-1), $F449)) : INDEX(T:T, ROW()-1),
   INDEX(W:W, ROW()-COUNTIF($F$6:INDEX($F:$F, ROW()-1), $F449)) : INDEX(W:W, ROW()-1)
   )
   /SUM(INDEX(W:W, ROW()-COUNTIF($F$6:INDEX($F:$F, ROW()-1), $F449)) : INDEX(W:W, ROW()-1)),
   AVERAGEIFS(
     INDEX((unit_details[Asking Rent],unit_details[Asking PSF]),0,1,IF($U$3="Chunk Rent",1,2)),
     unit_details[Leased Date],"&gt;="&amp;($AM$2-T$5),
     unit_details[Leased Date],"&lt;"&amp;$AM$2,
     unit_details[Beds],$L450,
     unit_details[Baths],$M450,
     unit_details[Partial Baths],IF(ISNUMBER($N450),$N450,""),
     unit_details[Sqft],$P450,
     unit_details[Property Name],$F450)
 ),"")</f>
        <v/>
      </c>
      <c r="U450" s="552" t="str">
        <f>IFERROR(
 IF($F450="Total",
   SUMPRODUCT(
   INDEX(U:U, ROW()-COUNTIF($F$6:INDEX($F:$F, ROW()-1), $F449)) : INDEX(U:U, ROW()-1),
   INDEX(W:W, ROW()-COUNTIF($F$6:INDEX($F:$F, ROW()-1), $F449)) : INDEX(W:W, ROW()-1)
   )
   /SUM(INDEX(W:W, ROW()-COUNTIF($F$6:INDEX($F:$F, ROW()-1), $F449)) : INDEX(W:W, ROW()-1)),
   AVERAGEIFS(
     INDEX((unit_details[Effective Rent],unit_details[Effective PSF]),0,1,IF($U$3="Chunk Rent",1,2)),
     unit_details[Leased Date],"&gt;="&amp;($AM$2-T$5),
     unit_details[Leased Date],"&lt;"&amp;$AM$2,
     unit_details[Beds],$L450,
     unit_details[Baths],$M450,
     unit_details[Partial Baths],IF(ISNUMBER($N450),$N450,""),
     unit_details[Sqft],$P450,
     unit_details[Property Name],$F450)
 ),"")</f>
        <v/>
      </c>
      <c r="V450" s="27" t="str">
        <f t="shared" si="76"/>
        <v/>
      </c>
      <c r="W450" s="526">
        <f>IFERROR(
  IF($F450="Total",
    SUM(INDEX(W:W, ROW()-COUNTIF($F$6:INDEX($F:$F, ROW()-1), $F449)) : INDEX(W:W, ROW()-1)),
    COUNTIFS(
      unit_details[Leased Date], "&gt;="&amp;($AM$2-T$5),
      unit_details[Leased Date], "&lt;"&amp;$AM$2,
      unit_details[Beds], $L450,
      unit_details[Baths], $M450,
      unit_details[Partial Baths], IF(ISNUMBER($N450), $N450, ""),
      unit_details[Sqft],$P450,
      unit_details[Property Name], $F450
    )
  ),
"")</f>
        <v>0</v>
      </c>
      <c r="X450" s="531" t="str">
        <f>IFERROR(
 IF($F450="Total",
   SUMPRODUCT(
   INDEX(X:X, ROW()-COUNTIF($F$6:INDEX($F:$F, ROW()-1), $F449)) : INDEX(X:X, ROW()-1),
   INDEX(AA:AA, ROW()-COUNTIF($F$6:INDEX($F:$F, ROW()-1), $F449)) : INDEX(AA:AA, ROW()-1)
   )
   /SUM(INDEX(AA:AA, ROW()-COUNTIF($F$6:INDEX($F:$F, ROW()-1), $F449)) : INDEX(AA:AA, ROW()-1)),
   AVERAGEIFS(
     INDEX((unit_details[Asking Rent],unit_details[Asking PSF]),0,1,IF($U$3="Chunk Rent",1,2)),
     unit_details[Leased Date],"&gt;="&amp;($AM$2-X$5),
     unit_details[Leased Date],"&lt;"&amp;$AM$2,
     unit_details[Beds],$L450,
     unit_details[Baths],$M450,
     unit_details[Partial Baths],IF(ISNUMBER($N450),$N450,""),
     unit_details[Sqft],$P450,
     unit_details[Property Name],$F450)
 ),"")</f>
        <v/>
      </c>
      <c r="Y450" s="552" t="str">
        <f>IFERROR(
 IF($F450="Total",
   SUMPRODUCT(
   INDEX(Y:Y, ROW()-COUNTIF($F$6:INDEX($F:$F, ROW()-1), $F449)) : INDEX(Y:Y, ROW()-1),
   INDEX(AA:AA, ROW()-COUNTIF($F$6:INDEX($F:$F, ROW()-1), $F449)) : INDEX(AA:AA, ROW()-1)
   )
   /SUM(INDEX(AA:AA, ROW()-COUNTIF($F$6:INDEX($F:$F, ROW()-1), $F449)) : INDEX(AA:AA, ROW()-1)),
   AVERAGEIFS(
     INDEX((unit_details[Effective Rent],unit_details[Effective PSF]),0,1,IF($U$3="Chunk Rent",1,2)),
     unit_details[Leased Date],"&gt;="&amp;($AM$2-X$5),
     unit_details[Leased Date],"&lt;"&amp;$AM$2,
     unit_details[Beds],$L450,
     unit_details[Baths],$M450,
     unit_details[Partial Baths],IF(ISNUMBER($N450),$N450,""),
     unit_details[Sqft],$P450,
     unit_details[Property Name],$F450)
 ),"")</f>
        <v/>
      </c>
      <c r="Z450" s="27" t="str">
        <f t="shared" si="77"/>
        <v/>
      </c>
      <c r="AA450" s="526">
        <f>IFERROR(
  IF($F450="Total",
    SUM(INDEX(AA:AA, ROW()-COUNTIF($F$6:INDEX($F:$F, ROW()-1), $F449)) : INDEX(AA:AA, ROW()-1)),
    COUNTIFS(
      unit_details[Leased Date], "&gt;="&amp;($AM$2-X$5),
      unit_details[Leased Date], "&lt;"&amp;$AM$2,
      unit_details[Beds], $L450,
      unit_details[Baths], $M450,
      unit_details[Partial Baths], IF(ISNUMBER($N450), $N450, ""),
      unit_details[Sqft],$P450,
      unit_details[Property Name], $F450
    )
  ),
"")</f>
        <v>0</v>
      </c>
      <c r="AB450" s="290">
        <f>IF($F450="Total",
SUM(INDEX(AB:AB, ROW()-COUNTIF($F$6:INDEX($F:$F, ROW()-1), $F449)) : INDEX(AB:AB, ROW()-1)),
COUNTIFS(unit_details[Active Listing?],TRUE,
          unit_details[Property Name], $F450,
          unit_details[Beds], $L450,
          unit_details[Baths], $M450,
          unit_details[Partial Baths],IF(ISNUMBER($N450),$N450,""),
          unit_details[Sqft],$P450))</f>
        <v>0</v>
      </c>
      <c r="AC450" s="27" t="str">
        <f t="shared" si="69"/>
        <v/>
      </c>
      <c r="AD450" s="293" t="str">
        <f>IFERROR(IF(AE450="","",IF($F450="Total",
SUMPRODUCT(
   INDEX(AD:AD, ROW()-COUNTIF($F$6:INDEX($F:$F, ROW()-1), $F449)) : INDEX(AD:AD, ROW()-1),
   INDEX(AB:AB, ROW()-COUNTIF($F$6:INDEX($F:$F, ROW()-1), $F449)) : INDEX(AB:AB, ROW()-1)
   )
   /SUM(INDEX(AB:AB, ROW()-COUNTIF($F$6:INDEX($F:$F, ROW()-1), $F449)) : INDEX(AB:AB, ROW()-1)),
          _xlfn.MINIFS(unit_details[Asking Rent],
          unit_details[Active Listing?],TRUE,
          unit_details[Property Name], $F450,
          unit_details[Beds], $L450,
          unit_details[Baths], $M450,
          unit_details[Partial Baths], IF(ISNUMBER($N450),$N450,""),
          unit_details[Sqft],$P450
))),"")</f>
        <v/>
      </c>
      <c r="AE450" s="5" t="str">
        <f>IFERROR(IF($F450="Total",
          SUMPRODUCT(
   INDEX(AE:AE, ROW()-COUNTIF($F$6:INDEX($F:$F, ROW()-1), $F449)) : INDEX(AE:AE, ROW()-1),
   INDEX(AB:AB, ROW()-COUNTIF($F$6:INDEX($F:$F, ROW()-1), $F449)) : INDEX(AB:AB, ROW()-1)
   )
   /SUM(INDEX(AB:AB, ROW()-COUNTIF($F$6:INDEX($F:$F, ROW()-1), $F449)) : INDEX(AB:AB, ROW()-1)),
          AVERAGEIFS(unit_details[Asking Rent],
          unit_details[Active Listing?],TRUE,
          unit_details[Property Name], $F450,
          unit_details[Beds], $L450,
          unit_details[Baths], $M450,
          unit_details[Partial Baths], IF(ISNUMBER($N450),$N450,""),
          unit_details[Sqft],$P450
)),"")</f>
        <v/>
      </c>
      <c r="AF450" s="5" t="str">
        <f>IFERROR(IF(AE450="","",IF($F450="Total",
SUMPRODUCT(
   INDEX(AF:AF, ROW()-COUNTIF($F$6:INDEX($F:$F, ROW()-1), $F449)) : INDEX(AF:AF, ROW()-1),
   INDEX(AB:AB, ROW()-COUNTIF($F$6:INDEX($F:$F, ROW()-1), $F449)) : INDEX(AB:AB, ROW()-1)
   )
   /SUM(INDEX(AB:AB, ROW()-COUNTIF($F$6:INDEX($F:$F, ROW()-1), $F449)) : INDEX(AB:AB, ROW()-1)),
           _xlfn.MAXIFS(unit_details[Asking Rent],
          unit_details[Active Listing?],TRUE,
          unit_details[Property Name], $F450,
          unit_details[Beds], $L450,
          unit_details[Baths], $M450,
          unit_details[Partial Baths], IF(ISNUMBER($N450),$N450,""),
          unit_details[Sqft],$P450
))),"")</f>
        <v/>
      </c>
      <c r="AG450" s="6" t="str">
        <f>IFERROR(IF($F450="Total",
         SUMPRODUCT(
         INDEX(AG:AG, ROW()-COUNTIF($F$6:INDEX($F:$F, ROW()-1), $F449)) : INDEX(AG:AG, ROW()-1),
         INDEX(AB:AB, ROW()-COUNTIF($F$6:INDEX($F:$F, ROW()-1), $F449)) : INDEX(AB:AB, ROW()-1)
         )
         /SUM(INDEX(AB:AB, ROW()-COUNTIF($F$6:INDEX($F:$F, ROW()-1), $F449)) : INDEX(AB:AB, ROW()-1)),
          AVERAGEIFS(unit_details[Asking PSF],
          unit_details[Active Listing?],TRUE,
          unit_details[Property Name], $F450,
          unit_details[Beds], $L450,
          unit_details[Baths], $M450,
          unit_details[Partial Baths], IF(ISNUMBER($N450),$N450,""),
          unit_details[Sqft],$P450
)),"")</f>
        <v/>
      </c>
      <c r="AH450" s="293" t="str">
        <f>IFERROR(IF($F450="Total",
         SUMPRODUCT(
         INDEX(AH:AH, ROW()-COUNTIF($F$6:INDEX($F:$F, ROW()-1), $F449)) : INDEX(AH:AH, ROW()-1),
         INDEX(AB:AB, ROW()-COUNTIF($F$6:INDEX($F:$F, ROW()-1), $F449)) : INDEX(AB:AB, ROW()-1)
         )
         /SUM(INDEX(AB:AB, ROW()-COUNTIF($F$6:INDEX($F:$F, ROW()-1), $F449)) : INDEX(AB:AB, ROW()-1)),
          AVERAGEIFS(unit_details[Effective Rent],
          unit_details[Active Listing?],TRUE,
          unit_details[Property Name], $F450,
          unit_details[Beds], $L450,
          unit_details[Baths], $M450,
          unit_details[Partial Baths], IF(ISNUMBER($N450),$N450,""),
          unit_details[Sqft],$P450
)),"")</f>
        <v/>
      </c>
      <c r="AI450" s="6" t="str">
        <f>IFERROR(IF($F450="Total",
         SUMPRODUCT(
         INDEX(AI:AI, ROW()-COUNTIF($F$6:INDEX($F:$F, ROW()-1), $F449)) : INDEX(AI:AI, ROW()-1),
         INDEX(AB:AB, ROW()-COUNTIF($F$6:INDEX($F:$F, ROW()-1), $F449)) : INDEX(AB:AB, ROW()-1)
         )
         /SUM(INDEX(AB:AB, ROW()-COUNTIF($F$6:INDEX($F:$F, ROW()-1), $F449)) : INDEX(AB:AB, ROW()-1)),
           AVERAGEIFS(unit_details[Effective PSF],
          unit_details[Active Listing?],TRUE,
          unit_details[Property Name], $F450,
          unit_details[Beds], $L450,
          unit_details[Baths], $M450,
          unit_details[Partial Baths], IF(ISNUMBER($N450),$N450,""),
          unit_details[Sqft],$P450
)),"")</f>
        <v/>
      </c>
      <c r="AJ450" s="824" t="str">
        <f t="shared" si="70"/>
        <v/>
      </c>
      <c r="AK450" s="531" t="str">
        <f t="shared" si="71"/>
        <v/>
      </c>
      <c r="AL450" s="714" t="str">
        <f t="shared" si="72"/>
        <v/>
      </c>
      <c r="AM450" s="531" t="str">
        <f t="shared" si="73"/>
        <v/>
      </c>
      <c r="AN450" s="716" t="str">
        <f t="shared" si="74"/>
        <v/>
      </c>
    </row>
    <row r="451" spans="6:40" x14ac:dyDescent="0.2">
      <c r="F451" s="1" t="str">
        <f t="shared" si="67"/>
        <v/>
      </c>
      <c r="G451" s="713" t="str">
        <f t="shared" si="75"/>
        <v/>
      </c>
      <c r="H451" s="17" t="str">
        <f>IFERROR(VLOOKUP($G451,Table1[[Property]:[Exposure %]],4,0),"")</f>
        <v/>
      </c>
      <c r="I451" s="3" t="str">
        <f>IFERROR(VLOOKUP($G451,Table1[[Property]:[Exposure %]],6,0),"")</f>
        <v/>
      </c>
      <c r="J451" s="3" t="str">
        <f>IFERROR(VLOOKUP($G451,Table1[[Property]:[Exposure %]],7,0),"")</f>
        <v/>
      </c>
      <c r="R451" s="4" t="str">
        <f>IFERROR(VLOOKUP(IF(F451="Total",F450,F451),Table1[[Property]:['# Units]],7,0)*S451,"")</f>
        <v/>
      </c>
      <c r="S451" s="27" t="str">
        <f t="shared" si="68"/>
        <v/>
      </c>
      <c r="T451" s="531" t="str">
        <f>IFERROR(
 IF($F451="Total",
   SUMPRODUCT(
   INDEX(T:T, ROW()-COUNTIF($F$6:INDEX($F:$F, ROW()-1), $F450)) : INDEX(T:T, ROW()-1),
   INDEX(W:W, ROW()-COUNTIF($F$6:INDEX($F:$F, ROW()-1), $F450)) : INDEX(W:W, ROW()-1)
   )
   /SUM(INDEX(W:W, ROW()-COUNTIF($F$6:INDEX($F:$F, ROW()-1), $F450)) : INDEX(W:W, ROW()-1)),
   AVERAGEIFS(
     INDEX((unit_details[Asking Rent],unit_details[Asking PSF]),0,1,IF($U$3="Chunk Rent",1,2)),
     unit_details[Leased Date],"&gt;="&amp;($AM$2-T$5),
     unit_details[Leased Date],"&lt;"&amp;$AM$2,
     unit_details[Beds],$L451,
     unit_details[Baths],$M451,
     unit_details[Partial Baths],IF(ISNUMBER($N451),$N451,""),
     unit_details[Sqft],$P451,
     unit_details[Property Name],$F451)
 ),"")</f>
        <v/>
      </c>
      <c r="U451" s="552" t="str">
        <f>IFERROR(
 IF($F451="Total",
   SUMPRODUCT(
   INDEX(U:U, ROW()-COUNTIF($F$6:INDEX($F:$F, ROW()-1), $F450)) : INDEX(U:U, ROW()-1),
   INDEX(W:W, ROW()-COUNTIF($F$6:INDEX($F:$F, ROW()-1), $F450)) : INDEX(W:W, ROW()-1)
   )
   /SUM(INDEX(W:W, ROW()-COUNTIF($F$6:INDEX($F:$F, ROW()-1), $F450)) : INDEX(W:W, ROW()-1)),
   AVERAGEIFS(
     INDEX((unit_details[Effective Rent],unit_details[Effective PSF]),0,1,IF($U$3="Chunk Rent",1,2)),
     unit_details[Leased Date],"&gt;="&amp;($AM$2-T$5),
     unit_details[Leased Date],"&lt;"&amp;$AM$2,
     unit_details[Beds],$L451,
     unit_details[Baths],$M451,
     unit_details[Partial Baths],IF(ISNUMBER($N451),$N451,""),
     unit_details[Sqft],$P451,
     unit_details[Property Name],$F451)
 ),"")</f>
        <v/>
      </c>
      <c r="V451" s="27" t="str">
        <f t="shared" si="76"/>
        <v/>
      </c>
      <c r="W451" s="526">
        <f>IFERROR(
  IF($F451="Total",
    SUM(INDEX(W:W, ROW()-COUNTIF($F$6:INDEX($F:$F, ROW()-1), $F450)) : INDEX(W:W, ROW()-1)),
    COUNTIFS(
      unit_details[Leased Date], "&gt;="&amp;($AM$2-T$5),
      unit_details[Leased Date], "&lt;"&amp;$AM$2,
      unit_details[Beds], $L451,
      unit_details[Baths], $M451,
      unit_details[Partial Baths], IF(ISNUMBER($N451), $N451, ""),
      unit_details[Sqft],$P451,
      unit_details[Property Name], $F451
    )
  ),
"")</f>
        <v>0</v>
      </c>
      <c r="X451" s="531" t="str">
        <f>IFERROR(
 IF($F451="Total",
   SUMPRODUCT(
   INDEX(X:X, ROW()-COUNTIF($F$6:INDEX($F:$F, ROW()-1), $F450)) : INDEX(X:X, ROW()-1),
   INDEX(AA:AA, ROW()-COUNTIF($F$6:INDEX($F:$F, ROW()-1), $F450)) : INDEX(AA:AA, ROW()-1)
   )
   /SUM(INDEX(AA:AA, ROW()-COUNTIF($F$6:INDEX($F:$F, ROW()-1), $F450)) : INDEX(AA:AA, ROW()-1)),
   AVERAGEIFS(
     INDEX((unit_details[Asking Rent],unit_details[Asking PSF]),0,1,IF($U$3="Chunk Rent",1,2)),
     unit_details[Leased Date],"&gt;="&amp;($AM$2-X$5),
     unit_details[Leased Date],"&lt;"&amp;$AM$2,
     unit_details[Beds],$L451,
     unit_details[Baths],$M451,
     unit_details[Partial Baths],IF(ISNUMBER($N451),$N451,""),
     unit_details[Sqft],$P451,
     unit_details[Property Name],$F451)
 ),"")</f>
        <v/>
      </c>
      <c r="Y451" s="552" t="str">
        <f>IFERROR(
 IF($F451="Total",
   SUMPRODUCT(
   INDEX(Y:Y, ROW()-COUNTIF($F$6:INDEX($F:$F, ROW()-1), $F450)) : INDEX(Y:Y, ROW()-1),
   INDEX(AA:AA, ROW()-COUNTIF($F$6:INDEX($F:$F, ROW()-1), $F450)) : INDEX(AA:AA, ROW()-1)
   )
   /SUM(INDEX(AA:AA, ROW()-COUNTIF($F$6:INDEX($F:$F, ROW()-1), $F450)) : INDEX(AA:AA, ROW()-1)),
   AVERAGEIFS(
     INDEX((unit_details[Effective Rent],unit_details[Effective PSF]),0,1,IF($U$3="Chunk Rent",1,2)),
     unit_details[Leased Date],"&gt;="&amp;($AM$2-X$5),
     unit_details[Leased Date],"&lt;"&amp;$AM$2,
     unit_details[Beds],$L451,
     unit_details[Baths],$M451,
     unit_details[Partial Baths],IF(ISNUMBER($N451),$N451,""),
     unit_details[Sqft],$P451,
     unit_details[Property Name],$F451)
 ),"")</f>
        <v/>
      </c>
      <c r="Z451" s="27" t="str">
        <f t="shared" si="77"/>
        <v/>
      </c>
      <c r="AA451" s="526">
        <f>IFERROR(
  IF($F451="Total",
    SUM(INDEX(AA:AA, ROW()-COUNTIF($F$6:INDEX($F:$F, ROW()-1), $F450)) : INDEX(AA:AA, ROW()-1)),
    COUNTIFS(
      unit_details[Leased Date], "&gt;="&amp;($AM$2-X$5),
      unit_details[Leased Date], "&lt;"&amp;$AM$2,
      unit_details[Beds], $L451,
      unit_details[Baths], $M451,
      unit_details[Partial Baths], IF(ISNUMBER($N451), $N451, ""),
      unit_details[Sqft],$P451,
      unit_details[Property Name], $F451
    )
  ),
"")</f>
        <v>0</v>
      </c>
      <c r="AB451" s="290">
        <f>IF($F451="Total",
SUM(INDEX(AB:AB, ROW()-COUNTIF($F$6:INDEX($F:$F, ROW()-1), $F450)) : INDEX(AB:AB, ROW()-1)),
COUNTIFS(unit_details[Active Listing?],TRUE,
          unit_details[Property Name], $F451,
          unit_details[Beds], $L451,
          unit_details[Baths], $M451,
          unit_details[Partial Baths],IF(ISNUMBER($N451),$N451,""),
          unit_details[Sqft],$P451))</f>
        <v>0</v>
      </c>
      <c r="AC451" s="27" t="str">
        <f t="shared" si="69"/>
        <v/>
      </c>
      <c r="AD451" s="293" t="str">
        <f>IFERROR(IF(AE451="","",IF($F451="Total",
SUMPRODUCT(
   INDEX(AD:AD, ROW()-COUNTIF($F$6:INDEX($F:$F, ROW()-1), $F450)) : INDEX(AD:AD, ROW()-1),
   INDEX(AB:AB, ROW()-COUNTIF($F$6:INDEX($F:$F, ROW()-1), $F450)) : INDEX(AB:AB, ROW()-1)
   )
   /SUM(INDEX(AB:AB, ROW()-COUNTIF($F$6:INDEX($F:$F, ROW()-1), $F450)) : INDEX(AB:AB, ROW()-1)),
          _xlfn.MINIFS(unit_details[Asking Rent],
          unit_details[Active Listing?],TRUE,
          unit_details[Property Name], $F451,
          unit_details[Beds], $L451,
          unit_details[Baths], $M451,
          unit_details[Partial Baths], IF(ISNUMBER($N451),$N451,""),
          unit_details[Sqft],$P451
))),"")</f>
        <v/>
      </c>
      <c r="AE451" s="5" t="str">
        <f>IFERROR(IF($F451="Total",
          SUMPRODUCT(
   INDEX(AE:AE, ROW()-COUNTIF($F$6:INDEX($F:$F, ROW()-1), $F450)) : INDEX(AE:AE, ROW()-1),
   INDEX(AB:AB, ROW()-COUNTIF($F$6:INDEX($F:$F, ROW()-1), $F450)) : INDEX(AB:AB, ROW()-1)
   )
   /SUM(INDEX(AB:AB, ROW()-COUNTIF($F$6:INDEX($F:$F, ROW()-1), $F450)) : INDEX(AB:AB, ROW()-1)),
          AVERAGEIFS(unit_details[Asking Rent],
          unit_details[Active Listing?],TRUE,
          unit_details[Property Name], $F451,
          unit_details[Beds], $L451,
          unit_details[Baths], $M451,
          unit_details[Partial Baths], IF(ISNUMBER($N451),$N451,""),
          unit_details[Sqft],$P451
)),"")</f>
        <v/>
      </c>
      <c r="AF451" s="5" t="str">
        <f>IFERROR(IF(AE451="","",IF($F451="Total",
SUMPRODUCT(
   INDEX(AF:AF, ROW()-COUNTIF($F$6:INDEX($F:$F, ROW()-1), $F450)) : INDEX(AF:AF, ROW()-1),
   INDEX(AB:AB, ROW()-COUNTIF($F$6:INDEX($F:$F, ROW()-1), $F450)) : INDEX(AB:AB, ROW()-1)
   )
   /SUM(INDEX(AB:AB, ROW()-COUNTIF($F$6:INDEX($F:$F, ROW()-1), $F450)) : INDEX(AB:AB, ROW()-1)),
           _xlfn.MAXIFS(unit_details[Asking Rent],
          unit_details[Active Listing?],TRUE,
          unit_details[Property Name], $F451,
          unit_details[Beds], $L451,
          unit_details[Baths], $M451,
          unit_details[Partial Baths], IF(ISNUMBER($N451),$N451,""),
          unit_details[Sqft],$P451
))),"")</f>
        <v/>
      </c>
      <c r="AG451" s="6" t="str">
        <f>IFERROR(IF($F451="Total",
         SUMPRODUCT(
         INDEX(AG:AG, ROW()-COUNTIF($F$6:INDEX($F:$F, ROW()-1), $F450)) : INDEX(AG:AG, ROW()-1),
         INDEX(AB:AB, ROW()-COUNTIF($F$6:INDEX($F:$F, ROW()-1), $F450)) : INDEX(AB:AB, ROW()-1)
         )
         /SUM(INDEX(AB:AB, ROW()-COUNTIF($F$6:INDEX($F:$F, ROW()-1), $F450)) : INDEX(AB:AB, ROW()-1)),
          AVERAGEIFS(unit_details[Asking PSF],
          unit_details[Active Listing?],TRUE,
          unit_details[Property Name], $F451,
          unit_details[Beds], $L451,
          unit_details[Baths], $M451,
          unit_details[Partial Baths], IF(ISNUMBER($N451),$N451,""),
          unit_details[Sqft],$P451
)),"")</f>
        <v/>
      </c>
      <c r="AH451" s="293" t="str">
        <f>IFERROR(IF($F451="Total",
         SUMPRODUCT(
         INDEX(AH:AH, ROW()-COUNTIF($F$6:INDEX($F:$F, ROW()-1), $F450)) : INDEX(AH:AH, ROW()-1),
         INDEX(AB:AB, ROW()-COUNTIF($F$6:INDEX($F:$F, ROW()-1), $F450)) : INDEX(AB:AB, ROW()-1)
         )
         /SUM(INDEX(AB:AB, ROW()-COUNTIF($F$6:INDEX($F:$F, ROW()-1), $F450)) : INDEX(AB:AB, ROW()-1)),
          AVERAGEIFS(unit_details[Effective Rent],
          unit_details[Active Listing?],TRUE,
          unit_details[Property Name], $F451,
          unit_details[Beds], $L451,
          unit_details[Baths], $M451,
          unit_details[Partial Baths], IF(ISNUMBER($N451),$N451,""),
          unit_details[Sqft],$P451
)),"")</f>
        <v/>
      </c>
      <c r="AI451" s="6" t="str">
        <f>IFERROR(IF($F451="Total",
         SUMPRODUCT(
         INDEX(AI:AI, ROW()-COUNTIF($F$6:INDEX($F:$F, ROW()-1), $F450)) : INDEX(AI:AI, ROW()-1),
         INDEX(AB:AB, ROW()-COUNTIF($F$6:INDEX($F:$F, ROW()-1), $F450)) : INDEX(AB:AB, ROW()-1)
         )
         /SUM(INDEX(AB:AB, ROW()-COUNTIF($F$6:INDEX($F:$F, ROW()-1), $F450)) : INDEX(AB:AB, ROW()-1)),
           AVERAGEIFS(unit_details[Effective PSF],
          unit_details[Active Listing?],TRUE,
          unit_details[Property Name], $F451,
          unit_details[Beds], $L451,
          unit_details[Baths], $M451,
          unit_details[Partial Baths], IF(ISNUMBER($N451),$N451,""),
          unit_details[Sqft],$P451
)),"")</f>
        <v/>
      </c>
      <c r="AJ451" s="824" t="str">
        <f t="shared" si="70"/>
        <v/>
      </c>
      <c r="AK451" s="531" t="str">
        <f t="shared" si="71"/>
        <v/>
      </c>
      <c r="AL451" s="714" t="str">
        <f t="shared" si="72"/>
        <v/>
      </c>
      <c r="AM451" s="531" t="str">
        <f t="shared" si="73"/>
        <v/>
      </c>
      <c r="AN451" s="716" t="str">
        <f t="shared" si="74"/>
        <v/>
      </c>
    </row>
    <row r="452" spans="6:40" x14ac:dyDescent="0.2">
      <c r="F452" s="1" t="str">
        <f t="shared" si="67"/>
        <v/>
      </c>
      <c r="G452" s="713" t="str">
        <f t="shared" si="75"/>
        <v/>
      </c>
      <c r="H452" s="17" t="str">
        <f>IFERROR(VLOOKUP($G452,Table1[[Property]:[Exposure %]],4,0),"")</f>
        <v/>
      </c>
      <c r="I452" s="3" t="str">
        <f>IFERROR(VLOOKUP($G452,Table1[[Property]:[Exposure %]],6,0),"")</f>
        <v/>
      </c>
      <c r="J452" s="3" t="str">
        <f>IFERROR(VLOOKUP($G452,Table1[[Property]:[Exposure %]],7,0),"")</f>
        <v/>
      </c>
      <c r="R452" s="4" t="str">
        <f>IFERROR(VLOOKUP(IF(F452="Total",F451,F452),Table1[[Property]:['# Units]],7,0)*S452,"")</f>
        <v/>
      </c>
      <c r="S452" s="27" t="str">
        <f t="shared" si="68"/>
        <v/>
      </c>
      <c r="T452" s="531" t="str">
        <f>IFERROR(
 IF($F452="Total",
   SUMPRODUCT(
   INDEX(T:T, ROW()-COUNTIF($F$6:INDEX($F:$F, ROW()-1), $F451)) : INDEX(T:T, ROW()-1),
   INDEX(W:W, ROW()-COUNTIF($F$6:INDEX($F:$F, ROW()-1), $F451)) : INDEX(W:W, ROW()-1)
   )
   /SUM(INDEX(W:W, ROW()-COUNTIF($F$6:INDEX($F:$F, ROW()-1), $F451)) : INDEX(W:W, ROW()-1)),
   AVERAGEIFS(
     INDEX((unit_details[Asking Rent],unit_details[Asking PSF]),0,1,IF($U$3="Chunk Rent",1,2)),
     unit_details[Leased Date],"&gt;="&amp;($AM$2-T$5),
     unit_details[Leased Date],"&lt;"&amp;$AM$2,
     unit_details[Beds],$L452,
     unit_details[Baths],$M452,
     unit_details[Partial Baths],IF(ISNUMBER($N452),$N452,""),
     unit_details[Sqft],$P452,
     unit_details[Property Name],$F452)
 ),"")</f>
        <v/>
      </c>
      <c r="U452" s="552" t="str">
        <f>IFERROR(
 IF($F452="Total",
   SUMPRODUCT(
   INDEX(U:U, ROW()-COUNTIF($F$6:INDEX($F:$F, ROW()-1), $F451)) : INDEX(U:U, ROW()-1),
   INDEX(W:W, ROW()-COUNTIF($F$6:INDEX($F:$F, ROW()-1), $F451)) : INDEX(W:W, ROW()-1)
   )
   /SUM(INDEX(W:W, ROW()-COUNTIF($F$6:INDEX($F:$F, ROW()-1), $F451)) : INDEX(W:W, ROW()-1)),
   AVERAGEIFS(
     INDEX((unit_details[Effective Rent],unit_details[Effective PSF]),0,1,IF($U$3="Chunk Rent",1,2)),
     unit_details[Leased Date],"&gt;="&amp;($AM$2-T$5),
     unit_details[Leased Date],"&lt;"&amp;$AM$2,
     unit_details[Beds],$L452,
     unit_details[Baths],$M452,
     unit_details[Partial Baths],IF(ISNUMBER($N452),$N452,""),
     unit_details[Sqft],$P452,
     unit_details[Property Name],$F452)
 ),"")</f>
        <v/>
      </c>
      <c r="V452" s="27" t="str">
        <f t="shared" si="76"/>
        <v/>
      </c>
      <c r="W452" s="526">
        <f>IFERROR(
  IF($F452="Total",
    SUM(INDEX(W:W, ROW()-COUNTIF($F$6:INDEX($F:$F, ROW()-1), $F451)) : INDEX(W:W, ROW()-1)),
    COUNTIFS(
      unit_details[Leased Date], "&gt;="&amp;($AM$2-T$5),
      unit_details[Leased Date], "&lt;"&amp;$AM$2,
      unit_details[Beds], $L452,
      unit_details[Baths], $M452,
      unit_details[Partial Baths], IF(ISNUMBER($N452), $N452, ""),
      unit_details[Sqft],$P452,
      unit_details[Property Name], $F452
    )
  ),
"")</f>
        <v>0</v>
      </c>
      <c r="X452" s="531" t="str">
        <f>IFERROR(
 IF($F452="Total",
   SUMPRODUCT(
   INDEX(X:X, ROW()-COUNTIF($F$6:INDEX($F:$F, ROW()-1), $F451)) : INDEX(X:X, ROW()-1),
   INDEX(AA:AA, ROW()-COUNTIF($F$6:INDEX($F:$F, ROW()-1), $F451)) : INDEX(AA:AA, ROW()-1)
   )
   /SUM(INDEX(AA:AA, ROW()-COUNTIF($F$6:INDEX($F:$F, ROW()-1), $F451)) : INDEX(AA:AA, ROW()-1)),
   AVERAGEIFS(
     INDEX((unit_details[Asking Rent],unit_details[Asking PSF]),0,1,IF($U$3="Chunk Rent",1,2)),
     unit_details[Leased Date],"&gt;="&amp;($AM$2-X$5),
     unit_details[Leased Date],"&lt;"&amp;$AM$2,
     unit_details[Beds],$L452,
     unit_details[Baths],$M452,
     unit_details[Partial Baths],IF(ISNUMBER($N452),$N452,""),
     unit_details[Sqft],$P452,
     unit_details[Property Name],$F452)
 ),"")</f>
        <v/>
      </c>
      <c r="Y452" s="552" t="str">
        <f>IFERROR(
 IF($F452="Total",
   SUMPRODUCT(
   INDEX(Y:Y, ROW()-COUNTIF($F$6:INDEX($F:$F, ROW()-1), $F451)) : INDEX(Y:Y, ROW()-1),
   INDEX(AA:AA, ROW()-COUNTIF($F$6:INDEX($F:$F, ROW()-1), $F451)) : INDEX(AA:AA, ROW()-1)
   )
   /SUM(INDEX(AA:AA, ROW()-COUNTIF($F$6:INDEX($F:$F, ROW()-1), $F451)) : INDEX(AA:AA, ROW()-1)),
   AVERAGEIFS(
     INDEX((unit_details[Effective Rent],unit_details[Effective PSF]),0,1,IF($U$3="Chunk Rent",1,2)),
     unit_details[Leased Date],"&gt;="&amp;($AM$2-X$5),
     unit_details[Leased Date],"&lt;"&amp;$AM$2,
     unit_details[Beds],$L452,
     unit_details[Baths],$M452,
     unit_details[Partial Baths],IF(ISNUMBER($N452),$N452,""),
     unit_details[Sqft],$P452,
     unit_details[Property Name],$F452)
 ),"")</f>
        <v/>
      </c>
      <c r="Z452" s="27" t="str">
        <f t="shared" si="77"/>
        <v/>
      </c>
      <c r="AA452" s="526">
        <f>IFERROR(
  IF($F452="Total",
    SUM(INDEX(AA:AA, ROW()-COUNTIF($F$6:INDEX($F:$F, ROW()-1), $F451)) : INDEX(AA:AA, ROW()-1)),
    COUNTIFS(
      unit_details[Leased Date], "&gt;="&amp;($AM$2-X$5),
      unit_details[Leased Date], "&lt;"&amp;$AM$2,
      unit_details[Beds], $L452,
      unit_details[Baths], $M452,
      unit_details[Partial Baths], IF(ISNUMBER($N452), $N452, ""),
      unit_details[Sqft],$P452,
      unit_details[Property Name], $F452
    )
  ),
"")</f>
        <v>0</v>
      </c>
      <c r="AB452" s="290">
        <f>IF($F452="Total",
SUM(INDEX(AB:AB, ROW()-COUNTIF($F$6:INDEX($F:$F, ROW()-1), $F451)) : INDEX(AB:AB, ROW()-1)),
COUNTIFS(unit_details[Active Listing?],TRUE,
          unit_details[Property Name], $F452,
          unit_details[Beds], $L452,
          unit_details[Baths], $M452,
          unit_details[Partial Baths],IF(ISNUMBER($N452),$N452,""),
          unit_details[Sqft],$P452))</f>
        <v>0</v>
      </c>
      <c r="AC452" s="27" t="str">
        <f t="shared" si="69"/>
        <v/>
      </c>
      <c r="AD452" s="293" t="str">
        <f>IFERROR(IF(AE452="","",IF($F452="Total",
SUMPRODUCT(
   INDEX(AD:AD, ROW()-COUNTIF($F$6:INDEX($F:$F, ROW()-1), $F451)) : INDEX(AD:AD, ROW()-1),
   INDEX(AB:AB, ROW()-COUNTIF($F$6:INDEX($F:$F, ROW()-1), $F451)) : INDEX(AB:AB, ROW()-1)
   )
   /SUM(INDEX(AB:AB, ROW()-COUNTIF($F$6:INDEX($F:$F, ROW()-1), $F451)) : INDEX(AB:AB, ROW()-1)),
          _xlfn.MINIFS(unit_details[Asking Rent],
          unit_details[Active Listing?],TRUE,
          unit_details[Property Name], $F452,
          unit_details[Beds], $L452,
          unit_details[Baths], $M452,
          unit_details[Partial Baths], IF(ISNUMBER($N452),$N452,""),
          unit_details[Sqft],$P452
))),"")</f>
        <v/>
      </c>
      <c r="AE452" s="5" t="str">
        <f>IFERROR(IF($F452="Total",
          SUMPRODUCT(
   INDEX(AE:AE, ROW()-COUNTIF($F$6:INDEX($F:$F, ROW()-1), $F451)) : INDEX(AE:AE, ROW()-1),
   INDEX(AB:AB, ROW()-COUNTIF($F$6:INDEX($F:$F, ROW()-1), $F451)) : INDEX(AB:AB, ROW()-1)
   )
   /SUM(INDEX(AB:AB, ROW()-COUNTIF($F$6:INDEX($F:$F, ROW()-1), $F451)) : INDEX(AB:AB, ROW()-1)),
          AVERAGEIFS(unit_details[Asking Rent],
          unit_details[Active Listing?],TRUE,
          unit_details[Property Name], $F452,
          unit_details[Beds], $L452,
          unit_details[Baths], $M452,
          unit_details[Partial Baths], IF(ISNUMBER($N452),$N452,""),
          unit_details[Sqft],$P452
)),"")</f>
        <v/>
      </c>
      <c r="AF452" s="5" t="str">
        <f>IFERROR(IF(AE452="","",IF($F452="Total",
SUMPRODUCT(
   INDEX(AF:AF, ROW()-COUNTIF($F$6:INDEX($F:$F, ROW()-1), $F451)) : INDEX(AF:AF, ROW()-1),
   INDEX(AB:AB, ROW()-COUNTIF($F$6:INDEX($F:$F, ROW()-1), $F451)) : INDEX(AB:AB, ROW()-1)
   )
   /SUM(INDEX(AB:AB, ROW()-COUNTIF($F$6:INDEX($F:$F, ROW()-1), $F451)) : INDEX(AB:AB, ROW()-1)),
           _xlfn.MAXIFS(unit_details[Asking Rent],
          unit_details[Active Listing?],TRUE,
          unit_details[Property Name], $F452,
          unit_details[Beds], $L452,
          unit_details[Baths], $M452,
          unit_details[Partial Baths], IF(ISNUMBER($N452),$N452,""),
          unit_details[Sqft],$P452
))),"")</f>
        <v/>
      </c>
      <c r="AG452" s="6" t="str">
        <f>IFERROR(IF($F452="Total",
         SUMPRODUCT(
         INDEX(AG:AG, ROW()-COUNTIF($F$6:INDEX($F:$F, ROW()-1), $F451)) : INDEX(AG:AG, ROW()-1),
         INDEX(AB:AB, ROW()-COUNTIF($F$6:INDEX($F:$F, ROW()-1), $F451)) : INDEX(AB:AB, ROW()-1)
         )
         /SUM(INDEX(AB:AB, ROW()-COUNTIF($F$6:INDEX($F:$F, ROW()-1), $F451)) : INDEX(AB:AB, ROW()-1)),
          AVERAGEIFS(unit_details[Asking PSF],
          unit_details[Active Listing?],TRUE,
          unit_details[Property Name], $F452,
          unit_details[Beds], $L452,
          unit_details[Baths], $M452,
          unit_details[Partial Baths], IF(ISNUMBER($N452),$N452,""),
          unit_details[Sqft],$P452
)),"")</f>
        <v/>
      </c>
      <c r="AH452" s="293" t="str">
        <f>IFERROR(IF($F452="Total",
         SUMPRODUCT(
         INDEX(AH:AH, ROW()-COUNTIF($F$6:INDEX($F:$F, ROW()-1), $F451)) : INDEX(AH:AH, ROW()-1),
         INDEX(AB:AB, ROW()-COUNTIF($F$6:INDEX($F:$F, ROW()-1), $F451)) : INDEX(AB:AB, ROW()-1)
         )
         /SUM(INDEX(AB:AB, ROW()-COUNTIF($F$6:INDEX($F:$F, ROW()-1), $F451)) : INDEX(AB:AB, ROW()-1)),
          AVERAGEIFS(unit_details[Effective Rent],
          unit_details[Active Listing?],TRUE,
          unit_details[Property Name], $F452,
          unit_details[Beds], $L452,
          unit_details[Baths], $M452,
          unit_details[Partial Baths], IF(ISNUMBER($N452),$N452,""),
          unit_details[Sqft],$P452
)),"")</f>
        <v/>
      </c>
      <c r="AI452" s="6" t="str">
        <f>IFERROR(IF($F452="Total",
         SUMPRODUCT(
         INDEX(AI:AI, ROW()-COUNTIF($F$6:INDEX($F:$F, ROW()-1), $F451)) : INDEX(AI:AI, ROW()-1),
         INDEX(AB:AB, ROW()-COUNTIF($F$6:INDEX($F:$F, ROW()-1), $F451)) : INDEX(AB:AB, ROW()-1)
         )
         /SUM(INDEX(AB:AB, ROW()-COUNTIF($F$6:INDEX($F:$F, ROW()-1), $F451)) : INDEX(AB:AB, ROW()-1)),
           AVERAGEIFS(unit_details[Effective PSF],
          unit_details[Active Listing?],TRUE,
          unit_details[Property Name], $F452,
          unit_details[Beds], $L452,
          unit_details[Baths], $M452,
          unit_details[Partial Baths], IF(ISNUMBER($N452),$N452,""),
          unit_details[Sqft],$P452
)),"")</f>
        <v/>
      </c>
      <c r="AJ452" s="824" t="str">
        <f t="shared" si="70"/>
        <v/>
      </c>
      <c r="AK452" s="531" t="str">
        <f t="shared" si="71"/>
        <v/>
      </c>
      <c r="AL452" s="714" t="str">
        <f t="shared" si="72"/>
        <v/>
      </c>
      <c r="AM452" s="531" t="str">
        <f t="shared" si="73"/>
        <v/>
      </c>
      <c r="AN452" s="716" t="str">
        <f t="shared" si="74"/>
        <v/>
      </c>
    </row>
    <row r="453" spans="6:40" x14ac:dyDescent="0.2">
      <c r="F453" s="1" t="str">
        <f t="shared" si="67"/>
        <v/>
      </c>
      <c r="G453" s="713" t="str">
        <f t="shared" si="75"/>
        <v/>
      </c>
      <c r="H453" s="17" t="str">
        <f>IFERROR(VLOOKUP($G453,Table1[[Property]:[Exposure %]],4,0),"")</f>
        <v/>
      </c>
      <c r="I453" s="3" t="str">
        <f>IFERROR(VLOOKUP($G453,Table1[[Property]:[Exposure %]],6,0),"")</f>
        <v/>
      </c>
      <c r="J453" s="3" t="str">
        <f>IFERROR(VLOOKUP($G453,Table1[[Property]:[Exposure %]],7,0),"")</f>
        <v/>
      </c>
      <c r="R453" s="4" t="str">
        <f>IFERROR(VLOOKUP(IF(F453="Total",F452,F453),Table1[[Property]:['# Units]],7,0)*S453,"")</f>
        <v/>
      </c>
      <c r="S453" s="27" t="str">
        <f t="shared" si="68"/>
        <v/>
      </c>
      <c r="T453" s="531" t="str">
        <f>IFERROR(
 IF($F453="Total",
   SUMPRODUCT(
   INDEX(T:T, ROW()-COUNTIF($F$6:INDEX($F:$F, ROW()-1), $F452)) : INDEX(T:T, ROW()-1),
   INDEX(W:W, ROW()-COUNTIF($F$6:INDEX($F:$F, ROW()-1), $F452)) : INDEX(W:W, ROW()-1)
   )
   /SUM(INDEX(W:W, ROW()-COUNTIF($F$6:INDEX($F:$F, ROW()-1), $F452)) : INDEX(W:W, ROW()-1)),
   AVERAGEIFS(
     INDEX((unit_details[Asking Rent],unit_details[Asking PSF]),0,1,IF($U$3="Chunk Rent",1,2)),
     unit_details[Leased Date],"&gt;="&amp;($AM$2-T$5),
     unit_details[Leased Date],"&lt;"&amp;$AM$2,
     unit_details[Beds],$L453,
     unit_details[Baths],$M453,
     unit_details[Partial Baths],IF(ISNUMBER($N453),$N453,""),
     unit_details[Sqft],$P453,
     unit_details[Property Name],$F453)
 ),"")</f>
        <v/>
      </c>
      <c r="U453" s="552" t="str">
        <f>IFERROR(
 IF($F453="Total",
   SUMPRODUCT(
   INDEX(U:U, ROW()-COUNTIF($F$6:INDEX($F:$F, ROW()-1), $F452)) : INDEX(U:U, ROW()-1),
   INDEX(W:W, ROW()-COUNTIF($F$6:INDEX($F:$F, ROW()-1), $F452)) : INDEX(W:W, ROW()-1)
   )
   /SUM(INDEX(W:W, ROW()-COUNTIF($F$6:INDEX($F:$F, ROW()-1), $F452)) : INDEX(W:W, ROW()-1)),
   AVERAGEIFS(
     INDEX((unit_details[Effective Rent],unit_details[Effective PSF]),0,1,IF($U$3="Chunk Rent",1,2)),
     unit_details[Leased Date],"&gt;="&amp;($AM$2-T$5),
     unit_details[Leased Date],"&lt;"&amp;$AM$2,
     unit_details[Beds],$L453,
     unit_details[Baths],$M453,
     unit_details[Partial Baths],IF(ISNUMBER($N453),$N453,""),
     unit_details[Sqft],$P453,
     unit_details[Property Name],$F453)
 ),"")</f>
        <v/>
      </c>
      <c r="V453" s="27" t="str">
        <f t="shared" si="76"/>
        <v/>
      </c>
      <c r="W453" s="526">
        <f>IFERROR(
  IF($F453="Total",
    SUM(INDEX(W:W, ROW()-COUNTIF($F$6:INDEX($F:$F, ROW()-1), $F452)) : INDEX(W:W, ROW()-1)),
    COUNTIFS(
      unit_details[Leased Date], "&gt;="&amp;($AM$2-T$5),
      unit_details[Leased Date], "&lt;"&amp;$AM$2,
      unit_details[Beds], $L453,
      unit_details[Baths], $M453,
      unit_details[Partial Baths], IF(ISNUMBER($N453), $N453, ""),
      unit_details[Sqft],$P453,
      unit_details[Property Name], $F453
    )
  ),
"")</f>
        <v>0</v>
      </c>
      <c r="X453" s="531" t="str">
        <f>IFERROR(
 IF($F453="Total",
   SUMPRODUCT(
   INDEX(X:X, ROW()-COUNTIF($F$6:INDEX($F:$F, ROW()-1), $F452)) : INDEX(X:X, ROW()-1),
   INDEX(AA:AA, ROW()-COUNTIF($F$6:INDEX($F:$F, ROW()-1), $F452)) : INDEX(AA:AA, ROW()-1)
   )
   /SUM(INDEX(AA:AA, ROW()-COUNTIF($F$6:INDEX($F:$F, ROW()-1), $F452)) : INDEX(AA:AA, ROW()-1)),
   AVERAGEIFS(
     INDEX((unit_details[Asking Rent],unit_details[Asking PSF]),0,1,IF($U$3="Chunk Rent",1,2)),
     unit_details[Leased Date],"&gt;="&amp;($AM$2-X$5),
     unit_details[Leased Date],"&lt;"&amp;$AM$2,
     unit_details[Beds],$L453,
     unit_details[Baths],$M453,
     unit_details[Partial Baths],IF(ISNUMBER($N453),$N453,""),
     unit_details[Sqft],$P453,
     unit_details[Property Name],$F453)
 ),"")</f>
        <v/>
      </c>
      <c r="Y453" s="552" t="str">
        <f>IFERROR(
 IF($F453="Total",
   SUMPRODUCT(
   INDEX(Y:Y, ROW()-COUNTIF($F$6:INDEX($F:$F, ROW()-1), $F452)) : INDEX(Y:Y, ROW()-1),
   INDEX(AA:AA, ROW()-COUNTIF($F$6:INDEX($F:$F, ROW()-1), $F452)) : INDEX(AA:AA, ROW()-1)
   )
   /SUM(INDEX(AA:AA, ROW()-COUNTIF($F$6:INDEX($F:$F, ROW()-1), $F452)) : INDEX(AA:AA, ROW()-1)),
   AVERAGEIFS(
     INDEX((unit_details[Effective Rent],unit_details[Effective PSF]),0,1,IF($U$3="Chunk Rent",1,2)),
     unit_details[Leased Date],"&gt;="&amp;($AM$2-X$5),
     unit_details[Leased Date],"&lt;"&amp;$AM$2,
     unit_details[Beds],$L453,
     unit_details[Baths],$M453,
     unit_details[Partial Baths],IF(ISNUMBER($N453),$N453,""),
     unit_details[Sqft],$P453,
     unit_details[Property Name],$F453)
 ),"")</f>
        <v/>
      </c>
      <c r="Z453" s="27" t="str">
        <f t="shared" si="77"/>
        <v/>
      </c>
      <c r="AA453" s="526">
        <f>IFERROR(
  IF($F453="Total",
    SUM(INDEX(AA:AA, ROW()-COUNTIF($F$6:INDEX($F:$F, ROW()-1), $F452)) : INDEX(AA:AA, ROW()-1)),
    COUNTIFS(
      unit_details[Leased Date], "&gt;="&amp;($AM$2-X$5),
      unit_details[Leased Date], "&lt;"&amp;$AM$2,
      unit_details[Beds], $L453,
      unit_details[Baths], $M453,
      unit_details[Partial Baths], IF(ISNUMBER($N453), $N453, ""),
      unit_details[Sqft],$P453,
      unit_details[Property Name], $F453
    )
  ),
"")</f>
        <v>0</v>
      </c>
      <c r="AB453" s="290">
        <f>IF($F453="Total",
SUM(INDEX(AB:AB, ROW()-COUNTIF($F$6:INDEX($F:$F, ROW()-1), $F452)) : INDEX(AB:AB, ROW()-1)),
COUNTIFS(unit_details[Active Listing?],TRUE,
          unit_details[Property Name], $F453,
          unit_details[Beds], $L453,
          unit_details[Baths], $M453,
          unit_details[Partial Baths],IF(ISNUMBER($N453),$N453,""),
          unit_details[Sqft],$P453))</f>
        <v>0</v>
      </c>
      <c r="AC453" s="27" t="str">
        <f t="shared" si="69"/>
        <v/>
      </c>
      <c r="AD453" s="293" t="str">
        <f>IFERROR(IF(AE453="","",IF($F453="Total",
SUMPRODUCT(
   INDEX(AD:AD, ROW()-COUNTIF($F$6:INDEX($F:$F, ROW()-1), $F452)) : INDEX(AD:AD, ROW()-1),
   INDEX(AB:AB, ROW()-COUNTIF($F$6:INDEX($F:$F, ROW()-1), $F452)) : INDEX(AB:AB, ROW()-1)
   )
   /SUM(INDEX(AB:AB, ROW()-COUNTIF($F$6:INDEX($F:$F, ROW()-1), $F452)) : INDEX(AB:AB, ROW()-1)),
          _xlfn.MINIFS(unit_details[Asking Rent],
          unit_details[Active Listing?],TRUE,
          unit_details[Property Name], $F453,
          unit_details[Beds], $L453,
          unit_details[Baths], $M453,
          unit_details[Partial Baths], IF(ISNUMBER($N453),$N453,""),
          unit_details[Sqft],$P453
))),"")</f>
        <v/>
      </c>
      <c r="AE453" s="5" t="str">
        <f>IFERROR(IF($F453="Total",
          SUMPRODUCT(
   INDEX(AE:AE, ROW()-COUNTIF($F$6:INDEX($F:$F, ROW()-1), $F452)) : INDEX(AE:AE, ROW()-1),
   INDEX(AB:AB, ROW()-COUNTIF($F$6:INDEX($F:$F, ROW()-1), $F452)) : INDEX(AB:AB, ROW()-1)
   )
   /SUM(INDEX(AB:AB, ROW()-COUNTIF($F$6:INDEX($F:$F, ROW()-1), $F452)) : INDEX(AB:AB, ROW()-1)),
          AVERAGEIFS(unit_details[Asking Rent],
          unit_details[Active Listing?],TRUE,
          unit_details[Property Name], $F453,
          unit_details[Beds], $L453,
          unit_details[Baths], $M453,
          unit_details[Partial Baths], IF(ISNUMBER($N453),$N453,""),
          unit_details[Sqft],$P453
)),"")</f>
        <v/>
      </c>
      <c r="AF453" s="5" t="str">
        <f>IFERROR(IF(AE453="","",IF($F453="Total",
SUMPRODUCT(
   INDEX(AF:AF, ROW()-COUNTIF($F$6:INDEX($F:$F, ROW()-1), $F452)) : INDEX(AF:AF, ROW()-1),
   INDEX(AB:AB, ROW()-COUNTIF($F$6:INDEX($F:$F, ROW()-1), $F452)) : INDEX(AB:AB, ROW()-1)
   )
   /SUM(INDEX(AB:AB, ROW()-COUNTIF($F$6:INDEX($F:$F, ROW()-1), $F452)) : INDEX(AB:AB, ROW()-1)),
           _xlfn.MAXIFS(unit_details[Asking Rent],
          unit_details[Active Listing?],TRUE,
          unit_details[Property Name], $F453,
          unit_details[Beds], $L453,
          unit_details[Baths], $M453,
          unit_details[Partial Baths], IF(ISNUMBER($N453),$N453,""),
          unit_details[Sqft],$P453
))),"")</f>
        <v/>
      </c>
      <c r="AG453" s="6" t="str">
        <f>IFERROR(IF($F453="Total",
         SUMPRODUCT(
         INDEX(AG:AG, ROW()-COUNTIF($F$6:INDEX($F:$F, ROW()-1), $F452)) : INDEX(AG:AG, ROW()-1),
         INDEX(AB:AB, ROW()-COUNTIF($F$6:INDEX($F:$F, ROW()-1), $F452)) : INDEX(AB:AB, ROW()-1)
         )
         /SUM(INDEX(AB:AB, ROW()-COUNTIF($F$6:INDEX($F:$F, ROW()-1), $F452)) : INDEX(AB:AB, ROW()-1)),
          AVERAGEIFS(unit_details[Asking PSF],
          unit_details[Active Listing?],TRUE,
          unit_details[Property Name], $F453,
          unit_details[Beds], $L453,
          unit_details[Baths], $M453,
          unit_details[Partial Baths], IF(ISNUMBER($N453),$N453,""),
          unit_details[Sqft],$P453
)),"")</f>
        <v/>
      </c>
      <c r="AH453" s="293" t="str">
        <f>IFERROR(IF($F453="Total",
         SUMPRODUCT(
         INDEX(AH:AH, ROW()-COUNTIF($F$6:INDEX($F:$F, ROW()-1), $F452)) : INDEX(AH:AH, ROW()-1),
         INDEX(AB:AB, ROW()-COUNTIF($F$6:INDEX($F:$F, ROW()-1), $F452)) : INDEX(AB:AB, ROW()-1)
         )
         /SUM(INDEX(AB:AB, ROW()-COUNTIF($F$6:INDEX($F:$F, ROW()-1), $F452)) : INDEX(AB:AB, ROW()-1)),
          AVERAGEIFS(unit_details[Effective Rent],
          unit_details[Active Listing?],TRUE,
          unit_details[Property Name], $F453,
          unit_details[Beds], $L453,
          unit_details[Baths], $M453,
          unit_details[Partial Baths], IF(ISNUMBER($N453),$N453,""),
          unit_details[Sqft],$P453
)),"")</f>
        <v/>
      </c>
      <c r="AI453" s="6" t="str">
        <f>IFERROR(IF($F453="Total",
         SUMPRODUCT(
         INDEX(AI:AI, ROW()-COUNTIF($F$6:INDEX($F:$F, ROW()-1), $F452)) : INDEX(AI:AI, ROW()-1),
         INDEX(AB:AB, ROW()-COUNTIF($F$6:INDEX($F:$F, ROW()-1), $F452)) : INDEX(AB:AB, ROW()-1)
         )
         /SUM(INDEX(AB:AB, ROW()-COUNTIF($F$6:INDEX($F:$F, ROW()-1), $F452)) : INDEX(AB:AB, ROW()-1)),
           AVERAGEIFS(unit_details[Effective PSF],
          unit_details[Active Listing?],TRUE,
          unit_details[Property Name], $F453,
          unit_details[Beds], $L453,
          unit_details[Baths], $M453,
          unit_details[Partial Baths], IF(ISNUMBER($N453),$N453,""),
          unit_details[Sqft],$P453
)),"")</f>
        <v/>
      </c>
      <c r="AJ453" s="824" t="str">
        <f t="shared" si="70"/>
        <v/>
      </c>
      <c r="AK453" s="531" t="str">
        <f t="shared" si="71"/>
        <v/>
      </c>
      <c r="AL453" s="714" t="str">
        <f t="shared" si="72"/>
        <v/>
      </c>
      <c r="AM453" s="531" t="str">
        <f t="shared" si="73"/>
        <v/>
      </c>
      <c r="AN453" s="716" t="str">
        <f t="shared" si="74"/>
        <v/>
      </c>
    </row>
    <row r="454" spans="6:40" x14ac:dyDescent="0.2">
      <c r="F454" s="1" t="str">
        <f t="shared" si="67"/>
        <v/>
      </c>
      <c r="G454" s="713" t="str">
        <f t="shared" si="75"/>
        <v/>
      </c>
      <c r="H454" s="17" t="str">
        <f>IFERROR(VLOOKUP($G454,Table1[[Property]:[Exposure %]],4,0),"")</f>
        <v/>
      </c>
      <c r="I454" s="3" t="str">
        <f>IFERROR(VLOOKUP($G454,Table1[[Property]:[Exposure %]],6,0),"")</f>
        <v/>
      </c>
      <c r="J454" s="3" t="str">
        <f>IFERROR(VLOOKUP($G454,Table1[[Property]:[Exposure %]],7,0),"")</f>
        <v/>
      </c>
      <c r="R454" s="4" t="str">
        <f>IFERROR(VLOOKUP(IF(F454="Total",F453,F454),Table1[[Property]:['# Units]],7,0)*S454,"")</f>
        <v/>
      </c>
      <c r="S454" s="27" t="str">
        <f t="shared" si="68"/>
        <v/>
      </c>
      <c r="T454" s="531" t="str">
        <f>IFERROR(
 IF($F454="Total",
   SUMPRODUCT(
   INDEX(T:T, ROW()-COUNTIF($F$6:INDEX($F:$F, ROW()-1), $F453)) : INDEX(T:T, ROW()-1),
   INDEX(W:W, ROW()-COUNTIF($F$6:INDEX($F:$F, ROW()-1), $F453)) : INDEX(W:W, ROW()-1)
   )
   /SUM(INDEX(W:W, ROW()-COUNTIF($F$6:INDEX($F:$F, ROW()-1), $F453)) : INDEX(W:W, ROW()-1)),
   AVERAGEIFS(
     INDEX((unit_details[Asking Rent],unit_details[Asking PSF]),0,1,IF($U$3="Chunk Rent",1,2)),
     unit_details[Leased Date],"&gt;="&amp;($AM$2-T$5),
     unit_details[Leased Date],"&lt;"&amp;$AM$2,
     unit_details[Beds],$L454,
     unit_details[Baths],$M454,
     unit_details[Partial Baths],IF(ISNUMBER($N454),$N454,""),
     unit_details[Sqft],$P454,
     unit_details[Property Name],$F454)
 ),"")</f>
        <v/>
      </c>
      <c r="U454" s="552" t="str">
        <f>IFERROR(
 IF($F454="Total",
   SUMPRODUCT(
   INDEX(U:U, ROW()-COUNTIF($F$6:INDEX($F:$F, ROW()-1), $F453)) : INDEX(U:U, ROW()-1),
   INDEX(W:W, ROW()-COUNTIF($F$6:INDEX($F:$F, ROW()-1), $F453)) : INDEX(W:W, ROW()-1)
   )
   /SUM(INDEX(W:W, ROW()-COUNTIF($F$6:INDEX($F:$F, ROW()-1), $F453)) : INDEX(W:W, ROW()-1)),
   AVERAGEIFS(
     INDEX((unit_details[Effective Rent],unit_details[Effective PSF]),0,1,IF($U$3="Chunk Rent",1,2)),
     unit_details[Leased Date],"&gt;="&amp;($AM$2-T$5),
     unit_details[Leased Date],"&lt;"&amp;$AM$2,
     unit_details[Beds],$L454,
     unit_details[Baths],$M454,
     unit_details[Partial Baths],IF(ISNUMBER($N454),$N454,""),
     unit_details[Sqft],$P454,
     unit_details[Property Name],$F454)
 ),"")</f>
        <v/>
      </c>
      <c r="V454" s="27" t="str">
        <f t="shared" si="76"/>
        <v/>
      </c>
      <c r="W454" s="526">
        <f>IFERROR(
  IF($F454="Total",
    SUM(INDEX(W:W, ROW()-COUNTIF($F$6:INDEX($F:$F, ROW()-1), $F453)) : INDEX(W:W, ROW()-1)),
    COUNTIFS(
      unit_details[Leased Date], "&gt;="&amp;($AM$2-T$5),
      unit_details[Leased Date], "&lt;"&amp;$AM$2,
      unit_details[Beds], $L454,
      unit_details[Baths], $M454,
      unit_details[Partial Baths], IF(ISNUMBER($N454), $N454, ""),
      unit_details[Sqft],$P454,
      unit_details[Property Name], $F454
    )
  ),
"")</f>
        <v>0</v>
      </c>
      <c r="X454" s="531" t="str">
        <f>IFERROR(
 IF($F454="Total",
   SUMPRODUCT(
   INDEX(X:X, ROW()-COUNTIF($F$6:INDEX($F:$F, ROW()-1), $F453)) : INDEX(X:X, ROW()-1),
   INDEX(AA:AA, ROW()-COUNTIF($F$6:INDEX($F:$F, ROW()-1), $F453)) : INDEX(AA:AA, ROW()-1)
   )
   /SUM(INDEX(AA:AA, ROW()-COUNTIF($F$6:INDEX($F:$F, ROW()-1), $F453)) : INDEX(AA:AA, ROW()-1)),
   AVERAGEIFS(
     INDEX((unit_details[Asking Rent],unit_details[Asking PSF]),0,1,IF($U$3="Chunk Rent",1,2)),
     unit_details[Leased Date],"&gt;="&amp;($AM$2-X$5),
     unit_details[Leased Date],"&lt;"&amp;$AM$2,
     unit_details[Beds],$L454,
     unit_details[Baths],$M454,
     unit_details[Partial Baths],IF(ISNUMBER($N454),$N454,""),
     unit_details[Sqft],$P454,
     unit_details[Property Name],$F454)
 ),"")</f>
        <v/>
      </c>
      <c r="Y454" s="552" t="str">
        <f>IFERROR(
 IF($F454="Total",
   SUMPRODUCT(
   INDEX(Y:Y, ROW()-COUNTIF($F$6:INDEX($F:$F, ROW()-1), $F453)) : INDEX(Y:Y, ROW()-1),
   INDEX(AA:AA, ROW()-COUNTIF($F$6:INDEX($F:$F, ROW()-1), $F453)) : INDEX(AA:AA, ROW()-1)
   )
   /SUM(INDEX(AA:AA, ROW()-COUNTIF($F$6:INDEX($F:$F, ROW()-1), $F453)) : INDEX(AA:AA, ROW()-1)),
   AVERAGEIFS(
     INDEX((unit_details[Effective Rent],unit_details[Effective PSF]),0,1,IF($U$3="Chunk Rent",1,2)),
     unit_details[Leased Date],"&gt;="&amp;($AM$2-X$5),
     unit_details[Leased Date],"&lt;"&amp;$AM$2,
     unit_details[Beds],$L454,
     unit_details[Baths],$M454,
     unit_details[Partial Baths],IF(ISNUMBER($N454),$N454,""),
     unit_details[Sqft],$P454,
     unit_details[Property Name],$F454)
 ),"")</f>
        <v/>
      </c>
      <c r="Z454" s="27" t="str">
        <f t="shared" si="77"/>
        <v/>
      </c>
      <c r="AA454" s="526">
        <f>IFERROR(
  IF($F454="Total",
    SUM(INDEX(AA:AA, ROW()-COUNTIF($F$6:INDEX($F:$F, ROW()-1), $F453)) : INDEX(AA:AA, ROW()-1)),
    COUNTIFS(
      unit_details[Leased Date], "&gt;="&amp;($AM$2-X$5),
      unit_details[Leased Date], "&lt;"&amp;$AM$2,
      unit_details[Beds], $L454,
      unit_details[Baths], $M454,
      unit_details[Partial Baths], IF(ISNUMBER($N454), $N454, ""),
      unit_details[Sqft],$P454,
      unit_details[Property Name], $F454
    )
  ),
"")</f>
        <v>0</v>
      </c>
      <c r="AB454" s="290">
        <f>IF($F454="Total",
SUM(INDEX(AB:AB, ROW()-COUNTIF($F$6:INDEX($F:$F, ROW()-1), $F453)) : INDEX(AB:AB, ROW()-1)),
COUNTIFS(unit_details[Active Listing?],TRUE,
          unit_details[Property Name], $F454,
          unit_details[Beds], $L454,
          unit_details[Baths], $M454,
          unit_details[Partial Baths],IF(ISNUMBER($N454),$N454,""),
          unit_details[Sqft],$P454))</f>
        <v>0</v>
      </c>
      <c r="AC454" s="27" t="str">
        <f t="shared" si="69"/>
        <v/>
      </c>
      <c r="AD454" s="293" t="str">
        <f>IFERROR(IF(AE454="","",IF($F454="Total",
SUMPRODUCT(
   INDEX(AD:AD, ROW()-COUNTIF($F$6:INDEX($F:$F, ROW()-1), $F453)) : INDEX(AD:AD, ROW()-1),
   INDEX(AB:AB, ROW()-COUNTIF($F$6:INDEX($F:$F, ROW()-1), $F453)) : INDEX(AB:AB, ROW()-1)
   )
   /SUM(INDEX(AB:AB, ROW()-COUNTIF($F$6:INDEX($F:$F, ROW()-1), $F453)) : INDEX(AB:AB, ROW()-1)),
          _xlfn.MINIFS(unit_details[Asking Rent],
          unit_details[Active Listing?],TRUE,
          unit_details[Property Name], $F454,
          unit_details[Beds], $L454,
          unit_details[Baths], $M454,
          unit_details[Partial Baths], IF(ISNUMBER($N454),$N454,""),
          unit_details[Sqft],$P454
))),"")</f>
        <v/>
      </c>
      <c r="AE454" s="5" t="str">
        <f>IFERROR(IF($F454="Total",
          SUMPRODUCT(
   INDEX(AE:AE, ROW()-COUNTIF($F$6:INDEX($F:$F, ROW()-1), $F453)) : INDEX(AE:AE, ROW()-1),
   INDEX(AB:AB, ROW()-COUNTIF($F$6:INDEX($F:$F, ROW()-1), $F453)) : INDEX(AB:AB, ROW()-1)
   )
   /SUM(INDEX(AB:AB, ROW()-COUNTIF($F$6:INDEX($F:$F, ROW()-1), $F453)) : INDEX(AB:AB, ROW()-1)),
          AVERAGEIFS(unit_details[Asking Rent],
          unit_details[Active Listing?],TRUE,
          unit_details[Property Name], $F454,
          unit_details[Beds], $L454,
          unit_details[Baths], $M454,
          unit_details[Partial Baths], IF(ISNUMBER($N454),$N454,""),
          unit_details[Sqft],$P454
)),"")</f>
        <v/>
      </c>
      <c r="AF454" s="5" t="str">
        <f>IFERROR(IF(AE454="","",IF($F454="Total",
SUMPRODUCT(
   INDEX(AF:AF, ROW()-COUNTIF($F$6:INDEX($F:$F, ROW()-1), $F453)) : INDEX(AF:AF, ROW()-1),
   INDEX(AB:AB, ROW()-COUNTIF($F$6:INDEX($F:$F, ROW()-1), $F453)) : INDEX(AB:AB, ROW()-1)
   )
   /SUM(INDEX(AB:AB, ROW()-COUNTIF($F$6:INDEX($F:$F, ROW()-1), $F453)) : INDEX(AB:AB, ROW()-1)),
           _xlfn.MAXIFS(unit_details[Asking Rent],
          unit_details[Active Listing?],TRUE,
          unit_details[Property Name], $F454,
          unit_details[Beds], $L454,
          unit_details[Baths], $M454,
          unit_details[Partial Baths], IF(ISNUMBER($N454),$N454,""),
          unit_details[Sqft],$P454
))),"")</f>
        <v/>
      </c>
      <c r="AG454" s="6" t="str">
        <f>IFERROR(IF($F454="Total",
         SUMPRODUCT(
         INDEX(AG:AG, ROW()-COUNTIF($F$6:INDEX($F:$F, ROW()-1), $F453)) : INDEX(AG:AG, ROW()-1),
         INDEX(AB:AB, ROW()-COUNTIF($F$6:INDEX($F:$F, ROW()-1), $F453)) : INDEX(AB:AB, ROW()-1)
         )
         /SUM(INDEX(AB:AB, ROW()-COUNTIF($F$6:INDEX($F:$F, ROW()-1), $F453)) : INDEX(AB:AB, ROW()-1)),
          AVERAGEIFS(unit_details[Asking PSF],
          unit_details[Active Listing?],TRUE,
          unit_details[Property Name], $F454,
          unit_details[Beds], $L454,
          unit_details[Baths], $M454,
          unit_details[Partial Baths], IF(ISNUMBER($N454),$N454,""),
          unit_details[Sqft],$P454
)),"")</f>
        <v/>
      </c>
      <c r="AH454" s="293" t="str">
        <f>IFERROR(IF($F454="Total",
         SUMPRODUCT(
         INDEX(AH:AH, ROW()-COUNTIF($F$6:INDEX($F:$F, ROW()-1), $F453)) : INDEX(AH:AH, ROW()-1),
         INDEX(AB:AB, ROW()-COUNTIF($F$6:INDEX($F:$F, ROW()-1), $F453)) : INDEX(AB:AB, ROW()-1)
         )
         /SUM(INDEX(AB:AB, ROW()-COUNTIF($F$6:INDEX($F:$F, ROW()-1), $F453)) : INDEX(AB:AB, ROW()-1)),
          AVERAGEIFS(unit_details[Effective Rent],
          unit_details[Active Listing?],TRUE,
          unit_details[Property Name], $F454,
          unit_details[Beds], $L454,
          unit_details[Baths], $M454,
          unit_details[Partial Baths], IF(ISNUMBER($N454),$N454,""),
          unit_details[Sqft],$P454
)),"")</f>
        <v/>
      </c>
      <c r="AI454" s="6" t="str">
        <f>IFERROR(IF($F454="Total",
         SUMPRODUCT(
         INDEX(AI:AI, ROW()-COUNTIF($F$6:INDEX($F:$F, ROW()-1), $F453)) : INDEX(AI:AI, ROW()-1),
         INDEX(AB:AB, ROW()-COUNTIF($F$6:INDEX($F:$F, ROW()-1), $F453)) : INDEX(AB:AB, ROW()-1)
         )
         /SUM(INDEX(AB:AB, ROW()-COUNTIF($F$6:INDEX($F:$F, ROW()-1), $F453)) : INDEX(AB:AB, ROW()-1)),
           AVERAGEIFS(unit_details[Effective PSF],
          unit_details[Active Listing?],TRUE,
          unit_details[Property Name], $F454,
          unit_details[Beds], $L454,
          unit_details[Baths], $M454,
          unit_details[Partial Baths], IF(ISNUMBER($N454),$N454,""),
          unit_details[Sqft],$P454
)),"")</f>
        <v/>
      </c>
      <c r="AJ454" s="824" t="str">
        <f t="shared" si="70"/>
        <v/>
      </c>
      <c r="AK454" s="531" t="str">
        <f t="shared" si="71"/>
        <v/>
      </c>
      <c r="AL454" s="714" t="str">
        <f t="shared" si="72"/>
        <v/>
      </c>
      <c r="AM454" s="531" t="str">
        <f t="shared" si="73"/>
        <v/>
      </c>
      <c r="AN454" s="716" t="str">
        <f t="shared" si="74"/>
        <v/>
      </c>
    </row>
    <row r="455" spans="6:40" x14ac:dyDescent="0.2">
      <c r="F455" s="1" t="str">
        <f t="shared" ref="F455:F518" si="78">IF(RIGHT(K455,5)="Total","Total",IF(ISTEXT(K455),K455,IF(F454="Total","",F454)))</f>
        <v/>
      </c>
      <c r="G455" s="713" t="str">
        <f t="shared" si="75"/>
        <v/>
      </c>
      <c r="H455" s="17" t="str">
        <f>IFERROR(VLOOKUP($G455,Table1[[Property]:[Exposure %]],4,0),"")</f>
        <v/>
      </c>
      <c r="I455" s="3" t="str">
        <f>IFERROR(VLOOKUP($G455,Table1[[Property]:[Exposure %]],6,0),"")</f>
        <v/>
      </c>
      <c r="J455" s="3" t="str">
        <f>IFERROR(VLOOKUP($G455,Table1[[Property]:[Exposure %]],7,0),"")</f>
        <v/>
      </c>
      <c r="R455" s="4" t="str">
        <f>IFERROR(VLOOKUP(IF(F455="Total",F454,F455),Table1[[Property]:['# Units]],7,0)*S455,"")</f>
        <v/>
      </c>
      <c r="S455" s="27" t="str">
        <f t="shared" ref="S455:S518" si="79">IF(Q455=0,"",Q455)</f>
        <v/>
      </c>
      <c r="T455" s="531" t="str">
        <f>IFERROR(
 IF($F455="Total",
   SUMPRODUCT(
   INDEX(T:T, ROW()-COUNTIF($F$6:INDEX($F:$F, ROW()-1), $F454)) : INDEX(T:T, ROW()-1),
   INDEX(W:W, ROW()-COUNTIF($F$6:INDEX($F:$F, ROW()-1), $F454)) : INDEX(W:W, ROW()-1)
   )
   /SUM(INDEX(W:W, ROW()-COUNTIF($F$6:INDEX($F:$F, ROW()-1), $F454)) : INDEX(W:W, ROW()-1)),
   AVERAGEIFS(
     INDEX((unit_details[Asking Rent],unit_details[Asking PSF]),0,1,IF($U$3="Chunk Rent",1,2)),
     unit_details[Leased Date],"&gt;="&amp;($AM$2-T$5),
     unit_details[Leased Date],"&lt;"&amp;$AM$2,
     unit_details[Beds],$L455,
     unit_details[Baths],$M455,
     unit_details[Partial Baths],IF(ISNUMBER($N455),$N455,""),
     unit_details[Sqft],$P455,
     unit_details[Property Name],$F455)
 ),"")</f>
        <v/>
      </c>
      <c r="U455" s="552" t="str">
        <f>IFERROR(
 IF($F455="Total",
   SUMPRODUCT(
   INDEX(U:U, ROW()-COUNTIF($F$6:INDEX($F:$F, ROW()-1), $F454)) : INDEX(U:U, ROW()-1),
   INDEX(W:W, ROW()-COUNTIF($F$6:INDEX($F:$F, ROW()-1), $F454)) : INDEX(W:W, ROW()-1)
   )
   /SUM(INDEX(W:W, ROW()-COUNTIF($F$6:INDEX($F:$F, ROW()-1), $F454)) : INDEX(W:W, ROW()-1)),
   AVERAGEIFS(
     INDEX((unit_details[Effective Rent],unit_details[Effective PSF]),0,1,IF($U$3="Chunk Rent",1,2)),
     unit_details[Leased Date],"&gt;="&amp;($AM$2-T$5),
     unit_details[Leased Date],"&lt;"&amp;$AM$2,
     unit_details[Beds],$L455,
     unit_details[Baths],$M455,
     unit_details[Partial Baths],IF(ISNUMBER($N455),$N455,""),
     unit_details[Sqft],$P455,
     unit_details[Property Name],$F455)
 ),"")</f>
        <v/>
      </c>
      <c r="V455" s="27" t="str">
        <f t="shared" si="76"/>
        <v/>
      </c>
      <c r="W455" s="526">
        <f>IFERROR(
  IF($F455="Total",
    SUM(INDEX(W:W, ROW()-COUNTIF($F$6:INDEX($F:$F, ROW()-1), $F454)) : INDEX(W:W, ROW()-1)),
    COUNTIFS(
      unit_details[Leased Date], "&gt;="&amp;($AM$2-T$5),
      unit_details[Leased Date], "&lt;"&amp;$AM$2,
      unit_details[Beds], $L455,
      unit_details[Baths], $M455,
      unit_details[Partial Baths], IF(ISNUMBER($N455), $N455, ""),
      unit_details[Sqft],$P455,
      unit_details[Property Name], $F455
    )
  ),
"")</f>
        <v>0</v>
      </c>
      <c r="X455" s="531" t="str">
        <f>IFERROR(
 IF($F455="Total",
   SUMPRODUCT(
   INDEX(X:X, ROW()-COUNTIF($F$6:INDEX($F:$F, ROW()-1), $F454)) : INDEX(X:X, ROW()-1),
   INDEX(AA:AA, ROW()-COUNTIF($F$6:INDEX($F:$F, ROW()-1), $F454)) : INDEX(AA:AA, ROW()-1)
   )
   /SUM(INDEX(AA:AA, ROW()-COUNTIF($F$6:INDEX($F:$F, ROW()-1), $F454)) : INDEX(AA:AA, ROW()-1)),
   AVERAGEIFS(
     INDEX((unit_details[Asking Rent],unit_details[Asking PSF]),0,1,IF($U$3="Chunk Rent",1,2)),
     unit_details[Leased Date],"&gt;="&amp;($AM$2-X$5),
     unit_details[Leased Date],"&lt;"&amp;$AM$2,
     unit_details[Beds],$L455,
     unit_details[Baths],$M455,
     unit_details[Partial Baths],IF(ISNUMBER($N455),$N455,""),
     unit_details[Sqft],$P455,
     unit_details[Property Name],$F455)
 ),"")</f>
        <v/>
      </c>
      <c r="Y455" s="552" t="str">
        <f>IFERROR(
 IF($F455="Total",
   SUMPRODUCT(
   INDEX(Y:Y, ROW()-COUNTIF($F$6:INDEX($F:$F, ROW()-1), $F454)) : INDEX(Y:Y, ROW()-1),
   INDEX(AA:AA, ROW()-COUNTIF($F$6:INDEX($F:$F, ROW()-1), $F454)) : INDEX(AA:AA, ROW()-1)
   )
   /SUM(INDEX(AA:AA, ROW()-COUNTIF($F$6:INDEX($F:$F, ROW()-1), $F454)) : INDEX(AA:AA, ROW()-1)),
   AVERAGEIFS(
     INDEX((unit_details[Effective Rent],unit_details[Effective PSF]),0,1,IF($U$3="Chunk Rent",1,2)),
     unit_details[Leased Date],"&gt;="&amp;($AM$2-X$5),
     unit_details[Leased Date],"&lt;"&amp;$AM$2,
     unit_details[Beds],$L455,
     unit_details[Baths],$M455,
     unit_details[Partial Baths],IF(ISNUMBER($N455),$N455,""),
     unit_details[Sqft],$P455,
     unit_details[Property Name],$F455)
 ),"")</f>
        <v/>
      </c>
      <c r="Z455" s="27" t="str">
        <f t="shared" si="77"/>
        <v/>
      </c>
      <c r="AA455" s="526">
        <f>IFERROR(
  IF($F455="Total",
    SUM(INDEX(AA:AA, ROW()-COUNTIF($F$6:INDEX($F:$F, ROW()-1), $F454)) : INDEX(AA:AA, ROW()-1)),
    COUNTIFS(
      unit_details[Leased Date], "&gt;="&amp;($AM$2-X$5),
      unit_details[Leased Date], "&lt;"&amp;$AM$2,
      unit_details[Beds], $L455,
      unit_details[Baths], $M455,
      unit_details[Partial Baths], IF(ISNUMBER($N455), $N455, ""),
      unit_details[Sqft],$P455,
      unit_details[Property Name], $F455
    )
  ),
"")</f>
        <v>0</v>
      </c>
      <c r="AB455" s="290">
        <f>IF($F455="Total",
SUM(INDEX(AB:AB, ROW()-COUNTIF($F$6:INDEX($F:$F, ROW()-1), $F454)) : INDEX(AB:AB, ROW()-1)),
COUNTIFS(unit_details[Active Listing?],TRUE,
          unit_details[Property Name], $F455,
          unit_details[Beds], $L455,
          unit_details[Baths], $M455,
          unit_details[Partial Baths],IF(ISNUMBER($N455),$N455,""),
          unit_details[Sqft],$P455))</f>
        <v>0</v>
      </c>
      <c r="AC455" s="27" t="str">
        <f t="shared" ref="AC455:AC518" si="80">IFERROR(AB455/R455,"")</f>
        <v/>
      </c>
      <c r="AD455" s="293" t="str">
        <f>IFERROR(IF(AE455="","",IF($F455="Total",
SUMPRODUCT(
   INDEX(AD:AD, ROW()-COUNTIF($F$6:INDEX($F:$F, ROW()-1), $F454)) : INDEX(AD:AD, ROW()-1),
   INDEX(AB:AB, ROW()-COUNTIF($F$6:INDEX($F:$F, ROW()-1), $F454)) : INDEX(AB:AB, ROW()-1)
   )
   /SUM(INDEX(AB:AB, ROW()-COUNTIF($F$6:INDEX($F:$F, ROW()-1), $F454)) : INDEX(AB:AB, ROW()-1)),
          _xlfn.MINIFS(unit_details[Asking Rent],
          unit_details[Active Listing?],TRUE,
          unit_details[Property Name], $F455,
          unit_details[Beds], $L455,
          unit_details[Baths], $M455,
          unit_details[Partial Baths], IF(ISNUMBER($N455),$N455,""),
          unit_details[Sqft],$P455
))),"")</f>
        <v/>
      </c>
      <c r="AE455" s="5" t="str">
        <f>IFERROR(IF($F455="Total",
          SUMPRODUCT(
   INDEX(AE:AE, ROW()-COUNTIF($F$6:INDEX($F:$F, ROW()-1), $F454)) : INDEX(AE:AE, ROW()-1),
   INDEX(AB:AB, ROW()-COUNTIF($F$6:INDEX($F:$F, ROW()-1), $F454)) : INDEX(AB:AB, ROW()-1)
   )
   /SUM(INDEX(AB:AB, ROW()-COUNTIF($F$6:INDEX($F:$F, ROW()-1), $F454)) : INDEX(AB:AB, ROW()-1)),
          AVERAGEIFS(unit_details[Asking Rent],
          unit_details[Active Listing?],TRUE,
          unit_details[Property Name], $F455,
          unit_details[Beds], $L455,
          unit_details[Baths], $M455,
          unit_details[Partial Baths], IF(ISNUMBER($N455),$N455,""),
          unit_details[Sqft],$P455
)),"")</f>
        <v/>
      </c>
      <c r="AF455" s="5" t="str">
        <f>IFERROR(IF(AE455="","",IF($F455="Total",
SUMPRODUCT(
   INDEX(AF:AF, ROW()-COUNTIF($F$6:INDEX($F:$F, ROW()-1), $F454)) : INDEX(AF:AF, ROW()-1),
   INDEX(AB:AB, ROW()-COUNTIF($F$6:INDEX($F:$F, ROW()-1), $F454)) : INDEX(AB:AB, ROW()-1)
   )
   /SUM(INDEX(AB:AB, ROW()-COUNTIF($F$6:INDEX($F:$F, ROW()-1), $F454)) : INDEX(AB:AB, ROW()-1)),
           _xlfn.MAXIFS(unit_details[Asking Rent],
          unit_details[Active Listing?],TRUE,
          unit_details[Property Name], $F455,
          unit_details[Beds], $L455,
          unit_details[Baths], $M455,
          unit_details[Partial Baths], IF(ISNUMBER($N455),$N455,""),
          unit_details[Sqft],$P455
))),"")</f>
        <v/>
      </c>
      <c r="AG455" s="6" t="str">
        <f>IFERROR(IF($F455="Total",
         SUMPRODUCT(
         INDEX(AG:AG, ROW()-COUNTIF($F$6:INDEX($F:$F, ROW()-1), $F454)) : INDEX(AG:AG, ROW()-1),
         INDEX(AB:AB, ROW()-COUNTIF($F$6:INDEX($F:$F, ROW()-1), $F454)) : INDEX(AB:AB, ROW()-1)
         )
         /SUM(INDEX(AB:AB, ROW()-COUNTIF($F$6:INDEX($F:$F, ROW()-1), $F454)) : INDEX(AB:AB, ROW()-1)),
          AVERAGEIFS(unit_details[Asking PSF],
          unit_details[Active Listing?],TRUE,
          unit_details[Property Name], $F455,
          unit_details[Beds], $L455,
          unit_details[Baths], $M455,
          unit_details[Partial Baths], IF(ISNUMBER($N455),$N455,""),
          unit_details[Sqft],$P455
)),"")</f>
        <v/>
      </c>
      <c r="AH455" s="293" t="str">
        <f>IFERROR(IF($F455="Total",
         SUMPRODUCT(
         INDEX(AH:AH, ROW()-COUNTIF($F$6:INDEX($F:$F, ROW()-1), $F454)) : INDEX(AH:AH, ROW()-1),
         INDEX(AB:AB, ROW()-COUNTIF($F$6:INDEX($F:$F, ROW()-1), $F454)) : INDEX(AB:AB, ROW()-1)
         )
         /SUM(INDEX(AB:AB, ROW()-COUNTIF($F$6:INDEX($F:$F, ROW()-1), $F454)) : INDEX(AB:AB, ROW()-1)),
          AVERAGEIFS(unit_details[Effective Rent],
          unit_details[Active Listing?],TRUE,
          unit_details[Property Name], $F455,
          unit_details[Beds], $L455,
          unit_details[Baths], $M455,
          unit_details[Partial Baths], IF(ISNUMBER($N455),$N455,""),
          unit_details[Sqft],$P455
)),"")</f>
        <v/>
      </c>
      <c r="AI455" s="6" t="str">
        <f>IFERROR(IF($F455="Total",
         SUMPRODUCT(
         INDEX(AI:AI, ROW()-COUNTIF($F$6:INDEX($F:$F, ROW()-1), $F454)) : INDEX(AI:AI, ROW()-1),
         INDEX(AB:AB, ROW()-COUNTIF($F$6:INDEX($F:$F, ROW()-1), $F454)) : INDEX(AB:AB, ROW()-1)
         )
         /SUM(INDEX(AB:AB, ROW()-COUNTIF($F$6:INDEX($F:$F, ROW()-1), $F454)) : INDEX(AB:AB, ROW()-1)),
           AVERAGEIFS(unit_details[Effective PSF],
          unit_details[Active Listing?],TRUE,
          unit_details[Property Name], $F455,
          unit_details[Beds], $L455,
          unit_details[Baths], $M455,
          unit_details[Partial Baths], IF(ISNUMBER($N455),$N455,""),
          unit_details[Sqft],$P455
)),"")</f>
        <v/>
      </c>
      <c r="AJ455" s="824" t="str">
        <f t="shared" ref="AJ455:AJ518" si="81">IFERROR((AE455-AH455)/AE455,"")</f>
        <v/>
      </c>
      <c r="AK455" s="531" t="str">
        <f t="shared" ref="AK455:AK518" si="82">IFERROR(
IF(AND($AM$3="Asking Rent",$U$3="Chunk Rent"),$AE455-$T455,
IF(AND($AM$3="Effective Rent",$U$3="Chunk Rent"),$AH455-$U455,
IF(AND($AM$3="Asking Rent",$U$3="Rent PSF"),$AG455-$T455,$AI455-$U455))),"")</f>
        <v/>
      </c>
      <c r="AL455" s="714" t="str">
        <f t="shared" ref="AL455:AL518" si="83">IFERROR(AK455/(IF($AM$3="Asking Rent",T455,U455)),"")</f>
        <v/>
      </c>
      <c r="AM455" s="531" t="str">
        <f t="shared" ref="AM455:AM518" si="84">IFERROR(
IF(AND($AM$3="Asking Rent",$U$3="Chunk Rent"),$AE455-$X455,
IF(AND($AM$3="Effective Rent",$U$3="Chunk Rent"),$AH455-$Y455,
IF(AND($AM$3="Asking Rent",$U$3="Rent PSF"),$AG455-$X455,$AI455-$Y455))),"")</f>
        <v/>
      </c>
      <c r="AN455" s="716" t="str">
        <f t="shared" ref="AN455:AN518" si="85">IFERROR(AM455/(IF($AM$3="Asking Rent",X455,Y455)),"")</f>
        <v/>
      </c>
    </row>
    <row r="456" spans="6:40" x14ac:dyDescent="0.2">
      <c r="F456" s="1" t="str">
        <f t="shared" si="78"/>
        <v/>
      </c>
      <c r="G456" s="713" t="str">
        <f t="shared" ref="G456:G519" si="86">IF(F456=F455,"",F456)</f>
        <v/>
      </c>
      <c r="H456" s="17" t="str">
        <f>IFERROR(VLOOKUP($G456,Table1[[Property]:[Exposure %]],4,0),"")</f>
        <v/>
      </c>
      <c r="I456" s="3" t="str">
        <f>IFERROR(VLOOKUP($G456,Table1[[Property]:[Exposure %]],6,0),"")</f>
        <v/>
      </c>
      <c r="J456" s="3" t="str">
        <f>IFERROR(VLOOKUP($G456,Table1[[Property]:[Exposure %]],7,0),"")</f>
        <v/>
      </c>
      <c r="R456" s="4" t="str">
        <f>IFERROR(VLOOKUP(IF(F456="Total",F455,F456),Table1[[Property]:['# Units]],7,0)*S456,"")</f>
        <v/>
      </c>
      <c r="S456" s="27" t="str">
        <f t="shared" si="79"/>
        <v/>
      </c>
      <c r="T456" s="531" t="str">
        <f>IFERROR(
 IF($F456="Total",
   SUMPRODUCT(
   INDEX(T:T, ROW()-COUNTIF($F$6:INDEX($F:$F, ROW()-1), $F455)) : INDEX(T:T, ROW()-1),
   INDEX(W:W, ROW()-COUNTIF($F$6:INDEX($F:$F, ROW()-1), $F455)) : INDEX(W:W, ROW()-1)
   )
   /SUM(INDEX(W:W, ROW()-COUNTIF($F$6:INDEX($F:$F, ROW()-1), $F455)) : INDEX(W:W, ROW()-1)),
   AVERAGEIFS(
     INDEX((unit_details[Asking Rent],unit_details[Asking PSF]),0,1,IF($U$3="Chunk Rent",1,2)),
     unit_details[Leased Date],"&gt;="&amp;($AM$2-T$5),
     unit_details[Leased Date],"&lt;"&amp;$AM$2,
     unit_details[Beds],$L456,
     unit_details[Baths],$M456,
     unit_details[Partial Baths],IF(ISNUMBER($N456),$N456,""),
     unit_details[Sqft],$P456,
     unit_details[Property Name],$F456)
 ),"")</f>
        <v/>
      </c>
      <c r="U456" s="552" t="str">
        <f>IFERROR(
 IF($F456="Total",
   SUMPRODUCT(
   INDEX(U:U, ROW()-COUNTIF($F$6:INDEX($F:$F, ROW()-1), $F455)) : INDEX(U:U, ROW()-1),
   INDEX(W:W, ROW()-COUNTIF($F$6:INDEX($F:$F, ROW()-1), $F455)) : INDEX(W:W, ROW()-1)
   )
   /SUM(INDEX(W:W, ROW()-COUNTIF($F$6:INDEX($F:$F, ROW()-1), $F455)) : INDEX(W:W, ROW()-1)),
   AVERAGEIFS(
     INDEX((unit_details[Effective Rent],unit_details[Effective PSF]),0,1,IF($U$3="Chunk Rent",1,2)),
     unit_details[Leased Date],"&gt;="&amp;($AM$2-T$5),
     unit_details[Leased Date],"&lt;"&amp;$AM$2,
     unit_details[Beds],$L456,
     unit_details[Baths],$M456,
     unit_details[Partial Baths],IF(ISNUMBER($N456),$N456,""),
     unit_details[Sqft],$P456,
     unit_details[Property Name],$F456)
 ),"")</f>
        <v/>
      </c>
      <c r="V456" s="27" t="str">
        <f t="shared" ref="V456:V519" si="87">IFERROR(IF((T456-U456)/T456=0,"",(T456-U456)/T456),"")</f>
        <v/>
      </c>
      <c r="W456" s="526">
        <f>IFERROR(
  IF($F456="Total",
    SUM(INDEX(W:W, ROW()-COUNTIF($F$6:INDEX($F:$F, ROW()-1), $F455)) : INDEX(W:W, ROW()-1)),
    COUNTIFS(
      unit_details[Leased Date], "&gt;="&amp;($AM$2-T$5),
      unit_details[Leased Date], "&lt;"&amp;$AM$2,
      unit_details[Beds], $L456,
      unit_details[Baths], $M456,
      unit_details[Partial Baths], IF(ISNUMBER($N456), $N456, ""),
      unit_details[Sqft],$P456,
      unit_details[Property Name], $F456
    )
  ),
"")</f>
        <v>0</v>
      </c>
      <c r="X456" s="531" t="str">
        <f>IFERROR(
 IF($F456="Total",
   SUMPRODUCT(
   INDEX(X:X, ROW()-COUNTIF($F$6:INDEX($F:$F, ROW()-1), $F455)) : INDEX(X:X, ROW()-1),
   INDEX(AA:AA, ROW()-COUNTIF($F$6:INDEX($F:$F, ROW()-1), $F455)) : INDEX(AA:AA, ROW()-1)
   )
   /SUM(INDEX(AA:AA, ROW()-COUNTIF($F$6:INDEX($F:$F, ROW()-1), $F455)) : INDEX(AA:AA, ROW()-1)),
   AVERAGEIFS(
     INDEX((unit_details[Asking Rent],unit_details[Asking PSF]),0,1,IF($U$3="Chunk Rent",1,2)),
     unit_details[Leased Date],"&gt;="&amp;($AM$2-X$5),
     unit_details[Leased Date],"&lt;"&amp;$AM$2,
     unit_details[Beds],$L456,
     unit_details[Baths],$M456,
     unit_details[Partial Baths],IF(ISNUMBER($N456),$N456,""),
     unit_details[Sqft],$P456,
     unit_details[Property Name],$F456)
 ),"")</f>
        <v/>
      </c>
      <c r="Y456" s="552" t="str">
        <f>IFERROR(
 IF($F456="Total",
   SUMPRODUCT(
   INDEX(Y:Y, ROW()-COUNTIF($F$6:INDEX($F:$F, ROW()-1), $F455)) : INDEX(Y:Y, ROW()-1),
   INDEX(AA:AA, ROW()-COUNTIF($F$6:INDEX($F:$F, ROW()-1), $F455)) : INDEX(AA:AA, ROW()-1)
   )
   /SUM(INDEX(AA:AA, ROW()-COUNTIF($F$6:INDEX($F:$F, ROW()-1), $F455)) : INDEX(AA:AA, ROW()-1)),
   AVERAGEIFS(
     INDEX((unit_details[Effective Rent],unit_details[Effective PSF]),0,1,IF($U$3="Chunk Rent",1,2)),
     unit_details[Leased Date],"&gt;="&amp;($AM$2-X$5),
     unit_details[Leased Date],"&lt;"&amp;$AM$2,
     unit_details[Beds],$L456,
     unit_details[Baths],$M456,
     unit_details[Partial Baths],IF(ISNUMBER($N456),$N456,""),
     unit_details[Sqft],$P456,
     unit_details[Property Name],$F456)
 ),"")</f>
        <v/>
      </c>
      <c r="Z456" s="27" t="str">
        <f t="shared" ref="Z456:Z519" si="88">IFERROR(IF((X456-Y456)/X456=0,"",(X456-Y456)/X456),"")</f>
        <v/>
      </c>
      <c r="AA456" s="526">
        <f>IFERROR(
  IF($F456="Total",
    SUM(INDEX(AA:AA, ROW()-COUNTIF($F$6:INDEX($F:$F, ROW()-1), $F455)) : INDEX(AA:AA, ROW()-1)),
    COUNTIFS(
      unit_details[Leased Date], "&gt;="&amp;($AM$2-X$5),
      unit_details[Leased Date], "&lt;"&amp;$AM$2,
      unit_details[Beds], $L456,
      unit_details[Baths], $M456,
      unit_details[Partial Baths], IF(ISNUMBER($N456), $N456, ""),
      unit_details[Sqft],$P456,
      unit_details[Property Name], $F456
    )
  ),
"")</f>
        <v>0</v>
      </c>
      <c r="AB456" s="290">
        <f>IF($F456="Total",
SUM(INDEX(AB:AB, ROW()-COUNTIF($F$6:INDEX($F:$F, ROW()-1), $F455)) : INDEX(AB:AB, ROW()-1)),
COUNTIFS(unit_details[Active Listing?],TRUE,
          unit_details[Property Name], $F456,
          unit_details[Beds], $L456,
          unit_details[Baths], $M456,
          unit_details[Partial Baths],IF(ISNUMBER($N456),$N456,""),
          unit_details[Sqft],$P456))</f>
        <v>0</v>
      </c>
      <c r="AC456" s="27" t="str">
        <f t="shared" si="80"/>
        <v/>
      </c>
      <c r="AD456" s="293" t="str">
        <f>IFERROR(IF(AE456="","",IF($F456="Total",
SUMPRODUCT(
   INDEX(AD:AD, ROW()-COUNTIF($F$6:INDEX($F:$F, ROW()-1), $F455)) : INDEX(AD:AD, ROW()-1),
   INDEX(AB:AB, ROW()-COUNTIF($F$6:INDEX($F:$F, ROW()-1), $F455)) : INDEX(AB:AB, ROW()-1)
   )
   /SUM(INDEX(AB:AB, ROW()-COUNTIF($F$6:INDEX($F:$F, ROW()-1), $F455)) : INDEX(AB:AB, ROW()-1)),
          _xlfn.MINIFS(unit_details[Asking Rent],
          unit_details[Active Listing?],TRUE,
          unit_details[Property Name], $F456,
          unit_details[Beds], $L456,
          unit_details[Baths], $M456,
          unit_details[Partial Baths], IF(ISNUMBER($N456),$N456,""),
          unit_details[Sqft],$P456
))),"")</f>
        <v/>
      </c>
      <c r="AE456" s="5" t="str">
        <f>IFERROR(IF($F456="Total",
          SUMPRODUCT(
   INDEX(AE:AE, ROW()-COUNTIF($F$6:INDEX($F:$F, ROW()-1), $F455)) : INDEX(AE:AE, ROW()-1),
   INDEX(AB:AB, ROW()-COUNTIF($F$6:INDEX($F:$F, ROW()-1), $F455)) : INDEX(AB:AB, ROW()-1)
   )
   /SUM(INDEX(AB:AB, ROW()-COUNTIF($F$6:INDEX($F:$F, ROW()-1), $F455)) : INDEX(AB:AB, ROW()-1)),
          AVERAGEIFS(unit_details[Asking Rent],
          unit_details[Active Listing?],TRUE,
          unit_details[Property Name], $F456,
          unit_details[Beds], $L456,
          unit_details[Baths], $M456,
          unit_details[Partial Baths], IF(ISNUMBER($N456),$N456,""),
          unit_details[Sqft],$P456
)),"")</f>
        <v/>
      </c>
      <c r="AF456" s="5" t="str">
        <f>IFERROR(IF(AE456="","",IF($F456="Total",
SUMPRODUCT(
   INDEX(AF:AF, ROW()-COUNTIF($F$6:INDEX($F:$F, ROW()-1), $F455)) : INDEX(AF:AF, ROW()-1),
   INDEX(AB:AB, ROW()-COUNTIF($F$6:INDEX($F:$F, ROW()-1), $F455)) : INDEX(AB:AB, ROW()-1)
   )
   /SUM(INDEX(AB:AB, ROW()-COUNTIF($F$6:INDEX($F:$F, ROW()-1), $F455)) : INDEX(AB:AB, ROW()-1)),
           _xlfn.MAXIFS(unit_details[Asking Rent],
          unit_details[Active Listing?],TRUE,
          unit_details[Property Name], $F456,
          unit_details[Beds], $L456,
          unit_details[Baths], $M456,
          unit_details[Partial Baths], IF(ISNUMBER($N456),$N456,""),
          unit_details[Sqft],$P456
))),"")</f>
        <v/>
      </c>
      <c r="AG456" s="6" t="str">
        <f>IFERROR(IF($F456="Total",
         SUMPRODUCT(
         INDEX(AG:AG, ROW()-COUNTIF($F$6:INDEX($F:$F, ROW()-1), $F455)) : INDEX(AG:AG, ROW()-1),
         INDEX(AB:AB, ROW()-COUNTIF($F$6:INDEX($F:$F, ROW()-1), $F455)) : INDEX(AB:AB, ROW()-1)
         )
         /SUM(INDEX(AB:AB, ROW()-COUNTIF($F$6:INDEX($F:$F, ROW()-1), $F455)) : INDEX(AB:AB, ROW()-1)),
          AVERAGEIFS(unit_details[Asking PSF],
          unit_details[Active Listing?],TRUE,
          unit_details[Property Name], $F456,
          unit_details[Beds], $L456,
          unit_details[Baths], $M456,
          unit_details[Partial Baths], IF(ISNUMBER($N456),$N456,""),
          unit_details[Sqft],$P456
)),"")</f>
        <v/>
      </c>
      <c r="AH456" s="293" t="str">
        <f>IFERROR(IF($F456="Total",
         SUMPRODUCT(
         INDEX(AH:AH, ROW()-COUNTIF($F$6:INDEX($F:$F, ROW()-1), $F455)) : INDEX(AH:AH, ROW()-1),
         INDEX(AB:AB, ROW()-COUNTIF($F$6:INDEX($F:$F, ROW()-1), $F455)) : INDEX(AB:AB, ROW()-1)
         )
         /SUM(INDEX(AB:AB, ROW()-COUNTIF($F$6:INDEX($F:$F, ROW()-1), $F455)) : INDEX(AB:AB, ROW()-1)),
          AVERAGEIFS(unit_details[Effective Rent],
          unit_details[Active Listing?],TRUE,
          unit_details[Property Name], $F456,
          unit_details[Beds], $L456,
          unit_details[Baths], $M456,
          unit_details[Partial Baths], IF(ISNUMBER($N456),$N456,""),
          unit_details[Sqft],$P456
)),"")</f>
        <v/>
      </c>
      <c r="AI456" s="6" t="str">
        <f>IFERROR(IF($F456="Total",
         SUMPRODUCT(
         INDEX(AI:AI, ROW()-COUNTIF($F$6:INDEX($F:$F, ROW()-1), $F455)) : INDEX(AI:AI, ROW()-1),
         INDEX(AB:AB, ROW()-COUNTIF($F$6:INDEX($F:$F, ROW()-1), $F455)) : INDEX(AB:AB, ROW()-1)
         )
         /SUM(INDEX(AB:AB, ROW()-COUNTIF($F$6:INDEX($F:$F, ROW()-1), $F455)) : INDEX(AB:AB, ROW()-1)),
           AVERAGEIFS(unit_details[Effective PSF],
          unit_details[Active Listing?],TRUE,
          unit_details[Property Name], $F456,
          unit_details[Beds], $L456,
          unit_details[Baths], $M456,
          unit_details[Partial Baths], IF(ISNUMBER($N456),$N456,""),
          unit_details[Sqft],$P456
)),"")</f>
        <v/>
      </c>
      <c r="AJ456" s="824" t="str">
        <f t="shared" si="81"/>
        <v/>
      </c>
      <c r="AK456" s="531" t="str">
        <f t="shared" si="82"/>
        <v/>
      </c>
      <c r="AL456" s="714" t="str">
        <f t="shared" si="83"/>
        <v/>
      </c>
      <c r="AM456" s="531" t="str">
        <f t="shared" si="84"/>
        <v/>
      </c>
      <c r="AN456" s="716" t="str">
        <f t="shared" si="85"/>
        <v/>
      </c>
    </row>
    <row r="457" spans="6:40" x14ac:dyDescent="0.2">
      <c r="F457" s="1" t="str">
        <f t="shared" si="78"/>
        <v/>
      </c>
      <c r="G457" s="713" t="str">
        <f t="shared" si="86"/>
        <v/>
      </c>
      <c r="H457" s="17" t="str">
        <f>IFERROR(VLOOKUP($G457,Table1[[Property]:[Exposure %]],4,0),"")</f>
        <v/>
      </c>
      <c r="I457" s="3" t="str">
        <f>IFERROR(VLOOKUP($G457,Table1[[Property]:[Exposure %]],6,0),"")</f>
        <v/>
      </c>
      <c r="J457" s="3" t="str">
        <f>IFERROR(VLOOKUP($G457,Table1[[Property]:[Exposure %]],7,0),"")</f>
        <v/>
      </c>
      <c r="R457" s="4" t="str">
        <f>IFERROR(VLOOKUP(IF(F457="Total",F456,F457),Table1[[Property]:['# Units]],7,0)*S457,"")</f>
        <v/>
      </c>
      <c r="S457" s="27" t="str">
        <f t="shared" si="79"/>
        <v/>
      </c>
      <c r="T457" s="531" t="str">
        <f>IFERROR(
 IF($F457="Total",
   SUMPRODUCT(
   INDEX(T:T, ROW()-COUNTIF($F$6:INDEX($F:$F, ROW()-1), $F456)) : INDEX(T:T, ROW()-1),
   INDEX(W:W, ROW()-COUNTIF($F$6:INDEX($F:$F, ROW()-1), $F456)) : INDEX(W:W, ROW()-1)
   )
   /SUM(INDEX(W:W, ROW()-COUNTIF($F$6:INDEX($F:$F, ROW()-1), $F456)) : INDEX(W:W, ROW()-1)),
   AVERAGEIFS(
     INDEX((unit_details[Asking Rent],unit_details[Asking PSF]),0,1,IF($U$3="Chunk Rent",1,2)),
     unit_details[Leased Date],"&gt;="&amp;($AM$2-T$5),
     unit_details[Leased Date],"&lt;"&amp;$AM$2,
     unit_details[Beds],$L457,
     unit_details[Baths],$M457,
     unit_details[Partial Baths],IF(ISNUMBER($N457),$N457,""),
     unit_details[Sqft],$P457,
     unit_details[Property Name],$F457)
 ),"")</f>
        <v/>
      </c>
      <c r="U457" s="552" t="str">
        <f>IFERROR(
 IF($F457="Total",
   SUMPRODUCT(
   INDEX(U:U, ROW()-COUNTIF($F$6:INDEX($F:$F, ROW()-1), $F456)) : INDEX(U:U, ROW()-1),
   INDEX(W:W, ROW()-COUNTIF($F$6:INDEX($F:$F, ROW()-1), $F456)) : INDEX(W:W, ROW()-1)
   )
   /SUM(INDEX(W:W, ROW()-COUNTIF($F$6:INDEX($F:$F, ROW()-1), $F456)) : INDEX(W:W, ROW()-1)),
   AVERAGEIFS(
     INDEX((unit_details[Effective Rent],unit_details[Effective PSF]),0,1,IF($U$3="Chunk Rent",1,2)),
     unit_details[Leased Date],"&gt;="&amp;($AM$2-T$5),
     unit_details[Leased Date],"&lt;"&amp;$AM$2,
     unit_details[Beds],$L457,
     unit_details[Baths],$M457,
     unit_details[Partial Baths],IF(ISNUMBER($N457),$N457,""),
     unit_details[Sqft],$P457,
     unit_details[Property Name],$F457)
 ),"")</f>
        <v/>
      </c>
      <c r="V457" s="27" t="str">
        <f t="shared" si="87"/>
        <v/>
      </c>
      <c r="W457" s="526">
        <f>IFERROR(
  IF($F457="Total",
    SUM(INDEX(W:W, ROW()-COUNTIF($F$6:INDEX($F:$F, ROW()-1), $F456)) : INDEX(W:W, ROW()-1)),
    COUNTIFS(
      unit_details[Leased Date], "&gt;="&amp;($AM$2-T$5),
      unit_details[Leased Date], "&lt;"&amp;$AM$2,
      unit_details[Beds], $L457,
      unit_details[Baths], $M457,
      unit_details[Partial Baths], IF(ISNUMBER($N457), $N457, ""),
      unit_details[Sqft],$P457,
      unit_details[Property Name], $F457
    )
  ),
"")</f>
        <v>0</v>
      </c>
      <c r="X457" s="531" t="str">
        <f>IFERROR(
 IF($F457="Total",
   SUMPRODUCT(
   INDEX(X:X, ROW()-COUNTIF($F$6:INDEX($F:$F, ROW()-1), $F456)) : INDEX(X:X, ROW()-1),
   INDEX(AA:AA, ROW()-COUNTIF($F$6:INDEX($F:$F, ROW()-1), $F456)) : INDEX(AA:AA, ROW()-1)
   )
   /SUM(INDEX(AA:AA, ROW()-COUNTIF($F$6:INDEX($F:$F, ROW()-1), $F456)) : INDEX(AA:AA, ROW()-1)),
   AVERAGEIFS(
     INDEX((unit_details[Asking Rent],unit_details[Asking PSF]),0,1,IF($U$3="Chunk Rent",1,2)),
     unit_details[Leased Date],"&gt;="&amp;($AM$2-X$5),
     unit_details[Leased Date],"&lt;"&amp;$AM$2,
     unit_details[Beds],$L457,
     unit_details[Baths],$M457,
     unit_details[Partial Baths],IF(ISNUMBER($N457),$N457,""),
     unit_details[Sqft],$P457,
     unit_details[Property Name],$F457)
 ),"")</f>
        <v/>
      </c>
      <c r="Y457" s="552" t="str">
        <f>IFERROR(
 IF($F457="Total",
   SUMPRODUCT(
   INDEX(Y:Y, ROW()-COUNTIF($F$6:INDEX($F:$F, ROW()-1), $F456)) : INDEX(Y:Y, ROW()-1),
   INDEX(AA:AA, ROW()-COUNTIF($F$6:INDEX($F:$F, ROW()-1), $F456)) : INDEX(AA:AA, ROW()-1)
   )
   /SUM(INDEX(AA:AA, ROW()-COUNTIF($F$6:INDEX($F:$F, ROW()-1), $F456)) : INDEX(AA:AA, ROW()-1)),
   AVERAGEIFS(
     INDEX((unit_details[Effective Rent],unit_details[Effective PSF]),0,1,IF($U$3="Chunk Rent",1,2)),
     unit_details[Leased Date],"&gt;="&amp;($AM$2-X$5),
     unit_details[Leased Date],"&lt;"&amp;$AM$2,
     unit_details[Beds],$L457,
     unit_details[Baths],$M457,
     unit_details[Partial Baths],IF(ISNUMBER($N457),$N457,""),
     unit_details[Sqft],$P457,
     unit_details[Property Name],$F457)
 ),"")</f>
        <v/>
      </c>
      <c r="Z457" s="27" t="str">
        <f t="shared" si="88"/>
        <v/>
      </c>
      <c r="AA457" s="526">
        <f>IFERROR(
  IF($F457="Total",
    SUM(INDEX(AA:AA, ROW()-COUNTIF($F$6:INDEX($F:$F, ROW()-1), $F456)) : INDEX(AA:AA, ROW()-1)),
    COUNTIFS(
      unit_details[Leased Date], "&gt;="&amp;($AM$2-X$5),
      unit_details[Leased Date], "&lt;"&amp;$AM$2,
      unit_details[Beds], $L457,
      unit_details[Baths], $M457,
      unit_details[Partial Baths], IF(ISNUMBER($N457), $N457, ""),
      unit_details[Sqft],$P457,
      unit_details[Property Name], $F457
    )
  ),
"")</f>
        <v>0</v>
      </c>
      <c r="AB457" s="290">
        <f>IF($F457="Total",
SUM(INDEX(AB:AB, ROW()-COUNTIF($F$6:INDEX($F:$F, ROW()-1), $F456)) : INDEX(AB:AB, ROW()-1)),
COUNTIFS(unit_details[Active Listing?],TRUE,
          unit_details[Property Name], $F457,
          unit_details[Beds], $L457,
          unit_details[Baths], $M457,
          unit_details[Partial Baths],IF(ISNUMBER($N457),$N457,""),
          unit_details[Sqft],$P457))</f>
        <v>0</v>
      </c>
      <c r="AC457" s="27" t="str">
        <f t="shared" si="80"/>
        <v/>
      </c>
      <c r="AD457" s="293" t="str">
        <f>IFERROR(IF(AE457="","",IF($F457="Total",
SUMPRODUCT(
   INDEX(AD:AD, ROW()-COUNTIF($F$6:INDEX($F:$F, ROW()-1), $F456)) : INDEX(AD:AD, ROW()-1),
   INDEX(AB:AB, ROW()-COUNTIF($F$6:INDEX($F:$F, ROW()-1), $F456)) : INDEX(AB:AB, ROW()-1)
   )
   /SUM(INDEX(AB:AB, ROW()-COUNTIF($F$6:INDEX($F:$F, ROW()-1), $F456)) : INDEX(AB:AB, ROW()-1)),
          _xlfn.MINIFS(unit_details[Asking Rent],
          unit_details[Active Listing?],TRUE,
          unit_details[Property Name], $F457,
          unit_details[Beds], $L457,
          unit_details[Baths], $M457,
          unit_details[Partial Baths], IF(ISNUMBER($N457),$N457,""),
          unit_details[Sqft],$P457
))),"")</f>
        <v/>
      </c>
      <c r="AE457" s="5" t="str">
        <f>IFERROR(IF($F457="Total",
          SUMPRODUCT(
   INDEX(AE:AE, ROW()-COUNTIF($F$6:INDEX($F:$F, ROW()-1), $F456)) : INDEX(AE:AE, ROW()-1),
   INDEX(AB:AB, ROW()-COUNTIF($F$6:INDEX($F:$F, ROW()-1), $F456)) : INDEX(AB:AB, ROW()-1)
   )
   /SUM(INDEX(AB:AB, ROW()-COUNTIF($F$6:INDEX($F:$F, ROW()-1), $F456)) : INDEX(AB:AB, ROW()-1)),
          AVERAGEIFS(unit_details[Asking Rent],
          unit_details[Active Listing?],TRUE,
          unit_details[Property Name], $F457,
          unit_details[Beds], $L457,
          unit_details[Baths], $M457,
          unit_details[Partial Baths], IF(ISNUMBER($N457),$N457,""),
          unit_details[Sqft],$P457
)),"")</f>
        <v/>
      </c>
      <c r="AF457" s="5" t="str">
        <f>IFERROR(IF(AE457="","",IF($F457="Total",
SUMPRODUCT(
   INDEX(AF:AF, ROW()-COUNTIF($F$6:INDEX($F:$F, ROW()-1), $F456)) : INDEX(AF:AF, ROW()-1),
   INDEX(AB:AB, ROW()-COUNTIF($F$6:INDEX($F:$F, ROW()-1), $F456)) : INDEX(AB:AB, ROW()-1)
   )
   /SUM(INDEX(AB:AB, ROW()-COUNTIF($F$6:INDEX($F:$F, ROW()-1), $F456)) : INDEX(AB:AB, ROW()-1)),
           _xlfn.MAXIFS(unit_details[Asking Rent],
          unit_details[Active Listing?],TRUE,
          unit_details[Property Name], $F457,
          unit_details[Beds], $L457,
          unit_details[Baths], $M457,
          unit_details[Partial Baths], IF(ISNUMBER($N457),$N457,""),
          unit_details[Sqft],$P457
))),"")</f>
        <v/>
      </c>
      <c r="AG457" s="6" t="str">
        <f>IFERROR(IF($F457="Total",
         SUMPRODUCT(
         INDEX(AG:AG, ROW()-COUNTIF($F$6:INDEX($F:$F, ROW()-1), $F456)) : INDEX(AG:AG, ROW()-1),
         INDEX(AB:AB, ROW()-COUNTIF($F$6:INDEX($F:$F, ROW()-1), $F456)) : INDEX(AB:AB, ROW()-1)
         )
         /SUM(INDEX(AB:AB, ROW()-COUNTIF($F$6:INDEX($F:$F, ROW()-1), $F456)) : INDEX(AB:AB, ROW()-1)),
          AVERAGEIFS(unit_details[Asking PSF],
          unit_details[Active Listing?],TRUE,
          unit_details[Property Name], $F457,
          unit_details[Beds], $L457,
          unit_details[Baths], $M457,
          unit_details[Partial Baths], IF(ISNUMBER($N457),$N457,""),
          unit_details[Sqft],$P457
)),"")</f>
        <v/>
      </c>
      <c r="AH457" s="293" t="str">
        <f>IFERROR(IF($F457="Total",
         SUMPRODUCT(
         INDEX(AH:AH, ROW()-COUNTIF($F$6:INDEX($F:$F, ROW()-1), $F456)) : INDEX(AH:AH, ROW()-1),
         INDEX(AB:AB, ROW()-COUNTIF($F$6:INDEX($F:$F, ROW()-1), $F456)) : INDEX(AB:AB, ROW()-1)
         )
         /SUM(INDEX(AB:AB, ROW()-COUNTIF($F$6:INDEX($F:$F, ROW()-1), $F456)) : INDEX(AB:AB, ROW()-1)),
          AVERAGEIFS(unit_details[Effective Rent],
          unit_details[Active Listing?],TRUE,
          unit_details[Property Name], $F457,
          unit_details[Beds], $L457,
          unit_details[Baths], $M457,
          unit_details[Partial Baths], IF(ISNUMBER($N457),$N457,""),
          unit_details[Sqft],$P457
)),"")</f>
        <v/>
      </c>
      <c r="AI457" s="6" t="str">
        <f>IFERROR(IF($F457="Total",
         SUMPRODUCT(
         INDEX(AI:AI, ROW()-COUNTIF($F$6:INDEX($F:$F, ROW()-1), $F456)) : INDEX(AI:AI, ROW()-1),
         INDEX(AB:AB, ROW()-COUNTIF($F$6:INDEX($F:$F, ROW()-1), $F456)) : INDEX(AB:AB, ROW()-1)
         )
         /SUM(INDEX(AB:AB, ROW()-COUNTIF($F$6:INDEX($F:$F, ROW()-1), $F456)) : INDEX(AB:AB, ROW()-1)),
           AVERAGEIFS(unit_details[Effective PSF],
          unit_details[Active Listing?],TRUE,
          unit_details[Property Name], $F457,
          unit_details[Beds], $L457,
          unit_details[Baths], $M457,
          unit_details[Partial Baths], IF(ISNUMBER($N457),$N457,""),
          unit_details[Sqft],$P457
)),"")</f>
        <v/>
      </c>
      <c r="AJ457" s="824" t="str">
        <f t="shared" si="81"/>
        <v/>
      </c>
      <c r="AK457" s="531" t="str">
        <f t="shared" si="82"/>
        <v/>
      </c>
      <c r="AL457" s="714" t="str">
        <f t="shared" si="83"/>
        <v/>
      </c>
      <c r="AM457" s="531" t="str">
        <f t="shared" si="84"/>
        <v/>
      </c>
      <c r="AN457" s="716" t="str">
        <f t="shared" si="85"/>
        <v/>
      </c>
    </row>
    <row r="458" spans="6:40" x14ac:dyDescent="0.2">
      <c r="F458" s="1" t="str">
        <f t="shared" si="78"/>
        <v/>
      </c>
      <c r="G458" s="713" t="str">
        <f t="shared" si="86"/>
        <v/>
      </c>
      <c r="H458" s="17" t="str">
        <f>IFERROR(VLOOKUP($G458,Table1[[Property]:[Exposure %]],4,0),"")</f>
        <v/>
      </c>
      <c r="I458" s="3" t="str">
        <f>IFERROR(VLOOKUP($G458,Table1[[Property]:[Exposure %]],6,0),"")</f>
        <v/>
      </c>
      <c r="J458" s="3" t="str">
        <f>IFERROR(VLOOKUP($G458,Table1[[Property]:[Exposure %]],7,0),"")</f>
        <v/>
      </c>
      <c r="R458" s="4" t="str">
        <f>IFERROR(VLOOKUP(IF(F458="Total",F457,F458),Table1[[Property]:['# Units]],7,0)*S458,"")</f>
        <v/>
      </c>
      <c r="S458" s="27" t="str">
        <f t="shared" si="79"/>
        <v/>
      </c>
      <c r="T458" s="531" t="str">
        <f>IFERROR(
 IF($F458="Total",
   SUMPRODUCT(
   INDEX(T:T, ROW()-COUNTIF($F$6:INDEX($F:$F, ROW()-1), $F457)) : INDEX(T:T, ROW()-1),
   INDEX(W:W, ROW()-COUNTIF($F$6:INDEX($F:$F, ROW()-1), $F457)) : INDEX(W:W, ROW()-1)
   )
   /SUM(INDEX(W:W, ROW()-COUNTIF($F$6:INDEX($F:$F, ROW()-1), $F457)) : INDEX(W:W, ROW()-1)),
   AVERAGEIFS(
     INDEX((unit_details[Asking Rent],unit_details[Asking PSF]),0,1,IF($U$3="Chunk Rent",1,2)),
     unit_details[Leased Date],"&gt;="&amp;($AM$2-T$5),
     unit_details[Leased Date],"&lt;"&amp;$AM$2,
     unit_details[Beds],$L458,
     unit_details[Baths],$M458,
     unit_details[Partial Baths],IF(ISNUMBER($N458),$N458,""),
     unit_details[Sqft],$P458,
     unit_details[Property Name],$F458)
 ),"")</f>
        <v/>
      </c>
      <c r="U458" s="552" t="str">
        <f>IFERROR(
 IF($F458="Total",
   SUMPRODUCT(
   INDEX(U:U, ROW()-COUNTIF($F$6:INDEX($F:$F, ROW()-1), $F457)) : INDEX(U:U, ROW()-1),
   INDEX(W:W, ROW()-COUNTIF($F$6:INDEX($F:$F, ROW()-1), $F457)) : INDEX(W:W, ROW()-1)
   )
   /SUM(INDEX(W:W, ROW()-COUNTIF($F$6:INDEX($F:$F, ROW()-1), $F457)) : INDEX(W:W, ROW()-1)),
   AVERAGEIFS(
     INDEX((unit_details[Effective Rent],unit_details[Effective PSF]),0,1,IF($U$3="Chunk Rent",1,2)),
     unit_details[Leased Date],"&gt;="&amp;($AM$2-T$5),
     unit_details[Leased Date],"&lt;"&amp;$AM$2,
     unit_details[Beds],$L458,
     unit_details[Baths],$M458,
     unit_details[Partial Baths],IF(ISNUMBER($N458),$N458,""),
     unit_details[Sqft],$P458,
     unit_details[Property Name],$F458)
 ),"")</f>
        <v/>
      </c>
      <c r="V458" s="27" t="str">
        <f t="shared" si="87"/>
        <v/>
      </c>
      <c r="W458" s="526">
        <f>IFERROR(
  IF($F458="Total",
    SUM(INDEX(W:W, ROW()-COUNTIF($F$6:INDEX($F:$F, ROW()-1), $F457)) : INDEX(W:W, ROW()-1)),
    COUNTIFS(
      unit_details[Leased Date], "&gt;="&amp;($AM$2-T$5),
      unit_details[Leased Date], "&lt;"&amp;$AM$2,
      unit_details[Beds], $L458,
      unit_details[Baths], $M458,
      unit_details[Partial Baths], IF(ISNUMBER($N458), $N458, ""),
      unit_details[Sqft],$P458,
      unit_details[Property Name], $F458
    )
  ),
"")</f>
        <v>0</v>
      </c>
      <c r="X458" s="531" t="str">
        <f>IFERROR(
 IF($F458="Total",
   SUMPRODUCT(
   INDEX(X:X, ROW()-COUNTIF($F$6:INDEX($F:$F, ROW()-1), $F457)) : INDEX(X:X, ROW()-1),
   INDEX(AA:AA, ROW()-COUNTIF($F$6:INDEX($F:$F, ROW()-1), $F457)) : INDEX(AA:AA, ROW()-1)
   )
   /SUM(INDEX(AA:AA, ROW()-COUNTIF($F$6:INDEX($F:$F, ROW()-1), $F457)) : INDEX(AA:AA, ROW()-1)),
   AVERAGEIFS(
     INDEX((unit_details[Asking Rent],unit_details[Asking PSF]),0,1,IF($U$3="Chunk Rent",1,2)),
     unit_details[Leased Date],"&gt;="&amp;($AM$2-X$5),
     unit_details[Leased Date],"&lt;"&amp;$AM$2,
     unit_details[Beds],$L458,
     unit_details[Baths],$M458,
     unit_details[Partial Baths],IF(ISNUMBER($N458),$N458,""),
     unit_details[Sqft],$P458,
     unit_details[Property Name],$F458)
 ),"")</f>
        <v/>
      </c>
      <c r="Y458" s="552" t="str">
        <f>IFERROR(
 IF($F458="Total",
   SUMPRODUCT(
   INDEX(Y:Y, ROW()-COUNTIF($F$6:INDEX($F:$F, ROW()-1), $F457)) : INDEX(Y:Y, ROW()-1),
   INDEX(AA:AA, ROW()-COUNTIF($F$6:INDEX($F:$F, ROW()-1), $F457)) : INDEX(AA:AA, ROW()-1)
   )
   /SUM(INDEX(AA:AA, ROW()-COUNTIF($F$6:INDEX($F:$F, ROW()-1), $F457)) : INDEX(AA:AA, ROW()-1)),
   AVERAGEIFS(
     INDEX((unit_details[Effective Rent],unit_details[Effective PSF]),0,1,IF($U$3="Chunk Rent",1,2)),
     unit_details[Leased Date],"&gt;="&amp;($AM$2-X$5),
     unit_details[Leased Date],"&lt;"&amp;$AM$2,
     unit_details[Beds],$L458,
     unit_details[Baths],$M458,
     unit_details[Partial Baths],IF(ISNUMBER($N458),$N458,""),
     unit_details[Sqft],$P458,
     unit_details[Property Name],$F458)
 ),"")</f>
        <v/>
      </c>
      <c r="Z458" s="27" t="str">
        <f t="shared" si="88"/>
        <v/>
      </c>
      <c r="AA458" s="526">
        <f>IFERROR(
  IF($F458="Total",
    SUM(INDEX(AA:AA, ROW()-COUNTIF($F$6:INDEX($F:$F, ROW()-1), $F457)) : INDEX(AA:AA, ROW()-1)),
    COUNTIFS(
      unit_details[Leased Date], "&gt;="&amp;($AM$2-X$5),
      unit_details[Leased Date], "&lt;"&amp;$AM$2,
      unit_details[Beds], $L458,
      unit_details[Baths], $M458,
      unit_details[Partial Baths], IF(ISNUMBER($N458), $N458, ""),
      unit_details[Sqft],$P458,
      unit_details[Property Name], $F458
    )
  ),
"")</f>
        <v>0</v>
      </c>
      <c r="AB458" s="290">
        <f>IF($F458="Total",
SUM(INDEX(AB:AB, ROW()-COUNTIF($F$6:INDEX($F:$F, ROW()-1), $F457)) : INDEX(AB:AB, ROW()-1)),
COUNTIFS(unit_details[Active Listing?],TRUE,
          unit_details[Property Name], $F458,
          unit_details[Beds], $L458,
          unit_details[Baths], $M458,
          unit_details[Partial Baths],IF(ISNUMBER($N458),$N458,""),
          unit_details[Sqft],$P458))</f>
        <v>0</v>
      </c>
      <c r="AC458" s="27" t="str">
        <f t="shared" si="80"/>
        <v/>
      </c>
      <c r="AD458" s="293" t="str">
        <f>IFERROR(IF(AE458="","",IF($F458="Total",
SUMPRODUCT(
   INDEX(AD:AD, ROW()-COUNTIF($F$6:INDEX($F:$F, ROW()-1), $F457)) : INDEX(AD:AD, ROW()-1),
   INDEX(AB:AB, ROW()-COUNTIF($F$6:INDEX($F:$F, ROW()-1), $F457)) : INDEX(AB:AB, ROW()-1)
   )
   /SUM(INDEX(AB:AB, ROW()-COUNTIF($F$6:INDEX($F:$F, ROW()-1), $F457)) : INDEX(AB:AB, ROW()-1)),
          _xlfn.MINIFS(unit_details[Asking Rent],
          unit_details[Active Listing?],TRUE,
          unit_details[Property Name], $F458,
          unit_details[Beds], $L458,
          unit_details[Baths], $M458,
          unit_details[Partial Baths], IF(ISNUMBER($N458),$N458,""),
          unit_details[Sqft],$P458
))),"")</f>
        <v/>
      </c>
      <c r="AE458" s="5" t="str">
        <f>IFERROR(IF($F458="Total",
          SUMPRODUCT(
   INDEX(AE:AE, ROW()-COUNTIF($F$6:INDEX($F:$F, ROW()-1), $F457)) : INDEX(AE:AE, ROW()-1),
   INDEX(AB:AB, ROW()-COUNTIF($F$6:INDEX($F:$F, ROW()-1), $F457)) : INDEX(AB:AB, ROW()-1)
   )
   /SUM(INDEX(AB:AB, ROW()-COUNTIF($F$6:INDEX($F:$F, ROW()-1), $F457)) : INDEX(AB:AB, ROW()-1)),
          AVERAGEIFS(unit_details[Asking Rent],
          unit_details[Active Listing?],TRUE,
          unit_details[Property Name], $F458,
          unit_details[Beds], $L458,
          unit_details[Baths], $M458,
          unit_details[Partial Baths], IF(ISNUMBER($N458),$N458,""),
          unit_details[Sqft],$P458
)),"")</f>
        <v/>
      </c>
      <c r="AF458" s="5" t="str">
        <f>IFERROR(IF(AE458="","",IF($F458="Total",
SUMPRODUCT(
   INDEX(AF:AF, ROW()-COUNTIF($F$6:INDEX($F:$F, ROW()-1), $F457)) : INDEX(AF:AF, ROW()-1),
   INDEX(AB:AB, ROW()-COUNTIF($F$6:INDEX($F:$F, ROW()-1), $F457)) : INDEX(AB:AB, ROW()-1)
   )
   /SUM(INDEX(AB:AB, ROW()-COUNTIF($F$6:INDEX($F:$F, ROW()-1), $F457)) : INDEX(AB:AB, ROW()-1)),
           _xlfn.MAXIFS(unit_details[Asking Rent],
          unit_details[Active Listing?],TRUE,
          unit_details[Property Name], $F458,
          unit_details[Beds], $L458,
          unit_details[Baths], $M458,
          unit_details[Partial Baths], IF(ISNUMBER($N458),$N458,""),
          unit_details[Sqft],$P458
))),"")</f>
        <v/>
      </c>
      <c r="AG458" s="6" t="str">
        <f>IFERROR(IF($F458="Total",
         SUMPRODUCT(
         INDEX(AG:AG, ROW()-COUNTIF($F$6:INDEX($F:$F, ROW()-1), $F457)) : INDEX(AG:AG, ROW()-1),
         INDEX(AB:AB, ROW()-COUNTIF($F$6:INDEX($F:$F, ROW()-1), $F457)) : INDEX(AB:AB, ROW()-1)
         )
         /SUM(INDEX(AB:AB, ROW()-COUNTIF($F$6:INDEX($F:$F, ROW()-1), $F457)) : INDEX(AB:AB, ROW()-1)),
          AVERAGEIFS(unit_details[Asking PSF],
          unit_details[Active Listing?],TRUE,
          unit_details[Property Name], $F458,
          unit_details[Beds], $L458,
          unit_details[Baths], $M458,
          unit_details[Partial Baths], IF(ISNUMBER($N458),$N458,""),
          unit_details[Sqft],$P458
)),"")</f>
        <v/>
      </c>
      <c r="AH458" s="293" t="str">
        <f>IFERROR(IF($F458="Total",
         SUMPRODUCT(
         INDEX(AH:AH, ROW()-COUNTIF($F$6:INDEX($F:$F, ROW()-1), $F457)) : INDEX(AH:AH, ROW()-1),
         INDEX(AB:AB, ROW()-COUNTIF($F$6:INDEX($F:$F, ROW()-1), $F457)) : INDEX(AB:AB, ROW()-1)
         )
         /SUM(INDEX(AB:AB, ROW()-COUNTIF($F$6:INDEX($F:$F, ROW()-1), $F457)) : INDEX(AB:AB, ROW()-1)),
          AVERAGEIFS(unit_details[Effective Rent],
          unit_details[Active Listing?],TRUE,
          unit_details[Property Name], $F458,
          unit_details[Beds], $L458,
          unit_details[Baths], $M458,
          unit_details[Partial Baths], IF(ISNUMBER($N458),$N458,""),
          unit_details[Sqft],$P458
)),"")</f>
        <v/>
      </c>
      <c r="AI458" s="6" t="str">
        <f>IFERROR(IF($F458="Total",
         SUMPRODUCT(
         INDEX(AI:AI, ROW()-COUNTIF($F$6:INDEX($F:$F, ROW()-1), $F457)) : INDEX(AI:AI, ROW()-1),
         INDEX(AB:AB, ROW()-COUNTIF($F$6:INDEX($F:$F, ROW()-1), $F457)) : INDEX(AB:AB, ROW()-1)
         )
         /SUM(INDEX(AB:AB, ROW()-COUNTIF($F$6:INDEX($F:$F, ROW()-1), $F457)) : INDEX(AB:AB, ROW()-1)),
           AVERAGEIFS(unit_details[Effective PSF],
          unit_details[Active Listing?],TRUE,
          unit_details[Property Name], $F458,
          unit_details[Beds], $L458,
          unit_details[Baths], $M458,
          unit_details[Partial Baths], IF(ISNUMBER($N458),$N458,""),
          unit_details[Sqft],$P458
)),"")</f>
        <v/>
      </c>
      <c r="AJ458" s="824" t="str">
        <f t="shared" si="81"/>
        <v/>
      </c>
      <c r="AK458" s="531" t="str">
        <f t="shared" si="82"/>
        <v/>
      </c>
      <c r="AL458" s="714" t="str">
        <f t="shared" si="83"/>
        <v/>
      </c>
      <c r="AM458" s="531" t="str">
        <f t="shared" si="84"/>
        <v/>
      </c>
      <c r="AN458" s="716" t="str">
        <f t="shared" si="85"/>
        <v/>
      </c>
    </row>
    <row r="459" spans="6:40" x14ac:dyDescent="0.2">
      <c r="F459" s="1" t="str">
        <f t="shared" si="78"/>
        <v/>
      </c>
      <c r="G459" s="713" t="str">
        <f t="shared" si="86"/>
        <v/>
      </c>
      <c r="H459" s="17" t="str">
        <f>IFERROR(VLOOKUP($G459,Table1[[Property]:[Exposure %]],4,0),"")</f>
        <v/>
      </c>
      <c r="I459" s="3" t="str">
        <f>IFERROR(VLOOKUP($G459,Table1[[Property]:[Exposure %]],6,0),"")</f>
        <v/>
      </c>
      <c r="J459" s="3" t="str">
        <f>IFERROR(VLOOKUP($G459,Table1[[Property]:[Exposure %]],7,0),"")</f>
        <v/>
      </c>
      <c r="R459" s="4" t="str">
        <f>IFERROR(VLOOKUP(IF(F459="Total",F458,F459),Table1[[Property]:['# Units]],7,0)*S459,"")</f>
        <v/>
      </c>
      <c r="S459" s="27" t="str">
        <f t="shared" si="79"/>
        <v/>
      </c>
      <c r="T459" s="531" t="str">
        <f>IFERROR(
 IF($F459="Total",
   SUMPRODUCT(
   INDEX(T:T, ROW()-COUNTIF($F$6:INDEX($F:$F, ROW()-1), $F458)) : INDEX(T:T, ROW()-1),
   INDEX(W:W, ROW()-COUNTIF($F$6:INDEX($F:$F, ROW()-1), $F458)) : INDEX(W:W, ROW()-1)
   )
   /SUM(INDEX(W:W, ROW()-COUNTIF($F$6:INDEX($F:$F, ROW()-1), $F458)) : INDEX(W:W, ROW()-1)),
   AVERAGEIFS(
     INDEX((unit_details[Asking Rent],unit_details[Asking PSF]),0,1,IF($U$3="Chunk Rent",1,2)),
     unit_details[Leased Date],"&gt;="&amp;($AM$2-T$5),
     unit_details[Leased Date],"&lt;"&amp;$AM$2,
     unit_details[Beds],$L459,
     unit_details[Baths],$M459,
     unit_details[Partial Baths],IF(ISNUMBER($N459),$N459,""),
     unit_details[Sqft],$P459,
     unit_details[Property Name],$F459)
 ),"")</f>
        <v/>
      </c>
      <c r="U459" s="552" t="str">
        <f>IFERROR(
 IF($F459="Total",
   SUMPRODUCT(
   INDEX(U:U, ROW()-COUNTIF($F$6:INDEX($F:$F, ROW()-1), $F458)) : INDEX(U:U, ROW()-1),
   INDEX(W:W, ROW()-COUNTIF($F$6:INDEX($F:$F, ROW()-1), $F458)) : INDEX(W:W, ROW()-1)
   )
   /SUM(INDEX(W:W, ROW()-COUNTIF($F$6:INDEX($F:$F, ROW()-1), $F458)) : INDEX(W:W, ROW()-1)),
   AVERAGEIFS(
     INDEX((unit_details[Effective Rent],unit_details[Effective PSF]),0,1,IF($U$3="Chunk Rent",1,2)),
     unit_details[Leased Date],"&gt;="&amp;($AM$2-T$5),
     unit_details[Leased Date],"&lt;"&amp;$AM$2,
     unit_details[Beds],$L459,
     unit_details[Baths],$M459,
     unit_details[Partial Baths],IF(ISNUMBER($N459),$N459,""),
     unit_details[Sqft],$P459,
     unit_details[Property Name],$F459)
 ),"")</f>
        <v/>
      </c>
      <c r="V459" s="27" t="str">
        <f t="shared" si="87"/>
        <v/>
      </c>
      <c r="W459" s="526">
        <f>IFERROR(
  IF($F459="Total",
    SUM(INDEX(W:W, ROW()-COUNTIF($F$6:INDEX($F:$F, ROW()-1), $F458)) : INDEX(W:W, ROW()-1)),
    COUNTIFS(
      unit_details[Leased Date], "&gt;="&amp;($AM$2-T$5),
      unit_details[Leased Date], "&lt;"&amp;$AM$2,
      unit_details[Beds], $L459,
      unit_details[Baths], $M459,
      unit_details[Partial Baths], IF(ISNUMBER($N459), $N459, ""),
      unit_details[Sqft],$P459,
      unit_details[Property Name], $F459
    )
  ),
"")</f>
        <v>0</v>
      </c>
      <c r="X459" s="531" t="str">
        <f>IFERROR(
 IF($F459="Total",
   SUMPRODUCT(
   INDEX(X:X, ROW()-COUNTIF($F$6:INDEX($F:$F, ROW()-1), $F458)) : INDEX(X:X, ROW()-1),
   INDEX(AA:AA, ROW()-COUNTIF($F$6:INDEX($F:$F, ROW()-1), $F458)) : INDEX(AA:AA, ROW()-1)
   )
   /SUM(INDEX(AA:AA, ROW()-COUNTIF($F$6:INDEX($F:$F, ROW()-1), $F458)) : INDEX(AA:AA, ROW()-1)),
   AVERAGEIFS(
     INDEX((unit_details[Asking Rent],unit_details[Asking PSF]),0,1,IF($U$3="Chunk Rent",1,2)),
     unit_details[Leased Date],"&gt;="&amp;($AM$2-X$5),
     unit_details[Leased Date],"&lt;"&amp;$AM$2,
     unit_details[Beds],$L459,
     unit_details[Baths],$M459,
     unit_details[Partial Baths],IF(ISNUMBER($N459),$N459,""),
     unit_details[Sqft],$P459,
     unit_details[Property Name],$F459)
 ),"")</f>
        <v/>
      </c>
      <c r="Y459" s="552" t="str">
        <f>IFERROR(
 IF($F459="Total",
   SUMPRODUCT(
   INDEX(Y:Y, ROW()-COUNTIF($F$6:INDEX($F:$F, ROW()-1), $F458)) : INDEX(Y:Y, ROW()-1),
   INDEX(AA:AA, ROW()-COUNTIF($F$6:INDEX($F:$F, ROW()-1), $F458)) : INDEX(AA:AA, ROW()-1)
   )
   /SUM(INDEX(AA:AA, ROW()-COUNTIF($F$6:INDEX($F:$F, ROW()-1), $F458)) : INDEX(AA:AA, ROW()-1)),
   AVERAGEIFS(
     INDEX((unit_details[Effective Rent],unit_details[Effective PSF]),0,1,IF($U$3="Chunk Rent",1,2)),
     unit_details[Leased Date],"&gt;="&amp;($AM$2-X$5),
     unit_details[Leased Date],"&lt;"&amp;$AM$2,
     unit_details[Beds],$L459,
     unit_details[Baths],$M459,
     unit_details[Partial Baths],IF(ISNUMBER($N459),$N459,""),
     unit_details[Sqft],$P459,
     unit_details[Property Name],$F459)
 ),"")</f>
        <v/>
      </c>
      <c r="Z459" s="27" t="str">
        <f t="shared" si="88"/>
        <v/>
      </c>
      <c r="AA459" s="526">
        <f>IFERROR(
  IF($F459="Total",
    SUM(INDEX(AA:AA, ROW()-COUNTIF($F$6:INDEX($F:$F, ROW()-1), $F458)) : INDEX(AA:AA, ROW()-1)),
    COUNTIFS(
      unit_details[Leased Date], "&gt;="&amp;($AM$2-X$5),
      unit_details[Leased Date], "&lt;"&amp;$AM$2,
      unit_details[Beds], $L459,
      unit_details[Baths], $M459,
      unit_details[Partial Baths], IF(ISNUMBER($N459), $N459, ""),
      unit_details[Sqft],$P459,
      unit_details[Property Name], $F459
    )
  ),
"")</f>
        <v>0</v>
      </c>
      <c r="AB459" s="290">
        <f>IF($F459="Total",
SUM(INDEX(AB:AB, ROW()-COUNTIF($F$6:INDEX($F:$F, ROW()-1), $F458)) : INDEX(AB:AB, ROW()-1)),
COUNTIFS(unit_details[Active Listing?],TRUE,
          unit_details[Property Name], $F459,
          unit_details[Beds], $L459,
          unit_details[Baths], $M459,
          unit_details[Partial Baths],IF(ISNUMBER($N459),$N459,""),
          unit_details[Sqft],$P459))</f>
        <v>0</v>
      </c>
      <c r="AC459" s="27" t="str">
        <f t="shared" si="80"/>
        <v/>
      </c>
      <c r="AD459" s="293" t="str">
        <f>IFERROR(IF(AE459="","",IF($F459="Total",
SUMPRODUCT(
   INDEX(AD:AD, ROW()-COUNTIF($F$6:INDEX($F:$F, ROW()-1), $F458)) : INDEX(AD:AD, ROW()-1),
   INDEX(AB:AB, ROW()-COUNTIF($F$6:INDEX($F:$F, ROW()-1), $F458)) : INDEX(AB:AB, ROW()-1)
   )
   /SUM(INDEX(AB:AB, ROW()-COUNTIF($F$6:INDEX($F:$F, ROW()-1), $F458)) : INDEX(AB:AB, ROW()-1)),
          _xlfn.MINIFS(unit_details[Asking Rent],
          unit_details[Active Listing?],TRUE,
          unit_details[Property Name], $F459,
          unit_details[Beds], $L459,
          unit_details[Baths], $M459,
          unit_details[Partial Baths], IF(ISNUMBER($N459),$N459,""),
          unit_details[Sqft],$P459
))),"")</f>
        <v/>
      </c>
      <c r="AE459" s="5" t="str">
        <f>IFERROR(IF($F459="Total",
          SUMPRODUCT(
   INDEX(AE:AE, ROW()-COUNTIF($F$6:INDEX($F:$F, ROW()-1), $F458)) : INDEX(AE:AE, ROW()-1),
   INDEX(AB:AB, ROW()-COUNTIF($F$6:INDEX($F:$F, ROW()-1), $F458)) : INDEX(AB:AB, ROW()-1)
   )
   /SUM(INDEX(AB:AB, ROW()-COUNTIF($F$6:INDEX($F:$F, ROW()-1), $F458)) : INDEX(AB:AB, ROW()-1)),
          AVERAGEIFS(unit_details[Asking Rent],
          unit_details[Active Listing?],TRUE,
          unit_details[Property Name], $F459,
          unit_details[Beds], $L459,
          unit_details[Baths], $M459,
          unit_details[Partial Baths], IF(ISNUMBER($N459),$N459,""),
          unit_details[Sqft],$P459
)),"")</f>
        <v/>
      </c>
      <c r="AF459" s="5" t="str">
        <f>IFERROR(IF(AE459="","",IF($F459="Total",
SUMPRODUCT(
   INDEX(AF:AF, ROW()-COUNTIF($F$6:INDEX($F:$F, ROW()-1), $F458)) : INDEX(AF:AF, ROW()-1),
   INDEX(AB:AB, ROW()-COUNTIF($F$6:INDEX($F:$F, ROW()-1), $F458)) : INDEX(AB:AB, ROW()-1)
   )
   /SUM(INDEX(AB:AB, ROW()-COUNTIF($F$6:INDEX($F:$F, ROW()-1), $F458)) : INDEX(AB:AB, ROW()-1)),
           _xlfn.MAXIFS(unit_details[Asking Rent],
          unit_details[Active Listing?],TRUE,
          unit_details[Property Name], $F459,
          unit_details[Beds], $L459,
          unit_details[Baths], $M459,
          unit_details[Partial Baths], IF(ISNUMBER($N459),$N459,""),
          unit_details[Sqft],$P459
))),"")</f>
        <v/>
      </c>
      <c r="AG459" s="6" t="str">
        <f>IFERROR(IF($F459="Total",
         SUMPRODUCT(
         INDEX(AG:AG, ROW()-COUNTIF($F$6:INDEX($F:$F, ROW()-1), $F458)) : INDEX(AG:AG, ROW()-1),
         INDEX(AB:AB, ROW()-COUNTIF($F$6:INDEX($F:$F, ROW()-1), $F458)) : INDEX(AB:AB, ROW()-1)
         )
         /SUM(INDEX(AB:AB, ROW()-COUNTIF($F$6:INDEX($F:$F, ROW()-1), $F458)) : INDEX(AB:AB, ROW()-1)),
          AVERAGEIFS(unit_details[Asking PSF],
          unit_details[Active Listing?],TRUE,
          unit_details[Property Name], $F459,
          unit_details[Beds], $L459,
          unit_details[Baths], $M459,
          unit_details[Partial Baths], IF(ISNUMBER($N459),$N459,""),
          unit_details[Sqft],$P459
)),"")</f>
        <v/>
      </c>
      <c r="AH459" s="293" t="str">
        <f>IFERROR(IF($F459="Total",
         SUMPRODUCT(
         INDEX(AH:AH, ROW()-COUNTIF($F$6:INDEX($F:$F, ROW()-1), $F458)) : INDEX(AH:AH, ROW()-1),
         INDEX(AB:AB, ROW()-COUNTIF($F$6:INDEX($F:$F, ROW()-1), $F458)) : INDEX(AB:AB, ROW()-1)
         )
         /SUM(INDEX(AB:AB, ROW()-COUNTIF($F$6:INDEX($F:$F, ROW()-1), $F458)) : INDEX(AB:AB, ROW()-1)),
          AVERAGEIFS(unit_details[Effective Rent],
          unit_details[Active Listing?],TRUE,
          unit_details[Property Name], $F459,
          unit_details[Beds], $L459,
          unit_details[Baths], $M459,
          unit_details[Partial Baths], IF(ISNUMBER($N459),$N459,""),
          unit_details[Sqft],$P459
)),"")</f>
        <v/>
      </c>
      <c r="AI459" s="6" t="str">
        <f>IFERROR(IF($F459="Total",
         SUMPRODUCT(
         INDEX(AI:AI, ROW()-COUNTIF($F$6:INDEX($F:$F, ROW()-1), $F458)) : INDEX(AI:AI, ROW()-1),
         INDEX(AB:AB, ROW()-COUNTIF($F$6:INDEX($F:$F, ROW()-1), $F458)) : INDEX(AB:AB, ROW()-1)
         )
         /SUM(INDEX(AB:AB, ROW()-COUNTIF($F$6:INDEX($F:$F, ROW()-1), $F458)) : INDEX(AB:AB, ROW()-1)),
           AVERAGEIFS(unit_details[Effective PSF],
          unit_details[Active Listing?],TRUE,
          unit_details[Property Name], $F459,
          unit_details[Beds], $L459,
          unit_details[Baths], $M459,
          unit_details[Partial Baths], IF(ISNUMBER($N459),$N459,""),
          unit_details[Sqft],$P459
)),"")</f>
        <v/>
      </c>
      <c r="AJ459" s="824" t="str">
        <f t="shared" si="81"/>
        <v/>
      </c>
      <c r="AK459" s="531" t="str">
        <f t="shared" si="82"/>
        <v/>
      </c>
      <c r="AL459" s="714" t="str">
        <f t="shared" si="83"/>
        <v/>
      </c>
      <c r="AM459" s="531" t="str">
        <f t="shared" si="84"/>
        <v/>
      </c>
      <c r="AN459" s="716" t="str">
        <f t="shared" si="85"/>
        <v/>
      </c>
    </row>
    <row r="460" spans="6:40" x14ac:dyDescent="0.2">
      <c r="F460" s="1" t="str">
        <f t="shared" si="78"/>
        <v/>
      </c>
      <c r="G460" s="713" t="str">
        <f t="shared" si="86"/>
        <v/>
      </c>
      <c r="H460" s="17" t="str">
        <f>IFERROR(VLOOKUP($G460,Table1[[Property]:[Exposure %]],4,0),"")</f>
        <v/>
      </c>
      <c r="I460" s="3" t="str">
        <f>IFERROR(VLOOKUP($G460,Table1[[Property]:[Exposure %]],6,0),"")</f>
        <v/>
      </c>
      <c r="J460" s="3" t="str">
        <f>IFERROR(VLOOKUP($G460,Table1[[Property]:[Exposure %]],7,0),"")</f>
        <v/>
      </c>
      <c r="R460" s="4" t="str">
        <f>IFERROR(VLOOKUP(IF(F460="Total",F459,F460),Table1[[Property]:['# Units]],7,0)*S460,"")</f>
        <v/>
      </c>
      <c r="S460" s="27" t="str">
        <f t="shared" si="79"/>
        <v/>
      </c>
      <c r="T460" s="531" t="str">
        <f>IFERROR(
 IF($F460="Total",
   SUMPRODUCT(
   INDEX(T:T, ROW()-COUNTIF($F$6:INDEX($F:$F, ROW()-1), $F459)) : INDEX(T:T, ROW()-1),
   INDEX(W:W, ROW()-COUNTIF($F$6:INDEX($F:$F, ROW()-1), $F459)) : INDEX(W:W, ROW()-1)
   )
   /SUM(INDEX(W:W, ROW()-COUNTIF($F$6:INDEX($F:$F, ROW()-1), $F459)) : INDEX(W:W, ROW()-1)),
   AVERAGEIFS(
     INDEX((unit_details[Asking Rent],unit_details[Asking PSF]),0,1,IF($U$3="Chunk Rent",1,2)),
     unit_details[Leased Date],"&gt;="&amp;($AM$2-T$5),
     unit_details[Leased Date],"&lt;"&amp;$AM$2,
     unit_details[Beds],$L460,
     unit_details[Baths],$M460,
     unit_details[Partial Baths],IF(ISNUMBER($N460),$N460,""),
     unit_details[Sqft],$P460,
     unit_details[Property Name],$F460)
 ),"")</f>
        <v/>
      </c>
      <c r="U460" s="552" t="str">
        <f>IFERROR(
 IF($F460="Total",
   SUMPRODUCT(
   INDEX(U:U, ROW()-COUNTIF($F$6:INDEX($F:$F, ROW()-1), $F459)) : INDEX(U:U, ROW()-1),
   INDEX(W:W, ROW()-COUNTIF($F$6:INDEX($F:$F, ROW()-1), $F459)) : INDEX(W:W, ROW()-1)
   )
   /SUM(INDEX(W:W, ROW()-COUNTIF($F$6:INDEX($F:$F, ROW()-1), $F459)) : INDEX(W:W, ROW()-1)),
   AVERAGEIFS(
     INDEX((unit_details[Effective Rent],unit_details[Effective PSF]),0,1,IF($U$3="Chunk Rent",1,2)),
     unit_details[Leased Date],"&gt;="&amp;($AM$2-T$5),
     unit_details[Leased Date],"&lt;"&amp;$AM$2,
     unit_details[Beds],$L460,
     unit_details[Baths],$M460,
     unit_details[Partial Baths],IF(ISNUMBER($N460),$N460,""),
     unit_details[Sqft],$P460,
     unit_details[Property Name],$F460)
 ),"")</f>
        <v/>
      </c>
      <c r="V460" s="27" t="str">
        <f t="shared" si="87"/>
        <v/>
      </c>
      <c r="W460" s="526">
        <f>IFERROR(
  IF($F460="Total",
    SUM(INDEX(W:W, ROW()-COUNTIF($F$6:INDEX($F:$F, ROW()-1), $F459)) : INDEX(W:W, ROW()-1)),
    COUNTIFS(
      unit_details[Leased Date], "&gt;="&amp;($AM$2-T$5),
      unit_details[Leased Date], "&lt;"&amp;$AM$2,
      unit_details[Beds], $L460,
      unit_details[Baths], $M460,
      unit_details[Partial Baths], IF(ISNUMBER($N460), $N460, ""),
      unit_details[Sqft],$P460,
      unit_details[Property Name], $F460
    )
  ),
"")</f>
        <v>0</v>
      </c>
      <c r="X460" s="531" t="str">
        <f>IFERROR(
 IF($F460="Total",
   SUMPRODUCT(
   INDEX(X:X, ROW()-COUNTIF($F$6:INDEX($F:$F, ROW()-1), $F459)) : INDEX(X:X, ROW()-1),
   INDEX(AA:AA, ROW()-COUNTIF($F$6:INDEX($F:$F, ROW()-1), $F459)) : INDEX(AA:AA, ROW()-1)
   )
   /SUM(INDEX(AA:AA, ROW()-COUNTIF($F$6:INDEX($F:$F, ROW()-1), $F459)) : INDEX(AA:AA, ROW()-1)),
   AVERAGEIFS(
     INDEX((unit_details[Asking Rent],unit_details[Asking PSF]),0,1,IF($U$3="Chunk Rent",1,2)),
     unit_details[Leased Date],"&gt;="&amp;($AM$2-X$5),
     unit_details[Leased Date],"&lt;"&amp;$AM$2,
     unit_details[Beds],$L460,
     unit_details[Baths],$M460,
     unit_details[Partial Baths],IF(ISNUMBER($N460),$N460,""),
     unit_details[Sqft],$P460,
     unit_details[Property Name],$F460)
 ),"")</f>
        <v/>
      </c>
      <c r="Y460" s="552" t="str">
        <f>IFERROR(
 IF($F460="Total",
   SUMPRODUCT(
   INDEX(Y:Y, ROW()-COUNTIF($F$6:INDEX($F:$F, ROW()-1), $F459)) : INDEX(Y:Y, ROW()-1),
   INDEX(AA:AA, ROW()-COUNTIF($F$6:INDEX($F:$F, ROW()-1), $F459)) : INDEX(AA:AA, ROW()-1)
   )
   /SUM(INDEX(AA:AA, ROW()-COUNTIF($F$6:INDEX($F:$F, ROW()-1), $F459)) : INDEX(AA:AA, ROW()-1)),
   AVERAGEIFS(
     INDEX((unit_details[Effective Rent],unit_details[Effective PSF]),0,1,IF($U$3="Chunk Rent",1,2)),
     unit_details[Leased Date],"&gt;="&amp;($AM$2-X$5),
     unit_details[Leased Date],"&lt;"&amp;$AM$2,
     unit_details[Beds],$L460,
     unit_details[Baths],$M460,
     unit_details[Partial Baths],IF(ISNUMBER($N460),$N460,""),
     unit_details[Sqft],$P460,
     unit_details[Property Name],$F460)
 ),"")</f>
        <v/>
      </c>
      <c r="Z460" s="27" t="str">
        <f t="shared" si="88"/>
        <v/>
      </c>
      <c r="AA460" s="526">
        <f>IFERROR(
  IF($F460="Total",
    SUM(INDEX(AA:AA, ROW()-COUNTIF($F$6:INDEX($F:$F, ROW()-1), $F459)) : INDEX(AA:AA, ROW()-1)),
    COUNTIFS(
      unit_details[Leased Date], "&gt;="&amp;($AM$2-X$5),
      unit_details[Leased Date], "&lt;"&amp;$AM$2,
      unit_details[Beds], $L460,
      unit_details[Baths], $M460,
      unit_details[Partial Baths], IF(ISNUMBER($N460), $N460, ""),
      unit_details[Sqft],$P460,
      unit_details[Property Name], $F460
    )
  ),
"")</f>
        <v>0</v>
      </c>
      <c r="AB460" s="290">
        <f>IF($F460="Total",
SUM(INDEX(AB:AB, ROW()-COUNTIF($F$6:INDEX($F:$F, ROW()-1), $F459)) : INDEX(AB:AB, ROW()-1)),
COUNTIFS(unit_details[Active Listing?],TRUE,
          unit_details[Property Name], $F460,
          unit_details[Beds], $L460,
          unit_details[Baths], $M460,
          unit_details[Partial Baths],IF(ISNUMBER($N460),$N460,""),
          unit_details[Sqft],$P460))</f>
        <v>0</v>
      </c>
      <c r="AC460" s="27" t="str">
        <f t="shared" si="80"/>
        <v/>
      </c>
      <c r="AD460" s="293" t="str">
        <f>IFERROR(IF(AE460="","",IF($F460="Total",
SUMPRODUCT(
   INDEX(AD:AD, ROW()-COUNTIF($F$6:INDEX($F:$F, ROW()-1), $F459)) : INDEX(AD:AD, ROW()-1),
   INDEX(AB:AB, ROW()-COUNTIF($F$6:INDEX($F:$F, ROW()-1), $F459)) : INDEX(AB:AB, ROW()-1)
   )
   /SUM(INDEX(AB:AB, ROW()-COUNTIF($F$6:INDEX($F:$F, ROW()-1), $F459)) : INDEX(AB:AB, ROW()-1)),
          _xlfn.MINIFS(unit_details[Asking Rent],
          unit_details[Active Listing?],TRUE,
          unit_details[Property Name], $F460,
          unit_details[Beds], $L460,
          unit_details[Baths], $M460,
          unit_details[Partial Baths], IF(ISNUMBER($N460),$N460,""),
          unit_details[Sqft],$P460
))),"")</f>
        <v/>
      </c>
      <c r="AE460" s="5" t="str">
        <f>IFERROR(IF($F460="Total",
          SUMPRODUCT(
   INDEX(AE:AE, ROW()-COUNTIF($F$6:INDEX($F:$F, ROW()-1), $F459)) : INDEX(AE:AE, ROW()-1),
   INDEX(AB:AB, ROW()-COUNTIF($F$6:INDEX($F:$F, ROW()-1), $F459)) : INDEX(AB:AB, ROW()-1)
   )
   /SUM(INDEX(AB:AB, ROW()-COUNTIF($F$6:INDEX($F:$F, ROW()-1), $F459)) : INDEX(AB:AB, ROW()-1)),
          AVERAGEIFS(unit_details[Asking Rent],
          unit_details[Active Listing?],TRUE,
          unit_details[Property Name], $F460,
          unit_details[Beds], $L460,
          unit_details[Baths], $M460,
          unit_details[Partial Baths], IF(ISNUMBER($N460),$N460,""),
          unit_details[Sqft],$P460
)),"")</f>
        <v/>
      </c>
      <c r="AF460" s="5" t="str">
        <f>IFERROR(IF(AE460="","",IF($F460="Total",
SUMPRODUCT(
   INDEX(AF:AF, ROW()-COUNTIF($F$6:INDEX($F:$F, ROW()-1), $F459)) : INDEX(AF:AF, ROW()-1),
   INDEX(AB:AB, ROW()-COUNTIF($F$6:INDEX($F:$F, ROW()-1), $F459)) : INDEX(AB:AB, ROW()-1)
   )
   /SUM(INDEX(AB:AB, ROW()-COUNTIF($F$6:INDEX($F:$F, ROW()-1), $F459)) : INDEX(AB:AB, ROW()-1)),
           _xlfn.MAXIFS(unit_details[Asking Rent],
          unit_details[Active Listing?],TRUE,
          unit_details[Property Name], $F460,
          unit_details[Beds], $L460,
          unit_details[Baths], $M460,
          unit_details[Partial Baths], IF(ISNUMBER($N460),$N460,""),
          unit_details[Sqft],$P460
))),"")</f>
        <v/>
      </c>
      <c r="AG460" s="6" t="str">
        <f>IFERROR(IF($F460="Total",
         SUMPRODUCT(
         INDEX(AG:AG, ROW()-COUNTIF($F$6:INDEX($F:$F, ROW()-1), $F459)) : INDEX(AG:AG, ROW()-1),
         INDEX(AB:AB, ROW()-COUNTIF($F$6:INDEX($F:$F, ROW()-1), $F459)) : INDEX(AB:AB, ROW()-1)
         )
         /SUM(INDEX(AB:AB, ROW()-COUNTIF($F$6:INDEX($F:$F, ROW()-1), $F459)) : INDEX(AB:AB, ROW()-1)),
          AVERAGEIFS(unit_details[Asking PSF],
          unit_details[Active Listing?],TRUE,
          unit_details[Property Name], $F460,
          unit_details[Beds], $L460,
          unit_details[Baths], $M460,
          unit_details[Partial Baths], IF(ISNUMBER($N460),$N460,""),
          unit_details[Sqft],$P460
)),"")</f>
        <v/>
      </c>
      <c r="AH460" s="293" t="str">
        <f>IFERROR(IF($F460="Total",
         SUMPRODUCT(
         INDEX(AH:AH, ROW()-COUNTIF($F$6:INDEX($F:$F, ROW()-1), $F459)) : INDEX(AH:AH, ROW()-1),
         INDEX(AB:AB, ROW()-COUNTIF($F$6:INDEX($F:$F, ROW()-1), $F459)) : INDEX(AB:AB, ROW()-1)
         )
         /SUM(INDEX(AB:AB, ROW()-COUNTIF($F$6:INDEX($F:$F, ROW()-1), $F459)) : INDEX(AB:AB, ROW()-1)),
          AVERAGEIFS(unit_details[Effective Rent],
          unit_details[Active Listing?],TRUE,
          unit_details[Property Name], $F460,
          unit_details[Beds], $L460,
          unit_details[Baths], $M460,
          unit_details[Partial Baths], IF(ISNUMBER($N460),$N460,""),
          unit_details[Sqft],$P460
)),"")</f>
        <v/>
      </c>
      <c r="AI460" s="6" t="str">
        <f>IFERROR(IF($F460="Total",
         SUMPRODUCT(
         INDEX(AI:AI, ROW()-COUNTIF($F$6:INDEX($F:$F, ROW()-1), $F459)) : INDEX(AI:AI, ROW()-1),
         INDEX(AB:AB, ROW()-COUNTIF($F$6:INDEX($F:$F, ROW()-1), $F459)) : INDEX(AB:AB, ROW()-1)
         )
         /SUM(INDEX(AB:AB, ROW()-COUNTIF($F$6:INDEX($F:$F, ROW()-1), $F459)) : INDEX(AB:AB, ROW()-1)),
           AVERAGEIFS(unit_details[Effective PSF],
          unit_details[Active Listing?],TRUE,
          unit_details[Property Name], $F460,
          unit_details[Beds], $L460,
          unit_details[Baths], $M460,
          unit_details[Partial Baths], IF(ISNUMBER($N460),$N460,""),
          unit_details[Sqft],$P460
)),"")</f>
        <v/>
      </c>
      <c r="AJ460" s="824" t="str">
        <f t="shared" si="81"/>
        <v/>
      </c>
      <c r="AK460" s="531" t="str">
        <f t="shared" si="82"/>
        <v/>
      </c>
      <c r="AL460" s="714" t="str">
        <f t="shared" si="83"/>
        <v/>
      </c>
      <c r="AM460" s="531" t="str">
        <f t="shared" si="84"/>
        <v/>
      </c>
      <c r="AN460" s="716" t="str">
        <f t="shared" si="85"/>
        <v/>
      </c>
    </row>
    <row r="461" spans="6:40" x14ac:dyDescent="0.2">
      <c r="F461" s="1" t="str">
        <f t="shared" si="78"/>
        <v/>
      </c>
      <c r="G461" s="713" t="str">
        <f t="shared" si="86"/>
        <v/>
      </c>
      <c r="H461" s="17" t="str">
        <f>IFERROR(VLOOKUP($G461,Table1[[Property]:[Exposure %]],4,0),"")</f>
        <v/>
      </c>
      <c r="I461" s="3" t="str">
        <f>IFERROR(VLOOKUP($G461,Table1[[Property]:[Exposure %]],6,0),"")</f>
        <v/>
      </c>
      <c r="J461" s="3" t="str">
        <f>IFERROR(VLOOKUP($G461,Table1[[Property]:[Exposure %]],7,0),"")</f>
        <v/>
      </c>
      <c r="R461" s="4" t="str">
        <f>IFERROR(VLOOKUP(IF(F461="Total",F460,F461),Table1[[Property]:['# Units]],7,0)*S461,"")</f>
        <v/>
      </c>
      <c r="S461" s="27" t="str">
        <f t="shared" si="79"/>
        <v/>
      </c>
      <c r="T461" s="531" t="str">
        <f>IFERROR(
 IF($F461="Total",
   SUMPRODUCT(
   INDEX(T:T, ROW()-COUNTIF($F$6:INDEX($F:$F, ROW()-1), $F460)) : INDEX(T:T, ROW()-1),
   INDEX(W:W, ROW()-COUNTIF($F$6:INDEX($F:$F, ROW()-1), $F460)) : INDEX(W:W, ROW()-1)
   )
   /SUM(INDEX(W:W, ROW()-COUNTIF($F$6:INDEX($F:$F, ROW()-1), $F460)) : INDEX(W:W, ROW()-1)),
   AVERAGEIFS(
     INDEX((unit_details[Asking Rent],unit_details[Asking PSF]),0,1,IF($U$3="Chunk Rent",1,2)),
     unit_details[Leased Date],"&gt;="&amp;($AM$2-T$5),
     unit_details[Leased Date],"&lt;"&amp;$AM$2,
     unit_details[Beds],$L461,
     unit_details[Baths],$M461,
     unit_details[Partial Baths],IF(ISNUMBER($N461),$N461,""),
     unit_details[Sqft],$P461,
     unit_details[Property Name],$F461)
 ),"")</f>
        <v/>
      </c>
      <c r="U461" s="552" t="str">
        <f>IFERROR(
 IF($F461="Total",
   SUMPRODUCT(
   INDEX(U:U, ROW()-COUNTIF($F$6:INDEX($F:$F, ROW()-1), $F460)) : INDEX(U:U, ROW()-1),
   INDEX(W:W, ROW()-COUNTIF($F$6:INDEX($F:$F, ROW()-1), $F460)) : INDEX(W:W, ROW()-1)
   )
   /SUM(INDEX(W:W, ROW()-COUNTIF($F$6:INDEX($F:$F, ROW()-1), $F460)) : INDEX(W:W, ROW()-1)),
   AVERAGEIFS(
     INDEX((unit_details[Effective Rent],unit_details[Effective PSF]),0,1,IF($U$3="Chunk Rent",1,2)),
     unit_details[Leased Date],"&gt;="&amp;($AM$2-T$5),
     unit_details[Leased Date],"&lt;"&amp;$AM$2,
     unit_details[Beds],$L461,
     unit_details[Baths],$M461,
     unit_details[Partial Baths],IF(ISNUMBER($N461),$N461,""),
     unit_details[Sqft],$P461,
     unit_details[Property Name],$F461)
 ),"")</f>
        <v/>
      </c>
      <c r="V461" s="27" t="str">
        <f t="shared" si="87"/>
        <v/>
      </c>
      <c r="W461" s="526">
        <f>IFERROR(
  IF($F461="Total",
    SUM(INDEX(W:W, ROW()-COUNTIF($F$6:INDEX($F:$F, ROW()-1), $F460)) : INDEX(W:W, ROW()-1)),
    COUNTIFS(
      unit_details[Leased Date], "&gt;="&amp;($AM$2-T$5),
      unit_details[Leased Date], "&lt;"&amp;$AM$2,
      unit_details[Beds], $L461,
      unit_details[Baths], $M461,
      unit_details[Partial Baths], IF(ISNUMBER($N461), $N461, ""),
      unit_details[Sqft],$P461,
      unit_details[Property Name], $F461
    )
  ),
"")</f>
        <v>0</v>
      </c>
      <c r="X461" s="531" t="str">
        <f>IFERROR(
 IF($F461="Total",
   SUMPRODUCT(
   INDEX(X:X, ROW()-COUNTIF($F$6:INDEX($F:$F, ROW()-1), $F460)) : INDEX(X:X, ROW()-1),
   INDEX(AA:AA, ROW()-COUNTIF($F$6:INDEX($F:$F, ROW()-1), $F460)) : INDEX(AA:AA, ROW()-1)
   )
   /SUM(INDEX(AA:AA, ROW()-COUNTIF($F$6:INDEX($F:$F, ROW()-1), $F460)) : INDEX(AA:AA, ROW()-1)),
   AVERAGEIFS(
     INDEX((unit_details[Asking Rent],unit_details[Asking PSF]),0,1,IF($U$3="Chunk Rent",1,2)),
     unit_details[Leased Date],"&gt;="&amp;($AM$2-X$5),
     unit_details[Leased Date],"&lt;"&amp;$AM$2,
     unit_details[Beds],$L461,
     unit_details[Baths],$M461,
     unit_details[Partial Baths],IF(ISNUMBER($N461),$N461,""),
     unit_details[Sqft],$P461,
     unit_details[Property Name],$F461)
 ),"")</f>
        <v/>
      </c>
      <c r="Y461" s="552" t="str">
        <f>IFERROR(
 IF($F461="Total",
   SUMPRODUCT(
   INDEX(Y:Y, ROW()-COUNTIF($F$6:INDEX($F:$F, ROW()-1), $F460)) : INDEX(Y:Y, ROW()-1),
   INDEX(AA:AA, ROW()-COUNTIF($F$6:INDEX($F:$F, ROW()-1), $F460)) : INDEX(AA:AA, ROW()-1)
   )
   /SUM(INDEX(AA:AA, ROW()-COUNTIF($F$6:INDEX($F:$F, ROW()-1), $F460)) : INDEX(AA:AA, ROW()-1)),
   AVERAGEIFS(
     INDEX((unit_details[Effective Rent],unit_details[Effective PSF]),0,1,IF($U$3="Chunk Rent",1,2)),
     unit_details[Leased Date],"&gt;="&amp;($AM$2-X$5),
     unit_details[Leased Date],"&lt;"&amp;$AM$2,
     unit_details[Beds],$L461,
     unit_details[Baths],$M461,
     unit_details[Partial Baths],IF(ISNUMBER($N461),$N461,""),
     unit_details[Sqft],$P461,
     unit_details[Property Name],$F461)
 ),"")</f>
        <v/>
      </c>
      <c r="Z461" s="27" t="str">
        <f t="shared" si="88"/>
        <v/>
      </c>
      <c r="AA461" s="526">
        <f>IFERROR(
  IF($F461="Total",
    SUM(INDEX(AA:AA, ROW()-COUNTIF($F$6:INDEX($F:$F, ROW()-1), $F460)) : INDEX(AA:AA, ROW()-1)),
    COUNTIFS(
      unit_details[Leased Date], "&gt;="&amp;($AM$2-X$5),
      unit_details[Leased Date], "&lt;"&amp;$AM$2,
      unit_details[Beds], $L461,
      unit_details[Baths], $M461,
      unit_details[Partial Baths], IF(ISNUMBER($N461), $N461, ""),
      unit_details[Sqft],$P461,
      unit_details[Property Name], $F461
    )
  ),
"")</f>
        <v>0</v>
      </c>
      <c r="AB461" s="290">
        <f>IF($F461="Total",
SUM(INDEX(AB:AB, ROW()-COUNTIF($F$6:INDEX($F:$F, ROW()-1), $F460)) : INDEX(AB:AB, ROW()-1)),
COUNTIFS(unit_details[Active Listing?],TRUE,
          unit_details[Property Name], $F461,
          unit_details[Beds], $L461,
          unit_details[Baths], $M461,
          unit_details[Partial Baths],IF(ISNUMBER($N461),$N461,""),
          unit_details[Sqft],$P461))</f>
        <v>0</v>
      </c>
      <c r="AC461" s="27" t="str">
        <f t="shared" si="80"/>
        <v/>
      </c>
      <c r="AD461" s="293" t="str">
        <f>IFERROR(IF(AE461="","",IF($F461="Total",
SUMPRODUCT(
   INDEX(AD:AD, ROW()-COUNTIF($F$6:INDEX($F:$F, ROW()-1), $F460)) : INDEX(AD:AD, ROW()-1),
   INDEX(AB:AB, ROW()-COUNTIF($F$6:INDEX($F:$F, ROW()-1), $F460)) : INDEX(AB:AB, ROW()-1)
   )
   /SUM(INDEX(AB:AB, ROW()-COUNTIF($F$6:INDEX($F:$F, ROW()-1), $F460)) : INDEX(AB:AB, ROW()-1)),
          _xlfn.MINIFS(unit_details[Asking Rent],
          unit_details[Active Listing?],TRUE,
          unit_details[Property Name], $F461,
          unit_details[Beds], $L461,
          unit_details[Baths], $M461,
          unit_details[Partial Baths], IF(ISNUMBER($N461),$N461,""),
          unit_details[Sqft],$P461
))),"")</f>
        <v/>
      </c>
      <c r="AE461" s="5" t="str">
        <f>IFERROR(IF($F461="Total",
          SUMPRODUCT(
   INDEX(AE:AE, ROW()-COUNTIF($F$6:INDEX($F:$F, ROW()-1), $F460)) : INDEX(AE:AE, ROW()-1),
   INDEX(AB:AB, ROW()-COUNTIF($F$6:INDEX($F:$F, ROW()-1), $F460)) : INDEX(AB:AB, ROW()-1)
   )
   /SUM(INDEX(AB:AB, ROW()-COUNTIF($F$6:INDEX($F:$F, ROW()-1), $F460)) : INDEX(AB:AB, ROW()-1)),
          AVERAGEIFS(unit_details[Asking Rent],
          unit_details[Active Listing?],TRUE,
          unit_details[Property Name], $F461,
          unit_details[Beds], $L461,
          unit_details[Baths], $M461,
          unit_details[Partial Baths], IF(ISNUMBER($N461),$N461,""),
          unit_details[Sqft],$P461
)),"")</f>
        <v/>
      </c>
      <c r="AF461" s="5" t="str">
        <f>IFERROR(IF(AE461="","",IF($F461="Total",
SUMPRODUCT(
   INDEX(AF:AF, ROW()-COUNTIF($F$6:INDEX($F:$F, ROW()-1), $F460)) : INDEX(AF:AF, ROW()-1),
   INDEX(AB:AB, ROW()-COUNTIF($F$6:INDEX($F:$F, ROW()-1), $F460)) : INDEX(AB:AB, ROW()-1)
   )
   /SUM(INDEX(AB:AB, ROW()-COUNTIF($F$6:INDEX($F:$F, ROW()-1), $F460)) : INDEX(AB:AB, ROW()-1)),
           _xlfn.MAXIFS(unit_details[Asking Rent],
          unit_details[Active Listing?],TRUE,
          unit_details[Property Name], $F461,
          unit_details[Beds], $L461,
          unit_details[Baths], $M461,
          unit_details[Partial Baths], IF(ISNUMBER($N461),$N461,""),
          unit_details[Sqft],$P461
))),"")</f>
        <v/>
      </c>
      <c r="AG461" s="6" t="str">
        <f>IFERROR(IF($F461="Total",
         SUMPRODUCT(
         INDEX(AG:AG, ROW()-COUNTIF($F$6:INDEX($F:$F, ROW()-1), $F460)) : INDEX(AG:AG, ROW()-1),
         INDEX(AB:AB, ROW()-COUNTIF($F$6:INDEX($F:$F, ROW()-1), $F460)) : INDEX(AB:AB, ROW()-1)
         )
         /SUM(INDEX(AB:AB, ROW()-COUNTIF($F$6:INDEX($F:$F, ROW()-1), $F460)) : INDEX(AB:AB, ROW()-1)),
          AVERAGEIFS(unit_details[Asking PSF],
          unit_details[Active Listing?],TRUE,
          unit_details[Property Name], $F461,
          unit_details[Beds], $L461,
          unit_details[Baths], $M461,
          unit_details[Partial Baths], IF(ISNUMBER($N461),$N461,""),
          unit_details[Sqft],$P461
)),"")</f>
        <v/>
      </c>
      <c r="AH461" s="293" t="str">
        <f>IFERROR(IF($F461="Total",
         SUMPRODUCT(
         INDEX(AH:AH, ROW()-COUNTIF($F$6:INDEX($F:$F, ROW()-1), $F460)) : INDEX(AH:AH, ROW()-1),
         INDEX(AB:AB, ROW()-COUNTIF($F$6:INDEX($F:$F, ROW()-1), $F460)) : INDEX(AB:AB, ROW()-1)
         )
         /SUM(INDEX(AB:AB, ROW()-COUNTIF($F$6:INDEX($F:$F, ROW()-1), $F460)) : INDEX(AB:AB, ROW()-1)),
          AVERAGEIFS(unit_details[Effective Rent],
          unit_details[Active Listing?],TRUE,
          unit_details[Property Name], $F461,
          unit_details[Beds], $L461,
          unit_details[Baths], $M461,
          unit_details[Partial Baths], IF(ISNUMBER($N461),$N461,""),
          unit_details[Sqft],$P461
)),"")</f>
        <v/>
      </c>
      <c r="AI461" s="6" t="str">
        <f>IFERROR(IF($F461="Total",
         SUMPRODUCT(
         INDEX(AI:AI, ROW()-COUNTIF($F$6:INDEX($F:$F, ROW()-1), $F460)) : INDEX(AI:AI, ROW()-1),
         INDEX(AB:AB, ROW()-COUNTIF($F$6:INDEX($F:$F, ROW()-1), $F460)) : INDEX(AB:AB, ROW()-1)
         )
         /SUM(INDEX(AB:AB, ROW()-COUNTIF($F$6:INDEX($F:$F, ROW()-1), $F460)) : INDEX(AB:AB, ROW()-1)),
           AVERAGEIFS(unit_details[Effective PSF],
          unit_details[Active Listing?],TRUE,
          unit_details[Property Name], $F461,
          unit_details[Beds], $L461,
          unit_details[Baths], $M461,
          unit_details[Partial Baths], IF(ISNUMBER($N461),$N461,""),
          unit_details[Sqft],$P461
)),"")</f>
        <v/>
      </c>
      <c r="AJ461" s="824" t="str">
        <f t="shared" si="81"/>
        <v/>
      </c>
      <c r="AK461" s="531" t="str">
        <f t="shared" si="82"/>
        <v/>
      </c>
      <c r="AL461" s="714" t="str">
        <f t="shared" si="83"/>
        <v/>
      </c>
      <c r="AM461" s="531" t="str">
        <f t="shared" si="84"/>
        <v/>
      </c>
      <c r="AN461" s="716" t="str">
        <f t="shared" si="85"/>
        <v/>
      </c>
    </row>
    <row r="462" spans="6:40" x14ac:dyDescent="0.2">
      <c r="F462" s="1" t="str">
        <f t="shared" si="78"/>
        <v/>
      </c>
      <c r="G462" s="713" t="str">
        <f t="shared" si="86"/>
        <v/>
      </c>
      <c r="H462" s="17" t="str">
        <f>IFERROR(VLOOKUP($G462,Table1[[Property]:[Exposure %]],4,0),"")</f>
        <v/>
      </c>
      <c r="I462" s="3" t="str">
        <f>IFERROR(VLOOKUP($G462,Table1[[Property]:[Exposure %]],6,0),"")</f>
        <v/>
      </c>
      <c r="J462" s="3" t="str">
        <f>IFERROR(VLOOKUP($G462,Table1[[Property]:[Exposure %]],7,0),"")</f>
        <v/>
      </c>
      <c r="R462" s="4" t="str">
        <f>IFERROR(VLOOKUP(IF(F462="Total",F461,F462),Table1[[Property]:['# Units]],7,0)*S462,"")</f>
        <v/>
      </c>
      <c r="S462" s="27" t="str">
        <f t="shared" si="79"/>
        <v/>
      </c>
      <c r="T462" s="531" t="str">
        <f>IFERROR(
 IF($F462="Total",
   SUMPRODUCT(
   INDEX(T:T, ROW()-COUNTIF($F$6:INDEX($F:$F, ROW()-1), $F461)) : INDEX(T:T, ROW()-1),
   INDEX(W:W, ROW()-COUNTIF($F$6:INDEX($F:$F, ROW()-1), $F461)) : INDEX(W:W, ROW()-1)
   )
   /SUM(INDEX(W:W, ROW()-COUNTIF($F$6:INDEX($F:$F, ROW()-1), $F461)) : INDEX(W:W, ROW()-1)),
   AVERAGEIFS(
     INDEX((unit_details[Asking Rent],unit_details[Asking PSF]),0,1,IF($U$3="Chunk Rent",1,2)),
     unit_details[Leased Date],"&gt;="&amp;($AM$2-T$5),
     unit_details[Leased Date],"&lt;"&amp;$AM$2,
     unit_details[Beds],$L462,
     unit_details[Baths],$M462,
     unit_details[Partial Baths],IF(ISNUMBER($N462),$N462,""),
     unit_details[Sqft],$P462,
     unit_details[Property Name],$F462)
 ),"")</f>
        <v/>
      </c>
      <c r="U462" s="552" t="str">
        <f>IFERROR(
 IF($F462="Total",
   SUMPRODUCT(
   INDEX(U:U, ROW()-COUNTIF($F$6:INDEX($F:$F, ROW()-1), $F461)) : INDEX(U:U, ROW()-1),
   INDEX(W:W, ROW()-COUNTIF($F$6:INDEX($F:$F, ROW()-1), $F461)) : INDEX(W:W, ROW()-1)
   )
   /SUM(INDEX(W:W, ROW()-COUNTIF($F$6:INDEX($F:$F, ROW()-1), $F461)) : INDEX(W:W, ROW()-1)),
   AVERAGEIFS(
     INDEX((unit_details[Effective Rent],unit_details[Effective PSF]),0,1,IF($U$3="Chunk Rent",1,2)),
     unit_details[Leased Date],"&gt;="&amp;($AM$2-T$5),
     unit_details[Leased Date],"&lt;"&amp;$AM$2,
     unit_details[Beds],$L462,
     unit_details[Baths],$M462,
     unit_details[Partial Baths],IF(ISNUMBER($N462),$N462,""),
     unit_details[Sqft],$P462,
     unit_details[Property Name],$F462)
 ),"")</f>
        <v/>
      </c>
      <c r="V462" s="27" t="str">
        <f t="shared" si="87"/>
        <v/>
      </c>
      <c r="W462" s="526">
        <f>IFERROR(
  IF($F462="Total",
    SUM(INDEX(W:W, ROW()-COUNTIF($F$6:INDEX($F:$F, ROW()-1), $F461)) : INDEX(W:W, ROW()-1)),
    COUNTIFS(
      unit_details[Leased Date], "&gt;="&amp;($AM$2-T$5),
      unit_details[Leased Date], "&lt;"&amp;$AM$2,
      unit_details[Beds], $L462,
      unit_details[Baths], $M462,
      unit_details[Partial Baths], IF(ISNUMBER($N462), $N462, ""),
      unit_details[Sqft],$P462,
      unit_details[Property Name], $F462
    )
  ),
"")</f>
        <v>0</v>
      </c>
      <c r="X462" s="531" t="str">
        <f>IFERROR(
 IF($F462="Total",
   SUMPRODUCT(
   INDEX(X:X, ROW()-COUNTIF($F$6:INDEX($F:$F, ROW()-1), $F461)) : INDEX(X:X, ROW()-1),
   INDEX(AA:AA, ROW()-COUNTIF($F$6:INDEX($F:$F, ROW()-1), $F461)) : INDEX(AA:AA, ROW()-1)
   )
   /SUM(INDEX(AA:AA, ROW()-COUNTIF($F$6:INDEX($F:$F, ROW()-1), $F461)) : INDEX(AA:AA, ROW()-1)),
   AVERAGEIFS(
     INDEX((unit_details[Asking Rent],unit_details[Asking PSF]),0,1,IF($U$3="Chunk Rent",1,2)),
     unit_details[Leased Date],"&gt;="&amp;($AM$2-X$5),
     unit_details[Leased Date],"&lt;"&amp;$AM$2,
     unit_details[Beds],$L462,
     unit_details[Baths],$M462,
     unit_details[Partial Baths],IF(ISNUMBER($N462),$N462,""),
     unit_details[Sqft],$P462,
     unit_details[Property Name],$F462)
 ),"")</f>
        <v/>
      </c>
      <c r="Y462" s="552" t="str">
        <f>IFERROR(
 IF($F462="Total",
   SUMPRODUCT(
   INDEX(Y:Y, ROW()-COUNTIF($F$6:INDEX($F:$F, ROW()-1), $F461)) : INDEX(Y:Y, ROW()-1),
   INDEX(AA:AA, ROW()-COUNTIF($F$6:INDEX($F:$F, ROW()-1), $F461)) : INDEX(AA:AA, ROW()-1)
   )
   /SUM(INDEX(AA:AA, ROW()-COUNTIF($F$6:INDEX($F:$F, ROW()-1), $F461)) : INDEX(AA:AA, ROW()-1)),
   AVERAGEIFS(
     INDEX((unit_details[Effective Rent],unit_details[Effective PSF]),0,1,IF($U$3="Chunk Rent",1,2)),
     unit_details[Leased Date],"&gt;="&amp;($AM$2-X$5),
     unit_details[Leased Date],"&lt;"&amp;$AM$2,
     unit_details[Beds],$L462,
     unit_details[Baths],$M462,
     unit_details[Partial Baths],IF(ISNUMBER($N462),$N462,""),
     unit_details[Sqft],$P462,
     unit_details[Property Name],$F462)
 ),"")</f>
        <v/>
      </c>
      <c r="Z462" s="27" t="str">
        <f t="shared" si="88"/>
        <v/>
      </c>
      <c r="AA462" s="526">
        <f>IFERROR(
  IF($F462="Total",
    SUM(INDEX(AA:AA, ROW()-COUNTIF($F$6:INDEX($F:$F, ROW()-1), $F461)) : INDEX(AA:AA, ROW()-1)),
    COUNTIFS(
      unit_details[Leased Date], "&gt;="&amp;($AM$2-X$5),
      unit_details[Leased Date], "&lt;"&amp;$AM$2,
      unit_details[Beds], $L462,
      unit_details[Baths], $M462,
      unit_details[Partial Baths], IF(ISNUMBER($N462), $N462, ""),
      unit_details[Sqft],$P462,
      unit_details[Property Name], $F462
    )
  ),
"")</f>
        <v>0</v>
      </c>
      <c r="AB462" s="290">
        <f>IF($F462="Total",
SUM(INDEX(AB:AB, ROW()-COUNTIF($F$6:INDEX($F:$F, ROW()-1), $F461)) : INDEX(AB:AB, ROW()-1)),
COUNTIFS(unit_details[Active Listing?],TRUE,
          unit_details[Property Name], $F462,
          unit_details[Beds], $L462,
          unit_details[Baths], $M462,
          unit_details[Partial Baths],IF(ISNUMBER($N462),$N462,""),
          unit_details[Sqft],$P462))</f>
        <v>0</v>
      </c>
      <c r="AC462" s="27" t="str">
        <f t="shared" si="80"/>
        <v/>
      </c>
      <c r="AD462" s="293" t="str">
        <f>IFERROR(IF(AE462="","",IF($F462="Total",
SUMPRODUCT(
   INDEX(AD:AD, ROW()-COUNTIF($F$6:INDEX($F:$F, ROW()-1), $F461)) : INDEX(AD:AD, ROW()-1),
   INDEX(AB:AB, ROW()-COUNTIF($F$6:INDEX($F:$F, ROW()-1), $F461)) : INDEX(AB:AB, ROW()-1)
   )
   /SUM(INDEX(AB:AB, ROW()-COUNTIF($F$6:INDEX($F:$F, ROW()-1), $F461)) : INDEX(AB:AB, ROW()-1)),
          _xlfn.MINIFS(unit_details[Asking Rent],
          unit_details[Active Listing?],TRUE,
          unit_details[Property Name], $F462,
          unit_details[Beds], $L462,
          unit_details[Baths], $M462,
          unit_details[Partial Baths], IF(ISNUMBER($N462),$N462,""),
          unit_details[Sqft],$P462
))),"")</f>
        <v/>
      </c>
      <c r="AE462" s="5" t="str">
        <f>IFERROR(IF($F462="Total",
          SUMPRODUCT(
   INDEX(AE:AE, ROW()-COUNTIF($F$6:INDEX($F:$F, ROW()-1), $F461)) : INDEX(AE:AE, ROW()-1),
   INDEX(AB:AB, ROW()-COUNTIF($F$6:INDEX($F:$F, ROW()-1), $F461)) : INDEX(AB:AB, ROW()-1)
   )
   /SUM(INDEX(AB:AB, ROW()-COUNTIF($F$6:INDEX($F:$F, ROW()-1), $F461)) : INDEX(AB:AB, ROW()-1)),
          AVERAGEIFS(unit_details[Asking Rent],
          unit_details[Active Listing?],TRUE,
          unit_details[Property Name], $F462,
          unit_details[Beds], $L462,
          unit_details[Baths], $M462,
          unit_details[Partial Baths], IF(ISNUMBER($N462),$N462,""),
          unit_details[Sqft],$P462
)),"")</f>
        <v/>
      </c>
      <c r="AF462" s="5" t="str">
        <f>IFERROR(IF(AE462="","",IF($F462="Total",
SUMPRODUCT(
   INDEX(AF:AF, ROW()-COUNTIF($F$6:INDEX($F:$F, ROW()-1), $F461)) : INDEX(AF:AF, ROW()-1),
   INDEX(AB:AB, ROW()-COUNTIF($F$6:INDEX($F:$F, ROW()-1), $F461)) : INDEX(AB:AB, ROW()-1)
   )
   /SUM(INDEX(AB:AB, ROW()-COUNTIF($F$6:INDEX($F:$F, ROW()-1), $F461)) : INDEX(AB:AB, ROW()-1)),
           _xlfn.MAXIFS(unit_details[Asking Rent],
          unit_details[Active Listing?],TRUE,
          unit_details[Property Name], $F462,
          unit_details[Beds], $L462,
          unit_details[Baths], $M462,
          unit_details[Partial Baths], IF(ISNUMBER($N462),$N462,""),
          unit_details[Sqft],$P462
))),"")</f>
        <v/>
      </c>
      <c r="AG462" s="6" t="str">
        <f>IFERROR(IF($F462="Total",
         SUMPRODUCT(
         INDEX(AG:AG, ROW()-COUNTIF($F$6:INDEX($F:$F, ROW()-1), $F461)) : INDEX(AG:AG, ROW()-1),
         INDEX(AB:AB, ROW()-COUNTIF($F$6:INDEX($F:$F, ROW()-1), $F461)) : INDEX(AB:AB, ROW()-1)
         )
         /SUM(INDEX(AB:AB, ROW()-COUNTIF($F$6:INDEX($F:$F, ROW()-1), $F461)) : INDEX(AB:AB, ROW()-1)),
          AVERAGEIFS(unit_details[Asking PSF],
          unit_details[Active Listing?],TRUE,
          unit_details[Property Name], $F462,
          unit_details[Beds], $L462,
          unit_details[Baths], $M462,
          unit_details[Partial Baths], IF(ISNUMBER($N462),$N462,""),
          unit_details[Sqft],$P462
)),"")</f>
        <v/>
      </c>
      <c r="AH462" s="293" t="str">
        <f>IFERROR(IF($F462="Total",
         SUMPRODUCT(
         INDEX(AH:AH, ROW()-COUNTIF($F$6:INDEX($F:$F, ROW()-1), $F461)) : INDEX(AH:AH, ROW()-1),
         INDEX(AB:AB, ROW()-COUNTIF($F$6:INDEX($F:$F, ROW()-1), $F461)) : INDEX(AB:AB, ROW()-1)
         )
         /SUM(INDEX(AB:AB, ROW()-COUNTIF($F$6:INDEX($F:$F, ROW()-1), $F461)) : INDEX(AB:AB, ROW()-1)),
          AVERAGEIFS(unit_details[Effective Rent],
          unit_details[Active Listing?],TRUE,
          unit_details[Property Name], $F462,
          unit_details[Beds], $L462,
          unit_details[Baths], $M462,
          unit_details[Partial Baths], IF(ISNUMBER($N462),$N462,""),
          unit_details[Sqft],$P462
)),"")</f>
        <v/>
      </c>
      <c r="AI462" s="6" t="str">
        <f>IFERROR(IF($F462="Total",
         SUMPRODUCT(
         INDEX(AI:AI, ROW()-COUNTIF($F$6:INDEX($F:$F, ROW()-1), $F461)) : INDEX(AI:AI, ROW()-1),
         INDEX(AB:AB, ROW()-COUNTIF($F$6:INDEX($F:$F, ROW()-1), $F461)) : INDEX(AB:AB, ROW()-1)
         )
         /SUM(INDEX(AB:AB, ROW()-COUNTIF($F$6:INDEX($F:$F, ROW()-1), $F461)) : INDEX(AB:AB, ROW()-1)),
           AVERAGEIFS(unit_details[Effective PSF],
          unit_details[Active Listing?],TRUE,
          unit_details[Property Name], $F462,
          unit_details[Beds], $L462,
          unit_details[Baths], $M462,
          unit_details[Partial Baths], IF(ISNUMBER($N462),$N462,""),
          unit_details[Sqft],$P462
)),"")</f>
        <v/>
      </c>
      <c r="AJ462" s="824" t="str">
        <f t="shared" si="81"/>
        <v/>
      </c>
      <c r="AK462" s="531" t="str">
        <f t="shared" si="82"/>
        <v/>
      </c>
      <c r="AL462" s="714" t="str">
        <f t="shared" si="83"/>
        <v/>
      </c>
      <c r="AM462" s="531" t="str">
        <f t="shared" si="84"/>
        <v/>
      </c>
      <c r="AN462" s="716" t="str">
        <f t="shared" si="85"/>
        <v/>
      </c>
    </row>
    <row r="463" spans="6:40" x14ac:dyDescent="0.2">
      <c r="F463" s="1" t="str">
        <f t="shared" si="78"/>
        <v/>
      </c>
      <c r="G463" s="713" t="str">
        <f t="shared" si="86"/>
        <v/>
      </c>
      <c r="H463" s="17" t="str">
        <f>IFERROR(VLOOKUP($G463,Table1[[Property]:[Exposure %]],4,0),"")</f>
        <v/>
      </c>
      <c r="I463" s="3" t="str">
        <f>IFERROR(VLOOKUP($G463,Table1[[Property]:[Exposure %]],6,0),"")</f>
        <v/>
      </c>
      <c r="J463" s="3" t="str">
        <f>IFERROR(VLOOKUP($G463,Table1[[Property]:[Exposure %]],7,0),"")</f>
        <v/>
      </c>
      <c r="R463" s="4" t="str">
        <f>IFERROR(VLOOKUP(IF(F463="Total",F462,F463),Table1[[Property]:['# Units]],7,0)*S463,"")</f>
        <v/>
      </c>
      <c r="S463" s="27" t="str">
        <f t="shared" si="79"/>
        <v/>
      </c>
      <c r="T463" s="531" t="str">
        <f>IFERROR(
 IF($F463="Total",
   SUMPRODUCT(
   INDEX(T:T, ROW()-COUNTIF($F$6:INDEX($F:$F, ROW()-1), $F462)) : INDEX(T:T, ROW()-1),
   INDEX(W:W, ROW()-COUNTIF($F$6:INDEX($F:$F, ROW()-1), $F462)) : INDEX(W:W, ROW()-1)
   )
   /SUM(INDEX(W:W, ROW()-COUNTIF($F$6:INDEX($F:$F, ROW()-1), $F462)) : INDEX(W:W, ROW()-1)),
   AVERAGEIFS(
     INDEX((unit_details[Asking Rent],unit_details[Asking PSF]),0,1,IF($U$3="Chunk Rent",1,2)),
     unit_details[Leased Date],"&gt;="&amp;($AM$2-T$5),
     unit_details[Leased Date],"&lt;"&amp;$AM$2,
     unit_details[Beds],$L463,
     unit_details[Baths],$M463,
     unit_details[Partial Baths],IF(ISNUMBER($N463),$N463,""),
     unit_details[Sqft],$P463,
     unit_details[Property Name],$F463)
 ),"")</f>
        <v/>
      </c>
      <c r="U463" s="552" t="str">
        <f>IFERROR(
 IF($F463="Total",
   SUMPRODUCT(
   INDEX(U:U, ROW()-COUNTIF($F$6:INDEX($F:$F, ROW()-1), $F462)) : INDEX(U:U, ROW()-1),
   INDEX(W:W, ROW()-COUNTIF($F$6:INDEX($F:$F, ROW()-1), $F462)) : INDEX(W:W, ROW()-1)
   )
   /SUM(INDEX(W:W, ROW()-COUNTIF($F$6:INDEX($F:$F, ROW()-1), $F462)) : INDEX(W:W, ROW()-1)),
   AVERAGEIFS(
     INDEX((unit_details[Effective Rent],unit_details[Effective PSF]),0,1,IF($U$3="Chunk Rent",1,2)),
     unit_details[Leased Date],"&gt;="&amp;($AM$2-T$5),
     unit_details[Leased Date],"&lt;"&amp;$AM$2,
     unit_details[Beds],$L463,
     unit_details[Baths],$M463,
     unit_details[Partial Baths],IF(ISNUMBER($N463),$N463,""),
     unit_details[Sqft],$P463,
     unit_details[Property Name],$F463)
 ),"")</f>
        <v/>
      </c>
      <c r="V463" s="27" t="str">
        <f t="shared" si="87"/>
        <v/>
      </c>
      <c r="W463" s="526">
        <f>IFERROR(
  IF($F463="Total",
    SUM(INDEX(W:W, ROW()-COUNTIF($F$6:INDEX($F:$F, ROW()-1), $F462)) : INDEX(W:W, ROW()-1)),
    COUNTIFS(
      unit_details[Leased Date], "&gt;="&amp;($AM$2-T$5),
      unit_details[Leased Date], "&lt;"&amp;$AM$2,
      unit_details[Beds], $L463,
      unit_details[Baths], $M463,
      unit_details[Partial Baths], IF(ISNUMBER($N463), $N463, ""),
      unit_details[Sqft],$P463,
      unit_details[Property Name], $F463
    )
  ),
"")</f>
        <v>0</v>
      </c>
      <c r="X463" s="531" t="str">
        <f>IFERROR(
 IF($F463="Total",
   SUMPRODUCT(
   INDEX(X:X, ROW()-COUNTIF($F$6:INDEX($F:$F, ROW()-1), $F462)) : INDEX(X:X, ROW()-1),
   INDEX(AA:AA, ROW()-COUNTIF($F$6:INDEX($F:$F, ROW()-1), $F462)) : INDEX(AA:AA, ROW()-1)
   )
   /SUM(INDEX(AA:AA, ROW()-COUNTIF($F$6:INDEX($F:$F, ROW()-1), $F462)) : INDEX(AA:AA, ROW()-1)),
   AVERAGEIFS(
     INDEX((unit_details[Asking Rent],unit_details[Asking PSF]),0,1,IF($U$3="Chunk Rent",1,2)),
     unit_details[Leased Date],"&gt;="&amp;($AM$2-X$5),
     unit_details[Leased Date],"&lt;"&amp;$AM$2,
     unit_details[Beds],$L463,
     unit_details[Baths],$M463,
     unit_details[Partial Baths],IF(ISNUMBER($N463),$N463,""),
     unit_details[Sqft],$P463,
     unit_details[Property Name],$F463)
 ),"")</f>
        <v/>
      </c>
      <c r="Y463" s="552" t="str">
        <f>IFERROR(
 IF($F463="Total",
   SUMPRODUCT(
   INDEX(Y:Y, ROW()-COUNTIF($F$6:INDEX($F:$F, ROW()-1), $F462)) : INDEX(Y:Y, ROW()-1),
   INDEX(AA:AA, ROW()-COUNTIF($F$6:INDEX($F:$F, ROW()-1), $F462)) : INDEX(AA:AA, ROW()-1)
   )
   /SUM(INDEX(AA:AA, ROW()-COUNTIF($F$6:INDEX($F:$F, ROW()-1), $F462)) : INDEX(AA:AA, ROW()-1)),
   AVERAGEIFS(
     INDEX((unit_details[Effective Rent],unit_details[Effective PSF]),0,1,IF($U$3="Chunk Rent",1,2)),
     unit_details[Leased Date],"&gt;="&amp;($AM$2-X$5),
     unit_details[Leased Date],"&lt;"&amp;$AM$2,
     unit_details[Beds],$L463,
     unit_details[Baths],$M463,
     unit_details[Partial Baths],IF(ISNUMBER($N463),$N463,""),
     unit_details[Sqft],$P463,
     unit_details[Property Name],$F463)
 ),"")</f>
        <v/>
      </c>
      <c r="Z463" s="27" t="str">
        <f t="shared" si="88"/>
        <v/>
      </c>
      <c r="AA463" s="526">
        <f>IFERROR(
  IF($F463="Total",
    SUM(INDEX(AA:AA, ROW()-COUNTIF($F$6:INDEX($F:$F, ROW()-1), $F462)) : INDEX(AA:AA, ROW()-1)),
    COUNTIFS(
      unit_details[Leased Date], "&gt;="&amp;($AM$2-X$5),
      unit_details[Leased Date], "&lt;"&amp;$AM$2,
      unit_details[Beds], $L463,
      unit_details[Baths], $M463,
      unit_details[Partial Baths], IF(ISNUMBER($N463), $N463, ""),
      unit_details[Sqft],$P463,
      unit_details[Property Name], $F463
    )
  ),
"")</f>
        <v>0</v>
      </c>
      <c r="AB463" s="290">
        <f>IF($F463="Total",
SUM(INDEX(AB:AB, ROW()-COUNTIF($F$6:INDEX($F:$F, ROW()-1), $F462)) : INDEX(AB:AB, ROW()-1)),
COUNTIFS(unit_details[Active Listing?],TRUE,
          unit_details[Property Name], $F463,
          unit_details[Beds], $L463,
          unit_details[Baths], $M463,
          unit_details[Partial Baths],IF(ISNUMBER($N463),$N463,""),
          unit_details[Sqft],$P463))</f>
        <v>0</v>
      </c>
      <c r="AC463" s="27" t="str">
        <f t="shared" si="80"/>
        <v/>
      </c>
      <c r="AD463" s="293" t="str">
        <f>IFERROR(IF(AE463="","",IF($F463="Total",
SUMPRODUCT(
   INDEX(AD:AD, ROW()-COUNTIF($F$6:INDEX($F:$F, ROW()-1), $F462)) : INDEX(AD:AD, ROW()-1),
   INDEX(AB:AB, ROW()-COUNTIF($F$6:INDEX($F:$F, ROW()-1), $F462)) : INDEX(AB:AB, ROW()-1)
   )
   /SUM(INDEX(AB:AB, ROW()-COUNTIF($F$6:INDEX($F:$F, ROW()-1), $F462)) : INDEX(AB:AB, ROW()-1)),
          _xlfn.MINIFS(unit_details[Asking Rent],
          unit_details[Active Listing?],TRUE,
          unit_details[Property Name], $F463,
          unit_details[Beds], $L463,
          unit_details[Baths], $M463,
          unit_details[Partial Baths], IF(ISNUMBER($N463),$N463,""),
          unit_details[Sqft],$P463
))),"")</f>
        <v/>
      </c>
      <c r="AE463" s="5" t="str">
        <f>IFERROR(IF($F463="Total",
          SUMPRODUCT(
   INDEX(AE:AE, ROW()-COUNTIF($F$6:INDEX($F:$F, ROW()-1), $F462)) : INDEX(AE:AE, ROW()-1),
   INDEX(AB:AB, ROW()-COUNTIF($F$6:INDEX($F:$F, ROW()-1), $F462)) : INDEX(AB:AB, ROW()-1)
   )
   /SUM(INDEX(AB:AB, ROW()-COUNTIF($F$6:INDEX($F:$F, ROW()-1), $F462)) : INDEX(AB:AB, ROW()-1)),
          AVERAGEIFS(unit_details[Asking Rent],
          unit_details[Active Listing?],TRUE,
          unit_details[Property Name], $F463,
          unit_details[Beds], $L463,
          unit_details[Baths], $M463,
          unit_details[Partial Baths], IF(ISNUMBER($N463),$N463,""),
          unit_details[Sqft],$P463
)),"")</f>
        <v/>
      </c>
      <c r="AF463" s="5" t="str">
        <f>IFERROR(IF(AE463="","",IF($F463="Total",
SUMPRODUCT(
   INDEX(AF:AF, ROW()-COUNTIF($F$6:INDEX($F:$F, ROW()-1), $F462)) : INDEX(AF:AF, ROW()-1),
   INDEX(AB:AB, ROW()-COUNTIF($F$6:INDEX($F:$F, ROW()-1), $F462)) : INDEX(AB:AB, ROW()-1)
   )
   /SUM(INDEX(AB:AB, ROW()-COUNTIF($F$6:INDEX($F:$F, ROW()-1), $F462)) : INDEX(AB:AB, ROW()-1)),
           _xlfn.MAXIFS(unit_details[Asking Rent],
          unit_details[Active Listing?],TRUE,
          unit_details[Property Name], $F463,
          unit_details[Beds], $L463,
          unit_details[Baths], $M463,
          unit_details[Partial Baths], IF(ISNUMBER($N463),$N463,""),
          unit_details[Sqft],$P463
))),"")</f>
        <v/>
      </c>
      <c r="AG463" s="6" t="str">
        <f>IFERROR(IF($F463="Total",
         SUMPRODUCT(
         INDEX(AG:AG, ROW()-COUNTIF($F$6:INDEX($F:$F, ROW()-1), $F462)) : INDEX(AG:AG, ROW()-1),
         INDEX(AB:AB, ROW()-COUNTIF($F$6:INDEX($F:$F, ROW()-1), $F462)) : INDEX(AB:AB, ROW()-1)
         )
         /SUM(INDEX(AB:AB, ROW()-COUNTIF($F$6:INDEX($F:$F, ROW()-1), $F462)) : INDEX(AB:AB, ROW()-1)),
          AVERAGEIFS(unit_details[Asking PSF],
          unit_details[Active Listing?],TRUE,
          unit_details[Property Name], $F463,
          unit_details[Beds], $L463,
          unit_details[Baths], $M463,
          unit_details[Partial Baths], IF(ISNUMBER($N463),$N463,""),
          unit_details[Sqft],$P463
)),"")</f>
        <v/>
      </c>
      <c r="AH463" s="293" t="str">
        <f>IFERROR(IF($F463="Total",
         SUMPRODUCT(
         INDEX(AH:AH, ROW()-COUNTIF($F$6:INDEX($F:$F, ROW()-1), $F462)) : INDEX(AH:AH, ROW()-1),
         INDEX(AB:AB, ROW()-COUNTIF($F$6:INDEX($F:$F, ROW()-1), $F462)) : INDEX(AB:AB, ROW()-1)
         )
         /SUM(INDEX(AB:AB, ROW()-COUNTIF($F$6:INDEX($F:$F, ROW()-1), $F462)) : INDEX(AB:AB, ROW()-1)),
          AVERAGEIFS(unit_details[Effective Rent],
          unit_details[Active Listing?],TRUE,
          unit_details[Property Name], $F463,
          unit_details[Beds], $L463,
          unit_details[Baths], $M463,
          unit_details[Partial Baths], IF(ISNUMBER($N463),$N463,""),
          unit_details[Sqft],$P463
)),"")</f>
        <v/>
      </c>
      <c r="AI463" s="6" t="str">
        <f>IFERROR(IF($F463="Total",
         SUMPRODUCT(
         INDEX(AI:AI, ROW()-COUNTIF($F$6:INDEX($F:$F, ROW()-1), $F462)) : INDEX(AI:AI, ROW()-1),
         INDEX(AB:AB, ROW()-COUNTIF($F$6:INDEX($F:$F, ROW()-1), $F462)) : INDEX(AB:AB, ROW()-1)
         )
         /SUM(INDEX(AB:AB, ROW()-COUNTIF($F$6:INDEX($F:$F, ROW()-1), $F462)) : INDEX(AB:AB, ROW()-1)),
           AVERAGEIFS(unit_details[Effective PSF],
          unit_details[Active Listing?],TRUE,
          unit_details[Property Name], $F463,
          unit_details[Beds], $L463,
          unit_details[Baths], $M463,
          unit_details[Partial Baths], IF(ISNUMBER($N463),$N463,""),
          unit_details[Sqft],$P463
)),"")</f>
        <v/>
      </c>
      <c r="AJ463" s="824" t="str">
        <f t="shared" si="81"/>
        <v/>
      </c>
      <c r="AK463" s="531" t="str">
        <f t="shared" si="82"/>
        <v/>
      </c>
      <c r="AL463" s="714" t="str">
        <f t="shared" si="83"/>
        <v/>
      </c>
      <c r="AM463" s="531" t="str">
        <f t="shared" si="84"/>
        <v/>
      </c>
      <c r="AN463" s="716" t="str">
        <f t="shared" si="85"/>
        <v/>
      </c>
    </row>
    <row r="464" spans="6:40" x14ac:dyDescent="0.2">
      <c r="F464" s="1" t="str">
        <f t="shared" si="78"/>
        <v/>
      </c>
      <c r="G464" s="713" t="str">
        <f t="shared" si="86"/>
        <v/>
      </c>
      <c r="H464" s="17" t="str">
        <f>IFERROR(VLOOKUP($G464,Table1[[Property]:[Exposure %]],4,0),"")</f>
        <v/>
      </c>
      <c r="I464" s="3" t="str">
        <f>IFERROR(VLOOKUP($G464,Table1[[Property]:[Exposure %]],6,0),"")</f>
        <v/>
      </c>
      <c r="J464" s="3" t="str">
        <f>IFERROR(VLOOKUP($G464,Table1[[Property]:[Exposure %]],7,0),"")</f>
        <v/>
      </c>
      <c r="R464" s="4" t="str">
        <f>IFERROR(VLOOKUP(IF(F464="Total",F463,F464),Table1[[Property]:['# Units]],7,0)*S464,"")</f>
        <v/>
      </c>
      <c r="S464" s="27" t="str">
        <f t="shared" si="79"/>
        <v/>
      </c>
      <c r="T464" s="531" t="str">
        <f>IFERROR(
 IF($F464="Total",
   SUMPRODUCT(
   INDEX(T:T, ROW()-COUNTIF($F$6:INDEX($F:$F, ROW()-1), $F463)) : INDEX(T:T, ROW()-1),
   INDEX(W:W, ROW()-COUNTIF($F$6:INDEX($F:$F, ROW()-1), $F463)) : INDEX(W:W, ROW()-1)
   )
   /SUM(INDEX(W:W, ROW()-COUNTIF($F$6:INDEX($F:$F, ROW()-1), $F463)) : INDEX(W:W, ROW()-1)),
   AVERAGEIFS(
     INDEX((unit_details[Asking Rent],unit_details[Asking PSF]),0,1,IF($U$3="Chunk Rent",1,2)),
     unit_details[Leased Date],"&gt;="&amp;($AM$2-T$5),
     unit_details[Leased Date],"&lt;"&amp;$AM$2,
     unit_details[Beds],$L464,
     unit_details[Baths],$M464,
     unit_details[Partial Baths],IF(ISNUMBER($N464),$N464,""),
     unit_details[Sqft],$P464,
     unit_details[Property Name],$F464)
 ),"")</f>
        <v/>
      </c>
      <c r="U464" s="552" t="str">
        <f>IFERROR(
 IF($F464="Total",
   SUMPRODUCT(
   INDEX(U:U, ROW()-COUNTIF($F$6:INDEX($F:$F, ROW()-1), $F463)) : INDEX(U:U, ROW()-1),
   INDEX(W:W, ROW()-COUNTIF($F$6:INDEX($F:$F, ROW()-1), $F463)) : INDEX(W:W, ROW()-1)
   )
   /SUM(INDEX(W:W, ROW()-COUNTIF($F$6:INDEX($F:$F, ROW()-1), $F463)) : INDEX(W:W, ROW()-1)),
   AVERAGEIFS(
     INDEX((unit_details[Effective Rent],unit_details[Effective PSF]),0,1,IF($U$3="Chunk Rent",1,2)),
     unit_details[Leased Date],"&gt;="&amp;($AM$2-T$5),
     unit_details[Leased Date],"&lt;"&amp;$AM$2,
     unit_details[Beds],$L464,
     unit_details[Baths],$M464,
     unit_details[Partial Baths],IF(ISNUMBER($N464),$N464,""),
     unit_details[Sqft],$P464,
     unit_details[Property Name],$F464)
 ),"")</f>
        <v/>
      </c>
      <c r="V464" s="27" t="str">
        <f t="shared" si="87"/>
        <v/>
      </c>
      <c r="W464" s="526">
        <f>IFERROR(
  IF($F464="Total",
    SUM(INDEX(W:W, ROW()-COUNTIF($F$6:INDEX($F:$F, ROW()-1), $F463)) : INDEX(W:W, ROW()-1)),
    COUNTIFS(
      unit_details[Leased Date], "&gt;="&amp;($AM$2-T$5),
      unit_details[Leased Date], "&lt;"&amp;$AM$2,
      unit_details[Beds], $L464,
      unit_details[Baths], $M464,
      unit_details[Partial Baths], IF(ISNUMBER($N464), $N464, ""),
      unit_details[Sqft],$P464,
      unit_details[Property Name], $F464
    )
  ),
"")</f>
        <v>0</v>
      </c>
      <c r="X464" s="531" t="str">
        <f>IFERROR(
 IF($F464="Total",
   SUMPRODUCT(
   INDEX(X:X, ROW()-COUNTIF($F$6:INDEX($F:$F, ROW()-1), $F463)) : INDEX(X:X, ROW()-1),
   INDEX(AA:AA, ROW()-COUNTIF($F$6:INDEX($F:$F, ROW()-1), $F463)) : INDEX(AA:AA, ROW()-1)
   )
   /SUM(INDEX(AA:AA, ROW()-COUNTIF($F$6:INDEX($F:$F, ROW()-1), $F463)) : INDEX(AA:AA, ROW()-1)),
   AVERAGEIFS(
     INDEX((unit_details[Asking Rent],unit_details[Asking PSF]),0,1,IF($U$3="Chunk Rent",1,2)),
     unit_details[Leased Date],"&gt;="&amp;($AM$2-X$5),
     unit_details[Leased Date],"&lt;"&amp;$AM$2,
     unit_details[Beds],$L464,
     unit_details[Baths],$M464,
     unit_details[Partial Baths],IF(ISNUMBER($N464),$N464,""),
     unit_details[Sqft],$P464,
     unit_details[Property Name],$F464)
 ),"")</f>
        <v/>
      </c>
      <c r="Y464" s="552" t="str">
        <f>IFERROR(
 IF($F464="Total",
   SUMPRODUCT(
   INDEX(Y:Y, ROW()-COUNTIF($F$6:INDEX($F:$F, ROW()-1), $F463)) : INDEX(Y:Y, ROW()-1),
   INDEX(AA:AA, ROW()-COUNTIF($F$6:INDEX($F:$F, ROW()-1), $F463)) : INDEX(AA:AA, ROW()-1)
   )
   /SUM(INDEX(AA:AA, ROW()-COUNTIF($F$6:INDEX($F:$F, ROW()-1), $F463)) : INDEX(AA:AA, ROW()-1)),
   AVERAGEIFS(
     INDEX((unit_details[Effective Rent],unit_details[Effective PSF]),0,1,IF($U$3="Chunk Rent",1,2)),
     unit_details[Leased Date],"&gt;="&amp;($AM$2-X$5),
     unit_details[Leased Date],"&lt;"&amp;$AM$2,
     unit_details[Beds],$L464,
     unit_details[Baths],$M464,
     unit_details[Partial Baths],IF(ISNUMBER($N464),$N464,""),
     unit_details[Sqft],$P464,
     unit_details[Property Name],$F464)
 ),"")</f>
        <v/>
      </c>
      <c r="Z464" s="27" t="str">
        <f t="shared" si="88"/>
        <v/>
      </c>
      <c r="AA464" s="526">
        <f>IFERROR(
  IF($F464="Total",
    SUM(INDEX(AA:AA, ROW()-COUNTIF($F$6:INDEX($F:$F, ROW()-1), $F463)) : INDEX(AA:AA, ROW()-1)),
    COUNTIFS(
      unit_details[Leased Date], "&gt;="&amp;($AM$2-X$5),
      unit_details[Leased Date], "&lt;"&amp;$AM$2,
      unit_details[Beds], $L464,
      unit_details[Baths], $M464,
      unit_details[Partial Baths], IF(ISNUMBER($N464), $N464, ""),
      unit_details[Sqft],$P464,
      unit_details[Property Name], $F464
    )
  ),
"")</f>
        <v>0</v>
      </c>
      <c r="AB464" s="290">
        <f>IF($F464="Total",
SUM(INDEX(AB:AB, ROW()-COUNTIF($F$6:INDEX($F:$F, ROW()-1), $F463)) : INDEX(AB:AB, ROW()-1)),
COUNTIFS(unit_details[Active Listing?],TRUE,
          unit_details[Property Name], $F464,
          unit_details[Beds], $L464,
          unit_details[Baths], $M464,
          unit_details[Partial Baths],IF(ISNUMBER($N464),$N464,""),
          unit_details[Sqft],$P464))</f>
        <v>0</v>
      </c>
      <c r="AC464" s="27" t="str">
        <f t="shared" si="80"/>
        <v/>
      </c>
      <c r="AD464" s="293" t="str">
        <f>IFERROR(IF(AE464="","",IF($F464="Total",
SUMPRODUCT(
   INDEX(AD:AD, ROW()-COUNTIF($F$6:INDEX($F:$F, ROW()-1), $F463)) : INDEX(AD:AD, ROW()-1),
   INDEX(AB:AB, ROW()-COUNTIF($F$6:INDEX($F:$F, ROW()-1), $F463)) : INDEX(AB:AB, ROW()-1)
   )
   /SUM(INDEX(AB:AB, ROW()-COUNTIF($F$6:INDEX($F:$F, ROW()-1), $F463)) : INDEX(AB:AB, ROW()-1)),
          _xlfn.MINIFS(unit_details[Asking Rent],
          unit_details[Active Listing?],TRUE,
          unit_details[Property Name], $F464,
          unit_details[Beds], $L464,
          unit_details[Baths], $M464,
          unit_details[Partial Baths], IF(ISNUMBER($N464),$N464,""),
          unit_details[Sqft],$P464
))),"")</f>
        <v/>
      </c>
      <c r="AE464" s="5" t="str">
        <f>IFERROR(IF($F464="Total",
          SUMPRODUCT(
   INDEX(AE:AE, ROW()-COUNTIF($F$6:INDEX($F:$F, ROW()-1), $F463)) : INDEX(AE:AE, ROW()-1),
   INDEX(AB:AB, ROW()-COUNTIF($F$6:INDEX($F:$F, ROW()-1), $F463)) : INDEX(AB:AB, ROW()-1)
   )
   /SUM(INDEX(AB:AB, ROW()-COUNTIF($F$6:INDEX($F:$F, ROW()-1), $F463)) : INDEX(AB:AB, ROW()-1)),
          AVERAGEIFS(unit_details[Asking Rent],
          unit_details[Active Listing?],TRUE,
          unit_details[Property Name], $F464,
          unit_details[Beds], $L464,
          unit_details[Baths], $M464,
          unit_details[Partial Baths], IF(ISNUMBER($N464),$N464,""),
          unit_details[Sqft],$P464
)),"")</f>
        <v/>
      </c>
      <c r="AF464" s="5" t="str">
        <f>IFERROR(IF(AE464="","",IF($F464="Total",
SUMPRODUCT(
   INDEX(AF:AF, ROW()-COUNTIF($F$6:INDEX($F:$F, ROW()-1), $F463)) : INDEX(AF:AF, ROW()-1),
   INDEX(AB:AB, ROW()-COUNTIF($F$6:INDEX($F:$F, ROW()-1), $F463)) : INDEX(AB:AB, ROW()-1)
   )
   /SUM(INDEX(AB:AB, ROW()-COUNTIF($F$6:INDEX($F:$F, ROW()-1), $F463)) : INDEX(AB:AB, ROW()-1)),
           _xlfn.MAXIFS(unit_details[Asking Rent],
          unit_details[Active Listing?],TRUE,
          unit_details[Property Name], $F464,
          unit_details[Beds], $L464,
          unit_details[Baths], $M464,
          unit_details[Partial Baths], IF(ISNUMBER($N464),$N464,""),
          unit_details[Sqft],$P464
))),"")</f>
        <v/>
      </c>
      <c r="AG464" s="6" t="str">
        <f>IFERROR(IF($F464="Total",
         SUMPRODUCT(
         INDEX(AG:AG, ROW()-COUNTIF($F$6:INDEX($F:$F, ROW()-1), $F463)) : INDEX(AG:AG, ROW()-1),
         INDEX(AB:AB, ROW()-COUNTIF($F$6:INDEX($F:$F, ROW()-1), $F463)) : INDEX(AB:AB, ROW()-1)
         )
         /SUM(INDEX(AB:AB, ROW()-COUNTIF($F$6:INDEX($F:$F, ROW()-1), $F463)) : INDEX(AB:AB, ROW()-1)),
          AVERAGEIFS(unit_details[Asking PSF],
          unit_details[Active Listing?],TRUE,
          unit_details[Property Name], $F464,
          unit_details[Beds], $L464,
          unit_details[Baths], $M464,
          unit_details[Partial Baths], IF(ISNUMBER($N464),$N464,""),
          unit_details[Sqft],$P464
)),"")</f>
        <v/>
      </c>
      <c r="AH464" s="293" t="str">
        <f>IFERROR(IF($F464="Total",
         SUMPRODUCT(
         INDEX(AH:AH, ROW()-COUNTIF($F$6:INDEX($F:$F, ROW()-1), $F463)) : INDEX(AH:AH, ROW()-1),
         INDEX(AB:AB, ROW()-COUNTIF($F$6:INDEX($F:$F, ROW()-1), $F463)) : INDEX(AB:AB, ROW()-1)
         )
         /SUM(INDEX(AB:AB, ROW()-COUNTIF($F$6:INDEX($F:$F, ROW()-1), $F463)) : INDEX(AB:AB, ROW()-1)),
          AVERAGEIFS(unit_details[Effective Rent],
          unit_details[Active Listing?],TRUE,
          unit_details[Property Name], $F464,
          unit_details[Beds], $L464,
          unit_details[Baths], $M464,
          unit_details[Partial Baths], IF(ISNUMBER($N464),$N464,""),
          unit_details[Sqft],$P464
)),"")</f>
        <v/>
      </c>
      <c r="AI464" s="6" t="str">
        <f>IFERROR(IF($F464="Total",
         SUMPRODUCT(
         INDEX(AI:AI, ROW()-COUNTIF($F$6:INDEX($F:$F, ROW()-1), $F463)) : INDEX(AI:AI, ROW()-1),
         INDEX(AB:AB, ROW()-COUNTIF($F$6:INDEX($F:$F, ROW()-1), $F463)) : INDEX(AB:AB, ROW()-1)
         )
         /SUM(INDEX(AB:AB, ROW()-COUNTIF($F$6:INDEX($F:$F, ROW()-1), $F463)) : INDEX(AB:AB, ROW()-1)),
           AVERAGEIFS(unit_details[Effective PSF],
          unit_details[Active Listing?],TRUE,
          unit_details[Property Name], $F464,
          unit_details[Beds], $L464,
          unit_details[Baths], $M464,
          unit_details[Partial Baths], IF(ISNUMBER($N464),$N464,""),
          unit_details[Sqft],$P464
)),"")</f>
        <v/>
      </c>
      <c r="AJ464" s="824" t="str">
        <f t="shared" si="81"/>
        <v/>
      </c>
      <c r="AK464" s="531" t="str">
        <f t="shared" si="82"/>
        <v/>
      </c>
      <c r="AL464" s="714" t="str">
        <f t="shared" si="83"/>
        <v/>
      </c>
      <c r="AM464" s="531" t="str">
        <f t="shared" si="84"/>
        <v/>
      </c>
      <c r="AN464" s="716" t="str">
        <f t="shared" si="85"/>
        <v/>
      </c>
    </row>
    <row r="465" spans="6:40" x14ac:dyDescent="0.2">
      <c r="F465" s="1" t="str">
        <f t="shared" si="78"/>
        <v/>
      </c>
      <c r="G465" s="713" t="str">
        <f t="shared" si="86"/>
        <v/>
      </c>
      <c r="H465" s="17" t="str">
        <f>IFERROR(VLOOKUP($G465,Table1[[Property]:[Exposure %]],4,0),"")</f>
        <v/>
      </c>
      <c r="I465" s="3" t="str">
        <f>IFERROR(VLOOKUP($G465,Table1[[Property]:[Exposure %]],6,0),"")</f>
        <v/>
      </c>
      <c r="J465" s="3" t="str">
        <f>IFERROR(VLOOKUP($G465,Table1[[Property]:[Exposure %]],7,0),"")</f>
        <v/>
      </c>
      <c r="R465" s="4" t="str">
        <f>IFERROR(VLOOKUP(IF(F465="Total",F464,F465),Table1[[Property]:['# Units]],7,0)*S465,"")</f>
        <v/>
      </c>
      <c r="S465" s="27" t="str">
        <f t="shared" si="79"/>
        <v/>
      </c>
      <c r="T465" s="531" t="str">
        <f>IFERROR(
 IF($F465="Total",
   SUMPRODUCT(
   INDEX(T:T, ROW()-COUNTIF($F$6:INDEX($F:$F, ROW()-1), $F464)) : INDEX(T:T, ROW()-1),
   INDEX(W:W, ROW()-COUNTIF($F$6:INDEX($F:$F, ROW()-1), $F464)) : INDEX(W:W, ROW()-1)
   )
   /SUM(INDEX(W:W, ROW()-COUNTIF($F$6:INDEX($F:$F, ROW()-1), $F464)) : INDEX(W:W, ROW()-1)),
   AVERAGEIFS(
     INDEX((unit_details[Asking Rent],unit_details[Asking PSF]),0,1,IF($U$3="Chunk Rent",1,2)),
     unit_details[Leased Date],"&gt;="&amp;($AM$2-T$5),
     unit_details[Leased Date],"&lt;"&amp;$AM$2,
     unit_details[Beds],$L465,
     unit_details[Baths],$M465,
     unit_details[Partial Baths],IF(ISNUMBER($N465),$N465,""),
     unit_details[Sqft],$P465,
     unit_details[Property Name],$F465)
 ),"")</f>
        <v/>
      </c>
      <c r="U465" s="552" t="str">
        <f>IFERROR(
 IF($F465="Total",
   SUMPRODUCT(
   INDEX(U:U, ROW()-COUNTIF($F$6:INDEX($F:$F, ROW()-1), $F464)) : INDEX(U:U, ROW()-1),
   INDEX(W:W, ROW()-COUNTIF($F$6:INDEX($F:$F, ROW()-1), $F464)) : INDEX(W:W, ROW()-1)
   )
   /SUM(INDEX(W:W, ROW()-COUNTIF($F$6:INDEX($F:$F, ROW()-1), $F464)) : INDEX(W:W, ROW()-1)),
   AVERAGEIFS(
     INDEX((unit_details[Effective Rent],unit_details[Effective PSF]),0,1,IF($U$3="Chunk Rent",1,2)),
     unit_details[Leased Date],"&gt;="&amp;($AM$2-T$5),
     unit_details[Leased Date],"&lt;"&amp;$AM$2,
     unit_details[Beds],$L465,
     unit_details[Baths],$M465,
     unit_details[Partial Baths],IF(ISNUMBER($N465),$N465,""),
     unit_details[Sqft],$P465,
     unit_details[Property Name],$F465)
 ),"")</f>
        <v/>
      </c>
      <c r="V465" s="27" t="str">
        <f t="shared" si="87"/>
        <v/>
      </c>
      <c r="W465" s="526">
        <f>IFERROR(
  IF($F465="Total",
    SUM(INDEX(W:W, ROW()-COUNTIF($F$6:INDEX($F:$F, ROW()-1), $F464)) : INDEX(W:W, ROW()-1)),
    COUNTIFS(
      unit_details[Leased Date], "&gt;="&amp;($AM$2-T$5),
      unit_details[Leased Date], "&lt;"&amp;$AM$2,
      unit_details[Beds], $L465,
      unit_details[Baths], $M465,
      unit_details[Partial Baths], IF(ISNUMBER($N465), $N465, ""),
      unit_details[Sqft],$P465,
      unit_details[Property Name], $F465
    )
  ),
"")</f>
        <v>0</v>
      </c>
      <c r="X465" s="531" t="str">
        <f>IFERROR(
 IF($F465="Total",
   SUMPRODUCT(
   INDEX(X:X, ROW()-COUNTIF($F$6:INDEX($F:$F, ROW()-1), $F464)) : INDEX(X:X, ROW()-1),
   INDEX(AA:AA, ROW()-COUNTIF($F$6:INDEX($F:$F, ROW()-1), $F464)) : INDEX(AA:AA, ROW()-1)
   )
   /SUM(INDEX(AA:AA, ROW()-COUNTIF($F$6:INDEX($F:$F, ROW()-1), $F464)) : INDEX(AA:AA, ROW()-1)),
   AVERAGEIFS(
     INDEX((unit_details[Asking Rent],unit_details[Asking PSF]),0,1,IF($U$3="Chunk Rent",1,2)),
     unit_details[Leased Date],"&gt;="&amp;($AM$2-X$5),
     unit_details[Leased Date],"&lt;"&amp;$AM$2,
     unit_details[Beds],$L465,
     unit_details[Baths],$M465,
     unit_details[Partial Baths],IF(ISNUMBER($N465),$N465,""),
     unit_details[Sqft],$P465,
     unit_details[Property Name],$F465)
 ),"")</f>
        <v/>
      </c>
      <c r="Y465" s="552" t="str">
        <f>IFERROR(
 IF($F465="Total",
   SUMPRODUCT(
   INDEX(Y:Y, ROW()-COUNTIF($F$6:INDEX($F:$F, ROW()-1), $F464)) : INDEX(Y:Y, ROW()-1),
   INDEX(AA:AA, ROW()-COUNTIF($F$6:INDEX($F:$F, ROW()-1), $F464)) : INDEX(AA:AA, ROW()-1)
   )
   /SUM(INDEX(AA:AA, ROW()-COUNTIF($F$6:INDEX($F:$F, ROW()-1), $F464)) : INDEX(AA:AA, ROW()-1)),
   AVERAGEIFS(
     INDEX((unit_details[Effective Rent],unit_details[Effective PSF]),0,1,IF($U$3="Chunk Rent",1,2)),
     unit_details[Leased Date],"&gt;="&amp;($AM$2-X$5),
     unit_details[Leased Date],"&lt;"&amp;$AM$2,
     unit_details[Beds],$L465,
     unit_details[Baths],$M465,
     unit_details[Partial Baths],IF(ISNUMBER($N465),$N465,""),
     unit_details[Sqft],$P465,
     unit_details[Property Name],$F465)
 ),"")</f>
        <v/>
      </c>
      <c r="Z465" s="27" t="str">
        <f t="shared" si="88"/>
        <v/>
      </c>
      <c r="AA465" s="526">
        <f>IFERROR(
  IF($F465="Total",
    SUM(INDEX(AA:AA, ROW()-COUNTIF($F$6:INDEX($F:$F, ROW()-1), $F464)) : INDEX(AA:AA, ROW()-1)),
    COUNTIFS(
      unit_details[Leased Date], "&gt;="&amp;($AM$2-X$5),
      unit_details[Leased Date], "&lt;"&amp;$AM$2,
      unit_details[Beds], $L465,
      unit_details[Baths], $M465,
      unit_details[Partial Baths], IF(ISNUMBER($N465), $N465, ""),
      unit_details[Sqft],$P465,
      unit_details[Property Name], $F465
    )
  ),
"")</f>
        <v>0</v>
      </c>
      <c r="AB465" s="290">
        <f>IF($F465="Total",
SUM(INDEX(AB:AB, ROW()-COUNTIF($F$6:INDEX($F:$F, ROW()-1), $F464)) : INDEX(AB:AB, ROW()-1)),
COUNTIFS(unit_details[Active Listing?],TRUE,
          unit_details[Property Name], $F465,
          unit_details[Beds], $L465,
          unit_details[Baths], $M465,
          unit_details[Partial Baths],IF(ISNUMBER($N465),$N465,""),
          unit_details[Sqft],$P465))</f>
        <v>0</v>
      </c>
      <c r="AC465" s="27" t="str">
        <f t="shared" si="80"/>
        <v/>
      </c>
      <c r="AD465" s="293" t="str">
        <f>IFERROR(IF(AE465="","",IF($F465="Total",
SUMPRODUCT(
   INDEX(AD:AD, ROW()-COUNTIF($F$6:INDEX($F:$F, ROW()-1), $F464)) : INDEX(AD:AD, ROW()-1),
   INDEX(AB:AB, ROW()-COUNTIF($F$6:INDEX($F:$F, ROW()-1), $F464)) : INDEX(AB:AB, ROW()-1)
   )
   /SUM(INDEX(AB:AB, ROW()-COUNTIF($F$6:INDEX($F:$F, ROW()-1), $F464)) : INDEX(AB:AB, ROW()-1)),
          _xlfn.MINIFS(unit_details[Asking Rent],
          unit_details[Active Listing?],TRUE,
          unit_details[Property Name], $F465,
          unit_details[Beds], $L465,
          unit_details[Baths], $M465,
          unit_details[Partial Baths], IF(ISNUMBER($N465),$N465,""),
          unit_details[Sqft],$P465
))),"")</f>
        <v/>
      </c>
      <c r="AE465" s="5" t="str">
        <f>IFERROR(IF($F465="Total",
          SUMPRODUCT(
   INDEX(AE:AE, ROW()-COUNTIF($F$6:INDEX($F:$F, ROW()-1), $F464)) : INDEX(AE:AE, ROW()-1),
   INDEX(AB:AB, ROW()-COUNTIF($F$6:INDEX($F:$F, ROW()-1), $F464)) : INDEX(AB:AB, ROW()-1)
   )
   /SUM(INDEX(AB:AB, ROW()-COUNTIF($F$6:INDEX($F:$F, ROW()-1), $F464)) : INDEX(AB:AB, ROW()-1)),
          AVERAGEIFS(unit_details[Asking Rent],
          unit_details[Active Listing?],TRUE,
          unit_details[Property Name], $F465,
          unit_details[Beds], $L465,
          unit_details[Baths], $M465,
          unit_details[Partial Baths], IF(ISNUMBER($N465),$N465,""),
          unit_details[Sqft],$P465
)),"")</f>
        <v/>
      </c>
      <c r="AF465" s="5" t="str">
        <f>IFERROR(IF(AE465="","",IF($F465="Total",
SUMPRODUCT(
   INDEX(AF:AF, ROW()-COUNTIF($F$6:INDEX($F:$F, ROW()-1), $F464)) : INDEX(AF:AF, ROW()-1),
   INDEX(AB:AB, ROW()-COUNTIF($F$6:INDEX($F:$F, ROW()-1), $F464)) : INDEX(AB:AB, ROW()-1)
   )
   /SUM(INDEX(AB:AB, ROW()-COUNTIF($F$6:INDEX($F:$F, ROW()-1), $F464)) : INDEX(AB:AB, ROW()-1)),
           _xlfn.MAXIFS(unit_details[Asking Rent],
          unit_details[Active Listing?],TRUE,
          unit_details[Property Name], $F465,
          unit_details[Beds], $L465,
          unit_details[Baths], $M465,
          unit_details[Partial Baths], IF(ISNUMBER($N465),$N465,""),
          unit_details[Sqft],$P465
))),"")</f>
        <v/>
      </c>
      <c r="AG465" s="6" t="str">
        <f>IFERROR(IF($F465="Total",
         SUMPRODUCT(
         INDEX(AG:AG, ROW()-COUNTIF($F$6:INDEX($F:$F, ROW()-1), $F464)) : INDEX(AG:AG, ROW()-1),
         INDEX(AB:AB, ROW()-COUNTIF($F$6:INDEX($F:$F, ROW()-1), $F464)) : INDEX(AB:AB, ROW()-1)
         )
         /SUM(INDEX(AB:AB, ROW()-COUNTIF($F$6:INDEX($F:$F, ROW()-1), $F464)) : INDEX(AB:AB, ROW()-1)),
          AVERAGEIFS(unit_details[Asking PSF],
          unit_details[Active Listing?],TRUE,
          unit_details[Property Name], $F465,
          unit_details[Beds], $L465,
          unit_details[Baths], $M465,
          unit_details[Partial Baths], IF(ISNUMBER($N465),$N465,""),
          unit_details[Sqft],$P465
)),"")</f>
        <v/>
      </c>
      <c r="AH465" s="293" t="str">
        <f>IFERROR(IF($F465="Total",
         SUMPRODUCT(
         INDEX(AH:AH, ROW()-COUNTIF($F$6:INDEX($F:$F, ROW()-1), $F464)) : INDEX(AH:AH, ROW()-1),
         INDEX(AB:AB, ROW()-COUNTIF($F$6:INDEX($F:$F, ROW()-1), $F464)) : INDEX(AB:AB, ROW()-1)
         )
         /SUM(INDEX(AB:AB, ROW()-COUNTIF($F$6:INDEX($F:$F, ROW()-1), $F464)) : INDEX(AB:AB, ROW()-1)),
          AVERAGEIFS(unit_details[Effective Rent],
          unit_details[Active Listing?],TRUE,
          unit_details[Property Name], $F465,
          unit_details[Beds], $L465,
          unit_details[Baths], $M465,
          unit_details[Partial Baths], IF(ISNUMBER($N465),$N465,""),
          unit_details[Sqft],$P465
)),"")</f>
        <v/>
      </c>
      <c r="AI465" s="6" t="str">
        <f>IFERROR(IF($F465="Total",
         SUMPRODUCT(
         INDEX(AI:AI, ROW()-COUNTIF($F$6:INDEX($F:$F, ROW()-1), $F464)) : INDEX(AI:AI, ROW()-1),
         INDEX(AB:AB, ROW()-COUNTIF($F$6:INDEX($F:$F, ROW()-1), $F464)) : INDEX(AB:AB, ROW()-1)
         )
         /SUM(INDEX(AB:AB, ROW()-COUNTIF($F$6:INDEX($F:$F, ROW()-1), $F464)) : INDEX(AB:AB, ROW()-1)),
           AVERAGEIFS(unit_details[Effective PSF],
          unit_details[Active Listing?],TRUE,
          unit_details[Property Name], $F465,
          unit_details[Beds], $L465,
          unit_details[Baths], $M465,
          unit_details[Partial Baths], IF(ISNUMBER($N465),$N465,""),
          unit_details[Sqft],$P465
)),"")</f>
        <v/>
      </c>
      <c r="AJ465" s="824" t="str">
        <f t="shared" si="81"/>
        <v/>
      </c>
      <c r="AK465" s="531" t="str">
        <f t="shared" si="82"/>
        <v/>
      </c>
      <c r="AL465" s="714" t="str">
        <f t="shared" si="83"/>
        <v/>
      </c>
      <c r="AM465" s="531" t="str">
        <f t="shared" si="84"/>
        <v/>
      </c>
      <c r="AN465" s="716" t="str">
        <f t="shared" si="85"/>
        <v/>
      </c>
    </row>
    <row r="466" spans="6:40" x14ac:dyDescent="0.2">
      <c r="F466" s="1" t="str">
        <f t="shared" si="78"/>
        <v/>
      </c>
      <c r="G466" s="713" t="str">
        <f t="shared" si="86"/>
        <v/>
      </c>
      <c r="H466" s="17" t="str">
        <f>IFERROR(VLOOKUP($G466,Table1[[Property]:[Exposure %]],4,0),"")</f>
        <v/>
      </c>
      <c r="I466" s="3" t="str">
        <f>IFERROR(VLOOKUP($G466,Table1[[Property]:[Exposure %]],6,0),"")</f>
        <v/>
      </c>
      <c r="J466" s="3" t="str">
        <f>IFERROR(VLOOKUP($G466,Table1[[Property]:[Exposure %]],7,0),"")</f>
        <v/>
      </c>
      <c r="R466" s="4" t="str">
        <f>IFERROR(VLOOKUP(IF(F466="Total",F465,F466),Table1[[Property]:['# Units]],7,0)*S466,"")</f>
        <v/>
      </c>
      <c r="S466" s="27" t="str">
        <f t="shared" si="79"/>
        <v/>
      </c>
      <c r="T466" s="531" t="str">
        <f>IFERROR(
 IF($F466="Total",
   SUMPRODUCT(
   INDEX(T:T, ROW()-COUNTIF($F$6:INDEX($F:$F, ROW()-1), $F465)) : INDEX(T:T, ROW()-1),
   INDEX(W:W, ROW()-COUNTIF($F$6:INDEX($F:$F, ROW()-1), $F465)) : INDEX(W:W, ROW()-1)
   )
   /SUM(INDEX(W:W, ROW()-COUNTIF($F$6:INDEX($F:$F, ROW()-1), $F465)) : INDEX(W:W, ROW()-1)),
   AVERAGEIFS(
     INDEX((unit_details[Asking Rent],unit_details[Asking PSF]),0,1,IF($U$3="Chunk Rent",1,2)),
     unit_details[Leased Date],"&gt;="&amp;($AM$2-T$5),
     unit_details[Leased Date],"&lt;"&amp;$AM$2,
     unit_details[Beds],$L466,
     unit_details[Baths],$M466,
     unit_details[Partial Baths],IF(ISNUMBER($N466),$N466,""),
     unit_details[Sqft],$P466,
     unit_details[Property Name],$F466)
 ),"")</f>
        <v/>
      </c>
      <c r="U466" s="552" t="str">
        <f>IFERROR(
 IF($F466="Total",
   SUMPRODUCT(
   INDEX(U:U, ROW()-COUNTIF($F$6:INDEX($F:$F, ROW()-1), $F465)) : INDEX(U:U, ROW()-1),
   INDEX(W:W, ROW()-COUNTIF($F$6:INDEX($F:$F, ROW()-1), $F465)) : INDEX(W:W, ROW()-1)
   )
   /SUM(INDEX(W:W, ROW()-COUNTIF($F$6:INDEX($F:$F, ROW()-1), $F465)) : INDEX(W:W, ROW()-1)),
   AVERAGEIFS(
     INDEX((unit_details[Effective Rent],unit_details[Effective PSF]),0,1,IF($U$3="Chunk Rent",1,2)),
     unit_details[Leased Date],"&gt;="&amp;($AM$2-T$5),
     unit_details[Leased Date],"&lt;"&amp;$AM$2,
     unit_details[Beds],$L466,
     unit_details[Baths],$M466,
     unit_details[Partial Baths],IF(ISNUMBER($N466),$N466,""),
     unit_details[Sqft],$P466,
     unit_details[Property Name],$F466)
 ),"")</f>
        <v/>
      </c>
      <c r="V466" s="27" t="str">
        <f t="shared" si="87"/>
        <v/>
      </c>
      <c r="W466" s="526">
        <f>IFERROR(
  IF($F466="Total",
    SUM(INDEX(W:W, ROW()-COUNTIF($F$6:INDEX($F:$F, ROW()-1), $F465)) : INDEX(W:W, ROW()-1)),
    COUNTIFS(
      unit_details[Leased Date], "&gt;="&amp;($AM$2-T$5),
      unit_details[Leased Date], "&lt;"&amp;$AM$2,
      unit_details[Beds], $L466,
      unit_details[Baths], $M466,
      unit_details[Partial Baths], IF(ISNUMBER($N466), $N466, ""),
      unit_details[Sqft],$P466,
      unit_details[Property Name], $F466
    )
  ),
"")</f>
        <v>0</v>
      </c>
      <c r="X466" s="531" t="str">
        <f>IFERROR(
 IF($F466="Total",
   SUMPRODUCT(
   INDEX(X:X, ROW()-COUNTIF($F$6:INDEX($F:$F, ROW()-1), $F465)) : INDEX(X:X, ROW()-1),
   INDEX(AA:AA, ROW()-COUNTIF($F$6:INDEX($F:$F, ROW()-1), $F465)) : INDEX(AA:AA, ROW()-1)
   )
   /SUM(INDEX(AA:AA, ROW()-COUNTIF($F$6:INDEX($F:$F, ROW()-1), $F465)) : INDEX(AA:AA, ROW()-1)),
   AVERAGEIFS(
     INDEX((unit_details[Asking Rent],unit_details[Asking PSF]),0,1,IF($U$3="Chunk Rent",1,2)),
     unit_details[Leased Date],"&gt;="&amp;($AM$2-X$5),
     unit_details[Leased Date],"&lt;"&amp;$AM$2,
     unit_details[Beds],$L466,
     unit_details[Baths],$M466,
     unit_details[Partial Baths],IF(ISNUMBER($N466),$N466,""),
     unit_details[Sqft],$P466,
     unit_details[Property Name],$F466)
 ),"")</f>
        <v/>
      </c>
      <c r="Y466" s="552" t="str">
        <f>IFERROR(
 IF($F466="Total",
   SUMPRODUCT(
   INDEX(Y:Y, ROW()-COUNTIF($F$6:INDEX($F:$F, ROW()-1), $F465)) : INDEX(Y:Y, ROW()-1),
   INDEX(AA:AA, ROW()-COUNTIF($F$6:INDEX($F:$F, ROW()-1), $F465)) : INDEX(AA:AA, ROW()-1)
   )
   /SUM(INDEX(AA:AA, ROW()-COUNTIF($F$6:INDEX($F:$F, ROW()-1), $F465)) : INDEX(AA:AA, ROW()-1)),
   AVERAGEIFS(
     INDEX((unit_details[Effective Rent],unit_details[Effective PSF]),0,1,IF($U$3="Chunk Rent",1,2)),
     unit_details[Leased Date],"&gt;="&amp;($AM$2-X$5),
     unit_details[Leased Date],"&lt;"&amp;$AM$2,
     unit_details[Beds],$L466,
     unit_details[Baths],$M466,
     unit_details[Partial Baths],IF(ISNUMBER($N466),$N466,""),
     unit_details[Sqft],$P466,
     unit_details[Property Name],$F466)
 ),"")</f>
        <v/>
      </c>
      <c r="Z466" s="27" t="str">
        <f t="shared" si="88"/>
        <v/>
      </c>
      <c r="AA466" s="526">
        <f>IFERROR(
  IF($F466="Total",
    SUM(INDEX(AA:AA, ROW()-COUNTIF($F$6:INDEX($F:$F, ROW()-1), $F465)) : INDEX(AA:AA, ROW()-1)),
    COUNTIFS(
      unit_details[Leased Date], "&gt;="&amp;($AM$2-X$5),
      unit_details[Leased Date], "&lt;"&amp;$AM$2,
      unit_details[Beds], $L466,
      unit_details[Baths], $M466,
      unit_details[Partial Baths], IF(ISNUMBER($N466), $N466, ""),
      unit_details[Sqft],$P466,
      unit_details[Property Name], $F466
    )
  ),
"")</f>
        <v>0</v>
      </c>
      <c r="AB466" s="290">
        <f>IF($F466="Total",
SUM(INDEX(AB:AB, ROW()-COUNTIF($F$6:INDEX($F:$F, ROW()-1), $F465)) : INDEX(AB:AB, ROW()-1)),
COUNTIFS(unit_details[Active Listing?],TRUE,
          unit_details[Property Name], $F466,
          unit_details[Beds], $L466,
          unit_details[Baths], $M466,
          unit_details[Partial Baths],IF(ISNUMBER($N466),$N466,""),
          unit_details[Sqft],$P466))</f>
        <v>0</v>
      </c>
      <c r="AC466" s="27" t="str">
        <f t="shared" si="80"/>
        <v/>
      </c>
      <c r="AD466" s="293" t="str">
        <f>IFERROR(IF(AE466="","",IF($F466="Total",
SUMPRODUCT(
   INDEX(AD:AD, ROW()-COUNTIF($F$6:INDEX($F:$F, ROW()-1), $F465)) : INDEX(AD:AD, ROW()-1),
   INDEX(AB:AB, ROW()-COUNTIF($F$6:INDEX($F:$F, ROW()-1), $F465)) : INDEX(AB:AB, ROW()-1)
   )
   /SUM(INDEX(AB:AB, ROW()-COUNTIF($F$6:INDEX($F:$F, ROW()-1), $F465)) : INDEX(AB:AB, ROW()-1)),
          _xlfn.MINIFS(unit_details[Asking Rent],
          unit_details[Active Listing?],TRUE,
          unit_details[Property Name], $F466,
          unit_details[Beds], $L466,
          unit_details[Baths], $M466,
          unit_details[Partial Baths], IF(ISNUMBER($N466),$N466,""),
          unit_details[Sqft],$P466
))),"")</f>
        <v/>
      </c>
      <c r="AE466" s="5" t="str">
        <f>IFERROR(IF($F466="Total",
          SUMPRODUCT(
   INDEX(AE:AE, ROW()-COUNTIF($F$6:INDEX($F:$F, ROW()-1), $F465)) : INDEX(AE:AE, ROW()-1),
   INDEX(AB:AB, ROW()-COUNTIF($F$6:INDEX($F:$F, ROW()-1), $F465)) : INDEX(AB:AB, ROW()-1)
   )
   /SUM(INDEX(AB:AB, ROW()-COUNTIF($F$6:INDEX($F:$F, ROW()-1), $F465)) : INDEX(AB:AB, ROW()-1)),
          AVERAGEIFS(unit_details[Asking Rent],
          unit_details[Active Listing?],TRUE,
          unit_details[Property Name], $F466,
          unit_details[Beds], $L466,
          unit_details[Baths], $M466,
          unit_details[Partial Baths], IF(ISNUMBER($N466),$N466,""),
          unit_details[Sqft],$P466
)),"")</f>
        <v/>
      </c>
      <c r="AF466" s="5" t="str">
        <f>IFERROR(IF(AE466="","",IF($F466="Total",
SUMPRODUCT(
   INDEX(AF:AF, ROW()-COUNTIF($F$6:INDEX($F:$F, ROW()-1), $F465)) : INDEX(AF:AF, ROW()-1),
   INDEX(AB:AB, ROW()-COUNTIF($F$6:INDEX($F:$F, ROW()-1), $F465)) : INDEX(AB:AB, ROW()-1)
   )
   /SUM(INDEX(AB:AB, ROW()-COUNTIF($F$6:INDEX($F:$F, ROW()-1), $F465)) : INDEX(AB:AB, ROW()-1)),
           _xlfn.MAXIFS(unit_details[Asking Rent],
          unit_details[Active Listing?],TRUE,
          unit_details[Property Name], $F466,
          unit_details[Beds], $L466,
          unit_details[Baths], $M466,
          unit_details[Partial Baths], IF(ISNUMBER($N466),$N466,""),
          unit_details[Sqft],$P466
))),"")</f>
        <v/>
      </c>
      <c r="AG466" s="6" t="str">
        <f>IFERROR(IF($F466="Total",
         SUMPRODUCT(
         INDEX(AG:AG, ROW()-COUNTIF($F$6:INDEX($F:$F, ROW()-1), $F465)) : INDEX(AG:AG, ROW()-1),
         INDEX(AB:AB, ROW()-COUNTIF($F$6:INDEX($F:$F, ROW()-1), $F465)) : INDEX(AB:AB, ROW()-1)
         )
         /SUM(INDEX(AB:AB, ROW()-COUNTIF($F$6:INDEX($F:$F, ROW()-1), $F465)) : INDEX(AB:AB, ROW()-1)),
          AVERAGEIFS(unit_details[Asking PSF],
          unit_details[Active Listing?],TRUE,
          unit_details[Property Name], $F466,
          unit_details[Beds], $L466,
          unit_details[Baths], $M466,
          unit_details[Partial Baths], IF(ISNUMBER($N466),$N466,""),
          unit_details[Sqft],$P466
)),"")</f>
        <v/>
      </c>
      <c r="AH466" s="293" t="str">
        <f>IFERROR(IF($F466="Total",
         SUMPRODUCT(
         INDEX(AH:AH, ROW()-COUNTIF($F$6:INDEX($F:$F, ROW()-1), $F465)) : INDEX(AH:AH, ROW()-1),
         INDEX(AB:AB, ROW()-COUNTIF($F$6:INDEX($F:$F, ROW()-1), $F465)) : INDEX(AB:AB, ROW()-1)
         )
         /SUM(INDEX(AB:AB, ROW()-COUNTIF($F$6:INDEX($F:$F, ROW()-1), $F465)) : INDEX(AB:AB, ROW()-1)),
          AVERAGEIFS(unit_details[Effective Rent],
          unit_details[Active Listing?],TRUE,
          unit_details[Property Name], $F466,
          unit_details[Beds], $L466,
          unit_details[Baths], $M466,
          unit_details[Partial Baths], IF(ISNUMBER($N466),$N466,""),
          unit_details[Sqft],$P466
)),"")</f>
        <v/>
      </c>
      <c r="AI466" s="6" t="str">
        <f>IFERROR(IF($F466="Total",
         SUMPRODUCT(
         INDEX(AI:AI, ROW()-COUNTIF($F$6:INDEX($F:$F, ROW()-1), $F465)) : INDEX(AI:AI, ROW()-1),
         INDEX(AB:AB, ROW()-COUNTIF($F$6:INDEX($F:$F, ROW()-1), $F465)) : INDEX(AB:AB, ROW()-1)
         )
         /SUM(INDEX(AB:AB, ROW()-COUNTIF($F$6:INDEX($F:$F, ROW()-1), $F465)) : INDEX(AB:AB, ROW()-1)),
           AVERAGEIFS(unit_details[Effective PSF],
          unit_details[Active Listing?],TRUE,
          unit_details[Property Name], $F466,
          unit_details[Beds], $L466,
          unit_details[Baths], $M466,
          unit_details[Partial Baths], IF(ISNUMBER($N466),$N466,""),
          unit_details[Sqft],$P466
)),"")</f>
        <v/>
      </c>
      <c r="AJ466" s="824" t="str">
        <f t="shared" si="81"/>
        <v/>
      </c>
      <c r="AK466" s="531" t="str">
        <f t="shared" si="82"/>
        <v/>
      </c>
      <c r="AL466" s="714" t="str">
        <f t="shared" si="83"/>
        <v/>
      </c>
      <c r="AM466" s="531" t="str">
        <f t="shared" si="84"/>
        <v/>
      </c>
      <c r="AN466" s="716" t="str">
        <f t="shared" si="85"/>
        <v/>
      </c>
    </row>
    <row r="467" spans="6:40" x14ac:dyDescent="0.2">
      <c r="F467" s="1" t="str">
        <f t="shared" si="78"/>
        <v/>
      </c>
      <c r="G467" s="713" t="str">
        <f t="shared" si="86"/>
        <v/>
      </c>
      <c r="H467" s="17" t="str">
        <f>IFERROR(VLOOKUP($G467,Table1[[Property]:[Exposure %]],4,0),"")</f>
        <v/>
      </c>
      <c r="I467" s="3" t="str">
        <f>IFERROR(VLOOKUP($G467,Table1[[Property]:[Exposure %]],6,0),"")</f>
        <v/>
      </c>
      <c r="J467" s="3" t="str">
        <f>IFERROR(VLOOKUP($G467,Table1[[Property]:[Exposure %]],7,0),"")</f>
        <v/>
      </c>
      <c r="R467" s="4" t="str">
        <f>IFERROR(VLOOKUP(IF(F467="Total",F466,F467),Table1[[Property]:['# Units]],7,0)*S467,"")</f>
        <v/>
      </c>
      <c r="S467" s="27" t="str">
        <f t="shared" si="79"/>
        <v/>
      </c>
      <c r="T467" s="531" t="str">
        <f>IFERROR(
 IF($F467="Total",
   SUMPRODUCT(
   INDEX(T:T, ROW()-COUNTIF($F$6:INDEX($F:$F, ROW()-1), $F466)) : INDEX(T:T, ROW()-1),
   INDEX(W:W, ROW()-COUNTIF($F$6:INDEX($F:$F, ROW()-1), $F466)) : INDEX(W:W, ROW()-1)
   )
   /SUM(INDEX(W:W, ROW()-COUNTIF($F$6:INDEX($F:$F, ROW()-1), $F466)) : INDEX(W:W, ROW()-1)),
   AVERAGEIFS(
     INDEX((unit_details[Asking Rent],unit_details[Asking PSF]),0,1,IF($U$3="Chunk Rent",1,2)),
     unit_details[Leased Date],"&gt;="&amp;($AM$2-T$5),
     unit_details[Leased Date],"&lt;"&amp;$AM$2,
     unit_details[Beds],$L467,
     unit_details[Baths],$M467,
     unit_details[Partial Baths],IF(ISNUMBER($N467),$N467,""),
     unit_details[Sqft],$P467,
     unit_details[Property Name],$F467)
 ),"")</f>
        <v/>
      </c>
      <c r="U467" s="552" t="str">
        <f>IFERROR(
 IF($F467="Total",
   SUMPRODUCT(
   INDEX(U:U, ROW()-COUNTIF($F$6:INDEX($F:$F, ROW()-1), $F466)) : INDEX(U:U, ROW()-1),
   INDEX(W:W, ROW()-COUNTIF($F$6:INDEX($F:$F, ROW()-1), $F466)) : INDEX(W:W, ROW()-1)
   )
   /SUM(INDEX(W:W, ROW()-COUNTIF($F$6:INDEX($F:$F, ROW()-1), $F466)) : INDEX(W:W, ROW()-1)),
   AVERAGEIFS(
     INDEX((unit_details[Effective Rent],unit_details[Effective PSF]),0,1,IF($U$3="Chunk Rent",1,2)),
     unit_details[Leased Date],"&gt;="&amp;($AM$2-T$5),
     unit_details[Leased Date],"&lt;"&amp;$AM$2,
     unit_details[Beds],$L467,
     unit_details[Baths],$M467,
     unit_details[Partial Baths],IF(ISNUMBER($N467),$N467,""),
     unit_details[Sqft],$P467,
     unit_details[Property Name],$F467)
 ),"")</f>
        <v/>
      </c>
      <c r="V467" s="27" t="str">
        <f t="shared" si="87"/>
        <v/>
      </c>
      <c r="W467" s="526">
        <f>IFERROR(
  IF($F467="Total",
    SUM(INDEX(W:W, ROW()-COUNTIF($F$6:INDEX($F:$F, ROW()-1), $F466)) : INDEX(W:W, ROW()-1)),
    COUNTIFS(
      unit_details[Leased Date], "&gt;="&amp;($AM$2-T$5),
      unit_details[Leased Date], "&lt;"&amp;$AM$2,
      unit_details[Beds], $L467,
      unit_details[Baths], $M467,
      unit_details[Partial Baths], IF(ISNUMBER($N467), $N467, ""),
      unit_details[Sqft],$P467,
      unit_details[Property Name], $F467
    )
  ),
"")</f>
        <v>0</v>
      </c>
      <c r="X467" s="531" t="str">
        <f>IFERROR(
 IF($F467="Total",
   SUMPRODUCT(
   INDEX(X:X, ROW()-COUNTIF($F$6:INDEX($F:$F, ROW()-1), $F466)) : INDEX(X:X, ROW()-1),
   INDEX(AA:AA, ROW()-COUNTIF($F$6:INDEX($F:$F, ROW()-1), $F466)) : INDEX(AA:AA, ROW()-1)
   )
   /SUM(INDEX(AA:AA, ROW()-COUNTIF($F$6:INDEX($F:$F, ROW()-1), $F466)) : INDEX(AA:AA, ROW()-1)),
   AVERAGEIFS(
     INDEX((unit_details[Asking Rent],unit_details[Asking PSF]),0,1,IF($U$3="Chunk Rent",1,2)),
     unit_details[Leased Date],"&gt;="&amp;($AM$2-X$5),
     unit_details[Leased Date],"&lt;"&amp;$AM$2,
     unit_details[Beds],$L467,
     unit_details[Baths],$M467,
     unit_details[Partial Baths],IF(ISNUMBER($N467),$N467,""),
     unit_details[Sqft],$P467,
     unit_details[Property Name],$F467)
 ),"")</f>
        <v/>
      </c>
      <c r="Y467" s="552" t="str">
        <f>IFERROR(
 IF($F467="Total",
   SUMPRODUCT(
   INDEX(Y:Y, ROW()-COUNTIF($F$6:INDEX($F:$F, ROW()-1), $F466)) : INDEX(Y:Y, ROW()-1),
   INDEX(AA:AA, ROW()-COUNTIF($F$6:INDEX($F:$F, ROW()-1), $F466)) : INDEX(AA:AA, ROW()-1)
   )
   /SUM(INDEX(AA:AA, ROW()-COUNTIF($F$6:INDEX($F:$F, ROW()-1), $F466)) : INDEX(AA:AA, ROW()-1)),
   AVERAGEIFS(
     INDEX((unit_details[Effective Rent],unit_details[Effective PSF]),0,1,IF($U$3="Chunk Rent",1,2)),
     unit_details[Leased Date],"&gt;="&amp;($AM$2-X$5),
     unit_details[Leased Date],"&lt;"&amp;$AM$2,
     unit_details[Beds],$L467,
     unit_details[Baths],$M467,
     unit_details[Partial Baths],IF(ISNUMBER($N467),$N467,""),
     unit_details[Sqft],$P467,
     unit_details[Property Name],$F467)
 ),"")</f>
        <v/>
      </c>
      <c r="Z467" s="27" t="str">
        <f t="shared" si="88"/>
        <v/>
      </c>
      <c r="AA467" s="526">
        <f>IFERROR(
  IF($F467="Total",
    SUM(INDEX(AA:AA, ROW()-COUNTIF($F$6:INDEX($F:$F, ROW()-1), $F466)) : INDEX(AA:AA, ROW()-1)),
    COUNTIFS(
      unit_details[Leased Date], "&gt;="&amp;($AM$2-X$5),
      unit_details[Leased Date], "&lt;"&amp;$AM$2,
      unit_details[Beds], $L467,
      unit_details[Baths], $M467,
      unit_details[Partial Baths], IF(ISNUMBER($N467), $N467, ""),
      unit_details[Sqft],$P467,
      unit_details[Property Name], $F467
    )
  ),
"")</f>
        <v>0</v>
      </c>
      <c r="AB467" s="290">
        <f>IF($F467="Total",
SUM(INDEX(AB:AB, ROW()-COUNTIF($F$6:INDEX($F:$F, ROW()-1), $F466)) : INDEX(AB:AB, ROW()-1)),
COUNTIFS(unit_details[Active Listing?],TRUE,
          unit_details[Property Name], $F467,
          unit_details[Beds], $L467,
          unit_details[Baths], $M467,
          unit_details[Partial Baths],IF(ISNUMBER($N467),$N467,""),
          unit_details[Sqft],$P467))</f>
        <v>0</v>
      </c>
      <c r="AC467" s="27" t="str">
        <f t="shared" si="80"/>
        <v/>
      </c>
      <c r="AD467" s="293" t="str">
        <f>IFERROR(IF(AE467="","",IF($F467="Total",
SUMPRODUCT(
   INDEX(AD:AD, ROW()-COUNTIF($F$6:INDEX($F:$F, ROW()-1), $F466)) : INDEX(AD:AD, ROW()-1),
   INDEX(AB:AB, ROW()-COUNTIF($F$6:INDEX($F:$F, ROW()-1), $F466)) : INDEX(AB:AB, ROW()-1)
   )
   /SUM(INDEX(AB:AB, ROW()-COUNTIF($F$6:INDEX($F:$F, ROW()-1), $F466)) : INDEX(AB:AB, ROW()-1)),
          _xlfn.MINIFS(unit_details[Asking Rent],
          unit_details[Active Listing?],TRUE,
          unit_details[Property Name], $F467,
          unit_details[Beds], $L467,
          unit_details[Baths], $M467,
          unit_details[Partial Baths], IF(ISNUMBER($N467),$N467,""),
          unit_details[Sqft],$P467
))),"")</f>
        <v/>
      </c>
      <c r="AE467" s="5" t="str">
        <f>IFERROR(IF($F467="Total",
          SUMPRODUCT(
   INDEX(AE:AE, ROW()-COUNTIF($F$6:INDEX($F:$F, ROW()-1), $F466)) : INDEX(AE:AE, ROW()-1),
   INDEX(AB:AB, ROW()-COUNTIF($F$6:INDEX($F:$F, ROW()-1), $F466)) : INDEX(AB:AB, ROW()-1)
   )
   /SUM(INDEX(AB:AB, ROW()-COUNTIF($F$6:INDEX($F:$F, ROW()-1), $F466)) : INDEX(AB:AB, ROW()-1)),
          AVERAGEIFS(unit_details[Asking Rent],
          unit_details[Active Listing?],TRUE,
          unit_details[Property Name], $F467,
          unit_details[Beds], $L467,
          unit_details[Baths], $M467,
          unit_details[Partial Baths], IF(ISNUMBER($N467),$N467,""),
          unit_details[Sqft],$P467
)),"")</f>
        <v/>
      </c>
      <c r="AF467" s="5" t="str">
        <f>IFERROR(IF(AE467="","",IF($F467="Total",
SUMPRODUCT(
   INDEX(AF:AF, ROW()-COUNTIF($F$6:INDEX($F:$F, ROW()-1), $F466)) : INDEX(AF:AF, ROW()-1),
   INDEX(AB:AB, ROW()-COUNTIF($F$6:INDEX($F:$F, ROW()-1), $F466)) : INDEX(AB:AB, ROW()-1)
   )
   /SUM(INDEX(AB:AB, ROW()-COUNTIF($F$6:INDEX($F:$F, ROW()-1), $F466)) : INDEX(AB:AB, ROW()-1)),
           _xlfn.MAXIFS(unit_details[Asking Rent],
          unit_details[Active Listing?],TRUE,
          unit_details[Property Name], $F467,
          unit_details[Beds], $L467,
          unit_details[Baths], $M467,
          unit_details[Partial Baths], IF(ISNUMBER($N467),$N467,""),
          unit_details[Sqft],$P467
))),"")</f>
        <v/>
      </c>
      <c r="AG467" s="6" t="str">
        <f>IFERROR(IF($F467="Total",
         SUMPRODUCT(
         INDEX(AG:AG, ROW()-COUNTIF($F$6:INDEX($F:$F, ROW()-1), $F466)) : INDEX(AG:AG, ROW()-1),
         INDEX(AB:AB, ROW()-COUNTIF($F$6:INDEX($F:$F, ROW()-1), $F466)) : INDEX(AB:AB, ROW()-1)
         )
         /SUM(INDEX(AB:AB, ROW()-COUNTIF($F$6:INDEX($F:$F, ROW()-1), $F466)) : INDEX(AB:AB, ROW()-1)),
          AVERAGEIFS(unit_details[Asking PSF],
          unit_details[Active Listing?],TRUE,
          unit_details[Property Name], $F467,
          unit_details[Beds], $L467,
          unit_details[Baths], $M467,
          unit_details[Partial Baths], IF(ISNUMBER($N467),$N467,""),
          unit_details[Sqft],$P467
)),"")</f>
        <v/>
      </c>
      <c r="AH467" s="293" t="str">
        <f>IFERROR(IF($F467="Total",
         SUMPRODUCT(
         INDEX(AH:AH, ROW()-COUNTIF($F$6:INDEX($F:$F, ROW()-1), $F466)) : INDEX(AH:AH, ROW()-1),
         INDEX(AB:AB, ROW()-COUNTIF($F$6:INDEX($F:$F, ROW()-1), $F466)) : INDEX(AB:AB, ROW()-1)
         )
         /SUM(INDEX(AB:AB, ROW()-COUNTIF($F$6:INDEX($F:$F, ROW()-1), $F466)) : INDEX(AB:AB, ROW()-1)),
          AVERAGEIFS(unit_details[Effective Rent],
          unit_details[Active Listing?],TRUE,
          unit_details[Property Name], $F467,
          unit_details[Beds], $L467,
          unit_details[Baths], $M467,
          unit_details[Partial Baths], IF(ISNUMBER($N467),$N467,""),
          unit_details[Sqft],$P467
)),"")</f>
        <v/>
      </c>
      <c r="AI467" s="6" t="str">
        <f>IFERROR(IF($F467="Total",
         SUMPRODUCT(
         INDEX(AI:AI, ROW()-COUNTIF($F$6:INDEX($F:$F, ROW()-1), $F466)) : INDEX(AI:AI, ROW()-1),
         INDEX(AB:AB, ROW()-COUNTIF($F$6:INDEX($F:$F, ROW()-1), $F466)) : INDEX(AB:AB, ROW()-1)
         )
         /SUM(INDEX(AB:AB, ROW()-COUNTIF($F$6:INDEX($F:$F, ROW()-1), $F466)) : INDEX(AB:AB, ROW()-1)),
           AVERAGEIFS(unit_details[Effective PSF],
          unit_details[Active Listing?],TRUE,
          unit_details[Property Name], $F467,
          unit_details[Beds], $L467,
          unit_details[Baths], $M467,
          unit_details[Partial Baths], IF(ISNUMBER($N467),$N467,""),
          unit_details[Sqft],$P467
)),"")</f>
        <v/>
      </c>
      <c r="AJ467" s="824" t="str">
        <f t="shared" si="81"/>
        <v/>
      </c>
      <c r="AK467" s="531" t="str">
        <f t="shared" si="82"/>
        <v/>
      </c>
      <c r="AL467" s="714" t="str">
        <f t="shared" si="83"/>
        <v/>
      </c>
      <c r="AM467" s="531" t="str">
        <f t="shared" si="84"/>
        <v/>
      </c>
      <c r="AN467" s="716" t="str">
        <f t="shared" si="85"/>
        <v/>
      </c>
    </row>
    <row r="468" spans="6:40" x14ac:dyDescent="0.2">
      <c r="F468" s="1" t="str">
        <f t="shared" si="78"/>
        <v/>
      </c>
      <c r="G468" s="713" t="str">
        <f t="shared" si="86"/>
        <v/>
      </c>
      <c r="H468" s="17" t="str">
        <f>IFERROR(VLOOKUP($G468,Table1[[Property]:[Exposure %]],4,0),"")</f>
        <v/>
      </c>
      <c r="I468" s="3" t="str">
        <f>IFERROR(VLOOKUP($G468,Table1[[Property]:[Exposure %]],6,0),"")</f>
        <v/>
      </c>
      <c r="J468" s="3" t="str">
        <f>IFERROR(VLOOKUP($G468,Table1[[Property]:[Exposure %]],7,0),"")</f>
        <v/>
      </c>
      <c r="R468" s="4" t="str">
        <f>IFERROR(VLOOKUP(IF(F468="Total",F467,F468),Table1[[Property]:['# Units]],7,0)*S468,"")</f>
        <v/>
      </c>
      <c r="S468" s="27" t="str">
        <f t="shared" si="79"/>
        <v/>
      </c>
      <c r="T468" s="531" t="str">
        <f>IFERROR(
 IF($F468="Total",
   SUMPRODUCT(
   INDEX(T:T, ROW()-COUNTIF($F$6:INDEX($F:$F, ROW()-1), $F467)) : INDEX(T:T, ROW()-1),
   INDEX(W:W, ROW()-COUNTIF($F$6:INDEX($F:$F, ROW()-1), $F467)) : INDEX(W:W, ROW()-1)
   )
   /SUM(INDEX(W:W, ROW()-COUNTIF($F$6:INDEX($F:$F, ROW()-1), $F467)) : INDEX(W:W, ROW()-1)),
   AVERAGEIFS(
     INDEX((unit_details[Asking Rent],unit_details[Asking PSF]),0,1,IF($U$3="Chunk Rent",1,2)),
     unit_details[Leased Date],"&gt;="&amp;($AM$2-T$5),
     unit_details[Leased Date],"&lt;"&amp;$AM$2,
     unit_details[Beds],$L468,
     unit_details[Baths],$M468,
     unit_details[Partial Baths],IF(ISNUMBER($N468),$N468,""),
     unit_details[Sqft],$P468,
     unit_details[Property Name],$F468)
 ),"")</f>
        <v/>
      </c>
      <c r="U468" s="552" t="str">
        <f>IFERROR(
 IF($F468="Total",
   SUMPRODUCT(
   INDEX(U:U, ROW()-COUNTIF($F$6:INDEX($F:$F, ROW()-1), $F467)) : INDEX(U:U, ROW()-1),
   INDEX(W:W, ROW()-COUNTIF($F$6:INDEX($F:$F, ROW()-1), $F467)) : INDEX(W:W, ROW()-1)
   )
   /SUM(INDEX(W:W, ROW()-COUNTIF($F$6:INDEX($F:$F, ROW()-1), $F467)) : INDEX(W:W, ROW()-1)),
   AVERAGEIFS(
     INDEX((unit_details[Effective Rent],unit_details[Effective PSF]),0,1,IF($U$3="Chunk Rent",1,2)),
     unit_details[Leased Date],"&gt;="&amp;($AM$2-T$5),
     unit_details[Leased Date],"&lt;"&amp;$AM$2,
     unit_details[Beds],$L468,
     unit_details[Baths],$M468,
     unit_details[Partial Baths],IF(ISNUMBER($N468),$N468,""),
     unit_details[Sqft],$P468,
     unit_details[Property Name],$F468)
 ),"")</f>
        <v/>
      </c>
      <c r="V468" s="27" t="str">
        <f t="shared" si="87"/>
        <v/>
      </c>
      <c r="W468" s="526">
        <f>IFERROR(
  IF($F468="Total",
    SUM(INDEX(W:W, ROW()-COUNTIF($F$6:INDEX($F:$F, ROW()-1), $F467)) : INDEX(W:W, ROW()-1)),
    COUNTIFS(
      unit_details[Leased Date], "&gt;="&amp;($AM$2-T$5),
      unit_details[Leased Date], "&lt;"&amp;$AM$2,
      unit_details[Beds], $L468,
      unit_details[Baths], $M468,
      unit_details[Partial Baths], IF(ISNUMBER($N468), $N468, ""),
      unit_details[Sqft],$P468,
      unit_details[Property Name], $F468
    )
  ),
"")</f>
        <v>0</v>
      </c>
      <c r="X468" s="531" t="str">
        <f>IFERROR(
 IF($F468="Total",
   SUMPRODUCT(
   INDEX(X:X, ROW()-COUNTIF($F$6:INDEX($F:$F, ROW()-1), $F467)) : INDEX(X:X, ROW()-1),
   INDEX(AA:AA, ROW()-COUNTIF($F$6:INDEX($F:$F, ROW()-1), $F467)) : INDEX(AA:AA, ROW()-1)
   )
   /SUM(INDEX(AA:AA, ROW()-COUNTIF($F$6:INDEX($F:$F, ROW()-1), $F467)) : INDEX(AA:AA, ROW()-1)),
   AVERAGEIFS(
     INDEX((unit_details[Asking Rent],unit_details[Asking PSF]),0,1,IF($U$3="Chunk Rent",1,2)),
     unit_details[Leased Date],"&gt;="&amp;($AM$2-X$5),
     unit_details[Leased Date],"&lt;"&amp;$AM$2,
     unit_details[Beds],$L468,
     unit_details[Baths],$M468,
     unit_details[Partial Baths],IF(ISNUMBER($N468),$N468,""),
     unit_details[Sqft],$P468,
     unit_details[Property Name],$F468)
 ),"")</f>
        <v/>
      </c>
      <c r="Y468" s="552" t="str">
        <f>IFERROR(
 IF($F468="Total",
   SUMPRODUCT(
   INDEX(Y:Y, ROW()-COUNTIF($F$6:INDEX($F:$F, ROW()-1), $F467)) : INDEX(Y:Y, ROW()-1),
   INDEX(AA:AA, ROW()-COUNTIF($F$6:INDEX($F:$F, ROW()-1), $F467)) : INDEX(AA:AA, ROW()-1)
   )
   /SUM(INDEX(AA:AA, ROW()-COUNTIF($F$6:INDEX($F:$F, ROW()-1), $F467)) : INDEX(AA:AA, ROW()-1)),
   AVERAGEIFS(
     INDEX((unit_details[Effective Rent],unit_details[Effective PSF]),0,1,IF($U$3="Chunk Rent",1,2)),
     unit_details[Leased Date],"&gt;="&amp;($AM$2-X$5),
     unit_details[Leased Date],"&lt;"&amp;$AM$2,
     unit_details[Beds],$L468,
     unit_details[Baths],$M468,
     unit_details[Partial Baths],IF(ISNUMBER($N468),$N468,""),
     unit_details[Sqft],$P468,
     unit_details[Property Name],$F468)
 ),"")</f>
        <v/>
      </c>
      <c r="Z468" s="27" t="str">
        <f t="shared" si="88"/>
        <v/>
      </c>
      <c r="AA468" s="526">
        <f>IFERROR(
  IF($F468="Total",
    SUM(INDEX(AA:AA, ROW()-COUNTIF($F$6:INDEX($F:$F, ROW()-1), $F467)) : INDEX(AA:AA, ROW()-1)),
    COUNTIFS(
      unit_details[Leased Date], "&gt;="&amp;($AM$2-X$5),
      unit_details[Leased Date], "&lt;"&amp;$AM$2,
      unit_details[Beds], $L468,
      unit_details[Baths], $M468,
      unit_details[Partial Baths], IF(ISNUMBER($N468), $N468, ""),
      unit_details[Sqft],$P468,
      unit_details[Property Name], $F468
    )
  ),
"")</f>
        <v>0</v>
      </c>
      <c r="AB468" s="290">
        <f>IF($F468="Total",
SUM(INDEX(AB:AB, ROW()-COUNTIF($F$6:INDEX($F:$F, ROW()-1), $F467)) : INDEX(AB:AB, ROW()-1)),
COUNTIFS(unit_details[Active Listing?],TRUE,
          unit_details[Property Name], $F468,
          unit_details[Beds], $L468,
          unit_details[Baths], $M468,
          unit_details[Partial Baths],IF(ISNUMBER($N468),$N468,""),
          unit_details[Sqft],$P468))</f>
        <v>0</v>
      </c>
      <c r="AC468" s="27" t="str">
        <f t="shared" si="80"/>
        <v/>
      </c>
      <c r="AD468" s="293" t="str">
        <f>IFERROR(IF(AE468="","",IF($F468="Total",
SUMPRODUCT(
   INDEX(AD:AD, ROW()-COUNTIF($F$6:INDEX($F:$F, ROW()-1), $F467)) : INDEX(AD:AD, ROW()-1),
   INDEX(AB:AB, ROW()-COUNTIF($F$6:INDEX($F:$F, ROW()-1), $F467)) : INDEX(AB:AB, ROW()-1)
   )
   /SUM(INDEX(AB:AB, ROW()-COUNTIF($F$6:INDEX($F:$F, ROW()-1), $F467)) : INDEX(AB:AB, ROW()-1)),
          _xlfn.MINIFS(unit_details[Asking Rent],
          unit_details[Active Listing?],TRUE,
          unit_details[Property Name], $F468,
          unit_details[Beds], $L468,
          unit_details[Baths], $M468,
          unit_details[Partial Baths], IF(ISNUMBER($N468),$N468,""),
          unit_details[Sqft],$P468
))),"")</f>
        <v/>
      </c>
      <c r="AE468" s="5" t="str">
        <f>IFERROR(IF($F468="Total",
          SUMPRODUCT(
   INDEX(AE:AE, ROW()-COUNTIF($F$6:INDEX($F:$F, ROW()-1), $F467)) : INDEX(AE:AE, ROW()-1),
   INDEX(AB:AB, ROW()-COUNTIF($F$6:INDEX($F:$F, ROW()-1), $F467)) : INDEX(AB:AB, ROW()-1)
   )
   /SUM(INDEX(AB:AB, ROW()-COUNTIF($F$6:INDEX($F:$F, ROW()-1), $F467)) : INDEX(AB:AB, ROW()-1)),
          AVERAGEIFS(unit_details[Asking Rent],
          unit_details[Active Listing?],TRUE,
          unit_details[Property Name], $F468,
          unit_details[Beds], $L468,
          unit_details[Baths], $M468,
          unit_details[Partial Baths], IF(ISNUMBER($N468),$N468,""),
          unit_details[Sqft],$P468
)),"")</f>
        <v/>
      </c>
      <c r="AF468" s="5" t="str">
        <f>IFERROR(IF(AE468="","",IF($F468="Total",
SUMPRODUCT(
   INDEX(AF:AF, ROW()-COUNTIF($F$6:INDEX($F:$F, ROW()-1), $F467)) : INDEX(AF:AF, ROW()-1),
   INDEX(AB:AB, ROW()-COUNTIF($F$6:INDEX($F:$F, ROW()-1), $F467)) : INDEX(AB:AB, ROW()-1)
   )
   /SUM(INDEX(AB:AB, ROW()-COUNTIF($F$6:INDEX($F:$F, ROW()-1), $F467)) : INDEX(AB:AB, ROW()-1)),
           _xlfn.MAXIFS(unit_details[Asking Rent],
          unit_details[Active Listing?],TRUE,
          unit_details[Property Name], $F468,
          unit_details[Beds], $L468,
          unit_details[Baths], $M468,
          unit_details[Partial Baths], IF(ISNUMBER($N468),$N468,""),
          unit_details[Sqft],$P468
))),"")</f>
        <v/>
      </c>
      <c r="AG468" s="6" t="str">
        <f>IFERROR(IF($F468="Total",
         SUMPRODUCT(
         INDEX(AG:AG, ROW()-COUNTIF($F$6:INDEX($F:$F, ROW()-1), $F467)) : INDEX(AG:AG, ROW()-1),
         INDEX(AB:AB, ROW()-COUNTIF($F$6:INDEX($F:$F, ROW()-1), $F467)) : INDEX(AB:AB, ROW()-1)
         )
         /SUM(INDEX(AB:AB, ROW()-COUNTIF($F$6:INDEX($F:$F, ROW()-1), $F467)) : INDEX(AB:AB, ROW()-1)),
          AVERAGEIFS(unit_details[Asking PSF],
          unit_details[Active Listing?],TRUE,
          unit_details[Property Name], $F468,
          unit_details[Beds], $L468,
          unit_details[Baths], $M468,
          unit_details[Partial Baths], IF(ISNUMBER($N468),$N468,""),
          unit_details[Sqft],$P468
)),"")</f>
        <v/>
      </c>
      <c r="AH468" s="293" t="str">
        <f>IFERROR(IF($F468="Total",
         SUMPRODUCT(
         INDEX(AH:AH, ROW()-COUNTIF($F$6:INDEX($F:$F, ROW()-1), $F467)) : INDEX(AH:AH, ROW()-1),
         INDEX(AB:AB, ROW()-COUNTIF($F$6:INDEX($F:$F, ROW()-1), $F467)) : INDEX(AB:AB, ROW()-1)
         )
         /SUM(INDEX(AB:AB, ROW()-COUNTIF($F$6:INDEX($F:$F, ROW()-1), $F467)) : INDEX(AB:AB, ROW()-1)),
          AVERAGEIFS(unit_details[Effective Rent],
          unit_details[Active Listing?],TRUE,
          unit_details[Property Name], $F468,
          unit_details[Beds], $L468,
          unit_details[Baths], $M468,
          unit_details[Partial Baths], IF(ISNUMBER($N468),$N468,""),
          unit_details[Sqft],$P468
)),"")</f>
        <v/>
      </c>
      <c r="AI468" s="6" t="str">
        <f>IFERROR(IF($F468="Total",
         SUMPRODUCT(
         INDEX(AI:AI, ROW()-COUNTIF($F$6:INDEX($F:$F, ROW()-1), $F467)) : INDEX(AI:AI, ROW()-1),
         INDEX(AB:AB, ROW()-COUNTIF($F$6:INDEX($F:$F, ROW()-1), $F467)) : INDEX(AB:AB, ROW()-1)
         )
         /SUM(INDEX(AB:AB, ROW()-COUNTIF($F$6:INDEX($F:$F, ROW()-1), $F467)) : INDEX(AB:AB, ROW()-1)),
           AVERAGEIFS(unit_details[Effective PSF],
          unit_details[Active Listing?],TRUE,
          unit_details[Property Name], $F468,
          unit_details[Beds], $L468,
          unit_details[Baths], $M468,
          unit_details[Partial Baths], IF(ISNUMBER($N468),$N468,""),
          unit_details[Sqft],$P468
)),"")</f>
        <v/>
      </c>
      <c r="AJ468" s="824" t="str">
        <f t="shared" si="81"/>
        <v/>
      </c>
      <c r="AK468" s="531" t="str">
        <f t="shared" si="82"/>
        <v/>
      </c>
      <c r="AL468" s="714" t="str">
        <f t="shared" si="83"/>
        <v/>
      </c>
      <c r="AM468" s="531" t="str">
        <f t="shared" si="84"/>
        <v/>
      </c>
      <c r="AN468" s="716" t="str">
        <f t="shared" si="85"/>
        <v/>
      </c>
    </row>
    <row r="469" spans="6:40" x14ac:dyDescent="0.2">
      <c r="F469" s="1" t="str">
        <f t="shared" si="78"/>
        <v/>
      </c>
      <c r="G469" s="713" t="str">
        <f t="shared" si="86"/>
        <v/>
      </c>
      <c r="H469" s="17" t="str">
        <f>IFERROR(VLOOKUP($G469,Table1[[Property]:[Exposure %]],4,0),"")</f>
        <v/>
      </c>
      <c r="I469" s="3" t="str">
        <f>IFERROR(VLOOKUP($G469,Table1[[Property]:[Exposure %]],6,0),"")</f>
        <v/>
      </c>
      <c r="J469" s="3" t="str">
        <f>IFERROR(VLOOKUP($G469,Table1[[Property]:[Exposure %]],7,0),"")</f>
        <v/>
      </c>
      <c r="R469" s="4" t="str">
        <f>IFERROR(VLOOKUP(IF(F469="Total",F468,F469),Table1[[Property]:['# Units]],7,0)*S469,"")</f>
        <v/>
      </c>
      <c r="S469" s="27" t="str">
        <f t="shared" si="79"/>
        <v/>
      </c>
      <c r="T469" s="531" t="str">
        <f>IFERROR(
 IF($F469="Total",
   SUMPRODUCT(
   INDEX(T:T, ROW()-COUNTIF($F$6:INDEX($F:$F, ROW()-1), $F468)) : INDEX(T:T, ROW()-1),
   INDEX(W:W, ROW()-COUNTIF($F$6:INDEX($F:$F, ROW()-1), $F468)) : INDEX(W:W, ROW()-1)
   )
   /SUM(INDEX(W:W, ROW()-COUNTIF($F$6:INDEX($F:$F, ROW()-1), $F468)) : INDEX(W:W, ROW()-1)),
   AVERAGEIFS(
     INDEX((unit_details[Asking Rent],unit_details[Asking PSF]),0,1,IF($U$3="Chunk Rent",1,2)),
     unit_details[Leased Date],"&gt;="&amp;($AM$2-T$5),
     unit_details[Leased Date],"&lt;"&amp;$AM$2,
     unit_details[Beds],$L469,
     unit_details[Baths],$M469,
     unit_details[Partial Baths],IF(ISNUMBER($N469),$N469,""),
     unit_details[Sqft],$P469,
     unit_details[Property Name],$F469)
 ),"")</f>
        <v/>
      </c>
      <c r="U469" s="552" t="str">
        <f>IFERROR(
 IF($F469="Total",
   SUMPRODUCT(
   INDEX(U:U, ROW()-COUNTIF($F$6:INDEX($F:$F, ROW()-1), $F468)) : INDEX(U:U, ROW()-1),
   INDEX(W:W, ROW()-COUNTIF($F$6:INDEX($F:$F, ROW()-1), $F468)) : INDEX(W:W, ROW()-1)
   )
   /SUM(INDEX(W:W, ROW()-COUNTIF($F$6:INDEX($F:$F, ROW()-1), $F468)) : INDEX(W:W, ROW()-1)),
   AVERAGEIFS(
     INDEX((unit_details[Effective Rent],unit_details[Effective PSF]),0,1,IF($U$3="Chunk Rent",1,2)),
     unit_details[Leased Date],"&gt;="&amp;($AM$2-T$5),
     unit_details[Leased Date],"&lt;"&amp;$AM$2,
     unit_details[Beds],$L469,
     unit_details[Baths],$M469,
     unit_details[Partial Baths],IF(ISNUMBER($N469),$N469,""),
     unit_details[Sqft],$P469,
     unit_details[Property Name],$F469)
 ),"")</f>
        <v/>
      </c>
      <c r="V469" s="27" t="str">
        <f t="shared" si="87"/>
        <v/>
      </c>
      <c r="W469" s="526">
        <f>IFERROR(
  IF($F469="Total",
    SUM(INDEX(W:W, ROW()-COUNTIF($F$6:INDEX($F:$F, ROW()-1), $F468)) : INDEX(W:W, ROW()-1)),
    COUNTIFS(
      unit_details[Leased Date], "&gt;="&amp;($AM$2-T$5),
      unit_details[Leased Date], "&lt;"&amp;$AM$2,
      unit_details[Beds], $L469,
      unit_details[Baths], $M469,
      unit_details[Partial Baths], IF(ISNUMBER($N469), $N469, ""),
      unit_details[Sqft],$P469,
      unit_details[Property Name], $F469
    )
  ),
"")</f>
        <v>0</v>
      </c>
      <c r="X469" s="531" t="str">
        <f>IFERROR(
 IF($F469="Total",
   SUMPRODUCT(
   INDEX(X:X, ROW()-COUNTIF($F$6:INDEX($F:$F, ROW()-1), $F468)) : INDEX(X:X, ROW()-1),
   INDEX(AA:AA, ROW()-COUNTIF($F$6:INDEX($F:$F, ROW()-1), $F468)) : INDEX(AA:AA, ROW()-1)
   )
   /SUM(INDEX(AA:AA, ROW()-COUNTIF($F$6:INDEX($F:$F, ROW()-1), $F468)) : INDEX(AA:AA, ROW()-1)),
   AVERAGEIFS(
     INDEX((unit_details[Asking Rent],unit_details[Asking PSF]),0,1,IF($U$3="Chunk Rent",1,2)),
     unit_details[Leased Date],"&gt;="&amp;($AM$2-X$5),
     unit_details[Leased Date],"&lt;"&amp;$AM$2,
     unit_details[Beds],$L469,
     unit_details[Baths],$M469,
     unit_details[Partial Baths],IF(ISNUMBER($N469),$N469,""),
     unit_details[Sqft],$P469,
     unit_details[Property Name],$F469)
 ),"")</f>
        <v/>
      </c>
      <c r="Y469" s="552" t="str">
        <f>IFERROR(
 IF($F469="Total",
   SUMPRODUCT(
   INDEX(Y:Y, ROW()-COUNTIF($F$6:INDEX($F:$F, ROW()-1), $F468)) : INDEX(Y:Y, ROW()-1),
   INDEX(AA:AA, ROW()-COUNTIF($F$6:INDEX($F:$F, ROW()-1), $F468)) : INDEX(AA:AA, ROW()-1)
   )
   /SUM(INDEX(AA:AA, ROW()-COUNTIF($F$6:INDEX($F:$F, ROW()-1), $F468)) : INDEX(AA:AA, ROW()-1)),
   AVERAGEIFS(
     INDEX((unit_details[Effective Rent],unit_details[Effective PSF]),0,1,IF($U$3="Chunk Rent",1,2)),
     unit_details[Leased Date],"&gt;="&amp;($AM$2-X$5),
     unit_details[Leased Date],"&lt;"&amp;$AM$2,
     unit_details[Beds],$L469,
     unit_details[Baths],$M469,
     unit_details[Partial Baths],IF(ISNUMBER($N469),$N469,""),
     unit_details[Sqft],$P469,
     unit_details[Property Name],$F469)
 ),"")</f>
        <v/>
      </c>
      <c r="Z469" s="27" t="str">
        <f t="shared" si="88"/>
        <v/>
      </c>
      <c r="AA469" s="526">
        <f>IFERROR(
  IF($F469="Total",
    SUM(INDEX(AA:AA, ROW()-COUNTIF($F$6:INDEX($F:$F, ROW()-1), $F468)) : INDEX(AA:AA, ROW()-1)),
    COUNTIFS(
      unit_details[Leased Date], "&gt;="&amp;($AM$2-X$5),
      unit_details[Leased Date], "&lt;"&amp;$AM$2,
      unit_details[Beds], $L469,
      unit_details[Baths], $M469,
      unit_details[Partial Baths], IF(ISNUMBER($N469), $N469, ""),
      unit_details[Sqft],$P469,
      unit_details[Property Name], $F469
    )
  ),
"")</f>
        <v>0</v>
      </c>
      <c r="AB469" s="290">
        <f>IF($F469="Total",
SUM(INDEX(AB:AB, ROW()-COUNTIF($F$6:INDEX($F:$F, ROW()-1), $F468)) : INDEX(AB:AB, ROW()-1)),
COUNTIFS(unit_details[Active Listing?],TRUE,
          unit_details[Property Name], $F469,
          unit_details[Beds], $L469,
          unit_details[Baths], $M469,
          unit_details[Partial Baths],IF(ISNUMBER($N469),$N469,""),
          unit_details[Sqft],$P469))</f>
        <v>0</v>
      </c>
      <c r="AC469" s="27" t="str">
        <f t="shared" si="80"/>
        <v/>
      </c>
      <c r="AD469" s="293" t="str">
        <f>IFERROR(IF(AE469="","",IF($F469="Total",
SUMPRODUCT(
   INDEX(AD:AD, ROW()-COUNTIF($F$6:INDEX($F:$F, ROW()-1), $F468)) : INDEX(AD:AD, ROW()-1),
   INDEX(AB:AB, ROW()-COUNTIF($F$6:INDEX($F:$F, ROW()-1), $F468)) : INDEX(AB:AB, ROW()-1)
   )
   /SUM(INDEX(AB:AB, ROW()-COUNTIF($F$6:INDEX($F:$F, ROW()-1), $F468)) : INDEX(AB:AB, ROW()-1)),
          _xlfn.MINIFS(unit_details[Asking Rent],
          unit_details[Active Listing?],TRUE,
          unit_details[Property Name], $F469,
          unit_details[Beds], $L469,
          unit_details[Baths], $M469,
          unit_details[Partial Baths], IF(ISNUMBER($N469),$N469,""),
          unit_details[Sqft],$P469
))),"")</f>
        <v/>
      </c>
      <c r="AE469" s="5" t="str">
        <f>IFERROR(IF($F469="Total",
          SUMPRODUCT(
   INDEX(AE:AE, ROW()-COUNTIF($F$6:INDEX($F:$F, ROW()-1), $F468)) : INDEX(AE:AE, ROW()-1),
   INDEX(AB:AB, ROW()-COUNTIF($F$6:INDEX($F:$F, ROW()-1), $F468)) : INDEX(AB:AB, ROW()-1)
   )
   /SUM(INDEX(AB:AB, ROW()-COUNTIF($F$6:INDEX($F:$F, ROW()-1), $F468)) : INDEX(AB:AB, ROW()-1)),
          AVERAGEIFS(unit_details[Asking Rent],
          unit_details[Active Listing?],TRUE,
          unit_details[Property Name], $F469,
          unit_details[Beds], $L469,
          unit_details[Baths], $M469,
          unit_details[Partial Baths], IF(ISNUMBER($N469),$N469,""),
          unit_details[Sqft],$P469
)),"")</f>
        <v/>
      </c>
      <c r="AF469" s="5" t="str">
        <f>IFERROR(IF(AE469="","",IF($F469="Total",
SUMPRODUCT(
   INDEX(AF:AF, ROW()-COUNTIF($F$6:INDEX($F:$F, ROW()-1), $F468)) : INDEX(AF:AF, ROW()-1),
   INDEX(AB:AB, ROW()-COUNTIF($F$6:INDEX($F:$F, ROW()-1), $F468)) : INDEX(AB:AB, ROW()-1)
   )
   /SUM(INDEX(AB:AB, ROW()-COUNTIF($F$6:INDEX($F:$F, ROW()-1), $F468)) : INDEX(AB:AB, ROW()-1)),
           _xlfn.MAXIFS(unit_details[Asking Rent],
          unit_details[Active Listing?],TRUE,
          unit_details[Property Name], $F469,
          unit_details[Beds], $L469,
          unit_details[Baths], $M469,
          unit_details[Partial Baths], IF(ISNUMBER($N469),$N469,""),
          unit_details[Sqft],$P469
))),"")</f>
        <v/>
      </c>
      <c r="AG469" s="6" t="str">
        <f>IFERROR(IF($F469="Total",
         SUMPRODUCT(
         INDEX(AG:AG, ROW()-COUNTIF($F$6:INDEX($F:$F, ROW()-1), $F468)) : INDEX(AG:AG, ROW()-1),
         INDEX(AB:AB, ROW()-COUNTIF($F$6:INDEX($F:$F, ROW()-1), $F468)) : INDEX(AB:AB, ROW()-1)
         )
         /SUM(INDEX(AB:AB, ROW()-COUNTIF($F$6:INDEX($F:$F, ROW()-1), $F468)) : INDEX(AB:AB, ROW()-1)),
          AVERAGEIFS(unit_details[Asking PSF],
          unit_details[Active Listing?],TRUE,
          unit_details[Property Name], $F469,
          unit_details[Beds], $L469,
          unit_details[Baths], $M469,
          unit_details[Partial Baths], IF(ISNUMBER($N469),$N469,""),
          unit_details[Sqft],$P469
)),"")</f>
        <v/>
      </c>
      <c r="AH469" s="293" t="str">
        <f>IFERROR(IF($F469="Total",
         SUMPRODUCT(
         INDEX(AH:AH, ROW()-COUNTIF($F$6:INDEX($F:$F, ROW()-1), $F468)) : INDEX(AH:AH, ROW()-1),
         INDEX(AB:AB, ROW()-COUNTIF($F$6:INDEX($F:$F, ROW()-1), $F468)) : INDEX(AB:AB, ROW()-1)
         )
         /SUM(INDEX(AB:AB, ROW()-COUNTIF($F$6:INDEX($F:$F, ROW()-1), $F468)) : INDEX(AB:AB, ROW()-1)),
          AVERAGEIFS(unit_details[Effective Rent],
          unit_details[Active Listing?],TRUE,
          unit_details[Property Name], $F469,
          unit_details[Beds], $L469,
          unit_details[Baths], $M469,
          unit_details[Partial Baths], IF(ISNUMBER($N469),$N469,""),
          unit_details[Sqft],$P469
)),"")</f>
        <v/>
      </c>
      <c r="AI469" s="6" t="str">
        <f>IFERROR(IF($F469="Total",
         SUMPRODUCT(
         INDEX(AI:AI, ROW()-COUNTIF($F$6:INDEX($F:$F, ROW()-1), $F468)) : INDEX(AI:AI, ROW()-1),
         INDEX(AB:AB, ROW()-COUNTIF($F$6:INDEX($F:$F, ROW()-1), $F468)) : INDEX(AB:AB, ROW()-1)
         )
         /SUM(INDEX(AB:AB, ROW()-COUNTIF($F$6:INDEX($F:$F, ROW()-1), $F468)) : INDEX(AB:AB, ROW()-1)),
           AVERAGEIFS(unit_details[Effective PSF],
          unit_details[Active Listing?],TRUE,
          unit_details[Property Name], $F469,
          unit_details[Beds], $L469,
          unit_details[Baths], $M469,
          unit_details[Partial Baths], IF(ISNUMBER($N469),$N469,""),
          unit_details[Sqft],$P469
)),"")</f>
        <v/>
      </c>
      <c r="AJ469" s="824" t="str">
        <f t="shared" si="81"/>
        <v/>
      </c>
      <c r="AK469" s="531" t="str">
        <f t="shared" si="82"/>
        <v/>
      </c>
      <c r="AL469" s="714" t="str">
        <f t="shared" si="83"/>
        <v/>
      </c>
      <c r="AM469" s="531" t="str">
        <f t="shared" si="84"/>
        <v/>
      </c>
      <c r="AN469" s="716" t="str">
        <f t="shared" si="85"/>
        <v/>
      </c>
    </row>
    <row r="470" spans="6:40" x14ac:dyDescent="0.2">
      <c r="F470" s="1" t="str">
        <f t="shared" si="78"/>
        <v/>
      </c>
      <c r="G470" s="713" t="str">
        <f t="shared" si="86"/>
        <v/>
      </c>
      <c r="H470" s="17" t="str">
        <f>IFERROR(VLOOKUP($G470,Table1[[Property]:[Exposure %]],4,0),"")</f>
        <v/>
      </c>
      <c r="I470" s="3" t="str">
        <f>IFERROR(VLOOKUP($G470,Table1[[Property]:[Exposure %]],6,0),"")</f>
        <v/>
      </c>
      <c r="J470" s="3" t="str">
        <f>IFERROR(VLOOKUP($G470,Table1[[Property]:[Exposure %]],7,0),"")</f>
        <v/>
      </c>
      <c r="R470" s="4" t="str">
        <f>IFERROR(VLOOKUP(IF(F470="Total",F469,F470),Table1[[Property]:['# Units]],7,0)*S470,"")</f>
        <v/>
      </c>
      <c r="S470" s="27" t="str">
        <f t="shared" si="79"/>
        <v/>
      </c>
      <c r="T470" s="531" t="str">
        <f>IFERROR(
 IF($F470="Total",
   SUMPRODUCT(
   INDEX(T:T, ROW()-COUNTIF($F$6:INDEX($F:$F, ROW()-1), $F469)) : INDEX(T:T, ROW()-1),
   INDEX(W:W, ROW()-COUNTIF($F$6:INDEX($F:$F, ROW()-1), $F469)) : INDEX(W:W, ROW()-1)
   )
   /SUM(INDEX(W:W, ROW()-COUNTIF($F$6:INDEX($F:$F, ROW()-1), $F469)) : INDEX(W:W, ROW()-1)),
   AVERAGEIFS(
     INDEX((unit_details[Asking Rent],unit_details[Asking PSF]),0,1,IF($U$3="Chunk Rent",1,2)),
     unit_details[Leased Date],"&gt;="&amp;($AM$2-T$5),
     unit_details[Leased Date],"&lt;"&amp;$AM$2,
     unit_details[Beds],$L470,
     unit_details[Baths],$M470,
     unit_details[Partial Baths],IF(ISNUMBER($N470),$N470,""),
     unit_details[Sqft],$P470,
     unit_details[Property Name],$F470)
 ),"")</f>
        <v/>
      </c>
      <c r="U470" s="552" t="str">
        <f>IFERROR(
 IF($F470="Total",
   SUMPRODUCT(
   INDEX(U:U, ROW()-COUNTIF($F$6:INDEX($F:$F, ROW()-1), $F469)) : INDEX(U:U, ROW()-1),
   INDEX(W:W, ROW()-COUNTIF($F$6:INDEX($F:$F, ROW()-1), $F469)) : INDEX(W:W, ROW()-1)
   )
   /SUM(INDEX(W:W, ROW()-COUNTIF($F$6:INDEX($F:$F, ROW()-1), $F469)) : INDEX(W:W, ROW()-1)),
   AVERAGEIFS(
     INDEX((unit_details[Effective Rent],unit_details[Effective PSF]),0,1,IF($U$3="Chunk Rent",1,2)),
     unit_details[Leased Date],"&gt;="&amp;($AM$2-T$5),
     unit_details[Leased Date],"&lt;"&amp;$AM$2,
     unit_details[Beds],$L470,
     unit_details[Baths],$M470,
     unit_details[Partial Baths],IF(ISNUMBER($N470),$N470,""),
     unit_details[Sqft],$P470,
     unit_details[Property Name],$F470)
 ),"")</f>
        <v/>
      </c>
      <c r="V470" s="27" t="str">
        <f t="shared" si="87"/>
        <v/>
      </c>
      <c r="W470" s="526">
        <f>IFERROR(
  IF($F470="Total",
    SUM(INDEX(W:W, ROW()-COUNTIF($F$6:INDEX($F:$F, ROW()-1), $F469)) : INDEX(W:W, ROW()-1)),
    COUNTIFS(
      unit_details[Leased Date], "&gt;="&amp;($AM$2-T$5),
      unit_details[Leased Date], "&lt;"&amp;$AM$2,
      unit_details[Beds], $L470,
      unit_details[Baths], $M470,
      unit_details[Partial Baths], IF(ISNUMBER($N470), $N470, ""),
      unit_details[Sqft],$P470,
      unit_details[Property Name], $F470
    )
  ),
"")</f>
        <v>0</v>
      </c>
      <c r="X470" s="531" t="str">
        <f>IFERROR(
 IF($F470="Total",
   SUMPRODUCT(
   INDEX(X:X, ROW()-COUNTIF($F$6:INDEX($F:$F, ROW()-1), $F469)) : INDEX(X:X, ROW()-1),
   INDEX(AA:AA, ROW()-COUNTIF($F$6:INDEX($F:$F, ROW()-1), $F469)) : INDEX(AA:AA, ROW()-1)
   )
   /SUM(INDEX(AA:AA, ROW()-COUNTIF($F$6:INDEX($F:$F, ROW()-1), $F469)) : INDEX(AA:AA, ROW()-1)),
   AVERAGEIFS(
     INDEX((unit_details[Asking Rent],unit_details[Asking PSF]),0,1,IF($U$3="Chunk Rent",1,2)),
     unit_details[Leased Date],"&gt;="&amp;($AM$2-X$5),
     unit_details[Leased Date],"&lt;"&amp;$AM$2,
     unit_details[Beds],$L470,
     unit_details[Baths],$M470,
     unit_details[Partial Baths],IF(ISNUMBER($N470),$N470,""),
     unit_details[Sqft],$P470,
     unit_details[Property Name],$F470)
 ),"")</f>
        <v/>
      </c>
      <c r="Y470" s="552" t="str">
        <f>IFERROR(
 IF($F470="Total",
   SUMPRODUCT(
   INDEX(Y:Y, ROW()-COUNTIF($F$6:INDEX($F:$F, ROW()-1), $F469)) : INDEX(Y:Y, ROW()-1),
   INDEX(AA:AA, ROW()-COUNTIF($F$6:INDEX($F:$F, ROW()-1), $F469)) : INDEX(AA:AA, ROW()-1)
   )
   /SUM(INDEX(AA:AA, ROW()-COUNTIF($F$6:INDEX($F:$F, ROW()-1), $F469)) : INDEX(AA:AA, ROW()-1)),
   AVERAGEIFS(
     INDEX((unit_details[Effective Rent],unit_details[Effective PSF]),0,1,IF($U$3="Chunk Rent",1,2)),
     unit_details[Leased Date],"&gt;="&amp;($AM$2-X$5),
     unit_details[Leased Date],"&lt;"&amp;$AM$2,
     unit_details[Beds],$L470,
     unit_details[Baths],$M470,
     unit_details[Partial Baths],IF(ISNUMBER($N470),$N470,""),
     unit_details[Sqft],$P470,
     unit_details[Property Name],$F470)
 ),"")</f>
        <v/>
      </c>
      <c r="Z470" s="27" t="str">
        <f t="shared" si="88"/>
        <v/>
      </c>
      <c r="AA470" s="526">
        <f>IFERROR(
  IF($F470="Total",
    SUM(INDEX(AA:AA, ROW()-COUNTIF($F$6:INDEX($F:$F, ROW()-1), $F469)) : INDEX(AA:AA, ROW()-1)),
    COUNTIFS(
      unit_details[Leased Date], "&gt;="&amp;($AM$2-X$5),
      unit_details[Leased Date], "&lt;"&amp;$AM$2,
      unit_details[Beds], $L470,
      unit_details[Baths], $M470,
      unit_details[Partial Baths], IF(ISNUMBER($N470), $N470, ""),
      unit_details[Sqft],$P470,
      unit_details[Property Name], $F470
    )
  ),
"")</f>
        <v>0</v>
      </c>
      <c r="AB470" s="290">
        <f>IF($F470="Total",
SUM(INDEX(AB:AB, ROW()-COUNTIF($F$6:INDEX($F:$F, ROW()-1), $F469)) : INDEX(AB:AB, ROW()-1)),
COUNTIFS(unit_details[Active Listing?],TRUE,
          unit_details[Property Name], $F470,
          unit_details[Beds], $L470,
          unit_details[Baths], $M470,
          unit_details[Partial Baths],IF(ISNUMBER($N470),$N470,""),
          unit_details[Sqft],$P470))</f>
        <v>0</v>
      </c>
      <c r="AC470" s="27" t="str">
        <f t="shared" si="80"/>
        <v/>
      </c>
      <c r="AD470" s="293" t="str">
        <f>IFERROR(IF(AE470="","",IF($F470="Total",
SUMPRODUCT(
   INDEX(AD:AD, ROW()-COUNTIF($F$6:INDEX($F:$F, ROW()-1), $F469)) : INDEX(AD:AD, ROW()-1),
   INDEX(AB:AB, ROW()-COUNTIF($F$6:INDEX($F:$F, ROW()-1), $F469)) : INDEX(AB:AB, ROW()-1)
   )
   /SUM(INDEX(AB:AB, ROW()-COUNTIF($F$6:INDEX($F:$F, ROW()-1), $F469)) : INDEX(AB:AB, ROW()-1)),
          _xlfn.MINIFS(unit_details[Asking Rent],
          unit_details[Active Listing?],TRUE,
          unit_details[Property Name], $F470,
          unit_details[Beds], $L470,
          unit_details[Baths], $M470,
          unit_details[Partial Baths], IF(ISNUMBER($N470),$N470,""),
          unit_details[Sqft],$P470
))),"")</f>
        <v/>
      </c>
      <c r="AE470" s="5" t="str">
        <f>IFERROR(IF($F470="Total",
          SUMPRODUCT(
   INDEX(AE:AE, ROW()-COUNTIF($F$6:INDEX($F:$F, ROW()-1), $F469)) : INDEX(AE:AE, ROW()-1),
   INDEX(AB:AB, ROW()-COUNTIF($F$6:INDEX($F:$F, ROW()-1), $F469)) : INDEX(AB:AB, ROW()-1)
   )
   /SUM(INDEX(AB:AB, ROW()-COUNTIF($F$6:INDEX($F:$F, ROW()-1), $F469)) : INDEX(AB:AB, ROW()-1)),
          AVERAGEIFS(unit_details[Asking Rent],
          unit_details[Active Listing?],TRUE,
          unit_details[Property Name], $F470,
          unit_details[Beds], $L470,
          unit_details[Baths], $M470,
          unit_details[Partial Baths], IF(ISNUMBER($N470),$N470,""),
          unit_details[Sqft],$P470
)),"")</f>
        <v/>
      </c>
      <c r="AF470" s="5" t="str">
        <f>IFERROR(IF(AE470="","",IF($F470="Total",
SUMPRODUCT(
   INDEX(AF:AF, ROW()-COUNTIF($F$6:INDEX($F:$F, ROW()-1), $F469)) : INDEX(AF:AF, ROW()-1),
   INDEX(AB:AB, ROW()-COUNTIF($F$6:INDEX($F:$F, ROW()-1), $F469)) : INDEX(AB:AB, ROW()-1)
   )
   /SUM(INDEX(AB:AB, ROW()-COUNTIF($F$6:INDEX($F:$F, ROW()-1), $F469)) : INDEX(AB:AB, ROW()-1)),
           _xlfn.MAXIFS(unit_details[Asking Rent],
          unit_details[Active Listing?],TRUE,
          unit_details[Property Name], $F470,
          unit_details[Beds], $L470,
          unit_details[Baths], $M470,
          unit_details[Partial Baths], IF(ISNUMBER($N470),$N470,""),
          unit_details[Sqft],$P470
))),"")</f>
        <v/>
      </c>
      <c r="AG470" s="6" t="str">
        <f>IFERROR(IF($F470="Total",
         SUMPRODUCT(
         INDEX(AG:AG, ROW()-COUNTIF($F$6:INDEX($F:$F, ROW()-1), $F469)) : INDEX(AG:AG, ROW()-1),
         INDEX(AB:AB, ROW()-COUNTIF($F$6:INDEX($F:$F, ROW()-1), $F469)) : INDEX(AB:AB, ROW()-1)
         )
         /SUM(INDEX(AB:AB, ROW()-COUNTIF($F$6:INDEX($F:$F, ROW()-1), $F469)) : INDEX(AB:AB, ROW()-1)),
          AVERAGEIFS(unit_details[Asking PSF],
          unit_details[Active Listing?],TRUE,
          unit_details[Property Name], $F470,
          unit_details[Beds], $L470,
          unit_details[Baths], $M470,
          unit_details[Partial Baths], IF(ISNUMBER($N470),$N470,""),
          unit_details[Sqft],$P470
)),"")</f>
        <v/>
      </c>
      <c r="AH470" s="293" t="str">
        <f>IFERROR(IF($F470="Total",
         SUMPRODUCT(
         INDEX(AH:AH, ROW()-COUNTIF($F$6:INDEX($F:$F, ROW()-1), $F469)) : INDEX(AH:AH, ROW()-1),
         INDEX(AB:AB, ROW()-COUNTIF($F$6:INDEX($F:$F, ROW()-1), $F469)) : INDEX(AB:AB, ROW()-1)
         )
         /SUM(INDEX(AB:AB, ROW()-COUNTIF($F$6:INDEX($F:$F, ROW()-1), $F469)) : INDEX(AB:AB, ROW()-1)),
          AVERAGEIFS(unit_details[Effective Rent],
          unit_details[Active Listing?],TRUE,
          unit_details[Property Name], $F470,
          unit_details[Beds], $L470,
          unit_details[Baths], $M470,
          unit_details[Partial Baths], IF(ISNUMBER($N470),$N470,""),
          unit_details[Sqft],$P470
)),"")</f>
        <v/>
      </c>
      <c r="AI470" s="6" t="str">
        <f>IFERROR(IF($F470="Total",
         SUMPRODUCT(
         INDEX(AI:AI, ROW()-COUNTIF($F$6:INDEX($F:$F, ROW()-1), $F469)) : INDEX(AI:AI, ROW()-1),
         INDEX(AB:AB, ROW()-COUNTIF($F$6:INDEX($F:$F, ROW()-1), $F469)) : INDEX(AB:AB, ROW()-1)
         )
         /SUM(INDEX(AB:AB, ROW()-COUNTIF($F$6:INDEX($F:$F, ROW()-1), $F469)) : INDEX(AB:AB, ROW()-1)),
           AVERAGEIFS(unit_details[Effective PSF],
          unit_details[Active Listing?],TRUE,
          unit_details[Property Name], $F470,
          unit_details[Beds], $L470,
          unit_details[Baths], $M470,
          unit_details[Partial Baths], IF(ISNUMBER($N470),$N470,""),
          unit_details[Sqft],$P470
)),"")</f>
        <v/>
      </c>
      <c r="AJ470" s="824" t="str">
        <f t="shared" si="81"/>
        <v/>
      </c>
      <c r="AK470" s="531" t="str">
        <f t="shared" si="82"/>
        <v/>
      </c>
      <c r="AL470" s="714" t="str">
        <f t="shared" si="83"/>
        <v/>
      </c>
      <c r="AM470" s="531" t="str">
        <f t="shared" si="84"/>
        <v/>
      </c>
      <c r="AN470" s="716" t="str">
        <f t="shared" si="85"/>
        <v/>
      </c>
    </row>
    <row r="471" spans="6:40" x14ac:dyDescent="0.2">
      <c r="F471" s="1" t="str">
        <f t="shared" si="78"/>
        <v/>
      </c>
      <c r="G471" s="713" t="str">
        <f t="shared" si="86"/>
        <v/>
      </c>
      <c r="H471" s="17" t="str">
        <f>IFERROR(VLOOKUP($G471,Table1[[Property]:[Exposure %]],4,0),"")</f>
        <v/>
      </c>
      <c r="I471" s="3" t="str">
        <f>IFERROR(VLOOKUP($G471,Table1[[Property]:[Exposure %]],6,0),"")</f>
        <v/>
      </c>
      <c r="J471" s="3" t="str">
        <f>IFERROR(VLOOKUP($G471,Table1[[Property]:[Exposure %]],7,0),"")</f>
        <v/>
      </c>
      <c r="R471" s="4" t="str">
        <f>IFERROR(VLOOKUP(IF(F471="Total",F470,F471),Table1[[Property]:['# Units]],7,0)*S471,"")</f>
        <v/>
      </c>
      <c r="S471" s="27" t="str">
        <f t="shared" si="79"/>
        <v/>
      </c>
      <c r="T471" s="531" t="str">
        <f>IFERROR(
 IF($F471="Total",
   SUMPRODUCT(
   INDEX(T:T, ROW()-COUNTIF($F$6:INDEX($F:$F, ROW()-1), $F470)) : INDEX(T:T, ROW()-1),
   INDEX(W:W, ROW()-COUNTIF($F$6:INDEX($F:$F, ROW()-1), $F470)) : INDEX(W:W, ROW()-1)
   )
   /SUM(INDEX(W:W, ROW()-COUNTIF($F$6:INDEX($F:$F, ROW()-1), $F470)) : INDEX(W:W, ROW()-1)),
   AVERAGEIFS(
     INDEX((unit_details[Asking Rent],unit_details[Asking PSF]),0,1,IF($U$3="Chunk Rent",1,2)),
     unit_details[Leased Date],"&gt;="&amp;($AM$2-T$5),
     unit_details[Leased Date],"&lt;"&amp;$AM$2,
     unit_details[Beds],$L471,
     unit_details[Baths],$M471,
     unit_details[Partial Baths],IF(ISNUMBER($N471),$N471,""),
     unit_details[Sqft],$P471,
     unit_details[Property Name],$F471)
 ),"")</f>
        <v/>
      </c>
      <c r="U471" s="552" t="str">
        <f>IFERROR(
 IF($F471="Total",
   SUMPRODUCT(
   INDEX(U:U, ROW()-COUNTIF($F$6:INDEX($F:$F, ROW()-1), $F470)) : INDEX(U:U, ROW()-1),
   INDEX(W:W, ROW()-COUNTIF($F$6:INDEX($F:$F, ROW()-1), $F470)) : INDEX(W:W, ROW()-1)
   )
   /SUM(INDEX(W:W, ROW()-COUNTIF($F$6:INDEX($F:$F, ROW()-1), $F470)) : INDEX(W:W, ROW()-1)),
   AVERAGEIFS(
     INDEX((unit_details[Effective Rent],unit_details[Effective PSF]),0,1,IF($U$3="Chunk Rent",1,2)),
     unit_details[Leased Date],"&gt;="&amp;($AM$2-T$5),
     unit_details[Leased Date],"&lt;"&amp;$AM$2,
     unit_details[Beds],$L471,
     unit_details[Baths],$M471,
     unit_details[Partial Baths],IF(ISNUMBER($N471),$N471,""),
     unit_details[Sqft],$P471,
     unit_details[Property Name],$F471)
 ),"")</f>
        <v/>
      </c>
      <c r="V471" s="27" t="str">
        <f t="shared" si="87"/>
        <v/>
      </c>
      <c r="W471" s="526">
        <f>IFERROR(
  IF($F471="Total",
    SUM(INDEX(W:W, ROW()-COUNTIF($F$6:INDEX($F:$F, ROW()-1), $F470)) : INDEX(W:W, ROW()-1)),
    COUNTIFS(
      unit_details[Leased Date], "&gt;="&amp;($AM$2-T$5),
      unit_details[Leased Date], "&lt;"&amp;$AM$2,
      unit_details[Beds], $L471,
      unit_details[Baths], $M471,
      unit_details[Partial Baths], IF(ISNUMBER($N471), $N471, ""),
      unit_details[Sqft],$P471,
      unit_details[Property Name], $F471
    )
  ),
"")</f>
        <v>0</v>
      </c>
      <c r="X471" s="531" t="str">
        <f>IFERROR(
 IF($F471="Total",
   SUMPRODUCT(
   INDEX(X:X, ROW()-COUNTIF($F$6:INDEX($F:$F, ROW()-1), $F470)) : INDEX(X:X, ROW()-1),
   INDEX(AA:AA, ROW()-COUNTIF($F$6:INDEX($F:$F, ROW()-1), $F470)) : INDEX(AA:AA, ROW()-1)
   )
   /SUM(INDEX(AA:AA, ROW()-COUNTIF($F$6:INDEX($F:$F, ROW()-1), $F470)) : INDEX(AA:AA, ROW()-1)),
   AVERAGEIFS(
     INDEX((unit_details[Asking Rent],unit_details[Asking PSF]),0,1,IF($U$3="Chunk Rent",1,2)),
     unit_details[Leased Date],"&gt;="&amp;($AM$2-X$5),
     unit_details[Leased Date],"&lt;"&amp;$AM$2,
     unit_details[Beds],$L471,
     unit_details[Baths],$M471,
     unit_details[Partial Baths],IF(ISNUMBER($N471),$N471,""),
     unit_details[Sqft],$P471,
     unit_details[Property Name],$F471)
 ),"")</f>
        <v/>
      </c>
      <c r="Y471" s="552" t="str">
        <f>IFERROR(
 IF($F471="Total",
   SUMPRODUCT(
   INDEX(Y:Y, ROW()-COUNTIF($F$6:INDEX($F:$F, ROW()-1), $F470)) : INDEX(Y:Y, ROW()-1),
   INDEX(AA:AA, ROW()-COUNTIF($F$6:INDEX($F:$F, ROW()-1), $F470)) : INDEX(AA:AA, ROW()-1)
   )
   /SUM(INDEX(AA:AA, ROW()-COUNTIF($F$6:INDEX($F:$F, ROW()-1), $F470)) : INDEX(AA:AA, ROW()-1)),
   AVERAGEIFS(
     INDEX((unit_details[Effective Rent],unit_details[Effective PSF]),0,1,IF($U$3="Chunk Rent",1,2)),
     unit_details[Leased Date],"&gt;="&amp;($AM$2-X$5),
     unit_details[Leased Date],"&lt;"&amp;$AM$2,
     unit_details[Beds],$L471,
     unit_details[Baths],$M471,
     unit_details[Partial Baths],IF(ISNUMBER($N471),$N471,""),
     unit_details[Sqft],$P471,
     unit_details[Property Name],$F471)
 ),"")</f>
        <v/>
      </c>
      <c r="Z471" s="27" t="str">
        <f t="shared" si="88"/>
        <v/>
      </c>
      <c r="AA471" s="526">
        <f>IFERROR(
  IF($F471="Total",
    SUM(INDEX(AA:AA, ROW()-COUNTIF($F$6:INDEX($F:$F, ROW()-1), $F470)) : INDEX(AA:AA, ROW()-1)),
    COUNTIFS(
      unit_details[Leased Date], "&gt;="&amp;($AM$2-X$5),
      unit_details[Leased Date], "&lt;"&amp;$AM$2,
      unit_details[Beds], $L471,
      unit_details[Baths], $M471,
      unit_details[Partial Baths], IF(ISNUMBER($N471), $N471, ""),
      unit_details[Sqft],$P471,
      unit_details[Property Name], $F471
    )
  ),
"")</f>
        <v>0</v>
      </c>
      <c r="AB471" s="290">
        <f>IF($F471="Total",
SUM(INDEX(AB:AB, ROW()-COUNTIF($F$6:INDEX($F:$F, ROW()-1), $F470)) : INDEX(AB:AB, ROW()-1)),
COUNTIFS(unit_details[Active Listing?],TRUE,
          unit_details[Property Name], $F471,
          unit_details[Beds], $L471,
          unit_details[Baths], $M471,
          unit_details[Partial Baths],IF(ISNUMBER($N471),$N471,""),
          unit_details[Sqft],$P471))</f>
        <v>0</v>
      </c>
      <c r="AC471" s="27" t="str">
        <f t="shared" si="80"/>
        <v/>
      </c>
      <c r="AD471" s="293" t="str">
        <f>IFERROR(IF(AE471="","",IF($F471="Total",
SUMPRODUCT(
   INDEX(AD:AD, ROW()-COUNTIF($F$6:INDEX($F:$F, ROW()-1), $F470)) : INDEX(AD:AD, ROW()-1),
   INDEX(AB:AB, ROW()-COUNTIF($F$6:INDEX($F:$F, ROW()-1), $F470)) : INDEX(AB:AB, ROW()-1)
   )
   /SUM(INDEX(AB:AB, ROW()-COUNTIF($F$6:INDEX($F:$F, ROW()-1), $F470)) : INDEX(AB:AB, ROW()-1)),
          _xlfn.MINIFS(unit_details[Asking Rent],
          unit_details[Active Listing?],TRUE,
          unit_details[Property Name], $F471,
          unit_details[Beds], $L471,
          unit_details[Baths], $M471,
          unit_details[Partial Baths], IF(ISNUMBER($N471),$N471,""),
          unit_details[Sqft],$P471
))),"")</f>
        <v/>
      </c>
      <c r="AE471" s="5" t="str">
        <f>IFERROR(IF($F471="Total",
          SUMPRODUCT(
   INDEX(AE:AE, ROW()-COUNTIF($F$6:INDEX($F:$F, ROW()-1), $F470)) : INDEX(AE:AE, ROW()-1),
   INDEX(AB:AB, ROW()-COUNTIF($F$6:INDEX($F:$F, ROW()-1), $F470)) : INDEX(AB:AB, ROW()-1)
   )
   /SUM(INDEX(AB:AB, ROW()-COUNTIF($F$6:INDEX($F:$F, ROW()-1), $F470)) : INDEX(AB:AB, ROW()-1)),
          AVERAGEIFS(unit_details[Asking Rent],
          unit_details[Active Listing?],TRUE,
          unit_details[Property Name], $F471,
          unit_details[Beds], $L471,
          unit_details[Baths], $M471,
          unit_details[Partial Baths], IF(ISNUMBER($N471),$N471,""),
          unit_details[Sqft],$P471
)),"")</f>
        <v/>
      </c>
      <c r="AF471" s="5" t="str">
        <f>IFERROR(IF(AE471="","",IF($F471="Total",
SUMPRODUCT(
   INDEX(AF:AF, ROW()-COUNTIF($F$6:INDEX($F:$F, ROW()-1), $F470)) : INDEX(AF:AF, ROW()-1),
   INDEX(AB:AB, ROW()-COUNTIF($F$6:INDEX($F:$F, ROW()-1), $F470)) : INDEX(AB:AB, ROW()-1)
   )
   /SUM(INDEX(AB:AB, ROW()-COUNTIF($F$6:INDEX($F:$F, ROW()-1), $F470)) : INDEX(AB:AB, ROW()-1)),
           _xlfn.MAXIFS(unit_details[Asking Rent],
          unit_details[Active Listing?],TRUE,
          unit_details[Property Name], $F471,
          unit_details[Beds], $L471,
          unit_details[Baths], $M471,
          unit_details[Partial Baths], IF(ISNUMBER($N471),$N471,""),
          unit_details[Sqft],$P471
))),"")</f>
        <v/>
      </c>
      <c r="AG471" s="6" t="str">
        <f>IFERROR(IF($F471="Total",
         SUMPRODUCT(
         INDEX(AG:AG, ROW()-COUNTIF($F$6:INDEX($F:$F, ROW()-1), $F470)) : INDEX(AG:AG, ROW()-1),
         INDEX(AB:AB, ROW()-COUNTIF($F$6:INDEX($F:$F, ROW()-1), $F470)) : INDEX(AB:AB, ROW()-1)
         )
         /SUM(INDEX(AB:AB, ROW()-COUNTIF($F$6:INDEX($F:$F, ROW()-1), $F470)) : INDEX(AB:AB, ROW()-1)),
          AVERAGEIFS(unit_details[Asking PSF],
          unit_details[Active Listing?],TRUE,
          unit_details[Property Name], $F471,
          unit_details[Beds], $L471,
          unit_details[Baths], $M471,
          unit_details[Partial Baths], IF(ISNUMBER($N471),$N471,""),
          unit_details[Sqft],$P471
)),"")</f>
        <v/>
      </c>
      <c r="AH471" s="293" t="str">
        <f>IFERROR(IF($F471="Total",
         SUMPRODUCT(
         INDEX(AH:AH, ROW()-COUNTIF($F$6:INDEX($F:$F, ROW()-1), $F470)) : INDEX(AH:AH, ROW()-1),
         INDEX(AB:AB, ROW()-COUNTIF($F$6:INDEX($F:$F, ROW()-1), $F470)) : INDEX(AB:AB, ROW()-1)
         )
         /SUM(INDEX(AB:AB, ROW()-COUNTIF($F$6:INDEX($F:$F, ROW()-1), $F470)) : INDEX(AB:AB, ROW()-1)),
          AVERAGEIFS(unit_details[Effective Rent],
          unit_details[Active Listing?],TRUE,
          unit_details[Property Name], $F471,
          unit_details[Beds], $L471,
          unit_details[Baths], $M471,
          unit_details[Partial Baths], IF(ISNUMBER($N471),$N471,""),
          unit_details[Sqft],$P471
)),"")</f>
        <v/>
      </c>
      <c r="AI471" s="6" t="str">
        <f>IFERROR(IF($F471="Total",
         SUMPRODUCT(
         INDEX(AI:AI, ROW()-COUNTIF($F$6:INDEX($F:$F, ROW()-1), $F470)) : INDEX(AI:AI, ROW()-1),
         INDEX(AB:AB, ROW()-COUNTIF($F$6:INDEX($F:$F, ROW()-1), $F470)) : INDEX(AB:AB, ROW()-1)
         )
         /SUM(INDEX(AB:AB, ROW()-COUNTIF($F$6:INDEX($F:$F, ROW()-1), $F470)) : INDEX(AB:AB, ROW()-1)),
           AVERAGEIFS(unit_details[Effective PSF],
          unit_details[Active Listing?],TRUE,
          unit_details[Property Name], $F471,
          unit_details[Beds], $L471,
          unit_details[Baths], $M471,
          unit_details[Partial Baths], IF(ISNUMBER($N471),$N471,""),
          unit_details[Sqft],$P471
)),"")</f>
        <v/>
      </c>
      <c r="AJ471" s="824" t="str">
        <f t="shared" si="81"/>
        <v/>
      </c>
      <c r="AK471" s="531" t="str">
        <f t="shared" si="82"/>
        <v/>
      </c>
      <c r="AL471" s="714" t="str">
        <f t="shared" si="83"/>
        <v/>
      </c>
      <c r="AM471" s="531" t="str">
        <f t="shared" si="84"/>
        <v/>
      </c>
      <c r="AN471" s="716" t="str">
        <f t="shared" si="85"/>
        <v/>
      </c>
    </row>
    <row r="472" spans="6:40" x14ac:dyDescent="0.2">
      <c r="F472" s="1" t="str">
        <f t="shared" si="78"/>
        <v/>
      </c>
      <c r="G472" s="713" t="str">
        <f t="shared" si="86"/>
        <v/>
      </c>
      <c r="H472" s="17" t="str">
        <f>IFERROR(VLOOKUP($G472,Table1[[Property]:[Exposure %]],4,0),"")</f>
        <v/>
      </c>
      <c r="I472" s="3" t="str">
        <f>IFERROR(VLOOKUP($G472,Table1[[Property]:[Exposure %]],6,0),"")</f>
        <v/>
      </c>
      <c r="J472" s="3" t="str">
        <f>IFERROR(VLOOKUP($G472,Table1[[Property]:[Exposure %]],7,0),"")</f>
        <v/>
      </c>
      <c r="R472" s="4" t="str">
        <f>IFERROR(VLOOKUP(IF(F472="Total",F471,F472),Table1[[Property]:['# Units]],7,0)*S472,"")</f>
        <v/>
      </c>
      <c r="S472" s="27" t="str">
        <f t="shared" si="79"/>
        <v/>
      </c>
      <c r="T472" s="531" t="str">
        <f>IFERROR(
 IF($F472="Total",
   SUMPRODUCT(
   INDEX(T:T, ROW()-COUNTIF($F$6:INDEX($F:$F, ROW()-1), $F471)) : INDEX(T:T, ROW()-1),
   INDEX(W:W, ROW()-COUNTIF($F$6:INDEX($F:$F, ROW()-1), $F471)) : INDEX(W:W, ROW()-1)
   )
   /SUM(INDEX(W:W, ROW()-COUNTIF($F$6:INDEX($F:$F, ROW()-1), $F471)) : INDEX(W:W, ROW()-1)),
   AVERAGEIFS(
     INDEX((unit_details[Asking Rent],unit_details[Asking PSF]),0,1,IF($U$3="Chunk Rent",1,2)),
     unit_details[Leased Date],"&gt;="&amp;($AM$2-T$5),
     unit_details[Leased Date],"&lt;"&amp;$AM$2,
     unit_details[Beds],$L472,
     unit_details[Baths],$M472,
     unit_details[Partial Baths],IF(ISNUMBER($N472),$N472,""),
     unit_details[Sqft],$P472,
     unit_details[Property Name],$F472)
 ),"")</f>
        <v/>
      </c>
      <c r="U472" s="552" t="str">
        <f>IFERROR(
 IF($F472="Total",
   SUMPRODUCT(
   INDEX(U:U, ROW()-COUNTIF($F$6:INDEX($F:$F, ROW()-1), $F471)) : INDEX(U:U, ROW()-1),
   INDEX(W:W, ROW()-COUNTIF($F$6:INDEX($F:$F, ROW()-1), $F471)) : INDEX(W:W, ROW()-1)
   )
   /SUM(INDEX(W:W, ROW()-COUNTIF($F$6:INDEX($F:$F, ROW()-1), $F471)) : INDEX(W:W, ROW()-1)),
   AVERAGEIFS(
     INDEX((unit_details[Effective Rent],unit_details[Effective PSF]),0,1,IF($U$3="Chunk Rent",1,2)),
     unit_details[Leased Date],"&gt;="&amp;($AM$2-T$5),
     unit_details[Leased Date],"&lt;"&amp;$AM$2,
     unit_details[Beds],$L472,
     unit_details[Baths],$M472,
     unit_details[Partial Baths],IF(ISNUMBER($N472),$N472,""),
     unit_details[Sqft],$P472,
     unit_details[Property Name],$F472)
 ),"")</f>
        <v/>
      </c>
      <c r="V472" s="27" t="str">
        <f t="shared" si="87"/>
        <v/>
      </c>
      <c r="W472" s="526">
        <f>IFERROR(
  IF($F472="Total",
    SUM(INDEX(W:W, ROW()-COUNTIF($F$6:INDEX($F:$F, ROW()-1), $F471)) : INDEX(W:W, ROW()-1)),
    COUNTIFS(
      unit_details[Leased Date], "&gt;="&amp;($AM$2-T$5),
      unit_details[Leased Date], "&lt;"&amp;$AM$2,
      unit_details[Beds], $L472,
      unit_details[Baths], $M472,
      unit_details[Partial Baths], IF(ISNUMBER($N472), $N472, ""),
      unit_details[Sqft],$P472,
      unit_details[Property Name], $F472
    )
  ),
"")</f>
        <v>0</v>
      </c>
      <c r="X472" s="531" t="str">
        <f>IFERROR(
 IF($F472="Total",
   SUMPRODUCT(
   INDEX(X:X, ROW()-COUNTIF($F$6:INDEX($F:$F, ROW()-1), $F471)) : INDEX(X:X, ROW()-1),
   INDEX(AA:AA, ROW()-COUNTIF($F$6:INDEX($F:$F, ROW()-1), $F471)) : INDEX(AA:AA, ROW()-1)
   )
   /SUM(INDEX(AA:AA, ROW()-COUNTIF($F$6:INDEX($F:$F, ROW()-1), $F471)) : INDEX(AA:AA, ROW()-1)),
   AVERAGEIFS(
     INDEX((unit_details[Asking Rent],unit_details[Asking PSF]),0,1,IF($U$3="Chunk Rent",1,2)),
     unit_details[Leased Date],"&gt;="&amp;($AM$2-X$5),
     unit_details[Leased Date],"&lt;"&amp;$AM$2,
     unit_details[Beds],$L472,
     unit_details[Baths],$M472,
     unit_details[Partial Baths],IF(ISNUMBER($N472),$N472,""),
     unit_details[Sqft],$P472,
     unit_details[Property Name],$F472)
 ),"")</f>
        <v/>
      </c>
      <c r="Y472" s="552" t="str">
        <f>IFERROR(
 IF($F472="Total",
   SUMPRODUCT(
   INDEX(Y:Y, ROW()-COUNTIF($F$6:INDEX($F:$F, ROW()-1), $F471)) : INDEX(Y:Y, ROW()-1),
   INDEX(AA:AA, ROW()-COUNTIF($F$6:INDEX($F:$F, ROW()-1), $F471)) : INDEX(AA:AA, ROW()-1)
   )
   /SUM(INDEX(AA:AA, ROW()-COUNTIF($F$6:INDEX($F:$F, ROW()-1), $F471)) : INDEX(AA:AA, ROW()-1)),
   AVERAGEIFS(
     INDEX((unit_details[Effective Rent],unit_details[Effective PSF]),0,1,IF($U$3="Chunk Rent",1,2)),
     unit_details[Leased Date],"&gt;="&amp;($AM$2-X$5),
     unit_details[Leased Date],"&lt;"&amp;$AM$2,
     unit_details[Beds],$L472,
     unit_details[Baths],$M472,
     unit_details[Partial Baths],IF(ISNUMBER($N472),$N472,""),
     unit_details[Sqft],$P472,
     unit_details[Property Name],$F472)
 ),"")</f>
        <v/>
      </c>
      <c r="Z472" s="27" t="str">
        <f t="shared" si="88"/>
        <v/>
      </c>
      <c r="AA472" s="526">
        <f>IFERROR(
  IF($F472="Total",
    SUM(INDEX(AA:AA, ROW()-COUNTIF($F$6:INDEX($F:$F, ROW()-1), $F471)) : INDEX(AA:AA, ROW()-1)),
    COUNTIFS(
      unit_details[Leased Date], "&gt;="&amp;($AM$2-X$5),
      unit_details[Leased Date], "&lt;"&amp;$AM$2,
      unit_details[Beds], $L472,
      unit_details[Baths], $M472,
      unit_details[Partial Baths], IF(ISNUMBER($N472), $N472, ""),
      unit_details[Sqft],$P472,
      unit_details[Property Name], $F472
    )
  ),
"")</f>
        <v>0</v>
      </c>
      <c r="AB472" s="290">
        <f>IF($F472="Total",
SUM(INDEX(AB:AB, ROW()-COUNTIF($F$6:INDEX($F:$F, ROW()-1), $F471)) : INDEX(AB:AB, ROW()-1)),
COUNTIFS(unit_details[Active Listing?],TRUE,
          unit_details[Property Name], $F472,
          unit_details[Beds], $L472,
          unit_details[Baths], $M472,
          unit_details[Partial Baths],IF(ISNUMBER($N472),$N472,""),
          unit_details[Sqft],$P472))</f>
        <v>0</v>
      </c>
      <c r="AC472" s="27" t="str">
        <f t="shared" si="80"/>
        <v/>
      </c>
      <c r="AD472" s="293" t="str">
        <f>IFERROR(IF(AE472="","",IF($F472="Total",
SUMPRODUCT(
   INDEX(AD:AD, ROW()-COUNTIF($F$6:INDEX($F:$F, ROW()-1), $F471)) : INDEX(AD:AD, ROW()-1),
   INDEX(AB:AB, ROW()-COUNTIF($F$6:INDEX($F:$F, ROW()-1), $F471)) : INDEX(AB:AB, ROW()-1)
   )
   /SUM(INDEX(AB:AB, ROW()-COUNTIF($F$6:INDEX($F:$F, ROW()-1), $F471)) : INDEX(AB:AB, ROW()-1)),
          _xlfn.MINIFS(unit_details[Asking Rent],
          unit_details[Active Listing?],TRUE,
          unit_details[Property Name], $F472,
          unit_details[Beds], $L472,
          unit_details[Baths], $M472,
          unit_details[Partial Baths], IF(ISNUMBER($N472),$N472,""),
          unit_details[Sqft],$P472
))),"")</f>
        <v/>
      </c>
      <c r="AE472" s="5" t="str">
        <f>IFERROR(IF($F472="Total",
          SUMPRODUCT(
   INDEX(AE:AE, ROW()-COUNTIF($F$6:INDEX($F:$F, ROW()-1), $F471)) : INDEX(AE:AE, ROW()-1),
   INDEX(AB:AB, ROW()-COUNTIF($F$6:INDEX($F:$F, ROW()-1), $F471)) : INDEX(AB:AB, ROW()-1)
   )
   /SUM(INDEX(AB:AB, ROW()-COUNTIF($F$6:INDEX($F:$F, ROW()-1), $F471)) : INDEX(AB:AB, ROW()-1)),
          AVERAGEIFS(unit_details[Asking Rent],
          unit_details[Active Listing?],TRUE,
          unit_details[Property Name], $F472,
          unit_details[Beds], $L472,
          unit_details[Baths], $M472,
          unit_details[Partial Baths], IF(ISNUMBER($N472),$N472,""),
          unit_details[Sqft],$P472
)),"")</f>
        <v/>
      </c>
      <c r="AF472" s="5" t="str">
        <f>IFERROR(IF(AE472="","",IF($F472="Total",
SUMPRODUCT(
   INDEX(AF:AF, ROW()-COUNTIF($F$6:INDEX($F:$F, ROW()-1), $F471)) : INDEX(AF:AF, ROW()-1),
   INDEX(AB:AB, ROW()-COUNTIF($F$6:INDEX($F:$F, ROW()-1), $F471)) : INDEX(AB:AB, ROW()-1)
   )
   /SUM(INDEX(AB:AB, ROW()-COUNTIF($F$6:INDEX($F:$F, ROW()-1), $F471)) : INDEX(AB:AB, ROW()-1)),
           _xlfn.MAXIFS(unit_details[Asking Rent],
          unit_details[Active Listing?],TRUE,
          unit_details[Property Name], $F472,
          unit_details[Beds], $L472,
          unit_details[Baths], $M472,
          unit_details[Partial Baths], IF(ISNUMBER($N472),$N472,""),
          unit_details[Sqft],$P472
))),"")</f>
        <v/>
      </c>
      <c r="AG472" s="6" t="str">
        <f>IFERROR(IF($F472="Total",
         SUMPRODUCT(
         INDEX(AG:AG, ROW()-COUNTIF($F$6:INDEX($F:$F, ROW()-1), $F471)) : INDEX(AG:AG, ROW()-1),
         INDEX(AB:AB, ROW()-COUNTIF($F$6:INDEX($F:$F, ROW()-1), $F471)) : INDEX(AB:AB, ROW()-1)
         )
         /SUM(INDEX(AB:AB, ROW()-COUNTIF($F$6:INDEX($F:$F, ROW()-1), $F471)) : INDEX(AB:AB, ROW()-1)),
          AVERAGEIFS(unit_details[Asking PSF],
          unit_details[Active Listing?],TRUE,
          unit_details[Property Name], $F472,
          unit_details[Beds], $L472,
          unit_details[Baths], $M472,
          unit_details[Partial Baths], IF(ISNUMBER($N472),$N472,""),
          unit_details[Sqft],$P472
)),"")</f>
        <v/>
      </c>
      <c r="AH472" s="293" t="str">
        <f>IFERROR(IF($F472="Total",
         SUMPRODUCT(
         INDEX(AH:AH, ROW()-COUNTIF($F$6:INDEX($F:$F, ROW()-1), $F471)) : INDEX(AH:AH, ROW()-1),
         INDEX(AB:AB, ROW()-COUNTIF($F$6:INDEX($F:$F, ROW()-1), $F471)) : INDEX(AB:AB, ROW()-1)
         )
         /SUM(INDEX(AB:AB, ROW()-COUNTIF($F$6:INDEX($F:$F, ROW()-1), $F471)) : INDEX(AB:AB, ROW()-1)),
          AVERAGEIFS(unit_details[Effective Rent],
          unit_details[Active Listing?],TRUE,
          unit_details[Property Name], $F472,
          unit_details[Beds], $L472,
          unit_details[Baths], $M472,
          unit_details[Partial Baths], IF(ISNUMBER($N472),$N472,""),
          unit_details[Sqft],$P472
)),"")</f>
        <v/>
      </c>
      <c r="AI472" s="6" t="str">
        <f>IFERROR(IF($F472="Total",
         SUMPRODUCT(
         INDEX(AI:AI, ROW()-COUNTIF($F$6:INDEX($F:$F, ROW()-1), $F471)) : INDEX(AI:AI, ROW()-1),
         INDEX(AB:AB, ROW()-COUNTIF($F$6:INDEX($F:$F, ROW()-1), $F471)) : INDEX(AB:AB, ROW()-1)
         )
         /SUM(INDEX(AB:AB, ROW()-COUNTIF($F$6:INDEX($F:$F, ROW()-1), $F471)) : INDEX(AB:AB, ROW()-1)),
           AVERAGEIFS(unit_details[Effective PSF],
          unit_details[Active Listing?],TRUE,
          unit_details[Property Name], $F472,
          unit_details[Beds], $L472,
          unit_details[Baths], $M472,
          unit_details[Partial Baths], IF(ISNUMBER($N472),$N472,""),
          unit_details[Sqft],$P472
)),"")</f>
        <v/>
      </c>
      <c r="AJ472" s="824" t="str">
        <f t="shared" si="81"/>
        <v/>
      </c>
      <c r="AK472" s="531" t="str">
        <f t="shared" si="82"/>
        <v/>
      </c>
      <c r="AL472" s="714" t="str">
        <f t="shared" si="83"/>
        <v/>
      </c>
      <c r="AM472" s="531" t="str">
        <f t="shared" si="84"/>
        <v/>
      </c>
      <c r="AN472" s="716" t="str">
        <f t="shared" si="85"/>
        <v/>
      </c>
    </row>
    <row r="473" spans="6:40" x14ac:dyDescent="0.2">
      <c r="F473" s="1" t="str">
        <f t="shared" si="78"/>
        <v/>
      </c>
      <c r="G473" s="713" t="str">
        <f t="shared" si="86"/>
        <v/>
      </c>
      <c r="H473" s="17" t="str">
        <f>IFERROR(VLOOKUP($G473,Table1[[Property]:[Exposure %]],4,0),"")</f>
        <v/>
      </c>
      <c r="I473" s="3" t="str">
        <f>IFERROR(VLOOKUP($G473,Table1[[Property]:[Exposure %]],6,0),"")</f>
        <v/>
      </c>
      <c r="J473" s="3" t="str">
        <f>IFERROR(VLOOKUP($G473,Table1[[Property]:[Exposure %]],7,0),"")</f>
        <v/>
      </c>
      <c r="R473" s="4" t="str">
        <f>IFERROR(VLOOKUP(IF(F473="Total",F472,F473),Table1[[Property]:['# Units]],7,0)*S473,"")</f>
        <v/>
      </c>
      <c r="S473" s="27" t="str">
        <f t="shared" si="79"/>
        <v/>
      </c>
      <c r="T473" s="531" t="str">
        <f>IFERROR(
 IF($F473="Total",
   SUMPRODUCT(
   INDEX(T:T, ROW()-COUNTIF($F$6:INDEX($F:$F, ROW()-1), $F472)) : INDEX(T:T, ROW()-1),
   INDEX(W:W, ROW()-COUNTIF($F$6:INDEX($F:$F, ROW()-1), $F472)) : INDEX(W:W, ROW()-1)
   )
   /SUM(INDEX(W:W, ROW()-COUNTIF($F$6:INDEX($F:$F, ROW()-1), $F472)) : INDEX(W:W, ROW()-1)),
   AVERAGEIFS(
     INDEX((unit_details[Asking Rent],unit_details[Asking PSF]),0,1,IF($U$3="Chunk Rent",1,2)),
     unit_details[Leased Date],"&gt;="&amp;($AM$2-T$5),
     unit_details[Leased Date],"&lt;"&amp;$AM$2,
     unit_details[Beds],$L473,
     unit_details[Baths],$M473,
     unit_details[Partial Baths],IF(ISNUMBER($N473),$N473,""),
     unit_details[Sqft],$P473,
     unit_details[Property Name],$F473)
 ),"")</f>
        <v/>
      </c>
      <c r="U473" s="552" t="str">
        <f>IFERROR(
 IF($F473="Total",
   SUMPRODUCT(
   INDEX(U:U, ROW()-COUNTIF($F$6:INDEX($F:$F, ROW()-1), $F472)) : INDEX(U:U, ROW()-1),
   INDEX(W:W, ROW()-COUNTIF($F$6:INDEX($F:$F, ROW()-1), $F472)) : INDEX(W:W, ROW()-1)
   )
   /SUM(INDEX(W:W, ROW()-COUNTIF($F$6:INDEX($F:$F, ROW()-1), $F472)) : INDEX(W:W, ROW()-1)),
   AVERAGEIFS(
     INDEX((unit_details[Effective Rent],unit_details[Effective PSF]),0,1,IF($U$3="Chunk Rent",1,2)),
     unit_details[Leased Date],"&gt;="&amp;($AM$2-T$5),
     unit_details[Leased Date],"&lt;"&amp;$AM$2,
     unit_details[Beds],$L473,
     unit_details[Baths],$M473,
     unit_details[Partial Baths],IF(ISNUMBER($N473),$N473,""),
     unit_details[Sqft],$P473,
     unit_details[Property Name],$F473)
 ),"")</f>
        <v/>
      </c>
      <c r="V473" s="27" t="str">
        <f t="shared" si="87"/>
        <v/>
      </c>
      <c r="W473" s="526">
        <f>IFERROR(
  IF($F473="Total",
    SUM(INDEX(W:W, ROW()-COUNTIF($F$6:INDEX($F:$F, ROW()-1), $F472)) : INDEX(W:W, ROW()-1)),
    COUNTIFS(
      unit_details[Leased Date], "&gt;="&amp;($AM$2-T$5),
      unit_details[Leased Date], "&lt;"&amp;$AM$2,
      unit_details[Beds], $L473,
      unit_details[Baths], $M473,
      unit_details[Partial Baths], IF(ISNUMBER($N473), $N473, ""),
      unit_details[Sqft],$P473,
      unit_details[Property Name], $F473
    )
  ),
"")</f>
        <v>0</v>
      </c>
      <c r="X473" s="531" t="str">
        <f>IFERROR(
 IF($F473="Total",
   SUMPRODUCT(
   INDEX(X:X, ROW()-COUNTIF($F$6:INDEX($F:$F, ROW()-1), $F472)) : INDEX(X:X, ROW()-1),
   INDEX(AA:AA, ROW()-COUNTIF($F$6:INDEX($F:$F, ROW()-1), $F472)) : INDEX(AA:AA, ROW()-1)
   )
   /SUM(INDEX(AA:AA, ROW()-COUNTIF($F$6:INDEX($F:$F, ROW()-1), $F472)) : INDEX(AA:AA, ROW()-1)),
   AVERAGEIFS(
     INDEX((unit_details[Asking Rent],unit_details[Asking PSF]),0,1,IF($U$3="Chunk Rent",1,2)),
     unit_details[Leased Date],"&gt;="&amp;($AM$2-X$5),
     unit_details[Leased Date],"&lt;"&amp;$AM$2,
     unit_details[Beds],$L473,
     unit_details[Baths],$M473,
     unit_details[Partial Baths],IF(ISNUMBER($N473),$N473,""),
     unit_details[Sqft],$P473,
     unit_details[Property Name],$F473)
 ),"")</f>
        <v/>
      </c>
      <c r="Y473" s="552" t="str">
        <f>IFERROR(
 IF($F473="Total",
   SUMPRODUCT(
   INDEX(Y:Y, ROW()-COUNTIF($F$6:INDEX($F:$F, ROW()-1), $F472)) : INDEX(Y:Y, ROW()-1),
   INDEX(AA:AA, ROW()-COUNTIF($F$6:INDEX($F:$F, ROW()-1), $F472)) : INDEX(AA:AA, ROW()-1)
   )
   /SUM(INDEX(AA:AA, ROW()-COUNTIF($F$6:INDEX($F:$F, ROW()-1), $F472)) : INDEX(AA:AA, ROW()-1)),
   AVERAGEIFS(
     INDEX((unit_details[Effective Rent],unit_details[Effective PSF]),0,1,IF($U$3="Chunk Rent",1,2)),
     unit_details[Leased Date],"&gt;="&amp;($AM$2-X$5),
     unit_details[Leased Date],"&lt;"&amp;$AM$2,
     unit_details[Beds],$L473,
     unit_details[Baths],$M473,
     unit_details[Partial Baths],IF(ISNUMBER($N473),$N473,""),
     unit_details[Sqft],$P473,
     unit_details[Property Name],$F473)
 ),"")</f>
        <v/>
      </c>
      <c r="Z473" s="27" t="str">
        <f t="shared" si="88"/>
        <v/>
      </c>
      <c r="AA473" s="526">
        <f>IFERROR(
  IF($F473="Total",
    SUM(INDEX(AA:AA, ROW()-COUNTIF($F$6:INDEX($F:$F, ROW()-1), $F472)) : INDEX(AA:AA, ROW()-1)),
    COUNTIFS(
      unit_details[Leased Date], "&gt;="&amp;($AM$2-X$5),
      unit_details[Leased Date], "&lt;"&amp;$AM$2,
      unit_details[Beds], $L473,
      unit_details[Baths], $M473,
      unit_details[Partial Baths], IF(ISNUMBER($N473), $N473, ""),
      unit_details[Sqft],$P473,
      unit_details[Property Name], $F473
    )
  ),
"")</f>
        <v>0</v>
      </c>
      <c r="AB473" s="290">
        <f>IF($F473="Total",
SUM(INDEX(AB:AB, ROW()-COUNTIF($F$6:INDEX($F:$F, ROW()-1), $F472)) : INDEX(AB:AB, ROW()-1)),
COUNTIFS(unit_details[Active Listing?],TRUE,
          unit_details[Property Name], $F473,
          unit_details[Beds], $L473,
          unit_details[Baths], $M473,
          unit_details[Partial Baths],IF(ISNUMBER($N473),$N473,""),
          unit_details[Sqft],$P473))</f>
        <v>0</v>
      </c>
      <c r="AC473" s="27" t="str">
        <f t="shared" si="80"/>
        <v/>
      </c>
      <c r="AD473" s="293" t="str">
        <f>IFERROR(IF(AE473="","",IF($F473="Total",
SUMPRODUCT(
   INDEX(AD:AD, ROW()-COUNTIF($F$6:INDEX($F:$F, ROW()-1), $F472)) : INDEX(AD:AD, ROW()-1),
   INDEX(AB:AB, ROW()-COUNTIF($F$6:INDEX($F:$F, ROW()-1), $F472)) : INDEX(AB:AB, ROW()-1)
   )
   /SUM(INDEX(AB:AB, ROW()-COUNTIF($F$6:INDEX($F:$F, ROW()-1), $F472)) : INDEX(AB:AB, ROW()-1)),
          _xlfn.MINIFS(unit_details[Asking Rent],
          unit_details[Active Listing?],TRUE,
          unit_details[Property Name], $F473,
          unit_details[Beds], $L473,
          unit_details[Baths], $M473,
          unit_details[Partial Baths], IF(ISNUMBER($N473),$N473,""),
          unit_details[Sqft],$P473
))),"")</f>
        <v/>
      </c>
      <c r="AE473" s="5" t="str">
        <f>IFERROR(IF($F473="Total",
          SUMPRODUCT(
   INDEX(AE:AE, ROW()-COUNTIF($F$6:INDEX($F:$F, ROW()-1), $F472)) : INDEX(AE:AE, ROW()-1),
   INDEX(AB:AB, ROW()-COUNTIF($F$6:INDEX($F:$F, ROW()-1), $F472)) : INDEX(AB:AB, ROW()-1)
   )
   /SUM(INDEX(AB:AB, ROW()-COUNTIF($F$6:INDEX($F:$F, ROW()-1), $F472)) : INDEX(AB:AB, ROW()-1)),
          AVERAGEIFS(unit_details[Asking Rent],
          unit_details[Active Listing?],TRUE,
          unit_details[Property Name], $F473,
          unit_details[Beds], $L473,
          unit_details[Baths], $M473,
          unit_details[Partial Baths], IF(ISNUMBER($N473),$N473,""),
          unit_details[Sqft],$P473
)),"")</f>
        <v/>
      </c>
      <c r="AF473" s="5" t="str">
        <f>IFERROR(IF(AE473="","",IF($F473="Total",
SUMPRODUCT(
   INDEX(AF:AF, ROW()-COUNTIF($F$6:INDEX($F:$F, ROW()-1), $F472)) : INDEX(AF:AF, ROW()-1),
   INDEX(AB:AB, ROW()-COUNTIF($F$6:INDEX($F:$F, ROW()-1), $F472)) : INDEX(AB:AB, ROW()-1)
   )
   /SUM(INDEX(AB:AB, ROW()-COUNTIF($F$6:INDEX($F:$F, ROW()-1), $F472)) : INDEX(AB:AB, ROW()-1)),
           _xlfn.MAXIFS(unit_details[Asking Rent],
          unit_details[Active Listing?],TRUE,
          unit_details[Property Name], $F473,
          unit_details[Beds], $L473,
          unit_details[Baths], $M473,
          unit_details[Partial Baths], IF(ISNUMBER($N473),$N473,""),
          unit_details[Sqft],$P473
))),"")</f>
        <v/>
      </c>
      <c r="AG473" s="6" t="str">
        <f>IFERROR(IF($F473="Total",
         SUMPRODUCT(
         INDEX(AG:AG, ROW()-COUNTIF($F$6:INDEX($F:$F, ROW()-1), $F472)) : INDEX(AG:AG, ROW()-1),
         INDEX(AB:AB, ROW()-COUNTIF($F$6:INDEX($F:$F, ROW()-1), $F472)) : INDEX(AB:AB, ROW()-1)
         )
         /SUM(INDEX(AB:AB, ROW()-COUNTIF($F$6:INDEX($F:$F, ROW()-1), $F472)) : INDEX(AB:AB, ROW()-1)),
          AVERAGEIFS(unit_details[Asking PSF],
          unit_details[Active Listing?],TRUE,
          unit_details[Property Name], $F473,
          unit_details[Beds], $L473,
          unit_details[Baths], $M473,
          unit_details[Partial Baths], IF(ISNUMBER($N473),$N473,""),
          unit_details[Sqft],$P473
)),"")</f>
        <v/>
      </c>
      <c r="AH473" s="293" t="str">
        <f>IFERROR(IF($F473="Total",
         SUMPRODUCT(
         INDEX(AH:AH, ROW()-COUNTIF($F$6:INDEX($F:$F, ROW()-1), $F472)) : INDEX(AH:AH, ROW()-1),
         INDEX(AB:AB, ROW()-COUNTIF($F$6:INDEX($F:$F, ROW()-1), $F472)) : INDEX(AB:AB, ROW()-1)
         )
         /SUM(INDEX(AB:AB, ROW()-COUNTIF($F$6:INDEX($F:$F, ROW()-1), $F472)) : INDEX(AB:AB, ROW()-1)),
          AVERAGEIFS(unit_details[Effective Rent],
          unit_details[Active Listing?],TRUE,
          unit_details[Property Name], $F473,
          unit_details[Beds], $L473,
          unit_details[Baths], $M473,
          unit_details[Partial Baths], IF(ISNUMBER($N473),$N473,""),
          unit_details[Sqft],$P473
)),"")</f>
        <v/>
      </c>
      <c r="AI473" s="6" t="str">
        <f>IFERROR(IF($F473="Total",
         SUMPRODUCT(
         INDEX(AI:AI, ROW()-COUNTIF($F$6:INDEX($F:$F, ROW()-1), $F472)) : INDEX(AI:AI, ROW()-1),
         INDEX(AB:AB, ROW()-COUNTIF($F$6:INDEX($F:$F, ROW()-1), $F472)) : INDEX(AB:AB, ROW()-1)
         )
         /SUM(INDEX(AB:AB, ROW()-COUNTIF($F$6:INDEX($F:$F, ROW()-1), $F472)) : INDEX(AB:AB, ROW()-1)),
           AVERAGEIFS(unit_details[Effective PSF],
          unit_details[Active Listing?],TRUE,
          unit_details[Property Name], $F473,
          unit_details[Beds], $L473,
          unit_details[Baths], $M473,
          unit_details[Partial Baths], IF(ISNUMBER($N473),$N473,""),
          unit_details[Sqft],$P473
)),"")</f>
        <v/>
      </c>
      <c r="AJ473" s="824" t="str">
        <f t="shared" si="81"/>
        <v/>
      </c>
      <c r="AK473" s="531" t="str">
        <f t="shared" si="82"/>
        <v/>
      </c>
      <c r="AL473" s="714" t="str">
        <f t="shared" si="83"/>
        <v/>
      </c>
      <c r="AM473" s="531" t="str">
        <f t="shared" si="84"/>
        <v/>
      </c>
      <c r="AN473" s="716" t="str">
        <f t="shared" si="85"/>
        <v/>
      </c>
    </row>
    <row r="474" spans="6:40" x14ac:dyDescent="0.2">
      <c r="F474" s="1" t="str">
        <f t="shared" si="78"/>
        <v/>
      </c>
      <c r="G474" s="713" t="str">
        <f t="shared" si="86"/>
        <v/>
      </c>
      <c r="H474" s="17" t="str">
        <f>IFERROR(VLOOKUP($G474,Table1[[Property]:[Exposure %]],4,0),"")</f>
        <v/>
      </c>
      <c r="I474" s="3" t="str">
        <f>IFERROR(VLOOKUP($G474,Table1[[Property]:[Exposure %]],6,0),"")</f>
        <v/>
      </c>
      <c r="J474" s="3" t="str">
        <f>IFERROR(VLOOKUP($G474,Table1[[Property]:[Exposure %]],7,0),"")</f>
        <v/>
      </c>
      <c r="R474" s="4" t="str">
        <f>IFERROR(VLOOKUP(IF(F474="Total",F473,F474),Table1[[Property]:['# Units]],7,0)*S474,"")</f>
        <v/>
      </c>
      <c r="S474" s="27" t="str">
        <f t="shared" si="79"/>
        <v/>
      </c>
      <c r="T474" s="531" t="str">
        <f>IFERROR(
 IF($F474="Total",
   SUMPRODUCT(
   INDEX(T:T, ROW()-COUNTIF($F$6:INDEX($F:$F, ROW()-1), $F473)) : INDEX(T:T, ROW()-1),
   INDEX(W:W, ROW()-COUNTIF($F$6:INDEX($F:$F, ROW()-1), $F473)) : INDEX(W:W, ROW()-1)
   )
   /SUM(INDEX(W:W, ROW()-COUNTIF($F$6:INDEX($F:$F, ROW()-1), $F473)) : INDEX(W:W, ROW()-1)),
   AVERAGEIFS(
     INDEX((unit_details[Asking Rent],unit_details[Asking PSF]),0,1,IF($U$3="Chunk Rent",1,2)),
     unit_details[Leased Date],"&gt;="&amp;($AM$2-T$5),
     unit_details[Leased Date],"&lt;"&amp;$AM$2,
     unit_details[Beds],$L474,
     unit_details[Baths],$M474,
     unit_details[Partial Baths],IF(ISNUMBER($N474),$N474,""),
     unit_details[Sqft],$P474,
     unit_details[Property Name],$F474)
 ),"")</f>
        <v/>
      </c>
      <c r="U474" s="552" t="str">
        <f>IFERROR(
 IF($F474="Total",
   SUMPRODUCT(
   INDEX(U:U, ROW()-COUNTIF($F$6:INDEX($F:$F, ROW()-1), $F473)) : INDEX(U:U, ROW()-1),
   INDEX(W:W, ROW()-COUNTIF($F$6:INDEX($F:$F, ROW()-1), $F473)) : INDEX(W:W, ROW()-1)
   )
   /SUM(INDEX(W:W, ROW()-COUNTIF($F$6:INDEX($F:$F, ROW()-1), $F473)) : INDEX(W:W, ROW()-1)),
   AVERAGEIFS(
     INDEX((unit_details[Effective Rent],unit_details[Effective PSF]),0,1,IF($U$3="Chunk Rent",1,2)),
     unit_details[Leased Date],"&gt;="&amp;($AM$2-T$5),
     unit_details[Leased Date],"&lt;"&amp;$AM$2,
     unit_details[Beds],$L474,
     unit_details[Baths],$M474,
     unit_details[Partial Baths],IF(ISNUMBER($N474),$N474,""),
     unit_details[Sqft],$P474,
     unit_details[Property Name],$F474)
 ),"")</f>
        <v/>
      </c>
      <c r="V474" s="27" t="str">
        <f t="shared" si="87"/>
        <v/>
      </c>
      <c r="W474" s="526">
        <f>IFERROR(
  IF($F474="Total",
    SUM(INDEX(W:W, ROW()-COUNTIF($F$6:INDEX($F:$F, ROW()-1), $F473)) : INDEX(W:W, ROW()-1)),
    COUNTIFS(
      unit_details[Leased Date], "&gt;="&amp;($AM$2-T$5),
      unit_details[Leased Date], "&lt;"&amp;$AM$2,
      unit_details[Beds], $L474,
      unit_details[Baths], $M474,
      unit_details[Partial Baths], IF(ISNUMBER($N474), $N474, ""),
      unit_details[Sqft],$P474,
      unit_details[Property Name], $F474
    )
  ),
"")</f>
        <v>0</v>
      </c>
      <c r="X474" s="531" t="str">
        <f>IFERROR(
 IF($F474="Total",
   SUMPRODUCT(
   INDEX(X:X, ROW()-COUNTIF($F$6:INDEX($F:$F, ROW()-1), $F473)) : INDEX(X:X, ROW()-1),
   INDEX(AA:AA, ROW()-COUNTIF($F$6:INDEX($F:$F, ROW()-1), $F473)) : INDEX(AA:AA, ROW()-1)
   )
   /SUM(INDEX(AA:AA, ROW()-COUNTIF($F$6:INDEX($F:$F, ROW()-1), $F473)) : INDEX(AA:AA, ROW()-1)),
   AVERAGEIFS(
     INDEX((unit_details[Asking Rent],unit_details[Asking PSF]),0,1,IF($U$3="Chunk Rent",1,2)),
     unit_details[Leased Date],"&gt;="&amp;($AM$2-X$5),
     unit_details[Leased Date],"&lt;"&amp;$AM$2,
     unit_details[Beds],$L474,
     unit_details[Baths],$M474,
     unit_details[Partial Baths],IF(ISNUMBER($N474),$N474,""),
     unit_details[Sqft],$P474,
     unit_details[Property Name],$F474)
 ),"")</f>
        <v/>
      </c>
      <c r="Y474" s="552" t="str">
        <f>IFERROR(
 IF($F474="Total",
   SUMPRODUCT(
   INDEX(Y:Y, ROW()-COUNTIF($F$6:INDEX($F:$F, ROW()-1), $F473)) : INDEX(Y:Y, ROW()-1),
   INDEX(AA:AA, ROW()-COUNTIF($F$6:INDEX($F:$F, ROW()-1), $F473)) : INDEX(AA:AA, ROW()-1)
   )
   /SUM(INDEX(AA:AA, ROW()-COUNTIF($F$6:INDEX($F:$F, ROW()-1), $F473)) : INDEX(AA:AA, ROW()-1)),
   AVERAGEIFS(
     INDEX((unit_details[Effective Rent],unit_details[Effective PSF]),0,1,IF($U$3="Chunk Rent",1,2)),
     unit_details[Leased Date],"&gt;="&amp;($AM$2-X$5),
     unit_details[Leased Date],"&lt;"&amp;$AM$2,
     unit_details[Beds],$L474,
     unit_details[Baths],$M474,
     unit_details[Partial Baths],IF(ISNUMBER($N474),$N474,""),
     unit_details[Sqft],$P474,
     unit_details[Property Name],$F474)
 ),"")</f>
        <v/>
      </c>
      <c r="Z474" s="27" t="str">
        <f t="shared" si="88"/>
        <v/>
      </c>
      <c r="AA474" s="526">
        <f>IFERROR(
  IF($F474="Total",
    SUM(INDEX(AA:AA, ROW()-COUNTIF($F$6:INDEX($F:$F, ROW()-1), $F473)) : INDEX(AA:AA, ROW()-1)),
    COUNTIFS(
      unit_details[Leased Date], "&gt;="&amp;($AM$2-X$5),
      unit_details[Leased Date], "&lt;"&amp;$AM$2,
      unit_details[Beds], $L474,
      unit_details[Baths], $M474,
      unit_details[Partial Baths], IF(ISNUMBER($N474), $N474, ""),
      unit_details[Sqft],$P474,
      unit_details[Property Name], $F474
    )
  ),
"")</f>
        <v>0</v>
      </c>
      <c r="AB474" s="290">
        <f>IF($F474="Total",
SUM(INDEX(AB:AB, ROW()-COUNTIF($F$6:INDEX($F:$F, ROW()-1), $F473)) : INDEX(AB:AB, ROW()-1)),
COUNTIFS(unit_details[Active Listing?],TRUE,
          unit_details[Property Name], $F474,
          unit_details[Beds], $L474,
          unit_details[Baths], $M474,
          unit_details[Partial Baths],IF(ISNUMBER($N474),$N474,""),
          unit_details[Sqft],$P474))</f>
        <v>0</v>
      </c>
      <c r="AC474" s="27" t="str">
        <f t="shared" si="80"/>
        <v/>
      </c>
      <c r="AD474" s="293" t="str">
        <f>IFERROR(IF(AE474="","",IF($F474="Total",
SUMPRODUCT(
   INDEX(AD:AD, ROW()-COUNTIF($F$6:INDEX($F:$F, ROW()-1), $F473)) : INDEX(AD:AD, ROW()-1),
   INDEX(AB:AB, ROW()-COUNTIF($F$6:INDEX($F:$F, ROW()-1), $F473)) : INDEX(AB:AB, ROW()-1)
   )
   /SUM(INDEX(AB:AB, ROW()-COUNTIF($F$6:INDEX($F:$F, ROW()-1), $F473)) : INDEX(AB:AB, ROW()-1)),
          _xlfn.MINIFS(unit_details[Asking Rent],
          unit_details[Active Listing?],TRUE,
          unit_details[Property Name], $F474,
          unit_details[Beds], $L474,
          unit_details[Baths], $M474,
          unit_details[Partial Baths], IF(ISNUMBER($N474),$N474,""),
          unit_details[Sqft],$P474
))),"")</f>
        <v/>
      </c>
      <c r="AE474" s="5" t="str">
        <f>IFERROR(IF($F474="Total",
          SUMPRODUCT(
   INDEX(AE:AE, ROW()-COUNTIF($F$6:INDEX($F:$F, ROW()-1), $F473)) : INDEX(AE:AE, ROW()-1),
   INDEX(AB:AB, ROW()-COUNTIF($F$6:INDEX($F:$F, ROW()-1), $F473)) : INDEX(AB:AB, ROW()-1)
   )
   /SUM(INDEX(AB:AB, ROW()-COUNTIF($F$6:INDEX($F:$F, ROW()-1), $F473)) : INDEX(AB:AB, ROW()-1)),
          AVERAGEIFS(unit_details[Asking Rent],
          unit_details[Active Listing?],TRUE,
          unit_details[Property Name], $F474,
          unit_details[Beds], $L474,
          unit_details[Baths], $M474,
          unit_details[Partial Baths], IF(ISNUMBER($N474),$N474,""),
          unit_details[Sqft],$P474
)),"")</f>
        <v/>
      </c>
      <c r="AF474" s="5" t="str">
        <f>IFERROR(IF(AE474="","",IF($F474="Total",
SUMPRODUCT(
   INDEX(AF:AF, ROW()-COUNTIF($F$6:INDEX($F:$F, ROW()-1), $F473)) : INDEX(AF:AF, ROW()-1),
   INDEX(AB:AB, ROW()-COUNTIF($F$6:INDEX($F:$F, ROW()-1), $F473)) : INDEX(AB:AB, ROW()-1)
   )
   /SUM(INDEX(AB:AB, ROW()-COUNTIF($F$6:INDEX($F:$F, ROW()-1), $F473)) : INDEX(AB:AB, ROW()-1)),
           _xlfn.MAXIFS(unit_details[Asking Rent],
          unit_details[Active Listing?],TRUE,
          unit_details[Property Name], $F474,
          unit_details[Beds], $L474,
          unit_details[Baths], $M474,
          unit_details[Partial Baths], IF(ISNUMBER($N474),$N474,""),
          unit_details[Sqft],$P474
))),"")</f>
        <v/>
      </c>
      <c r="AG474" s="6" t="str">
        <f>IFERROR(IF($F474="Total",
         SUMPRODUCT(
         INDEX(AG:AG, ROW()-COUNTIF($F$6:INDEX($F:$F, ROW()-1), $F473)) : INDEX(AG:AG, ROW()-1),
         INDEX(AB:AB, ROW()-COUNTIF($F$6:INDEX($F:$F, ROW()-1), $F473)) : INDEX(AB:AB, ROW()-1)
         )
         /SUM(INDEX(AB:AB, ROW()-COUNTIF($F$6:INDEX($F:$F, ROW()-1), $F473)) : INDEX(AB:AB, ROW()-1)),
          AVERAGEIFS(unit_details[Asking PSF],
          unit_details[Active Listing?],TRUE,
          unit_details[Property Name], $F474,
          unit_details[Beds], $L474,
          unit_details[Baths], $M474,
          unit_details[Partial Baths], IF(ISNUMBER($N474),$N474,""),
          unit_details[Sqft],$P474
)),"")</f>
        <v/>
      </c>
      <c r="AH474" s="293" t="str">
        <f>IFERROR(IF($F474="Total",
         SUMPRODUCT(
         INDEX(AH:AH, ROW()-COUNTIF($F$6:INDEX($F:$F, ROW()-1), $F473)) : INDEX(AH:AH, ROW()-1),
         INDEX(AB:AB, ROW()-COUNTIF($F$6:INDEX($F:$F, ROW()-1), $F473)) : INDEX(AB:AB, ROW()-1)
         )
         /SUM(INDEX(AB:AB, ROW()-COUNTIF($F$6:INDEX($F:$F, ROW()-1), $F473)) : INDEX(AB:AB, ROW()-1)),
          AVERAGEIFS(unit_details[Effective Rent],
          unit_details[Active Listing?],TRUE,
          unit_details[Property Name], $F474,
          unit_details[Beds], $L474,
          unit_details[Baths], $M474,
          unit_details[Partial Baths], IF(ISNUMBER($N474),$N474,""),
          unit_details[Sqft],$P474
)),"")</f>
        <v/>
      </c>
      <c r="AI474" s="6" t="str">
        <f>IFERROR(IF($F474="Total",
         SUMPRODUCT(
         INDEX(AI:AI, ROW()-COUNTIF($F$6:INDEX($F:$F, ROW()-1), $F473)) : INDEX(AI:AI, ROW()-1),
         INDEX(AB:AB, ROW()-COUNTIF($F$6:INDEX($F:$F, ROW()-1), $F473)) : INDEX(AB:AB, ROW()-1)
         )
         /SUM(INDEX(AB:AB, ROW()-COUNTIF($F$6:INDEX($F:$F, ROW()-1), $F473)) : INDEX(AB:AB, ROW()-1)),
           AVERAGEIFS(unit_details[Effective PSF],
          unit_details[Active Listing?],TRUE,
          unit_details[Property Name], $F474,
          unit_details[Beds], $L474,
          unit_details[Baths], $M474,
          unit_details[Partial Baths], IF(ISNUMBER($N474),$N474,""),
          unit_details[Sqft],$P474
)),"")</f>
        <v/>
      </c>
      <c r="AJ474" s="824" t="str">
        <f t="shared" si="81"/>
        <v/>
      </c>
      <c r="AK474" s="531" t="str">
        <f t="shared" si="82"/>
        <v/>
      </c>
      <c r="AL474" s="714" t="str">
        <f t="shared" si="83"/>
        <v/>
      </c>
      <c r="AM474" s="531" t="str">
        <f t="shared" si="84"/>
        <v/>
      </c>
      <c r="AN474" s="716" t="str">
        <f t="shared" si="85"/>
        <v/>
      </c>
    </row>
    <row r="475" spans="6:40" x14ac:dyDescent="0.2">
      <c r="F475" s="1" t="str">
        <f t="shared" si="78"/>
        <v/>
      </c>
      <c r="G475" s="713" t="str">
        <f t="shared" si="86"/>
        <v/>
      </c>
      <c r="H475" s="17" t="str">
        <f>IFERROR(VLOOKUP($G475,Table1[[Property]:[Exposure %]],4,0),"")</f>
        <v/>
      </c>
      <c r="I475" s="3" t="str">
        <f>IFERROR(VLOOKUP($G475,Table1[[Property]:[Exposure %]],6,0),"")</f>
        <v/>
      </c>
      <c r="J475" s="3" t="str">
        <f>IFERROR(VLOOKUP($G475,Table1[[Property]:[Exposure %]],7,0),"")</f>
        <v/>
      </c>
      <c r="R475" s="4" t="str">
        <f>IFERROR(VLOOKUP(IF(F475="Total",F474,F475),Table1[[Property]:['# Units]],7,0)*S475,"")</f>
        <v/>
      </c>
      <c r="S475" s="27" t="str">
        <f t="shared" si="79"/>
        <v/>
      </c>
      <c r="T475" s="531" t="str">
        <f>IFERROR(
 IF($F475="Total",
   SUMPRODUCT(
   INDEX(T:T, ROW()-COUNTIF($F$6:INDEX($F:$F, ROW()-1), $F474)) : INDEX(T:T, ROW()-1),
   INDEX(W:W, ROW()-COUNTIF($F$6:INDEX($F:$F, ROW()-1), $F474)) : INDEX(W:W, ROW()-1)
   )
   /SUM(INDEX(W:W, ROW()-COUNTIF($F$6:INDEX($F:$F, ROW()-1), $F474)) : INDEX(W:W, ROW()-1)),
   AVERAGEIFS(
     INDEX((unit_details[Asking Rent],unit_details[Asking PSF]),0,1,IF($U$3="Chunk Rent",1,2)),
     unit_details[Leased Date],"&gt;="&amp;($AM$2-T$5),
     unit_details[Leased Date],"&lt;"&amp;$AM$2,
     unit_details[Beds],$L475,
     unit_details[Baths],$M475,
     unit_details[Partial Baths],IF(ISNUMBER($N475),$N475,""),
     unit_details[Sqft],$P475,
     unit_details[Property Name],$F475)
 ),"")</f>
        <v/>
      </c>
      <c r="U475" s="552" t="str">
        <f>IFERROR(
 IF($F475="Total",
   SUMPRODUCT(
   INDEX(U:U, ROW()-COUNTIF($F$6:INDEX($F:$F, ROW()-1), $F474)) : INDEX(U:U, ROW()-1),
   INDEX(W:W, ROW()-COUNTIF($F$6:INDEX($F:$F, ROW()-1), $F474)) : INDEX(W:W, ROW()-1)
   )
   /SUM(INDEX(W:W, ROW()-COUNTIF($F$6:INDEX($F:$F, ROW()-1), $F474)) : INDEX(W:W, ROW()-1)),
   AVERAGEIFS(
     INDEX((unit_details[Effective Rent],unit_details[Effective PSF]),0,1,IF($U$3="Chunk Rent",1,2)),
     unit_details[Leased Date],"&gt;="&amp;($AM$2-T$5),
     unit_details[Leased Date],"&lt;"&amp;$AM$2,
     unit_details[Beds],$L475,
     unit_details[Baths],$M475,
     unit_details[Partial Baths],IF(ISNUMBER($N475),$N475,""),
     unit_details[Sqft],$P475,
     unit_details[Property Name],$F475)
 ),"")</f>
        <v/>
      </c>
      <c r="V475" s="27" t="str">
        <f t="shared" si="87"/>
        <v/>
      </c>
      <c r="W475" s="526">
        <f>IFERROR(
  IF($F475="Total",
    SUM(INDEX(W:W, ROW()-COUNTIF($F$6:INDEX($F:$F, ROW()-1), $F474)) : INDEX(W:W, ROW()-1)),
    COUNTIFS(
      unit_details[Leased Date], "&gt;="&amp;($AM$2-T$5),
      unit_details[Leased Date], "&lt;"&amp;$AM$2,
      unit_details[Beds], $L475,
      unit_details[Baths], $M475,
      unit_details[Partial Baths], IF(ISNUMBER($N475), $N475, ""),
      unit_details[Sqft],$P475,
      unit_details[Property Name], $F475
    )
  ),
"")</f>
        <v>0</v>
      </c>
      <c r="X475" s="531" t="str">
        <f>IFERROR(
 IF($F475="Total",
   SUMPRODUCT(
   INDEX(X:X, ROW()-COUNTIF($F$6:INDEX($F:$F, ROW()-1), $F474)) : INDEX(X:X, ROW()-1),
   INDEX(AA:AA, ROW()-COUNTIF($F$6:INDEX($F:$F, ROW()-1), $F474)) : INDEX(AA:AA, ROW()-1)
   )
   /SUM(INDEX(AA:AA, ROW()-COUNTIF($F$6:INDEX($F:$F, ROW()-1), $F474)) : INDEX(AA:AA, ROW()-1)),
   AVERAGEIFS(
     INDEX((unit_details[Asking Rent],unit_details[Asking PSF]),0,1,IF($U$3="Chunk Rent",1,2)),
     unit_details[Leased Date],"&gt;="&amp;($AM$2-X$5),
     unit_details[Leased Date],"&lt;"&amp;$AM$2,
     unit_details[Beds],$L475,
     unit_details[Baths],$M475,
     unit_details[Partial Baths],IF(ISNUMBER($N475),$N475,""),
     unit_details[Sqft],$P475,
     unit_details[Property Name],$F475)
 ),"")</f>
        <v/>
      </c>
      <c r="Y475" s="552" t="str">
        <f>IFERROR(
 IF($F475="Total",
   SUMPRODUCT(
   INDEX(Y:Y, ROW()-COUNTIF($F$6:INDEX($F:$F, ROW()-1), $F474)) : INDEX(Y:Y, ROW()-1),
   INDEX(AA:AA, ROW()-COUNTIF($F$6:INDEX($F:$F, ROW()-1), $F474)) : INDEX(AA:AA, ROW()-1)
   )
   /SUM(INDEX(AA:AA, ROW()-COUNTIF($F$6:INDEX($F:$F, ROW()-1), $F474)) : INDEX(AA:AA, ROW()-1)),
   AVERAGEIFS(
     INDEX((unit_details[Effective Rent],unit_details[Effective PSF]),0,1,IF($U$3="Chunk Rent",1,2)),
     unit_details[Leased Date],"&gt;="&amp;($AM$2-X$5),
     unit_details[Leased Date],"&lt;"&amp;$AM$2,
     unit_details[Beds],$L475,
     unit_details[Baths],$M475,
     unit_details[Partial Baths],IF(ISNUMBER($N475),$N475,""),
     unit_details[Sqft],$P475,
     unit_details[Property Name],$F475)
 ),"")</f>
        <v/>
      </c>
      <c r="Z475" s="27" t="str">
        <f t="shared" si="88"/>
        <v/>
      </c>
      <c r="AA475" s="526">
        <f>IFERROR(
  IF($F475="Total",
    SUM(INDEX(AA:AA, ROW()-COUNTIF($F$6:INDEX($F:$F, ROW()-1), $F474)) : INDEX(AA:AA, ROW()-1)),
    COUNTIFS(
      unit_details[Leased Date], "&gt;="&amp;($AM$2-X$5),
      unit_details[Leased Date], "&lt;"&amp;$AM$2,
      unit_details[Beds], $L475,
      unit_details[Baths], $M475,
      unit_details[Partial Baths], IF(ISNUMBER($N475), $N475, ""),
      unit_details[Sqft],$P475,
      unit_details[Property Name], $F475
    )
  ),
"")</f>
        <v>0</v>
      </c>
      <c r="AB475" s="290">
        <f>IF($F475="Total",
SUM(INDEX(AB:AB, ROW()-COUNTIF($F$6:INDEX($F:$F, ROW()-1), $F474)) : INDEX(AB:AB, ROW()-1)),
COUNTIFS(unit_details[Active Listing?],TRUE,
          unit_details[Property Name], $F475,
          unit_details[Beds], $L475,
          unit_details[Baths], $M475,
          unit_details[Partial Baths],IF(ISNUMBER($N475),$N475,""),
          unit_details[Sqft],$P475))</f>
        <v>0</v>
      </c>
      <c r="AC475" s="27" t="str">
        <f t="shared" si="80"/>
        <v/>
      </c>
      <c r="AD475" s="293" t="str">
        <f>IFERROR(IF(AE475="","",IF($F475="Total",
SUMPRODUCT(
   INDEX(AD:AD, ROW()-COUNTIF($F$6:INDEX($F:$F, ROW()-1), $F474)) : INDEX(AD:AD, ROW()-1),
   INDEX(AB:AB, ROW()-COUNTIF($F$6:INDEX($F:$F, ROW()-1), $F474)) : INDEX(AB:AB, ROW()-1)
   )
   /SUM(INDEX(AB:AB, ROW()-COUNTIF($F$6:INDEX($F:$F, ROW()-1), $F474)) : INDEX(AB:AB, ROW()-1)),
          _xlfn.MINIFS(unit_details[Asking Rent],
          unit_details[Active Listing?],TRUE,
          unit_details[Property Name], $F475,
          unit_details[Beds], $L475,
          unit_details[Baths], $M475,
          unit_details[Partial Baths], IF(ISNUMBER($N475),$N475,""),
          unit_details[Sqft],$P475
))),"")</f>
        <v/>
      </c>
      <c r="AE475" s="5" t="str">
        <f>IFERROR(IF($F475="Total",
          SUMPRODUCT(
   INDEX(AE:AE, ROW()-COUNTIF($F$6:INDEX($F:$F, ROW()-1), $F474)) : INDEX(AE:AE, ROW()-1),
   INDEX(AB:AB, ROW()-COUNTIF($F$6:INDEX($F:$F, ROW()-1), $F474)) : INDEX(AB:AB, ROW()-1)
   )
   /SUM(INDEX(AB:AB, ROW()-COUNTIF($F$6:INDEX($F:$F, ROW()-1), $F474)) : INDEX(AB:AB, ROW()-1)),
          AVERAGEIFS(unit_details[Asking Rent],
          unit_details[Active Listing?],TRUE,
          unit_details[Property Name], $F475,
          unit_details[Beds], $L475,
          unit_details[Baths], $M475,
          unit_details[Partial Baths], IF(ISNUMBER($N475),$N475,""),
          unit_details[Sqft],$P475
)),"")</f>
        <v/>
      </c>
      <c r="AF475" s="5" t="str">
        <f>IFERROR(IF(AE475="","",IF($F475="Total",
SUMPRODUCT(
   INDEX(AF:AF, ROW()-COUNTIF($F$6:INDEX($F:$F, ROW()-1), $F474)) : INDEX(AF:AF, ROW()-1),
   INDEX(AB:AB, ROW()-COUNTIF($F$6:INDEX($F:$F, ROW()-1), $F474)) : INDEX(AB:AB, ROW()-1)
   )
   /SUM(INDEX(AB:AB, ROW()-COUNTIF($F$6:INDEX($F:$F, ROW()-1), $F474)) : INDEX(AB:AB, ROW()-1)),
           _xlfn.MAXIFS(unit_details[Asking Rent],
          unit_details[Active Listing?],TRUE,
          unit_details[Property Name], $F475,
          unit_details[Beds], $L475,
          unit_details[Baths], $M475,
          unit_details[Partial Baths], IF(ISNUMBER($N475),$N475,""),
          unit_details[Sqft],$P475
))),"")</f>
        <v/>
      </c>
      <c r="AG475" s="6" t="str">
        <f>IFERROR(IF($F475="Total",
         SUMPRODUCT(
         INDEX(AG:AG, ROW()-COUNTIF($F$6:INDEX($F:$F, ROW()-1), $F474)) : INDEX(AG:AG, ROW()-1),
         INDEX(AB:AB, ROW()-COUNTIF($F$6:INDEX($F:$F, ROW()-1), $F474)) : INDEX(AB:AB, ROW()-1)
         )
         /SUM(INDEX(AB:AB, ROW()-COUNTIF($F$6:INDEX($F:$F, ROW()-1), $F474)) : INDEX(AB:AB, ROW()-1)),
          AVERAGEIFS(unit_details[Asking PSF],
          unit_details[Active Listing?],TRUE,
          unit_details[Property Name], $F475,
          unit_details[Beds], $L475,
          unit_details[Baths], $M475,
          unit_details[Partial Baths], IF(ISNUMBER($N475),$N475,""),
          unit_details[Sqft],$P475
)),"")</f>
        <v/>
      </c>
      <c r="AH475" s="293" t="str">
        <f>IFERROR(IF($F475="Total",
         SUMPRODUCT(
         INDEX(AH:AH, ROW()-COUNTIF($F$6:INDEX($F:$F, ROW()-1), $F474)) : INDEX(AH:AH, ROW()-1),
         INDEX(AB:AB, ROW()-COUNTIF($F$6:INDEX($F:$F, ROW()-1), $F474)) : INDEX(AB:AB, ROW()-1)
         )
         /SUM(INDEX(AB:AB, ROW()-COUNTIF($F$6:INDEX($F:$F, ROW()-1), $F474)) : INDEX(AB:AB, ROW()-1)),
          AVERAGEIFS(unit_details[Effective Rent],
          unit_details[Active Listing?],TRUE,
          unit_details[Property Name], $F475,
          unit_details[Beds], $L475,
          unit_details[Baths], $M475,
          unit_details[Partial Baths], IF(ISNUMBER($N475),$N475,""),
          unit_details[Sqft],$P475
)),"")</f>
        <v/>
      </c>
      <c r="AI475" s="6" t="str">
        <f>IFERROR(IF($F475="Total",
         SUMPRODUCT(
         INDEX(AI:AI, ROW()-COUNTIF($F$6:INDEX($F:$F, ROW()-1), $F474)) : INDEX(AI:AI, ROW()-1),
         INDEX(AB:AB, ROW()-COUNTIF($F$6:INDEX($F:$F, ROW()-1), $F474)) : INDEX(AB:AB, ROW()-1)
         )
         /SUM(INDEX(AB:AB, ROW()-COUNTIF($F$6:INDEX($F:$F, ROW()-1), $F474)) : INDEX(AB:AB, ROW()-1)),
           AVERAGEIFS(unit_details[Effective PSF],
          unit_details[Active Listing?],TRUE,
          unit_details[Property Name], $F475,
          unit_details[Beds], $L475,
          unit_details[Baths], $M475,
          unit_details[Partial Baths], IF(ISNUMBER($N475),$N475,""),
          unit_details[Sqft],$P475
)),"")</f>
        <v/>
      </c>
      <c r="AJ475" s="824" t="str">
        <f t="shared" si="81"/>
        <v/>
      </c>
      <c r="AK475" s="531" t="str">
        <f t="shared" si="82"/>
        <v/>
      </c>
      <c r="AL475" s="714" t="str">
        <f t="shared" si="83"/>
        <v/>
      </c>
      <c r="AM475" s="531" t="str">
        <f t="shared" si="84"/>
        <v/>
      </c>
      <c r="AN475" s="716" t="str">
        <f t="shared" si="85"/>
        <v/>
      </c>
    </row>
    <row r="476" spans="6:40" x14ac:dyDescent="0.2">
      <c r="F476" s="1" t="str">
        <f t="shared" si="78"/>
        <v/>
      </c>
      <c r="G476" s="713" t="str">
        <f t="shared" si="86"/>
        <v/>
      </c>
      <c r="H476" s="17" t="str">
        <f>IFERROR(VLOOKUP($G476,Table1[[Property]:[Exposure %]],4,0),"")</f>
        <v/>
      </c>
      <c r="I476" s="3" t="str">
        <f>IFERROR(VLOOKUP($G476,Table1[[Property]:[Exposure %]],6,0),"")</f>
        <v/>
      </c>
      <c r="J476" s="3" t="str">
        <f>IFERROR(VLOOKUP($G476,Table1[[Property]:[Exposure %]],7,0),"")</f>
        <v/>
      </c>
      <c r="R476" s="4" t="str">
        <f>IFERROR(VLOOKUP(IF(F476="Total",F475,F476),Table1[[Property]:['# Units]],7,0)*S476,"")</f>
        <v/>
      </c>
      <c r="S476" s="27" t="str">
        <f t="shared" si="79"/>
        <v/>
      </c>
      <c r="T476" s="531" t="str">
        <f>IFERROR(
 IF($F476="Total",
   SUMPRODUCT(
   INDEX(T:T, ROW()-COUNTIF($F$6:INDEX($F:$F, ROW()-1), $F475)) : INDEX(T:T, ROW()-1),
   INDEX(W:W, ROW()-COUNTIF($F$6:INDEX($F:$F, ROW()-1), $F475)) : INDEX(W:W, ROW()-1)
   )
   /SUM(INDEX(W:W, ROW()-COUNTIF($F$6:INDEX($F:$F, ROW()-1), $F475)) : INDEX(W:W, ROW()-1)),
   AVERAGEIFS(
     INDEX((unit_details[Asking Rent],unit_details[Asking PSF]),0,1,IF($U$3="Chunk Rent",1,2)),
     unit_details[Leased Date],"&gt;="&amp;($AM$2-T$5),
     unit_details[Leased Date],"&lt;"&amp;$AM$2,
     unit_details[Beds],$L476,
     unit_details[Baths],$M476,
     unit_details[Partial Baths],IF(ISNUMBER($N476),$N476,""),
     unit_details[Sqft],$P476,
     unit_details[Property Name],$F476)
 ),"")</f>
        <v/>
      </c>
      <c r="U476" s="552" t="str">
        <f>IFERROR(
 IF($F476="Total",
   SUMPRODUCT(
   INDEX(U:U, ROW()-COUNTIF($F$6:INDEX($F:$F, ROW()-1), $F475)) : INDEX(U:U, ROW()-1),
   INDEX(W:W, ROW()-COUNTIF($F$6:INDEX($F:$F, ROW()-1), $F475)) : INDEX(W:W, ROW()-1)
   )
   /SUM(INDEX(W:W, ROW()-COUNTIF($F$6:INDEX($F:$F, ROW()-1), $F475)) : INDEX(W:W, ROW()-1)),
   AVERAGEIFS(
     INDEX((unit_details[Effective Rent],unit_details[Effective PSF]),0,1,IF($U$3="Chunk Rent",1,2)),
     unit_details[Leased Date],"&gt;="&amp;($AM$2-T$5),
     unit_details[Leased Date],"&lt;"&amp;$AM$2,
     unit_details[Beds],$L476,
     unit_details[Baths],$M476,
     unit_details[Partial Baths],IF(ISNUMBER($N476),$N476,""),
     unit_details[Sqft],$P476,
     unit_details[Property Name],$F476)
 ),"")</f>
        <v/>
      </c>
      <c r="V476" s="27" t="str">
        <f t="shared" si="87"/>
        <v/>
      </c>
      <c r="W476" s="526">
        <f>IFERROR(
  IF($F476="Total",
    SUM(INDEX(W:W, ROW()-COUNTIF($F$6:INDEX($F:$F, ROW()-1), $F475)) : INDEX(W:W, ROW()-1)),
    COUNTIFS(
      unit_details[Leased Date], "&gt;="&amp;($AM$2-T$5),
      unit_details[Leased Date], "&lt;"&amp;$AM$2,
      unit_details[Beds], $L476,
      unit_details[Baths], $M476,
      unit_details[Partial Baths], IF(ISNUMBER($N476), $N476, ""),
      unit_details[Sqft],$P476,
      unit_details[Property Name], $F476
    )
  ),
"")</f>
        <v>0</v>
      </c>
      <c r="X476" s="531" t="str">
        <f>IFERROR(
 IF($F476="Total",
   SUMPRODUCT(
   INDEX(X:X, ROW()-COUNTIF($F$6:INDEX($F:$F, ROW()-1), $F475)) : INDEX(X:X, ROW()-1),
   INDEX(AA:AA, ROW()-COUNTIF($F$6:INDEX($F:$F, ROW()-1), $F475)) : INDEX(AA:AA, ROW()-1)
   )
   /SUM(INDEX(AA:AA, ROW()-COUNTIF($F$6:INDEX($F:$F, ROW()-1), $F475)) : INDEX(AA:AA, ROW()-1)),
   AVERAGEIFS(
     INDEX((unit_details[Asking Rent],unit_details[Asking PSF]),0,1,IF($U$3="Chunk Rent",1,2)),
     unit_details[Leased Date],"&gt;="&amp;($AM$2-X$5),
     unit_details[Leased Date],"&lt;"&amp;$AM$2,
     unit_details[Beds],$L476,
     unit_details[Baths],$M476,
     unit_details[Partial Baths],IF(ISNUMBER($N476),$N476,""),
     unit_details[Sqft],$P476,
     unit_details[Property Name],$F476)
 ),"")</f>
        <v/>
      </c>
      <c r="Y476" s="552" t="str">
        <f>IFERROR(
 IF($F476="Total",
   SUMPRODUCT(
   INDEX(Y:Y, ROW()-COUNTIF($F$6:INDEX($F:$F, ROW()-1), $F475)) : INDEX(Y:Y, ROW()-1),
   INDEX(AA:AA, ROW()-COUNTIF($F$6:INDEX($F:$F, ROW()-1), $F475)) : INDEX(AA:AA, ROW()-1)
   )
   /SUM(INDEX(AA:AA, ROW()-COUNTIF($F$6:INDEX($F:$F, ROW()-1), $F475)) : INDEX(AA:AA, ROW()-1)),
   AVERAGEIFS(
     INDEX((unit_details[Effective Rent],unit_details[Effective PSF]),0,1,IF($U$3="Chunk Rent",1,2)),
     unit_details[Leased Date],"&gt;="&amp;($AM$2-X$5),
     unit_details[Leased Date],"&lt;"&amp;$AM$2,
     unit_details[Beds],$L476,
     unit_details[Baths],$M476,
     unit_details[Partial Baths],IF(ISNUMBER($N476),$N476,""),
     unit_details[Sqft],$P476,
     unit_details[Property Name],$F476)
 ),"")</f>
        <v/>
      </c>
      <c r="Z476" s="27" t="str">
        <f t="shared" si="88"/>
        <v/>
      </c>
      <c r="AA476" s="526">
        <f>IFERROR(
  IF($F476="Total",
    SUM(INDEX(AA:AA, ROW()-COUNTIF($F$6:INDEX($F:$F, ROW()-1), $F475)) : INDEX(AA:AA, ROW()-1)),
    COUNTIFS(
      unit_details[Leased Date], "&gt;="&amp;($AM$2-X$5),
      unit_details[Leased Date], "&lt;"&amp;$AM$2,
      unit_details[Beds], $L476,
      unit_details[Baths], $M476,
      unit_details[Partial Baths], IF(ISNUMBER($N476), $N476, ""),
      unit_details[Sqft],$P476,
      unit_details[Property Name], $F476
    )
  ),
"")</f>
        <v>0</v>
      </c>
      <c r="AB476" s="290">
        <f>IF($F476="Total",
SUM(INDEX(AB:AB, ROW()-COUNTIF($F$6:INDEX($F:$F, ROW()-1), $F475)) : INDEX(AB:AB, ROW()-1)),
COUNTIFS(unit_details[Active Listing?],TRUE,
          unit_details[Property Name], $F476,
          unit_details[Beds], $L476,
          unit_details[Baths], $M476,
          unit_details[Partial Baths],IF(ISNUMBER($N476),$N476,""),
          unit_details[Sqft],$P476))</f>
        <v>0</v>
      </c>
      <c r="AC476" s="27" t="str">
        <f t="shared" si="80"/>
        <v/>
      </c>
      <c r="AD476" s="293" t="str">
        <f>IFERROR(IF(AE476="","",IF($F476="Total",
SUMPRODUCT(
   INDEX(AD:AD, ROW()-COUNTIF($F$6:INDEX($F:$F, ROW()-1), $F475)) : INDEX(AD:AD, ROW()-1),
   INDEX(AB:AB, ROW()-COUNTIF($F$6:INDEX($F:$F, ROW()-1), $F475)) : INDEX(AB:AB, ROW()-1)
   )
   /SUM(INDEX(AB:AB, ROW()-COUNTIF($F$6:INDEX($F:$F, ROW()-1), $F475)) : INDEX(AB:AB, ROW()-1)),
          _xlfn.MINIFS(unit_details[Asking Rent],
          unit_details[Active Listing?],TRUE,
          unit_details[Property Name], $F476,
          unit_details[Beds], $L476,
          unit_details[Baths], $M476,
          unit_details[Partial Baths], IF(ISNUMBER($N476),$N476,""),
          unit_details[Sqft],$P476
))),"")</f>
        <v/>
      </c>
      <c r="AE476" s="5" t="str">
        <f>IFERROR(IF($F476="Total",
          SUMPRODUCT(
   INDEX(AE:AE, ROW()-COUNTIF($F$6:INDEX($F:$F, ROW()-1), $F475)) : INDEX(AE:AE, ROW()-1),
   INDEX(AB:AB, ROW()-COUNTIF($F$6:INDEX($F:$F, ROW()-1), $F475)) : INDEX(AB:AB, ROW()-1)
   )
   /SUM(INDEX(AB:AB, ROW()-COUNTIF($F$6:INDEX($F:$F, ROW()-1), $F475)) : INDEX(AB:AB, ROW()-1)),
          AVERAGEIFS(unit_details[Asking Rent],
          unit_details[Active Listing?],TRUE,
          unit_details[Property Name], $F476,
          unit_details[Beds], $L476,
          unit_details[Baths], $M476,
          unit_details[Partial Baths], IF(ISNUMBER($N476),$N476,""),
          unit_details[Sqft],$P476
)),"")</f>
        <v/>
      </c>
      <c r="AF476" s="5" t="str">
        <f>IFERROR(IF(AE476="","",IF($F476="Total",
SUMPRODUCT(
   INDEX(AF:AF, ROW()-COUNTIF($F$6:INDEX($F:$F, ROW()-1), $F475)) : INDEX(AF:AF, ROW()-1),
   INDEX(AB:AB, ROW()-COUNTIF($F$6:INDEX($F:$F, ROW()-1), $F475)) : INDEX(AB:AB, ROW()-1)
   )
   /SUM(INDEX(AB:AB, ROW()-COUNTIF($F$6:INDEX($F:$F, ROW()-1), $F475)) : INDEX(AB:AB, ROW()-1)),
           _xlfn.MAXIFS(unit_details[Asking Rent],
          unit_details[Active Listing?],TRUE,
          unit_details[Property Name], $F476,
          unit_details[Beds], $L476,
          unit_details[Baths], $M476,
          unit_details[Partial Baths], IF(ISNUMBER($N476),$N476,""),
          unit_details[Sqft],$P476
))),"")</f>
        <v/>
      </c>
      <c r="AG476" s="6" t="str">
        <f>IFERROR(IF($F476="Total",
         SUMPRODUCT(
         INDEX(AG:AG, ROW()-COUNTIF($F$6:INDEX($F:$F, ROW()-1), $F475)) : INDEX(AG:AG, ROW()-1),
         INDEX(AB:AB, ROW()-COUNTIF($F$6:INDEX($F:$F, ROW()-1), $F475)) : INDEX(AB:AB, ROW()-1)
         )
         /SUM(INDEX(AB:AB, ROW()-COUNTIF($F$6:INDEX($F:$F, ROW()-1), $F475)) : INDEX(AB:AB, ROW()-1)),
          AVERAGEIFS(unit_details[Asking PSF],
          unit_details[Active Listing?],TRUE,
          unit_details[Property Name], $F476,
          unit_details[Beds], $L476,
          unit_details[Baths], $M476,
          unit_details[Partial Baths], IF(ISNUMBER($N476),$N476,""),
          unit_details[Sqft],$P476
)),"")</f>
        <v/>
      </c>
      <c r="AH476" s="293" t="str">
        <f>IFERROR(IF($F476="Total",
         SUMPRODUCT(
         INDEX(AH:AH, ROW()-COUNTIF($F$6:INDEX($F:$F, ROW()-1), $F475)) : INDEX(AH:AH, ROW()-1),
         INDEX(AB:AB, ROW()-COUNTIF($F$6:INDEX($F:$F, ROW()-1), $F475)) : INDEX(AB:AB, ROW()-1)
         )
         /SUM(INDEX(AB:AB, ROW()-COUNTIF($F$6:INDEX($F:$F, ROW()-1), $F475)) : INDEX(AB:AB, ROW()-1)),
          AVERAGEIFS(unit_details[Effective Rent],
          unit_details[Active Listing?],TRUE,
          unit_details[Property Name], $F476,
          unit_details[Beds], $L476,
          unit_details[Baths], $M476,
          unit_details[Partial Baths], IF(ISNUMBER($N476),$N476,""),
          unit_details[Sqft],$P476
)),"")</f>
        <v/>
      </c>
      <c r="AI476" s="6" t="str">
        <f>IFERROR(IF($F476="Total",
         SUMPRODUCT(
         INDEX(AI:AI, ROW()-COUNTIF($F$6:INDEX($F:$F, ROW()-1), $F475)) : INDEX(AI:AI, ROW()-1),
         INDEX(AB:AB, ROW()-COUNTIF($F$6:INDEX($F:$F, ROW()-1), $F475)) : INDEX(AB:AB, ROW()-1)
         )
         /SUM(INDEX(AB:AB, ROW()-COUNTIF($F$6:INDEX($F:$F, ROW()-1), $F475)) : INDEX(AB:AB, ROW()-1)),
           AVERAGEIFS(unit_details[Effective PSF],
          unit_details[Active Listing?],TRUE,
          unit_details[Property Name], $F476,
          unit_details[Beds], $L476,
          unit_details[Baths], $M476,
          unit_details[Partial Baths], IF(ISNUMBER($N476),$N476,""),
          unit_details[Sqft],$P476
)),"")</f>
        <v/>
      </c>
      <c r="AJ476" s="824" t="str">
        <f t="shared" si="81"/>
        <v/>
      </c>
      <c r="AK476" s="531" t="str">
        <f t="shared" si="82"/>
        <v/>
      </c>
      <c r="AL476" s="714" t="str">
        <f t="shared" si="83"/>
        <v/>
      </c>
      <c r="AM476" s="531" t="str">
        <f t="shared" si="84"/>
        <v/>
      </c>
      <c r="AN476" s="716" t="str">
        <f t="shared" si="85"/>
        <v/>
      </c>
    </row>
    <row r="477" spans="6:40" x14ac:dyDescent="0.2">
      <c r="F477" s="1" t="str">
        <f t="shared" si="78"/>
        <v/>
      </c>
      <c r="G477" s="713" t="str">
        <f t="shared" si="86"/>
        <v/>
      </c>
      <c r="H477" s="17" t="str">
        <f>IFERROR(VLOOKUP($G477,Table1[[Property]:[Exposure %]],4,0),"")</f>
        <v/>
      </c>
      <c r="I477" s="3" t="str">
        <f>IFERROR(VLOOKUP($G477,Table1[[Property]:[Exposure %]],6,0),"")</f>
        <v/>
      </c>
      <c r="J477" s="3" t="str">
        <f>IFERROR(VLOOKUP($G477,Table1[[Property]:[Exposure %]],7,0),"")</f>
        <v/>
      </c>
      <c r="R477" s="4" t="str">
        <f>IFERROR(VLOOKUP(IF(F477="Total",F476,F477),Table1[[Property]:['# Units]],7,0)*S477,"")</f>
        <v/>
      </c>
      <c r="S477" s="27" t="str">
        <f t="shared" si="79"/>
        <v/>
      </c>
      <c r="T477" s="531" t="str">
        <f>IFERROR(
 IF($F477="Total",
   SUMPRODUCT(
   INDEX(T:T, ROW()-COUNTIF($F$6:INDEX($F:$F, ROW()-1), $F476)) : INDEX(T:T, ROW()-1),
   INDEX(W:W, ROW()-COUNTIF($F$6:INDEX($F:$F, ROW()-1), $F476)) : INDEX(W:W, ROW()-1)
   )
   /SUM(INDEX(W:W, ROW()-COUNTIF($F$6:INDEX($F:$F, ROW()-1), $F476)) : INDEX(W:W, ROW()-1)),
   AVERAGEIFS(
     INDEX((unit_details[Asking Rent],unit_details[Asking PSF]),0,1,IF($U$3="Chunk Rent",1,2)),
     unit_details[Leased Date],"&gt;="&amp;($AM$2-T$5),
     unit_details[Leased Date],"&lt;"&amp;$AM$2,
     unit_details[Beds],$L477,
     unit_details[Baths],$M477,
     unit_details[Partial Baths],IF(ISNUMBER($N477),$N477,""),
     unit_details[Sqft],$P477,
     unit_details[Property Name],$F477)
 ),"")</f>
        <v/>
      </c>
      <c r="U477" s="552" t="str">
        <f>IFERROR(
 IF($F477="Total",
   SUMPRODUCT(
   INDEX(U:U, ROW()-COUNTIF($F$6:INDEX($F:$F, ROW()-1), $F476)) : INDEX(U:U, ROW()-1),
   INDEX(W:W, ROW()-COUNTIF($F$6:INDEX($F:$F, ROW()-1), $F476)) : INDEX(W:W, ROW()-1)
   )
   /SUM(INDEX(W:W, ROW()-COUNTIF($F$6:INDEX($F:$F, ROW()-1), $F476)) : INDEX(W:W, ROW()-1)),
   AVERAGEIFS(
     INDEX((unit_details[Effective Rent],unit_details[Effective PSF]),0,1,IF($U$3="Chunk Rent",1,2)),
     unit_details[Leased Date],"&gt;="&amp;($AM$2-T$5),
     unit_details[Leased Date],"&lt;"&amp;$AM$2,
     unit_details[Beds],$L477,
     unit_details[Baths],$M477,
     unit_details[Partial Baths],IF(ISNUMBER($N477),$N477,""),
     unit_details[Sqft],$P477,
     unit_details[Property Name],$F477)
 ),"")</f>
        <v/>
      </c>
      <c r="V477" s="27" t="str">
        <f t="shared" si="87"/>
        <v/>
      </c>
      <c r="W477" s="526">
        <f>IFERROR(
  IF($F477="Total",
    SUM(INDEX(W:W, ROW()-COUNTIF($F$6:INDEX($F:$F, ROW()-1), $F476)) : INDEX(W:W, ROW()-1)),
    COUNTIFS(
      unit_details[Leased Date], "&gt;="&amp;($AM$2-T$5),
      unit_details[Leased Date], "&lt;"&amp;$AM$2,
      unit_details[Beds], $L477,
      unit_details[Baths], $M477,
      unit_details[Partial Baths], IF(ISNUMBER($N477), $N477, ""),
      unit_details[Sqft],$P477,
      unit_details[Property Name], $F477
    )
  ),
"")</f>
        <v>0</v>
      </c>
      <c r="X477" s="531" t="str">
        <f>IFERROR(
 IF($F477="Total",
   SUMPRODUCT(
   INDEX(X:X, ROW()-COUNTIF($F$6:INDEX($F:$F, ROW()-1), $F476)) : INDEX(X:X, ROW()-1),
   INDEX(AA:AA, ROW()-COUNTIF($F$6:INDEX($F:$F, ROW()-1), $F476)) : INDEX(AA:AA, ROW()-1)
   )
   /SUM(INDEX(AA:AA, ROW()-COUNTIF($F$6:INDEX($F:$F, ROW()-1), $F476)) : INDEX(AA:AA, ROW()-1)),
   AVERAGEIFS(
     INDEX((unit_details[Asking Rent],unit_details[Asking PSF]),0,1,IF($U$3="Chunk Rent",1,2)),
     unit_details[Leased Date],"&gt;="&amp;($AM$2-X$5),
     unit_details[Leased Date],"&lt;"&amp;$AM$2,
     unit_details[Beds],$L477,
     unit_details[Baths],$M477,
     unit_details[Partial Baths],IF(ISNUMBER($N477),$N477,""),
     unit_details[Sqft],$P477,
     unit_details[Property Name],$F477)
 ),"")</f>
        <v/>
      </c>
      <c r="Y477" s="552" t="str">
        <f>IFERROR(
 IF($F477="Total",
   SUMPRODUCT(
   INDEX(Y:Y, ROW()-COUNTIF($F$6:INDEX($F:$F, ROW()-1), $F476)) : INDEX(Y:Y, ROW()-1),
   INDEX(AA:AA, ROW()-COUNTIF($F$6:INDEX($F:$F, ROW()-1), $F476)) : INDEX(AA:AA, ROW()-1)
   )
   /SUM(INDEX(AA:AA, ROW()-COUNTIF($F$6:INDEX($F:$F, ROW()-1), $F476)) : INDEX(AA:AA, ROW()-1)),
   AVERAGEIFS(
     INDEX((unit_details[Effective Rent],unit_details[Effective PSF]),0,1,IF($U$3="Chunk Rent",1,2)),
     unit_details[Leased Date],"&gt;="&amp;($AM$2-X$5),
     unit_details[Leased Date],"&lt;"&amp;$AM$2,
     unit_details[Beds],$L477,
     unit_details[Baths],$M477,
     unit_details[Partial Baths],IF(ISNUMBER($N477),$N477,""),
     unit_details[Sqft],$P477,
     unit_details[Property Name],$F477)
 ),"")</f>
        <v/>
      </c>
      <c r="Z477" s="27" t="str">
        <f t="shared" si="88"/>
        <v/>
      </c>
      <c r="AA477" s="526">
        <f>IFERROR(
  IF($F477="Total",
    SUM(INDEX(AA:AA, ROW()-COUNTIF($F$6:INDEX($F:$F, ROW()-1), $F476)) : INDEX(AA:AA, ROW()-1)),
    COUNTIFS(
      unit_details[Leased Date], "&gt;="&amp;($AM$2-X$5),
      unit_details[Leased Date], "&lt;"&amp;$AM$2,
      unit_details[Beds], $L477,
      unit_details[Baths], $M477,
      unit_details[Partial Baths], IF(ISNUMBER($N477), $N477, ""),
      unit_details[Sqft],$P477,
      unit_details[Property Name], $F477
    )
  ),
"")</f>
        <v>0</v>
      </c>
      <c r="AB477" s="290">
        <f>IF($F477="Total",
SUM(INDEX(AB:AB, ROW()-COUNTIF($F$6:INDEX($F:$F, ROW()-1), $F476)) : INDEX(AB:AB, ROW()-1)),
COUNTIFS(unit_details[Active Listing?],TRUE,
          unit_details[Property Name], $F477,
          unit_details[Beds], $L477,
          unit_details[Baths], $M477,
          unit_details[Partial Baths],IF(ISNUMBER($N477),$N477,""),
          unit_details[Sqft],$P477))</f>
        <v>0</v>
      </c>
      <c r="AC477" s="27" t="str">
        <f t="shared" si="80"/>
        <v/>
      </c>
      <c r="AD477" s="293" t="str">
        <f>IFERROR(IF(AE477="","",IF($F477="Total",
SUMPRODUCT(
   INDEX(AD:AD, ROW()-COUNTIF($F$6:INDEX($F:$F, ROW()-1), $F476)) : INDEX(AD:AD, ROW()-1),
   INDEX(AB:AB, ROW()-COUNTIF($F$6:INDEX($F:$F, ROW()-1), $F476)) : INDEX(AB:AB, ROW()-1)
   )
   /SUM(INDEX(AB:AB, ROW()-COUNTIF($F$6:INDEX($F:$F, ROW()-1), $F476)) : INDEX(AB:AB, ROW()-1)),
          _xlfn.MINIFS(unit_details[Asking Rent],
          unit_details[Active Listing?],TRUE,
          unit_details[Property Name], $F477,
          unit_details[Beds], $L477,
          unit_details[Baths], $M477,
          unit_details[Partial Baths], IF(ISNUMBER($N477),$N477,""),
          unit_details[Sqft],$P477
))),"")</f>
        <v/>
      </c>
      <c r="AE477" s="5" t="str">
        <f>IFERROR(IF($F477="Total",
          SUMPRODUCT(
   INDEX(AE:AE, ROW()-COUNTIF($F$6:INDEX($F:$F, ROW()-1), $F476)) : INDEX(AE:AE, ROW()-1),
   INDEX(AB:AB, ROW()-COUNTIF($F$6:INDEX($F:$F, ROW()-1), $F476)) : INDEX(AB:AB, ROW()-1)
   )
   /SUM(INDEX(AB:AB, ROW()-COUNTIF($F$6:INDEX($F:$F, ROW()-1), $F476)) : INDEX(AB:AB, ROW()-1)),
          AVERAGEIFS(unit_details[Asking Rent],
          unit_details[Active Listing?],TRUE,
          unit_details[Property Name], $F477,
          unit_details[Beds], $L477,
          unit_details[Baths], $M477,
          unit_details[Partial Baths], IF(ISNUMBER($N477),$N477,""),
          unit_details[Sqft],$P477
)),"")</f>
        <v/>
      </c>
      <c r="AF477" s="5" t="str">
        <f>IFERROR(IF(AE477="","",IF($F477="Total",
SUMPRODUCT(
   INDEX(AF:AF, ROW()-COUNTIF($F$6:INDEX($F:$F, ROW()-1), $F476)) : INDEX(AF:AF, ROW()-1),
   INDEX(AB:AB, ROW()-COUNTIF($F$6:INDEX($F:$F, ROW()-1), $F476)) : INDEX(AB:AB, ROW()-1)
   )
   /SUM(INDEX(AB:AB, ROW()-COUNTIF($F$6:INDEX($F:$F, ROW()-1), $F476)) : INDEX(AB:AB, ROW()-1)),
           _xlfn.MAXIFS(unit_details[Asking Rent],
          unit_details[Active Listing?],TRUE,
          unit_details[Property Name], $F477,
          unit_details[Beds], $L477,
          unit_details[Baths], $M477,
          unit_details[Partial Baths], IF(ISNUMBER($N477),$N477,""),
          unit_details[Sqft],$P477
))),"")</f>
        <v/>
      </c>
      <c r="AG477" s="6" t="str">
        <f>IFERROR(IF($F477="Total",
         SUMPRODUCT(
         INDEX(AG:AG, ROW()-COUNTIF($F$6:INDEX($F:$F, ROW()-1), $F476)) : INDEX(AG:AG, ROW()-1),
         INDEX(AB:AB, ROW()-COUNTIF($F$6:INDEX($F:$F, ROW()-1), $F476)) : INDEX(AB:AB, ROW()-1)
         )
         /SUM(INDEX(AB:AB, ROW()-COUNTIF($F$6:INDEX($F:$F, ROW()-1), $F476)) : INDEX(AB:AB, ROW()-1)),
          AVERAGEIFS(unit_details[Asking PSF],
          unit_details[Active Listing?],TRUE,
          unit_details[Property Name], $F477,
          unit_details[Beds], $L477,
          unit_details[Baths], $M477,
          unit_details[Partial Baths], IF(ISNUMBER($N477),$N477,""),
          unit_details[Sqft],$P477
)),"")</f>
        <v/>
      </c>
      <c r="AH477" s="293" t="str">
        <f>IFERROR(IF($F477="Total",
         SUMPRODUCT(
         INDEX(AH:AH, ROW()-COUNTIF($F$6:INDEX($F:$F, ROW()-1), $F476)) : INDEX(AH:AH, ROW()-1),
         INDEX(AB:AB, ROW()-COUNTIF($F$6:INDEX($F:$F, ROW()-1), $F476)) : INDEX(AB:AB, ROW()-1)
         )
         /SUM(INDEX(AB:AB, ROW()-COUNTIF($F$6:INDEX($F:$F, ROW()-1), $F476)) : INDEX(AB:AB, ROW()-1)),
          AVERAGEIFS(unit_details[Effective Rent],
          unit_details[Active Listing?],TRUE,
          unit_details[Property Name], $F477,
          unit_details[Beds], $L477,
          unit_details[Baths], $M477,
          unit_details[Partial Baths], IF(ISNUMBER($N477),$N477,""),
          unit_details[Sqft],$P477
)),"")</f>
        <v/>
      </c>
      <c r="AI477" s="6" t="str">
        <f>IFERROR(IF($F477="Total",
         SUMPRODUCT(
         INDEX(AI:AI, ROW()-COUNTIF($F$6:INDEX($F:$F, ROW()-1), $F476)) : INDEX(AI:AI, ROW()-1),
         INDEX(AB:AB, ROW()-COUNTIF($F$6:INDEX($F:$F, ROW()-1), $F476)) : INDEX(AB:AB, ROW()-1)
         )
         /SUM(INDEX(AB:AB, ROW()-COUNTIF($F$6:INDEX($F:$F, ROW()-1), $F476)) : INDEX(AB:AB, ROW()-1)),
           AVERAGEIFS(unit_details[Effective PSF],
          unit_details[Active Listing?],TRUE,
          unit_details[Property Name], $F477,
          unit_details[Beds], $L477,
          unit_details[Baths], $M477,
          unit_details[Partial Baths], IF(ISNUMBER($N477),$N477,""),
          unit_details[Sqft],$P477
)),"")</f>
        <v/>
      </c>
      <c r="AJ477" s="824" t="str">
        <f t="shared" si="81"/>
        <v/>
      </c>
      <c r="AK477" s="531" t="str">
        <f t="shared" si="82"/>
        <v/>
      </c>
      <c r="AL477" s="714" t="str">
        <f t="shared" si="83"/>
        <v/>
      </c>
      <c r="AM477" s="531" t="str">
        <f t="shared" si="84"/>
        <v/>
      </c>
      <c r="AN477" s="716" t="str">
        <f t="shared" si="85"/>
        <v/>
      </c>
    </row>
    <row r="478" spans="6:40" x14ac:dyDescent="0.2">
      <c r="F478" s="1" t="str">
        <f t="shared" si="78"/>
        <v/>
      </c>
      <c r="G478" s="713" t="str">
        <f t="shared" si="86"/>
        <v/>
      </c>
      <c r="H478" s="17" t="str">
        <f>IFERROR(VLOOKUP($G478,Table1[[Property]:[Exposure %]],4,0),"")</f>
        <v/>
      </c>
      <c r="I478" s="3" t="str">
        <f>IFERROR(VLOOKUP($G478,Table1[[Property]:[Exposure %]],6,0),"")</f>
        <v/>
      </c>
      <c r="J478" s="3" t="str">
        <f>IFERROR(VLOOKUP($G478,Table1[[Property]:[Exposure %]],7,0),"")</f>
        <v/>
      </c>
      <c r="R478" s="4" t="str">
        <f>IFERROR(VLOOKUP(IF(F478="Total",F477,F478),Table1[[Property]:['# Units]],7,0)*S478,"")</f>
        <v/>
      </c>
      <c r="S478" s="27" t="str">
        <f t="shared" si="79"/>
        <v/>
      </c>
      <c r="T478" s="531" t="str">
        <f>IFERROR(
 IF($F478="Total",
   SUMPRODUCT(
   INDEX(T:T, ROW()-COUNTIF($F$6:INDEX($F:$F, ROW()-1), $F477)) : INDEX(T:T, ROW()-1),
   INDEX(W:W, ROW()-COUNTIF($F$6:INDEX($F:$F, ROW()-1), $F477)) : INDEX(W:W, ROW()-1)
   )
   /SUM(INDEX(W:W, ROW()-COUNTIF($F$6:INDEX($F:$F, ROW()-1), $F477)) : INDEX(W:W, ROW()-1)),
   AVERAGEIFS(
     INDEX((unit_details[Asking Rent],unit_details[Asking PSF]),0,1,IF($U$3="Chunk Rent",1,2)),
     unit_details[Leased Date],"&gt;="&amp;($AM$2-T$5),
     unit_details[Leased Date],"&lt;"&amp;$AM$2,
     unit_details[Beds],$L478,
     unit_details[Baths],$M478,
     unit_details[Partial Baths],IF(ISNUMBER($N478),$N478,""),
     unit_details[Sqft],$P478,
     unit_details[Property Name],$F478)
 ),"")</f>
        <v/>
      </c>
      <c r="U478" s="552" t="str">
        <f>IFERROR(
 IF($F478="Total",
   SUMPRODUCT(
   INDEX(U:U, ROW()-COUNTIF($F$6:INDEX($F:$F, ROW()-1), $F477)) : INDEX(U:U, ROW()-1),
   INDEX(W:W, ROW()-COUNTIF($F$6:INDEX($F:$F, ROW()-1), $F477)) : INDEX(W:W, ROW()-1)
   )
   /SUM(INDEX(W:W, ROW()-COUNTIF($F$6:INDEX($F:$F, ROW()-1), $F477)) : INDEX(W:W, ROW()-1)),
   AVERAGEIFS(
     INDEX((unit_details[Effective Rent],unit_details[Effective PSF]),0,1,IF($U$3="Chunk Rent",1,2)),
     unit_details[Leased Date],"&gt;="&amp;($AM$2-T$5),
     unit_details[Leased Date],"&lt;"&amp;$AM$2,
     unit_details[Beds],$L478,
     unit_details[Baths],$M478,
     unit_details[Partial Baths],IF(ISNUMBER($N478),$N478,""),
     unit_details[Sqft],$P478,
     unit_details[Property Name],$F478)
 ),"")</f>
        <v/>
      </c>
      <c r="V478" s="27" t="str">
        <f t="shared" si="87"/>
        <v/>
      </c>
      <c r="W478" s="526">
        <f>IFERROR(
  IF($F478="Total",
    SUM(INDEX(W:W, ROW()-COUNTIF($F$6:INDEX($F:$F, ROW()-1), $F477)) : INDEX(W:W, ROW()-1)),
    COUNTIFS(
      unit_details[Leased Date], "&gt;="&amp;($AM$2-T$5),
      unit_details[Leased Date], "&lt;"&amp;$AM$2,
      unit_details[Beds], $L478,
      unit_details[Baths], $M478,
      unit_details[Partial Baths], IF(ISNUMBER($N478), $N478, ""),
      unit_details[Sqft],$P478,
      unit_details[Property Name], $F478
    )
  ),
"")</f>
        <v>0</v>
      </c>
      <c r="X478" s="531" t="str">
        <f>IFERROR(
 IF($F478="Total",
   SUMPRODUCT(
   INDEX(X:X, ROW()-COUNTIF($F$6:INDEX($F:$F, ROW()-1), $F477)) : INDEX(X:X, ROW()-1),
   INDEX(AA:AA, ROW()-COUNTIF($F$6:INDEX($F:$F, ROW()-1), $F477)) : INDEX(AA:AA, ROW()-1)
   )
   /SUM(INDEX(AA:AA, ROW()-COUNTIF($F$6:INDEX($F:$F, ROW()-1), $F477)) : INDEX(AA:AA, ROW()-1)),
   AVERAGEIFS(
     INDEX((unit_details[Asking Rent],unit_details[Asking PSF]),0,1,IF($U$3="Chunk Rent",1,2)),
     unit_details[Leased Date],"&gt;="&amp;($AM$2-X$5),
     unit_details[Leased Date],"&lt;"&amp;$AM$2,
     unit_details[Beds],$L478,
     unit_details[Baths],$M478,
     unit_details[Partial Baths],IF(ISNUMBER($N478),$N478,""),
     unit_details[Sqft],$P478,
     unit_details[Property Name],$F478)
 ),"")</f>
        <v/>
      </c>
      <c r="Y478" s="552" t="str">
        <f>IFERROR(
 IF($F478="Total",
   SUMPRODUCT(
   INDEX(Y:Y, ROW()-COUNTIF($F$6:INDEX($F:$F, ROW()-1), $F477)) : INDEX(Y:Y, ROW()-1),
   INDEX(AA:AA, ROW()-COUNTIF($F$6:INDEX($F:$F, ROW()-1), $F477)) : INDEX(AA:AA, ROW()-1)
   )
   /SUM(INDEX(AA:AA, ROW()-COUNTIF($F$6:INDEX($F:$F, ROW()-1), $F477)) : INDEX(AA:AA, ROW()-1)),
   AVERAGEIFS(
     INDEX((unit_details[Effective Rent],unit_details[Effective PSF]),0,1,IF($U$3="Chunk Rent",1,2)),
     unit_details[Leased Date],"&gt;="&amp;($AM$2-X$5),
     unit_details[Leased Date],"&lt;"&amp;$AM$2,
     unit_details[Beds],$L478,
     unit_details[Baths],$M478,
     unit_details[Partial Baths],IF(ISNUMBER($N478),$N478,""),
     unit_details[Sqft],$P478,
     unit_details[Property Name],$F478)
 ),"")</f>
        <v/>
      </c>
      <c r="Z478" s="27" t="str">
        <f t="shared" si="88"/>
        <v/>
      </c>
      <c r="AA478" s="526">
        <f>IFERROR(
  IF($F478="Total",
    SUM(INDEX(AA:AA, ROW()-COUNTIF($F$6:INDEX($F:$F, ROW()-1), $F477)) : INDEX(AA:AA, ROW()-1)),
    COUNTIFS(
      unit_details[Leased Date], "&gt;="&amp;($AM$2-X$5),
      unit_details[Leased Date], "&lt;"&amp;$AM$2,
      unit_details[Beds], $L478,
      unit_details[Baths], $M478,
      unit_details[Partial Baths], IF(ISNUMBER($N478), $N478, ""),
      unit_details[Sqft],$P478,
      unit_details[Property Name], $F478
    )
  ),
"")</f>
        <v>0</v>
      </c>
      <c r="AB478" s="290">
        <f>IF($F478="Total",
SUM(INDEX(AB:AB, ROW()-COUNTIF($F$6:INDEX($F:$F, ROW()-1), $F477)) : INDEX(AB:AB, ROW()-1)),
COUNTIFS(unit_details[Active Listing?],TRUE,
          unit_details[Property Name], $F478,
          unit_details[Beds], $L478,
          unit_details[Baths], $M478,
          unit_details[Partial Baths],IF(ISNUMBER($N478),$N478,""),
          unit_details[Sqft],$P478))</f>
        <v>0</v>
      </c>
      <c r="AC478" s="27" t="str">
        <f t="shared" si="80"/>
        <v/>
      </c>
      <c r="AD478" s="293" t="str">
        <f>IFERROR(IF(AE478="","",IF($F478="Total",
SUMPRODUCT(
   INDEX(AD:AD, ROW()-COUNTIF($F$6:INDEX($F:$F, ROW()-1), $F477)) : INDEX(AD:AD, ROW()-1),
   INDEX(AB:AB, ROW()-COUNTIF($F$6:INDEX($F:$F, ROW()-1), $F477)) : INDEX(AB:AB, ROW()-1)
   )
   /SUM(INDEX(AB:AB, ROW()-COUNTIF($F$6:INDEX($F:$F, ROW()-1), $F477)) : INDEX(AB:AB, ROW()-1)),
          _xlfn.MINIFS(unit_details[Asking Rent],
          unit_details[Active Listing?],TRUE,
          unit_details[Property Name], $F478,
          unit_details[Beds], $L478,
          unit_details[Baths], $M478,
          unit_details[Partial Baths], IF(ISNUMBER($N478),$N478,""),
          unit_details[Sqft],$P478
))),"")</f>
        <v/>
      </c>
      <c r="AE478" s="5" t="str">
        <f>IFERROR(IF($F478="Total",
          SUMPRODUCT(
   INDEX(AE:AE, ROW()-COUNTIF($F$6:INDEX($F:$F, ROW()-1), $F477)) : INDEX(AE:AE, ROW()-1),
   INDEX(AB:AB, ROW()-COUNTIF($F$6:INDEX($F:$F, ROW()-1), $F477)) : INDEX(AB:AB, ROW()-1)
   )
   /SUM(INDEX(AB:AB, ROW()-COUNTIF($F$6:INDEX($F:$F, ROW()-1), $F477)) : INDEX(AB:AB, ROW()-1)),
          AVERAGEIFS(unit_details[Asking Rent],
          unit_details[Active Listing?],TRUE,
          unit_details[Property Name], $F478,
          unit_details[Beds], $L478,
          unit_details[Baths], $M478,
          unit_details[Partial Baths], IF(ISNUMBER($N478),$N478,""),
          unit_details[Sqft],$P478
)),"")</f>
        <v/>
      </c>
      <c r="AF478" s="5" t="str">
        <f>IFERROR(IF(AE478="","",IF($F478="Total",
SUMPRODUCT(
   INDEX(AF:AF, ROW()-COUNTIF($F$6:INDEX($F:$F, ROW()-1), $F477)) : INDEX(AF:AF, ROW()-1),
   INDEX(AB:AB, ROW()-COUNTIF($F$6:INDEX($F:$F, ROW()-1), $F477)) : INDEX(AB:AB, ROW()-1)
   )
   /SUM(INDEX(AB:AB, ROW()-COUNTIF($F$6:INDEX($F:$F, ROW()-1), $F477)) : INDEX(AB:AB, ROW()-1)),
           _xlfn.MAXIFS(unit_details[Asking Rent],
          unit_details[Active Listing?],TRUE,
          unit_details[Property Name], $F478,
          unit_details[Beds], $L478,
          unit_details[Baths], $M478,
          unit_details[Partial Baths], IF(ISNUMBER($N478),$N478,""),
          unit_details[Sqft],$P478
))),"")</f>
        <v/>
      </c>
      <c r="AG478" s="6" t="str">
        <f>IFERROR(IF($F478="Total",
         SUMPRODUCT(
         INDEX(AG:AG, ROW()-COUNTIF($F$6:INDEX($F:$F, ROW()-1), $F477)) : INDEX(AG:AG, ROW()-1),
         INDEX(AB:AB, ROW()-COUNTIF($F$6:INDEX($F:$F, ROW()-1), $F477)) : INDEX(AB:AB, ROW()-1)
         )
         /SUM(INDEX(AB:AB, ROW()-COUNTIF($F$6:INDEX($F:$F, ROW()-1), $F477)) : INDEX(AB:AB, ROW()-1)),
          AVERAGEIFS(unit_details[Asking PSF],
          unit_details[Active Listing?],TRUE,
          unit_details[Property Name], $F478,
          unit_details[Beds], $L478,
          unit_details[Baths], $M478,
          unit_details[Partial Baths], IF(ISNUMBER($N478),$N478,""),
          unit_details[Sqft],$P478
)),"")</f>
        <v/>
      </c>
      <c r="AH478" s="293" t="str">
        <f>IFERROR(IF($F478="Total",
         SUMPRODUCT(
         INDEX(AH:AH, ROW()-COUNTIF($F$6:INDEX($F:$F, ROW()-1), $F477)) : INDEX(AH:AH, ROW()-1),
         INDEX(AB:AB, ROW()-COUNTIF($F$6:INDEX($F:$F, ROW()-1), $F477)) : INDEX(AB:AB, ROW()-1)
         )
         /SUM(INDEX(AB:AB, ROW()-COUNTIF($F$6:INDEX($F:$F, ROW()-1), $F477)) : INDEX(AB:AB, ROW()-1)),
          AVERAGEIFS(unit_details[Effective Rent],
          unit_details[Active Listing?],TRUE,
          unit_details[Property Name], $F478,
          unit_details[Beds], $L478,
          unit_details[Baths], $M478,
          unit_details[Partial Baths], IF(ISNUMBER($N478),$N478,""),
          unit_details[Sqft],$P478
)),"")</f>
        <v/>
      </c>
      <c r="AI478" s="6" t="str">
        <f>IFERROR(IF($F478="Total",
         SUMPRODUCT(
         INDEX(AI:AI, ROW()-COUNTIF($F$6:INDEX($F:$F, ROW()-1), $F477)) : INDEX(AI:AI, ROW()-1),
         INDEX(AB:AB, ROW()-COUNTIF($F$6:INDEX($F:$F, ROW()-1), $F477)) : INDEX(AB:AB, ROW()-1)
         )
         /SUM(INDEX(AB:AB, ROW()-COUNTIF($F$6:INDEX($F:$F, ROW()-1), $F477)) : INDEX(AB:AB, ROW()-1)),
           AVERAGEIFS(unit_details[Effective PSF],
          unit_details[Active Listing?],TRUE,
          unit_details[Property Name], $F478,
          unit_details[Beds], $L478,
          unit_details[Baths], $M478,
          unit_details[Partial Baths], IF(ISNUMBER($N478),$N478,""),
          unit_details[Sqft],$P478
)),"")</f>
        <v/>
      </c>
      <c r="AJ478" s="824" t="str">
        <f t="shared" si="81"/>
        <v/>
      </c>
      <c r="AK478" s="531" t="str">
        <f t="shared" si="82"/>
        <v/>
      </c>
      <c r="AL478" s="714" t="str">
        <f t="shared" si="83"/>
        <v/>
      </c>
      <c r="AM478" s="531" t="str">
        <f t="shared" si="84"/>
        <v/>
      </c>
      <c r="AN478" s="716" t="str">
        <f t="shared" si="85"/>
        <v/>
      </c>
    </row>
    <row r="479" spans="6:40" x14ac:dyDescent="0.2">
      <c r="F479" s="1" t="str">
        <f t="shared" si="78"/>
        <v/>
      </c>
      <c r="G479" s="713" t="str">
        <f t="shared" si="86"/>
        <v/>
      </c>
      <c r="H479" s="17" t="str">
        <f>IFERROR(VLOOKUP($G479,Table1[[Property]:[Exposure %]],4,0),"")</f>
        <v/>
      </c>
      <c r="I479" s="3" t="str">
        <f>IFERROR(VLOOKUP($G479,Table1[[Property]:[Exposure %]],6,0),"")</f>
        <v/>
      </c>
      <c r="J479" s="3" t="str">
        <f>IFERROR(VLOOKUP($G479,Table1[[Property]:[Exposure %]],7,0),"")</f>
        <v/>
      </c>
      <c r="R479" s="4" t="str">
        <f>IFERROR(VLOOKUP(IF(F479="Total",F478,F479),Table1[[Property]:['# Units]],7,0)*S479,"")</f>
        <v/>
      </c>
      <c r="S479" s="27" t="str">
        <f t="shared" si="79"/>
        <v/>
      </c>
      <c r="T479" s="531" t="str">
        <f>IFERROR(
 IF($F479="Total",
   SUMPRODUCT(
   INDEX(T:T, ROW()-COUNTIF($F$6:INDEX($F:$F, ROW()-1), $F478)) : INDEX(T:T, ROW()-1),
   INDEX(W:W, ROW()-COUNTIF($F$6:INDEX($F:$F, ROW()-1), $F478)) : INDEX(W:W, ROW()-1)
   )
   /SUM(INDEX(W:W, ROW()-COUNTIF($F$6:INDEX($F:$F, ROW()-1), $F478)) : INDEX(W:W, ROW()-1)),
   AVERAGEIFS(
     INDEX((unit_details[Asking Rent],unit_details[Asking PSF]),0,1,IF($U$3="Chunk Rent",1,2)),
     unit_details[Leased Date],"&gt;="&amp;($AM$2-T$5),
     unit_details[Leased Date],"&lt;"&amp;$AM$2,
     unit_details[Beds],$L479,
     unit_details[Baths],$M479,
     unit_details[Partial Baths],IF(ISNUMBER($N479),$N479,""),
     unit_details[Sqft],$P479,
     unit_details[Property Name],$F479)
 ),"")</f>
        <v/>
      </c>
      <c r="U479" s="552" t="str">
        <f>IFERROR(
 IF($F479="Total",
   SUMPRODUCT(
   INDEX(U:U, ROW()-COUNTIF($F$6:INDEX($F:$F, ROW()-1), $F478)) : INDEX(U:U, ROW()-1),
   INDEX(W:W, ROW()-COUNTIF($F$6:INDEX($F:$F, ROW()-1), $F478)) : INDEX(W:W, ROW()-1)
   )
   /SUM(INDEX(W:W, ROW()-COUNTIF($F$6:INDEX($F:$F, ROW()-1), $F478)) : INDEX(W:W, ROW()-1)),
   AVERAGEIFS(
     INDEX((unit_details[Effective Rent],unit_details[Effective PSF]),0,1,IF($U$3="Chunk Rent",1,2)),
     unit_details[Leased Date],"&gt;="&amp;($AM$2-T$5),
     unit_details[Leased Date],"&lt;"&amp;$AM$2,
     unit_details[Beds],$L479,
     unit_details[Baths],$M479,
     unit_details[Partial Baths],IF(ISNUMBER($N479),$N479,""),
     unit_details[Sqft],$P479,
     unit_details[Property Name],$F479)
 ),"")</f>
        <v/>
      </c>
      <c r="V479" s="27" t="str">
        <f t="shared" si="87"/>
        <v/>
      </c>
      <c r="W479" s="526">
        <f>IFERROR(
  IF($F479="Total",
    SUM(INDEX(W:W, ROW()-COUNTIF($F$6:INDEX($F:$F, ROW()-1), $F478)) : INDEX(W:W, ROW()-1)),
    COUNTIFS(
      unit_details[Leased Date], "&gt;="&amp;($AM$2-T$5),
      unit_details[Leased Date], "&lt;"&amp;$AM$2,
      unit_details[Beds], $L479,
      unit_details[Baths], $M479,
      unit_details[Partial Baths], IF(ISNUMBER($N479), $N479, ""),
      unit_details[Sqft],$P479,
      unit_details[Property Name], $F479
    )
  ),
"")</f>
        <v>0</v>
      </c>
      <c r="X479" s="531" t="str">
        <f>IFERROR(
 IF($F479="Total",
   SUMPRODUCT(
   INDEX(X:X, ROW()-COUNTIF($F$6:INDEX($F:$F, ROW()-1), $F478)) : INDEX(X:X, ROW()-1),
   INDEX(AA:AA, ROW()-COUNTIF($F$6:INDEX($F:$F, ROW()-1), $F478)) : INDEX(AA:AA, ROW()-1)
   )
   /SUM(INDEX(AA:AA, ROW()-COUNTIF($F$6:INDEX($F:$F, ROW()-1), $F478)) : INDEX(AA:AA, ROW()-1)),
   AVERAGEIFS(
     INDEX((unit_details[Asking Rent],unit_details[Asking PSF]),0,1,IF($U$3="Chunk Rent",1,2)),
     unit_details[Leased Date],"&gt;="&amp;($AM$2-X$5),
     unit_details[Leased Date],"&lt;"&amp;$AM$2,
     unit_details[Beds],$L479,
     unit_details[Baths],$M479,
     unit_details[Partial Baths],IF(ISNUMBER($N479),$N479,""),
     unit_details[Sqft],$P479,
     unit_details[Property Name],$F479)
 ),"")</f>
        <v/>
      </c>
      <c r="Y479" s="552" t="str">
        <f>IFERROR(
 IF($F479="Total",
   SUMPRODUCT(
   INDEX(Y:Y, ROW()-COUNTIF($F$6:INDEX($F:$F, ROW()-1), $F478)) : INDEX(Y:Y, ROW()-1),
   INDEX(AA:AA, ROW()-COUNTIF($F$6:INDEX($F:$F, ROW()-1), $F478)) : INDEX(AA:AA, ROW()-1)
   )
   /SUM(INDEX(AA:AA, ROW()-COUNTIF($F$6:INDEX($F:$F, ROW()-1), $F478)) : INDEX(AA:AA, ROW()-1)),
   AVERAGEIFS(
     INDEX((unit_details[Effective Rent],unit_details[Effective PSF]),0,1,IF($U$3="Chunk Rent",1,2)),
     unit_details[Leased Date],"&gt;="&amp;($AM$2-X$5),
     unit_details[Leased Date],"&lt;"&amp;$AM$2,
     unit_details[Beds],$L479,
     unit_details[Baths],$M479,
     unit_details[Partial Baths],IF(ISNUMBER($N479),$N479,""),
     unit_details[Sqft],$P479,
     unit_details[Property Name],$F479)
 ),"")</f>
        <v/>
      </c>
      <c r="Z479" s="27" t="str">
        <f t="shared" si="88"/>
        <v/>
      </c>
      <c r="AA479" s="526">
        <f>IFERROR(
  IF($F479="Total",
    SUM(INDEX(AA:AA, ROW()-COUNTIF($F$6:INDEX($F:$F, ROW()-1), $F478)) : INDEX(AA:AA, ROW()-1)),
    COUNTIFS(
      unit_details[Leased Date], "&gt;="&amp;($AM$2-X$5),
      unit_details[Leased Date], "&lt;"&amp;$AM$2,
      unit_details[Beds], $L479,
      unit_details[Baths], $M479,
      unit_details[Partial Baths], IF(ISNUMBER($N479), $N479, ""),
      unit_details[Sqft],$P479,
      unit_details[Property Name], $F479
    )
  ),
"")</f>
        <v>0</v>
      </c>
      <c r="AB479" s="290">
        <f>IF($F479="Total",
SUM(INDEX(AB:AB, ROW()-COUNTIF($F$6:INDEX($F:$F, ROW()-1), $F478)) : INDEX(AB:AB, ROW()-1)),
COUNTIFS(unit_details[Active Listing?],TRUE,
          unit_details[Property Name], $F479,
          unit_details[Beds], $L479,
          unit_details[Baths], $M479,
          unit_details[Partial Baths],IF(ISNUMBER($N479),$N479,""),
          unit_details[Sqft],$P479))</f>
        <v>0</v>
      </c>
      <c r="AC479" s="27" t="str">
        <f t="shared" si="80"/>
        <v/>
      </c>
      <c r="AD479" s="293" t="str">
        <f>IFERROR(IF(AE479="","",IF($F479="Total",
SUMPRODUCT(
   INDEX(AD:AD, ROW()-COUNTIF($F$6:INDEX($F:$F, ROW()-1), $F478)) : INDEX(AD:AD, ROW()-1),
   INDEX(AB:AB, ROW()-COUNTIF($F$6:INDEX($F:$F, ROW()-1), $F478)) : INDEX(AB:AB, ROW()-1)
   )
   /SUM(INDEX(AB:AB, ROW()-COUNTIF($F$6:INDEX($F:$F, ROW()-1), $F478)) : INDEX(AB:AB, ROW()-1)),
          _xlfn.MINIFS(unit_details[Asking Rent],
          unit_details[Active Listing?],TRUE,
          unit_details[Property Name], $F479,
          unit_details[Beds], $L479,
          unit_details[Baths], $M479,
          unit_details[Partial Baths], IF(ISNUMBER($N479),$N479,""),
          unit_details[Sqft],$P479
))),"")</f>
        <v/>
      </c>
      <c r="AE479" s="5" t="str">
        <f>IFERROR(IF($F479="Total",
          SUMPRODUCT(
   INDEX(AE:AE, ROW()-COUNTIF($F$6:INDEX($F:$F, ROW()-1), $F478)) : INDEX(AE:AE, ROW()-1),
   INDEX(AB:AB, ROW()-COUNTIF($F$6:INDEX($F:$F, ROW()-1), $F478)) : INDEX(AB:AB, ROW()-1)
   )
   /SUM(INDEX(AB:AB, ROW()-COUNTIF($F$6:INDEX($F:$F, ROW()-1), $F478)) : INDEX(AB:AB, ROW()-1)),
          AVERAGEIFS(unit_details[Asking Rent],
          unit_details[Active Listing?],TRUE,
          unit_details[Property Name], $F479,
          unit_details[Beds], $L479,
          unit_details[Baths], $M479,
          unit_details[Partial Baths], IF(ISNUMBER($N479),$N479,""),
          unit_details[Sqft],$P479
)),"")</f>
        <v/>
      </c>
      <c r="AF479" s="5" t="str">
        <f>IFERROR(IF(AE479="","",IF($F479="Total",
SUMPRODUCT(
   INDEX(AF:AF, ROW()-COUNTIF($F$6:INDEX($F:$F, ROW()-1), $F478)) : INDEX(AF:AF, ROW()-1),
   INDEX(AB:AB, ROW()-COUNTIF($F$6:INDEX($F:$F, ROW()-1), $F478)) : INDEX(AB:AB, ROW()-1)
   )
   /SUM(INDEX(AB:AB, ROW()-COUNTIF($F$6:INDEX($F:$F, ROW()-1), $F478)) : INDEX(AB:AB, ROW()-1)),
           _xlfn.MAXIFS(unit_details[Asking Rent],
          unit_details[Active Listing?],TRUE,
          unit_details[Property Name], $F479,
          unit_details[Beds], $L479,
          unit_details[Baths], $M479,
          unit_details[Partial Baths], IF(ISNUMBER($N479),$N479,""),
          unit_details[Sqft],$P479
))),"")</f>
        <v/>
      </c>
      <c r="AG479" s="6" t="str">
        <f>IFERROR(IF($F479="Total",
         SUMPRODUCT(
         INDEX(AG:AG, ROW()-COUNTIF($F$6:INDEX($F:$F, ROW()-1), $F478)) : INDEX(AG:AG, ROW()-1),
         INDEX(AB:AB, ROW()-COUNTIF($F$6:INDEX($F:$F, ROW()-1), $F478)) : INDEX(AB:AB, ROW()-1)
         )
         /SUM(INDEX(AB:AB, ROW()-COUNTIF($F$6:INDEX($F:$F, ROW()-1), $F478)) : INDEX(AB:AB, ROW()-1)),
          AVERAGEIFS(unit_details[Asking PSF],
          unit_details[Active Listing?],TRUE,
          unit_details[Property Name], $F479,
          unit_details[Beds], $L479,
          unit_details[Baths], $M479,
          unit_details[Partial Baths], IF(ISNUMBER($N479),$N479,""),
          unit_details[Sqft],$P479
)),"")</f>
        <v/>
      </c>
      <c r="AH479" s="293" t="str">
        <f>IFERROR(IF($F479="Total",
         SUMPRODUCT(
         INDEX(AH:AH, ROW()-COUNTIF($F$6:INDEX($F:$F, ROW()-1), $F478)) : INDEX(AH:AH, ROW()-1),
         INDEX(AB:AB, ROW()-COUNTIF($F$6:INDEX($F:$F, ROW()-1), $F478)) : INDEX(AB:AB, ROW()-1)
         )
         /SUM(INDEX(AB:AB, ROW()-COUNTIF($F$6:INDEX($F:$F, ROW()-1), $F478)) : INDEX(AB:AB, ROW()-1)),
          AVERAGEIFS(unit_details[Effective Rent],
          unit_details[Active Listing?],TRUE,
          unit_details[Property Name], $F479,
          unit_details[Beds], $L479,
          unit_details[Baths], $M479,
          unit_details[Partial Baths], IF(ISNUMBER($N479),$N479,""),
          unit_details[Sqft],$P479
)),"")</f>
        <v/>
      </c>
      <c r="AI479" s="6" t="str">
        <f>IFERROR(IF($F479="Total",
         SUMPRODUCT(
         INDEX(AI:AI, ROW()-COUNTIF($F$6:INDEX($F:$F, ROW()-1), $F478)) : INDEX(AI:AI, ROW()-1),
         INDEX(AB:AB, ROW()-COUNTIF($F$6:INDEX($F:$F, ROW()-1), $F478)) : INDEX(AB:AB, ROW()-1)
         )
         /SUM(INDEX(AB:AB, ROW()-COUNTIF($F$6:INDEX($F:$F, ROW()-1), $F478)) : INDEX(AB:AB, ROW()-1)),
           AVERAGEIFS(unit_details[Effective PSF],
          unit_details[Active Listing?],TRUE,
          unit_details[Property Name], $F479,
          unit_details[Beds], $L479,
          unit_details[Baths], $M479,
          unit_details[Partial Baths], IF(ISNUMBER($N479),$N479,""),
          unit_details[Sqft],$P479
)),"")</f>
        <v/>
      </c>
      <c r="AJ479" s="824" t="str">
        <f t="shared" si="81"/>
        <v/>
      </c>
      <c r="AK479" s="531" t="str">
        <f t="shared" si="82"/>
        <v/>
      </c>
      <c r="AL479" s="714" t="str">
        <f t="shared" si="83"/>
        <v/>
      </c>
      <c r="AM479" s="531" t="str">
        <f t="shared" si="84"/>
        <v/>
      </c>
      <c r="AN479" s="716" t="str">
        <f t="shared" si="85"/>
        <v/>
      </c>
    </row>
    <row r="480" spans="6:40" x14ac:dyDescent="0.2">
      <c r="F480" s="1" t="str">
        <f t="shared" si="78"/>
        <v/>
      </c>
      <c r="G480" s="713" t="str">
        <f t="shared" si="86"/>
        <v/>
      </c>
      <c r="H480" s="17" t="str">
        <f>IFERROR(VLOOKUP($G480,Table1[[Property]:[Exposure %]],4,0),"")</f>
        <v/>
      </c>
      <c r="I480" s="3" t="str">
        <f>IFERROR(VLOOKUP($G480,Table1[[Property]:[Exposure %]],6,0),"")</f>
        <v/>
      </c>
      <c r="J480" s="3" t="str">
        <f>IFERROR(VLOOKUP($G480,Table1[[Property]:[Exposure %]],7,0),"")</f>
        <v/>
      </c>
      <c r="R480" s="4" t="str">
        <f>IFERROR(VLOOKUP(IF(F480="Total",F479,F480),Table1[[Property]:['# Units]],7,0)*S480,"")</f>
        <v/>
      </c>
      <c r="S480" s="27" t="str">
        <f t="shared" si="79"/>
        <v/>
      </c>
      <c r="T480" s="531" t="str">
        <f>IFERROR(
 IF($F480="Total",
   SUMPRODUCT(
   INDEX(T:T, ROW()-COUNTIF($F$6:INDEX($F:$F, ROW()-1), $F479)) : INDEX(T:T, ROW()-1),
   INDEX(W:W, ROW()-COUNTIF($F$6:INDEX($F:$F, ROW()-1), $F479)) : INDEX(W:W, ROW()-1)
   )
   /SUM(INDEX(W:W, ROW()-COUNTIF($F$6:INDEX($F:$F, ROW()-1), $F479)) : INDEX(W:W, ROW()-1)),
   AVERAGEIFS(
     INDEX((unit_details[Asking Rent],unit_details[Asking PSF]),0,1,IF($U$3="Chunk Rent",1,2)),
     unit_details[Leased Date],"&gt;="&amp;($AM$2-T$5),
     unit_details[Leased Date],"&lt;"&amp;$AM$2,
     unit_details[Beds],$L480,
     unit_details[Baths],$M480,
     unit_details[Partial Baths],IF(ISNUMBER($N480),$N480,""),
     unit_details[Sqft],$P480,
     unit_details[Property Name],$F480)
 ),"")</f>
        <v/>
      </c>
      <c r="U480" s="552" t="str">
        <f>IFERROR(
 IF($F480="Total",
   SUMPRODUCT(
   INDEX(U:U, ROW()-COUNTIF($F$6:INDEX($F:$F, ROW()-1), $F479)) : INDEX(U:U, ROW()-1),
   INDEX(W:W, ROW()-COUNTIF($F$6:INDEX($F:$F, ROW()-1), $F479)) : INDEX(W:W, ROW()-1)
   )
   /SUM(INDEX(W:W, ROW()-COUNTIF($F$6:INDEX($F:$F, ROW()-1), $F479)) : INDEX(W:W, ROW()-1)),
   AVERAGEIFS(
     INDEX((unit_details[Effective Rent],unit_details[Effective PSF]),0,1,IF($U$3="Chunk Rent",1,2)),
     unit_details[Leased Date],"&gt;="&amp;($AM$2-T$5),
     unit_details[Leased Date],"&lt;"&amp;$AM$2,
     unit_details[Beds],$L480,
     unit_details[Baths],$M480,
     unit_details[Partial Baths],IF(ISNUMBER($N480),$N480,""),
     unit_details[Sqft],$P480,
     unit_details[Property Name],$F480)
 ),"")</f>
        <v/>
      </c>
      <c r="V480" s="27" t="str">
        <f t="shared" si="87"/>
        <v/>
      </c>
      <c r="W480" s="526">
        <f>IFERROR(
  IF($F480="Total",
    SUM(INDEX(W:W, ROW()-COUNTIF($F$6:INDEX($F:$F, ROW()-1), $F479)) : INDEX(W:W, ROW()-1)),
    COUNTIFS(
      unit_details[Leased Date], "&gt;="&amp;($AM$2-T$5),
      unit_details[Leased Date], "&lt;"&amp;$AM$2,
      unit_details[Beds], $L480,
      unit_details[Baths], $M480,
      unit_details[Partial Baths], IF(ISNUMBER($N480), $N480, ""),
      unit_details[Sqft],$P480,
      unit_details[Property Name], $F480
    )
  ),
"")</f>
        <v>0</v>
      </c>
      <c r="X480" s="531" t="str">
        <f>IFERROR(
 IF($F480="Total",
   SUMPRODUCT(
   INDEX(X:X, ROW()-COUNTIF($F$6:INDEX($F:$F, ROW()-1), $F479)) : INDEX(X:X, ROW()-1),
   INDEX(AA:AA, ROW()-COUNTIF($F$6:INDEX($F:$F, ROW()-1), $F479)) : INDEX(AA:AA, ROW()-1)
   )
   /SUM(INDEX(AA:AA, ROW()-COUNTIF($F$6:INDEX($F:$F, ROW()-1), $F479)) : INDEX(AA:AA, ROW()-1)),
   AVERAGEIFS(
     INDEX((unit_details[Asking Rent],unit_details[Asking PSF]),0,1,IF($U$3="Chunk Rent",1,2)),
     unit_details[Leased Date],"&gt;="&amp;($AM$2-X$5),
     unit_details[Leased Date],"&lt;"&amp;$AM$2,
     unit_details[Beds],$L480,
     unit_details[Baths],$M480,
     unit_details[Partial Baths],IF(ISNUMBER($N480),$N480,""),
     unit_details[Sqft],$P480,
     unit_details[Property Name],$F480)
 ),"")</f>
        <v/>
      </c>
      <c r="Y480" s="552" t="str">
        <f>IFERROR(
 IF($F480="Total",
   SUMPRODUCT(
   INDEX(Y:Y, ROW()-COUNTIF($F$6:INDEX($F:$F, ROW()-1), $F479)) : INDEX(Y:Y, ROW()-1),
   INDEX(AA:AA, ROW()-COUNTIF($F$6:INDEX($F:$F, ROW()-1), $F479)) : INDEX(AA:AA, ROW()-1)
   )
   /SUM(INDEX(AA:AA, ROW()-COUNTIF($F$6:INDEX($F:$F, ROW()-1), $F479)) : INDEX(AA:AA, ROW()-1)),
   AVERAGEIFS(
     INDEX((unit_details[Effective Rent],unit_details[Effective PSF]),0,1,IF($U$3="Chunk Rent",1,2)),
     unit_details[Leased Date],"&gt;="&amp;($AM$2-X$5),
     unit_details[Leased Date],"&lt;"&amp;$AM$2,
     unit_details[Beds],$L480,
     unit_details[Baths],$M480,
     unit_details[Partial Baths],IF(ISNUMBER($N480),$N480,""),
     unit_details[Sqft],$P480,
     unit_details[Property Name],$F480)
 ),"")</f>
        <v/>
      </c>
      <c r="Z480" s="27" t="str">
        <f t="shared" si="88"/>
        <v/>
      </c>
      <c r="AA480" s="526">
        <f>IFERROR(
  IF($F480="Total",
    SUM(INDEX(AA:AA, ROW()-COUNTIF($F$6:INDEX($F:$F, ROW()-1), $F479)) : INDEX(AA:AA, ROW()-1)),
    COUNTIFS(
      unit_details[Leased Date], "&gt;="&amp;($AM$2-X$5),
      unit_details[Leased Date], "&lt;"&amp;$AM$2,
      unit_details[Beds], $L480,
      unit_details[Baths], $M480,
      unit_details[Partial Baths], IF(ISNUMBER($N480), $N480, ""),
      unit_details[Sqft],$P480,
      unit_details[Property Name], $F480
    )
  ),
"")</f>
        <v>0</v>
      </c>
      <c r="AB480" s="290">
        <f>IF($F480="Total",
SUM(INDEX(AB:AB, ROW()-COUNTIF($F$6:INDEX($F:$F, ROW()-1), $F479)) : INDEX(AB:AB, ROW()-1)),
COUNTIFS(unit_details[Active Listing?],TRUE,
          unit_details[Property Name], $F480,
          unit_details[Beds], $L480,
          unit_details[Baths], $M480,
          unit_details[Partial Baths],IF(ISNUMBER($N480),$N480,""),
          unit_details[Sqft],$P480))</f>
        <v>0</v>
      </c>
      <c r="AC480" s="27" t="str">
        <f t="shared" si="80"/>
        <v/>
      </c>
      <c r="AD480" s="293" t="str">
        <f>IFERROR(IF(AE480="","",IF($F480="Total",
SUMPRODUCT(
   INDEX(AD:AD, ROW()-COUNTIF($F$6:INDEX($F:$F, ROW()-1), $F479)) : INDEX(AD:AD, ROW()-1),
   INDEX(AB:AB, ROW()-COUNTIF($F$6:INDEX($F:$F, ROW()-1), $F479)) : INDEX(AB:AB, ROW()-1)
   )
   /SUM(INDEX(AB:AB, ROW()-COUNTIF($F$6:INDEX($F:$F, ROW()-1), $F479)) : INDEX(AB:AB, ROW()-1)),
          _xlfn.MINIFS(unit_details[Asking Rent],
          unit_details[Active Listing?],TRUE,
          unit_details[Property Name], $F480,
          unit_details[Beds], $L480,
          unit_details[Baths], $M480,
          unit_details[Partial Baths], IF(ISNUMBER($N480),$N480,""),
          unit_details[Sqft],$P480
))),"")</f>
        <v/>
      </c>
      <c r="AE480" s="5" t="str">
        <f>IFERROR(IF($F480="Total",
          SUMPRODUCT(
   INDEX(AE:AE, ROW()-COUNTIF($F$6:INDEX($F:$F, ROW()-1), $F479)) : INDEX(AE:AE, ROW()-1),
   INDEX(AB:AB, ROW()-COUNTIF($F$6:INDEX($F:$F, ROW()-1), $F479)) : INDEX(AB:AB, ROW()-1)
   )
   /SUM(INDEX(AB:AB, ROW()-COUNTIF($F$6:INDEX($F:$F, ROW()-1), $F479)) : INDEX(AB:AB, ROW()-1)),
          AVERAGEIFS(unit_details[Asking Rent],
          unit_details[Active Listing?],TRUE,
          unit_details[Property Name], $F480,
          unit_details[Beds], $L480,
          unit_details[Baths], $M480,
          unit_details[Partial Baths], IF(ISNUMBER($N480),$N480,""),
          unit_details[Sqft],$P480
)),"")</f>
        <v/>
      </c>
      <c r="AF480" s="5" t="str">
        <f>IFERROR(IF(AE480="","",IF($F480="Total",
SUMPRODUCT(
   INDEX(AF:AF, ROW()-COUNTIF($F$6:INDEX($F:$F, ROW()-1), $F479)) : INDEX(AF:AF, ROW()-1),
   INDEX(AB:AB, ROW()-COUNTIF($F$6:INDEX($F:$F, ROW()-1), $F479)) : INDEX(AB:AB, ROW()-1)
   )
   /SUM(INDEX(AB:AB, ROW()-COUNTIF($F$6:INDEX($F:$F, ROW()-1), $F479)) : INDEX(AB:AB, ROW()-1)),
           _xlfn.MAXIFS(unit_details[Asking Rent],
          unit_details[Active Listing?],TRUE,
          unit_details[Property Name], $F480,
          unit_details[Beds], $L480,
          unit_details[Baths], $M480,
          unit_details[Partial Baths], IF(ISNUMBER($N480),$N480,""),
          unit_details[Sqft],$P480
))),"")</f>
        <v/>
      </c>
      <c r="AG480" s="6" t="str">
        <f>IFERROR(IF($F480="Total",
         SUMPRODUCT(
         INDEX(AG:AG, ROW()-COUNTIF($F$6:INDEX($F:$F, ROW()-1), $F479)) : INDEX(AG:AG, ROW()-1),
         INDEX(AB:AB, ROW()-COUNTIF($F$6:INDEX($F:$F, ROW()-1), $F479)) : INDEX(AB:AB, ROW()-1)
         )
         /SUM(INDEX(AB:AB, ROW()-COUNTIF($F$6:INDEX($F:$F, ROW()-1), $F479)) : INDEX(AB:AB, ROW()-1)),
          AVERAGEIFS(unit_details[Asking PSF],
          unit_details[Active Listing?],TRUE,
          unit_details[Property Name], $F480,
          unit_details[Beds], $L480,
          unit_details[Baths], $M480,
          unit_details[Partial Baths], IF(ISNUMBER($N480),$N480,""),
          unit_details[Sqft],$P480
)),"")</f>
        <v/>
      </c>
      <c r="AH480" s="293" t="str">
        <f>IFERROR(IF($F480="Total",
         SUMPRODUCT(
         INDEX(AH:AH, ROW()-COUNTIF($F$6:INDEX($F:$F, ROW()-1), $F479)) : INDEX(AH:AH, ROW()-1),
         INDEX(AB:AB, ROW()-COUNTIF($F$6:INDEX($F:$F, ROW()-1), $F479)) : INDEX(AB:AB, ROW()-1)
         )
         /SUM(INDEX(AB:AB, ROW()-COUNTIF($F$6:INDEX($F:$F, ROW()-1), $F479)) : INDEX(AB:AB, ROW()-1)),
          AVERAGEIFS(unit_details[Effective Rent],
          unit_details[Active Listing?],TRUE,
          unit_details[Property Name], $F480,
          unit_details[Beds], $L480,
          unit_details[Baths], $M480,
          unit_details[Partial Baths], IF(ISNUMBER($N480),$N480,""),
          unit_details[Sqft],$P480
)),"")</f>
        <v/>
      </c>
      <c r="AI480" s="6" t="str">
        <f>IFERROR(IF($F480="Total",
         SUMPRODUCT(
         INDEX(AI:AI, ROW()-COUNTIF($F$6:INDEX($F:$F, ROW()-1), $F479)) : INDEX(AI:AI, ROW()-1),
         INDEX(AB:AB, ROW()-COUNTIF($F$6:INDEX($F:$F, ROW()-1), $F479)) : INDEX(AB:AB, ROW()-1)
         )
         /SUM(INDEX(AB:AB, ROW()-COUNTIF($F$6:INDEX($F:$F, ROW()-1), $F479)) : INDEX(AB:AB, ROW()-1)),
           AVERAGEIFS(unit_details[Effective PSF],
          unit_details[Active Listing?],TRUE,
          unit_details[Property Name], $F480,
          unit_details[Beds], $L480,
          unit_details[Baths], $M480,
          unit_details[Partial Baths], IF(ISNUMBER($N480),$N480,""),
          unit_details[Sqft],$P480
)),"")</f>
        <v/>
      </c>
      <c r="AJ480" s="824" t="str">
        <f t="shared" si="81"/>
        <v/>
      </c>
      <c r="AK480" s="531" t="str">
        <f t="shared" si="82"/>
        <v/>
      </c>
      <c r="AL480" s="714" t="str">
        <f t="shared" si="83"/>
        <v/>
      </c>
      <c r="AM480" s="531" t="str">
        <f t="shared" si="84"/>
        <v/>
      </c>
      <c r="AN480" s="716" t="str">
        <f t="shared" si="85"/>
        <v/>
      </c>
    </row>
    <row r="481" spans="6:40" x14ac:dyDescent="0.2">
      <c r="F481" s="1" t="str">
        <f t="shared" si="78"/>
        <v/>
      </c>
      <c r="G481" s="713" t="str">
        <f t="shared" si="86"/>
        <v/>
      </c>
      <c r="H481" s="17" t="str">
        <f>IFERROR(VLOOKUP($G481,Table1[[Property]:[Exposure %]],4,0),"")</f>
        <v/>
      </c>
      <c r="I481" s="3" t="str">
        <f>IFERROR(VLOOKUP($G481,Table1[[Property]:[Exposure %]],6,0),"")</f>
        <v/>
      </c>
      <c r="J481" s="3" t="str">
        <f>IFERROR(VLOOKUP($G481,Table1[[Property]:[Exposure %]],7,0),"")</f>
        <v/>
      </c>
      <c r="R481" s="4" t="str">
        <f>IFERROR(VLOOKUP(IF(F481="Total",F480,F481),Table1[[Property]:['# Units]],7,0)*S481,"")</f>
        <v/>
      </c>
      <c r="S481" s="27" t="str">
        <f t="shared" si="79"/>
        <v/>
      </c>
      <c r="T481" s="531" t="str">
        <f>IFERROR(
 IF($F481="Total",
   SUMPRODUCT(
   INDEX(T:T, ROW()-COUNTIF($F$6:INDEX($F:$F, ROW()-1), $F480)) : INDEX(T:T, ROW()-1),
   INDEX(W:W, ROW()-COUNTIF($F$6:INDEX($F:$F, ROW()-1), $F480)) : INDEX(W:W, ROW()-1)
   )
   /SUM(INDEX(W:W, ROW()-COUNTIF($F$6:INDEX($F:$F, ROW()-1), $F480)) : INDEX(W:W, ROW()-1)),
   AVERAGEIFS(
     INDEX((unit_details[Asking Rent],unit_details[Asking PSF]),0,1,IF($U$3="Chunk Rent",1,2)),
     unit_details[Leased Date],"&gt;="&amp;($AM$2-T$5),
     unit_details[Leased Date],"&lt;"&amp;$AM$2,
     unit_details[Beds],$L481,
     unit_details[Baths],$M481,
     unit_details[Partial Baths],IF(ISNUMBER($N481),$N481,""),
     unit_details[Sqft],$P481,
     unit_details[Property Name],$F481)
 ),"")</f>
        <v/>
      </c>
      <c r="U481" s="552" t="str">
        <f>IFERROR(
 IF($F481="Total",
   SUMPRODUCT(
   INDEX(U:U, ROW()-COUNTIF($F$6:INDEX($F:$F, ROW()-1), $F480)) : INDEX(U:U, ROW()-1),
   INDEX(W:W, ROW()-COUNTIF($F$6:INDEX($F:$F, ROW()-1), $F480)) : INDEX(W:W, ROW()-1)
   )
   /SUM(INDEX(W:W, ROW()-COUNTIF($F$6:INDEX($F:$F, ROW()-1), $F480)) : INDEX(W:W, ROW()-1)),
   AVERAGEIFS(
     INDEX((unit_details[Effective Rent],unit_details[Effective PSF]),0,1,IF($U$3="Chunk Rent",1,2)),
     unit_details[Leased Date],"&gt;="&amp;($AM$2-T$5),
     unit_details[Leased Date],"&lt;"&amp;$AM$2,
     unit_details[Beds],$L481,
     unit_details[Baths],$M481,
     unit_details[Partial Baths],IF(ISNUMBER($N481),$N481,""),
     unit_details[Sqft],$P481,
     unit_details[Property Name],$F481)
 ),"")</f>
        <v/>
      </c>
      <c r="V481" s="27" t="str">
        <f t="shared" si="87"/>
        <v/>
      </c>
      <c r="W481" s="526">
        <f>IFERROR(
  IF($F481="Total",
    SUM(INDEX(W:W, ROW()-COUNTIF($F$6:INDEX($F:$F, ROW()-1), $F480)) : INDEX(W:W, ROW()-1)),
    COUNTIFS(
      unit_details[Leased Date], "&gt;="&amp;($AM$2-T$5),
      unit_details[Leased Date], "&lt;"&amp;$AM$2,
      unit_details[Beds], $L481,
      unit_details[Baths], $M481,
      unit_details[Partial Baths], IF(ISNUMBER($N481), $N481, ""),
      unit_details[Sqft],$P481,
      unit_details[Property Name], $F481
    )
  ),
"")</f>
        <v>0</v>
      </c>
      <c r="X481" s="531" t="str">
        <f>IFERROR(
 IF($F481="Total",
   SUMPRODUCT(
   INDEX(X:X, ROW()-COUNTIF($F$6:INDEX($F:$F, ROW()-1), $F480)) : INDEX(X:X, ROW()-1),
   INDEX(AA:AA, ROW()-COUNTIF($F$6:INDEX($F:$F, ROW()-1), $F480)) : INDEX(AA:AA, ROW()-1)
   )
   /SUM(INDEX(AA:AA, ROW()-COUNTIF($F$6:INDEX($F:$F, ROW()-1), $F480)) : INDEX(AA:AA, ROW()-1)),
   AVERAGEIFS(
     INDEX((unit_details[Asking Rent],unit_details[Asking PSF]),0,1,IF($U$3="Chunk Rent",1,2)),
     unit_details[Leased Date],"&gt;="&amp;($AM$2-X$5),
     unit_details[Leased Date],"&lt;"&amp;$AM$2,
     unit_details[Beds],$L481,
     unit_details[Baths],$M481,
     unit_details[Partial Baths],IF(ISNUMBER($N481),$N481,""),
     unit_details[Sqft],$P481,
     unit_details[Property Name],$F481)
 ),"")</f>
        <v/>
      </c>
      <c r="Y481" s="552" t="str">
        <f>IFERROR(
 IF($F481="Total",
   SUMPRODUCT(
   INDEX(Y:Y, ROW()-COUNTIF($F$6:INDEX($F:$F, ROW()-1), $F480)) : INDEX(Y:Y, ROW()-1),
   INDEX(AA:AA, ROW()-COUNTIF($F$6:INDEX($F:$F, ROW()-1), $F480)) : INDEX(AA:AA, ROW()-1)
   )
   /SUM(INDEX(AA:AA, ROW()-COUNTIF($F$6:INDEX($F:$F, ROW()-1), $F480)) : INDEX(AA:AA, ROW()-1)),
   AVERAGEIFS(
     INDEX((unit_details[Effective Rent],unit_details[Effective PSF]),0,1,IF($U$3="Chunk Rent",1,2)),
     unit_details[Leased Date],"&gt;="&amp;($AM$2-X$5),
     unit_details[Leased Date],"&lt;"&amp;$AM$2,
     unit_details[Beds],$L481,
     unit_details[Baths],$M481,
     unit_details[Partial Baths],IF(ISNUMBER($N481),$N481,""),
     unit_details[Sqft],$P481,
     unit_details[Property Name],$F481)
 ),"")</f>
        <v/>
      </c>
      <c r="Z481" s="27" t="str">
        <f t="shared" si="88"/>
        <v/>
      </c>
      <c r="AA481" s="526">
        <f>IFERROR(
  IF($F481="Total",
    SUM(INDEX(AA:AA, ROW()-COUNTIF($F$6:INDEX($F:$F, ROW()-1), $F480)) : INDEX(AA:AA, ROW()-1)),
    COUNTIFS(
      unit_details[Leased Date], "&gt;="&amp;($AM$2-X$5),
      unit_details[Leased Date], "&lt;"&amp;$AM$2,
      unit_details[Beds], $L481,
      unit_details[Baths], $M481,
      unit_details[Partial Baths], IF(ISNUMBER($N481), $N481, ""),
      unit_details[Sqft],$P481,
      unit_details[Property Name], $F481
    )
  ),
"")</f>
        <v>0</v>
      </c>
      <c r="AB481" s="290">
        <f>IF($F481="Total",
SUM(INDEX(AB:AB, ROW()-COUNTIF($F$6:INDEX($F:$F, ROW()-1), $F480)) : INDEX(AB:AB, ROW()-1)),
COUNTIFS(unit_details[Active Listing?],TRUE,
          unit_details[Property Name], $F481,
          unit_details[Beds], $L481,
          unit_details[Baths], $M481,
          unit_details[Partial Baths],IF(ISNUMBER($N481),$N481,""),
          unit_details[Sqft],$P481))</f>
        <v>0</v>
      </c>
      <c r="AC481" s="27" t="str">
        <f t="shared" si="80"/>
        <v/>
      </c>
      <c r="AD481" s="293" t="str">
        <f>IFERROR(IF(AE481="","",IF($F481="Total",
SUMPRODUCT(
   INDEX(AD:AD, ROW()-COUNTIF($F$6:INDEX($F:$F, ROW()-1), $F480)) : INDEX(AD:AD, ROW()-1),
   INDEX(AB:AB, ROW()-COUNTIF($F$6:INDEX($F:$F, ROW()-1), $F480)) : INDEX(AB:AB, ROW()-1)
   )
   /SUM(INDEX(AB:AB, ROW()-COUNTIF($F$6:INDEX($F:$F, ROW()-1), $F480)) : INDEX(AB:AB, ROW()-1)),
          _xlfn.MINIFS(unit_details[Asking Rent],
          unit_details[Active Listing?],TRUE,
          unit_details[Property Name], $F481,
          unit_details[Beds], $L481,
          unit_details[Baths], $M481,
          unit_details[Partial Baths], IF(ISNUMBER($N481),$N481,""),
          unit_details[Sqft],$P481
))),"")</f>
        <v/>
      </c>
      <c r="AE481" s="5" t="str">
        <f>IFERROR(IF($F481="Total",
          SUMPRODUCT(
   INDEX(AE:AE, ROW()-COUNTIF($F$6:INDEX($F:$F, ROW()-1), $F480)) : INDEX(AE:AE, ROW()-1),
   INDEX(AB:AB, ROW()-COUNTIF($F$6:INDEX($F:$F, ROW()-1), $F480)) : INDEX(AB:AB, ROW()-1)
   )
   /SUM(INDEX(AB:AB, ROW()-COUNTIF($F$6:INDEX($F:$F, ROW()-1), $F480)) : INDEX(AB:AB, ROW()-1)),
          AVERAGEIFS(unit_details[Asking Rent],
          unit_details[Active Listing?],TRUE,
          unit_details[Property Name], $F481,
          unit_details[Beds], $L481,
          unit_details[Baths], $M481,
          unit_details[Partial Baths], IF(ISNUMBER($N481),$N481,""),
          unit_details[Sqft],$P481
)),"")</f>
        <v/>
      </c>
      <c r="AF481" s="5" t="str">
        <f>IFERROR(IF(AE481="","",IF($F481="Total",
SUMPRODUCT(
   INDEX(AF:AF, ROW()-COUNTIF($F$6:INDEX($F:$F, ROW()-1), $F480)) : INDEX(AF:AF, ROW()-1),
   INDEX(AB:AB, ROW()-COUNTIF($F$6:INDEX($F:$F, ROW()-1), $F480)) : INDEX(AB:AB, ROW()-1)
   )
   /SUM(INDEX(AB:AB, ROW()-COUNTIF($F$6:INDEX($F:$F, ROW()-1), $F480)) : INDEX(AB:AB, ROW()-1)),
           _xlfn.MAXIFS(unit_details[Asking Rent],
          unit_details[Active Listing?],TRUE,
          unit_details[Property Name], $F481,
          unit_details[Beds], $L481,
          unit_details[Baths], $M481,
          unit_details[Partial Baths], IF(ISNUMBER($N481),$N481,""),
          unit_details[Sqft],$P481
))),"")</f>
        <v/>
      </c>
      <c r="AG481" s="6" t="str">
        <f>IFERROR(IF($F481="Total",
         SUMPRODUCT(
         INDEX(AG:AG, ROW()-COUNTIF($F$6:INDEX($F:$F, ROW()-1), $F480)) : INDEX(AG:AG, ROW()-1),
         INDEX(AB:AB, ROW()-COUNTIF($F$6:INDEX($F:$F, ROW()-1), $F480)) : INDEX(AB:AB, ROW()-1)
         )
         /SUM(INDEX(AB:AB, ROW()-COUNTIF($F$6:INDEX($F:$F, ROW()-1), $F480)) : INDEX(AB:AB, ROW()-1)),
          AVERAGEIFS(unit_details[Asking PSF],
          unit_details[Active Listing?],TRUE,
          unit_details[Property Name], $F481,
          unit_details[Beds], $L481,
          unit_details[Baths], $M481,
          unit_details[Partial Baths], IF(ISNUMBER($N481),$N481,""),
          unit_details[Sqft],$P481
)),"")</f>
        <v/>
      </c>
      <c r="AH481" s="293" t="str">
        <f>IFERROR(IF($F481="Total",
         SUMPRODUCT(
         INDEX(AH:AH, ROW()-COUNTIF($F$6:INDEX($F:$F, ROW()-1), $F480)) : INDEX(AH:AH, ROW()-1),
         INDEX(AB:AB, ROW()-COUNTIF($F$6:INDEX($F:$F, ROW()-1), $F480)) : INDEX(AB:AB, ROW()-1)
         )
         /SUM(INDEX(AB:AB, ROW()-COUNTIF($F$6:INDEX($F:$F, ROW()-1), $F480)) : INDEX(AB:AB, ROW()-1)),
          AVERAGEIFS(unit_details[Effective Rent],
          unit_details[Active Listing?],TRUE,
          unit_details[Property Name], $F481,
          unit_details[Beds], $L481,
          unit_details[Baths], $M481,
          unit_details[Partial Baths], IF(ISNUMBER($N481),$N481,""),
          unit_details[Sqft],$P481
)),"")</f>
        <v/>
      </c>
      <c r="AI481" s="6" t="str">
        <f>IFERROR(IF($F481="Total",
         SUMPRODUCT(
         INDEX(AI:AI, ROW()-COUNTIF($F$6:INDEX($F:$F, ROW()-1), $F480)) : INDEX(AI:AI, ROW()-1),
         INDEX(AB:AB, ROW()-COUNTIF($F$6:INDEX($F:$F, ROW()-1), $F480)) : INDEX(AB:AB, ROW()-1)
         )
         /SUM(INDEX(AB:AB, ROW()-COUNTIF($F$6:INDEX($F:$F, ROW()-1), $F480)) : INDEX(AB:AB, ROW()-1)),
           AVERAGEIFS(unit_details[Effective PSF],
          unit_details[Active Listing?],TRUE,
          unit_details[Property Name], $F481,
          unit_details[Beds], $L481,
          unit_details[Baths], $M481,
          unit_details[Partial Baths], IF(ISNUMBER($N481),$N481,""),
          unit_details[Sqft],$P481
)),"")</f>
        <v/>
      </c>
      <c r="AJ481" s="824" t="str">
        <f t="shared" si="81"/>
        <v/>
      </c>
      <c r="AK481" s="531" t="str">
        <f t="shared" si="82"/>
        <v/>
      </c>
      <c r="AL481" s="714" t="str">
        <f t="shared" si="83"/>
        <v/>
      </c>
      <c r="AM481" s="531" t="str">
        <f t="shared" si="84"/>
        <v/>
      </c>
      <c r="AN481" s="716" t="str">
        <f t="shared" si="85"/>
        <v/>
      </c>
    </row>
    <row r="482" spans="6:40" x14ac:dyDescent="0.2">
      <c r="F482" s="1" t="str">
        <f t="shared" si="78"/>
        <v/>
      </c>
      <c r="G482" s="713" t="str">
        <f t="shared" si="86"/>
        <v/>
      </c>
      <c r="H482" s="17" t="str">
        <f>IFERROR(VLOOKUP($G482,Table1[[Property]:[Exposure %]],4,0),"")</f>
        <v/>
      </c>
      <c r="I482" s="3" t="str">
        <f>IFERROR(VLOOKUP($G482,Table1[[Property]:[Exposure %]],6,0),"")</f>
        <v/>
      </c>
      <c r="J482" s="3" t="str">
        <f>IFERROR(VLOOKUP($G482,Table1[[Property]:[Exposure %]],7,0),"")</f>
        <v/>
      </c>
      <c r="R482" s="4" t="str">
        <f>IFERROR(VLOOKUP(IF(F482="Total",F481,F482),Table1[[Property]:['# Units]],7,0)*S482,"")</f>
        <v/>
      </c>
      <c r="S482" s="27" t="str">
        <f t="shared" si="79"/>
        <v/>
      </c>
      <c r="T482" s="531" t="str">
        <f>IFERROR(
 IF($F482="Total",
   SUMPRODUCT(
   INDEX(T:T, ROW()-COUNTIF($F$6:INDEX($F:$F, ROW()-1), $F481)) : INDEX(T:T, ROW()-1),
   INDEX(W:W, ROW()-COUNTIF($F$6:INDEX($F:$F, ROW()-1), $F481)) : INDEX(W:W, ROW()-1)
   )
   /SUM(INDEX(W:W, ROW()-COUNTIF($F$6:INDEX($F:$F, ROW()-1), $F481)) : INDEX(W:W, ROW()-1)),
   AVERAGEIFS(
     INDEX((unit_details[Asking Rent],unit_details[Asking PSF]),0,1,IF($U$3="Chunk Rent",1,2)),
     unit_details[Leased Date],"&gt;="&amp;($AM$2-T$5),
     unit_details[Leased Date],"&lt;"&amp;$AM$2,
     unit_details[Beds],$L482,
     unit_details[Baths],$M482,
     unit_details[Partial Baths],IF(ISNUMBER($N482),$N482,""),
     unit_details[Sqft],$P482,
     unit_details[Property Name],$F482)
 ),"")</f>
        <v/>
      </c>
      <c r="U482" s="552" t="str">
        <f>IFERROR(
 IF($F482="Total",
   SUMPRODUCT(
   INDEX(U:U, ROW()-COUNTIF($F$6:INDEX($F:$F, ROW()-1), $F481)) : INDEX(U:U, ROW()-1),
   INDEX(W:W, ROW()-COUNTIF($F$6:INDEX($F:$F, ROW()-1), $F481)) : INDEX(W:W, ROW()-1)
   )
   /SUM(INDEX(W:W, ROW()-COUNTIF($F$6:INDEX($F:$F, ROW()-1), $F481)) : INDEX(W:W, ROW()-1)),
   AVERAGEIFS(
     INDEX((unit_details[Effective Rent],unit_details[Effective PSF]),0,1,IF($U$3="Chunk Rent",1,2)),
     unit_details[Leased Date],"&gt;="&amp;($AM$2-T$5),
     unit_details[Leased Date],"&lt;"&amp;$AM$2,
     unit_details[Beds],$L482,
     unit_details[Baths],$M482,
     unit_details[Partial Baths],IF(ISNUMBER($N482),$N482,""),
     unit_details[Sqft],$P482,
     unit_details[Property Name],$F482)
 ),"")</f>
        <v/>
      </c>
      <c r="V482" s="27" t="str">
        <f t="shared" si="87"/>
        <v/>
      </c>
      <c r="W482" s="526">
        <f>IFERROR(
  IF($F482="Total",
    SUM(INDEX(W:W, ROW()-COUNTIF($F$6:INDEX($F:$F, ROW()-1), $F481)) : INDEX(W:W, ROW()-1)),
    COUNTIFS(
      unit_details[Leased Date], "&gt;="&amp;($AM$2-T$5),
      unit_details[Leased Date], "&lt;"&amp;$AM$2,
      unit_details[Beds], $L482,
      unit_details[Baths], $M482,
      unit_details[Partial Baths], IF(ISNUMBER($N482), $N482, ""),
      unit_details[Sqft],$P482,
      unit_details[Property Name], $F482
    )
  ),
"")</f>
        <v>0</v>
      </c>
      <c r="X482" s="531" t="str">
        <f>IFERROR(
 IF($F482="Total",
   SUMPRODUCT(
   INDEX(X:X, ROW()-COUNTIF($F$6:INDEX($F:$F, ROW()-1), $F481)) : INDEX(X:X, ROW()-1),
   INDEX(AA:AA, ROW()-COUNTIF($F$6:INDEX($F:$F, ROW()-1), $F481)) : INDEX(AA:AA, ROW()-1)
   )
   /SUM(INDEX(AA:AA, ROW()-COUNTIF($F$6:INDEX($F:$F, ROW()-1), $F481)) : INDEX(AA:AA, ROW()-1)),
   AVERAGEIFS(
     INDEX((unit_details[Asking Rent],unit_details[Asking PSF]),0,1,IF($U$3="Chunk Rent",1,2)),
     unit_details[Leased Date],"&gt;="&amp;($AM$2-X$5),
     unit_details[Leased Date],"&lt;"&amp;$AM$2,
     unit_details[Beds],$L482,
     unit_details[Baths],$M482,
     unit_details[Partial Baths],IF(ISNUMBER($N482),$N482,""),
     unit_details[Sqft],$P482,
     unit_details[Property Name],$F482)
 ),"")</f>
        <v/>
      </c>
      <c r="Y482" s="552" t="str">
        <f>IFERROR(
 IF($F482="Total",
   SUMPRODUCT(
   INDEX(Y:Y, ROW()-COUNTIF($F$6:INDEX($F:$F, ROW()-1), $F481)) : INDEX(Y:Y, ROW()-1),
   INDEX(AA:AA, ROW()-COUNTIF($F$6:INDEX($F:$F, ROW()-1), $F481)) : INDEX(AA:AA, ROW()-1)
   )
   /SUM(INDEX(AA:AA, ROW()-COUNTIF($F$6:INDEX($F:$F, ROW()-1), $F481)) : INDEX(AA:AA, ROW()-1)),
   AVERAGEIFS(
     INDEX((unit_details[Effective Rent],unit_details[Effective PSF]),0,1,IF($U$3="Chunk Rent",1,2)),
     unit_details[Leased Date],"&gt;="&amp;($AM$2-X$5),
     unit_details[Leased Date],"&lt;"&amp;$AM$2,
     unit_details[Beds],$L482,
     unit_details[Baths],$M482,
     unit_details[Partial Baths],IF(ISNUMBER($N482),$N482,""),
     unit_details[Sqft],$P482,
     unit_details[Property Name],$F482)
 ),"")</f>
        <v/>
      </c>
      <c r="Z482" s="27" t="str">
        <f t="shared" si="88"/>
        <v/>
      </c>
      <c r="AA482" s="526">
        <f>IFERROR(
  IF($F482="Total",
    SUM(INDEX(AA:AA, ROW()-COUNTIF($F$6:INDEX($F:$F, ROW()-1), $F481)) : INDEX(AA:AA, ROW()-1)),
    COUNTIFS(
      unit_details[Leased Date], "&gt;="&amp;($AM$2-X$5),
      unit_details[Leased Date], "&lt;"&amp;$AM$2,
      unit_details[Beds], $L482,
      unit_details[Baths], $M482,
      unit_details[Partial Baths], IF(ISNUMBER($N482), $N482, ""),
      unit_details[Sqft],$P482,
      unit_details[Property Name], $F482
    )
  ),
"")</f>
        <v>0</v>
      </c>
      <c r="AB482" s="290">
        <f>IF($F482="Total",
SUM(INDEX(AB:AB, ROW()-COUNTIF($F$6:INDEX($F:$F, ROW()-1), $F481)) : INDEX(AB:AB, ROW()-1)),
COUNTIFS(unit_details[Active Listing?],TRUE,
          unit_details[Property Name], $F482,
          unit_details[Beds], $L482,
          unit_details[Baths], $M482,
          unit_details[Partial Baths],IF(ISNUMBER($N482),$N482,""),
          unit_details[Sqft],$P482))</f>
        <v>0</v>
      </c>
      <c r="AC482" s="27" t="str">
        <f t="shared" si="80"/>
        <v/>
      </c>
      <c r="AD482" s="293" t="str">
        <f>IFERROR(IF(AE482="","",IF($F482="Total",
SUMPRODUCT(
   INDEX(AD:AD, ROW()-COUNTIF($F$6:INDEX($F:$F, ROW()-1), $F481)) : INDEX(AD:AD, ROW()-1),
   INDEX(AB:AB, ROW()-COUNTIF($F$6:INDEX($F:$F, ROW()-1), $F481)) : INDEX(AB:AB, ROW()-1)
   )
   /SUM(INDEX(AB:AB, ROW()-COUNTIF($F$6:INDEX($F:$F, ROW()-1), $F481)) : INDEX(AB:AB, ROW()-1)),
          _xlfn.MINIFS(unit_details[Asking Rent],
          unit_details[Active Listing?],TRUE,
          unit_details[Property Name], $F482,
          unit_details[Beds], $L482,
          unit_details[Baths], $M482,
          unit_details[Partial Baths], IF(ISNUMBER($N482),$N482,""),
          unit_details[Sqft],$P482
))),"")</f>
        <v/>
      </c>
      <c r="AE482" s="5" t="str">
        <f>IFERROR(IF($F482="Total",
          SUMPRODUCT(
   INDEX(AE:AE, ROW()-COUNTIF($F$6:INDEX($F:$F, ROW()-1), $F481)) : INDEX(AE:AE, ROW()-1),
   INDEX(AB:AB, ROW()-COUNTIF($F$6:INDEX($F:$F, ROW()-1), $F481)) : INDEX(AB:AB, ROW()-1)
   )
   /SUM(INDEX(AB:AB, ROW()-COUNTIF($F$6:INDEX($F:$F, ROW()-1), $F481)) : INDEX(AB:AB, ROW()-1)),
          AVERAGEIFS(unit_details[Asking Rent],
          unit_details[Active Listing?],TRUE,
          unit_details[Property Name], $F482,
          unit_details[Beds], $L482,
          unit_details[Baths], $M482,
          unit_details[Partial Baths], IF(ISNUMBER($N482),$N482,""),
          unit_details[Sqft],$P482
)),"")</f>
        <v/>
      </c>
      <c r="AF482" s="5" t="str">
        <f>IFERROR(IF(AE482="","",IF($F482="Total",
SUMPRODUCT(
   INDEX(AF:AF, ROW()-COUNTIF($F$6:INDEX($F:$F, ROW()-1), $F481)) : INDEX(AF:AF, ROW()-1),
   INDEX(AB:AB, ROW()-COUNTIF($F$6:INDEX($F:$F, ROW()-1), $F481)) : INDEX(AB:AB, ROW()-1)
   )
   /SUM(INDEX(AB:AB, ROW()-COUNTIF($F$6:INDEX($F:$F, ROW()-1), $F481)) : INDEX(AB:AB, ROW()-1)),
           _xlfn.MAXIFS(unit_details[Asking Rent],
          unit_details[Active Listing?],TRUE,
          unit_details[Property Name], $F482,
          unit_details[Beds], $L482,
          unit_details[Baths], $M482,
          unit_details[Partial Baths], IF(ISNUMBER($N482),$N482,""),
          unit_details[Sqft],$P482
))),"")</f>
        <v/>
      </c>
      <c r="AG482" s="6" t="str">
        <f>IFERROR(IF($F482="Total",
         SUMPRODUCT(
         INDEX(AG:AG, ROW()-COUNTIF($F$6:INDEX($F:$F, ROW()-1), $F481)) : INDEX(AG:AG, ROW()-1),
         INDEX(AB:AB, ROW()-COUNTIF($F$6:INDEX($F:$F, ROW()-1), $F481)) : INDEX(AB:AB, ROW()-1)
         )
         /SUM(INDEX(AB:AB, ROW()-COUNTIF($F$6:INDEX($F:$F, ROW()-1), $F481)) : INDEX(AB:AB, ROW()-1)),
          AVERAGEIFS(unit_details[Asking PSF],
          unit_details[Active Listing?],TRUE,
          unit_details[Property Name], $F482,
          unit_details[Beds], $L482,
          unit_details[Baths], $M482,
          unit_details[Partial Baths], IF(ISNUMBER($N482),$N482,""),
          unit_details[Sqft],$P482
)),"")</f>
        <v/>
      </c>
      <c r="AH482" s="293" t="str">
        <f>IFERROR(IF($F482="Total",
         SUMPRODUCT(
         INDEX(AH:AH, ROW()-COUNTIF($F$6:INDEX($F:$F, ROW()-1), $F481)) : INDEX(AH:AH, ROW()-1),
         INDEX(AB:AB, ROW()-COUNTIF($F$6:INDEX($F:$F, ROW()-1), $F481)) : INDEX(AB:AB, ROW()-1)
         )
         /SUM(INDEX(AB:AB, ROW()-COUNTIF($F$6:INDEX($F:$F, ROW()-1), $F481)) : INDEX(AB:AB, ROW()-1)),
          AVERAGEIFS(unit_details[Effective Rent],
          unit_details[Active Listing?],TRUE,
          unit_details[Property Name], $F482,
          unit_details[Beds], $L482,
          unit_details[Baths], $M482,
          unit_details[Partial Baths], IF(ISNUMBER($N482),$N482,""),
          unit_details[Sqft],$P482
)),"")</f>
        <v/>
      </c>
      <c r="AI482" s="6" t="str">
        <f>IFERROR(IF($F482="Total",
         SUMPRODUCT(
         INDEX(AI:AI, ROW()-COUNTIF($F$6:INDEX($F:$F, ROW()-1), $F481)) : INDEX(AI:AI, ROW()-1),
         INDEX(AB:AB, ROW()-COUNTIF($F$6:INDEX($F:$F, ROW()-1), $F481)) : INDEX(AB:AB, ROW()-1)
         )
         /SUM(INDEX(AB:AB, ROW()-COUNTIF($F$6:INDEX($F:$F, ROW()-1), $F481)) : INDEX(AB:AB, ROW()-1)),
           AVERAGEIFS(unit_details[Effective PSF],
          unit_details[Active Listing?],TRUE,
          unit_details[Property Name], $F482,
          unit_details[Beds], $L482,
          unit_details[Baths], $M482,
          unit_details[Partial Baths], IF(ISNUMBER($N482),$N482,""),
          unit_details[Sqft],$P482
)),"")</f>
        <v/>
      </c>
      <c r="AJ482" s="824" t="str">
        <f t="shared" si="81"/>
        <v/>
      </c>
      <c r="AK482" s="531" t="str">
        <f t="shared" si="82"/>
        <v/>
      </c>
      <c r="AL482" s="714" t="str">
        <f t="shared" si="83"/>
        <v/>
      </c>
      <c r="AM482" s="531" t="str">
        <f t="shared" si="84"/>
        <v/>
      </c>
      <c r="AN482" s="716" t="str">
        <f t="shared" si="85"/>
        <v/>
      </c>
    </row>
    <row r="483" spans="6:40" x14ac:dyDescent="0.2">
      <c r="F483" s="1" t="str">
        <f t="shared" si="78"/>
        <v/>
      </c>
      <c r="G483" s="713" t="str">
        <f t="shared" si="86"/>
        <v/>
      </c>
      <c r="H483" s="17" t="str">
        <f>IFERROR(VLOOKUP($G483,Table1[[Property]:[Exposure %]],4,0),"")</f>
        <v/>
      </c>
      <c r="I483" s="3" t="str">
        <f>IFERROR(VLOOKUP($G483,Table1[[Property]:[Exposure %]],6,0),"")</f>
        <v/>
      </c>
      <c r="J483" s="3" t="str">
        <f>IFERROR(VLOOKUP($G483,Table1[[Property]:[Exposure %]],7,0),"")</f>
        <v/>
      </c>
      <c r="R483" s="4" t="str">
        <f>IFERROR(VLOOKUP(IF(F483="Total",F482,F483),Table1[[Property]:['# Units]],7,0)*S483,"")</f>
        <v/>
      </c>
      <c r="S483" s="27" t="str">
        <f t="shared" si="79"/>
        <v/>
      </c>
      <c r="T483" s="531" t="str">
        <f>IFERROR(
 IF($F483="Total",
   SUMPRODUCT(
   INDEX(T:T, ROW()-COUNTIF($F$6:INDEX($F:$F, ROW()-1), $F482)) : INDEX(T:T, ROW()-1),
   INDEX(W:W, ROW()-COUNTIF($F$6:INDEX($F:$F, ROW()-1), $F482)) : INDEX(W:W, ROW()-1)
   )
   /SUM(INDEX(W:W, ROW()-COUNTIF($F$6:INDEX($F:$F, ROW()-1), $F482)) : INDEX(W:W, ROW()-1)),
   AVERAGEIFS(
     INDEX((unit_details[Asking Rent],unit_details[Asking PSF]),0,1,IF($U$3="Chunk Rent",1,2)),
     unit_details[Leased Date],"&gt;="&amp;($AM$2-T$5),
     unit_details[Leased Date],"&lt;"&amp;$AM$2,
     unit_details[Beds],$L483,
     unit_details[Baths],$M483,
     unit_details[Partial Baths],IF(ISNUMBER($N483),$N483,""),
     unit_details[Sqft],$P483,
     unit_details[Property Name],$F483)
 ),"")</f>
        <v/>
      </c>
      <c r="U483" s="552" t="str">
        <f>IFERROR(
 IF($F483="Total",
   SUMPRODUCT(
   INDEX(U:U, ROW()-COUNTIF($F$6:INDEX($F:$F, ROW()-1), $F482)) : INDEX(U:U, ROW()-1),
   INDEX(W:W, ROW()-COUNTIF($F$6:INDEX($F:$F, ROW()-1), $F482)) : INDEX(W:W, ROW()-1)
   )
   /SUM(INDEX(W:W, ROW()-COUNTIF($F$6:INDEX($F:$F, ROW()-1), $F482)) : INDEX(W:W, ROW()-1)),
   AVERAGEIFS(
     INDEX((unit_details[Effective Rent],unit_details[Effective PSF]),0,1,IF($U$3="Chunk Rent",1,2)),
     unit_details[Leased Date],"&gt;="&amp;($AM$2-T$5),
     unit_details[Leased Date],"&lt;"&amp;$AM$2,
     unit_details[Beds],$L483,
     unit_details[Baths],$M483,
     unit_details[Partial Baths],IF(ISNUMBER($N483),$N483,""),
     unit_details[Sqft],$P483,
     unit_details[Property Name],$F483)
 ),"")</f>
        <v/>
      </c>
      <c r="V483" s="27" t="str">
        <f t="shared" si="87"/>
        <v/>
      </c>
      <c r="W483" s="526">
        <f>IFERROR(
  IF($F483="Total",
    SUM(INDEX(W:W, ROW()-COUNTIF($F$6:INDEX($F:$F, ROW()-1), $F482)) : INDEX(W:W, ROW()-1)),
    COUNTIFS(
      unit_details[Leased Date], "&gt;="&amp;($AM$2-T$5),
      unit_details[Leased Date], "&lt;"&amp;$AM$2,
      unit_details[Beds], $L483,
      unit_details[Baths], $M483,
      unit_details[Partial Baths], IF(ISNUMBER($N483), $N483, ""),
      unit_details[Sqft],$P483,
      unit_details[Property Name], $F483
    )
  ),
"")</f>
        <v>0</v>
      </c>
      <c r="X483" s="531" t="str">
        <f>IFERROR(
 IF($F483="Total",
   SUMPRODUCT(
   INDEX(X:X, ROW()-COUNTIF($F$6:INDEX($F:$F, ROW()-1), $F482)) : INDEX(X:X, ROW()-1),
   INDEX(AA:AA, ROW()-COUNTIF($F$6:INDEX($F:$F, ROW()-1), $F482)) : INDEX(AA:AA, ROW()-1)
   )
   /SUM(INDEX(AA:AA, ROW()-COUNTIF($F$6:INDEX($F:$F, ROW()-1), $F482)) : INDEX(AA:AA, ROW()-1)),
   AVERAGEIFS(
     INDEX((unit_details[Asking Rent],unit_details[Asking PSF]),0,1,IF($U$3="Chunk Rent",1,2)),
     unit_details[Leased Date],"&gt;="&amp;($AM$2-X$5),
     unit_details[Leased Date],"&lt;"&amp;$AM$2,
     unit_details[Beds],$L483,
     unit_details[Baths],$M483,
     unit_details[Partial Baths],IF(ISNUMBER($N483),$N483,""),
     unit_details[Sqft],$P483,
     unit_details[Property Name],$F483)
 ),"")</f>
        <v/>
      </c>
      <c r="Y483" s="552" t="str">
        <f>IFERROR(
 IF($F483="Total",
   SUMPRODUCT(
   INDEX(Y:Y, ROW()-COUNTIF($F$6:INDEX($F:$F, ROW()-1), $F482)) : INDEX(Y:Y, ROW()-1),
   INDEX(AA:AA, ROW()-COUNTIF($F$6:INDEX($F:$F, ROW()-1), $F482)) : INDEX(AA:AA, ROW()-1)
   )
   /SUM(INDEX(AA:AA, ROW()-COUNTIF($F$6:INDEX($F:$F, ROW()-1), $F482)) : INDEX(AA:AA, ROW()-1)),
   AVERAGEIFS(
     INDEX((unit_details[Effective Rent],unit_details[Effective PSF]),0,1,IF($U$3="Chunk Rent",1,2)),
     unit_details[Leased Date],"&gt;="&amp;($AM$2-X$5),
     unit_details[Leased Date],"&lt;"&amp;$AM$2,
     unit_details[Beds],$L483,
     unit_details[Baths],$M483,
     unit_details[Partial Baths],IF(ISNUMBER($N483),$N483,""),
     unit_details[Sqft],$P483,
     unit_details[Property Name],$F483)
 ),"")</f>
        <v/>
      </c>
      <c r="Z483" s="27" t="str">
        <f t="shared" si="88"/>
        <v/>
      </c>
      <c r="AA483" s="526">
        <f>IFERROR(
  IF($F483="Total",
    SUM(INDEX(AA:AA, ROW()-COUNTIF($F$6:INDEX($F:$F, ROW()-1), $F482)) : INDEX(AA:AA, ROW()-1)),
    COUNTIFS(
      unit_details[Leased Date], "&gt;="&amp;($AM$2-X$5),
      unit_details[Leased Date], "&lt;"&amp;$AM$2,
      unit_details[Beds], $L483,
      unit_details[Baths], $M483,
      unit_details[Partial Baths], IF(ISNUMBER($N483), $N483, ""),
      unit_details[Sqft],$P483,
      unit_details[Property Name], $F483
    )
  ),
"")</f>
        <v>0</v>
      </c>
      <c r="AB483" s="290">
        <f>IF($F483="Total",
SUM(INDEX(AB:AB, ROW()-COUNTIF($F$6:INDEX($F:$F, ROW()-1), $F482)) : INDEX(AB:AB, ROW()-1)),
COUNTIFS(unit_details[Active Listing?],TRUE,
          unit_details[Property Name], $F483,
          unit_details[Beds], $L483,
          unit_details[Baths], $M483,
          unit_details[Partial Baths],IF(ISNUMBER($N483),$N483,""),
          unit_details[Sqft],$P483))</f>
        <v>0</v>
      </c>
      <c r="AC483" s="27" t="str">
        <f t="shared" si="80"/>
        <v/>
      </c>
      <c r="AD483" s="293" t="str">
        <f>IFERROR(IF(AE483="","",IF($F483="Total",
SUMPRODUCT(
   INDEX(AD:AD, ROW()-COUNTIF($F$6:INDEX($F:$F, ROW()-1), $F482)) : INDEX(AD:AD, ROW()-1),
   INDEX(AB:AB, ROW()-COUNTIF($F$6:INDEX($F:$F, ROW()-1), $F482)) : INDEX(AB:AB, ROW()-1)
   )
   /SUM(INDEX(AB:AB, ROW()-COUNTIF($F$6:INDEX($F:$F, ROW()-1), $F482)) : INDEX(AB:AB, ROW()-1)),
          _xlfn.MINIFS(unit_details[Asking Rent],
          unit_details[Active Listing?],TRUE,
          unit_details[Property Name], $F483,
          unit_details[Beds], $L483,
          unit_details[Baths], $M483,
          unit_details[Partial Baths], IF(ISNUMBER($N483),$N483,""),
          unit_details[Sqft],$P483
))),"")</f>
        <v/>
      </c>
      <c r="AE483" s="5" t="str">
        <f>IFERROR(IF($F483="Total",
          SUMPRODUCT(
   INDEX(AE:AE, ROW()-COUNTIF($F$6:INDEX($F:$F, ROW()-1), $F482)) : INDEX(AE:AE, ROW()-1),
   INDEX(AB:AB, ROW()-COUNTIF($F$6:INDEX($F:$F, ROW()-1), $F482)) : INDEX(AB:AB, ROW()-1)
   )
   /SUM(INDEX(AB:AB, ROW()-COUNTIF($F$6:INDEX($F:$F, ROW()-1), $F482)) : INDEX(AB:AB, ROW()-1)),
          AVERAGEIFS(unit_details[Asking Rent],
          unit_details[Active Listing?],TRUE,
          unit_details[Property Name], $F483,
          unit_details[Beds], $L483,
          unit_details[Baths], $M483,
          unit_details[Partial Baths], IF(ISNUMBER($N483),$N483,""),
          unit_details[Sqft],$P483
)),"")</f>
        <v/>
      </c>
      <c r="AF483" s="5" t="str">
        <f>IFERROR(IF(AE483="","",IF($F483="Total",
SUMPRODUCT(
   INDEX(AF:AF, ROW()-COUNTIF($F$6:INDEX($F:$F, ROW()-1), $F482)) : INDEX(AF:AF, ROW()-1),
   INDEX(AB:AB, ROW()-COUNTIF($F$6:INDEX($F:$F, ROW()-1), $F482)) : INDEX(AB:AB, ROW()-1)
   )
   /SUM(INDEX(AB:AB, ROW()-COUNTIF($F$6:INDEX($F:$F, ROW()-1), $F482)) : INDEX(AB:AB, ROW()-1)),
           _xlfn.MAXIFS(unit_details[Asking Rent],
          unit_details[Active Listing?],TRUE,
          unit_details[Property Name], $F483,
          unit_details[Beds], $L483,
          unit_details[Baths], $M483,
          unit_details[Partial Baths], IF(ISNUMBER($N483),$N483,""),
          unit_details[Sqft],$P483
))),"")</f>
        <v/>
      </c>
      <c r="AG483" s="6" t="str">
        <f>IFERROR(IF($F483="Total",
         SUMPRODUCT(
         INDEX(AG:AG, ROW()-COUNTIF($F$6:INDEX($F:$F, ROW()-1), $F482)) : INDEX(AG:AG, ROW()-1),
         INDEX(AB:AB, ROW()-COUNTIF($F$6:INDEX($F:$F, ROW()-1), $F482)) : INDEX(AB:AB, ROW()-1)
         )
         /SUM(INDEX(AB:AB, ROW()-COUNTIF($F$6:INDEX($F:$F, ROW()-1), $F482)) : INDEX(AB:AB, ROW()-1)),
          AVERAGEIFS(unit_details[Asking PSF],
          unit_details[Active Listing?],TRUE,
          unit_details[Property Name], $F483,
          unit_details[Beds], $L483,
          unit_details[Baths], $M483,
          unit_details[Partial Baths], IF(ISNUMBER($N483),$N483,""),
          unit_details[Sqft],$P483
)),"")</f>
        <v/>
      </c>
      <c r="AH483" s="293" t="str">
        <f>IFERROR(IF($F483="Total",
         SUMPRODUCT(
         INDEX(AH:AH, ROW()-COUNTIF($F$6:INDEX($F:$F, ROW()-1), $F482)) : INDEX(AH:AH, ROW()-1),
         INDEX(AB:AB, ROW()-COUNTIF($F$6:INDEX($F:$F, ROW()-1), $F482)) : INDEX(AB:AB, ROW()-1)
         )
         /SUM(INDEX(AB:AB, ROW()-COUNTIF($F$6:INDEX($F:$F, ROW()-1), $F482)) : INDEX(AB:AB, ROW()-1)),
          AVERAGEIFS(unit_details[Effective Rent],
          unit_details[Active Listing?],TRUE,
          unit_details[Property Name], $F483,
          unit_details[Beds], $L483,
          unit_details[Baths], $M483,
          unit_details[Partial Baths], IF(ISNUMBER($N483),$N483,""),
          unit_details[Sqft],$P483
)),"")</f>
        <v/>
      </c>
      <c r="AI483" s="6" t="str">
        <f>IFERROR(IF($F483="Total",
         SUMPRODUCT(
         INDEX(AI:AI, ROW()-COUNTIF($F$6:INDEX($F:$F, ROW()-1), $F482)) : INDEX(AI:AI, ROW()-1),
         INDEX(AB:AB, ROW()-COUNTIF($F$6:INDEX($F:$F, ROW()-1), $F482)) : INDEX(AB:AB, ROW()-1)
         )
         /SUM(INDEX(AB:AB, ROW()-COUNTIF($F$6:INDEX($F:$F, ROW()-1), $F482)) : INDEX(AB:AB, ROW()-1)),
           AVERAGEIFS(unit_details[Effective PSF],
          unit_details[Active Listing?],TRUE,
          unit_details[Property Name], $F483,
          unit_details[Beds], $L483,
          unit_details[Baths], $M483,
          unit_details[Partial Baths], IF(ISNUMBER($N483),$N483,""),
          unit_details[Sqft],$P483
)),"")</f>
        <v/>
      </c>
      <c r="AJ483" s="824" t="str">
        <f t="shared" si="81"/>
        <v/>
      </c>
      <c r="AK483" s="531" t="str">
        <f t="shared" si="82"/>
        <v/>
      </c>
      <c r="AL483" s="714" t="str">
        <f t="shared" si="83"/>
        <v/>
      </c>
      <c r="AM483" s="531" t="str">
        <f t="shared" si="84"/>
        <v/>
      </c>
      <c r="AN483" s="716" t="str">
        <f t="shared" si="85"/>
        <v/>
      </c>
    </row>
    <row r="484" spans="6:40" x14ac:dyDescent="0.2">
      <c r="F484" s="1" t="str">
        <f t="shared" si="78"/>
        <v/>
      </c>
      <c r="G484" s="713" t="str">
        <f t="shared" si="86"/>
        <v/>
      </c>
      <c r="H484" s="17" t="str">
        <f>IFERROR(VLOOKUP($G484,Table1[[Property]:[Exposure %]],4,0),"")</f>
        <v/>
      </c>
      <c r="I484" s="3" t="str">
        <f>IFERROR(VLOOKUP($G484,Table1[[Property]:[Exposure %]],6,0),"")</f>
        <v/>
      </c>
      <c r="J484" s="3" t="str">
        <f>IFERROR(VLOOKUP($G484,Table1[[Property]:[Exposure %]],7,0),"")</f>
        <v/>
      </c>
      <c r="R484" s="4" t="str">
        <f>IFERROR(VLOOKUP(IF(F484="Total",F483,F484),Table1[[Property]:['# Units]],7,0)*S484,"")</f>
        <v/>
      </c>
      <c r="S484" s="27" t="str">
        <f t="shared" si="79"/>
        <v/>
      </c>
      <c r="T484" s="531" t="str">
        <f>IFERROR(
 IF($F484="Total",
   SUMPRODUCT(
   INDEX(T:T, ROW()-COUNTIF($F$6:INDEX($F:$F, ROW()-1), $F483)) : INDEX(T:T, ROW()-1),
   INDEX(W:W, ROW()-COUNTIF($F$6:INDEX($F:$F, ROW()-1), $F483)) : INDEX(W:W, ROW()-1)
   )
   /SUM(INDEX(W:W, ROW()-COUNTIF($F$6:INDEX($F:$F, ROW()-1), $F483)) : INDEX(W:W, ROW()-1)),
   AVERAGEIFS(
     INDEX((unit_details[Asking Rent],unit_details[Asking PSF]),0,1,IF($U$3="Chunk Rent",1,2)),
     unit_details[Leased Date],"&gt;="&amp;($AM$2-T$5),
     unit_details[Leased Date],"&lt;"&amp;$AM$2,
     unit_details[Beds],$L484,
     unit_details[Baths],$M484,
     unit_details[Partial Baths],IF(ISNUMBER($N484),$N484,""),
     unit_details[Sqft],$P484,
     unit_details[Property Name],$F484)
 ),"")</f>
        <v/>
      </c>
      <c r="U484" s="552" t="str">
        <f>IFERROR(
 IF($F484="Total",
   SUMPRODUCT(
   INDEX(U:U, ROW()-COUNTIF($F$6:INDEX($F:$F, ROW()-1), $F483)) : INDEX(U:U, ROW()-1),
   INDEX(W:W, ROW()-COUNTIF($F$6:INDEX($F:$F, ROW()-1), $F483)) : INDEX(W:W, ROW()-1)
   )
   /SUM(INDEX(W:W, ROW()-COUNTIF($F$6:INDEX($F:$F, ROW()-1), $F483)) : INDEX(W:W, ROW()-1)),
   AVERAGEIFS(
     INDEX((unit_details[Effective Rent],unit_details[Effective PSF]),0,1,IF($U$3="Chunk Rent",1,2)),
     unit_details[Leased Date],"&gt;="&amp;($AM$2-T$5),
     unit_details[Leased Date],"&lt;"&amp;$AM$2,
     unit_details[Beds],$L484,
     unit_details[Baths],$M484,
     unit_details[Partial Baths],IF(ISNUMBER($N484),$N484,""),
     unit_details[Sqft],$P484,
     unit_details[Property Name],$F484)
 ),"")</f>
        <v/>
      </c>
      <c r="V484" s="27" t="str">
        <f t="shared" si="87"/>
        <v/>
      </c>
      <c r="W484" s="526">
        <f>IFERROR(
  IF($F484="Total",
    SUM(INDEX(W:W, ROW()-COUNTIF($F$6:INDEX($F:$F, ROW()-1), $F483)) : INDEX(W:W, ROW()-1)),
    COUNTIFS(
      unit_details[Leased Date], "&gt;="&amp;($AM$2-T$5),
      unit_details[Leased Date], "&lt;"&amp;$AM$2,
      unit_details[Beds], $L484,
      unit_details[Baths], $M484,
      unit_details[Partial Baths], IF(ISNUMBER($N484), $N484, ""),
      unit_details[Sqft],$P484,
      unit_details[Property Name], $F484
    )
  ),
"")</f>
        <v>0</v>
      </c>
      <c r="X484" s="531" t="str">
        <f>IFERROR(
 IF($F484="Total",
   SUMPRODUCT(
   INDEX(X:X, ROW()-COUNTIF($F$6:INDEX($F:$F, ROW()-1), $F483)) : INDEX(X:X, ROW()-1),
   INDEX(AA:AA, ROW()-COUNTIF($F$6:INDEX($F:$F, ROW()-1), $F483)) : INDEX(AA:AA, ROW()-1)
   )
   /SUM(INDEX(AA:AA, ROW()-COUNTIF($F$6:INDEX($F:$F, ROW()-1), $F483)) : INDEX(AA:AA, ROW()-1)),
   AVERAGEIFS(
     INDEX((unit_details[Asking Rent],unit_details[Asking PSF]),0,1,IF($U$3="Chunk Rent",1,2)),
     unit_details[Leased Date],"&gt;="&amp;($AM$2-X$5),
     unit_details[Leased Date],"&lt;"&amp;$AM$2,
     unit_details[Beds],$L484,
     unit_details[Baths],$M484,
     unit_details[Partial Baths],IF(ISNUMBER($N484),$N484,""),
     unit_details[Sqft],$P484,
     unit_details[Property Name],$F484)
 ),"")</f>
        <v/>
      </c>
      <c r="Y484" s="552" t="str">
        <f>IFERROR(
 IF($F484="Total",
   SUMPRODUCT(
   INDEX(Y:Y, ROW()-COUNTIF($F$6:INDEX($F:$F, ROW()-1), $F483)) : INDEX(Y:Y, ROW()-1),
   INDEX(AA:AA, ROW()-COUNTIF($F$6:INDEX($F:$F, ROW()-1), $F483)) : INDEX(AA:AA, ROW()-1)
   )
   /SUM(INDEX(AA:AA, ROW()-COUNTIF($F$6:INDEX($F:$F, ROW()-1), $F483)) : INDEX(AA:AA, ROW()-1)),
   AVERAGEIFS(
     INDEX((unit_details[Effective Rent],unit_details[Effective PSF]),0,1,IF($U$3="Chunk Rent",1,2)),
     unit_details[Leased Date],"&gt;="&amp;($AM$2-X$5),
     unit_details[Leased Date],"&lt;"&amp;$AM$2,
     unit_details[Beds],$L484,
     unit_details[Baths],$M484,
     unit_details[Partial Baths],IF(ISNUMBER($N484),$N484,""),
     unit_details[Sqft],$P484,
     unit_details[Property Name],$F484)
 ),"")</f>
        <v/>
      </c>
      <c r="Z484" s="27" t="str">
        <f t="shared" si="88"/>
        <v/>
      </c>
      <c r="AA484" s="526">
        <f>IFERROR(
  IF($F484="Total",
    SUM(INDEX(AA:AA, ROW()-COUNTIF($F$6:INDEX($F:$F, ROW()-1), $F483)) : INDEX(AA:AA, ROW()-1)),
    COUNTIFS(
      unit_details[Leased Date], "&gt;="&amp;($AM$2-X$5),
      unit_details[Leased Date], "&lt;"&amp;$AM$2,
      unit_details[Beds], $L484,
      unit_details[Baths], $M484,
      unit_details[Partial Baths], IF(ISNUMBER($N484), $N484, ""),
      unit_details[Sqft],$P484,
      unit_details[Property Name], $F484
    )
  ),
"")</f>
        <v>0</v>
      </c>
      <c r="AB484" s="290">
        <f>IF($F484="Total",
SUM(INDEX(AB:AB, ROW()-COUNTIF($F$6:INDEX($F:$F, ROW()-1), $F483)) : INDEX(AB:AB, ROW()-1)),
COUNTIFS(unit_details[Active Listing?],TRUE,
          unit_details[Property Name], $F484,
          unit_details[Beds], $L484,
          unit_details[Baths], $M484,
          unit_details[Partial Baths],IF(ISNUMBER($N484),$N484,""),
          unit_details[Sqft],$P484))</f>
        <v>0</v>
      </c>
      <c r="AC484" s="27" t="str">
        <f t="shared" si="80"/>
        <v/>
      </c>
      <c r="AD484" s="293" t="str">
        <f>IFERROR(IF(AE484="","",IF($F484="Total",
SUMPRODUCT(
   INDEX(AD:AD, ROW()-COUNTIF($F$6:INDEX($F:$F, ROW()-1), $F483)) : INDEX(AD:AD, ROW()-1),
   INDEX(AB:AB, ROW()-COUNTIF($F$6:INDEX($F:$F, ROW()-1), $F483)) : INDEX(AB:AB, ROW()-1)
   )
   /SUM(INDEX(AB:AB, ROW()-COUNTIF($F$6:INDEX($F:$F, ROW()-1), $F483)) : INDEX(AB:AB, ROW()-1)),
          _xlfn.MINIFS(unit_details[Asking Rent],
          unit_details[Active Listing?],TRUE,
          unit_details[Property Name], $F484,
          unit_details[Beds], $L484,
          unit_details[Baths], $M484,
          unit_details[Partial Baths], IF(ISNUMBER($N484),$N484,""),
          unit_details[Sqft],$P484
))),"")</f>
        <v/>
      </c>
      <c r="AE484" s="5" t="str">
        <f>IFERROR(IF($F484="Total",
          SUMPRODUCT(
   INDEX(AE:AE, ROW()-COUNTIF($F$6:INDEX($F:$F, ROW()-1), $F483)) : INDEX(AE:AE, ROW()-1),
   INDEX(AB:AB, ROW()-COUNTIF($F$6:INDEX($F:$F, ROW()-1), $F483)) : INDEX(AB:AB, ROW()-1)
   )
   /SUM(INDEX(AB:AB, ROW()-COUNTIF($F$6:INDEX($F:$F, ROW()-1), $F483)) : INDEX(AB:AB, ROW()-1)),
          AVERAGEIFS(unit_details[Asking Rent],
          unit_details[Active Listing?],TRUE,
          unit_details[Property Name], $F484,
          unit_details[Beds], $L484,
          unit_details[Baths], $M484,
          unit_details[Partial Baths], IF(ISNUMBER($N484),$N484,""),
          unit_details[Sqft],$P484
)),"")</f>
        <v/>
      </c>
      <c r="AF484" s="5" t="str">
        <f>IFERROR(IF(AE484="","",IF($F484="Total",
SUMPRODUCT(
   INDEX(AF:AF, ROW()-COUNTIF($F$6:INDEX($F:$F, ROW()-1), $F483)) : INDEX(AF:AF, ROW()-1),
   INDEX(AB:AB, ROW()-COUNTIF($F$6:INDEX($F:$F, ROW()-1), $F483)) : INDEX(AB:AB, ROW()-1)
   )
   /SUM(INDEX(AB:AB, ROW()-COUNTIF($F$6:INDEX($F:$F, ROW()-1), $F483)) : INDEX(AB:AB, ROW()-1)),
           _xlfn.MAXIFS(unit_details[Asking Rent],
          unit_details[Active Listing?],TRUE,
          unit_details[Property Name], $F484,
          unit_details[Beds], $L484,
          unit_details[Baths], $M484,
          unit_details[Partial Baths], IF(ISNUMBER($N484),$N484,""),
          unit_details[Sqft],$P484
))),"")</f>
        <v/>
      </c>
      <c r="AG484" s="6" t="str">
        <f>IFERROR(IF($F484="Total",
         SUMPRODUCT(
         INDEX(AG:AG, ROW()-COUNTIF($F$6:INDEX($F:$F, ROW()-1), $F483)) : INDEX(AG:AG, ROW()-1),
         INDEX(AB:AB, ROW()-COUNTIF($F$6:INDEX($F:$F, ROW()-1), $F483)) : INDEX(AB:AB, ROW()-1)
         )
         /SUM(INDEX(AB:AB, ROW()-COUNTIF($F$6:INDEX($F:$F, ROW()-1), $F483)) : INDEX(AB:AB, ROW()-1)),
          AVERAGEIFS(unit_details[Asking PSF],
          unit_details[Active Listing?],TRUE,
          unit_details[Property Name], $F484,
          unit_details[Beds], $L484,
          unit_details[Baths], $M484,
          unit_details[Partial Baths], IF(ISNUMBER($N484),$N484,""),
          unit_details[Sqft],$P484
)),"")</f>
        <v/>
      </c>
      <c r="AH484" s="293" t="str">
        <f>IFERROR(IF($F484="Total",
         SUMPRODUCT(
         INDEX(AH:AH, ROW()-COUNTIF($F$6:INDEX($F:$F, ROW()-1), $F483)) : INDEX(AH:AH, ROW()-1),
         INDEX(AB:AB, ROW()-COUNTIF($F$6:INDEX($F:$F, ROW()-1), $F483)) : INDEX(AB:AB, ROW()-1)
         )
         /SUM(INDEX(AB:AB, ROW()-COUNTIF($F$6:INDEX($F:$F, ROW()-1), $F483)) : INDEX(AB:AB, ROW()-1)),
          AVERAGEIFS(unit_details[Effective Rent],
          unit_details[Active Listing?],TRUE,
          unit_details[Property Name], $F484,
          unit_details[Beds], $L484,
          unit_details[Baths], $M484,
          unit_details[Partial Baths], IF(ISNUMBER($N484),$N484,""),
          unit_details[Sqft],$P484
)),"")</f>
        <v/>
      </c>
      <c r="AI484" s="6" t="str">
        <f>IFERROR(IF($F484="Total",
         SUMPRODUCT(
         INDEX(AI:AI, ROW()-COUNTIF($F$6:INDEX($F:$F, ROW()-1), $F483)) : INDEX(AI:AI, ROW()-1),
         INDEX(AB:AB, ROW()-COUNTIF($F$6:INDEX($F:$F, ROW()-1), $F483)) : INDEX(AB:AB, ROW()-1)
         )
         /SUM(INDEX(AB:AB, ROW()-COUNTIF($F$6:INDEX($F:$F, ROW()-1), $F483)) : INDEX(AB:AB, ROW()-1)),
           AVERAGEIFS(unit_details[Effective PSF],
          unit_details[Active Listing?],TRUE,
          unit_details[Property Name], $F484,
          unit_details[Beds], $L484,
          unit_details[Baths], $M484,
          unit_details[Partial Baths], IF(ISNUMBER($N484),$N484,""),
          unit_details[Sqft],$P484
)),"")</f>
        <v/>
      </c>
      <c r="AJ484" s="824" t="str">
        <f t="shared" si="81"/>
        <v/>
      </c>
      <c r="AK484" s="531" t="str">
        <f t="shared" si="82"/>
        <v/>
      </c>
      <c r="AL484" s="714" t="str">
        <f t="shared" si="83"/>
        <v/>
      </c>
      <c r="AM484" s="531" t="str">
        <f t="shared" si="84"/>
        <v/>
      </c>
      <c r="AN484" s="716" t="str">
        <f t="shared" si="85"/>
        <v/>
      </c>
    </row>
    <row r="485" spans="6:40" x14ac:dyDescent="0.2">
      <c r="F485" s="1" t="str">
        <f t="shared" si="78"/>
        <v/>
      </c>
      <c r="G485" s="713" t="str">
        <f t="shared" si="86"/>
        <v/>
      </c>
      <c r="H485" s="17" t="str">
        <f>IFERROR(VLOOKUP($G485,Table1[[Property]:[Exposure %]],4,0),"")</f>
        <v/>
      </c>
      <c r="I485" s="3" t="str">
        <f>IFERROR(VLOOKUP($G485,Table1[[Property]:[Exposure %]],6,0),"")</f>
        <v/>
      </c>
      <c r="J485" s="3" t="str">
        <f>IFERROR(VLOOKUP($G485,Table1[[Property]:[Exposure %]],7,0),"")</f>
        <v/>
      </c>
      <c r="R485" s="4" t="str">
        <f>IFERROR(VLOOKUP(IF(F485="Total",F484,F485),Table1[[Property]:['# Units]],7,0)*S485,"")</f>
        <v/>
      </c>
      <c r="S485" s="27" t="str">
        <f t="shared" si="79"/>
        <v/>
      </c>
      <c r="T485" s="531" t="str">
        <f>IFERROR(
 IF($F485="Total",
   SUMPRODUCT(
   INDEX(T:T, ROW()-COUNTIF($F$6:INDEX($F:$F, ROW()-1), $F484)) : INDEX(T:T, ROW()-1),
   INDEX(W:W, ROW()-COUNTIF($F$6:INDEX($F:$F, ROW()-1), $F484)) : INDEX(W:W, ROW()-1)
   )
   /SUM(INDEX(W:W, ROW()-COUNTIF($F$6:INDEX($F:$F, ROW()-1), $F484)) : INDEX(W:W, ROW()-1)),
   AVERAGEIFS(
     INDEX((unit_details[Asking Rent],unit_details[Asking PSF]),0,1,IF($U$3="Chunk Rent",1,2)),
     unit_details[Leased Date],"&gt;="&amp;($AM$2-T$5),
     unit_details[Leased Date],"&lt;"&amp;$AM$2,
     unit_details[Beds],$L485,
     unit_details[Baths],$M485,
     unit_details[Partial Baths],IF(ISNUMBER($N485),$N485,""),
     unit_details[Sqft],$P485,
     unit_details[Property Name],$F485)
 ),"")</f>
        <v/>
      </c>
      <c r="U485" s="552" t="str">
        <f>IFERROR(
 IF($F485="Total",
   SUMPRODUCT(
   INDEX(U:U, ROW()-COUNTIF($F$6:INDEX($F:$F, ROW()-1), $F484)) : INDEX(U:U, ROW()-1),
   INDEX(W:W, ROW()-COUNTIF($F$6:INDEX($F:$F, ROW()-1), $F484)) : INDEX(W:W, ROW()-1)
   )
   /SUM(INDEX(W:W, ROW()-COUNTIF($F$6:INDEX($F:$F, ROW()-1), $F484)) : INDEX(W:W, ROW()-1)),
   AVERAGEIFS(
     INDEX((unit_details[Effective Rent],unit_details[Effective PSF]),0,1,IF($U$3="Chunk Rent",1,2)),
     unit_details[Leased Date],"&gt;="&amp;($AM$2-T$5),
     unit_details[Leased Date],"&lt;"&amp;$AM$2,
     unit_details[Beds],$L485,
     unit_details[Baths],$M485,
     unit_details[Partial Baths],IF(ISNUMBER($N485),$N485,""),
     unit_details[Sqft],$P485,
     unit_details[Property Name],$F485)
 ),"")</f>
        <v/>
      </c>
      <c r="V485" s="27" t="str">
        <f t="shared" si="87"/>
        <v/>
      </c>
      <c r="W485" s="526">
        <f>IFERROR(
  IF($F485="Total",
    SUM(INDEX(W:W, ROW()-COUNTIF($F$6:INDEX($F:$F, ROW()-1), $F484)) : INDEX(W:W, ROW()-1)),
    COUNTIFS(
      unit_details[Leased Date], "&gt;="&amp;($AM$2-T$5),
      unit_details[Leased Date], "&lt;"&amp;$AM$2,
      unit_details[Beds], $L485,
      unit_details[Baths], $M485,
      unit_details[Partial Baths], IF(ISNUMBER($N485), $N485, ""),
      unit_details[Sqft],$P485,
      unit_details[Property Name], $F485
    )
  ),
"")</f>
        <v>0</v>
      </c>
      <c r="X485" s="531" t="str">
        <f>IFERROR(
 IF($F485="Total",
   SUMPRODUCT(
   INDEX(X:X, ROW()-COUNTIF($F$6:INDEX($F:$F, ROW()-1), $F484)) : INDEX(X:X, ROW()-1),
   INDEX(AA:AA, ROW()-COUNTIF($F$6:INDEX($F:$F, ROW()-1), $F484)) : INDEX(AA:AA, ROW()-1)
   )
   /SUM(INDEX(AA:AA, ROW()-COUNTIF($F$6:INDEX($F:$F, ROW()-1), $F484)) : INDEX(AA:AA, ROW()-1)),
   AVERAGEIFS(
     INDEX((unit_details[Asking Rent],unit_details[Asking PSF]),0,1,IF($U$3="Chunk Rent",1,2)),
     unit_details[Leased Date],"&gt;="&amp;($AM$2-X$5),
     unit_details[Leased Date],"&lt;"&amp;$AM$2,
     unit_details[Beds],$L485,
     unit_details[Baths],$M485,
     unit_details[Partial Baths],IF(ISNUMBER($N485),$N485,""),
     unit_details[Sqft],$P485,
     unit_details[Property Name],$F485)
 ),"")</f>
        <v/>
      </c>
      <c r="Y485" s="552" t="str">
        <f>IFERROR(
 IF($F485="Total",
   SUMPRODUCT(
   INDEX(Y:Y, ROW()-COUNTIF($F$6:INDEX($F:$F, ROW()-1), $F484)) : INDEX(Y:Y, ROW()-1),
   INDEX(AA:AA, ROW()-COUNTIF($F$6:INDEX($F:$F, ROW()-1), $F484)) : INDEX(AA:AA, ROW()-1)
   )
   /SUM(INDEX(AA:AA, ROW()-COUNTIF($F$6:INDEX($F:$F, ROW()-1), $F484)) : INDEX(AA:AA, ROW()-1)),
   AVERAGEIFS(
     INDEX((unit_details[Effective Rent],unit_details[Effective PSF]),0,1,IF($U$3="Chunk Rent",1,2)),
     unit_details[Leased Date],"&gt;="&amp;($AM$2-X$5),
     unit_details[Leased Date],"&lt;"&amp;$AM$2,
     unit_details[Beds],$L485,
     unit_details[Baths],$M485,
     unit_details[Partial Baths],IF(ISNUMBER($N485),$N485,""),
     unit_details[Sqft],$P485,
     unit_details[Property Name],$F485)
 ),"")</f>
        <v/>
      </c>
      <c r="Z485" s="27" t="str">
        <f t="shared" si="88"/>
        <v/>
      </c>
      <c r="AA485" s="526">
        <f>IFERROR(
  IF($F485="Total",
    SUM(INDEX(AA:AA, ROW()-COUNTIF($F$6:INDEX($F:$F, ROW()-1), $F484)) : INDEX(AA:AA, ROW()-1)),
    COUNTIFS(
      unit_details[Leased Date], "&gt;="&amp;($AM$2-X$5),
      unit_details[Leased Date], "&lt;"&amp;$AM$2,
      unit_details[Beds], $L485,
      unit_details[Baths], $M485,
      unit_details[Partial Baths], IF(ISNUMBER($N485), $N485, ""),
      unit_details[Sqft],$P485,
      unit_details[Property Name], $F485
    )
  ),
"")</f>
        <v>0</v>
      </c>
      <c r="AB485" s="290">
        <f>IF($F485="Total",
SUM(INDEX(AB:AB, ROW()-COUNTIF($F$6:INDEX($F:$F, ROW()-1), $F484)) : INDEX(AB:AB, ROW()-1)),
COUNTIFS(unit_details[Active Listing?],TRUE,
          unit_details[Property Name], $F485,
          unit_details[Beds], $L485,
          unit_details[Baths], $M485,
          unit_details[Partial Baths],IF(ISNUMBER($N485),$N485,""),
          unit_details[Sqft],$P485))</f>
        <v>0</v>
      </c>
      <c r="AC485" s="27" t="str">
        <f t="shared" si="80"/>
        <v/>
      </c>
      <c r="AD485" s="293" t="str">
        <f>IFERROR(IF(AE485="","",IF($F485="Total",
SUMPRODUCT(
   INDEX(AD:AD, ROW()-COUNTIF($F$6:INDEX($F:$F, ROW()-1), $F484)) : INDEX(AD:AD, ROW()-1),
   INDEX(AB:AB, ROW()-COUNTIF($F$6:INDEX($F:$F, ROW()-1), $F484)) : INDEX(AB:AB, ROW()-1)
   )
   /SUM(INDEX(AB:AB, ROW()-COUNTIF($F$6:INDEX($F:$F, ROW()-1), $F484)) : INDEX(AB:AB, ROW()-1)),
          _xlfn.MINIFS(unit_details[Asking Rent],
          unit_details[Active Listing?],TRUE,
          unit_details[Property Name], $F485,
          unit_details[Beds], $L485,
          unit_details[Baths], $M485,
          unit_details[Partial Baths], IF(ISNUMBER($N485),$N485,""),
          unit_details[Sqft],$P485
))),"")</f>
        <v/>
      </c>
      <c r="AE485" s="5" t="str">
        <f>IFERROR(IF($F485="Total",
          SUMPRODUCT(
   INDEX(AE:AE, ROW()-COUNTIF($F$6:INDEX($F:$F, ROW()-1), $F484)) : INDEX(AE:AE, ROW()-1),
   INDEX(AB:AB, ROW()-COUNTIF($F$6:INDEX($F:$F, ROW()-1), $F484)) : INDEX(AB:AB, ROW()-1)
   )
   /SUM(INDEX(AB:AB, ROW()-COUNTIF($F$6:INDEX($F:$F, ROW()-1), $F484)) : INDEX(AB:AB, ROW()-1)),
          AVERAGEIFS(unit_details[Asking Rent],
          unit_details[Active Listing?],TRUE,
          unit_details[Property Name], $F485,
          unit_details[Beds], $L485,
          unit_details[Baths], $M485,
          unit_details[Partial Baths], IF(ISNUMBER($N485),$N485,""),
          unit_details[Sqft],$P485
)),"")</f>
        <v/>
      </c>
      <c r="AF485" s="5" t="str">
        <f>IFERROR(IF(AE485="","",IF($F485="Total",
SUMPRODUCT(
   INDEX(AF:AF, ROW()-COUNTIF($F$6:INDEX($F:$F, ROW()-1), $F484)) : INDEX(AF:AF, ROW()-1),
   INDEX(AB:AB, ROW()-COUNTIF($F$6:INDEX($F:$F, ROW()-1), $F484)) : INDEX(AB:AB, ROW()-1)
   )
   /SUM(INDEX(AB:AB, ROW()-COUNTIF($F$6:INDEX($F:$F, ROW()-1), $F484)) : INDEX(AB:AB, ROW()-1)),
           _xlfn.MAXIFS(unit_details[Asking Rent],
          unit_details[Active Listing?],TRUE,
          unit_details[Property Name], $F485,
          unit_details[Beds], $L485,
          unit_details[Baths], $M485,
          unit_details[Partial Baths], IF(ISNUMBER($N485),$N485,""),
          unit_details[Sqft],$P485
))),"")</f>
        <v/>
      </c>
      <c r="AG485" s="6" t="str">
        <f>IFERROR(IF($F485="Total",
         SUMPRODUCT(
         INDEX(AG:AG, ROW()-COUNTIF($F$6:INDEX($F:$F, ROW()-1), $F484)) : INDEX(AG:AG, ROW()-1),
         INDEX(AB:AB, ROW()-COUNTIF($F$6:INDEX($F:$F, ROW()-1), $F484)) : INDEX(AB:AB, ROW()-1)
         )
         /SUM(INDEX(AB:AB, ROW()-COUNTIF($F$6:INDEX($F:$F, ROW()-1), $F484)) : INDEX(AB:AB, ROW()-1)),
          AVERAGEIFS(unit_details[Asking PSF],
          unit_details[Active Listing?],TRUE,
          unit_details[Property Name], $F485,
          unit_details[Beds], $L485,
          unit_details[Baths], $M485,
          unit_details[Partial Baths], IF(ISNUMBER($N485),$N485,""),
          unit_details[Sqft],$P485
)),"")</f>
        <v/>
      </c>
      <c r="AH485" s="293" t="str">
        <f>IFERROR(IF($F485="Total",
         SUMPRODUCT(
         INDEX(AH:AH, ROW()-COUNTIF($F$6:INDEX($F:$F, ROW()-1), $F484)) : INDEX(AH:AH, ROW()-1),
         INDEX(AB:AB, ROW()-COUNTIF($F$6:INDEX($F:$F, ROW()-1), $F484)) : INDEX(AB:AB, ROW()-1)
         )
         /SUM(INDEX(AB:AB, ROW()-COUNTIF($F$6:INDEX($F:$F, ROW()-1), $F484)) : INDEX(AB:AB, ROW()-1)),
          AVERAGEIFS(unit_details[Effective Rent],
          unit_details[Active Listing?],TRUE,
          unit_details[Property Name], $F485,
          unit_details[Beds], $L485,
          unit_details[Baths], $M485,
          unit_details[Partial Baths], IF(ISNUMBER($N485),$N485,""),
          unit_details[Sqft],$P485
)),"")</f>
        <v/>
      </c>
      <c r="AI485" s="6" t="str">
        <f>IFERROR(IF($F485="Total",
         SUMPRODUCT(
         INDEX(AI:AI, ROW()-COUNTIF($F$6:INDEX($F:$F, ROW()-1), $F484)) : INDEX(AI:AI, ROW()-1),
         INDEX(AB:AB, ROW()-COUNTIF($F$6:INDEX($F:$F, ROW()-1), $F484)) : INDEX(AB:AB, ROW()-1)
         )
         /SUM(INDEX(AB:AB, ROW()-COUNTIF($F$6:INDEX($F:$F, ROW()-1), $F484)) : INDEX(AB:AB, ROW()-1)),
           AVERAGEIFS(unit_details[Effective PSF],
          unit_details[Active Listing?],TRUE,
          unit_details[Property Name], $F485,
          unit_details[Beds], $L485,
          unit_details[Baths], $M485,
          unit_details[Partial Baths], IF(ISNUMBER($N485),$N485,""),
          unit_details[Sqft],$P485
)),"")</f>
        <v/>
      </c>
      <c r="AJ485" s="824" t="str">
        <f t="shared" si="81"/>
        <v/>
      </c>
      <c r="AK485" s="531" t="str">
        <f t="shared" si="82"/>
        <v/>
      </c>
      <c r="AL485" s="714" t="str">
        <f t="shared" si="83"/>
        <v/>
      </c>
      <c r="AM485" s="531" t="str">
        <f t="shared" si="84"/>
        <v/>
      </c>
      <c r="AN485" s="716" t="str">
        <f t="shared" si="85"/>
        <v/>
      </c>
    </row>
    <row r="486" spans="6:40" x14ac:dyDescent="0.2">
      <c r="F486" s="1" t="str">
        <f t="shared" si="78"/>
        <v/>
      </c>
      <c r="G486" s="713" t="str">
        <f t="shared" si="86"/>
        <v/>
      </c>
      <c r="H486" s="17" t="str">
        <f>IFERROR(VLOOKUP($G486,Table1[[Property]:[Exposure %]],4,0),"")</f>
        <v/>
      </c>
      <c r="I486" s="3" t="str">
        <f>IFERROR(VLOOKUP($G486,Table1[[Property]:[Exposure %]],6,0),"")</f>
        <v/>
      </c>
      <c r="J486" s="3" t="str">
        <f>IFERROR(VLOOKUP($G486,Table1[[Property]:[Exposure %]],7,0),"")</f>
        <v/>
      </c>
      <c r="R486" s="4" t="str">
        <f>IFERROR(VLOOKUP(IF(F486="Total",F485,F486),Table1[[Property]:['# Units]],7,0)*S486,"")</f>
        <v/>
      </c>
      <c r="S486" s="27" t="str">
        <f t="shared" si="79"/>
        <v/>
      </c>
      <c r="T486" s="531" t="str">
        <f>IFERROR(
 IF($F486="Total",
   SUMPRODUCT(
   INDEX(T:T, ROW()-COUNTIF($F$6:INDEX($F:$F, ROW()-1), $F485)) : INDEX(T:T, ROW()-1),
   INDEX(W:W, ROW()-COUNTIF($F$6:INDEX($F:$F, ROW()-1), $F485)) : INDEX(W:W, ROW()-1)
   )
   /SUM(INDEX(W:W, ROW()-COUNTIF($F$6:INDEX($F:$F, ROW()-1), $F485)) : INDEX(W:W, ROW()-1)),
   AVERAGEIFS(
     INDEX((unit_details[Asking Rent],unit_details[Asking PSF]),0,1,IF($U$3="Chunk Rent",1,2)),
     unit_details[Leased Date],"&gt;="&amp;($AM$2-T$5),
     unit_details[Leased Date],"&lt;"&amp;$AM$2,
     unit_details[Beds],$L486,
     unit_details[Baths],$M486,
     unit_details[Partial Baths],IF(ISNUMBER($N486),$N486,""),
     unit_details[Sqft],$P486,
     unit_details[Property Name],$F486)
 ),"")</f>
        <v/>
      </c>
      <c r="U486" s="552" t="str">
        <f>IFERROR(
 IF($F486="Total",
   SUMPRODUCT(
   INDEX(U:U, ROW()-COUNTIF($F$6:INDEX($F:$F, ROW()-1), $F485)) : INDEX(U:U, ROW()-1),
   INDEX(W:W, ROW()-COUNTIF($F$6:INDEX($F:$F, ROW()-1), $F485)) : INDEX(W:W, ROW()-1)
   )
   /SUM(INDEX(W:W, ROW()-COUNTIF($F$6:INDEX($F:$F, ROW()-1), $F485)) : INDEX(W:W, ROW()-1)),
   AVERAGEIFS(
     INDEX((unit_details[Effective Rent],unit_details[Effective PSF]),0,1,IF($U$3="Chunk Rent",1,2)),
     unit_details[Leased Date],"&gt;="&amp;($AM$2-T$5),
     unit_details[Leased Date],"&lt;"&amp;$AM$2,
     unit_details[Beds],$L486,
     unit_details[Baths],$M486,
     unit_details[Partial Baths],IF(ISNUMBER($N486),$N486,""),
     unit_details[Sqft],$P486,
     unit_details[Property Name],$F486)
 ),"")</f>
        <v/>
      </c>
      <c r="V486" s="27" t="str">
        <f t="shared" si="87"/>
        <v/>
      </c>
      <c r="W486" s="526">
        <f>IFERROR(
  IF($F486="Total",
    SUM(INDEX(W:W, ROW()-COUNTIF($F$6:INDEX($F:$F, ROW()-1), $F485)) : INDEX(W:W, ROW()-1)),
    COUNTIFS(
      unit_details[Leased Date], "&gt;="&amp;($AM$2-T$5),
      unit_details[Leased Date], "&lt;"&amp;$AM$2,
      unit_details[Beds], $L486,
      unit_details[Baths], $M486,
      unit_details[Partial Baths], IF(ISNUMBER($N486), $N486, ""),
      unit_details[Sqft],$P486,
      unit_details[Property Name], $F486
    )
  ),
"")</f>
        <v>0</v>
      </c>
      <c r="X486" s="531" t="str">
        <f>IFERROR(
 IF($F486="Total",
   SUMPRODUCT(
   INDEX(X:X, ROW()-COUNTIF($F$6:INDEX($F:$F, ROW()-1), $F485)) : INDEX(X:X, ROW()-1),
   INDEX(AA:AA, ROW()-COUNTIF($F$6:INDEX($F:$F, ROW()-1), $F485)) : INDEX(AA:AA, ROW()-1)
   )
   /SUM(INDEX(AA:AA, ROW()-COUNTIF($F$6:INDEX($F:$F, ROW()-1), $F485)) : INDEX(AA:AA, ROW()-1)),
   AVERAGEIFS(
     INDEX((unit_details[Asking Rent],unit_details[Asking PSF]),0,1,IF($U$3="Chunk Rent",1,2)),
     unit_details[Leased Date],"&gt;="&amp;($AM$2-X$5),
     unit_details[Leased Date],"&lt;"&amp;$AM$2,
     unit_details[Beds],$L486,
     unit_details[Baths],$M486,
     unit_details[Partial Baths],IF(ISNUMBER($N486),$N486,""),
     unit_details[Sqft],$P486,
     unit_details[Property Name],$F486)
 ),"")</f>
        <v/>
      </c>
      <c r="Y486" s="552" t="str">
        <f>IFERROR(
 IF($F486="Total",
   SUMPRODUCT(
   INDEX(Y:Y, ROW()-COUNTIF($F$6:INDEX($F:$F, ROW()-1), $F485)) : INDEX(Y:Y, ROW()-1),
   INDEX(AA:AA, ROW()-COUNTIF($F$6:INDEX($F:$F, ROW()-1), $F485)) : INDEX(AA:AA, ROW()-1)
   )
   /SUM(INDEX(AA:AA, ROW()-COUNTIF($F$6:INDEX($F:$F, ROW()-1), $F485)) : INDEX(AA:AA, ROW()-1)),
   AVERAGEIFS(
     INDEX((unit_details[Effective Rent],unit_details[Effective PSF]),0,1,IF($U$3="Chunk Rent",1,2)),
     unit_details[Leased Date],"&gt;="&amp;($AM$2-X$5),
     unit_details[Leased Date],"&lt;"&amp;$AM$2,
     unit_details[Beds],$L486,
     unit_details[Baths],$M486,
     unit_details[Partial Baths],IF(ISNUMBER($N486),$N486,""),
     unit_details[Sqft],$P486,
     unit_details[Property Name],$F486)
 ),"")</f>
        <v/>
      </c>
      <c r="Z486" s="27" t="str">
        <f t="shared" si="88"/>
        <v/>
      </c>
      <c r="AA486" s="526">
        <f>IFERROR(
  IF($F486="Total",
    SUM(INDEX(AA:AA, ROW()-COUNTIF($F$6:INDEX($F:$F, ROW()-1), $F485)) : INDEX(AA:AA, ROW()-1)),
    COUNTIFS(
      unit_details[Leased Date], "&gt;="&amp;($AM$2-X$5),
      unit_details[Leased Date], "&lt;"&amp;$AM$2,
      unit_details[Beds], $L486,
      unit_details[Baths], $M486,
      unit_details[Partial Baths], IF(ISNUMBER($N486), $N486, ""),
      unit_details[Sqft],$P486,
      unit_details[Property Name], $F486
    )
  ),
"")</f>
        <v>0</v>
      </c>
      <c r="AB486" s="290">
        <f>IF($F486="Total",
SUM(INDEX(AB:AB, ROW()-COUNTIF($F$6:INDEX($F:$F, ROW()-1), $F485)) : INDEX(AB:AB, ROW()-1)),
COUNTIFS(unit_details[Active Listing?],TRUE,
          unit_details[Property Name], $F486,
          unit_details[Beds], $L486,
          unit_details[Baths], $M486,
          unit_details[Partial Baths],IF(ISNUMBER($N486),$N486,""),
          unit_details[Sqft],$P486))</f>
        <v>0</v>
      </c>
      <c r="AC486" s="27" t="str">
        <f t="shared" si="80"/>
        <v/>
      </c>
      <c r="AD486" s="293" t="str">
        <f>IFERROR(IF(AE486="","",IF($F486="Total",
SUMPRODUCT(
   INDEX(AD:AD, ROW()-COUNTIF($F$6:INDEX($F:$F, ROW()-1), $F485)) : INDEX(AD:AD, ROW()-1),
   INDEX(AB:AB, ROW()-COUNTIF($F$6:INDEX($F:$F, ROW()-1), $F485)) : INDEX(AB:AB, ROW()-1)
   )
   /SUM(INDEX(AB:AB, ROW()-COUNTIF($F$6:INDEX($F:$F, ROW()-1), $F485)) : INDEX(AB:AB, ROW()-1)),
          _xlfn.MINIFS(unit_details[Asking Rent],
          unit_details[Active Listing?],TRUE,
          unit_details[Property Name], $F486,
          unit_details[Beds], $L486,
          unit_details[Baths], $M486,
          unit_details[Partial Baths], IF(ISNUMBER($N486),$N486,""),
          unit_details[Sqft],$P486
))),"")</f>
        <v/>
      </c>
      <c r="AE486" s="5" t="str">
        <f>IFERROR(IF($F486="Total",
          SUMPRODUCT(
   INDEX(AE:AE, ROW()-COUNTIF($F$6:INDEX($F:$F, ROW()-1), $F485)) : INDEX(AE:AE, ROW()-1),
   INDEX(AB:AB, ROW()-COUNTIF($F$6:INDEX($F:$F, ROW()-1), $F485)) : INDEX(AB:AB, ROW()-1)
   )
   /SUM(INDEX(AB:AB, ROW()-COUNTIF($F$6:INDEX($F:$F, ROW()-1), $F485)) : INDEX(AB:AB, ROW()-1)),
          AVERAGEIFS(unit_details[Asking Rent],
          unit_details[Active Listing?],TRUE,
          unit_details[Property Name], $F486,
          unit_details[Beds], $L486,
          unit_details[Baths], $M486,
          unit_details[Partial Baths], IF(ISNUMBER($N486),$N486,""),
          unit_details[Sqft],$P486
)),"")</f>
        <v/>
      </c>
      <c r="AF486" s="5" t="str">
        <f>IFERROR(IF(AE486="","",IF($F486="Total",
SUMPRODUCT(
   INDEX(AF:AF, ROW()-COUNTIF($F$6:INDEX($F:$F, ROW()-1), $F485)) : INDEX(AF:AF, ROW()-1),
   INDEX(AB:AB, ROW()-COUNTIF($F$6:INDEX($F:$F, ROW()-1), $F485)) : INDEX(AB:AB, ROW()-1)
   )
   /SUM(INDEX(AB:AB, ROW()-COUNTIF($F$6:INDEX($F:$F, ROW()-1), $F485)) : INDEX(AB:AB, ROW()-1)),
           _xlfn.MAXIFS(unit_details[Asking Rent],
          unit_details[Active Listing?],TRUE,
          unit_details[Property Name], $F486,
          unit_details[Beds], $L486,
          unit_details[Baths], $M486,
          unit_details[Partial Baths], IF(ISNUMBER($N486),$N486,""),
          unit_details[Sqft],$P486
))),"")</f>
        <v/>
      </c>
      <c r="AG486" s="6" t="str">
        <f>IFERROR(IF($F486="Total",
         SUMPRODUCT(
         INDEX(AG:AG, ROW()-COUNTIF($F$6:INDEX($F:$F, ROW()-1), $F485)) : INDEX(AG:AG, ROW()-1),
         INDEX(AB:AB, ROW()-COUNTIF($F$6:INDEX($F:$F, ROW()-1), $F485)) : INDEX(AB:AB, ROW()-1)
         )
         /SUM(INDEX(AB:AB, ROW()-COUNTIF($F$6:INDEX($F:$F, ROW()-1), $F485)) : INDEX(AB:AB, ROW()-1)),
          AVERAGEIFS(unit_details[Asking PSF],
          unit_details[Active Listing?],TRUE,
          unit_details[Property Name], $F486,
          unit_details[Beds], $L486,
          unit_details[Baths], $M486,
          unit_details[Partial Baths], IF(ISNUMBER($N486),$N486,""),
          unit_details[Sqft],$P486
)),"")</f>
        <v/>
      </c>
      <c r="AH486" s="293" t="str">
        <f>IFERROR(IF($F486="Total",
         SUMPRODUCT(
         INDEX(AH:AH, ROW()-COUNTIF($F$6:INDEX($F:$F, ROW()-1), $F485)) : INDEX(AH:AH, ROW()-1),
         INDEX(AB:AB, ROW()-COUNTIF($F$6:INDEX($F:$F, ROW()-1), $F485)) : INDEX(AB:AB, ROW()-1)
         )
         /SUM(INDEX(AB:AB, ROW()-COUNTIF($F$6:INDEX($F:$F, ROW()-1), $F485)) : INDEX(AB:AB, ROW()-1)),
          AVERAGEIFS(unit_details[Effective Rent],
          unit_details[Active Listing?],TRUE,
          unit_details[Property Name], $F486,
          unit_details[Beds], $L486,
          unit_details[Baths], $M486,
          unit_details[Partial Baths], IF(ISNUMBER($N486),$N486,""),
          unit_details[Sqft],$P486
)),"")</f>
        <v/>
      </c>
      <c r="AI486" s="6" t="str">
        <f>IFERROR(IF($F486="Total",
         SUMPRODUCT(
         INDEX(AI:AI, ROW()-COUNTIF($F$6:INDEX($F:$F, ROW()-1), $F485)) : INDEX(AI:AI, ROW()-1),
         INDEX(AB:AB, ROW()-COUNTIF($F$6:INDEX($F:$F, ROW()-1), $F485)) : INDEX(AB:AB, ROW()-1)
         )
         /SUM(INDEX(AB:AB, ROW()-COUNTIF($F$6:INDEX($F:$F, ROW()-1), $F485)) : INDEX(AB:AB, ROW()-1)),
           AVERAGEIFS(unit_details[Effective PSF],
          unit_details[Active Listing?],TRUE,
          unit_details[Property Name], $F486,
          unit_details[Beds], $L486,
          unit_details[Baths], $M486,
          unit_details[Partial Baths], IF(ISNUMBER($N486),$N486,""),
          unit_details[Sqft],$P486
)),"")</f>
        <v/>
      </c>
      <c r="AJ486" s="824" t="str">
        <f t="shared" si="81"/>
        <v/>
      </c>
      <c r="AK486" s="531" t="str">
        <f t="shared" si="82"/>
        <v/>
      </c>
      <c r="AL486" s="714" t="str">
        <f t="shared" si="83"/>
        <v/>
      </c>
      <c r="AM486" s="531" t="str">
        <f t="shared" si="84"/>
        <v/>
      </c>
      <c r="AN486" s="716" t="str">
        <f t="shared" si="85"/>
        <v/>
      </c>
    </row>
    <row r="487" spans="6:40" x14ac:dyDescent="0.2">
      <c r="F487" s="1" t="str">
        <f t="shared" si="78"/>
        <v/>
      </c>
      <c r="G487" s="713" t="str">
        <f t="shared" si="86"/>
        <v/>
      </c>
      <c r="H487" s="17" t="str">
        <f>IFERROR(VLOOKUP($G487,Table1[[Property]:[Exposure %]],4,0),"")</f>
        <v/>
      </c>
      <c r="I487" s="3" t="str">
        <f>IFERROR(VLOOKUP($G487,Table1[[Property]:[Exposure %]],6,0),"")</f>
        <v/>
      </c>
      <c r="J487" s="3" t="str">
        <f>IFERROR(VLOOKUP($G487,Table1[[Property]:[Exposure %]],7,0),"")</f>
        <v/>
      </c>
      <c r="R487" s="4" t="str">
        <f>IFERROR(VLOOKUP(IF(F487="Total",F486,F487),Table1[[Property]:['# Units]],7,0)*S487,"")</f>
        <v/>
      </c>
      <c r="S487" s="27" t="str">
        <f t="shared" si="79"/>
        <v/>
      </c>
      <c r="T487" s="531" t="str">
        <f>IFERROR(
 IF($F487="Total",
   SUMPRODUCT(
   INDEX(T:T, ROW()-COUNTIF($F$6:INDEX($F:$F, ROW()-1), $F486)) : INDEX(T:T, ROW()-1),
   INDEX(W:W, ROW()-COUNTIF($F$6:INDEX($F:$F, ROW()-1), $F486)) : INDEX(W:W, ROW()-1)
   )
   /SUM(INDEX(W:W, ROW()-COUNTIF($F$6:INDEX($F:$F, ROW()-1), $F486)) : INDEX(W:W, ROW()-1)),
   AVERAGEIFS(
     INDEX((unit_details[Asking Rent],unit_details[Asking PSF]),0,1,IF($U$3="Chunk Rent",1,2)),
     unit_details[Leased Date],"&gt;="&amp;($AM$2-T$5),
     unit_details[Leased Date],"&lt;"&amp;$AM$2,
     unit_details[Beds],$L487,
     unit_details[Baths],$M487,
     unit_details[Partial Baths],IF(ISNUMBER($N487),$N487,""),
     unit_details[Sqft],$P487,
     unit_details[Property Name],$F487)
 ),"")</f>
        <v/>
      </c>
      <c r="U487" s="552" t="str">
        <f>IFERROR(
 IF($F487="Total",
   SUMPRODUCT(
   INDEX(U:U, ROW()-COUNTIF($F$6:INDEX($F:$F, ROW()-1), $F486)) : INDEX(U:U, ROW()-1),
   INDEX(W:W, ROW()-COUNTIF($F$6:INDEX($F:$F, ROW()-1), $F486)) : INDEX(W:W, ROW()-1)
   )
   /SUM(INDEX(W:W, ROW()-COUNTIF($F$6:INDEX($F:$F, ROW()-1), $F486)) : INDEX(W:W, ROW()-1)),
   AVERAGEIFS(
     INDEX((unit_details[Effective Rent],unit_details[Effective PSF]),0,1,IF($U$3="Chunk Rent",1,2)),
     unit_details[Leased Date],"&gt;="&amp;($AM$2-T$5),
     unit_details[Leased Date],"&lt;"&amp;$AM$2,
     unit_details[Beds],$L487,
     unit_details[Baths],$M487,
     unit_details[Partial Baths],IF(ISNUMBER($N487),$N487,""),
     unit_details[Sqft],$P487,
     unit_details[Property Name],$F487)
 ),"")</f>
        <v/>
      </c>
      <c r="V487" s="27" t="str">
        <f t="shared" si="87"/>
        <v/>
      </c>
      <c r="W487" s="526">
        <f>IFERROR(
  IF($F487="Total",
    SUM(INDEX(W:W, ROW()-COUNTIF($F$6:INDEX($F:$F, ROW()-1), $F486)) : INDEX(W:W, ROW()-1)),
    COUNTIFS(
      unit_details[Leased Date], "&gt;="&amp;($AM$2-T$5),
      unit_details[Leased Date], "&lt;"&amp;$AM$2,
      unit_details[Beds], $L487,
      unit_details[Baths], $M487,
      unit_details[Partial Baths], IF(ISNUMBER($N487), $N487, ""),
      unit_details[Sqft],$P487,
      unit_details[Property Name], $F487
    )
  ),
"")</f>
        <v>0</v>
      </c>
      <c r="X487" s="531" t="str">
        <f>IFERROR(
 IF($F487="Total",
   SUMPRODUCT(
   INDEX(X:X, ROW()-COUNTIF($F$6:INDEX($F:$F, ROW()-1), $F486)) : INDEX(X:X, ROW()-1),
   INDEX(AA:AA, ROW()-COUNTIF($F$6:INDEX($F:$F, ROW()-1), $F486)) : INDEX(AA:AA, ROW()-1)
   )
   /SUM(INDEX(AA:AA, ROW()-COUNTIF($F$6:INDEX($F:$F, ROW()-1), $F486)) : INDEX(AA:AA, ROW()-1)),
   AVERAGEIFS(
     INDEX((unit_details[Asking Rent],unit_details[Asking PSF]),0,1,IF($U$3="Chunk Rent",1,2)),
     unit_details[Leased Date],"&gt;="&amp;($AM$2-X$5),
     unit_details[Leased Date],"&lt;"&amp;$AM$2,
     unit_details[Beds],$L487,
     unit_details[Baths],$M487,
     unit_details[Partial Baths],IF(ISNUMBER($N487),$N487,""),
     unit_details[Sqft],$P487,
     unit_details[Property Name],$F487)
 ),"")</f>
        <v/>
      </c>
      <c r="Y487" s="552" t="str">
        <f>IFERROR(
 IF($F487="Total",
   SUMPRODUCT(
   INDEX(Y:Y, ROW()-COUNTIF($F$6:INDEX($F:$F, ROW()-1), $F486)) : INDEX(Y:Y, ROW()-1),
   INDEX(AA:AA, ROW()-COUNTIF($F$6:INDEX($F:$F, ROW()-1), $F486)) : INDEX(AA:AA, ROW()-1)
   )
   /SUM(INDEX(AA:AA, ROW()-COUNTIF($F$6:INDEX($F:$F, ROW()-1), $F486)) : INDEX(AA:AA, ROW()-1)),
   AVERAGEIFS(
     INDEX((unit_details[Effective Rent],unit_details[Effective PSF]),0,1,IF($U$3="Chunk Rent",1,2)),
     unit_details[Leased Date],"&gt;="&amp;($AM$2-X$5),
     unit_details[Leased Date],"&lt;"&amp;$AM$2,
     unit_details[Beds],$L487,
     unit_details[Baths],$M487,
     unit_details[Partial Baths],IF(ISNUMBER($N487),$N487,""),
     unit_details[Sqft],$P487,
     unit_details[Property Name],$F487)
 ),"")</f>
        <v/>
      </c>
      <c r="Z487" s="27" t="str">
        <f t="shared" si="88"/>
        <v/>
      </c>
      <c r="AA487" s="526">
        <f>IFERROR(
  IF($F487="Total",
    SUM(INDEX(AA:AA, ROW()-COUNTIF($F$6:INDEX($F:$F, ROW()-1), $F486)) : INDEX(AA:AA, ROW()-1)),
    COUNTIFS(
      unit_details[Leased Date], "&gt;="&amp;($AM$2-X$5),
      unit_details[Leased Date], "&lt;"&amp;$AM$2,
      unit_details[Beds], $L487,
      unit_details[Baths], $M487,
      unit_details[Partial Baths], IF(ISNUMBER($N487), $N487, ""),
      unit_details[Sqft],$P487,
      unit_details[Property Name], $F487
    )
  ),
"")</f>
        <v>0</v>
      </c>
      <c r="AB487" s="290">
        <f>IF($F487="Total",
SUM(INDEX(AB:AB, ROW()-COUNTIF($F$6:INDEX($F:$F, ROW()-1), $F486)) : INDEX(AB:AB, ROW()-1)),
COUNTIFS(unit_details[Active Listing?],TRUE,
          unit_details[Property Name], $F487,
          unit_details[Beds], $L487,
          unit_details[Baths], $M487,
          unit_details[Partial Baths],IF(ISNUMBER($N487),$N487,""),
          unit_details[Sqft],$P487))</f>
        <v>0</v>
      </c>
      <c r="AC487" s="27" t="str">
        <f t="shared" si="80"/>
        <v/>
      </c>
      <c r="AD487" s="293" t="str">
        <f>IFERROR(IF(AE487="","",IF($F487="Total",
SUMPRODUCT(
   INDEX(AD:AD, ROW()-COUNTIF($F$6:INDEX($F:$F, ROW()-1), $F486)) : INDEX(AD:AD, ROW()-1),
   INDEX(AB:AB, ROW()-COUNTIF($F$6:INDEX($F:$F, ROW()-1), $F486)) : INDEX(AB:AB, ROW()-1)
   )
   /SUM(INDEX(AB:AB, ROW()-COUNTIF($F$6:INDEX($F:$F, ROW()-1), $F486)) : INDEX(AB:AB, ROW()-1)),
          _xlfn.MINIFS(unit_details[Asking Rent],
          unit_details[Active Listing?],TRUE,
          unit_details[Property Name], $F487,
          unit_details[Beds], $L487,
          unit_details[Baths], $M487,
          unit_details[Partial Baths], IF(ISNUMBER($N487),$N487,""),
          unit_details[Sqft],$P487
))),"")</f>
        <v/>
      </c>
      <c r="AE487" s="5" t="str">
        <f>IFERROR(IF($F487="Total",
          SUMPRODUCT(
   INDEX(AE:AE, ROW()-COUNTIF($F$6:INDEX($F:$F, ROW()-1), $F486)) : INDEX(AE:AE, ROW()-1),
   INDEX(AB:AB, ROW()-COUNTIF($F$6:INDEX($F:$F, ROW()-1), $F486)) : INDEX(AB:AB, ROW()-1)
   )
   /SUM(INDEX(AB:AB, ROW()-COUNTIF($F$6:INDEX($F:$F, ROW()-1), $F486)) : INDEX(AB:AB, ROW()-1)),
          AVERAGEIFS(unit_details[Asking Rent],
          unit_details[Active Listing?],TRUE,
          unit_details[Property Name], $F487,
          unit_details[Beds], $L487,
          unit_details[Baths], $M487,
          unit_details[Partial Baths], IF(ISNUMBER($N487),$N487,""),
          unit_details[Sqft],$P487
)),"")</f>
        <v/>
      </c>
      <c r="AF487" s="5" t="str">
        <f>IFERROR(IF(AE487="","",IF($F487="Total",
SUMPRODUCT(
   INDEX(AF:AF, ROW()-COUNTIF($F$6:INDEX($F:$F, ROW()-1), $F486)) : INDEX(AF:AF, ROW()-1),
   INDEX(AB:AB, ROW()-COUNTIF($F$6:INDEX($F:$F, ROW()-1), $F486)) : INDEX(AB:AB, ROW()-1)
   )
   /SUM(INDEX(AB:AB, ROW()-COUNTIF($F$6:INDEX($F:$F, ROW()-1), $F486)) : INDEX(AB:AB, ROW()-1)),
           _xlfn.MAXIFS(unit_details[Asking Rent],
          unit_details[Active Listing?],TRUE,
          unit_details[Property Name], $F487,
          unit_details[Beds], $L487,
          unit_details[Baths], $M487,
          unit_details[Partial Baths], IF(ISNUMBER($N487),$N487,""),
          unit_details[Sqft],$P487
))),"")</f>
        <v/>
      </c>
      <c r="AG487" s="6" t="str">
        <f>IFERROR(IF($F487="Total",
         SUMPRODUCT(
         INDEX(AG:AG, ROW()-COUNTIF($F$6:INDEX($F:$F, ROW()-1), $F486)) : INDEX(AG:AG, ROW()-1),
         INDEX(AB:AB, ROW()-COUNTIF($F$6:INDEX($F:$F, ROW()-1), $F486)) : INDEX(AB:AB, ROW()-1)
         )
         /SUM(INDEX(AB:AB, ROW()-COUNTIF($F$6:INDEX($F:$F, ROW()-1), $F486)) : INDEX(AB:AB, ROW()-1)),
          AVERAGEIFS(unit_details[Asking PSF],
          unit_details[Active Listing?],TRUE,
          unit_details[Property Name], $F487,
          unit_details[Beds], $L487,
          unit_details[Baths], $M487,
          unit_details[Partial Baths], IF(ISNUMBER($N487),$N487,""),
          unit_details[Sqft],$P487
)),"")</f>
        <v/>
      </c>
      <c r="AH487" s="293" t="str">
        <f>IFERROR(IF($F487="Total",
         SUMPRODUCT(
         INDEX(AH:AH, ROW()-COUNTIF($F$6:INDEX($F:$F, ROW()-1), $F486)) : INDEX(AH:AH, ROW()-1),
         INDEX(AB:AB, ROW()-COUNTIF($F$6:INDEX($F:$F, ROW()-1), $F486)) : INDEX(AB:AB, ROW()-1)
         )
         /SUM(INDEX(AB:AB, ROW()-COUNTIF($F$6:INDEX($F:$F, ROW()-1), $F486)) : INDEX(AB:AB, ROW()-1)),
          AVERAGEIFS(unit_details[Effective Rent],
          unit_details[Active Listing?],TRUE,
          unit_details[Property Name], $F487,
          unit_details[Beds], $L487,
          unit_details[Baths], $M487,
          unit_details[Partial Baths], IF(ISNUMBER($N487),$N487,""),
          unit_details[Sqft],$P487
)),"")</f>
        <v/>
      </c>
      <c r="AI487" s="6" t="str">
        <f>IFERROR(IF($F487="Total",
         SUMPRODUCT(
         INDEX(AI:AI, ROW()-COUNTIF($F$6:INDEX($F:$F, ROW()-1), $F486)) : INDEX(AI:AI, ROW()-1),
         INDEX(AB:AB, ROW()-COUNTIF($F$6:INDEX($F:$F, ROW()-1), $F486)) : INDEX(AB:AB, ROW()-1)
         )
         /SUM(INDEX(AB:AB, ROW()-COUNTIF($F$6:INDEX($F:$F, ROW()-1), $F486)) : INDEX(AB:AB, ROW()-1)),
           AVERAGEIFS(unit_details[Effective PSF],
          unit_details[Active Listing?],TRUE,
          unit_details[Property Name], $F487,
          unit_details[Beds], $L487,
          unit_details[Baths], $M487,
          unit_details[Partial Baths], IF(ISNUMBER($N487),$N487,""),
          unit_details[Sqft],$P487
)),"")</f>
        <v/>
      </c>
      <c r="AJ487" s="824" t="str">
        <f t="shared" si="81"/>
        <v/>
      </c>
      <c r="AK487" s="531" t="str">
        <f t="shared" si="82"/>
        <v/>
      </c>
      <c r="AL487" s="714" t="str">
        <f t="shared" si="83"/>
        <v/>
      </c>
      <c r="AM487" s="531" t="str">
        <f t="shared" si="84"/>
        <v/>
      </c>
      <c r="AN487" s="716" t="str">
        <f t="shared" si="85"/>
        <v/>
      </c>
    </row>
    <row r="488" spans="6:40" x14ac:dyDescent="0.2">
      <c r="F488" s="1" t="str">
        <f t="shared" si="78"/>
        <v/>
      </c>
      <c r="G488" s="713" t="str">
        <f t="shared" si="86"/>
        <v/>
      </c>
      <c r="H488" s="17" t="str">
        <f>IFERROR(VLOOKUP($G488,Table1[[Property]:[Exposure %]],4,0),"")</f>
        <v/>
      </c>
      <c r="I488" s="3" t="str">
        <f>IFERROR(VLOOKUP($G488,Table1[[Property]:[Exposure %]],6,0),"")</f>
        <v/>
      </c>
      <c r="J488" s="3" t="str">
        <f>IFERROR(VLOOKUP($G488,Table1[[Property]:[Exposure %]],7,0),"")</f>
        <v/>
      </c>
      <c r="R488" s="4" t="str">
        <f>IFERROR(VLOOKUP(IF(F488="Total",F487,F488),Table1[[Property]:['# Units]],7,0)*S488,"")</f>
        <v/>
      </c>
      <c r="S488" s="27" t="str">
        <f t="shared" si="79"/>
        <v/>
      </c>
      <c r="T488" s="531" t="str">
        <f>IFERROR(
 IF($F488="Total",
   SUMPRODUCT(
   INDEX(T:T, ROW()-COUNTIF($F$6:INDEX($F:$F, ROW()-1), $F487)) : INDEX(T:T, ROW()-1),
   INDEX(W:W, ROW()-COUNTIF($F$6:INDEX($F:$F, ROW()-1), $F487)) : INDEX(W:W, ROW()-1)
   )
   /SUM(INDEX(W:W, ROW()-COUNTIF($F$6:INDEX($F:$F, ROW()-1), $F487)) : INDEX(W:W, ROW()-1)),
   AVERAGEIFS(
     INDEX((unit_details[Asking Rent],unit_details[Asking PSF]),0,1,IF($U$3="Chunk Rent",1,2)),
     unit_details[Leased Date],"&gt;="&amp;($AM$2-T$5),
     unit_details[Leased Date],"&lt;"&amp;$AM$2,
     unit_details[Beds],$L488,
     unit_details[Baths],$M488,
     unit_details[Partial Baths],IF(ISNUMBER($N488),$N488,""),
     unit_details[Sqft],$P488,
     unit_details[Property Name],$F488)
 ),"")</f>
        <v/>
      </c>
      <c r="U488" s="552" t="str">
        <f>IFERROR(
 IF($F488="Total",
   SUMPRODUCT(
   INDEX(U:U, ROW()-COUNTIF($F$6:INDEX($F:$F, ROW()-1), $F487)) : INDEX(U:U, ROW()-1),
   INDEX(W:W, ROW()-COUNTIF($F$6:INDEX($F:$F, ROW()-1), $F487)) : INDEX(W:W, ROW()-1)
   )
   /SUM(INDEX(W:W, ROW()-COUNTIF($F$6:INDEX($F:$F, ROW()-1), $F487)) : INDEX(W:W, ROW()-1)),
   AVERAGEIFS(
     INDEX((unit_details[Effective Rent],unit_details[Effective PSF]),0,1,IF($U$3="Chunk Rent",1,2)),
     unit_details[Leased Date],"&gt;="&amp;($AM$2-T$5),
     unit_details[Leased Date],"&lt;"&amp;$AM$2,
     unit_details[Beds],$L488,
     unit_details[Baths],$M488,
     unit_details[Partial Baths],IF(ISNUMBER($N488),$N488,""),
     unit_details[Sqft],$P488,
     unit_details[Property Name],$F488)
 ),"")</f>
        <v/>
      </c>
      <c r="V488" s="27" t="str">
        <f t="shared" si="87"/>
        <v/>
      </c>
      <c r="W488" s="526">
        <f>IFERROR(
  IF($F488="Total",
    SUM(INDEX(W:W, ROW()-COUNTIF($F$6:INDEX($F:$F, ROW()-1), $F487)) : INDEX(W:W, ROW()-1)),
    COUNTIFS(
      unit_details[Leased Date], "&gt;="&amp;($AM$2-T$5),
      unit_details[Leased Date], "&lt;"&amp;$AM$2,
      unit_details[Beds], $L488,
      unit_details[Baths], $M488,
      unit_details[Partial Baths], IF(ISNUMBER($N488), $N488, ""),
      unit_details[Sqft],$P488,
      unit_details[Property Name], $F488
    )
  ),
"")</f>
        <v>0</v>
      </c>
      <c r="X488" s="531" t="str">
        <f>IFERROR(
 IF($F488="Total",
   SUMPRODUCT(
   INDEX(X:X, ROW()-COUNTIF($F$6:INDEX($F:$F, ROW()-1), $F487)) : INDEX(X:X, ROW()-1),
   INDEX(AA:AA, ROW()-COUNTIF($F$6:INDEX($F:$F, ROW()-1), $F487)) : INDEX(AA:AA, ROW()-1)
   )
   /SUM(INDEX(AA:AA, ROW()-COUNTIF($F$6:INDEX($F:$F, ROW()-1), $F487)) : INDEX(AA:AA, ROW()-1)),
   AVERAGEIFS(
     INDEX((unit_details[Asking Rent],unit_details[Asking PSF]),0,1,IF($U$3="Chunk Rent",1,2)),
     unit_details[Leased Date],"&gt;="&amp;($AM$2-X$5),
     unit_details[Leased Date],"&lt;"&amp;$AM$2,
     unit_details[Beds],$L488,
     unit_details[Baths],$M488,
     unit_details[Partial Baths],IF(ISNUMBER($N488),$N488,""),
     unit_details[Sqft],$P488,
     unit_details[Property Name],$F488)
 ),"")</f>
        <v/>
      </c>
      <c r="Y488" s="552" t="str">
        <f>IFERROR(
 IF($F488="Total",
   SUMPRODUCT(
   INDEX(Y:Y, ROW()-COUNTIF($F$6:INDEX($F:$F, ROW()-1), $F487)) : INDEX(Y:Y, ROW()-1),
   INDEX(AA:AA, ROW()-COUNTIF($F$6:INDEX($F:$F, ROW()-1), $F487)) : INDEX(AA:AA, ROW()-1)
   )
   /SUM(INDEX(AA:AA, ROW()-COUNTIF($F$6:INDEX($F:$F, ROW()-1), $F487)) : INDEX(AA:AA, ROW()-1)),
   AVERAGEIFS(
     INDEX((unit_details[Effective Rent],unit_details[Effective PSF]),0,1,IF($U$3="Chunk Rent",1,2)),
     unit_details[Leased Date],"&gt;="&amp;($AM$2-X$5),
     unit_details[Leased Date],"&lt;"&amp;$AM$2,
     unit_details[Beds],$L488,
     unit_details[Baths],$M488,
     unit_details[Partial Baths],IF(ISNUMBER($N488),$N488,""),
     unit_details[Sqft],$P488,
     unit_details[Property Name],$F488)
 ),"")</f>
        <v/>
      </c>
      <c r="Z488" s="27" t="str">
        <f t="shared" si="88"/>
        <v/>
      </c>
      <c r="AA488" s="526">
        <f>IFERROR(
  IF($F488="Total",
    SUM(INDEX(AA:AA, ROW()-COUNTIF($F$6:INDEX($F:$F, ROW()-1), $F487)) : INDEX(AA:AA, ROW()-1)),
    COUNTIFS(
      unit_details[Leased Date], "&gt;="&amp;($AM$2-X$5),
      unit_details[Leased Date], "&lt;"&amp;$AM$2,
      unit_details[Beds], $L488,
      unit_details[Baths], $M488,
      unit_details[Partial Baths], IF(ISNUMBER($N488), $N488, ""),
      unit_details[Sqft],$P488,
      unit_details[Property Name], $F488
    )
  ),
"")</f>
        <v>0</v>
      </c>
      <c r="AB488" s="290">
        <f>IF($F488="Total",
SUM(INDEX(AB:AB, ROW()-COUNTIF($F$6:INDEX($F:$F, ROW()-1), $F487)) : INDEX(AB:AB, ROW()-1)),
COUNTIFS(unit_details[Active Listing?],TRUE,
          unit_details[Property Name], $F488,
          unit_details[Beds], $L488,
          unit_details[Baths], $M488,
          unit_details[Partial Baths],IF(ISNUMBER($N488),$N488,""),
          unit_details[Sqft],$P488))</f>
        <v>0</v>
      </c>
      <c r="AC488" s="27" t="str">
        <f t="shared" si="80"/>
        <v/>
      </c>
      <c r="AD488" s="293" t="str">
        <f>IFERROR(IF(AE488="","",IF($F488="Total",
SUMPRODUCT(
   INDEX(AD:AD, ROW()-COUNTIF($F$6:INDEX($F:$F, ROW()-1), $F487)) : INDEX(AD:AD, ROW()-1),
   INDEX(AB:AB, ROW()-COUNTIF($F$6:INDEX($F:$F, ROW()-1), $F487)) : INDEX(AB:AB, ROW()-1)
   )
   /SUM(INDEX(AB:AB, ROW()-COUNTIF($F$6:INDEX($F:$F, ROW()-1), $F487)) : INDEX(AB:AB, ROW()-1)),
          _xlfn.MINIFS(unit_details[Asking Rent],
          unit_details[Active Listing?],TRUE,
          unit_details[Property Name], $F488,
          unit_details[Beds], $L488,
          unit_details[Baths], $M488,
          unit_details[Partial Baths], IF(ISNUMBER($N488),$N488,""),
          unit_details[Sqft],$P488
))),"")</f>
        <v/>
      </c>
      <c r="AE488" s="5" t="str">
        <f>IFERROR(IF($F488="Total",
          SUMPRODUCT(
   INDEX(AE:AE, ROW()-COUNTIF($F$6:INDEX($F:$F, ROW()-1), $F487)) : INDEX(AE:AE, ROW()-1),
   INDEX(AB:AB, ROW()-COUNTIF($F$6:INDEX($F:$F, ROW()-1), $F487)) : INDEX(AB:AB, ROW()-1)
   )
   /SUM(INDEX(AB:AB, ROW()-COUNTIF($F$6:INDEX($F:$F, ROW()-1), $F487)) : INDEX(AB:AB, ROW()-1)),
          AVERAGEIFS(unit_details[Asking Rent],
          unit_details[Active Listing?],TRUE,
          unit_details[Property Name], $F488,
          unit_details[Beds], $L488,
          unit_details[Baths], $M488,
          unit_details[Partial Baths], IF(ISNUMBER($N488),$N488,""),
          unit_details[Sqft],$P488
)),"")</f>
        <v/>
      </c>
      <c r="AF488" s="5" t="str">
        <f>IFERROR(IF(AE488="","",IF($F488="Total",
SUMPRODUCT(
   INDEX(AF:AF, ROW()-COUNTIF($F$6:INDEX($F:$F, ROW()-1), $F487)) : INDEX(AF:AF, ROW()-1),
   INDEX(AB:AB, ROW()-COUNTIF($F$6:INDEX($F:$F, ROW()-1), $F487)) : INDEX(AB:AB, ROW()-1)
   )
   /SUM(INDEX(AB:AB, ROW()-COUNTIF($F$6:INDEX($F:$F, ROW()-1), $F487)) : INDEX(AB:AB, ROW()-1)),
           _xlfn.MAXIFS(unit_details[Asking Rent],
          unit_details[Active Listing?],TRUE,
          unit_details[Property Name], $F488,
          unit_details[Beds], $L488,
          unit_details[Baths], $M488,
          unit_details[Partial Baths], IF(ISNUMBER($N488),$N488,""),
          unit_details[Sqft],$P488
))),"")</f>
        <v/>
      </c>
      <c r="AG488" s="6" t="str">
        <f>IFERROR(IF($F488="Total",
         SUMPRODUCT(
         INDEX(AG:AG, ROW()-COUNTIF($F$6:INDEX($F:$F, ROW()-1), $F487)) : INDEX(AG:AG, ROW()-1),
         INDEX(AB:AB, ROW()-COUNTIF($F$6:INDEX($F:$F, ROW()-1), $F487)) : INDEX(AB:AB, ROW()-1)
         )
         /SUM(INDEX(AB:AB, ROW()-COUNTIF($F$6:INDEX($F:$F, ROW()-1), $F487)) : INDEX(AB:AB, ROW()-1)),
          AVERAGEIFS(unit_details[Asking PSF],
          unit_details[Active Listing?],TRUE,
          unit_details[Property Name], $F488,
          unit_details[Beds], $L488,
          unit_details[Baths], $M488,
          unit_details[Partial Baths], IF(ISNUMBER($N488),$N488,""),
          unit_details[Sqft],$P488
)),"")</f>
        <v/>
      </c>
      <c r="AH488" s="293" t="str">
        <f>IFERROR(IF($F488="Total",
         SUMPRODUCT(
         INDEX(AH:AH, ROW()-COUNTIF($F$6:INDEX($F:$F, ROW()-1), $F487)) : INDEX(AH:AH, ROW()-1),
         INDEX(AB:AB, ROW()-COUNTIF($F$6:INDEX($F:$F, ROW()-1), $F487)) : INDEX(AB:AB, ROW()-1)
         )
         /SUM(INDEX(AB:AB, ROW()-COUNTIF($F$6:INDEX($F:$F, ROW()-1), $F487)) : INDEX(AB:AB, ROW()-1)),
          AVERAGEIFS(unit_details[Effective Rent],
          unit_details[Active Listing?],TRUE,
          unit_details[Property Name], $F488,
          unit_details[Beds], $L488,
          unit_details[Baths], $M488,
          unit_details[Partial Baths], IF(ISNUMBER($N488),$N488,""),
          unit_details[Sqft],$P488
)),"")</f>
        <v/>
      </c>
      <c r="AI488" s="6" t="str">
        <f>IFERROR(IF($F488="Total",
         SUMPRODUCT(
         INDEX(AI:AI, ROW()-COUNTIF($F$6:INDEX($F:$F, ROW()-1), $F487)) : INDEX(AI:AI, ROW()-1),
         INDEX(AB:AB, ROW()-COUNTIF($F$6:INDEX($F:$F, ROW()-1), $F487)) : INDEX(AB:AB, ROW()-1)
         )
         /SUM(INDEX(AB:AB, ROW()-COUNTIF($F$6:INDEX($F:$F, ROW()-1), $F487)) : INDEX(AB:AB, ROW()-1)),
           AVERAGEIFS(unit_details[Effective PSF],
          unit_details[Active Listing?],TRUE,
          unit_details[Property Name], $F488,
          unit_details[Beds], $L488,
          unit_details[Baths], $M488,
          unit_details[Partial Baths], IF(ISNUMBER($N488),$N488,""),
          unit_details[Sqft],$P488
)),"")</f>
        <v/>
      </c>
      <c r="AJ488" s="824" t="str">
        <f t="shared" si="81"/>
        <v/>
      </c>
      <c r="AK488" s="531" t="str">
        <f t="shared" si="82"/>
        <v/>
      </c>
      <c r="AL488" s="714" t="str">
        <f t="shared" si="83"/>
        <v/>
      </c>
      <c r="AM488" s="531" t="str">
        <f t="shared" si="84"/>
        <v/>
      </c>
      <c r="AN488" s="716" t="str">
        <f t="shared" si="85"/>
        <v/>
      </c>
    </row>
    <row r="489" spans="6:40" x14ac:dyDescent="0.2">
      <c r="F489" s="1" t="str">
        <f t="shared" si="78"/>
        <v/>
      </c>
      <c r="G489" s="713" t="str">
        <f t="shared" si="86"/>
        <v/>
      </c>
      <c r="H489" s="17" t="str">
        <f>IFERROR(VLOOKUP($G489,Table1[[Property]:[Exposure %]],4,0),"")</f>
        <v/>
      </c>
      <c r="I489" s="3" t="str">
        <f>IFERROR(VLOOKUP($G489,Table1[[Property]:[Exposure %]],6,0),"")</f>
        <v/>
      </c>
      <c r="J489" s="3" t="str">
        <f>IFERROR(VLOOKUP($G489,Table1[[Property]:[Exposure %]],7,0),"")</f>
        <v/>
      </c>
      <c r="R489" s="4" t="str">
        <f>IFERROR(VLOOKUP(IF(F489="Total",F488,F489),Table1[[Property]:['# Units]],7,0)*S489,"")</f>
        <v/>
      </c>
      <c r="S489" s="27" t="str">
        <f t="shared" si="79"/>
        <v/>
      </c>
      <c r="T489" s="531" t="str">
        <f>IFERROR(
 IF($F489="Total",
   SUMPRODUCT(
   INDEX(T:T, ROW()-COUNTIF($F$6:INDEX($F:$F, ROW()-1), $F488)) : INDEX(T:T, ROW()-1),
   INDEX(W:W, ROW()-COUNTIF($F$6:INDEX($F:$F, ROW()-1), $F488)) : INDEX(W:W, ROW()-1)
   )
   /SUM(INDEX(W:W, ROW()-COUNTIF($F$6:INDEX($F:$F, ROW()-1), $F488)) : INDEX(W:W, ROW()-1)),
   AVERAGEIFS(
     INDEX((unit_details[Asking Rent],unit_details[Asking PSF]),0,1,IF($U$3="Chunk Rent",1,2)),
     unit_details[Leased Date],"&gt;="&amp;($AM$2-T$5),
     unit_details[Leased Date],"&lt;"&amp;$AM$2,
     unit_details[Beds],$L489,
     unit_details[Baths],$M489,
     unit_details[Partial Baths],IF(ISNUMBER($N489),$N489,""),
     unit_details[Sqft],$P489,
     unit_details[Property Name],$F489)
 ),"")</f>
        <v/>
      </c>
      <c r="U489" s="552" t="str">
        <f>IFERROR(
 IF($F489="Total",
   SUMPRODUCT(
   INDEX(U:U, ROW()-COUNTIF($F$6:INDEX($F:$F, ROW()-1), $F488)) : INDEX(U:U, ROW()-1),
   INDEX(W:W, ROW()-COUNTIF($F$6:INDEX($F:$F, ROW()-1), $F488)) : INDEX(W:W, ROW()-1)
   )
   /SUM(INDEX(W:W, ROW()-COUNTIF($F$6:INDEX($F:$F, ROW()-1), $F488)) : INDEX(W:W, ROW()-1)),
   AVERAGEIFS(
     INDEX((unit_details[Effective Rent],unit_details[Effective PSF]),0,1,IF($U$3="Chunk Rent",1,2)),
     unit_details[Leased Date],"&gt;="&amp;($AM$2-T$5),
     unit_details[Leased Date],"&lt;"&amp;$AM$2,
     unit_details[Beds],$L489,
     unit_details[Baths],$M489,
     unit_details[Partial Baths],IF(ISNUMBER($N489),$N489,""),
     unit_details[Sqft],$P489,
     unit_details[Property Name],$F489)
 ),"")</f>
        <v/>
      </c>
      <c r="V489" s="27" t="str">
        <f t="shared" si="87"/>
        <v/>
      </c>
      <c r="W489" s="526">
        <f>IFERROR(
  IF($F489="Total",
    SUM(INDEX(W:W, ROW()-COUNTIF($F$6:INDEX($F:$F, ROW()-1), $F488)) : INDEX(W:W, ROW()-1)),
    COUNTIFS(
      unit_details[Leased Date], "&gt;="&amp;($AM$2-T$5),
      unit_details[Leased Date], "&lt;"&amp;$AM$2,
      unit_details[Beds], $L489,
      unit_details[Baths], $M489,
      unit_details[Partial Baths], IF(ISNUMBER($N489), $N489, ""),
      unit_details[Sqft],$P489,
      unit_details[Property Name], $F489
    )
  ),
"")</f>
        <v>0</v>
      </c>
      <c r="X489" s="531" t="str">
        <f>IFERROR(
 IF($F489="Total",
   SUMPRODUCT(
   INDEX(X:X, ROW()-COUNTIF($F$6:INDEX($F:$F, ROW()-1), $F488)) : INDEX(X:X, ROW()-1),
   INDEX(AA:AA, ROW()-COUNTIF($F$6:INDEX($F:$F, ROW()-1), $F488)) : INDEX(AA:AA, ROW()-1)
   )
   /SUM(INDEX(AA:AA, ROW()-COUNTIF($F$6:INDEX($F:$F, ROW()-1), $F488)) : INDEX(AA:AA, ROW()-1)),
   AVERAGEIFS(
     INDEX((unit_details[Asking Rent],unit_details[Asking PSF]),0,1,IF($U$3="Chunk Rent",1,2)),
     unit_details[Leased Date],"&gt;="&amp;($AM$2-X$5),
     unit_details[Leased Date],"&lt;"&amp;$AM$2,
     unit_details[Beds],$L489,
     unit_details[Baths],$M489,
     unit_details[Partial Baths],IF(ISNUMBER($N489),$N489,""),
     unit_details[Sqft],$P489,
     unit_details[Property Name],$F489)
 ),"")</f>
        <v/>
      </c>
      <c r="Y489" s="552" t="str">
        <f>IFERROR(
 IF($F489="Total",
   SUMPRODUCT(
   INDEX(Y:Y, ROW()-COUNTIF($F$6:INDEX($F:$F, ROW()-1), $F488)) : INDEX(Y:Y, ROW()-1),
   INDEX(AA:AA, ROW()-COUNTIF($F$6:INDEX($F:$F, ROW()-1), $F488)) : INDEX(AA:AA, ROW()-1)
   )
   /SUM(INDEX(AA:AA, ROW()-COUNTIF($F$6:INDEX($F:$F, ROW()-1), $F488)) : INDEX(AA:AA, ROW()-1)),
   AVERAGEIFS(
     INDEX((unit_details[Effective Rent],unit_details[Effective PSF]),0,1,IF($U$3="Chunk Rent",1,2)),
     unit_details[Leased Date],"&gt;="&amp;($AM$2-X$5),
     unit_details[Leased Date],"&lt;"&amp;$AM$2,
     unit_details[Beds],$L489,
     unit_details[Baths],$M489,
     unit_details[Partial Baths],IF(ISNUMBER($N489),$N489,""),
     unit_details[Sqft],$P489,
     unit_details[Property Name],$F489)
 ),"")</f>
        <v/>
      </c>
      <c r="Z489" s="27" t="str">
        <f t="shared" si="88"/>
        <v/>
      </c>
      <c r="AA489" s="526">
        <f>IFERROR(
  IF($F489="Total",
    SUM(INDEX(AA:AA, ROW()-COUNTIF($F$6:INDEX($F:$F, ROW()-1), $F488)) : INDEX(AA:AA, ROW()-1)),
    COUNTIFS(
      unit_details[Leased Date], "&gt;="&amp;($AM$2-X$5),
      unit_details[Leased Date], "&lt;"&amp;$AM$2,
      unit_details[Beds], $L489,
      unit_details[Baths], $M489,
      unit_details[Partial Baths], IF(ISNUMBER($N489), $N489, ""),
      unit_details[Sqft],$P489,
      unit_details[Property Name], $F489
    )
  ),
"")</f>
        <v>0</v>
      </c>
      <c r="AB489" s="290">
        <f>IF($F489="Total",
SUM(INDEX(AB:AB, ROW()-COUNTIF($F$6:INDEX($F:$F, ROW()-1), $F488)) : INDEX(AB:AB, ROW()-1)),
COUNTIFS(unit_details[Active Listing?],TRUE,
          unit_details[Property Name], $F489,
          unit_details[Beds], $L489,
          unit_details[Baths], $M489,
          unit_details[Partial Baths],IF(ISNUMBER($N489),$N489,""),
          unit_details[Sqft],$P489))</f>
        <v>0</v>
      </c>
      <c r="AC489" s="27" t="str">
        <f t="shared" si="80"/>
        <v/>
      </c>
      <c r="AD489" s="293" t="str">
        <f>IFERROR(IF(AE489="","",IF($F489="Total",
SUMPRODUCT(
   INDEX(AD:AD, ROW()-COUNTIF($F$6:INDEX($F:$F, ROW()-1), $F488)) : INDEX(AD:AD, ROW()-1),
   INDEX(AB:AB, ROW()-COUNTIF($F$6:INDEX($F:$F, ROW()-1), $F488)) : INDEX(AB:AB, ROW()-1)
   )
   /SUM(INDEX(AB:AB, ROW()-COUNTIF($F$6:INDEX($F:$F, ROW()-1), $F488)) : INDEX(AB:AB, ROW()-1)),
          _xlfn.MINIFS(unit_details[Asking Rent],
          unit_details[Active Listing?],TRUE,
          unit_details[Property Name], $F489,
          unit_details[Beds], $L489,
          unit_details[Baths], $M489,
          unit_details[Partial Baths], IF(ISNUMBER($N489),$N489,""),
          unit_details[Sqft],$P489
))),"")</f>
        <v/>
      </c>
      <c r="AE489" s="5" t="str">
        <f>IFERROR(IF($F489="Total",
          SUMPRODUCT(
   INDEX(AE:AE, ROW()-COUNTIF($F$6:INDEX($F:$F, ROW()-1), $F488)) : INDEX(AE:AE, ROW()-1),
   INDEX(AB:AB, ROW()-COUNTIF($F$6:INDEX($F:$F, ROW()-1), $F488)) : INDEX(AB:AB, ROW()-1)
   )
   /SUM(INDEX(AB:AB, ROW()-COUNTIF($F$6:INDEX($F:$F, ROW()-1), $F488)) : INDEX(AB:AB, ROW()-1)),
          AVERAGEIFS(unit_details[Asking Rent],
          unit_details[Active Listing?],TRUE,
          unit_details[Property Name], $F489,
          unit_details[Beds], $L489,
          unit_details[Baths], $M489,
          unit_details[Partial Baths], IF(ISNUMBER($N489),$N489,""),
          unit_details[Sqft],$P489
)),"")</f>
        <v/>
      </c>
      <c r="AF489" s="5" t="str">
        <f>IFERROR(IF(AE489="","",IF($F489="Total",
SUMPRODUCT(
   INDEX(AF:AF, ROW()-COUNTIF($F$6:INDEX($F:$F, ROW()-1), $F488)) : INDEX(AF:AF, ROW()-1),
   INDEX(AB:AB, ROW()-COUNTIF($F$6:INDEX($F:$F, ROW()-1), $F488)) : INDEX(AB:AB, ROW()-1)
   )
   /SUM(INDEX(AB:AB, ROW()-COUNTIF($F$6:INDEX($F:$F, ROW()-1), $F488)) : INDEX(AB:AB, ROW()-1)),
           _xlfn.MAXIFS(unit_details[Asking Rent],
          unit_details[Active Listing?],TRUE,
          unit_details[Property Name], $F489,
          unit_details[Beds], $L489,
          unit_details[Baths], $M489,
          unit_details[Partial Baths], IF(ISNUMBER($N489),$N489,""),
          unit_details[Sqft],$P489
))),"")</f>
        <v/>
      </c>
      <c r="AG489" s="6" t="str">
        <f>IFERROR(IF($F489="Total",
         SUMPRODUCT(
         INDEX(AG:AG, ROW()-COUNTIF($F$6:INDEX($F:$F, ROW()-1), $F488)) : INDEX(AG:AG, ROW()-1),
         INDEX(AB:AB, ROW()-COUNTIF($F$6:INDEX($F:$F, ROW()-1), $F488)) : INDEX(AB:AB, ROW()-1)
         )
         /SUM(INDEX(AB:AB, ROW()-COUNTIF($F$6:INDEX($F:$F, ROW()-1), $F488)) : INDEX(AB:AB, ROW()-1)),
          AVERAGEIFS(unit_details[Asking PSF],
          unit_details[Active Listing?],TRUE,
          unit_details[Property Name], $F489,
          unit_details[Beds], $L489,
          unit_details[Baths], $M489,
          unit_details[Partial Baths], IF(ISNUMBER($N489),$N489,""),
          unit_details[Sqft],$P489
)),"")</f>
        <v/>
      </c>
      <c r="AH489" s="293" t="str">
        <f>IFERROR(IF($F489="Total",
         SUMPRODUCT(
         INDEX(AH:AH, ROW()-COUNTIF($F$6:INDEX($F:$F, ROW()-1), $F488)) : INDEX(AH:AH, ROW()-1),
         INDEX(AB:AB, ROW()-COUNTIF($F$6:INDEX($F:$F, ROW()-1), $F488)) : INDEX(AB:AB, ROW()-1)
         )
         /SUM(INDEX(AB:AB, ROW()-COUNTIF($F$6:INDEX($F:$F, ROW()-1), $F488)) : INDEX(AB:AB, ROW()-1)),
          AVERAGEIFS(unit_details[Effective Rent],
          unit_details[Active Listing?],TRUE,
          unit_details[Property Name], $F489,
          unit_details[Beds], $L489,
          unit_details[Baths], $M489,
          unit_details[Partial Baths], IF(ISNUMBER($N489),$N489,""),
          unit_details[Sqft],$P489
)),"")</f>
        <v/>
      </c>
      <c r="AI489" s="6" t="str">
        <f>IFERROR(IF($F489="Total",
         SUMPRODUCT(
         INDEX(AI:AI, ROW()-COUNTIF($F$6:INDEX($F:$F, ROW()-1), $F488)) : INDEX(AI:AI, ROW()-1),
         INDEX(AB:AB, ROW()-COUNTIF($F$6:INDEX($F:$F, ROW()-1), $F488)) : INDEX(AB:AB, ROW()-1)
         )
         /SUM(INDEX(AB:AB, ROW()-COUNTIF($F$6:INDEX($F:$F, ROW()-1), $F488)) : INDEX(AB:AB, ROW()-1)),
           AVERAGEIFS(unit_details[Effective PSF],
          unit_details[Active Listing?],TRUE,
          unit_details[Property Name], $F489,
          unit_details[Beds], $L489,
          unit_details[Baths], $M489,
          unit_details[Partial Baths], IF(ISNUMBER($N489),$N489,""),
          unit_details[Sqft],$P489
)),"")</f>
        <v/>
      </c>
      <c r="AJ489" s="824" t="str">
        <f t="shared" si="81"/>
        <v/>
      </c>
      <c r="AK489" s="531" t="str">
        <f t="shared" si="82"/>
        <v/>
      </c>
      <c r="AL489" s="714" t="str">
        <f t="shared" si="83"/>
        <v/>
      </c>
      <c r="AM489" s="531" t="str">
        <f t="shared" si="84"/>
        <v/>
      </c>
      <c r="AN489" s="716" t="str">
        <f t="shared" si="85"/>
        <v/>
      </c>
    </row>
    <row r="490" spans="6:40" x14ac:dyDescent="0.2">
      <c r="F490" s="1" t="str">
        <f t="shared" si="78"/>
        <v/>
      </c>
      <c r="G490" s="713" t="str">
        <f t="shared" si="86"/>
        <v/>
      </c>
      <c r="H490" s="17" t="str">
        <f>IFERROR(VLOOKUP($G490,Table1[[Property]:[Exposure %]],4,0),"")</f>
        <v/>
      </c>
      <c r="I490" s="3" t="str">
        <f>IFERROR(VLOOKUP($G490,Table1[[Property]:[Exposure %]],6,0),"")</f>
        <v/>
      </c>
      <c r="J490" s="3" t="str">
        <f>IFERROR(VLOOKUP($G490,Table1[[Property]:[Exposure %]],7,0),"")</f>
        <v/>
      </c>
      <c r="R490" s="4" t="str">
        <f>IFERROR(VLOOKUP(IF(F490="Total",F489,F490),Table1[[Property]:['# Units]],7,0)*S490,"")</f>
        <v/>
      </c>
      <c r="S490" s="27" t="str">
        <f t="shared" si="79"/>
        <v/>
      </c>
      <c r="T490" s="531" t="str">
        <f>IFERROR(
 IF($F490="Total",
   SUMPRODUCT(
   INDEX(T:T, ROW()-COUNTIF($F$6:INDEX($F:$F, ROW()-1), $F489)) : INDEX(T:T, ROW()-1),
   INDEX(W:W, ROW()-COUNTIF($F$6:INDEX($F:$F, ROW()-1), $F489)) : INDEX(W:W, ROW()-1)
   )
   /SUM(INDEX(W:W, ROW()-COUNTIF($F$6:INDEX($F:$F, ROW()-1), $F489)) : INDEX(W:W, ROW()-1)),
   AVERAGEIFS(
     INDEX((unit_details[Asking Rent],unit_details[Asking PSF]),0,1,IF($U$3="Chunk Rent",1,2)),
     unit_details[Leased Date],"&gt;="&amp;($AM$2-T$5),
     unit_details[Leased Date],"&lt;"&amp;$AM$2,
     unit_details[Beds],$L490,
     unit_details[Baths],$M490,
     unit_details[Partial Baths],IF(ISNUMBER($N490),$N490,""),
     unit_details[Sqft],$P490,
     unit_details[Property Name],$F490)
 ),"")</f>
        <v/>
      </c>
      <c r="U490" s="552" t="str">
        <f>IFERROR(
 IF($F490="Total",
   SUMPRODUCT(
   INDEX(U:U, ROW()-COUNTIF($F$6:INDEX($F:$F, ROW()-1), $F489)) : INDEX(U:U, ROW()-1),
   INDEX(W:W, ROW()-COUNTIF($F$6:INDEX($F:$F, ROW()-1), $F489)) : INDEX(W:W, ROW()-1)
   )
   /SUM(INDEX(W:W, ROW()-COUNTIF($F$6:INDEX($F:$F, ROW()-1), $F489)) : INDEX(W:W, ROW()-1)),
   AVERAGEIFS(
     INDEX((unit_details[Effective Rent],unit_details[Effective PSF]),0,1,IF($U$3="Chunk Rent",1,2)),
     unit_details[Leased Date],"&gt;="&amp;($AM$2-T$5),
     unit_details[Leased Date],"&lt;"&amp;$AM$2,
     unit_details[Beds],$L490,
     unit_details[Baths],$M490,
     unit_details[Partial Baths],IF(ISNUMBER($N490),$N490,""),
     unit_details[Sqft],$P490,
     unit_details[Property Name],$F490)
 ),"")</f>
        <v/>
      </c>
      <c r="V490" s="27" t="str">
        <f t="shared" si="87"/>
        <v/>
      </c>
      <c r="W490" s="526">
        <f>IFERROR(
  IF($F490="Total",
    SUM(INDEX(W:W, ROW()-COUNTIF($F$6:INDEX($F:$F, ROW()-1), $F489)) : INDEX(W:W, ROW()-1)),
    COUNTIFS(
      unit_details[Leased Date], "&gt;="&amp;($AM$2-T$5),
      unit_details[Leased Date], "&lt;"&amp;$AM$2,
      unit_details[Beds], $L490,
      unit_details[Baths], $M490,
      unit_details[Partial Baths], IF(ISNUMBER($N490), $N490, ""),
      unit_details[Sqft],$P490,
      unit_details[Property Name], $F490
    )
  ),
"")</f>
        <v>0</v>
      </c>
      <c r="X490" s="531" t="str">
        <f>IFERROR(
 IF($F490="Total",
   SUMPRODUCT(
   INDEX(X:X, ROW()-COUNTIF($F$6:INDEX($F:$F, ROW()-1), $F489)) : INDEX(X:X, ROW()-1),
   INDEX(AA:AA, ROW()-COUNTIF($F$6:INDEX($F:$F, ROW()-1), $F489)) : INDEX(AA:AA, ROW()-1)
   )
   /SUM(INDEX(AA:AA, ROW()-COUNTIF($F$6:INDEX($F:$F, ROW()-1), $F489)) : INDEX(AA:AA, ROW()-1)),
   AVERAGEIFS(
     INDEX((unit_details[Asking Rent],unit_details[Asking PSF]),0,1,IF($U$3="Chunk Rent",1,2)),
     unit_details[Leased Date],"&gt;="&amp;($AM$2-X$5),
     unit_details[Leased Date],"&lt;"&amp;$AM$2,
     unit_details[Beds],$L490,
     unit_details[Baths],$M490,
     unit_details[Partial Baths],IF(ISNUMBER($N490),$N490,""),
     unit_details[Sqft],$P490,
     unit_details[Property Name],$F490)
 ),"")</f>
        <v/>
      </c>
      <c r="Y490" s="552" t="str">
        <f>IFERROR(
 IF($F490="Total",
   SUMPRODUCT(
   INDEX(Y:Y, ROW()-COUNTIF($F$6:INDEX($F:$F, ROW()-1), $F489)) : INDEX(Y:Y, ROW()-1),
   INDEX(AA:AA, ROW()-COUNTIF($F$6:INDEX($F:$F, ROW()-1), $F489)) : INDEX(AA:AA, ROW()-1)
   )
   /SUM(INDEX(AA:AA, ROW()-COUNTIF($F$6:INDEX($F:$F, ROW()-1), $F489)) : INDEX(AA:AA, ROW()-1)),
   AVERAGEIFS(
     INDEX((unit_details[Effective Rent],unit_details[Effective PSF]),0,1,IF($U$3="Chunk Rent",1,2)),
     unit_details[Leased Date],"&gt;="&amp;($AM$2-X$5),
     unit_details[Leased Date],"&lt;"&amp;$AM$2,
     unit_details[Beds],$L490,
     unit_details[Baths],$M490,
     unit_details[Partial Baths],IF(ISNUMBER($N490),$N490,""),
     unit_details[Sqft],$P490,
     unit_details[Property Name],$F490)
 ),"")</f>
        <v/>
      </c>
      <c r="Z490" s="27" t="str">
        <f t="shared" si="88"/>
        <v/>
      </c>
      <c r="AA490" s="526">
        <f>IFERROR(
  IF($F490="Total",
    SUM(INDEX(AA:AA, ROW()-COUNTIF($F$6:INDEX($F:$F, ROW()-1), $F489)) : INDEX(AA:AA, ROW()-1)),
    COUNTIFS(
      unit_details[Leased Date], "&gt;="&amp;($AM$2-X$5),
      unit_details[Leased Date], "&lt;"&amp;$AM$2,
      unit_details[Beds], $L490,
      unit_details[Baths], $M490,
      unit_details[Partial Baths], IF(ISNUMBER($N490), $N490, ""),
      unit_details[Sqft],$P490,
      unit_details[Property Name], $F490
    )
  ),
"")</f>
        <v>0</v>
      </c>
      <c r="AB490" s="290">
        <f>IF($F490="Total",
SUM(INDEX(AB:AB, ROW()-COUNTIF($F$6:INDEX($F:$F, ROW()-1), $F489)) : INDEX(AB:AB, ROW()-1)),
COUNTIFS(unit_details[Active Listing?],TRUE,
          unit_details[Property Name], $F490,
          unit_details[Beds], $L490,
          unit_details[Baths], $M490,
          unit_details[Partial Baths],IF(ISNUMBER($N490),$N490,""),
          unit_details[Sqft],$P490))</f>
        <v>0</v>
      </c>
      <c r="AC490" s="27" t="str">
        <f t="shared" si="80"/>
        <v/>
      </c>
      <c r="AD490" s="293" t="str">
        <f>IFERROR(IF(AE490="","",IF($F490="Total",
SUMPRODUCT(
   INDEX(AD:AD, ROW()-COUNTIF($F$6:INDEX($F:$F, ROW()-1), $F489)) : INDEX(AD:AD, ROW()-1),
   INDEX(AB:AB, ROW()-COUNTIF($F$6:INDEX($F:$F, ROW()-1), $F489)) : INDEX(AB:AB, ROW()-1)
   )
   /SUM(INDEX(AB:AB, ROW()-COUNTIF($F$6:INDEX($F:$F, ROW()-1), $F489)) : INDEX(AB:AB, ROW()-1)),
          _xlfn.MINIFS(unit_details[Asking Rent],
          unit_details[Active Listing?],TRUE,
          unit_details[Property Name], $F490,
          unit_details[Beds], $L490,
          unit_details[Baths], $M490,
          unit_details[Partial Baths], IF(ISNUMBER($N490),$N490,""),
          unit_details[Sqft],$P490
))),"")</f>
        <v/>
      </c>
      <c r="AE490" s="5" t="str">
        <f>IFERROR(IF($F490="Total",
          SUMPRODUCT(
   INDEX(AE:AE, ROW()-COUNTIF($F$6:INDEX($F:$F, ROW()-1), $F489)) : INDEX(AE:AE, ROW()-1),
   INDEX(AB:AB, ROW()-COUNTIF($F$6:INDEX($F:$F, ROW()-1), $F489)) : INDEX(AB:AB, ROW()-1)
   )
   /SUM(INDEX(AB:AB, ROW()-COUNTIF($F$6:INDEX($F:$F, ROW()-1), $F489)) : INDEX(AB:AB, ROW()-1)),
          AVERAGEIFS(unit_details[Asking Rent],
          unit_details[Active Listing?],TRUE,
          unit_details[Property Name], $F490,
          unit_details[Beds], $L490,
          unit_details[Baths], $M490,
          unit_details[Partial Baths], IF(ISNUMBER($N490),$N490,""),
          unit_details[Sqft],$P490
)),"")</f>
        <v/>
      </c>
      <c r="AF490" s="5" t="str">
        <f>IFERROR(IF(AE490="","",IF($F490="Total",
SUMPRODUCT(
   INDEX(AF:AF, ROW()-COUNTIF($F$6:INDEX($F:$F, ROW()-1), $F489)) : INDEX(AF:AF, ROW()-1),
   INDEX(AB:AB, ROW()-COUNTIF($F$6:INDEX($F:$F, ROW()-1), $F489)) : INDEX(AB:AB, ROW()-1)
   )
   /SUM(INDEX(AB:AB, ROW()-COUNTIF($F$6:INDEX($F:$F, ROW()-1), $F489)) : INDEX(AB:AB, ROW()-1)),
           _xlfn.MAXIFS(unit_details[Asking Rent],
          unit_details[Active Listing?],TRUE,
          unit_details[Property Name], $F490,
          unit_details[Beds], $L490,
          unit_details[Baths], $M490,
          unit_details[Partial Baths], IF(ISNUMBER($N490),$N490,""),
          unit_details[Sqft],$P490
))),"")</f>
        <v/>
      </c>
      <c r="AG490" s="6" t="str">
        <f>IFERROR(IF($F490="Total",
         SUMPRODUCT(
         INDEX(AG:AG, ROW()-COUNTIF($F$6:INDEX($F:$F, ROW()-1), $F489)) : INDEX(AG:AG, ROW()-1),
         INDEX(AB:AB, ROW()-COUNTIF($F$6:INDEX($F:$F, ROW()-1), $F489)) : INDEX(AB:AB, ROW()-1)
         )
         /SUM(INDEX(AB:AB, ROW()-COUNTIF($F$6:INDEX($F:$F, ROW()-1), $F489)) : INDEX(AB:AB, ROW()-1)),
          AVERAGEIFS(unit_details[Asking PSF],
          unit_details[Active Listing?],TRUE,
          unit_details[Property Name], $F490,
          unit_details[Beds], $L490,
          unit_details[Baths], $M490,
          unit_details[Partial Baths], IF(ISNUMBER($N490),$N490,""),
          unit_details[Sqft],$P490
)),"")</f>
        <v/>
      </c>
      <c r="AH490" s="293" t="str">
        <f>IFERROR(IF($F490="Total",
         SUMPRODUCT(
         INDEX(AH:AH, ROW()-COUNTIF($F$6:INDEX($F:$F, ROW()-1), $F489)) : INDEX(AH:AH, ROW()-1),
         INDEX(AB:AB, ROW()-COUNTIF($F$6:INDEX($F:$F, ROW()-1), $F489)) : INDEX(AB:AB, ROW()-1)
         )
         /SUM(INDEX(AB:AB, ROW()-COUNTIF($F$6:INDEX($F:$F, ROW()-1), $F489)) : INDEX(AB:AB, ROW()-1)),
          AVERAGEIFS(unit_details[Effective Rent],
          unit_details[Active Listing?],TRUE,
          unit_details[Property Name], $F490,
          unit_details[Beds], $L490,
          unit_details[Baths], $M490,
          unit_details[Partial Baths], IF(ISNUMBER($N490),$N490,""),
          unit_details[Sqft],$P490
)),"")</f>
        <v/>
      </c>
      <c r="AI490" s="6" t="str">
        <f>IFERROR(IF($F490="Total",
         SUMPRODUCT(
         INDEX(AI:AI, ROW()-COUNTIF($F$6:INDEX($F:$F, ROW()-1), $F489)) : INDEX(AI:AI, ROW()-1),
         INDEX(AB:AB, ROW()-COUNTIF($F$6:INDEX($F:$F, ROW()-1), $F489)) : INDEX(AB:AB, ROW()-1)
         )
         /SUM(INDEX(AB:AB, ROW()-COUNTIF($F$6:INDEX($F:$F, ROW()-1), $F489)) : INDEX(AB:AB, ROW()-1)),
           AVERAGEIFS(unit_details[Effective PSF],
          unit_details[Active Listing?],TRUE,
          unit_details[Property Name], $F490,
          unit_details[Beds], $L490,
          unit_details[Baths], $M490,
          unit_details[Partial Baths], IF(ISNUMBER($N490),$N490,""),
          unit_details[Sqft],$P490
)),"")</f>
        <v/>
      </c>
      <c r="AJ490" s="824" t="str">
        <f t="shared" si="81"/>
        <v/>
      </c>
      <c r="AK490" s="531" t="str">
        <f t="shared" si="82"/>
        <v/>
      </c>
      <c r="AL490" s="714" t="str">
        <f t="shared" si="83"/>
        <v/>
      </c>
      <c r="AM490" s="531" t="str">
        <f t="shared" si="84"/>
        <v/>
      </c>
      <c r="AN490" s="716" t="str">
        <f t="shared" si="85"/>
        <v/>
      </c>
    </row>
    <row r="491" spans="6:40" x14ac:dyDescent="0.2">
      <c r="F491" s="1" t="str">
        <f t="shared" si="78"/>
        <v/>
      </c>
      <c r="G491" s="713" t="str">
        <f t="shared" si="86"/>
        <v/>
      </c>
      <c r="H491" s="17" t="str">
        <f>IFERROR(VLOOKUP($G491,Table1[[Property]:[Exposure %]],4,0),"")</f>
        <v/>
      </c>
      <c r="I491" s="3" t="str">
        <f>IFERROR(VLOOKUP($G491,Table1[[Property]:[Exposure %]],6,0),"")</f>
        <v/>
      </c>
      <c r="J491" s="3" t="str">
        <f>IFERROR(VLOOKUP($G491,Table1[[Property]:[Exposure %]],7,0),"")</f>
        <v/>
      </c>
      <c r="R491" s="4" t="str">
        <f>IFERROR(VLOOKUP(IF(F491="Total",F490,F491),Table1[[Property]:['# Units]],7,0)*S491,"")</f>
        <v/>
      </c>
      <c r="S491" s="27" t="str">
        <f t="shared" si="79"/>
        <v/>
      </c>
      <c r="T491" s="531" t="str">
        <f>IFERROR(
 IF($F491="Total",
   SUMPRODUCT(
   INDEX(T:T, ROW()-COUNTIF($F$6:INDEX($F:$F, ROW()-1), $F490)) : INDEX(T:T, ROW()-1),
   INDEX(W:W, ROW()-COUNTIF($F$6:INDEX($F:$F, ROW()-1), $F490)) : INDEX(W:W, ROW()-1)
   )
   /SUM(INDEX(W:W, ROW()-COUNTIF($F$6:INDEX($F:$F, ROW()-1), $F490)) : INDEX(W:W, ROW()-1)),
   AVERAGEIFS(
     INDEX((unit_details[Asking Rent],unit_details[Asking PSF]),0,1,IF($U$3="Chunk Rent",1,2)),
     unit_details[Leased Date],"&gt;="&amp;($AM$2-T$5),
     unit_details[Leased Date],"&lt;"&amp;$AM$2,
     unit_details[Beds],$L491,
     unit_details[Baths],$M491,
     unit_details[Partial Baths],IF(ISNUMBER($N491),$N491,""),
     unit_details[Sqft],$P491,
     unit_details[Property Name],$F491)
 ),"")</f>
        <v/>
      </c>
      <c r="U491" s="552" t="str">
        <f>IFERROR(
 IF($F491="Total",
   SUMPRODUCT(
   INDEX(U:U, ROW()-COUNTIF($F$6:INDEX($F:$F, ROW()-1), $F490)) : INDEX(U:U, ROW()-1),
   INDEX(W:W, ROW()-COUNTIF($F$6:INDEX($F:$F, ROW()-1), $F490)) : INDEX(W:W, ROW()-1)
   )
   /SUM(INDEX(W:W, ROW()-COUNTIF($F$6:INDEX($F:$F, ROW()-1), $F490)) : INDEX(W:W, ROW()-1)),
   AVERAGEIFS(
     INDEX((unit_details[Effective Rent],unit_details[Effective PSF]),0,1,IF($U$3="Chunk Rent",1,2)),
     unit_details[Leased Date],"&gt;="&amp;($AM$2-T$5),
     unit_details[Leased Date],"&lt;"&amp;$AM$2,
     unit_details[Beds],$L491,
     unit_details[Baths],$M491,
     unit_details[Partial Baths],IF(ISNUMBER($N491),$N491,""),
     unit_details[Sqft],$P491,
     unit_details[Property Name],$F491)
 ),"")</f>
        <v/>
      </c>
      <c r="V491" s="27" t="str">
        <f t="shared" si="87"/>
        <v/>
      </c>
      <c r="W491" s="526">
        <f>IFERROR(
  IF($F491="Total",
    SUM(INDEX(W:W, ROW()-COUNTIF($F$6:INDEX($F:$F, ROW()-1), $F490)) : INDEX(W:W, ROW()-1)),
    COUNTIFS(
      unit_details[Leased Date], "&gt;="&amp;($AM$2-T$5),
      unit_details[Leased Date], "&lt;"&amp;$AM$2,
      unit_details[Beds], $L491,
      unit_details[Baths], $M491,
      unit_details[Partial Baths], IF(ISNUMBER($N491), $N491, ""),
      unit_details[Sqft],$P491,
      unit_details[Property Name], $F491
    )
  ),
"")</f>
        <v>0</v>
      </c>
      <c r="X491" s="531" t="str">
        <f>IFERROR(
 IF($F491="Total",
   SUMPRODUCT(
   INDEX(X:X, ROW()-COUNTIF($F$6:INDEX($F:$F, ROW()-1), $F490)) : INDEX(X:X, ROW()-1),
   INDEX(AA:AA, ROW()-COUNTIF($F$6:INDEX($F:$F, ROW()-1), $F490)) : INDEX(AA:AA, ROW()-1)
   )
   /SUM(INDEX(AA:AA, ROW()-COUNTIF($F$6:INDEX($F:$F, ROW()-1), $F490)) : INDEX(AA:AA, ROW()-1)),
   AVERAGEIFS(
     INDEX((unit_details[Asking Rent],unit_details[Asking PSF]),0,1,IF($U$3="Chunk Rent",1,2)),
     unit_details[Leased Date],"&gt;="&amp;($AM$2-X$5),
     unit_details[Leased Date],"&lt;"&amp;$AM$2,
     unit_details[Beds],$L491,
     unit_details[Baths],$M491,
     unit_details[Partial Baths],IF(ISNUMBER($N491),$N491,""),
     unit_details[Sqft],$P491,
     unit_details[Property Name],$F491)
 ),"")</f>
        <v/>
      </c>
      <c r="Y491" s="552" t="str">
        <f>IFERROR(
 IF($F491="Total",
   SUMPRODUCT(
   INDEX(Y:Y, ROW()-COUNTIF($F$6:INDEX($F:$F, ROW()-1), $F490)) : INDEX(Y:Y, ROW()-1),
   INDEX(AA:AA, ROW()-COUNTIF($F$6:INDEX($F:$F, ROW()-1), $F490)) : INDEX(AA:AA, ROW()-1)
   )
   /SUM(INDEX(AA:AA, ROW()-COUNTIF($F$6:INDEX($F:$F, ROW()-1), $F490)) : INDEX(AA:AA, ROW()-1)),
   AVERAGEIFS(
     INDEX((unit_details[Effective Rent],unit_details[Effective PSF]),0,1,IF($U$3="Chunk Rent",1,2)),
     unit_details[Leased Date],"&gt;="&amp;($AM$2-X$5),
     unit_details[Leased Date],"&lt;"&amp;$AM$2,
     unit_details[Beds],$L491,
     unit_details[Baths],$M491,
     unit_details[Partial Baths],IF(ISNUMBER($N491),$N491,""),
     unit_details[Sqft],$P491,
     unit_details[Property Name],$F491)
 ),"")</f>
        <v/>
      </c>
      <c r="Z491" s="27" t="str">
        <f t="shared" si="88"/>
        <v/>
      </c>
      <c r="AA491" s="526">
        <f>IFERROR(
  IF($F491="Total",
    SUM(INDEX(AA:AA, ROW()-COUNTIF($F$6:INDEX($F:$F, ROW()-1), $F490)) : INDEX(AA:AA, ROW()-1)),
    COUNTIFS(
      unit_details[Leased Date], "&gt;="&amp;($AM$2-X$5),
      unit_details[Leased Date], "&lt;"&amp;$AM$2,
      unit_details[Beds], $L491,
      unit_details[Baths], $M491,
      unit_details[Partial Baths], IF(ISNUMBER($N491), $N491, ""),
      unit_details[Sqft],$P491,
      unit_details[Property Name], $F491
    )
  ),
"")</f>
        <v>0</v>
      </c>
      <c r="AB491" s="290">
        <f>IF($F491="Total",
SUM(INDEX(AB:AB, ROW()-COUNTIF($F$6:INDEX($F:$F, ROW()-1), $F490)) : INDEX(AB:AB, ROW()-1)),
COUNTIFS(unit_details[Active Listing?],TRUE,
          unit_details[Property Name], $F491,
          unit_details[Beds], $L491,
          unit_details[Baths], $M491,
          unit_details[Partial Baths],IF(ISNUMBER($N491),$N491,""),
          unit_details[Sqft],$P491))</f>
        <v>0</v>
      </c>
      <c r="AC491" s="27" t="str">
        <f t="shared" si="80"/>
        <v/>
      </c>
      <c r="AD491" s="293" t="str">
        <f>IFERROR(IF(AE491="","",IF($F491="Total",
SUMPRODUCT(
   INDEX(AD:AD, ROW()-COUNTIF($F$6:INDEX($F:$F, ROW()-1), $F490)) : INDEX(AD:AD, ROW()-1),
   INDEX(AB:AB, ROW()-COUNTIF($F$6:INDEX($F:$F, ROW()-1), $F490)) : INDEX(AB:AB, ROW()-1)
   )
   /SUM(INDEX(AB:AB, ROW()-COUNTIF($F$6:INDEX($F:$F, ROW()-1), $F490)) : INDEX(AB:AB, ROW()-1)),
          _xlfn.MINIFS(unit_details[Asking Rent],
          unit_details[Active Listing?],TRUE,
          unit_details[Property Name], $F491,
          unit_details[Beds], $L491,
          unit_details[Baths], $M491,
          unit_details[Partial Baths], IF(ISNUMBER($N491),$N491,""),
          unit_details[Sqft],$P491
))),"")</f>
        <v/>
      </c>
      <c r="AE491" s="5" t="str">
        <f>IFERROR(IF($F491="Total",
          SUMPRODUCT(
   INDEX(AE:AE, ROW()-COUNTIF($F$6:INDEX($F:$F, ROW()-1), $F490)) : INDEX(AE:AE, ROW()-1),
   INDEX(AB:AB, ROW()-COUNTIF($F$6:INDEX($F:$F, ROW()-1), $F490)) : INDEX(AB:AB, ROW()-1)
   )
   /SUM(INDEX(AB:AB, ROW()-COUNTIF($F$6:INDEX($F:$F, ROW()-1), $F490)) : INDEX(AB:AB, ROW()-1)),
          AVERAGEIFS(unit_details[Asking Rent],
          unit_details[Active Listing?],TRUE,
          unit_details[Property Name], $F491,
          unit_details[Beds], $L491,
          unit_details[Baths], $M491,
          unit_details[Partial Baths], IF(ISNUMBER($N491),$N491,""),
          unit_details[Sqft],$P491
)),"")</f>
        <v/>
      </c>
      <c r="AF491" s="5" t="str">
        <f>IFERROR(IF(AE491="","",IF($F491="Total",
SUMPRODUCT(
   INDEX(AF:AF, ROW()-COUNTIF($F$6:INDEX($F:$F, ROW()-1), $F490)) : INDEX(AF:AF, ROW()-1),
   INDEX(AB:AB, ROW()-COUNTIF($F$6:INDEX($F:$F, ROW()-1), $F490)) : INDEX(AB:AB, ROW()-1)
   )
   /SUM(INDEX(AB:AB, ROW()-COUNTIF($F$6:INDEX($F:$F, ROW()-1), $F490)) : INDEX(AB:AB, ROW()-1)),
           _xlfn.MAXIFS(unit_details[Asking Rent],
          unit_details[Active Listing?],TRUE,
          unit_details[Property Name], $F491,
          unit_details[Beds], $L491,
          unit_details[Baths], $M491,
          unit_details[Partial Baths], IF(ISNUMBER($N491),$N491,""),
          unit_details[Sqft],$P491
))),"")</f>
        <v/>
      </c>
      <c r="AG491" s="6" t="str">
        <f>IFERROR(IF($F491="Total",
         SUMPRODUCT(
         INDEX(AG:AG, ROW()-COUNTIF($F$6:INDEX($F:$F, ROW()-1), $F490)) : INDEX(AG:AG, ROW()-1),
         INDEX(AB:AB, ROW()-COUNTIF($F$6:INDEX($F:$F, ROW()-1), $F490)) : INDEX(AB:AB, ROW()-1)
         )
         /SUM(INDEX(AB:AB, ROW()-COUNTIF($F$6:INDEX($F:$F, ROW()-1), $F490)) : INDEX(AB:AB, ROW()-1)),
          AVERAGEIFS(unit_details[Asking PSF],
          unit_details[Active Listing?],TRUE,
          unit_details[Property Name], $F491,
          unit_details[Beds], $L491,
          unit_details[Baths], $M491,
          unit_details[Partial Baths], IF(ISNUMBER($N491),$N491,""),
          unit_details[Sqft],$P491
)),"")</f>
        <v/>
      </c>
      <c r="AH491" s="293" t="str">
        <f>IFERROR(IF($F491="Total",
         SUMPRODUCT(
         INDEX(AH:AH, ROW()-COUNTIF($F$6:INDEX($F:$F, ROW()-1), $F490)) : INDEX(AH:AH, ROW()-1),
         INDEX(AB:AB, ROW()-COUNTIF($F$6:INDEX($F:$F, ROW()-1), $F490)) : INDEX(AB:AB, ROW()-1)
         )
         /SUM(INDEX(AB:AB, ROW()-COUNTIF($F$6:INDEX($F:$F, ROW()-1), $F490)) : INDEX(AB:AB, ROW()-1)),
          AVERAGEIFS(unit_details[Effective Rent],
          unit_details[Active Listing?],TRUE,
          unit_details[Property Name], $F491,
          unit_details[Beds], $L491,
          unit_details[Baths], $M491,
          unit_details[Partial Baths], IF(ISNUMBER($N491),$N491,""),
          unit_details[Sqft],$P491
)),"")</f>
        <v/>
      </c>
      <c r="AI491" s="6" t="str">
        <f>IFERROR(IF($F491="Total",
         SUMPRODUCT(
         INDEX(AI:AI, ROW()-COUNTIF($F$6:INDEX($F:$F, ROW()-1), $F490)) : INDEX(AI:AI, ROW()-1),
         INDEX(AB:AB, ROW()-COUNTIF($F$6:INDEX($F:$F, ROW()-1), $F490)) : INDEX(AB:AB, ROW()-1)
         )
         /SUM(INDEX(AB:AB, ROW()-COUNTIF($F$6:INDEX($F:$F, ROW()-1), $F490)) : INDEX(AB:AB, ROW()-1)),
           AVERAGEIFS(unit_details[Effective PSF],
          unit_details[Active Listing?],TRUE,
          unit_details[Property Name], $F491,
          unit_details[Beds], $L491,
          unit_details[Baths], $M491,
          unit_details[Partial Baths], IF(ISNUMBER($N491),$N491,""),
          unit_details[Sqft],$P491
)),"")</f>
        <v/>
      </c>
      <c r="AJ491" s="824" t="str">
        <f t="shared" si="81"/>
        <v/>
      </c>
      <c r="AK491" s="531" t="str">
        <f t="shared" si="82"/>
        <v/>
      </c>
      <c r="AL491" s="714" t="str">
        <f t="shared" si="83"/>
        <v/>
      </c>
      <c r="AM491" s="531" t="str">
        <f t="shared" si="84"/>
        <v/>
      </c>
      <c r="AN491" s="716" t="str">
        <f t="shared" si="85"/>
        <v/>
      </c>
    </row>
    <row r="492" spans="6:40" x14ac:dyDescent="0.2">
      <c r="F492" s="1" t="str">
        <f t="shared" si="78"/>
        <v/>
      </c>
      <c r="G492" s="713" t="str">
        <f t="shared" si="86"/>
        <v/>
      </c>
      <c r="H492" s="17" t="str">
        <f>IFERROR(VLOOKUP($G492,Table1[[Property]:[Exposure %]],4,0),"")</f>
        <v/>
      </c>
      <c r="I492" s="3" t="str">
        <f>IFERROR(VLOOKUP($G492,Table1[[Property]:[Exposure %]],6,0),"")</f>
        <v/>
      </c>
      <c r="J492" s="3" t="str">
        <f>IFERROR(VLOOKUP($G492,Table1[[Property]:[Exposure %]],7,0),"")</f>
        <v/>
      </c>
      <c r="R492" s="4" t="str">
        <f>IFERROR(VLOOKUP(IF(F492="Total",F491,F492),Table1[[Property]:['# Units]],7,0)*S492,"")</f>
        <v/>
      </c>
      <c r="S492" s="27" t="str">
        <f t="shared" si="79"/>
        <v/>
      </c>
      <c r="T492" s="531" t="str">
        <f>IFERROR(
 IF($F492="Total",
   SUMPRODUCT(
   INDEX(T:T, ROW()-COUNTIF($F$6:INDEX($F:$F, ROW()-1), $F491)) : INDEX(T:T, ROW()-1),
   INDEX(W:W, ROW()-COUNTIF($F$6:INDEX($F:$F, ROW()-1), $F491)) : INDEX(W:W, ROW()-1)
   )
   /SUM(INDEX(W:W, ROW()-COUNTIF($F$6:INDEX($F:$F, ROW()-1), $F491)) : INDEX(W:W, ROW()-1)),
   AVERAGEIFS(
     INDEX((unit_details[Asking Rent],unit_details[Asking PSF]),0,1,IF($U$3="Chunk Rent",1,2)),
     unit_details[Leased Date],"&gt;="&amp;($AM$2-T$5),
     unit_details[Leased Date],"&lt;"&amp;$AM$2,
     unit_details[Beds],$L492,
     unit_details[Baths],$M492,
     unit_details[Partial Baths],IF(ISNUMBER($N492),$N492,""),
     unit_details[Sqft],$P492,
     unit_details[Property Name],$F492)
 ),"")</f>
        <v/>
      </c>
      <c r="U492" s="552" t="str">
        <f>IFERROR(
 IF($F492="Total",
   SUMPRODUCT(
   INDEX(U:U, ROW()-COUNTIF($F$6:INDEX($F:$F, ROW()-1), $F491)) : INDEX(U:U, ROW()-1),
   INDEX(W:W, ROW()-COUNTIF($F$6:INDEX($F:$F, ROW()-1), $F491)) : INDEX(W:W, ROW()-1)
   )
   /SUM(INDEX(W:W, ROW()-COUNTIF($F$6:INDEX($F:$F, ROW()-1), $F491)) : INDEX(W:W, ROW()-1)),
   AVERAGEIFS(
     INDEX((unit_details[Effective Rent],unit_details[Effective PSF]),0,1,IF($U$3="Chunk Rent",1,2)),
     unit_details[Leased Date],"&gt;="&amp;($AM$2-T$5),
     unit_details[Leased Date],"&lt;"&amp;$AM$2,
     unit_details[Beds],$L492,
     unit_details[Baths],$M492,
     unit_details[Partial Baths],IF(ISNUMBER($N492),$N492,""),
     unit_details[Sqft],$P492,
     unit_details[Property Name],$F492)
 ),"")</f>
        <v/>
      </c>
      <c r="V492" s="27" t="str">
        <f t="shared" si="87"/>
        <v/>
      </c>
      <c r="W492" s="526">
        <f>IFERROR(
  IF($F492="Total",
    SUM(INDEX(W:W, ROW()-COUNTIF($F$6:INDEX($F:$F, ROW()-1), $F491)) : INDEX(W:W, ROW()-1)),
    COUNTIFS(
      unit_details[Leased Date], "&gt;="&amp;($AM$2-T$5),
      unit_details[Leased Date], "&lt;"&amp;$AM$2,
      unit_details[Beds], $L492,
      unit_details[Baths], $M492,
      unit_details[Partial Baths], IF(ISNUMBER($N492), $N492, ""),
      unit_details[Sqft],$P492,
      unit_details[Property Name], $F492
    )
  ),
"")</f>
        <v>0</v>
      </c>
      <c r="X492" s="531" t="str">
        <f>IFERROR(
 IF($F492="Total",
   SUMPRODUCT(
   INDEX(X:X, ROW()-COUNTIF($F$6:INDEX($F:$F, ROW()-1), $F491)) : INDEX(X:X, ROW()-1),
   INDEX(AA:AA, ROW()-COUNTIF($F$6:INDEX($F:$F, ROW()-1), $F491)) : INDEX(AA:AA, ROW()-1)
   )
   /SUM(INDEX(AA:AA, ROW()-COUNTIF($F$6:INDEX($F:$F, ROW()-1), $F491)) : INDEX(AA:AA, ROW()-1)),
   AVERAGEIFS(
     INDEX((unit_details[Asking Rent],unit_details[Asking PSF]),0,1,IF($U$3="Chunk Rent",1,2)),
     unit_details[Leased Date],"&gt;="&amp;($AM$2-X$5),
     unit_details[Leased Date],"&lt;"&amp;$AM$2,
     unit_details[Beds],$L492,
     unit_details[Baths],$M492,
     unit_details[Partial Baths],IF(ISNUMBER($N492),$N492,""),
     unit_details[Sqft],$P492,
     unit_details[Property Name],$F492)
 ),"")</f>
        <v/>
      </c>
      <c r="Y492" s="552" t="str">
        <f>IFERROR(
 IF($F492="Total",
   SUMPRODUCT(
   INDEX(Y:Y, ROW()-COUNTIF($F$6:INDEX($F:$F, ROW()-1), $F491)) : INDEX(Y:Y, ROW()-1),
   INDEX(AA:AA, ROW()-COUNTIF($F$6:INDEX($F:$F, ROW()-1), $F491)) : INDEX(AA:AA, ROW()-1)
   )
   /SUM(INDEX(AA:AA, ROW()-COUNTIF($F$6:INDEX($F:$F, ROW()-1), $F491)) : INDEX(AA:AA, ROW()-1)),
   AVERAGEIFS(
     INDEX((unit_details[Effective Rent],unit_details[Effective PSF]),0,1,IF($U$3="Chunk Rent",1,2)),
     unit_details[Leased Date],"&gt;="&amp;($AM$2-X$5),
     unit_details[Leased Date],"&lt;"&amp;$AM$2,
     unit_details[Beds],$L492,
     unit_details[Baths],$M492,
     unit_details[Partial Baths],IF(ISNUMBER($N492),$N492,""),
     unit_details[Sqft],$P492,
     unit_details[Property Name],$F492)
 ),"")</f>
        <v/>
      </c>
      <c r="Z492" s="27" t="str">
        <f t="shared" si="88"/>
        <v/>
      </c>
      <c r="AA492" s="526">
        <f>IFERROR(
  IF($F492="Total",
    SUM(INDEX(AA:AA, ROW()-COUNTIF($F$6:INDEX($F:$F, ROW()-1), $F491)) : INDEX(AA:AA, ROW()-1)),
    COUNTIFS(
      unit_details[Leased Date], "&gt;="&amp;($AM$2-X$5),
      unit_details[Leased Date], "&lt;"&amp;$AM$2,
      unit_details[Beds], $L492,
      unit_details[Baths], $M492,
      unit_details[Partial Baths], IF(ISNUMBER($N492), $N492, ""),
      unit_details[Sqft],$P492,
      unit_details[Property Name], $F492
    )
  ),
"")</f>
        <v>0</v>
      </c>
      <c r="AB492" s="290">
        <f>IF($F492="Total",
SUM(INDEX(AB:AB, ROW()-COUNTIF($F$6:INDEX($F:$F, ROW()-1), $F491)) : INDEX(AB:AB, ROW()-1)),
COUNTIFS(unit_details[Active Listing?],TRUE,
          unit_details[Property Name], $F492,
          unit_details[Beds], $L492,
          unit_details[Baths], $M492,
          unit_details[Partial Baths],IF(ISNUMBER($N492),$N492,""),
          unit_details[Sqft],$P492))</f>
        <v>0</v>
      </c>
      <c r="AC492" s="27" t="str">
        <f t="shared" si="80"/>
        <v/>
      </c>
      <c r="AD492" s="293" t="str">
        <f>IFERROR(IF(AE492="","",IF($F492="Total",
SUMPRODUCT(
   INDEX(AD:AD, ROW()-COUNTIF($F$6:INDEX($F:$F, ROW()-1), $F491)) : INDEX(AD:AD, ROW()-1),
   INDEX(AB:AB, ROW()-COUNTIF($F$6:INDEX($F:$F, ROW()-1), $F491)) : INDEX(AB:AB, ROW()-1)
   )
   /SUM(INDEX(AB:AB, ROW()-COUNTIF($F$6:INDEX($F:$F, ROW()-1), $F491)) : INDEX(AB:AB, ROW()-1)),
          _xlfn.MINIFS(unit_details[Asking Rent],
          unit_details[Active Listing?],TRUE,
          unit_details[Property Name], $F492,
          unit_details[Beds], $L492,
          unit_details[Baths], $M492,
          unit_details[Partial Baths], IF(ISNUMBER($N492),$N492,""),
          unit_details[Sqft],$P492
))),"")</f>
        <v/>
      </c>
      <c r="AE492" s="5" t="str">
        <f>IFERROR(IF($F492="Total",
          SUMPRODUCT(
   INDEX(AE:AE, ROW()-COUNTIF($F$6:INDEX($F:$F, ROW()-1), $F491)) : INDEX(AE:AE, ROW()-1),
   INDEX(AB:AB, ROW()-COUNTIF($F$6:INDEX($F:$F, ROW()-1), $F491)) : INDEX(AB:AB, ROW()-1)
   )
   /SUM(INDEX(AB:AB, ROW()-COUNTIF($F$6:INDEX($F:$F, ROW()-1), $F491)) : INDEX(AB:AB, ROW()-1)),
          AVERAGEIFS(unit_details[Asking Rent],
          unit_details[Active Listing?],TRUE,
          unit_details[Property Name], $F492,
          unit_details[Beds], $L492,
          unit_details[Baths], $M492,
          unit_details[Partial Baths], IF(ISNUMBER($N492),$N492,""),
          unit_details[Sqft],$P492
)),"")</f>
        <v/>
      </c>
      <c r="AF492" s="5" t="str">
        <f>IFERROR(IF(AE492="","",IF($F492="Total",
SUMPRODUCT(
   INDEX(AF:AF, ROW()-COUNTIF($F$6:INDEX($F:$F, ROW()-1), $F491)) : INDEX(AF:AF, ROW()-1),
   INDEX(AB:AB, ROW()-COUNTIF($F$6:INDEX($F:$F, ROW()-1), $F491)) : INDEX(AB:AB, ROW()-1)
   )
   /SUM(INDEX(AB:AB, ROW()-COUNTIF($F$6:INDEX($F:$F, ROW()-1), $F491)) : INDEX(AB:AB, ROW()-1)),
           _xlfn.MAXIFS(unit_details[Asking Rent],
          unit_details[Active Listing?],TRUE,
          unit_details[Property Name], $F492,
          unit_details[Beds], $L492,
          unit_details[Baths], $M492,
          unit_details[Partial Baths], IF(ISNUMBER($N492),$N492,""),
          unit_details[Sqft],$P492
))),"")</f>
        <v/>
      </c>
      <c r="AG492" s="6" t="str">
        <f>IFERROR(IF($F492="Total",
         SUMPRODUCT(
         INDEX(AG:AG, ROW()-COUNTIF($F$6:INDEX($F:$F, ROW()-1), $F491)) : INDEX(AG:AG, ROW()-1),
         INDEX(AB:AB, ROW()-COUNTIF($F$6:INDEX($F:$F, ROW()-1), $F491)) : INDEX(AB:AB, ROW()-1)
         )
         /SUM(INDEX(AB:AB, ROW()-COUNTIF($F$6:INDEX($F:$F, ROW()-1), $F491)) : INDEX(AB:AB, ROW()-1)),
          AVERAGEIFS(unit_details[Asking PSF],
          unit_details[Active Listing?],TRUE,
          unit_details[Property Name], $F492,
          unit_details[Beds], $L492,
          unit_details[Baths], $M492,
          unit_details[Partial Baths], IF(ISNUMBER($N492),$N492,""),
          unit_details[Sqft],$P492
)),"")</f>
        <v/>
      </c>
      <c r="AH492" s="293" t="str">
        <f>IFERROR(IF($F492="Total",
         SUMPRODUCT(
         INDEX(AH:AH, ROW()-COUNTIF($F$6:INDEX($F:$F, ROW()-1), $F491)) : INDEX(AH:AH, ROW()-1),
         INDEX(AB:AB, ROW()-COUNTIF($F$6:INDEX($F:$F, ROW()-1), $F491)) : INDEX(AB:AB, ROW()-1)
         )
         /SUM(INDEX(AB:AB, ROW()-COUNTIF($F$6:INDEX($F:$F, ROW()-1), $F491)) : INDEX(AB:AB, ROW()-1)),
          AVERAGEIFS(unit_details[Effective Rent],
          unit_details[Active Listing?],TRUE,
          unit_details[Property Name], $F492,
          unit_details[Beds], $L492,
          unit_details[Baths], $M492,
          unit_details[Partial Baths], IF(ISNUMBER($N492),$N492,""),
          unit_details[Sqft],$P492
)),"")</f>
        <v/>
      </c>
      <c r="AI492" s="6" t="str">
        <f>IFERROR(IF($F492="Total",
         SUMPRODUCT(
         INDEX(AI:AI, ROW()-COUNTIF($F$6:INDEX($F:$F, ROW()-1), $F491)) : INDEX(AI:AI, ROW()-1),
         INDEX(AB:AB, ROW()-COUNTIF($F$6:INDEX($F:$F, ROW()-1), $F491)) : INDEX(AB:AB, ROW()-1)
         )
         /SUM(INDEX(AB:AB, ROW()-COUNTIF($F$6:INDEX($F:$F, ROW()-1), $F491)) : INDEX(AB:AB, ROW()-1)),
           AVERAGEIFS(unit_details[Effective PSF],
          unit_details[Active Listing?],TRUE,
          unit_details[Property Name], $F492,
          unit_details[Beds], $L492,
          unit_details[Baths], $M492,
          unit_details[Partial Baths], IF(ISNUMBER($N492),$N492,""),
          unit_details[Sqft],$P492
)),"")</f>
        <v/>
      </c>
      <c r="AJ492" s="824" t="str">
        <f t="shared" si="81"/>
        <v/>
      </c>
      <c r="AK492" s="531" t="str">
        <f t="shared" si="82"/>
        <v/>
      </c>
      <c r="AL492" s="714" t="str">
        <f t="shared" si="83"/>
        <v/>
      </c>
      <c r="AM492" s="531" t="str">
        <f t="shared" si="84"/>
        <v/>
      </c>
      <c r="AN492" s="716" t="str">
        <f t="shared" si="85"/>
        <v/>
      </c>
    </row>
    <row r="493" spans="6:40" x14ac:dyDescent="0.2">
      <c r="F493" s="1" t="str">
        <f t="shared" si="78"/>
        <v/>
      </c>
      <c r="G493" s="713" t="str">
        <f t="shared" si="86"/>
        <v/>
      </c>
      <c r="H493" s="17" t="str">
        <f>IFERROR(VLOOKUP($G493,Table1[[Property]:[Exposure %]],4,0),"")</f>
        <v/>
      </c>
      <c r="I493" s="3" t="str">
        <f>IFERROR(VLOOKUP($G493,Table1[[Property]:[Exposure %]],6,0),"")</f>
        <v/>
      </c>
      <c r="J493" s="3" t="str">
        <f>IFERROR(VLOOKUP($G493,Table1[[Property]:[Exposure %]],7,0),"")</f>
        <v/>
      </c>
      <c r="R493" s="4" t="str">
        <f>IFERROR(VLOOKUP(IF(F493="Total",F492,F493),Table1[[Property]:['# Units]],7,0)*S493,"")</f>
        <v/>
      </c>
      <c r="S493" s="27" t="str">
        <f t="shared" si="79"/>
        <v/>
      </c>
      <c r="T493" s="531" t="str">
        <f>IFERROR(
 IF($F493="Total",
   SUMPRODUCT(
   INDEX(T:T, ROW()-COUNTIF($F$6:INDEX($F:$F, ROW()-1), $F492)) : INDEX(T:T, ROW()-1),
   INDEX(W:W, ROW()-COUNTIF($F$6:INDEX($F:$F, ROW()-1), $F492)) : INDEX(W:W, ROW()-1)
   )
   /SUM(INDEX(W:W, ROW()-COUNTIF($F$6:INDEX($F:$F, ROW()-1), $F492)) : INDEX(W:W, ROW()-1)),
   AVERAGEIFS(
     INDEX((unit_details[Asking Rent],unit_details[Asking PSF]),0,1,IF($U$3="Chunk Rent",1,2)),
     unit_details[Leased Date],"&gt;="&amp;($AM$2-T$5),
     unit_details[Leased Date],"&lt;"&amp;$AM$2,
     unit_details[Beds],$L493,
     unit_details[Baths],$M493,
     unit_details[Partial Baths],IF(ISNUMBER($N493),$N493,""),
     unit_details[Sqft],$P493,
     unit_details[Property Name],$F493)
 ),"")</f>
        <v/>
      </c>
      <c r="U493" s="552" t="str">
        <f>IFERROR(
 IF($F493="Total",
   SUMPRODUCT(
   INDEX(U:U, ROW()-COUNTIF($F$6:INDEX($F:$F, ROW()-1), $F492)) : INDEX(U:U, ROW()-1),
   INDEX(W:W, ROW()-COUNTIF($F$6:INDEX($F:$F, ROW()-1), $F492)) : INDEX(W:W, ROW()-1)
   )
   /SUM(INDEX(W:W, ROW()-COUNTIF($F$6:INDEX($F:$F, ROW()-1), $F492)) : INDEX(W:W, ROW()-1)),
   AVERAGEIFS(
     INDEX((unit_details[Effective Rent],unit_details[Effective PSF]),0,1,IF($U$3="Chunk Rent",1,2)),
     unit_details[Leased Date],"&gt;="&amp;($AM$2-T$5),
     unit_details[Leased Date],"&lt;"&amp;$AM$2,
     unit_details[Beds],$L493,
     unit_details[Baths],$M493,
     unit_details[Partial Baths],IF(ISNUMBER($N493),$N493,""),
     unit_details[Sqft],$P493,
     unit_details[Property Name],$F493)
 ),"")</f>
        <v/>
      </c>
      <c r="V493" s="27" t="str">
        <f t="shared" si="87"/>
        <v/>
      </c>
      <c r="W493" s="526">
        <f>IFERROR(
  IF($F493="Total",
    SUM(INDEX(W:W, ROW()-COUNTIF($F$6:INDEX($F:$F, ROW()-1), $F492)) : INDEX(W:W, ROW()-1)),
    COUNTIFS(
      unit_details[Leased Date], "&gt;="&amp;($AM$2-T$5),
      unit_details[Leased Date], "&lt;"&amp;$AM$2,
      unit_details[Beds], $L493,
      unit_details[Baths], $M493,
      unit_details[Partial Baths], IF(ISNUMBER($N493), $N493, ""),
      unit_details[Sqft],$P493,
      unit_details[Property Name], $F493
    )
  ),
"")</f>
        <v>0</v>
      </c>
      <c r="X493" s="531" t="str">
        <f>IFERROR(
 IF($F493="Total",
   SUMPRODUCT(
   INDEX(X:X, ROW()-COUNTIF($F$6:INDEX($F:$F, ROW()-1), $F492)) : INDEX(X:X, ROW()-1),
   INDEX(AA:AA, ROW()-COUNTIF($F$6:INDEX($F:$F, ROW()-1), $F492)) : INDEX(AA:AA, ROW()-1)
   )
   /SUM(INDEX(AA:AA, ROW()-COUNTIF($F$6:INDEX($F:$F, ROW()-1), $F492)) : INDEX(AA:AA, ROW()-1)),
   AVERAGEIFS(
     INDEX((unit_details[Asking Rent],unit_details[Asking PSF]),0,1,IF($U$3="Chunk Rent",1,2)),
     unit_details[Leased Date],"&gt;="&amp;($AM$2-X$5),
     unit_details[Leased Date],"&lt;"&amp;$AM$2,
     unit_details[Beds],$L493,
     unit_details[Baths],$M493,
     unit_details[Partial Baths],IF(ISNUMBER($N493),$N493,""),
     unit_details[Sqft],$P493,
     unit_details[Property Name],$F493)
 ),"")</f>
        <v/>
      </c>
      <c r="Y493" s="552" t="str">
        <f>IFERROR(
 IF($F493="Total",
   SUMPRODUCT(
   INDEX(Y:Y, ROW()-COUNTIF($F$6:INDEX($F:$F, ROW()-1), $F492)) : INDEX(Y:Y, ROW()-1),
   INDEX(AA:AA, ROW()-COUNTIF($F$6:INDEX($F:$F, ROW()-1), $F492)) : INDEX(AA:AA, ROW()-1)
   )
   /SUM(INDEX(AA:AA, ROW()-COUNTIF($F$6:INDEX($F:$F, ROW()-1), $F492)) : INDEX(AA:AA, ROW()-1)),
   AVERAGEIFS(
     INDEX((unit_details[Effective Rent],unit_details[Effective PSF]),0,1,IF($U$3="Chunk Rent",1,2)),
     unit_details[Leased Date],"&gt;="&amp;($AM$2-X$5),
     unit_details[Leased Date],"&lt;"&amp;$AM$2,
     unit_details[Beds],$L493,
     unit_details[Baths],$M493,
     unit_details[Partial Baths],IF(ISNUMBER($N493),$N493,""),
     unit_details[Sqft],$P493,
     unit_details[Property Name],$F493)
 ),"")</f>
        <v/>
      </c>
      <c r="Z493" s="27" t="str">
        <f t="shared" si="88"/>
        <v/>
      </c>
      <c r="AA493" s="526">
        <f>IFERROR(
  IF($F493="Total",
    SUM(INDEX(AA:AA, ROW()-COUNTIF($F$6:INDEX($F:$F, ROW()-1), $F492)) : INDEX(AA:AA, ROW()-1)),
    COUNTIFS(
      unit_details[Leased Date], "&gt;="&amp;($AM$2-X$5),
      unit_details[Leased Date], "&lt;"&amp;$AM$2,
      unit_details[Beds], $L493,
      unit_details[Baths], $M493,
      unit_details[Partial Baths], IF(ISNUMBER($N493), $N493, ""),
      unit_details[Sqft],$P493,
      unit_details[Property Name], $F493
    )
  ),
"")</f>
        <v>0</v>
      </c>
      <c r="AB493" s="290">
        <f>IF($F493="Total",
SUM(INDEX(AB:AB, ROW()-COUNTIF($F$6:INDEX($F:$F, ROW()-1), $F492)) : INDEX(AB:AB, ROW()-1)),
COUNTIFS(unit_details[Active Listing?],TRUE,
          unit_details[Property Name], $F493,
          unit_details[Beds], $L493,
          unit_details[Baths], $M493,
          unit_details[Partial Baths],IF(ISNUMBER($N493),$N493,""),
          unit_details[Sqft],$P493))</f>
        <v>0</v>
      </c>
      <c r="AC493" s="27" t="str">
        <f t="shared" si="80"/>
        <v/>
      </c>
      <c r="AD493" s="293" t="str">
        <f>IFERROR(IF(AE493="","",IF($F493="Total",
SUMPRODUCT(
   INDEX(AD:AD, ROW()-COUNTIF($F$6:INDEX($F:$F, ROW()-1), $F492)) : INDEX(AD:AD, ROW()-1),
   INDEX(AB:AB, ROW()-COUNTIF($F$6:INDEX($F:$F, ROW()-1), $F492)) : INDEX(AB:AB, ROW()-1)
   )
   /SUM(INDEX(AB:AB, ROW()-COUNTIF($F$6:INDEX($F:$F, ROW()-1), $F492)) : INDEX(AB:AB, ROW()-1)),
          _xlfn.MINIFS(unit_details[Asking Rent],
          unit_details[Active Listing?],TRUE,
          unit_details[Property Name], $F493,
          unit_details[Beds], $L493,
          unit_details[Baths], $M493,
          unit_details[Partial Baths], IF(ISNUMBER($N493),$N493,""),
          unit_details[Sqft],$P493
))),"")</f>
        <v/>
      </c>
      <c r="AE493" s="5" t="str">
        <f>IFERROR(IF($F493="Total",
          SUMPRODUCT(
   INDEX(AE:AE, ROW()-COUNTIF($F$6:INDEX($F:$F, ROW()-1), $F492)) : INDEX(AE:AE, ROW()-1),
   INDEX(AB:AB, ROW()-COUNTIF($F$6:INDEX($F:$F, ROW()-1), $F492)) : INDEX(AB:AB, ROW()-1)
   )
   /SUM(INDEX(AB:AB, ROW()-COUNTIF($F$6:INDEX($F:$F, ROW()-1), $F492)) : INDEX(AB:AB, ROW()-1)),
          AVERAGEIFS(unit_details[Asking Rent],
          unit_details[Active Listing?],TRUE,
          unit_details[Property Name], $F493,
          unit_details[Beds], $L493,
          unit_details[Baths], $M493,
          unit_details[Partial Baths], IF(ISNUMBER($N493),$N493,""),
          unit_details[Sqft],$P493
)),"")</f>
        <v/>
      </c>
      <c r="AF493" s="5" t="str">
        <f>IFERROR(IF(AE493="","",IF($F493="Total",
SUMPRODUCT(
   INDEX(AF:AF, ROW()-COUNTIF($F$6:INDEX($F:$F, ROW()-1), $F492)) : INDEX(AF:AF, ROW()-1),
   INDEX(AB:AB, ROW()-COUNTIF($F$6:INDEX($F:$F, ROW()-1), $F492)) : INDEX(AB:AB, ROW()-1)
   )
   /SUM(INDEX(AB:AB, ROW()-COUNTIF($F$6:INDEX($F:$F, ROW()-1), $F492)) : INDEX(AB:AB, ROW()-1)),
           _xlfn.MAXIFS(unit_details[Asking Rent],
          unit_details[Active Listing?],TRUE,
          unit_details[Property Name], $F493,
          unit_details[Beds], $L493,
          unit_details[Baths], $M493,
          unit_details[Partial Baths], IF(ISNUMBER($N493),$N493,""),
          unit_details[Sqft],$P493
))),"")</f>
        <v/>
      </c>
      <c r="AG493" s="6" t="str">
        <f>IFERROR(IF($F493="Total",
         SUMPRODUCT(
         INDEX(AG:AG, ROW()-COUNTIF($F$6:INDEX($F:$F, ROW()-1), $F492)) : INDEX(AG:AG, ROW()-1),
         INDEX(AB:AB, ROW()-COUNTIF($F$6:INDEX($F:$F, ROW()-1), $F492)) : INDEX(AB:AB, ROW()-1)
         )
         /SUM(INDEX(AB:AB, ROW()-COUNTIF($F$6:INDEX($F:$F, ROW()-1), $F492)) : INDEX(AB:AB, ROW()-1)),
          AVERAGEIFS(unit_details[Asking PSF],
          unit_details[Active Listing?],TRUE,
          unit_details[Property Name], $F493,
          unit_details[Beds], $L493,
          unit_details[Baths], $M493,
          unit_details[Partial Baths], IF(ISNUMBER($N493),$N493,""),
          unit_details[Sqft],$P493
)),"")</f>
        <v/>
      </c>
      <c r="AH493" s="293" t="str">
        <f>IFERROR(IF($F493="Total",
         SUMPRODUCT(
         INDEX(AH:AH, ROW()-COUNTIF($F$6:INDEX($F:$F, ROW()-1), $F492)) : INDEX(AH:AH, ROW()-1),
         INDEX(AB:AB, ROW()-COUNTIF($F$6:INDEX($F:$F, ROW()-1), $F492)) : INDEX(AB:AB, ROW()-1)
         )
         /SUM(INDEX(AB:AB, ROW()-COUNTIF($F$6:INDEX($F:$F, ROW()-1), $F492)) : INDEX(AB:AB, ROW()-1)),
          AVERAGEIFS(unit_details[Effective Rent],
          unit_details[Active Listing?],TRUE,
          unit_details[Property Name], $F493,
          unit_details[Beds], $L493,
          unit_details[Baths], $M493,
          unit_details[Partial Baths], IF(ISNUMBER($N493),$N493,""),
          unit_details[Sqft],$P493
)),"")</f>
        <v/>
      </c>
      <c r="AI493" s="6" t="str">
        <f>IFERROR(IF($F493="Total",
         SUMPRODUCT(
         INDEX(AI:AI, ROW()-COUNTIF($F$6:INDEX($F:$F, ROW()-1), $F492)) : INDEX(AI:AI, ROW()-1),
         INDEX(AB:AB, ROW()-COUNTIF($F$6:INDEX($F:$F, ROW()-1), $F492)) : INDEX(AB:AB, ROW()-1)
         )
         /SUM(INDEX(AB:AB, ROW()-COUNTIF($F$6:INDEX($F:$F, ROW()-1), $F492)) : INDEX(AB:AB, ROW()-1)),
           AVERAGEIFS(unit_details[Effective PSF],
          unit_details[Active Listing?],TRUE,
          unit_details[Property Name], $F493,
          unit_details[Beds], $L493,
          unit_details[Baths], $M493,
          unit_details[Partial Baths], IF(ISNUMBER($N493),$N493,""),
          unit_details[Sqft],$P493
)),"")</f>
        <v/>
      </c>
      <c r="AJ493" s="824" t="str">
        <f t="shared" si="81"/>
        <v/>
      </c>
      <c r="AK493" s="531" t="str">
        <f t="shared" si="82"/>
        <v/>
      </c>
      <c r="AL493" s="714" t="str">
        <f t="shared" si="83"/>
        <v/>
      </c>
      <c r="AM493" s="531" t="str">
        <f t="shared" si="84"/>
        <v/>
      </c>
      <c r="AN493" s="716" t="str">
        <f t="shared" si="85"/>
        <v/>
      </c>
    </row>
    <row r="494" spans="6:40" x14ac:dyDescent="0.2">
      <c r="F494" s="1" t="str">
        <f t="shared" si="78"/>
        <v/>
      </c>
      <c r="G494" s="713" t="str">
        <f t="shared" si="86"/>
        <v/>
      </c>
      <c r="H494" s="17" t="str">
        <f>IFERROR(VLOOKUP($G494,Table1[[Property]:[Exposure %]],4,0),"")</f>
        <v/>
      </c>
      <c r="I494" s="3" t="str">
        <f>IFERROR(VLOOKUP($G494,Table1[[Property]:[Exposure %]],6,0),"")</f>
        <v/>
      </c>
      <c r="J494" s="3" t="str">
        <f>IFERROR(VLOOKUP($G494,Table1[[Property]:[Exposure %]],7,0),"")</f>
        <v/>
      </c>
      <c r="R494" s="4" t="str">
        <f>IFERROR(VLOOKUP(IF(F494="Total",F493,F494),Table1[[Property]:['# Units]],7,0)*S494,"")</f>
        <v/>
      </c>
      <c r="S494" s="27" t="str">
        <f t="shared" si="79"/>
        <v/>
      </c>
      <c r="T494" s="531" t="str">
        <f>IFERROR(
 IF($F494="Total",
   SUMPRODUCT(
   INDEX(T:T, ROW()-COUNTIF($F$6:INDEX($F:$F, ROW()-1), $F493)) : INDEX(T:T, ROW()-1),
   INDEX(W:W, ROW()-COUNTIF($F$6:INDEX($F:$F, ROW()-1), $F493)) : INDEX(W:W, ROW()-1)
   )
   /SUM(INDEX(W:W, ROW()-COUNTIF($F$6:INDEX($F:$F, ROW()-1), $F493)) : INDEX(W:W, ROW()-1)),
   AVERAGEIFS(
     INDEX((unit_details[Asking Rent],unit_details[Asking PSF]),0,1,IF($U$3="Chunk Rent",1,2)),
     unit_details[Leased Date],"&gt;="&amp;($AM$2-T$5),
     unit_details[Leased Date],"&lt;"&amp;$AM$2,
     unit_details[Beds],$L494,
     unit_details[Baths],$M494,
     unit_details[Partial Baths],IF(ISNUMBER($N494),$N494,""),
     unit_details[Sqft],$P494,
     unit_details[Property Name],$F494)
 ),"")</f>
        <v/>
      </c>
      <c r="U494" s="552" t="str">
        <f>IFERROR(
 IF($F494="Total",
   SUMPRODUCT(
   INDEX(U:U, ROW()-COUNTIF($F$6:INDEX($F:$F, ROW()-1), $F493)) : INDEX(U:U, ROW()-1),
   INDEX(W:W, ROW()-COUNTIF($F$6:INDEX($F:$F, ROW()-1), $F493)) : INDEX(W:W, ROW()-1)
   )
   /SUM(INDEX(W:W, ROW()-COUNTIF($F$6:INDEX($F:$F, ROW()-1), $F493)) : INDEX(W:W, ROW()-1)),
   AVERAGEIFS(
     INDEX((unit_details[Effective Rent],unit_details[Effective PSF]),0,1,IF($U$3="Chunk Rent",1,2)),
     unit_details[Leased Date],"&gt;="&amp;($AM$2-T$5),
     unit_details[Leased Date],"&lt;"&amp;$AM$2,
     unit_details[Beds],$L494,
     unit_details[Baths],$M494,
     unit_details[Partial Baths],IF(ISNUMBER($N494),$N494,""),
     unit_details[Sqft],$P494,
     unit_details[Property Name],$F494)
 ),"")</f>
        <v/>
      </c>
      <c r="V494" s="27" t="str">
        <f t="shared" si="87"/>
        <v/>
      </c>
      <c r="W494" s="526">
        <f>IFERROR(
  IF($F494="Total",
    SUM(INDEX(W:W, ROW()-COUNTIF($F$6:INDEX($F:$F, ROW()-1), $F493)) : INDEX(W:W, ROW()-1)),
    COUNTIFS(
      unit_details[Leased Date], "&gt;="&amp;($AM$2-T$5),
      unit_details[Leased Date], "&lt;"&amp;$AM$2,
      unit_details[Beds], $L494,
      unit_details[Baths], $M494,
      unit_details[Partial Baths], IF(ISNUMBER($N494), $N494, ""),
      unit_details[Sqft],$P494,
      unit_details[Property Name], $F494
    )
  ),
"")</f>
        <v>0</v>
      </c>
      <c r="X494" s="531" t="str">
        <f>IFERROR(
 IF($F494="Total",
   SUMPRODUCT(
   INDEX(X:X, ROW()-COUNTIF($F$6:INDEX($F:$F, ROW()-1), $F493)) : INDEX(X:X, ROW()-1),
   INDEX(AA:AA, ROW()-COUNTIF($F$6:INDEX($F:$F, ROW()-1), $F493)) : INDEX(AA:AA, ROW()-1)
   )
   /SUM(INDEX(AA:AA, ROW()-COUNTIF($F$6:INDEX($F:$F, ROW()-1), $F493)) : INDEX(AA:AA, ROW()-1)),
   AVERAGEIFS(
     INDEX((unit_details[Asking Rent],unit_details[Asking PSF]),0,1,IF($U$3="Chunk Rent",1,2)),
     unit_details[Leased Date],"&gt;="&amp;($AM$2-X$5),
     unit_details[Leased Date],"&lt;"&amp;$AM$2,
     unit_details[Beds],$L494,
     unit_details[Baths],$M494,
     unit_details[Partial Baths],IF(ISNUMBER($N494),$N494,""),
     unit_details[Sqft],$P494,
     unit_details[Property Name],$F494)
 ),"")</f>
        <v/>
      </c>
      <c r="Y494" s="552" t="str">
        <f>IFERROR(
 IF($F494="Total",
   SUMPRODUCT(
   INDEX(Y:Y, ROW()-COUNTIF($F$6:INDEX($F:$F, ROW()-1), $F493)) : INDEX(Y:Y, ROW()-1),
   INDEX(AA:AA, ROW()-COUNTIF($F$6:INDEX($F:$F, ROW()-1), $F493)) : INDEX(AA:AA, ROW()-1)
   )
   /SUM(INDEX(AA:AA, ROW()-COUNTIF($F$6:INDEX($F:$F, ROW()-1), $F493)) : INDEX(AA:AA, ROW()-1)),
   AVERAGEIFS(
     INDEX((unit_details[Effective Rent],unit_details[Effective PSF]),0,1,IF($U$3="Chunk Rent",1,2)),
     unit_details[Leased Date],"&gt;="&amp;($AM$2-X$5),
     unit_details[Leased Date],"&lt;"&amp;$AM$2,
     unit_details[Beds],$L494,
     unit_details[Baths],$M494,
     unit_details[Partial Baths],IF(ISNUMBER($N494),$N494,""),
     unit_details[Sqft],$P494,
     unit_details[Property Name],$F494)
 ),"")</f>
        <v/>
      </c>
      <c r="Z494" s="27" t="str">
        <f t="shared" si="88"/>
        <v/>
      </c>
      <c r="AA494" s="526">
        <f>IFERROR(
  IF($F494="Total",
    SUM(INDEX(AA:AA, ROW()-COUNTIF($F$6:INDEX($F:$F, ROW()-1), $F493)) : INDEX(AA:AA, ROW()-1)),
    COUNTIFS(
      unit_details[Leased Date], "&gt;="&amp;($AM$2-X$5),
      unit_details[Leased Date], "&lt;"&amp;$AM$2,
      unit_details[Beds], $L494,
      unit_details[Baths], $M494,
      unit_details[Partial Baths], IF(ISNUMBER($N494), $N494, ""),
      unit_details[Sqft],$P494,
      unit_details[Property Name], $F494
    )
  ),
"")</f>
        <v>0</v>
      </c>
      <c r="AB494" s="290">
        <f>IF($F494="Total",
SUM(INDEX(AB:AB, ROW()-COUNTIF($F$6:INDEX($F:$F, ROW()-1), $F493)) : INDEX(AB:AB, ROW()-1)),
COUNTIFS(unit_details[Active Listing?],TRUE,
          unit_details[Property Name], $F494,
          unit_details[Beds], $L494,
          unit_details[Baths], $M494,
          unit_details[Partial Baths],IF(ISNUMBER($N494),$N494,""),
          unit_details[Sqft],$P494))</f>
        <v>0</v>
      </c>
      <c r="AC494" s="27" t="str">
        <f t="shared" si="80"/>
        <v/>
      </c>
      <c r="AD494" s="293" t="str">
        <f>IFERROR(IF(AE494="","",IF($F494="Total",
SUMPRODUCT(
   INDEX(AD:AD, ROW()-COUNTIF($F$6:INDEX($F:$F, ROW()-1), $F493)) : INDEX(AD:AD, ROW()-1),
   INDEX(AB:AB, ROW()-COUNTIF($F$6:INDEX($F:$F, ROW()-1), $F493)) : INDEX(AB:AB, ROW()-1)
   )
   /SUM(INDEX(AB:AB, ROW()-COUNTIF($F$6:INDEX($F:$F, ROW()-1), $F493)) : INDEX(AB:AB, ROW()-1)),
          _xlfn.MINIFS(unit_details[Asking Rent],
          unit_details[Active Listing?],TRUE,
          unit_details[Property Name], $F494,
          unit_details[Beds], $L494,
          unit_details[Baths], $M494,
          unit_details[Partial Baths], IF(ISNUMBER($N494),$N494,""),
          unit_details[Sqft],$P494
))),"")</f>
        <v/>
      </c>
      <c r="AE494" s="5" t="str">
        <f>IFERROR(IF($F494="Total",
          SUMPRODUCT(
   INDEX(AE:AE, ROW()-COUNTIF($F$6:INDEX($F:$F, ROW()-1), $F493)) : INDEX(AE:AE, ROW()-1),
   INDEX(AB:AB, ROW()-COUNTIF($F$6:INDEX($F:$F, ROW()-1), $F493)) : INDEX(AB:AB, ROW()-1)
   )
   /SUM(INDEX(AB:AB, ROW()-COUNTIF($F$6:INDEX($F:$F, ROW()-1), $F493)) : INDEX(AB:AB, ROW()-1)),
          AVERAGEIFS(unit_details[Asking Rent],
          unit_details[Active Listing?],TRUE,
          unit_details[Property Name], $F494,
          unit_details[Beds], $L494,
          unit_details[Baths], $M494,
          unit_details[Partial Baths], IF(ISNUMBER($N494),$N494,""),
          unit_details[Sqft],$P494
)),"")</f>
        <v/>
      </c>
      <c r="AF494" s="5" t="str">
        <f>IFERROR(IF(AE494="","",IF($F494="Total",
SUMPRODUCT(
   INDEX(AF:AF, ROW()-COUNTIF($F$6:INDEX($F:$F, ROW()-1), $F493)) : INDEX(AF:AF, ROW()-1),
   INDEX(AB:AB, ROW()-COUNTIF($F$6:INDEX($F:$F, ROW()-1), $F493)) : INDEX(AB:AB, ROW()-1)
   )
   /SUM(INDEX(AB:AB, ROW()-COUNTIF($F$6:INDEX($F:$F, ROW()-1), $F493)) : INDEX(AB:AB, ROW()-1)),
           _xlfn.MAXIFS(unit_details[Asking Rent],
          unit_details[Active Listing?],TRUE,
          unit_details[Property Name], $F494,
          unit_details[Beds], $L494,
          unit_details[Baths], $M494,
          unit_details[Partial Baths], IF(ISNUMBER($N494),$N494,""),
          unit_details[Sqft],$P494
))),"")</f>
        <v/>
      </c>
      <c r="AG494" s="6" t="str">
        <f>IFERROR(IF($F494="Total",
         SUMPRODUCT(
         INDEX(AG:AG, ROW()-COUNTIF($F$6:INDEX($F:$F, ROW()-1), $F493)) : INDEX(AG:AG, ROW()-1),
         INDEX(AB:AB, ROW()-COUNTIF($F$6:INDEX($F:$F, ROW()-1), $F493)) : INDEX(AB:AB, ROW()-1)
         )
         /SUM(INDEX(AB:AB, ROW()-COUNTIF($F$6:INDEX($F:$F, ROW()-1), $F493)) : INDEX(AB:AB, ROW()-1)),
          AVERAGEIFS(unit_details[Asking PSF],
          unit_details[Active Listing?],TRUE,
          unit_details[Property Name], $F494,
          unit_details[Beds], $L494,
          unit_details[Baths], $M494,
          unit_details[Partial Baths], IF(ISNUMBER($N494),$N494,""),
          unit_details[Sqft],$P494
)),"")</f>
        <v/>
      </c>
      <c r="AH494" s="293" t="str">
        <f>IFERROR(IF($F494="Total",
         SUMPRODUCT(
         INDEX(AH:AH, ROW()-COUNTIF($F$6:INDEX($F:$F, ROW()-1), $F493)) : INDEX(AH:AH, ROW()-1),
         INDEX(AB:AB, ROW()-COUNTIF($F$6:INDEX($F:$F, ROW()-1), $F493)) : INDEX(AB:AB, ROW()-1)
         )
         /SUM(INDEX(AB:AB, ROW()-COUNTIF($F$6:INDEX($F:$F, ROW()-1), $F493)) : INDEX(AB:AB, ROW()-1)),
          AVERAGEIFS(unit_details[Effective Rent],
          unit_details[Active Listing?],TRUE,
          unit_details[Property Name], $F494,
          unit_details[Beds], $L494,
          unit_details[Baths], $M494,
          unit_details[Partial Baths], IF(ISNUMBER($N494),$N494,""),
          unit_details[Sqft],$P494
)),"")</f>
        <v/>
      </c>
      <c r="AI494" s="6" t="str">
        <f>IFERROR(IF($F494="Total",
         SUMPRODUCT(
         INDEX(AI:AI, ROW()-COUNTIF($F$6:INDEX($F:$F, ROW()-1), $F493)) : INDEX(AI:AI, ROW()-1),
         INDEX(AB:AB, ROW()-COUNTIF($F$6:INDEX($F:$F, ROW()-1), $F493)) : INDEX(AB:AB, ROW()-1)
         )
         /SUM(INDEX(AB:AB, ROW()-COUNTIF($F$6:INDEX($F:$F, ROW()-1), $F493)) : INDEX(AB:AB, ROW()-1)),
           AVERAGEIFS(unit_details[Effective PSF],
          unit_details[Active Listing?],TRUE,
          unit_details[Property Name], $F494,
          unit_details[Beds], $L494,
          unit_details[Baths], $M494,
          unit_details[Partial Baths], IF(ISNUMBER($N494),$N494,""),
          unit_details[Sqft],$P494
)),"")</f>
        <v/>
      </c>
      <c r="AJ494" s="824" t="str">
        <f t="shared" si="81"/>
        <v/>
      </c>
      <c r="AK494" s="531" t="str">
        <f t="shared" si="82"/>
        <v/>
      </c>
      <c r="AL494" s="714" t="str">
        <f t="shared" si="83"/>
        <v/>
      </c>
      <c r="AM494" s="531" t="str">
        <f t="shared" si="84"/>
        <v/>
      </c>
      <c r="AN494" s="716" t="str">
        <f t="shared" si="85"/>
        <v/>
      </c>
    </row>
    <row r="495" spans="6:40" x14ac:dyDescent="0.2">
      <c r="F495" s="1" t="str">
        <f t="shared" si="78"/>
        <v/>
      </c>
      <c r="G495" s="713" t="str">
        <f t="shared" si="86"/>
        <v/>
      </c>
      <c r="H495" s="17" t="str">
        <f>IFERROR(VLOOKUP($G495,Table1[[Property]:[Exposure %]],4,0),"")</f>
        <v/>
      </c>
      <c r="I495" s="3" t="str">
        <f>IFERROR(VLOOKUP($G495,Table1[[Property]:[Exposure %]],6,0),"")</f>
        <v/>
      </c>
      <c r="J495" s="3" t="str">
        <f>IFERROR(VLOOKUP($G495,Table1[[Property]:[Exposure %]],7,0),"")</f>
        <v/>
      </c>
      <c r="R495" s="4" t="str">
        <f>IFERROR(VLOOKUP(IF(F495="Total",F494,F495),Table1[[Property]:['# Units]],7,0)*S495,"")</f>
        <v/>
      </c>
      <c r="S495" s="27" t="str">
        <f t="shared" si="79"/>
        <v/>
      </c>
      <c r="T495" s="531" t="str">
        <f>IFERROR(
 IF($F495="Total",
   SUMPRODUCT(
   INDEX(T:T, ROW()-COUNTIF($F$6:INDEX($F:$F, ROW()-1), $F494)) : INDEX(T:T, ROW()-1),
   INDEX(W:W, ROW()-COUNTIF($F$6:INDEX($F:$F, ROW()-1), $F494)) : INDEX(W:W, ROW()-1)
   )
   /SUM(INDEX(W:W, ROW()-COUNTIF($F$6:INDEX($F:$F, ROW()-1), $F494)) : INDEX(W:W, ROW()-1)),
   AVERAGEIFS(
     INDEX((unit_details[Asking Rent],unit_details[Asking PSF]),0,1,IF($U$3="Chunk Rent",1,2)),
     unit_details[Leased Date],"&gt;="&amp;($AM$2-T$5),
     unit_details[Leased Date],"&lt;"&amp;$AM$2,
     unit_details[Beds],$L495,
     unit_details[Baths],$M495,
     unit_details[Partial Baths],IF(ISNUMBER($N495),$N495,""),
     unit_details[Sqft],$P495,
     unit_details[Property Name],$F495)
 ),"")</f>
        <v/>
      </c>
      <c r="U495" s="552" t="str">
        <f>IFERROR(
 IF($F495="Total",
   SUMPRODUCT(
   INDEX(U:U, ROW()-COUNTIF($F$6:INDEX($F:$F, ROW()-1), $F494)) : INDEX(U:U, ROW()-1),
   INDEX(W:W, ROW()-COUNTIF($F$6:INDEX($F:$F, ROW()-1), $F494)) : INDEX(W:W, ROW()-1)
   )
   /SUM(INDEX(W:W, ROW()-COUNTIF($F$6:INDEX($F:$F, ROW()-1), $F494)) : INDEX(W:W, ROW()-1)),
   AVERAGEIFS(
     INDEX((unit_details[Effective Rent],unit_details[Effective PSF]),0,1,IF($U$3="Chunk Rent",1,2)),
     unit_details[Leased Date],"&gt;="&amp;($AM$2-T$5),
     unit_details[Leased Date],"&lt;"&amp;$AM$2,
     unit_details[Beds],$L495,
     unit_details[Baths],$M495,
     unit_details[Partial Baths],IF(ISNUMBER($N495),$N495,""),
     unit_details[Sqft],$P495,
     unit_details[Property Name],$F495)
 ),"")</f>
        <v/>
      </c>
      <c r="V495" s="27" t="str">
        <f t="shared" si="87"/>
        <v/>
      </c>
      <c r="W495" s="526">
        <f>IFERROR(
  IF($F495="Total",
    SUM(INDEX(W:W, ROW()-COUNTIF($F$6:INDEX($F:$F, ROW()-1), $F494)) : INDEX(W:W, ROW()-1)),
    COUNTIFS(
      unit_details[Leased Date], "&gt;="&amp;($AM$2-T$5),
      unit_details[Leased Date], "&lt;"&amp;$AM$2,
      unit_details[Beds], $L495,
      unit_details[Baths], $M495,
      unit_details[Partial Baths], IF(ISNUMBER($N495), $N495, ""),
      unit_details[Sqft],$P495,
      unit_details[Property Name], $F495
    )
  ),
"")</f>
        <v>0</v>
      </c>
      <c r="X495" s="531" t="str">
        <f>IFERROR(
 IF($F495="Total",
   SUMPRODUCT(
   INDEX(X:X, ROW()-COUNTIF($F$6:INDEX($F:$F, ROW()-1), $F494)) : INDEX(X:X, ROW()-1),
   INDEX(AA:AA, ROW()-COUNTIF($F$6:INDEX($F:$F, ROW()-1), $F494)) : INDEX(AA:AA, ROW()-1)
   )
   /SUM(INDEX(AA:AA, ROW()-COUNTIF($F$6:INDEX($F:$F, ROW()-1), $F494)) : INDEX(AA:AA, ROW()-1)),
   AVERAGEIFS(
     INDEX((unit_details[Asking Rent],unit_details[Asking PSF]),0,1,IF($U$3="Chunk Rent",1,2)),
     unit_details[Leased Date],"&gt;="&amp;($AM$2-X$5),
     unit_details[Leased Date],"&lt;"&amp;$AM$2,
     unit_details[Beds],$L495,
     unit_details[Baths],$M495,
     unit_details[Partial Baths],IF(ISNUMBER($N495),$N495,""),
     unit_details[Sqft],$P495,
     unit_details[Property Name],$F495)
 ),"")</f>
        <v/>
      </c>
      <c r="Y495" s="552" t="str">
        <f>IFERROR(
 IF($F495="Total",
   SUMPRODUCT(
   INDEX(Y:Y, ROW()-COUNTIF($F$6:INDEX($F:$F, ROW()-1), $F494)) : INDEX(Y:Y, ROW()-1),
   INDEX(AA:AA, ROW()-COUNTIF($F$6:INDEX($F:$F, ROW()-1), $F494)) : INDEX(AA:AA, ROW()-1)
   )
   /SUM(INDEX(AA:AA, ROW()-COUNTIF($F$6:INDEX($F:$F, ROW()-1), $F494)) : INDEX(AA:AA, ROW()-1)),
   AVERAGEIFS(
     INDEX((unit_details[Effective Rent],unit_details[Effective PSF]),0,1,IF($U$3="Chunk Rent",1,2)),
     unit_details[Leased Date],"&gt;="&amp;($AM$2-X$5),
     unit_details[Leased Date],"&lt;"&amp;$AM$2,
     unit_details[Beds],$L495,
     unit_details[Baths],$M495,
     unit_details[Partial Baths],IF(ISNUMBER($N495),$N495,""),
     unit_details[Sqft],$P495,
     unit_details[Property Name],$F495)
 ),"")</f>
        <v/>
      </c>
      <c r="Z495" s="27" t="str">
        <f t="shared" si="88"/>
        <v/>
      </c>
      <c r="AA495" s="526">
        <f>IFERROR(
  IF($F495="Total",
    SUM(INDEX(AA:AA, ROW()-COUNTIF($F$6:INDEX($F:$F, ROW()-1), $F494)) : INDEX(AA:AA, ROW()-1)),
    COUNTIFS(
      unit_details[Leased Date], "&gt;="&amp;($AM$2-X$5),
      unit_details[Leased Date], "&lt;"&amp;$AM$2,
      unit_details[Beds], $L495,
      unit_details[Baths], $M495,
      unit_details[Partial Baths], IF(ISNUMBER($N495), $N495, ""),
      unit_details[Sqft],$P495,
      unit_details[Property Name], $F495
    )
  ),
"")</f>
        <v>0</v>
      </c>
      <c r="AB495" s="290">
        <f>IF($F495="Total",
SUM(INDEX(AB:AB, ROW()-COUNTIF($F$6:INDEX($F:$F, ROW()-1), $F494)) : INDEX(AB:AB, ROW()-1)),
COUNTIFS(unit_details[Active Listing?],TRUE,
          unit_details[Property Name], $F495,
          unit_details[Beds], $L495,
          unit_details[Baths], $M495,
          unit_details[Partial Baths],IF(ISNUMBER($N495),$N495,""),
          unit_details[Sqft],$P495))</f>
        <v>0</v>
      </c>
      <c r="AC495" s="27" t="str">
        <f t="shared" si="80"/>
        <v/>
      </c>
      <c r="AD495" s="293" t="str">
        <f>IFERROR(IF(AE495="","",IF($F495="Total",
SUMPRODUCT(
   INDEX(AD:AD, ROW()-COUNTIF($F$6:INDEX($F:$F, ROW()-1), $F494)) : INDEX(AD:AD, ROW()-1),
   INDEX(AB:AB, ROW()-COUNTIF($F$6:INDEX($F:$F, ROW()-1), $F494)) : INDEX(AB:AB, ROW()-1)
   )
   /SUM(INDEX(AB:AB, ROW()-COUNTIF($F$6:INDEX($F:$F, ROW()-1), $F494)) : INDEX(AB:AB, ROW()-1)),
          _xlfn.MINIFS(unit_details[Asking Rent],
          unit_details[Active Listing?],TRUE,
          unit_details[Property Name], $F495,
          unit_details[Beds], $L495,
          unit_details[Baths], $M495,
          unit_details[Partial Baths], IF(ISNUMBER($N495),$N495,""),
          unit_details[Sqft],$P495
))),"")</f>
        <v/>
      </c>
      <c r="AE495" s="5" t="str">
        <f>IFERROR(IF($F495="Total",
          SUMPRODUCT(
   INDEX(AE:AE, ROW()-COUNTIF($F$6:INDEX($F:$F, ROW()-1), $F494)) : INDEX(AE:AE, ROW()-1),
   INDEX(AB:AB, ROW()-COUNTIF($F$6:INDEX($F:$F, ROW()-1), $F494)) : INDEX(AB:AB, ROW()-1)
   )
   /SUM(INDEX(AB:AB, ROW()-COUNTIF($F$6:INDEX($F:$F, ROW()-1), $F494)) : INDEX(AB:AB, ROW()-1)),
          AVERAGEIFS(unit_details[Asking Rent],
          unit_details[Active Listing?],TRUE,
          unit_details[Property Name], $F495,
          unit_details[Beds], $L495,
          unit_details[Baths], $M495,
          unit_details[Partial Baths], IF(ISNUMBER($N495),$N495,""),
          unit_details[Sqft],$P495
)),"")</f>
        <v/>
      </c>
      <c r="AF495" s="5" t="str">
        <f>IFERROR(IF(AE495="","",IF($F495="Total",
SUMPRODUCT(
   INDEX(AF:AF, ROW()-COUNTIF($F$6:INDEX($F:$F, ROW()-1), $F494)) : INDEX(AF:AF, ROW()-1),
   INDEX(AB:AB, ROW()-COUNTIF($F$6:INDEX($F:$F, ROW()-1), $F494)) : INDEX(AB:AB, ROW()-1)
   )
   /SUM(INDEX(AB:AB, ROW()-COUNTIF($F$6:INDEX($F:$F, ROW()-1), $F494)) : INDEX(AB:AB, ROW()-1)),
           _xlfn.MAXIFS(unit_details[Asking Rent],
          unit_details[Active Listing?],TRUE,
          unit_details[Property Name], $F495,
          unit_details[Beds], $L495,
          unit_details[Baths], $M495,
          unit_details[Partial Baths], IF(ISNUMBER($N495),$N495,""),
          unit_details[Sqft],$P495
))),"")</f>
        <v/>
      </c>
      <c r="AG495" s="6" t="str">
        <f>IFERROR(IF($F495="Total",
         SUMPRODUCT(
         INDEX(AG:AG, ROW()-COUNTIF($F$6:INDEX($F:$F, ROW()-1), $F494)) : INDEX(AG:AG, ROW()-1),
         INDEX(AB:AB, ROW()-COUNTIF($F$6:INDEX($F:$F, ROW()-1), $F494)) : INDEX(AB:AB, ROW()-1)
         )
         /SUM(INDEX(AB:AB, ROW()-COUNTIF($F$6:INDEX($F:$F, ROW()-1), $F494)) : INDEX(AB:AB, ROW()-1)),
          AVERAGEIFS(unit_details[Asking PSF],
          unit_details[Active Listing?],TRUE,
          unit_details[Property Name], $F495,
          unit_details[Beds], $L495,
          unit_details[Baths], $M495,
          unit_details[Partial Baths], IF(ISNUMBER($N495),$N495,""),
          unit_details[Sqft],$P495
)),"")</f>
        <v/>
      </c>
      <c r="AH495" s="293" t="str">
        <f>IFERROR(IF($F495="Total",
         SUMPRODUCT(
         INDEX(AH:AH, ROW()-COUNTIF($F$6:INDEX($F:$F, ROW()-1), $F494)) : INDEX(AH:AH, ROW()-1),
         INDEX(AB:AB, ROW()-COUNTIF($F$6:INDEX($F:$F, ROW()-1), $F494)) : INDEX(AB:AB, ROW()-1)
         )
         /SUM(INDEX(AB:AB, ROW()-COUNTIF($F$6:INDEX($F:$F, ROW()-1), $F494)) : INDEX(AB:AB, ROW()-1)),
          AVERAGEIFS(unit_details[Effective Rent],
          unit_details[Active Listing?],TRUE,
          unit_details[Property Name], $F495,
          unit_details[Beds], $L495,
          unit_details[Baths], $M495,
          unit_details[Partial Baths], IF(ISNUMBER($N495),$N495,""),
          unit_details[Sqft],$P495
)),"")</f>
        <v/>
      </c>
      <c r="AI495" s="6" t="str">
        <f>IFERROR(IF($F495="Total",
         SUMPRODUCT(
         INDEX(AI:AI, ROW()-COUNTIF($F$6:INDEX($F:$F, ROW()-1), $F494)) : INDEX(AI:AI, ROW()-1),
         INDEX(AB:AB, ROW()-COUNTIF($F$6:INDEX($F:$F, ROW()-1), $F494)) : INDEX(AB:AB, ROW()-1)
         )
         /SUM(INDEX(AB:AB, ROW()-COUNTIF($F$6:INDEX($F:$F, ROW()-1), $F494)) : INDEX(AB:AB, ROW()-1)),
           AVERAGEIFS(unit_details[Effective PSF],
          unit_details[Active Listing?],TRUE,
          unit_details[Property Name], $F495,
          unit_details[Beds], $L495,
          unit_details[Baths], $M495,
          unit_details[Partial Baths], IF(ISNUMBER($N495),$N495,""),
          unit_details[Sqft],$P495
)),"")</f>
        <v/>
      </c>
      <c r="AJ495" s="824" t="str">
        <f t="shared" si="81"/>
        <v/>
      </c>
      <c r="AK495" s="531" t="str">
        <f t="shared" si="82"/>
        <v/>
      </c>
      <c r="AL495" s="714" t="str">
        <f t="shared" si="83"/>
        <v/>
      </c>
      <c r="AM495" s="531" t="str">
        <f t="shared" si="84"/>
        <v/>
      </c>
      <c r="AN495" s="716" t="str">
        <f t="shared" si="85"/>
        <v/>
      </c>
    </row>
    <row r="496" spans="6:40" x14ac:dyDescent="0.2">
      <c r="F496" s="1" t="str">
        <f t="shared" si="78"/>
        <v/>
      </c>
      <c r="G496" s="713" t="str">
        <f t="shared" si="86"/>
        <v/>
      </c>
      <c r="H496" s="17" t="str">
        <f>IFERROR(VLOOKUP($G496,Table1[[Property]:[Exposure %]],4,0),"")</f>
        <v/>
      </c>
      <c r="I496" s="3" t="str">
        <f>IFERROR(VLOOKUP($G496,Table1[[Property]:[Exposure %]],6,0),"")</f>
        <v/>
      </c>
      <c r="J496" s="3" t="str">
        <f>IFERROR(VLOOKUP($G496,Table1[[Property]:[Exposure %]],7,0),"")</f>
        <v/>
      </c>
      <c r="R496" s="4" t="str">
        <f>IFERROR(VLOOKUP(IF(F496="Total",F495,F496),Table1[[Property]:['# Units]],7,0)*S496,"")</f>
        <v/>
      </c>
      <c r="S496" s="27" t="str">
        <f t="shared" si="79"/>
        <v/>
      </c>
      <c r="T496" s="531" t="str">
        <f>IFERROR(
 IF($F496="Total",
   SUMPRODUCT(
   INDEX(T:T, ROW()-COUNTIF($F$6:INDEX($F:$F, ROW()-1), $F495)) : INDEX(T:T, ROW()-1),
   INDEX(W:W, ROW()-COUNTIF($F$6:INDEX($F:$F, ROW()-1), $F495)) : INDEX(W:W, ROW()-1)
   )
   /SUM(INDEX(W:W, ROW()-COUNTIF($F$6:INDEX($F:$F, ROW()-1), $F495)) : INDEX(W:W, ROW()-1)),
   AVERAGEIFS(
     INDEX((unit_details[Asking Rent],unit_details[Asking PSF]),0,1,IF($U$3="Chunk Rent",1,2)),
     unit_details[Leased Date],"&gt;="&amp;($AM$2-T$5),
     unit_details[Leased Date],"&lt;"&amp;$AM$2,
     unit_details[Beds],$L496,
     unit_details[Baths],$M496,
     unit_details[Partial Baths],IF(ISNUMBER($N496),$N496,""),
     unit_details[Sqft],$P496,
     unit_details[Property Name],$F496)
 ),"")</f>
        <v/>
      </c>
      <c r="U496" s="552" t="str">
        <f>IFERROR(
 IF($F496="Total",
   SUMPRODUCT(
   INDEX(U:U, ROW()-COUNTIF($F$6:INDEX($F:$F, ROW()-1), $F495)) : INDEX(U:U, ROW()-1),
   INDEX(W:W, ROW()-COUNTIF($F$6:INDEX($F:$F, ROW()-1), $F495)) : INDEX(W:W, ROW()-1)
   )
   /SUM(INDEX(W:W, ROW()-COUNTIF($F$6:INDEX($F:$F, ROW()-1), $F495)) : INDEX(W:W, ROW()-1)),
   AVERAGEIFS(
     INDEX((unit_details[Effective Rent],unit_details[Effective PSF]),0,1,IF($U$3="Chunk Rent",1,2)),
     unit_details[Leased Date],"&gt;="&amp;($AM$2-T$5),
     unit_details[Leased Date],"&lt;"&amp;$AM$2,
     unit_details[Beds],$L496,
     unit_details[Baths],$M496,
     unit_details[Partial Baths],IF(ISNUMBER($N496),$N496,""),
     unit_details[Sqft],$P496,
     unit_details[Property Name],$F496)
 ),"")</f>
        <v/>
      </c>
      <c r="V496" s="27" t="str">
        <f t="shared" si="87"/>
        <v/>
      </c>
      <c r="W496" s="526">
        <f>IFERROR(
  IF($F496="Total",
    SUM(INDEX(W:W, ROW()-COUNTIF($F$6:INDEX($F:$F, ROW()-1), $F495)) : INDEX(W:W, ROW()-1)),
    COUNTIFS(
      unit_details[Leased Date], "&gt;="&amp;($AM$2-T$5),
      unit_details[Leased Date], "&lt;"&amp;$AM$2,
      unit_details[Beds], $L496,
      unit_details[Baths], $M496,
      unit_details[Partial Baths], IF(ISNUMBER($N496), $N496, ""),
      unit_details[Sqft],$P496,
      unit_details[Property Name], $F496
    )
  ),
"")</f>
        <v>0</v>
      </c>
      <c r="X496" s="531" t="str">
        <f>IFERROR(
 IF($F496="Total",
   SUMPRODUCT(
   INDEX(X:X, ROW()-COUNTIF($F$6:INDEX($F:$F, ROW()-1), $F495)) : INDEX(X:X, ROW()-1),
   INDEX(AA:AA, ROW()-COUNTIF($F$6:INDEX($F:$F, ROW()-1), $F495)) : INDEX(AA:AA, ROW()-1)
   )
   /SUM(INDEX(AA:AA, ROW()-COUNTIF($F$6:INDEX($F:$F, ROW()-1), $F495)) : INDEX(AA:AA, ROW()-1)),
   AVERAGEIFS(
     INDEX((unit_details[Asking Rent],unit_details[Asking PSF]),0,1,IF($U$3="Chunk Rent",1,2)),
     unit_details[Leased Date],"&gt;="&amp;($AM$2-X$5),
     unit_details[Leased Date],"&lt;"&amp;$AM$2,
     unit_details[Beds],$L496,
     unit_details[Baths],$M496,
     unit_details[Partial Baths],IF(ISNUMBER($N496),$N496,""),
     unit_details[Sqft],$P496,
     unit_details[Property Name],$F496)
 ),"")</f>
        <v/>
      </c>
      <c r="Y496" s="552" t="str">
        <f>IFERROR(
 IF($F496="Total",
   SUMPRODUCT(
   INDEX(Y:Y, ROW()-COUNTIF($F$6:INDEX($F:$F, ROW()-1), $F495)) : INDEX(Y:Y, ROW()-1),
   INDEX(AA:AA, ROW()-COUNTIF($F$6:INDEX($F:$F, ROW()-1), $F495)) : INDEX(AA:AA, ROW()-1)
   )
   /SUM(INDEX(AA:AA, ROW()-COUNTIF($F$6:INDEX($F:$F, ROW()-1), $F495)) : INDEX(AA:AA, ROW()-1)),
   AVERAGEIFS(
     INDEX((unit_details[Effective Rent],unit_details[Effective PSF]),0,1,IF($U$3="Chunk Rent",1,2)),
     unit_details[Leased Date],"&gt;="&amp;($AM$2-X$5),
     unit_details[Leased Date],"&lt;"&amp;$AM$2,
     unit_details[Beds],$L496,
     unit_details[Baths],$M496,
     unit_details[Partial Baths],IF(ISNUMBER($N496),$N496,""),
     unit_details[Sqft],$P496,
     unit_details[Property Name],$F496)
 ),"")</f>
        <v/>
      </c>
      <c r="Z496" s="27" t="str">
        <f t="shared" si="88"/>
        <v/>
      </c>
      <c r="AA496" s="526">
        <f>IFERROR(
  IF($F496="Total",
    SUM(INDEX(AA:AA, ROW()-COUNTIF($F$6:INDEX($F:$F, ROW()-1), $F495)) : INDEX(AA:AA, ROW()-1)),
    COUNTIFS(
      unit_details[Leased Date], "&gt;="&amp;($AM$2-X$5),
      unit_details[Leased Date], "&lt;"&amp;$AM$2,
      unit_details[Beds], $L496,
      unit_details[Baths], $M496,
      unit_details[Partial Baths], IF(ISNUMBER($N496), $N496, ""),
      unit_details[Sqft],$P496,
      unit_details[Property Name], $F496
    )
  ),
"")</f>
        <v>0</v>
      </c>
      <c r="AB496" s="290">
        <f>IF($F496="Total",
SUM(INDEX(AB:AB, ROW()-COUNTIF($F$6:INDEX($F:$F, ROW()-1), $F495)) : INDEX(AB:AB, ROW()-1)),
COUNTIFS(unit_details[Active Listing?],TRUE,
          unit_details[Property Name], $F496,
          unit_details[Beds], $L496,
          unit_details[Baths], $M496,
          unit_details[Partial Baths],IF(ISNUMBER($N496),$N496,""),
          unit_details[Sqft],$P496))</f>
        <v>0</v>
      </c>
      <c r="AC496" s="27" t="str">
        <f t="shared" si="80"/>
        <v/>
      </c>
      <c r="AD496" s="293" t="str">
        <f>IFERROR(IF(AE496="","",IF($F496="Total",
SUMPRODUCT(
   INDEX(AD:AD, ROW()-COUNTIF($F$6:INDEX($F:$F, ROW()-1), $F495)) : INDEX(AD:AD, ROW()-1),
   INDEX(AB:AB, ROW()-COUNTIF($F$6:INDEX($F:$F, ROW()-1), $F495)) : INDEX(AB:AB, ROW()-1)
   )
   /SUM(INDEX(AB:AB, ROW()-COUNTIF($F$6:INDEX($F:$F, ROW()-1), $F495)) : INDEX(AB:AB, ROW()-1)),
          _xlfn.MINIFS(unit_details[Asking Rent],
          unit_details[Active Listing?],TRUE,
          unit_details[Property Name], $F496,
          unit_details[Beds], $L496,
          unit_details[Baths], $M496,
          unit_details[Partial Baths], IF(ISNUMBER($N496),$N496,""),
          unit_details[Sqft],$P496
))),"")</f>
        <v/>
      </c>
      <c r="AE496" s="5" t="str">
        <f>IFERROR(IF($F496="Total",
          SUMPRODUCT(
   INDEX(AE:AE, ROW()-COUNTIF($F$6:INDEX($F:$F, ROW()-1), $F495)) : INDEX(AE:AE, ROW()-1),
   INDEX(AB:AB, ROW()-COUNTIF($F$6:INDEX($F:$F, ROW()-1), $F495)) : INDEX(AB:AB, ROW()-1)
   )
   /SUM(INDEX(AB:AB, ROW()-COUNTIF($F$6:INDEX($F:$F, ROW()-1), $F495)) : INDEX(AB:AB, ROW()-1)),
          AVERAGEIFS(unit_details[Asking Rent],
          unit_details[Active Listing?],TRUE,
          unit_details[Property Name], $F496,
          unit_details[Beds], $L496,
          unit_details[Baths], $M496,
          unit_details[Partial Baths], IF(ISNUMBER($N496),$N496,""),
          unit_details[Sqft],$P496
)),"")</f>
        <v/>
      </c>
      <c r="AF496" s="5" t="str">
        <f>IFERROR(IF(AE496="","",IF($F496="Total",
SUMPRODUCT(
   INDEX(AF:AF, ROW()-COUNTIF($F$6:INDEX($F:$F, ROW()-1), $F495)) : INDEX(AF:AF, ROW()-1),
   INDEX(AB:AB, ROW()-COUNTIF($F$6:INDEX($F:$F, ROW()-1), $F495)) : INDEX(AB:AB, ROW()-1)
   )
   /SUM(INDEX(AB:AB, ROW()-COUNTIF($F$6:INDEX($F:$F, ROW()-1), $F495)) : INDEX(AB:AB, ROW()-1)),
           _xlfn.MAXIFS(unit_details[Asking Rent],
          unit_details[Active Listing?],TRUE,
          unit_details[Property Name], $F496,
          unit_details[Beds], $L496,
          unit_details[Baths], $M496,
          unit_details[Partial Baths], IF(ISNUMBER($N496),$N496,""),
          unit_details[Sqft],$P496
))),"")</f>
        <v/>
      </c>
      <c r="AG496" s="6" t="str">
        <f>IFERROR(IF($F496="Total",
         SUMPRODUCT(
         INDEX(AG:AG, ROW()-COUNTIF($F$6:INDEX($F:$F, ROW()-1), $F495)) : INDEX(AG:AG, ROW()-1),
         INDEX(AB:AB, ROW()-COUNTIF($F$6:INDEX($F:$F, ROW()-1), $F495)) : INDEX(AB:AB, ROW()-1)
         )
         /SUM(INDEX(AB:AB, ROW()-COUNTIF($F$6:INDEX($F:$F, ROW()-1), $F495)) : INDEX(AB:AB, ROW()-1)),
          AVERAGEIFS(unit_details[Asking PSF],
          unit_details[Active Listing?],TRUE,
          unit_details[Property Name], $F496,
          unit_details[Beds], $L496,
          unit_details[Baths], $M496,
          unit_details[Partial Baths], IF(ISNUMBER($N496),$N496,""),
          unit_details[Sqft],$P496
)),"")</f>
        <v/>
      </c>
      <c r="AH496" s="293" t="str">
        <f>IFERROR(IF($F496="Total",
         SUMPRODUCT(
         INDEX(AH:AH, ROW()-COUNTIF($F$6:INDEX($F:$F, ROW()-1), $F495)) : INDEX(AH:AH, ROW()-1),
         INDEX(AB:AB, ROW()-COUNTIF($F$6:INDEX($F:$F, ROW()-1), $F495)) : INDEX(AB:AB, ROW()-1)
         )
         /SUM(INDEX(AB:AB, ROW()-COUNTIF($F$6:INDEX($F:$F, ROW()-1), $F495)) : INDEX(AB:AB, ROW()-1)),
          AVERAGEIFS(unit_details[Effective Rent],
          unit_details[Active Listing?],TRUE,
          unit_details[Property Name], $F496,
          unit_details[Beds], $L496,
          unit_details[Baths], $M496,
          unit_details[Partial Baths], IF(ISNUMBER($N496),$N496,""),
          unit_details[Sqft],$P496
)),"")</f>
        <v/>
      </c>
      <c r="AI496" s="6" t="str">
        <f>IFERROR(IF($F496="Total",
         SUMPRODUCT(
         INDEX(AI:AI, ROW()-COUNTIF($F$6:INDEX($F:$F, ROW()-1), $F495)) : INDEX(AI:AI, ROW()-1),
         INDEX(AB:AB, ROW()-COUNTIF($F$6:INDEX($F:$F, ROW()-1), $F495)) : INDEX(AB:AB, ROW()-1)
         )
         /SUM(INDEX(AB:AB, ROW()-COUNTIF($F$6:INDEX($F:$F, ROW()-1), $F495)) : INDEX(AB:AB, ROW()-1)),
           AVERAGEIFS(unit_details[Effective PSF],
          unit_details[Active Listing?],TRUE,
          unit_details[Property Name], $F496,
          unit_details[Beds], $L496,
          unit_details[Baths], $M496,
          unit_details[Partial Baths], IF(ISNUMBER($N496),$N496,""),
          unit_details[Sqft],$P496
)),"")</f>
        <v/>
      </c>
      <c r="AJ496" s="824" t="str">
        <f t="shared" si="81"/>
        <v/>
      </c>
      <c r="AK496" s="531" t="str">
        <f t="shared" si="82"/>
        <v/>
      </c>
      <c r="AL496" s="714" t="str">
        <f t="shared" si="83"/>
        <v/>
      </c>
      <c r="AM496" s="531" t="str">
        <f t="shared" si="84"/>
        <v/>
      </c>
      <c r="AN496" s="716" t="str">
        <f t="shared" si="85"/>
        <v/>
      </c>
    </row>
    <row r="497" spans="6:40" x14ac:dyDescent="0.2">
      <c r="F497" s="1" t="str">
        <f t="shared" si="78"/>
        <v/>
      </c>
      <c r="G497" s="713" t="str">
        <f t="shared" si="86"/>
        <v/>
      </c>
      <c r="H497" s="17" t="str">
        <f>IFERROR(VLOOKUP($G497,Table1[[Property]:[Exposure %]],4,0),"")</f>
        <v/>
      </c>
      <c r="I497" s="3" t="str">
        <f>IFERROR(VLOOKUP($G497,Table1[[Property]:[Exposure %]],6,0),"")</f>
        <v/>
      </c>
      <c r="J497" s="3" t="str">
        <f>IFERROR(VLOOKUP($G497,Table1[[Property]:[Exposure %]],7,0),"")</f>
        <v/>
      </c>
      <c r="R497" s="4" t="str">
        <f>IFERROR(VLOOKUP(IF(F497="Total",F496,F497),Table1[[Property]:['# Units]],7,0)*S497,"")</f>
        <v/>
      </c>
      <c r="S497" s="27" t="str">
        <f t="shared" si="79"/>
        <v/>
      </c>
      <c r="T497" s="531" t="str">
        <f>IFERROR(
 IF($F497="Total",
   SUMPRODUCT(
   INDEX(T:T, ROW()-COUNTIF($F$6:INDEX($F:$F, ROW()-1), $F496)) : INDEX(T:T, ROW()-1),
   INDEX(W:W, ROW()-COUNTIF($F$6:INDEX($F:$F, ROW()-1), $F496)) : INDEX(W:W, ROW()-1)
   )
   /SUM(INDEX(W:W, ROW()-COUNTIF($F$6:INDEX($F:$F, ROW()-1), $F496)) : INDEX(W:W, ROW()-1)),
   AVERAGEIFS(
     INDEX((unit_details[Asking Rent],unit_details[Asking PSF]),0,1,IF($U$3="Chunk Rent",1,2)),
     unit_details[Leased Date],"&gt;="&amp;($AM$2-T$5),
     unit_details[Leased Date],"&lt;"&amp;$AM$2,
     unit_details[Beds],$L497,
     unit_details[Baths],$M497,
     unit_details[Partial Baths],IF(ISNUMBER($N497),$N497,""),
     unit_details[Sqft],$P497,
     unit_details[Property Name],$F497)
 ),"")</f>
        <v/>
      </c>
      <c r="U497" s="552" t="str">
        <f>IFERROR(
 IF($F497="Total",
   SUMPRODUCT(
   INDEX(U:U, ROW()-COUNTIF($F$6:INDEX($F:$F, ROW()-1), $F496)) : INDEX(U:U, ROW()-1),
   INDEX(W:W, ROW()-COUNTIF($F$6:INDEX($F:$F, ROW()-1), $F496)) : INDEX(W:W, ROW()-1)
   )
   /SUM(INDEX(W:W, ROW()-COUNTIF($F$6:INDEX($F:$F, ROW()-1), $F496)) : INDEX(W:W, ROW()-1)),
   AVERAGEIFS(
     INDEX((unit_details[Effective Rent],unit_details[Effective PSF]),0,1,IF($U$3="Chunk Rent",1,2)),
     unit_details[Leased Date],"&gt;="&amp;($AM$2-T$5),
     unit_details[Leased Date],"&lt;"&amp;$AM$2,
     unit_details[Beds],$L497,
     unit_details[Baths],$M497,
     unit_details[Partial Baths],IF(ISNUMBER($N497),$N497,""),
     unit_details[Sqft],$P497,
     unit_details[Property Name],$F497)
 ),"")</f>
        <v/>
      </c>
      <c r="V497" s="27" t="str">
        <f t="shared" si="87"/>
        <v/>
      </c>
      <c r="W497" s="526">
        <f>IFERROR(
  IF($F497="Total",
    SUM(INDEX(W:W, ROW()-COUNTIF($F$6:INDEX($F:$F, ROW()-1), $F496)) : INDEX(W:W, ROW()-1)),
    COUNTIFS(
      unit_details[Leased Date], "&gt;="&amp;($AM$2-T$5),
      unit_details[Leased Date], "&lt;"&amp;$AM$2,
      unit_details[Beds], $L497,
      unit_details[Baths], $M497,
      unit_details[Partial Baths], IF(ISNUMBER($N497), $N497, ""),
      unit_details[Sqft],$P497,
      unit_details[Property Name], $F497
    )
  ),
"")</f>
        <v>0</v>
      </c>
      <c r="X497" s="531" t="str">
        <f>IFERROR(
 IF($F497="Total",
   SUMPRODUCT(
   INDEX(X:X, ROW()-COUNTIF($F$6:INDEX($F:$F, ROW()-1), $F496)) : INDEX(X:X, ROW()-1),
   INDEX(AA:AA, ROW()-COUNTIF($F$6:INDEX($F:$F, ROW()-1), $F496)) : INDEX(AA:AA, ROW()-1)
   )
   /SUM(INDEX(AA:AA, ROW()-COUNTIF($F$6:INDEX($F:$F, ROW()-1), $F496)) : INDEX(AA:AA, ROW()-1)),
   AVERAGEIFS(
     INDEX((unit_details[Asking Rent],unit_details[Asking PSF]),0,1,IF($U$3="Chunk Rent",1,2)),
     unit_details[Leased Date],"&gt;="&amp;($AM$2-X$5),
     unit_details[Leased Date],"&lt;"&amp;$AM$2,
     unit_details[Beds],$L497,
     unit_details[Baths],$M497,
     unit_details[Partial Baths],IF(ISNUMBER($N497),$N497,""),
     unit_details[Sqft],$P497,
     unit_details[Property Name],$F497)
 ),"")</f>
        <v/>
      </c>
      <c r="Y497" s="552" t="str">
        <f>IFERROR(
 IF($F497="Total",
   SUMPRODUCT(
   INDEX(Y:Y, ROW()-COUNTIF($F$6:INDEX($F:$F, ROW()-1), $F496)) : INDEX(Y:Y, ROW()-1),
   INDEX(AA:AA, ROW()-COUNTIF($F$6:INDEX($F:$F, ROW()-1), $F496)) : INDEX(AA:AA, ROW()-1)
   )
   /SUM(INDEX(AA:AA, ROW()-COUNTIF($F$6:INDEX($F:$F, ROW()-1), $F496)) : INDEX(AA:AA, ROW()-1)),
   AVERAGEIFS(
     INDEX((unit_details[Effective Rent],unit_details[Effective PSF]),0,1,IF($U$3="Chunk Rent",1,2)),
     unit_details[Leased Date],"&gt;="&amp;($AM$2-X$5),
     unit_details[Leased Date],"&lt;"&amp;$AM$2,
     unit_details[Beds],$L497,
     unit_details[Baths],$M497,
     unit_details[Partial Baths],IF(ISNUMBER($N497),$N497,""),
     unit_details[Sqft],$P497,
     unit_details[Property Name],$F497)
 ),"")</f>
        <v/>
      </c>
      <c r="Z497" s="27" t="str">
        <f t="shared" si="88"/>
        <v/>
      </c>
      <c r="AA497" s="526">
        <f>IFERROR(
  IF($F497="Total",
    SUM(INDEX(AA:AA, ROW()-COUNTIF($F$6:INDEX($F:$F, ROW()-1), $F496)) : INDEX(AA:AA, ROW()-1)),
    COUNTIFS(
      unit_details[Leased Date], "&gt;="&amp;($AM$2-X$5),
      unit_details[Leased Date], "&lt;"&amp;$AM$2,
      unit_details[Beds], $L497,
      unit_details[Baths], $M497,
      unit_details[Partial Baths], IF(ISNUMBER($N497), $N497, ""),
      unit_details[Sqft],$P497,
      unit_details[Property Name], $F497
    )
  ),
"")</f>
        <v>0</v>
      </c>
      <c r="AB497" s="290">
        <f>IF($F497="Total",
SUM(INDEX(AB:AB, ROW()-COUNTIF($F$6:INDEX($F:$F, ROW()-1), $F496)) : INDEX(AB:AB, ROW()-1)),
COUNTIFS(unit_details[Active Listing?],TRUE,
          unit_details[Property Name], $F497,
          unit_details[Beds], $L497,
          unit_details[Baths], $M497,
          unit_details[Partial Baths],IF(ISNUMBER($N497),$N497,""),
          unit_details[Sqft],$P497))</f>
        <v>0</v>
      </c>
      <c r="AC497" s="27" t="str">
        <f t="shared" si="80"/>
        <v/>
      </c>
      <c r="AD497" s="293" t="str">
        <f>IFERROR(IF(AE497="","",IF($F497="Total",
SUMPRODUCT(
   INDEX(AD:AD, ROW()-COUNTIF($F$6:INDEX($F:$F, ROW()-1), $F496)) : INDEX(AD:AD, ROW()-1),
   INDEX(AB:AB, ROW()-COUNTIF($F$6:INDEX($F:$F, ROW()-1), $F496)) : INDEX(AB:AB, ROW()-1)
   )
   /SUM(INDEX(AB:AB, ROW()-COUNTIF($F$6:INDEX($F:$F, ROW()-1), $F496)) : INDEX(AB:AB, ROW()-1)),
          _xlfn.MINIFS(unit_details[Asking Rent],
          unit_details[Active Listing?],TRUE,
          unit_details[Property Name], $F497,
          unit_details[Beds], $L497,
          unit_details[Baths], $M497,
          unit_details[Partial Baths], IF(ISNUMBER($N497),$N497,""),
          unit_details[Sqft],$P497
))),"")</f>
        <v/>
      </c>
      <c r="AE497" s="5" t="str">
        <f>IFERROR(IF($F497="Total",
          SUMPRODUCT(
   INDEX(AE:AE, ROW()-COUNTIF($F$6:INDEX($F:$F, ROW()-1), $F496)) : INDEX(AE:AE, ROW()-1),
   INDEX(AB:AB, ROW()-COUNTIF($F$6:INDEX($F:$F, ROW()-1), $F496)) : INDEX(AB:AB, ROW()-1)
   )
   /SUM(INDEX(AB:AB, ROW()-COUNTIF($F$6:INDEX($F:$F, ROW()-1), $F496)) : INDEX(AB:AB, ROW()-1)),
          AVERAGEIFS(unit_details[Asking Rent],
          unit_details[Active Listing?],TRUE,
          unit_details[Property Name], $F497,
          unit_details[Beds], $L497,
          unit_details[Baths], $M497,
          unit_details[Partial Baths], IF(ISNUMBER($N497),$N497,""),
          unit_details[Sqft],$P497
)),"")</f>
        <v/>
      </c>
      <c r="AF497" s="5" t="str">
        <f>IFERROR(IF(AE497="","",IF($F497="Total",
SUMPRODUCT(
   INDEX(AF:AF, ROW()-COUNTIF($F$6:INDEX($F:$F, ROW()-1), $F496)) : INDEX(AF:AF, ROW()-1),
   INDEX(AB:AB, ROW()-COUNTIF($F$6:INDEX($F:$F, ROW()-1), $F496)) : INDEX(AB:AB, ROW()-1)
   )
   /SUM(INDEX(AB:AB, ROW()-COUNTIF($F$6:INDEX($F:$F, ROW()-1), $F496)) : INDEX(AB:AB, ROW()-1)),
           _xlfn.MAXIFS(unit_details[Asking Rent],
          unit_details[Active Listing?],TRUE,
          unit_details[Property Name], $F497,
          unit_details[Beds], $L497,
          unit_details[Baths], $M497,
          unit_details[Partial Baths], IF(ISNUMBER($N497),$N497,""),
          unit_details[Sqft],$P497
))),"")</f>
        <v/>
      </c>
      <c r="AG497" s="6" t="str">
        <f>IFERROR(IF($F497="Total",
         SUMPRODUCT(
         INDEX(AG:AG, ROW()-COUNTIF($F$6:INDEX($F:$F, ROW()-1), $F496)) : INDEX(AG:AG, ROW()-1),
         INDEX(AB:AB, ROW()-COUNTIF($F$6:INDEX($F:$F, ROW()-1), $F496)) : INDEX(AB:AB, ROW()-1)
         )
         /SUM(INDEX(AB:AB, ROW()-COUNTIF($F$6:INDEX($F:$F, ROW()-1), $F496)) : INDEX(AB:AB, ROW()-1)),
          AVERAGEIFS(unit_details[Asking PSF],
          unit_details[Active Listing?],TRUE,
          unit_details[Property Name], $F497,
          unit_details[Beds], $L497,
          unit_details[Baths], $M497,
          unit_details[Partial Baths], IF(ISNUMBER($N497),$N497,""),
          unit_details[Sqft],$P497
)),"")</f>
        <v/>
      </c>
      <c r="AH497" s="293" t="str">
        <f>IFERROR(IF($F497="Total",
         SUMPRODUCT(
         INDEX(AH:AH, ROW()-COUNTIF($F$6:INDEX($F:$F, ROW()-1), $F496)) : INDEX(AH:AH, ROW()-1),
         INDEX(AB:AB, ROW()-COUNTIF($F$6:INDEX($F:$F, ROW()-1), $F496)) : INDEX(AB:AB, ROW()-1)
         )
         /SUM(INDEX(AB:AB, ROW()-COUNTIF($F$6:INDEX($F:$F, ROW()-1), $F496)) : INDEX(AB:AB, ROW()-1)),
          AVERAGEIFS(unit_details[Effective Rent],
          unit_details[Active Listing?],TRUE,
          unit_details[Property Name], $F497,
          unit_details[Beds], $L497,
          unit_details[Baths], $M497,
          unit_details[Partial Baths], IF(ISNUMBER($N497),$N497,""),
          unit_details[Sqft],$P497
)),"")</f>
        <v/>
      </c>
      <c r="AI497" s="6" t="str">
        <f>IFERROR(IF($F497="Total",
         SUMPRODUCT(
         INDEX(AI:AI, ROW()-COUNTIF($F$6:INDEX($F:$F, ROW()-1), $F496)) : INDEX(AI:AI, ROW()-1),
         INDEX(AB:AB, ROW()-COUNTIF($F$6:INDEX($F:$F, ROW()-1), $F496)) : INDEX(AB:AB, ROW()-1)
         )
         /SUM(INDEX(AB:AB, ROW()-COUNTIF($F$6:INDEX($F:$F, ROW()-1), $F496)) : INDEX(AB:AB, ROW()-1)),
           AVERAGEIFS(unit_details[Effective PSF],
          unit_details[Active Listing?],TRUE,
          unit_details[Property Name], $F497,
          unit_details[Beds], $L497,
          unit_details[Baths], $M497,
          unit_details[Partial Baths], IF(ISNUMBER($N497),$N497,""),
          unit_details[Sqft],$P497
)),"")</f>
        <v/>
      </c>
      <c r="AJ497" s="824" t="str">
        <f t="shared" si="81"/>
        <v/>
      </c>
      <c r="AK497" s="531" t="str">
        <f t="shared" si="82"/>
        <v/>
      </c>
      <c r="AL497" s="714" t="str">
        <f t="shared" si="83"/>
        <v/>
      </c>
      <c r="AM497" s="531" t="str">
        <f t="shared" si="84"/>
        <v/>
      </c>
      <c r="AN497" s="716" t="str">
        <f t="shared" si="85"/>
        <v/>
      </c>
    </row>
    <row r="498" spans="6:40" x14ac:dyDescent="0.2">
      <c r="F498" s="1" t="str">
        <f t="shared" si="78"/>
        <v/>
      </c>
      <c r="G498" s="713" t="str">
        <f t="shared" si="86"/>
        <v/>
      </c>
      <c r="H498" s="17" t="str">
        <f>IFERROR(VLOOKUP($G498,Table1[[Property]:[Exposure %]],4,0),"")</f>
        <v/>
      </c>
      <c r="I498" s="3" t="str">
        <f>IFERROR(VLOOKUP($G498,Table1[[Property]:[Exposure %]],6,0),"")</f>
        <v/>
      </c>
      <c r="J498" s="3" t="str">
        <f>IFERROR(VLOOKUP($G498,Table1[[Property]:[Exposure %]],7,0),"")</f>
        <v/>
      </c>
      <c r="R498" s="4" t="str">
        <f>IFERROR(VLOOKUP(IF(F498="Total",F497,F498),Table1[[Property]:['# Units]],7,0)*S498,"")</f>
        <v/>
      </c>
      <c r="S498" s="27" t="str">
        <f t="shared" si="79"/>
        <v/>
      </c>
      <c r="T498" s="531" t="str">
        <f>IFERROR(
 IF($F498="Total",
   SUMPRODUCT(
   INDEX(T:T, ROW()-COUNTIF($F$6:INDEX($F:$F, ROW()-1), $F497)) : INDEX(T:T, ROW()-1),
   INDEX(W:W, ROW()-COUNTIF($F$6:INDEX($F:$F, ROW()-1), $F497)) : INDEX(W:W, ROW()-1)
   )
   /SUM(INDEX(W:W, ROW()-COUNTIF($F$6:INDEX($F:$F, ROW()-1), $F497)) : INDEX(W:W, ROW()-1)),
   AVERAGEIFS(
     INDEX((unit_details[Asking Rent],unit_details[Asking PSF]),0,1,IF($U$3="Chunk Rent",1,2)),
     unit_details[Leased Date],"&gt;="&amp;($AM$2-T$5),
     unit_details[Leased Date],"&lt;"&amp;$AM$2,
     unit_details[Beds],$L498,
     unit_details[Baths],$M498,
     unit_details[Partial Baths],IF(ISNUMBER($N498),$N498,""),
     unit_details[Sqft],$P498,
     unit_details[Property Name],$F498)
 ),"")</f>
        <v/>
      </c>
      <c r="U498" s="552" t="str">
        <f>IFERROR(
 IF($F498="Total",
   SUMPRODUCT(
   INDEX(U:U, ROW()-COUNTIF($F$6:INDEX($F:$F, ROW()-1), $F497)) : INDEX(U:U, ROW()-1),
   INDEX(W:W, ROW()-COUNTIF($F$6:INDEX($F:$F, ROW()-1), $F497)) : INDEX(W:W, ROW()-1)
   )
   /SUM(INDEX(W:W, ROW()-COUNTIF($F$6:INDEX($F:$F, ROW()-1), $F497)) : INDEX(W:W, ROW()-1)),
   AVERAGEIFS(
     INDEX((unit_details[Effective Rent],unit_details[Effective PSF]),0,1,IF($U$3="Chunk Rent",1,2)),
     unit_details[Leased Date],"&gt;="&amp;($AM$2-T$5),
     unit_details[Leased Date],"&lt;"&amp;$AM$2,
     unit_details[Beds],$L498,
     unit_details[Baths],$M498,
     unit_details[Partial Baths],IF(ISNUMBER($N498),$N498,""),
     unit_details[Sqft],$P498,
     unit_details[Property Name],$F498)
 ),"")</f>
        <v/>
      </c>
      <c r="V498" s="27" t="str">
        <f t="shared" si="87"/>
        <v/>
      </c>
      <c r="W498" s="526">
        <f>IFERROR(
  IF($F498="Total",
    SUM(INDEX(W:W, ROW()-COUNTIF($F$6:INDEX($F:$F, ROW()-1), $F497)) : INDEX(W:W, ROW()-1)),
    COUNTIFS(
      unit_details[Leased Date], "&gt;="&amp;($AM$2-T$5),
      unit_details[Leased Date], "&lt;"&amp;$AM$2,
      unit_details[Beds], $L498,
      unit_details[Baths], $M498,
      unit_details[Partial Baths], IF(ISNUMBER($N498), $N498, ""),
      unit_details[Sqft],$P498,
      unit_details[Property Name], $F498
    )
  ),
"")</f>
        <v>0</v>
      </c>
      <c r="X498" s="531" t="str">
        <f>IFERROR(
 IF($F498="Total",
   SUMPRODUCT(
   INDEX(X:X, ROW()-COUNTIF($F$6:INDEX($F:$F, ROW()-1), $F497)) : INDEX(X:X, ROW()-1),
   INDEX(AA:AA, ROW()-COUNTIF($F$6:INDEX($F:$F, ROW()-1), $F497)) : INDEX(AA:AA, ROW()-1)
   )
   /SUM(INDEX(AA:AA, ROW()-COUNTIF($F$6:INDEX($F:$F, ROW()-1), $F497)) : INDEX(AA:AA, ROW()-1)),
   AVERAGEIFS(
     INDEX((unit_details[Asking Rent],unit_details[Asking PSF]),0,1,IF($U$3="Chunk Rent",1,2)),
     unit_details[Leased Date],"&gt;="&amp;($AM$2-X$5),
     unit_details[Leased Date],"&lt;"&amp;$AM$2,
     unit_details[Beds],$L498,
     unit_details[Baths],$M498,
     unit_details[Partial Baths],IF(ISNUMBER($N498),$N498,""),
     unit_details[Sqft],$P498,
     unit_details[Property Name],$F498)
 ),"")</f>
        <v/>
      </c>
      <c r="Y498" s="552" t="str">
        <f>IFERROR(
 IF($F498="Total",
   SUMPRODUCT(
   INDEX(Y:Y, ROW()-COUNTIF($F$6:INDEX($F:$F, ROW()-1), $F497)) : INDEX(Y:Y, ROW()-1),
   INDEX(AA:AA, ROW()-COUNTIF($F$6:INDEX($F:$F, ROW()-1), $F497)) : INDEX(AA:AA, ROW()-1)
   )
   /SUM(INDEX(AA:AA, ROW()-COUNTIF($F$6:INDEX($F:$F, ROW()-1), $F497)) : INDEX(AA:AA, ROW()-1)),
   AVERAGEIFS(
     INDEX((unit_details[Effective Rent],unit_details[Effective PSF]),0,1,IF($U$3="Chunk Rent",1,2)),
     unit_details[Leased Date],"&gt;="&amp;($AM$2-X$5),
     unit_details[Leased Date],"&lt;"&amp;$AM$2,
     unit_details[Beds],$L498,
     unit_details[Baths],$M498,
     unit_details[Partial Baths],IF(ISNUMBER($N498),$N498,""),
     unit_details[Sqft],$P498,
     unit_details[Property Name],$F498)
 ),"")</f>
        <v/>
      </c>
      <c r="Z498" s="27" t="str">
        <f t="shared" si="88"/>
        <v/>
      </c>
      <c r="AA498" s="526">
        <f>IFERROR(
  IF($F498="Total",
    SUM(INDEX(AA:AA, ROW()-COUNTIF($F$6:INDEX($F:$F, ROW()-1), $F497)) : INDEX(AA:AA, ROW()-1)),
    COUNTIFS(
      unit_details[Leased Date], "&gt;="&amp;($AM$2-X$5),
      unit_details[Leased Date], "&lt;"&amp;$AM$2,
      unit_details[Beds], $L498,
      unit_details[Baths], $M498,
      unit_details[Partial Baths], IF(ISNUMBER($N498), $N498, ""),
      unit_details[Sqft],$P498,
      unit_details[Property Name], $F498
    )
  ),
"")</f>
        <v>0</v>
      </c>
      <c r="AB498" s="290">
        <f>IF($F498="Total",
SUM(INDEX(AB:AB, ROW()-COUNTIF($F$6:INDEX($F:$F, ROW()-1), $F497)) : INDEX(AB:AB, ROW()-1)),
COUNTIFS(unit_details[Active Listing?],TRUE,
          unit_details[Property Name], $F498,
          unit_details[Beds], $L498,
          unit_details[Baths], $M498,
          unit_details[Partial Baths],IF(ISNUMBER($N498),$N498,""),
          unit_details[Sqft],$P498))</f>
        <v>0</v>
      </c>
      <c r="AC498" s="27" t="str">
        <f t="shared" si="80"/>
        <v/>
      </c>
      <c r="AD498" s="293" t="str">
        <f>IFERROR(IF(AE498="","",IF($F498="Total",
SUMPRODUCT(
   INDEX(AD:AD, ROW()-COUNTIF($F$6:INDEX($F:$F, ROW()-1), $F497)) : INDEX(AD:AD, ROW()-1),
   INDEX(AB:AB, ROW()-COUNTIF($F$6:INDEX($F:$F, ROW()-1), $F497)) : INDEX(AB:AB, ROW()-1)
   )
   /SUM(INDEX(AB:AB, ROW()-COUNTIF($F$6:INDEX($F:$F, ROW()-1), $F497)) : INDEX(AB:AB, ROW()-1)),
          _xlfn.MINIFS(unit_details[Asking Rent],
          unit_details[Active Listing?],TRUE,
          unit_details[Property Name], $F498,
          unit_details[Beds], $L498,
          unit_details[Baths], $M498,
          unit_details[Partial Baths], IF(ISNUMBER($N498),$N498,""),
          unit_details[Sqft],$P498
))),"")</f>
        <v/>
      </c>
      <c r="AE498" s="5" t="str">
        <f>IFERROR(IF($F498="Total",
          SUMPRODUCT(
   INDEX(AE:AE, ROW()-COUNTIF($F$6:INDEX($F:$F, ROW()-1), $F497)) : INDEX(AE:AE, ROW()-1),
   INDEX(AB:AB, ROW()-COUNTIF($F$6:INDEX($F:$F, ROW()-1), $F497)) : INDEX(AB:AB, ROW()-1)
   )
   /SUM(INDEX(AB:AB, ROW()-COUNTIF($F$6:INDEX($F:$F, ROW()-1), $F497)) : INDEX(AB:AB, ROW()-1)),
          AVERAGEIFS(unit_details[Asking Rent],
          unit_details[Active Listing?],TRUE,
          unit_details[Property Name], $F498,
          unit_details[Beds], $L498,
          unit_details[Baths], $M498,
          unit_details[Partial Baths], IF(ISNUMBER($N498),$N498,""),
          unit_details[Sqft],$P498
)),"")</f>
        <v/>
      </c>
      <c r="AF498" s="5" t="str">
        <f>IFERROR(IF(AE498="","",IF($F498="Total",
SUMPRODUCT(
   INDEX(AF:AF, ROW()-COUNTIF($F$6:INDEX($F:$F, ROW()-1), $F497)) : INDEX(AF:AF, ROW()-1),
   INDEX(AB:AB, ROW()-COUNTIF($F$6:INDEX($F:$F, ROW()-1), $F497)) : INDEX(AB:AB, ROW()-1)
   )
   /SUM(INDEX(AB:AB, ROW()-COUNTIF($F$6:INDEX($F:$F, ROW()-1), $F497)) : INDEX(AB:AB, ROW()-1)),
           _xlfn.MAXIFS(unit_details[Asking Rent],
          unit_details[Active Listing?],TRUE,
          unit_details[Property Name], $F498,
          unit_details[Beds], $L498,
          unit_details[Baths], $M498,
          unit_details[Partial Baths], IF(ISNUMBER($N498),$N498,""),
          unit_details[Sqft],$P498
))),"")</f>
        <v/>
      </c>
      <c r="AG498" s="6" t="str">
        <f>IFERROR(IF($F498="Total",
         SUMPRODUCT(
         INDEX(AG:AG, ROW()-COUNTIF($F$6:INDEX($F:$F, ROW()-1), $F497)) : INDEX(AG:AG, ROW()-1),
         INDEX(AB:AB, ROW()-COUNTIF($F$6:INDEX($F:$F, ROW()-1), $F497)) : INDEX(AB:AB, ROW()-1)
         )
         /SUM(INDEX(AB:AB, ROW()-COUNTIF($F$6:INDEX($F:$F, ROW()-1), $F497)) : INDEX(AB:AB, ROW()-1)),
          AVERAGEIFS(unit_details[Asking PSF],
          unit_details[Active Listing?],TRUE,
          unit_details[Property Name], $F498,
          unit_details[Beds], $L498,
          unit_details[Baths], $M498,
          unit_details[Partial Baths], IF(ISNUMBER($N498),$N498,""),
          unit_details[Sqft],$P498
)),"")</f>
        <v/>
      </c>
      <c r="AH498" s="293" t="str">
        <f>IFERROR(IF($F498="Total",
         SUMPRODUCT(
         INDEX(AH:AH, ROW()-COUNTIF($F$6:INDEX($F:$F, ROW()-1), $F497)) : INDEX(AH:AH, ROW()-1),
         INDEX(AB:AB, ROW()-COUNTIF($F$6:INDEX($F:$F, ROW()-1), $F497)) : INDEX(AB:AB, ROW()-1)
         )
         /SUM(INDEX(AB:AB, ROW()-COUNTIF($F$6:INDEX($F:$F, ROW()-1), $F497)) : INDEX(AB:AB, ROW()-1)),
          AVERAGEIFS(unit_details[Effective Rent],
          unit_details[Active Listing?],TRUE,
          unit_details[Property Name], $F498,
          unit_details[Beds], $L498,
          unit_details[Baths], $M498,
          unit_details[Partial Baths], IF(ISNUMBER($N498),$N498,""),
          unit_details[Sqft],$P498
)),"")</f>
        <v/>
      </c>
      <c r="AI498" s="6" t="str">
        <f>IFERROR(IF($F498="Total",
         SUMPRODUCT(
         INDEX(AI:AI, ROW()-COUNTIF($F$6:INDEX($F:$F, ROW()-1), $F497)) : INDEX(AI:AI, ROW()-1),
         INDEX(AB:AB, ROW()-COUNTIF($F$6:INDEX($F:$F, ROW()-1), $F497)) : INDEX(AB:AB, ROW()-1)
         )
         /SUM(INDEX(AB:AB, ROW()-COUNTIF($F$6:INDEX($F:$F, ROW()-1), $F497)) : INDEX(AB:AB, ROW()-1)),
           AVERAGEIFS(unit_details[Effective PSF],
          unit_details[Active Listing?],TRUE,
          unit_details[Property Name], $F498,
          unit_details[Beds], $L498,
          unit_details[Baths], $M498,
          unit_details[Partial Baths], IF(ISNUMBER($N498),$N498,""),
          unit_details[Sqft],$P498
)),"")</f>
        <v/>
      </c>
      <c r="AJ498" s="824" t="str">
        <f t="shared" si="81"/>
        <v/>
      </c>
      <c r="AK498" s="531" t="str">
        <f t="shared" si="82"/>
        <v/>
      </c>
      <c r="AL498" s="714" t="str">
        <f t="shared" si="83"/>
        <v/>
      </c>
      <c r="AM498" s="531" t="str">
        <f t="shared" si="84"/>
        <v/>
      </c>
      <c r="AN498" s="716" t="str">
        <f t="shared" si="85"/>
        <v/>
      </c>
    </row>
    <row r="499" spans="6:40" x14ac:dyDescent="0.2">
      <c r="F499" s="1" t="str">
        <f t="shared" si="78"/>
        <v/>
      </c>
      <c r="G499" s="713" t="str">
        <f t="shared" si="86"/>
        <v/>
      </c>
      <c r="H499" s="17" t="str">
        <f>IFERROR(VLOOKUP($G499,Table1[[Property]:[Exposure %]],4,0),"")</f>
        <v/>
      </c>
      <c r="I499" s="3" t="str">
        <f>IFERROR(VLOOKUP($G499,Table1[[Property]:[Exposure %]],6,0),"")</f>
        <v/>
      </c>
      <c r="J499" s="3" t="str">
        <f>IFERROR(VLOOKUP($G499,Table1[[Property]:[Exposure %]],7,0),"")</f>
        <v/>
      </c>
      <c r="R499" s="4" t="str">
        <f>IFERROR(VLOOKUP(IF(F499="Total",F498,F499),Table1[[Property]:['# Units]],7,0)*S499,"")</f>
        <v/>
      </c>
      <c r="S499" s="27" t="str">
        <f t="shared" si="79"/>
        <v/>
      </c>
      <c r="T499" s="531" t="str">
        <f>IFERROR(
 IF($F499="Total",
   SUMPRODUCT(
   INDEX(T:T, ROW()-COUNTIF($F$6:INDEX($F:$F, ROW()-1), $F498)) : INDEX(T:T, ROW()-1),
   INDEX(W:W, ROW()-COUNTIF($F$6:INDEX($F:$F, ROW()-1), $F498)) : INDEX(W:W, ROW()-1)
   )
   /SUM(INDEX(W:W, ROW()-COUNTIF($F$6:INDEX($F:$F, ROW()-1), $F498)) : INDEX(W:W, ROW()-1)),
   AVERAGEIFS(
     INDEX((unit_details[Asking Rent],unit_details[Asking PSF]),0,1,IF($U$3="Chunk Rent",1,2)),
     unit_details[Leased Date],"&gt;="&amp;($AM$2-T$5),
     unit_details[Leased Date],"&lt;"&amp;$AM$2,
     unit_details[Beds],$L499,
     unit_details[Baths],$M499,
     unit_details[Partial Baths],IF(ISNUMBER($N499),$N499,""),
     unit_details[Sqft],$P499,
     unit_details[Property Name],$F499)
 ),"")</f>
        <v/>
      </c>
      <c r="U499" s="552" t="str">
        <f>IFERROR(
 IF($F499="Total",
   SUMPRODUCT(
   INDEX(U:U, ROW()-COUNTIF($F$6:INDEX($F:$F, ROW()-1), $F498)) : INDEX(U:U, ROW()-1),
   INDEX(W:W, ROW()-COUNTIF($F$6:INDEX($F:$F, ROW()-1), $F498)) : INDEX(W:W, ROW()-1)
   )
   /SUM(INDEX(W:W, ROW()-COUNTIF($F$6:INDEX($F:$F, ROW()-1), $F498)) : INDEX(W:W, ROW()-1)),
   AVERAGEIFS(
     INDEX((unit_details[Effective Rent],unit_details[Effective PSF]),0,1,IF($U$3="Chunk Rent",1,2)),
     unit_details[Leased Date],"&gt;="&amp;($AM$2-T$5),
     unit_details[Leased Date],"&lt;"&amp;$AM$2,
     unit_details[Beds],$L499,
     unit_details[Baths],$M499,
     unit_details[Partial Baths],IF(ISNUMBER($N499),$N499,""),
     unit_details[Sqft],$P499,
     unit_details[Property Name],$F499)
 ),"")</f>
        <v/>
      </c>
      <c r="V499" s="27" t="str">
        <f t="shared" si="87"/>
        <v/>
      </c>
      <c r="W499" s="526">
        <f>IFERROR(
  IF($F499="Total",
    SUM(INDEX(W:W, ROW()-COUNTIF($F$6:INDEX($F:$F, ROW()-1), $F498)) : INDEX(W:W, ROW()-1)),
    COUNTIFS(
      unit_details[Leased Date], "&gt;="&amp;($AM$2-T$5),
      unit_details[Leased Date], "&lt;"&amp;$AM$2,
      unit_details[Beds], $L499,
      unit_details[Baths], $M499,
      unit_details[Partial Baths], IF(ISNUMBER($N499), $N499, ""),
      unit_details[Sqft],$P499,
      unit_details[Property Name], $F499
    )
  ),
"")</f>
        <v>0</v>
      </c>
      <c r="X499" s="531" t="str">
        <f>IFERROR(
 IF($F499="Total",
   SUMPRODUCT(
   INDEX(X:X, ROW()-COUNTIF($F$6:INDEX($F:$F, ROW()-1), $F498)) : INDEX(X:X, ROW()-1),
   INDEX(AA:AA, ROW()-COUNTIF($F$6:INDEX($F:$F, ROW()-1), $F498)) : INDEX(AA:AA, ROW()-1)
   )
   /SUM(INDEX(AA:AA, ROW()-COUNTIF($F$6:INDEX($F:$F, ROW()-1), $F498)) : INDEX(AA:AA, ROW()-1)),
   AVERAGEIFS(
     INDEX((unit_details[Asking Rent],unit_details[Asking PSF]),0,1,IF($U$3="Chunk Rent",1,2)),
     unit_details[Leased Date],"&gt;="&amp;($AM$2-X$5),
     unit_details[Leased Date],"&lt;"&amp;$AM$2,
     unit_details[Beds],$L499,
     unit_details[Baths],$M499,
     unit_details[Partial Baths],IF(ISNUMBER($N499),$N499,""),
     unit_details[Sqft],$P499,
     unit_details[Property Name],$F499)
 ),"")</f>
        <v/>
      </c>
      <c r="Y499" s="552" t="str">
        <f>IFERROR(
 IF($F499="Total",
   SUMPRODUCT(
   INDEX(Y:Y, ROW()-COUNTIF($F$6:INDEX($F:$F, ROW()-1), $F498)) : INDEX(Y:Y, ROW()-1),
   INDEX(AA:AA, ROW()-COUNTIF($F$6:INDEX($F:$F, ROW()-1), $F498)) : INDEX(AA:AA, ROW()-1)
   )
   /SUM(INDEX(AA:AA, ROW()-COUNTIF($F$6:INDEX($F:$F, ROW()-1), $F498)) : INDEX(AA:AA, ROW()-1)),
   AVERAGEIFS(
     INDEX((unit_details[Effective Rent],unit_details[Effective PSF]),0,1,IF($U$3="Chunk Rent",1,2)),
     unit_details[Leased Date],"&gt;="&amp;($AM$2-X$5),
     unit_details[Leased Date],"&lt;"&amp;$AM$2,
     unit_details[Beds],$L499,
     unit_details[Baths],$M499,
     unit_details[Partial Baths],IF(ISNUMBER($N499),$N499,""),
     unit_details[Sqft],$P499,
     unit_details[Property Name],$F499)
 ),"")</f>
        <v/>
      </c>
      <c r="Z499" s="27" t="str">
        <f t="shared" si="88"/>
        <v/>
      </c>
      <c r="AA499" s="526">
        <f>IFERROR(
  IF($F499="Total",
    SUM(INDEX(AA:AA, ROW()-COUNTIF($F$6:INDEX($F:$F, ROW()-1), $F498)) : INDEX(AA:AA, ROW()-1)),
    COUNTIFS(
      unit_details[Leased Date], "&gt;="&amp;($AM$2-X$5),
      unit_details[Leased Date], "&lt;"&amp;$AM$2,
      unit_details[Beds], $L499,
      unit_details[Baths], $M499,
      unit_details[Partial Baths], IF(ISNUMBER($N499), $N499, ""),
      unit_details[Sqft],$P499,
      unit_details[Property Name], $F499
    )
  ),
"")</f>
        <v>0</v>
      </c>
      <c r="AB499" s="290">
        <f>IF($F499="Total",
SUM(INDEX(AB:AB, ROW()-COUNTIF($F$6:INDEX($F:$F, ROW()-1), $F498)) : INDEX(AB:AB, ROW()-1)),
COUNTIFS(unit_details[Active Listing?],TRUE,
          unit_details[Property Name], $F499,
          unit_details[Beds], $L499,
          unit_details[Baths], $M499,
          unit_details[Partial Baths],IF(ISNUMBER($N499),$N499,""),
          unit_details[Sqft],$P499))</f>
        <v>0</v>
      </c>
      <c r="AC499" s="27" t="str">
        <f t="shared" si="80"/>
        <v/>
      </c>
      <c r="AD499" s="293" t="str">
        <f>IFERROR(IF(AE499="","",IF($F499="Total",
SUMPRODUCT(
   INDEX(AD:AD, ROW()-COUNTIF($F$6:INDEX($F:$F, ROW()-1), $F498)) : INDEX(AD:AD, ROW()-1),
   INDEX(AB:AB, ROW()-COUNTIF($F$6:INDEX($F:$F, ROW()-1), $F498)) : INDEX(AB:AB, ROW()-1)
   )
   /SUM(INDEX(AB:AB, ROW()-COUNTIF($F$6:INDEX($F:$F, ROW()-1), $F498)) : INDEX(AB:AB, ROW()-1)),
          _xlfn.MINIFS(unit_details[Asking Rent],
          unit_details[Active Listing?],TRUE,
          unit_details[Property Name], $F499,
          unit_details[Beds], $L499,
          unit_details[Baths], $M499,
          unit_details[Partial Baths], IF(ISNUMBER($N499),$N499,""),
          unit_details[Sqft],$P499
))),"")</f>
        <v/>
      </c>
      <c r="AE499" s="5" t="str">
        <f>IFERROR(IF($F499="Total",
          SUMPRODUCT(
   INDEX(AE:AE, ROW()-COUNTIF($F$6:INDEX($F:$F, ROW()-1), $F498)) : INDEX(AE:AE, ROW()-1),
   INDEX(AB:AB, ROW()-COUNTIF($F$6:INDEX($F:$F, ROW()-1), $F498)) : INDEX(AB:AB, ROW()-1)
   )
   /SUM(INDEX(AB:AB, ROW()-COUNTIF($F$6:INDEX($F:$F, ROW()-1), $F498)) : INDEX(AB:AB, ROW()-1)),
          AVERAGEIFS(unit_details[Asking Rent],
          unit_details[Active Listing?],TRUE,
          unit_details[Property Name], $F499,
          unit_details[Beds], $L499,
          unit_details[Baths], $M499,
          unit_details[Partial Baths], IF(ISNUMBER($N499),$N499,""),
          unit_details[Sqft],$P499
)),"")</f>
        <v/>
      </c>
      <c r="AF499" s="5" t="str">
        <f>IFERROR(IF(AE499="","",IF($F499="Total",
SUMPRODUCT(
   INDEX(AF:AF, ROW()-COUNTIF($F$6:INDEX($F:$F, ROW()-1), $F498)) : INDEX(AF:AF, ROW()-1),
   INDEX(AB:AB, ROW()-COUNTIF($F$6:INDEX($F:$F, ROW()-1), $F498)) : INDEX(AB:AB, ROW()-1)
   )
   /SUM(INDEX(AB:AB, ROW()-COUNTIF($F$6:INDEX($F:$F, ROW()-1), $F498)) : INDEX(AB:AB, ROW()-1)),
           _xlfn.MAXIFS(unit_details[Asking Rent],
          unit_details[Active Listing?],TRUE,
          unit_details[Property Name], $F499,
          unit_details[Beds], $L499,
          unit_details[Baths], $M499,
          unit_details[Partial Baths], IF(ISNUMBER($N499),$N499,""),
          unit_details[Sqft],$P499
))),"")</f>
        <v/>
      </c>
      <c r="AG499" s="6" t="str">
        <f>IFERROR(IF($F499="Total",
         SUMPRODUCT(
         INDEX(AG:AG, ROW()-COUNTIF($F$6:INDEX($F:$F, ROW()-1), $F498)) : INDEX(AG:AG, ROW()-1),
         INDEX(AB:AB, ROW()-COUNTIF($F$6:INDEX($F:$F, ROW()-1), $F498)) : INDEX(AB:AB, ROW()-1)
         )
         /SUM(INDEX(AB:AB, ROW()-COUNTIF($F$6:INDEX($F:$F, ROW()-1), $F498)) : INDEX(AB:AB, ROW()-1)),
          AVERAGEIFS(unit_details[Asking PSF],
          unit_details[Active Listing?],TRUE,
          unit_details[Property Name], $F499,
          unit_details[Beds], $L499,
          unit_details[Baths], $M499,
          unit_details[Partial Baths], IF(ISNUMBER($N499),$N499,""),
          unit_details[Sqft],$P499
)),"")</f>
        <v/>
      </c>
      <c r="AH499" s="293" t="str">
        <f>IFERROR(IF($F499="Total",
         SUMPRODUCT(
         INDEX(AH:AH, ROW()-COUNTIF($F$6:INDEX($F:$F, ROW()-1), $F498)) : INDEX(AH:AH, ROW()-1),
         INDEX(AB:AB, ROW()-COUNTIF($F$6:INDEX($F:$F, ROW()-1), $F498)) : INDEX(AB:AB, ROW()-1)
         )
         /SUM(INDEX(AB:AB, ROW()-COUNTIF($F$6:INDEX($F:$F, ROW()-1), $F498)) : INDEX(AB:AB, ROW()-1)),
          AVERAGEIFS(unit_details[Effective Rent],
          unit_details[Active Listing?],TRUE,
          unit_details[Property Name], $F499,
          unit_details[Beds], $L499,
          unit_details[Baths], $M499,
          unit_details[Partial Baths], IF(ISNUMBER($N499),$N499,""),
          unit_details[Sqft],$P499
)),"")</f>
        <v/>
      </c>
      <c r="AI499" s="6" t="str">
        <f>IFERROR(IF($F499="Total",
         SUMPRODUCT(
         INDEX(AI:AI, ROW()-COUNTIF($F$6:INDEX($F:$F, ROW()-1), $F498)) : INDEX(AI:AI, ROW()-1),
         INDEX(AB:AB, ROW()-COUNTIF($F$6:INDEX($F:$F, ROW()-1), $F498)) : INDEX(AB:AB, ROW()-1)
         )
         /SUM(INDEX(AB:AB, ROW()-COUNTIF($F$6:INDEX($F:$F, ROW()-1), $F498)) : INDEX(AB:AB, ROW()-1)),
           AVERAGEIFS(unit_details[Effective PSF],
          unit_details[Active Listing?],TRUE,
          unit_details[Property Name], $F499,
          unit_details[Beds], $L499,
          unit_details[Baths], $M499,
          unit_details[Partial Baths], IF(ISNUMBER($N499),$N499,""),
          unit_details[Sqft],$P499
)),"")</f>
        <v/>
      </c>
      <c r="AJ499" s="824" t="str">
        <f t="shared" si="81"/>
        <v/>
      </c>
      <c r="AK499" s="531" t="str">
        <f t="shared" si="82"/>
        <v/>
      </c>
      <c r="AL499" s="714" t="str">
        <f t="shared" si="83"/>
        <v/>
      </c>
      <c r="AM499" s="531" t="str">
        <f t="shared" si="84"/>
        <v/>
      </c>
      <c r="AN499" s="716" t="str">
        <f t="shared" si="85"/>
        <v/>
      </c>
    </row>
    <row r="500" spans="6:40" x14ac:dyDescent="0.2">
      <c r="F500" s="1" t="str">
        <f t="shared" si="78"/>
        <v/>
      </c>
      <c r="G500" s="713" t="str">
        <f t="shared" si="86"/>
        <v/>
      </c>
      <c r="H500" s="17" t="str">
        <f>IFERROR(VLOOKUP($G500,Table1[[Property]:[Exposure %]],4,0),"")</f>
        <v/>
      </c>
      <c r="I500" s="3" t="str">
        <f>IFERROR(VLOOKUP($G500,Table1[[Property]:[Exposure %]],6,0),"")</f>
        <v/>
      </c>
      <c r="J500" s="3" t="str">
        <f>IFERROR(VLOOKUP($G500,Table1[[Property]:[Exposure %]],7,0),"")</f>
        <v/>
      </c>
      <c r="R500" s="4" t="str">
        <f>IFERROR(VLOOKUP(IF(F500="Total",F499,F500),Table1[[Property]:['# Units]],7,0)*S500,"")</f>
        <v/>
      </c>
      <c r="S500" s="27" t="str">
        <f t="shared" si="79"/>
        <v/>
      </c>
      <c r="T500" s="531" t="str">
        <f>IFERROR(
 IF($F500="Total",
   SUMPRODUCT(
   INDEX(T:T, ROW()-COUNTIF($F$6:INDEX($F:$F, ROW()-1), $F499)) : INDEX(T:T, ROW()-1),
   INDEX(W:W, ROW()-COUNTIF($F$6:INDEX($F:$F, ROW()-1), $F499)) : INDEX(W:W, ROW()-1)
   )
   /SUM(INDEX(W:W, ROW()-COUNTIF($F$6:INDEX($F:$F, ROW()-1), $F499)) : INDEX(W:W, ROW()-1)),
   AVERAGEIFS(
     INDEX((unit_details[Asking Rent],unit_details[Asking PSF]),0,1,IF($U$3="Chunk Rent",1,2)),
     unit_details[Leased Date],"&gt;="&amp;($AM$2-T$5),
     unit_details[Leased Date],"&lt;"&amp;$AM$2,
     unit_details[Beds],$L500,
     unit_details[Baths],$M500,
     unit_details[Partial Baths],IF(ISNUMBER($N500),$N500,""),
     unit_details[Sqft],$P500,
     unit_details[Property Name],$F500)
 ),"")</f>
        <v/>
      </c>
      <c r="U500" s="552" t="str">
        <f>IFERROR(
 IF($F500="Total",
   SUMPRODUCT(
   INDEX(U:U, ROW()-COUNTIF($F$6:INDEX($F:$F, ROW()-1), $F499)) : INDEX(U:U, ROW()-1),
   INDEX(W:W, ROW()-COUNTIF($F$6:INDEX($F:$F, ROW()-1), $F499)) : INDEX(W:W, ROW()-1)
   )
   /SUM(INDEX(W:W, ROW()-COUNTIF($F$6:INDEX($F:$F, ROW()-1), $F499)) : INDEX(W:W, ROW()-1)),
   AVERAGEIFS(
     INDEX((unit_details[Effective Rent],unit_details[Effective PSF]),0,1,IF($U$3="Chunk Rent",1,2)),
     unit_details[Leased Date],"&gt;="&amp;($AM$2-T$5),
     unit_details[Leased Date],"&lt;"&amp;$AM$2,
     unit_details[Beds],$L500,
     unit_details[Baths],$M500,
     unit_details[Partial Baths],IF(ISNUMBER($N500),$N500,""),
     unit_details[Sqft],$P500,
     unit_details[Property Name],$F500)
 ),"")</f>
        <v/>
      </c>
      <c r="V500" s="27" t="str">
        <f t="shared" si="87"/>
        <v/>
      </c>
      <c r="W500" s="526">
        <f>IFERROR(
  IF($F500="Total",
    SUM(INDEX(W:W, ROW()-COUNTIF($F$6:INDEX($F:$F, ROW()-1), $F499)) : INDEX(W:W, ROW()-1)),
    COUNTIFS(
      unit_details[Leased Date], "&gt;="&amp;($AM$2-T$5),
      unit_details[Leased Date], "&lt;"&amp;$AM$2,
      unit_details[Beds], $L500,
      unit_details[Baths], $M500,
      unit_details[Partial Baths], IF(ISNUMBER($N500), $N500, ""),
      unit_details[Sqft],$P500,
      unit_details[Property Name], $F500
    )
  ),
"")</f>
        <v>0</v>
      </c>
      <c r="X500" s="531" t="str">
        <f>IFERROR(
 IF($F500="Total",
   SUMPRODUCT(
   INDEX(X:X, ROW()-COUNTIF($F$6:INDEX($F:$F, ROW()-1), $F499)) : INDEX(X:X, ROW()-1),
   INDEX(AA:AA, ROW()-COUNTIF($F$6:INDEX($F:$F, ROW()-1), $F499)) : INDEX(AA:AA, ROW()-1)
   )
   /SUM(INDEX(AA:AA, ROW()-COUNTIF($F$6:INDEX($F:$F, ROW()-1), $F499)) : INDEX(AA:AA, ROW()-1)),
   AVERAGEIFS(
     INDEX((unit_details[Asking Rent],unit_details[Asking PSF]),0,1,IF($U$3="Chunk Rent",1,2)),
     unit_details[Leased Date],"&gt;="&amp;($AM$2-X$5),
     unit_details[Leased Date],"&lt;"&amp;$AM$2,
     unit_details[Beds],$L500,
     unit_details[Baths],$M500,
     unit_details[Partial Baths],IF(ISNUMBER($N500),$N500,""),
     unit_details[Sqft],$P500,
     unit_details[Property Name],$F500)
 ),"")</f>
        <v/>
      </c>
      <c r="Y500" s="552" t="str">
        <f>IFERROR(
 IF($F500="Total",
   SUMPRODUCT(
   INDEX(Y:Y, ROW()-COUNTIF($F$6:INDEX($F:$F, ROW()-1), $F499)) : INDEX(Y:Y, ROW()-1),
   INDEX(AA:AA, ROW()-COUNTIF($F$6:INDEX($F:$F, ROW()-1), $F499)) : INDEX(AA:AA, ROW()-1)
   )
   /SUM(INDEX(AA:AA, ROW()-COUNTIF($F$6:INDEX($F:$F, ROW()-1), $F499)) : INDEX(AA:AA, ROW()-1)),
   AVERAGEIFS(
     INDEX((unit_details[Effective Rent],unit_details[Effective PSF]),0,1,IF($U$3="Chunk Rent",1,2)),
     unit_details[Leased Date],"&gt;="&amp;($AM$2-X$5),
     unit_details[Leased Date],"&lt;"&amp;$AM$2,
     unit_details[Beds],$L500,
     unit_details[Baths],$M500,
     unit_details[Partial Baths],IF(ISNUMBER($N500),$N500,""),
     unit_details[Sqft],$P500,
     unit_details[Property Name],$F500)
 ),"")</f>
        <v/>
      </c>
      <c r="Z500" s="27" t="str">
        <f t="shared" si="88"/>
        <v/>
      </c>
      <c r="AA500" s="526">
        <f>IFERROR(
  IF($F500="Total",
    SUM(INDEX(AA:AA, ROW()-COUNTIF($F$6:INDEX($F:$F, ROW()-1), $F499)) : INDEX(AA:AA, ROW()-1)),
    COUNTIFS(
      unit_details[Leased Date], "&gt;="&amp;($AM$2-X$5),
      unit_details[Leased Date], "&lt;"&amp;$AM$2,
      unit_details[Beds], $L500,
      unit_details[Baths], $M500,
      unit_details[Partial Baths], IF(ISNUMBER($N500), $N500, ""),
      unit_details[Sqft],$P500,
      unit_details[Property Name], $F500
    )
  ),
"")</f>
        <v>0</v>
      </c>
      <c r="AB500" s="290">
        <f>IF($F500="Total",
SUM(INDEX(AB:AB, ROW()-COUNTIF($F$6:INDEX($F:$F, ROW()-1), $F499)) : INDEX(AB:AB, ROW()-1)),
COUNTIFS(unit_details[Active Listing?],TRUE,
          unit_details[Property Name], $F500,
          unit_details[Beds], $L500,
          unit_details[Baths], $M500,
          unit_details[Partial Baths],IF(ISNUMBER($N500),$N500,""),
          unit_details[Sqft],$P500))</f>
        <v>0</v>
      </c>
      <c r="AC500" s="27" t="str">
        <f t="shared" si="80"/>
        <v/>
      </c>
      <c r="AD500" s="293" t="str">
        <f>IFERROR(IF(AE500="","",IF($F500="Total",
SUMPRODUCT(
   INDEX(AD:AD, ROW()-COUNTIF($F$6:INDEX($F:$F, ROW()-1), $F499)) : INDEX(AD:AD, ROW()-1),
   INDEX(AB:AB, ROW()-COUNTIF($F$6:INDEX($F:$F, ROW()-1), $F499)) : INDEX(AB:AB, ROW()-1)
   )
   /SUM(INDEX(AB:AB, ROW()-COUNTIF($F$6:INDEX($F:$F, ROW()-1), $F499)) : INDEX(AB:AB, ROW()-1)),
          _xlfn.MINIFS(unit_details[Asking Rent],
          unit_details[Active Listing?],TRUE,
          unit_details[Property Name], $F500,
          unit_details[Beds], $L500,
          unit_details[Baths], $M500,
          unit_details[Partial Baths], IF(ISNUMBER($N500),$N500,""),
          unit_details[Sqft],$P500
))),"")</f>
        <v/>
      </c>
      <c r="AE500" s="5" t="str">
        <f>IFERROR(IF($F500="Total",
          SUMPRODUCT(
   INDEX(AE:AE, ROW()-COUNTIF($F$6:INDEX($F:$F, ROW()-1), $F499)) : INDEX(AE:AE, ROW()-1),
   INDEX(AB:AB, ROW()-COUNTIF($F$6:INDEX($F:$F, ROW()-1), $F499)) : INDEX(AB:AB, ROW()-1)
   )
   /SUM(INDEX(AB:AB, ROW()-COUNTIF($F$6:INDEX($F:$F, ROW()-1), $F499)) : INDEX(AB:AB, ROW()-1)),
          AVERAGEIFS(unit_details[Asking Rent],
          unit_details[Active Listing?],TRUE,
          unit_details[Property Name], $F500,
          unit_details[Beds], $L500,
          unit_details[Baths], $M500,
          unit_details[Partial Baths], IF(ISNUMBER($N500),$N500,""),
          unit_details[Sqft],$P500
)),"")</f>
        <v/>
      </c>
      <c r="AF500" s="5" t="str">
        <f>IFERROR(IF(AE500="","",IF($F500="Total",
SUMPRODUCT(
   INDEX(AF:AF, ROW()-COUNTIF($F$6:INDEX($F:$F, ROW()-1), $F499)) : INDEX(AF:AF, ROW()-1),
   INDEX(AB:AB, ROW()-COUNTIF($F$6:INDEX($F:$F, ROW()-1), $F499)) : INDEX(AB:AB, ROW()-1)
   )
   /SUM(INDEX(AB:AB, ROW()-COUNTIF($F$6:INDEX($F:$F, ROW()-1), $F499)) : INDEX(AB:AB, ROW()-1)),
           _xlfn.MAXIFS(unit_details[Asking Rent],
          unit_details[Active Listing?],TRUE,
          unit_details[Property Name], $F500,
          unit_details[Beds], $L500,
          unit_details[Baths], $M500,
          unit_details[Partial Baths], IF(ISNUMBER($N500),$N500,""),
          unit_details[Sqft],$P500
))),"")</f>
        <v/>
      </c>
      <c r="AG500" s="6" t="str">
        <f>IFERROR(IF($F500="Total",
         SUMPRODUCT(
         INDEX(AG:AG, ROW()-COUNTIF($F$6:INDEX($F:$F, ROW()-1), $F499)) : INDEX(AG:AG, ROW()-1),
         INDEX(AB:AB, ROW()-COUNTIF($F$6:INDEX($F:$F, ROW()-1), $F499)) : INDEX(AB:AB, ROW()-1)
         )
         /SUM(INDEX(AB:AB, ROW()-COUNTIF($F$6:INDEX($F:$F, ROW()-1), $F499)) : INDEX(AB:AB, ROW()-1)),
          AVERAGEIFS(unit_details[Asking PSF],
          unit_details[Active Listing?],TRUE,
          unit_details[Property Name], $F500,
          unit_details[Beds], $L500,
          unit_details[Baths], $M500,
          unit_details[Partial Baths], IF(ISNUMBER($N500),$N500,""),
          unit_details[Sqft],$P500
)),"")</f>
        <v/>
      </c>
      <c r="AH500" s="293" t="str">
        <f>IFERROR(IF($F500="Total",
         SUMPRODUCT(
         INDEX(AH:AH, ROW()-COUNTIF($F$6:INDEX($F:$F, ROW()-1), $F499)) : INDEX(AH:AH, ROW()-1),
         INDEX(AB:AB, ROW()-COUNTIF($F$6:INDEX($F:$F, ROW()-1), $F499)) : INDEX(AB:AB, ROW()-1)
         )
         /SUM(INDEX(AB:AB, ROW()-COUNTIF($F$6:INDEX($F:$F, ROW()-1), $F499)) : INDEX(AB:AB, ROW()-1)),
          AVERAGEIFS(unit_details[Effective Rent],
          unit_details[Active Listing?],TRUE,
          unit_details[Property Name], $F500,
          unit_details[Beds], $L500,
          unit_details[Baths], $M500,
          unit_details[Partial Baths], IF(ISNUMBER($N500),$N500,""),
          unit_details[Sqft],$P500
)),"")</f>
        <v/>
      </c>
      <c r="AI500" s="6" t="str">
        <f>IFERROR(IF($F500="Total",
         SUMPRODUCT(
         INDEX(AI:AI, ROW()-COUNTIF($F$6:INDEX($F:$F, ROW()-1), $F499)) : INDEX(AI:AI, ROW()-1),
         INDEX(AB:AB, ROW()-COUNTIF($F$6:INDEX($F:$F, ROW()-1), $F499)) : INDEX(AB:AB, ROW()-1)
         )
         /SUM(INDEX(AB:AB, ROW()-COUNTIF($F$6:INDEX($F:$F, ROW()-1), $F499)) : INDEX(AB:AB, ROW()-1)),
           AVERAGEIFS(unit_details[Effective PSF],
          unit_details[Active Listing?],TRUE,
          unit_details[Property Name], $F500,
          unit_details[Beds], $L500,
          unit_details[Baths], $M500,
          unit_details[Partial Baths], IF(ISNUMBER($N500),$N500,""),
          unit_details[Sqft],$P500
)),"")</f>
        <v/>
      </c>
      <c r="AJ500" s="824" t="str">
        <f t="shared" si="81"/>
        <v/>
      </c>
      <c r="AK500" s="531" t="str">
        <f t="shared" si="82"/>
        <v/>
      </c>
      <c r="AL500" s="714" t="str">
        <f t="shared" si="83"/>
        <v/>
      </c>
      <c r="AM500" s="531" t="str">
        <f t="shared" si="84"/>
        <v/>
      </c>
      <c r="AN500" s="716" t="str">
        <f t="shared" si="85"/>
        <v/>
      </c>
    </row>
    <row r="501" spans="6:40" x14ac:dyDescent="0.2">
      <c r="F501" s="1" t="str">
        <f t="shared" si="78"/>
        <v/>
      </c>
      <c r="G501" s="713" t="str">
        <f t="shared" si="86"/>
        <v/>
      </c>
      <c r="H501" s="17" t="str">
        <f>IFERROR(VLOOKUP($G501,Table1[[Property]:[Exposure %]],4,0),"")</f>
        <v/>
      </c>
      <c r="I501" s="3" t="str">
        <f>IFERROR(VLOOKUP($G501,Table1[[Property]:[Exposure %]],6,0),"")</f>
        <v/>
      </c>
      <c r="J501" s="3" t="str">
        <f>IFERROR(VLOOKUP($G501,Table1[[Property]:[Exposure %]],7,0),"")</f>
        <v/>
      </c>
      <c r="R501" s="4" t="str">
        <f>IFERROR(VLOOKUP(IF(F501="Total",F500,F501),Table1[[Property]:['# Units]],7,0)*S501,"")</f>
        <v/>
      </c>
      <c r="S501" s="27" t="str">
        <f t="shared" si="79"/>
        <v/>
      </c>
      <c r="T501" s="531" t="str">
        <f>IFERROR(
 IF($F501="Total",
   SUMPRODUCT(
   INDEX(T:T, ROW()-COUNTIF($F$6:INDEX($F:$F, ROW()-1), $F500)) : INDEX(T:T, ROW()-1),
   INDEX(W:W, ROW()-COUNTIF($F$6:INDEX($F:$F, ROW()-1), $F500)) : INDEX(W:W, ROW()-1)
   )
   /SUM(INDEX(W:W, ROW()-COUNTIF($F$6:INDEX($F:$F, ROW()-1), $F500)) : INDEX(W:W, ROW()-1)),
   AVERAGEIFS(
     INDEX((unit_details[Asking Rent],unit_details[Asking PSF]),0,1,IF($U$3="Chunk Rent",1,2)),
     unit_details[Leased Date],"&gt;="&amp;($AM$2-T$5),
     unit_details[Leased Date],"&lt;"&amp;$AM$2,
     unit_details[Beds],$L501,
     unit_details[Baths],$M501,
     unit_details[Partial Baths],IF(ISNUMBER($N501),$N501,""),
     unit_details[Sqft],$P501,
     unit_details[Property Name],$F501)
 ),"")</f>
        <v/>
      </c>
      <c r="U501" s="552" t="str">
        <f>IFERROR(
 IF($F501="Total",
   SUMPRODUCT(
   INDEX(U:U, ROW()-COUNTIF($F$6:INDEX($F:$F, ROW()-1), $F500)) : INDEX(U:U, ROW()-1),
   INDEX(W:W, ROW()-COUNTIF($F$6:INDEX($F:$F, ROW()-1), $F500)) : INDEX(W:W, ROW()-1)
   )
   /SUM(INDEX(W:W, ROW()-COUNTIF($F$6:INDEX($F:$F, ROW()-1), $F500)) : INDEX(W:W, ROW()-1)),
   AVERAGEIFS(
     INDEX((unit_details[Effective Rent],unit_details[Effective PSF]),0,1,IF($U$3="Chunk Rent",1,2)),
     unit_details[Leased Date],"&gt;="&amp;($AM$2-T$5),
     unit_details[Leased Date],"&lt;"&amp;$AM$2,
     unit_details[Beds],$L501,
     unit_details[Baths],$M501,
     unit_details[Partial Baths],IF(ISNUMBER($N501),$N501,""),
     unit_details[Sqft],$P501,
     unit_details[Property Name],$F501)
 ),"")</f>
        <v/>
      </c>
      <c r="V501" s="27" t="str">
        <f t="shared" si="87"/>
        <v/>
      </c>
      <c r="W501" s="526">
        <f>IFERROR(
  IF($F501="Total",
    SUM(INDEX(W:W, ROW()-COUNTIF($F$6:INDEX($F:$F, ROW()-1), $F500)) : INDEX(W:W, ROW()-1)),
    COUNTIFS(
      unit_details[Leased Date], "&gt;="&amp;($AM$2-T$5),
      unit_details[Leased Date], "&lt;"&amp;$AM$2,
      unit_details[Beds], $L501,
      unit_details[Baths], $M501,
      unit_details[Partial Baths], IF(ISNUMBER($N501), $N501, ""),
      unit_details[Sqft],$P501,
      unit_details[Property Name], $F501
    )
  ),
"")</f>
        <v>0</v>
      </c>
      <c r="X501" s="531" t="str">
        <f>IFERROR(
 IF($F501="Total",
   SUMPRODUCT(
   INDEX(X:X, ROW()-COUNTIF($F$6:INDEX($F:$F, ROW()-1), $F500)) : INDEX(X:X, ROW()-1),
   INDEX(AA:AA, ROW()-COUNTIF($F$6:INDEX($F:$F, ROW()-1), $F500)) : INDEX(AA:AA, ROW()-1)
   )
   /SUM(INDEX(AA:AA, ROW()-COUNTIF($F$6:INDEX($F:$F, ROW()-1), $F500)) : INDEX(AA:AA, ROW()-1)),
   AVERAGEIFS(
     INDEX((unit_details[Asking Rent],unit_details[Asking PSF]),0,1,IF($U$3="Chunk Rent",1,2)),
     unit_details[Leased Date],"&gt;="&amp;($AM$2-X$5),
     unit_details[Leased Date],"&lt;"&amp;$AM$2,
     unit_details[Beds],$L501,
     unit_details[Baths],$M501,
     unit_details[Partial Baths],IF(ISNUMBER($N501),$N501,""),
     unit_details[Sqft],$P501,
     unit_details[Property Name],$F501)
 ),"")</f>
        <v/>
      </c>
      <c r="Y501" s="552" t="str">
        <f>IFERROR(
 IF($F501="Total",
   SUMPRODUCT(
   INDEX(Y:Y, ROW()-COUNTIF($F$6:INDEX($F:$F, ROW()-1), $F500)) : INDEX(Y:Y, ROW()-1),
   INDEX(AA:AA, ROW()-COUNTIF($F$6:INDEX($F:$F, ROW()-1), $F500)) : INDEX(AA:AA, ROW()-1)
   )
   /SUM(INDEX(AA:AA, ROW()-COUNTIF($F$6:INDEX($F:$F, ROW()-1), $F500)) : INDEX(AA:AA, ROW()-1)),
   AVERAGEIFS(
     INDEX((unit_details[Effective Rent],unit_details[Effective PSF]),0,1,IF($U$3="Chunk Rent",1,2)),
     unit_details[Leased Date],"&gt;="&amp;($AM$2-X$5),
     unit_details[Leased Date],"&lt;"&amp;$AM$2,
     unit_details[Beds],$L501,
     unit_details[Baths],$M501,
     unit_details[Partial Baths],IF(ISNUMBER($N501),$N501,""),
     unit_details[Sqft],$P501,
     unit_details[Property Name],$F501)
 ),"")</f>
        <v/>
      </c>
      <c r="Z501" s="27" t="str">
        <f t="shared" si="88"/>
        <v/>
      </c>
      <c r="AA501" s="526">
        <f>IFERROR(
  IF($F501="Total",
    SUM(INDEX(AA:AA, ROW()-COUNTIF($F$6:INDEX($F:$F, ROW()-1), $F500)) : INDEX(AA:AA, ROW()-1)),
    COUNTIFS(
      unit_details[Leased Date], "&gt;="&amp;($AM$2-X$5),
      unit_details[Leased Date], "&lt;"&amp;$AM$2,
      unit_details[Beds], $L501,
      unit_details[Baths], $M501,
      unit_details[Partial Baths], IF(ISNUMBER($N501), $N501, ""),
      unit_details[Sqft],$P501,
      unit_details[Property Name], $F501
    )
  ),
"")</f>
        <v>0</v>
      </c>
      <c r="AB501" s="290">
        <f>IF($F501="Total",
SUM(INDEX(AB:AB, ROW()-COUNTIF($F$6:INDEX($F:$F, ROW()-1), $F500)) : INDEX(AB:AB, ROW()-1)),
COUNTIFS(unit_details[Active Listing?],TRUE,
          unit_details[Property Name], $F501,
          unit_details[Beds], $L501,
          unit_details[Baths], $M501,
          unit_details[Partial Baths],IF(ISNUMBER($N501),$N501,""),
          unit_details[Sqft],$P501))</f>
        <v>0</v>
      </c>
      <c r="AC501" s="27" t="str">
        <f t="shared" si="80"/>
        <v/>
      </c>
      <c r="AD501" s="293" t="str">
        <f>IFERROR(IF(AE501="","",IF($F501="Total",
SUMPRODUCT(
   INDEX(AD:AD, ROW()-COUNTIF($F$6:INDEX($F:$F, ROW()-1), $F500)) : INDEX(AD:AD, ROW()-1),
   INDEX(AB:AB, ROW()-COUNTIF($F$6:INDEX($F:$F, ROW()-1), $F500)) : INDEX(AB:AB, ROW()-1)
   )
   /SUM(INDEX(AB:AB, ROW()-COUNTIF($F$6:INDEX($F:$F, ROW()-1), $F500)) : INDEX(AB:AB, ROW()-1)),
          _xlfn.MINIFS(unit_details[Asking Rent],
          unit_details[Active Listing?],TRUE,
          unit_details[Property Name], $F501,
          unit_details[Beds], $L501,
          unit_details[Baths], $M501,
          unit_details[Partial Baths], IF(ISNUMBER($N501),$N501,""),
          unit_details[Sqft],$P501
))),"")</f>
        <v/>
      </c>
      <c r="AE501" s="5" t="str">
        <f>IFERROR(IF($F501="Total",
          SUMPRODUCT(
   INDEX(AE:AE, ROW()-COUNTIF($F$6:INDEX($F:$F, ROW()-1), $F500)) : INDEX(AE:AE, ROW()-1),
   INDEX(AB:AB, ROW()-COUNTIF($F$6:INDEX($F:$F, ROW()-1), $F500)) : INDEX(AB:AB, ROW()-1)
   )
   /SUM(INDEX(AB:AB, ROW()-COUNTIF($F$6:INDEX($F:$F, ROW()-1), $F500)) : INDEX(AB:AB, ROW()-1)),
          AVERAGEIFS(unit_details[Asking Rent],
          unit_details[Active Listing?],TRUE,
          unit_details[Property Name], $F501,
          unit_details[Beds], $L501,
          unit_details[Baths], $M501,
          unit_details[Partial Baths], IF(ISNUMBER($N501),$N501,""),
          unit_details[Sqft],$P501
)),"")</f>
        <v/>
      </c>
      <c r="AF501" s="5" t="str">
        <f>IFERROR(IF(AE501="","",IF($F501="Total",
SUMPRODUCT(
   INDEX(AF:AF, ROW()-COUNTIF($F$6:INDEX($F:$F, ROW()-1), $F500)) : INDEX(AF:AF, ROW()-1),
   INDEX(AB:AB, ROW()-COUNTIF($F$6:INDEX($F:$F, ROW()-1), $F500)) : INDEX(AB:AB, ROW()-1)
   )
   /SUM(INDEX(AB:AB, ROW()-COUNTIF($F$6:INDEX($F:$F, ROW()-1), $F500)) : INDEX(AB:AB, ROW()-1)),
           _xlfn.MAXIFS(unit_details[Asking Rent],
          unit_details[Active Listing?],TRUE,
          unit_details[Property Name], $F501,
          unit_details[Beds], $L501,
          unit_details[Baths], $M501,
          unit_details[Partial Baths], IF(ISNUMBER($N501),$N501,""),
          unit_details[Sqft],$P501
))),"")</f>
        <v/>
      </c>
      <c r="AG501" s="6" t="str">
        <f>IFERROR(IF($F501="Total",
         SUMPRODUCT(
         INDEX(AG:AG, ROW()-COUNTIF($F$6:INDEX($F:$F, ROW()-1), $F500)) : INDEX(AG:AG, ROW()-1),
         INDEX(AB:AB, ROW()-COUNTIF($F$6:INDEX($F:$F, ROW()-1), $F500)) : INDEX(AB:AB, ROW()-1)
         )
         /SUM(INDEX(AB:AB, ROW()-COUNTIF($F$6:INDEX($F:$F, ROW()-1), $F500)) : INDEX(AB:AB, ROW()-1)),
          AVERAGEIFS(unit_details[Asking PSF],
          unit_details[Active Listing?],TRUE,
          unit_details[Property Name], $F501,
          unit_details[Beds], $L501,
          unit_details[Baths], $M501,
          unit_details[Partial Baths], IF(ISNUMBER($N501),$N501,""),
          unit_details[Sqft],$P501
)),"")</f>
        <v/>
      </c>
      <c r="AH501" s="293" t="str">
        <f>IFERROR(IF($F501="Total",
         SUMPRODUCT(
         INDEX(AH:AH, ROW()-COUNTIF($F$6:INDEX($F:$F, ROW()-1), $F500)) : INDEX(AH:AH, ROW()-1),
         INDEX(AB:AB, ROW()-COUNTIF($F$6:INDEX($F:$F, ROW()-1), $F500)) : INDEX(AB:AB, ROW()-1)
         )
         /SUM(INDEX(AB:AB, ROW()-COUNTIF($F$6:INDEX($F:$F, ROW()-1), $F500)) : INDEX(AB:AB, ROW()-1)),
          AVERAGEIFS(unit_details[Effective Rent],
          unit_details[Active Listing?],TRUE,
          unit_details[Property Name], $F501,
          unit_details[Beds], $L501,
          unit_details[Baths], $M501,
          unit_details[Partial Baths], IF(ISNUMBER($N501),$N501,""),
          unit_details[Sqft],$P501
)),"")</f>
        <v/>
      </c>
      <c r="AI501" s="6" t="str">
        <f>IFERROR(IF($F501="Total",
         SUMPRODUCT(
         INDEX(AI:AI, ROW()-COUNTIF($F$6:INDEX($F:$F, ROW()-1), $F500)) : INDEX(AI:AI, ROW()-1),
         INDEX(AB:AB, ROW()-COUNTIF($F$6:INDEX($F:$F, ROW()-1), $F500)) : INDEX(AB:AB, ROW()-1)
         )
         /SUM(INDEX(AB:AB, ROW()-COUNTIF($F$6:INDEX($F:$F, ROW()-1), $F500)) : INDEX(AB:AB, ROW()-1)),
           AVERAGEIFS(unit_details[Effective PSF],
          unit_details[Active Listing?],TRUE,
          unit_details[Property Name], $F501,
          unit_details[Beds], $L501,
          unit_details[Baths], $M501,
          unit_details[Partial Baths], IF(ISNUMBER($N501),$N501,""),
          unit_details[Sqft],$P501
)),"")</f>
        <v/>
      </c>
      <c r="AJ501" s="824" t="str">
        <f t="shared" si="81"/>
        <v/>
      </c>
      <c r="AK501" s="531" t="str">
        <f t="shared" si="82"/>
        <v/>
      </c>
      <c r="AL501" s="714" t="str">
        <f t="shared" si="83"/>
        <v/>
      </c>
      <c r="AM501" s="531" t="str">
        <f t="shared" si="84"/>
        <v/>
      </c>
      <c r="AN501" s="716" t="str">
        <f t="shared" si="85"/>
        <v/>
      </c>
    </row>
    <row r="502" spans="6:40" x14ac:dyDescent="0.2">
      <c r="F502" s="1" t="str">
        <f t="shared" si="78"/>
        <v/>
      </c>
      <c r="G502" s="713" t="str">
        <f t="shared" si="86"/>
        <v/>
      </c>
      <c r="H502" s="17" t="str">
        <f>IFERROR(VLOOKUP($G502,Table1[[Property]:[Exposure %]],4,0),"")</f>
        <v/>
      </c>
      <c r="I502" s="3" t="str">
        <f>IFERROR(VLOOKUP($G502,Table1[[Property]:[Exposure %]],6,0),"")</f>
        <v/>
      </c>
      <c r="J502" s="3" t="str">
        <f>IFERROR(VLOOKUP($G502,Table1[[Property]:[Exposure %]],7,0),"")</f>
        <v/>
      </c>
      <c r="R502" s="4" t="str">
        <f>IFERROR(VLOOKUP(IF(F502="Total",F501,F502),Table1[[Property]:['# Units]],7,0)*S502,"")</f>
        <v/>
      </c>
      <c r="S502" s="27" t="str">
        <f t="shared" si="79"/>
        <v/>
      </c>
      <c r="T502" s="531" t="str">
        <f>IFERROR(
 IF($F502="Total",
   SUMPRODUCT(
   INDEX(T:T, ROW()-COUNTIF($F$6:INDEX($F:$F, ROW()-1), $F501)) : INDEX(T:T, ROW()-1),
   INDEX(W:W, ROW()-COUNTIF($F$6:INDEX($F:$F, ROW()-1), $F501)) : INDEX(W:W, ROW()-1)
   )
   /SUM(INDEX(W:W, ROW()-COUNTIF($F$6:INDEX($F:$F, ROW()-1), $F501)) : INDEX(W:W, ROW()-1)),
   AVERAGEIFS(
     INDEX((unit_details[Asking Rent],unit_details[Asking PSF]),0,1,IF($U$3="Chunk Rent",1,2)),
     unit_details[Leased Date],"&gt;="&amp;($AM$2-T$5),
     unit_details[Leased Date],"&lt;"&amp;$AM$2,
     unit_details[Beds],$L502,
     unit_details[Baths],$M502,
     unit_details[Partial Baths],IF(ISNUMBER($N502),$N502,""),
     unit_details[Sqft],$P502,
     unit_details[Property Name],$F502)
 ),"")</f>
        <v/>
      </c>
      <c r="U502" s="552" t="str">
        <f>IFERROR(
 IF($F502="Total",
   SUMPRODUCT(
   INDEX(U:U, ROW()-COUNTIF($F$6:INDEX($F:$F, ROW()-1), $F501)) : INDEX(U:U, ROW()-1),
   INDEX(W:W, ROW()-COUNTIF($F$6:INDEX($F:$F, ROW()-1), $F501)) : INDEX(W:W, ROW()-1)
   )
   /SUM(INDEX(W:W, ROW()-COUNTIF($F$6:INDEX($F:$F, ROW()-1), $F501)) : INDEX(W:W, ROW()-1)),
   AVERAGEIFS(
     INDEX((unit_details[Effective Rent],unit_details[Effective PSF]),0,1,IF($U$3="Chunk Rent",1,2)),
     unit_details[Leased Date],"&gt;="&amp;($AM$2-T$5),
     unit_details[Leased Date],"&lt;"&amp;$AM$2,
     unit_details[Beds],$L502,
     unit_details[Baths],$M502,
     unit_details[Partial Baths],IF(ISNUMBER($N502),$N502,""),
     unit_details[Sqft],$P502,
     unit_details[Property Name],$F502)
 ),"")</f>
        <v/>
      </c>
      <c r="V502" s="27" t="str">
        <f t="shared" si="87"/>
        <v/>
      </c>
      <c r="W502" s="526">
        <f>IFERROR(
  IF($F502="Total",
    SUM(INDEX(W:W, ROW()-COUNTIF($F$6:INDEX($F:$F, ROW()-1), $F501)) : INDEX(W:W, ROW()-1)),
    COUNTIFS(
      unit_details[Leased Date], "&gt;="&amp;($AM$2-T$5),
      unit_details[Leased Date], "&lt;"&amp;$AM$2,
      unit_details[Beds], $L502,
      unit_details[Baths], $M502,
      unit_details[Partial Baths], IF(ISNUMBER($N502), $N502, ""),
      unit_details[Sqft],$P502,
      unit_details[Property Name], $F502
    )
  ),
"")</f>
        <v>0</v>
      </c>
      <c r="X502" s="531" t="str">
        <f>IFERROR(
 IF($F502="Total",
   SUMPRODUCT(
   INDEX(X:X, ROW()-COUNTIF($F$6:INDEX($F:$F, ROW()-1), $F501)) : INDEX(X:X, ROW()-1),
   INDEX(AA:AA, ROW()-COUNTIF($F$6:INDEX($F:$F, ROW()-1), $F501)) : INDEX(AA:AA, ROW()-1)
   )
   /SUM(INDEX(AA:AA, ROW()-COUNTIF($F$6:INDEX($F:$F, ROW()-1), $F501)) : INDEX(AA:AA, ROW()-1)),
   AVERAGEIFS(
     INDEX((unit_details[Asking Rent],unit_details[Asking PSF]),0,1,IF($U$3="Chunk Rent",1,2)),
     unit_details[Leased Date],"&gt;="&amp;($AM$2-X$5),
     unit_details[Leased Date],"&lt;"&amp;$AM$2,
     unit_details[Beds],$L502,
     unit_details[Baths],$M502,
     unit_details[Partial Baths],IF(ISNUMBER($N502),$N502,""),
     unit_details[Sqft],$P502,
     unit_details[Property Name],$F502)
 ),"")</f>
        <v/>
      </c>
      <c r="Y502" s="552" t="str">
        <f>IFERROR(
 IF($F502="Total",
   SUMPRODUCT(
   INDEX(Y:Y, ROW()-COUNTIF($F$6:INDEX($F:$F, ROW()-1), $F501)) : INDEX(Y:Y, ROW()-1),
   INDEX(AA:AA, ROW()-COUNTIF($F$6:INDEX($F:$F, ROW()-1), $F501)) : INDEX(AA:AA, ROW()-1)
   )
   /SUM(INDEX(AA:AA, ROW()-COUNTIF($F$6:INDEX($F:$F, ROW()-1), $F501)) : INDEX(AA:AA, ROW()-1)),
   AVERAGEIFS(
     INDEX((unit_details[Effective Rent],unit_details[Effective PSF]),0,1,IF($U$3="Chunk Rent",1,2)),
     unit_details[Leased Date],"&gt;="&amp;($AM$2-X$5),
     unit_details[Leased Date],"&lt;"&amp;$AM$2,
     unit_details[Beds],$L502,
     unit_details[Baths],$M502,
     unit_details[Partial Baths],IF(ISNUMBER($N502),$N502,""),
     unit_details[Sqft],$P502,
     unit_details[Property Name],$F502)
 ),"")</f>
        <v/>
      </c>
      <c r="Z502" s="27" t="str">
        <f t="shared" si="88"/>
        <v/>
      </c>
      <c r="AA502" s="526">
        <f>IFERROR(
  IF($F502="Total",
    SUM(INDEX(AA:AA, ROW()-COUNTIF($F$6:INDEX($F:$F, ROW()-1), $F501)) : INDEX(AA:AA, ROW()-1)),
    COUNTIFS(
      unit_details[Leased Date], "&gt;="&amp;($AM$2-X$5),
      unit_details[Leased Date], "&lt;"&amp;$AM$2,
      unit_details[Beds], $L502,
      unit_details[Baths], $M502,
      unit_details[Partial Baths], IF(ISNUMBER($N502), $N502, ""),
      unit_details[Sqft],$P502,
      unit_details[Property Name], $F502
    )
  ),
"")</f>
        <v>0</v>
      </c>
      <c r="AB502" s="290">
        <f>IF($F502="Total",
SUM(INDEX(AB:AB, ROW()-COUNTIF($F$6:INDEX($F:$F, ROW()-1), $F501)) : INDEX(AB:AB, ROW()-1)),
COUNTIFS(unit_details[Active Listing?],TRUE,
          unit_details[Property Name], $F502,
          unit_details[Beds], $L502,
          unit_details[Baths], $M502,
          unit_details[Partial Baths],IF(ISNUMBER($N502),$N502,""),
          unit_details[Sqft],$P502))</f>
        <v>0</v>
      </c>
      <c r="AC502" s="27" t="str">
        <f t="shared" si="80"/>
        <v/>
      </c>
      <c r="AD502" s="293" t="str">
        <f>IFERROR(IF(AE502="","",IF($F502="Total",
SUMPRODUCT(
   INDEX(AD:AD, ROW()-COUNTIF($F$6:INDEX($F:$F, ROW()-1), $F501)) : INDEX(AD:AD, ROW()-1),
   INDEX(AB:AB, ROW()-COUNTIF($F$6:INDEX($F:$F, ROW()-1), $F501)) : INDEX(AB:AB, ROW()-1)
   )
   /SUM(INDEX(AB:AB, ROW()-COUNTIF($F$6:INDEX($F:$F, ROW()-1), $F501)) : INDEX(AB:AB, ROW()-1)),
          _xlfn.MINIFS(unit_details[Asking Rent],
          unit_details[Active Listing?],TRUE,
          unit_details[Property Name], $F502,
          unit_details[Beds], $L502,
          unit_details[Baths], $M502,
          unit_details[Partial Baths], IF(ISNUMBER($N502),$N502,""),
          unit_details[Sqft],$P502
))),"")</f>
        <v/>
      </c>
      <c r="AE502" s="5" t="str">
        <f>IFERROR(IF($F502="Total",
          SUMPRODUCT(
   INDEX(AE:AE, ROW()-COUNTIF($F$6:INDEX($F:$F, ROW()-1), $F501)) : INDEX(AE:AE, ROW()-1),
   INDEX(AB:AB, ROW()-COUNTIF($F$6:INDEX($F:$F, ROW()-1), $F501)) : INDEX(AB:AB, ROW()-1)
   )
   /SUM(INDEX(AB:AB, ROW()-COUNTIF($F$6:INDEX($F:$F, ROW()-1), $F501)) : INDEX(AB:AB, ROW()-1)),
          AVERAGEIFS(unit_details[Asking Rent],
          unit_details[Active Listing?],TRUE,
          unit_details[Property Name], $F502,
          unit_details[Beds], $L502,
          unit_details[Baths], $M502,
          unit_details[Partial Baths], IF(ISNUMBER($N502),$N502,""),
          unit_details[Sqft],$P502
)),"")</f>
        <v/>
      </c>
      <c r="AF502" s="5" t="str">
        <f>IFERROR(IF(AE502="","",IF($F502="Total",
SUMPRODUCT(
   INDEX(AF:AF, ROW()-COUNTIF($F$6:INDEX($F:$F, ROW()-1), $F501)) : INDEX(AF:AF, ROW()-1),
   INDEX(AB:AB, ROW()-COUNTIF($F$6:INDEX($F:$F, ROW()-1), $F501)) : INDEX(AB:AB, ROW()-1)
   )
   /SUM(INDEX(AB:AB, ROW()-COUNTIF($F$6:INDEX($F:$F, ROW()-1), $F501)) : INDEX(AB:AB, ROW()-1)),
           _xlfn.MAXIFS(unit_details[Asking Rent],
          unit_details[Active Listing?],TRUE,
          unit_details[Property Name], $F502,
          unit_details[Beds], $L502,
          unit_details[Baths], $M502,
          unit_details[Partial Baths], IF(ISNUMBER($N502),$N502,""),
          unit_details[Sqft],$P502
))),"")</f>
        <v/>
      </c>
      <c r="AG502" s="6" t="str">
        <f>IFERROR(IF($F502="Total",
         SUMPRODUCT(
         INDEX(AG:AG, ROW()-COUNTIF($F$6:INDEX($F:$F, ROW()-1), $F501)) : INDEX(AG:AG, ROW()-1),
         INDEX(AB:AB, ROW()-COUNTIF($F$6:INDEX($F:$F, ROW()-1), $F501)) : INDEX(AB:AB, ROW()-1)
         )
         /SUM(INDEX(AB:AB, ROW()-COUNTIF($F$6:INDEX($F:$F, ROW()-1), $F501)) : INDEX(AB:AB, ROW()-1)),
          AVERAGEIFS(unit_details[Asking PSF],
          unit_details[Active Listing?],TRUE,
          unit_details[Property Name], $F502,
          unit_details[Beds], $L502,
          unit_details[Baths], $M502,
          unit_details[Partial Baths], IF(ISNUMBER($N502),$N502,""),
          unit_details[Sqft],$P502
)),"")</f>
        <v/>
      </c>
      <c r="AH502" s="293" t="str">
        <f>IFERROR(IF($F502="Total",
         SUMPRODUCT(
         INDEX(AH:AH, ROW()-COUNTIF($F$6:INDEX($F:$F, ROW()-1), $F501)) : INDEX(AH:AH, ROW()-1),
         INDEX(AB:AB, ROW()-COUNTIF($F$6:INDEX($F:$F, ROW()-1), $F501)) : INDEX(AB:AB, ROW()-1)
         )
         /SUM(INDEX(AB:AB, ROW()-COUNTIF($F$6:INDEX($F:$F, ROW()-1), $F501)) : INDEX(AB:AB, ROW()-1)),
          AVERAGEIFS(unit_details[Effective Rent],
          unit_details[Active Listing?],TRUE,
          unit_details[Property Name], $F502,
          unit_details[Beds], $L502,
          unit_details[Baths], $M502,
          unit_details[Partial Baths], IF(ISNUMBER($N502),$N502,""),
          unit_details[Sqft],$P502
)),"")</f>
        <v/>
      </c>
      <c r="AI502" s="6" t="str">
        <f>IFERROR(IF($F502="Total",
         SUMPRODUCT(
         INDEX(AI:AI, ROW()-COUNTIF($F$6:INDEX($F:$F, ROW()-1), $F501)) : INDEX(AI:AI, ROW()-1),
         INDEX(AB:AB, ROW()-COUNTIF($F$6:INDEX($F:$F, ROW()-1), $F501)) : INDEX(AB:AB, ROW()-1)
         )
         /SUM(INDEX(AB:AB, ROW()-COUNTIF($F$6:INDEX($F:$F, ROW()-1), $F501)) : INDEX(AB:AB, ROW()-1)),
           AVERAGEIFS(unit_details[Effective PSF],
          unit_details[Active Listing?],TRUE,
          unit_details[Property Name], $F502,
          unit_details[Beds], $L502,
          unit_details[Baths], $M502,
          unit_details[Partial Baths], IF(ISNUMBER($N502),$N502,""),
          unit_details[Sqft],$P502
)),"")</f>
        <v/>
      </c>
      <c r="AJ502" s="824" t="str">
        <f t="shared" si="81"/>
        <v/>
      </c>
      <c r="AK502" s="531" t="str">
        <f t="shared" si="82"/>
        <v/>
      </c>
      <c r="AL502" s="714" t="str">
        <f t="shared" si="83"/>
        <v/>
      </c>
      <c r="AM502" s="531" t="str">
        <f t="shared" si="84"/>
        <v/>
      </c>
      <c r="AN502" s="716" t="str">
        <f t="shared" si="85"/>
        <v/>
      </c>
    </row>
    <row r="503" spans="6:40" x14ac:dyDescent="0.2">
      <c r="F503" s="1" t="str">
        <f t="shared" si="78"/>
        <v/>
      </c>
      <c r="G503" s="713" t="str">
        <f t="shared" si="86"/>
        <v/>
      </c>
      <c r="H503" s="17" t="str">
        <f>IFERROR(VLOOKUP($G503,Table1[[Property]:[Exposure %]],4,0),"")</f>
        <v/>
      </c>
      <c r="I503" s="3" t="str">
        <f>IFERROR(VLOOKUP($G503,Table1[[Property]:[Exposure %]],6,0),"")</f>
        <v/>
      </c>
      <c r="J503" s="3" t="str">
        <f>IFERROR(VLOOKUP($G503,Table1[[Property]:[Exposure %]],7,0),"")</f>
        <v/>
      </c>
      <c r="R503" s="4" t="str">
        <f>IFERROR(VLOOKUP(IF(F503="Total",F502,F503),Table1[[Property]:['# Units]],7,0)*S503,"")</f>
        <v/>
      </c>
      <c r="S503" s="27" t="str">
        <f t="shared" si="79"/>
        <v/>
      </c>
      <c r="T503" s="531" t="str">
        <f>IFERROR(
 IF($F503="Total",
   SUMPRODUCT(
   INDEX(T:T, ROW()-COUNTIF($F$6:INDEX($F:$F, ROW()-1), $F502)) : INDEX(T:T, ROW()-1),
   INDEX(W:W, ROW()-COUNTIF($F$6:INDEX($F:$F, ROW()-1), $F502)) : INDEX(W:W, ROW()-1)
   )
   /SUM(INDEX(W:W, ROW()-COUNTIF($F$6:INDEX($F:$F, ROW()-1), $F502)) : INDEX(W:W, ROW()-1)),
   AVERAGEIFS(
     INDEX((unit_details[Asking Rent],unit_details[Asking PSF]),0,1,IF($U$3="Chunk Rent",1,2)),
     unit_details[Leased Date],"&gt;="&amp;($AM$2-T$5),
     unit_details[Leased Date],"&lt;"&amp;$AM$2,
     unit_details[Beds],$L503,
     unit_details[Baths],$M503,
     unit_details[Partial Baths],IF(ISNUMBER($N503),$N503,""),
     unit_details[Sqft],$P503,
     unit_details[Property Name],$F503)
 ),"")</f>
        <v/>
      </c>
      <c r="U503" s="552" t="str">
        <f>IFERROR(
 IF($F503="Total",
   SUMPRODUCT(
   INDEX(U:U, ROW()-COUNTIF($F$6:INDEX($F:$F, ROW()-1), $F502)) : INDEX(U:U, ROW()-1),
   INDEX(W:W, ROW()-COUNTIF($F$6:INDEX($F:$F, ROW()-1), $F502)) : INDEX(W:W, ROW()-1)
   )
   /SUM(INDEX(W:W, ROW()-COUNTIF($F$6:INDEX($F:$F, ROW()-1), $F502)) : INDEX(W:W, ROW()-1)),
   AVERAGEIFS(
     INDEX((unit_details[Effective Rent],unit_details[Effective PSF]),0,1,IF($U$3="Chunk Rent",1,2)),
     unit_details[Leased Date],"&gt;="&amp;($AM$2-T$5),
     unit_details[Leased Date],"&lt;"&amp;$AM$2,
     unit_details[Beds],$L503,
     unit_details[Baths],$M503,
     unit_details[Partial Baths],IF(ISNUMBER($N503),$N503,""),
     unit_details[Sqft],$P503,
     unit_details[Property Name],$F503)
 ),"")</f>
        <v/>
      </c>
      <c r="V503" s="27" t="str">
        <f t="shared" si="87"/>
        <v/>
      </c>
      <c r="W503" s="526">
        <f>IFERROR(
  IF($F503="Total",
    SUM(INDEX(W:W, ROW()-COUNTIF($F$6:INDEX($F:$F, ROW()-1), $F502)) : INDEX(W:W, ROW()-1)),
    COUNTIFS(
      unit_details[Leased Date], "&gt;="&amp;($AM$2-T$5),
      unit_details[Leased Date], "&lt;"&amp;$AM$2,
      unit_details[Beds], $L503,
      unit_details[Baths], $M503,
      unit_details[Partial Baths], IF(ISNUMBER($N503), $N503, ""),
      unit_details[Sqft],$P503,
      unit_details[Property Name], $F503
    )
  ),
"")</f>
        <v>0</v>
      </c>
      <c r="X503" s="531" t="str">
        <f>IFERROR(
 IF($F503="Total",
   SUMPRODUCT(
   INDEX(X:X, ROW()-COUNTIF($F$6:INDEX($F:$F, ROW()-1), $F502)) : INDEX(X:X, ROW()-1),
   INDEX(AA:AA, ROW()-COUNTIF($F$6:INDEX($F:$F, ROW()-1), $F502)) : INDEX(AA:AA, ROW()-1)
   )
   /SUM(INDEX(AA:AA, ROW()-COUNTIF($F$6:INDEX($F:$F, ROW()-1), $F502)) : INDEX(AA:AA, ROW()-1)),
   AVERAGEIFS(
     INDEX((unit_details[Asking Rent],unit_details[Asking PSF]),0,1,IF($U$3="Chunk Rent",1,2)),
     unit_details[Leased Date],"&gt;="&amp;($AM$2-X$5),
     unit_details[Leased Date],"&lt;"&amp;$AM$2,
     unit_details[Beds],$L503,
     unit_details[Baths],$M503,
     unit_details[Partial Baths],IF(ISNUMBER($N503),$N503,""),
     unit_details[Sqft],$P503,
     unit_details[Property Name],$F503)
 ),"")</f>
        <v/>
      </c>
      <c r="Y503" s="552" t="str">
        <f>IFERROR(
 IF($F503="Total",
   SUMPRODUCT(
   INDEX(Y:Y, ROW()-COUNTIF($F$6:INDEX($F:$F, ROW()-1), $F502)) : INDEX(Y:Y, ROW()-1),
   INDEX(AA:AA, ROW()-COUNTIF($F$6:INDEX($F:$F, ROW()-1), $F502)) : INDEX(AA:AA, ROW()-1)
   )
   /SUM(INDEX(AA:AA, ROW()-COUNTIF($F$6:INDEX($F:$F, ROW()-1), $F502)) : INDEX(AA:AA, ROW()-1)),
   AVERAGEIFS(
     INDEX((unit_details[Effective Rent],unit_details[Effective PSF]),0,1,IF($U$3="Chunk Rent",1,2)),
     unit_details[Leased Date],"&gt;="&amp;($AM$2-X$5),
     unit_details[Leased Date],"&lt;"&amp;$AM$2,
     unit_details[Beds],$L503,
     unit_details[Baths],$M503,
     unit_details[Partial Baths],IF(ISNUMBER($N503),$N503,""),
     unit_details[Sqft],$P503,
     unit_details[Property Name],$F503)
 ),"")</f>
        <v/>
      </c>
      <c r="Z503" s="27" t="str">
        <f t="shared" si="88"/>
        <v/>
      </c>
      <c r="AA503" s="526">
        <f>IFERROR(
  IF($F503="Total",
    SUM(INDEX(AA:AA, ROW()-COUNTIF($F$6:INDEX($F:$F, ROW()-1), $F502)) : INDEX(AA:AA, ROW()-1)),
    COUNTIFS(
      unit_details[Leased Date], "&gt;="&amp;($AM$2-X$5),
      unit_details[Leased Date], "&lt;"&amp;$AM$2,
      unit_details[Beds], $L503,
      unit_details[Baths], $M503,
      unit_details[Partial Baths], IF(ISNUMBER($N503), $N503, ""),
      unit_details[Sqft],$P503,
      unit_details[Property Name], $F503
    )
  ),
"")</f>
        <v>0</v>
      </c>
      <c r="AB503" s="290">
        <f>IF($F503="Total",
SUM(INDEX(AB:AB, ROW()-COUNTIF($F$6:INDEX($F:$F, ROW()-1), $F502)) : INDEX(AB:AB, ROW()-1)),
COUNTIFS(unit_details[Active Listing?],TRUE,
          unit_details[Property Name], $F503,
          unit_details[Beds], $L503,
          unit_details[Baths], $M503,
          unit_details[Partial Baths],IF(ISNUMBER($N503),$N503,""),
          unit_details[Sqft],$P503))</f>
        <v>0</v>
      </c>
      <c r="AC503" s="27" t="str">
        <f t="shared" si="80"/>
        <v/>
      </c>
      <c r="AD503" s="293" t="str">
        <f>IFERROR(IF(AE503="","",IF($F503="Total",
SUMPRODUCT(
   INDEX(AD:AD, ROW()-COUNTIF($F$6:INDEX($F:$F, ROW()-1), $F502)) : INDEX(AD:AD, ROW()-1),
   INDEX(AB:AB, ROW()-COUNTIF($F$6:INDEX($F:$F, ROW()-1), $F502)) : INDEX(AB:AB, ROW()-1)
   )
   /SUM(INDEX(AB:AB, ROW()-COUNTIF($F$6:INDEX($F:$F, ROW()-1), $F502)) : INDEX(AB:AB, ROW()-1)),
          _xlfn.MINIFS(unit_details[Asking Rent],
          unit_details[Active Listing?],TRUE,
          unit_details[Property Name], $F503,
          unit_details[Beds], $L503,
          unit_details[Baths], $M503,
          unit_details[Partial Baths], IF(ISNUMBER($N503),$N503,""),
          unit_details[Sqft],$P503
))),"")</f>
        <v/>
      </c>
      <c r="AE503" s="5" t="str">
        <f>IFERROR(IF($F503="Total",
          SUMPRODUCT(
   INDEX(AE:AE, ROW()-COUNTIF($F$6:INDEX($F:$F, ROW()-1), $F502)) : INDEX(AE:AE, ROW()-1),
   INDEX(AB:AB, ROW()-COUNTIF($F$6:INDEX($F:$F, ROW()-1), $F502)) : INDEX(AB:AB, ROW()-1)
   )
   /SUM(INDEX(AB:AB, ROW()-COUNTIF($F$6:INDEX($F:$F, ROW()-1), $F502)) : INDEX(AB:AB, ROW()-1)),
          AVERAGEIFS(unit_details[Asking Rent],
          unit_details[Active Listing?],TRUE,
          unit_details[Property Name], $F503,
          unit_details[Beds], $L503,
          unit_details[Baths], $M503,
          unit_details[Partial Baths], IF(ISNUMBER($N503),$N503,""),
          unit_details[Sqft],$P503
)),"")</f>
        <v/>
      </c>
      <c r="AF503" s="5" t="str">
        <f>IFERROR(IF(AE503="","",IF($F503="Total",
SUMPRODUCT(
   INDEX(AF:AF, ROW()-COUNTIF($F$6:INDEX($F:$F, ROW()-1), $F502)) : INDEX(AF:AF, ROW()-1),
   INDEX(AB:AB, ROW()-COUNTIF($F$6:INDEX($F:$F, ROW()-1), $F502)) : INDEX(AB:AB, ROW()-1)
   )
   /SUM(INDEX(AB:AB, ROW()-COUNTIF($F$6:INDEX($F:$F, ROW()-1), $F502)) : INDEX(AB:AB, ROW()-1)),
           _xlfn.MAXIFS(unit_details[Asking Rent],
          unit_details[Active Listing?],TRUE,
          unit_details[Property Name], $F503,
          unit_details[Beds], $L503,
          unit_details[Baths], $M503,
          unit_details[Partial Baths], IF(ISNUMBER($N503),$N503,""),
          unit_details[Sqft],$P503
))),"")</f>
        <v/>
      </c>
      <c r="AG503" s="6" t="str">
        <f>IFERROR(IF($F503="Total",
         SUMPRODUCT(
         INDEX(AG:AG, ROW()-COUNTIF($F$6:INDEX($F:$F, ROW()-1), $F502)) : INDEX(AG:AG, ROW()-1),
         INDEX(AB:AB, ROW()-COUNTIF($F$6:INDEX($F:$F, ROW()-1), $F502)) : INDEX(AB:AB, ROW()-1)
         )
         /SUM(INDEX(AB:AB, ROW()-COUNTIF($F$6:INDEX($F:$F, ROW()-1), $F502)) : INDEX(AB:AB, ROW()-1)),
          AVERAGEIFS(unit_details[Asking PSF],
          unit_details[Active Listing?],TRUE,
          unit_details[Property Name], $F503,
          unit_details[Beds], $L503,
          unit_details[Baths], $M503,
          unit_details[Partial Baths], IF(ISNUMBER($N503),$N503,""),
          unit_details[Sqft],$P503
)),"")</f>
        <v/>
      </c>
      <c r="AH503" s="293" t="str">
        <f>IFERROR(IF($F503="Total",
         SUMPRODUCT(
         INDEX(AH:AH, ROW()-COUNTIF($F$6:INDEX($F:$F, ROW()-1), $F502)) : INDEX(AH:AH, ROW()-1),
         INDEX(AB:AB, ROW()-COUNTIF($F$6:INDEX($F:$F, ROW()-1), $F502)) : INDEX(AB:AB, ROW()-1)
         )
         /SUM(INDEX(AB:AB, ROW()-COUNTIF($F$6:INDEX($F:$F, ROW()-1), $F502)) : INDEX(AB:AB, ROW()-1)),
          AVERAGEIFS(unit_details[Effective Rent],
          unit_details[Active Listing?],TRUE,
          unit_details[Property Name], $F503,
          unit_details[Beds], $L503,
          unit_details[Baths], $M503,
          unit_details[Partial Baths], IF(ISNUMBER($N503),$N503,""),
          unit_details[Sqft],$P503
)),"")</f>
        <v/>
      </c>
      <c r="AI503" s="6" t="str">
        <f>IFERROR(IF($F503="Total",
         SUMPRODUCT(
         INDEX(AI:AI, ROW()-COUNTIF($F$6:INDEX($F:$F, ROW()-1), $F502)) : INDEX(AI:AI, ROW()-1),
         INDEX(AB:AB, ROW()-COUNTIF($F$6:INDEX($F:$F, ROW()-1), $F502)) : INDEX(AB:AB, ROW()-1)
         )
         /SUM(INDEX(AB:AB, ROW()-COUNTIF($F$6:INDEX($F:$F, ROW()-1), $F502)) : INDEX(AB:AB, ROW()-1)),
           AVERAGEIFS(unit_details[Effective PSF],
          unit_details[Active Listing?],TRUE,
          unit_details[Property Name], $F503,
          unit_details[Beds], $L503,
          unit_details[Baths], $M503,
          unit_details[Partial Baths], IF(ISNUMBER($N503),$N503,""),
          unit_details[Sqft],$P503
)),"")</f>
        <v/>
      </c>
      <c r="AJ503" s="824" t="str">
        <f t="shared" si="81"/>
        <v/>
      </c>
      <c r="AK503" s="531" t="str">
        <f t="shared" si="82"/>
        <v/>
      </c>
      <c r="AL503" s="714" t="str">
        <f t="shared" si="83"/>
        <v/>
      </c>
      <c r="AM503" s="531" t="str">
        <f t="shared" si="84"/>
        <v/>
      </c>
      <c r="AN503" s="716" t="str">
        <f t="shared" si="85"/>
        <v/>
      </c>
    </row>
    <row r="504" spans="6:40" x14ac:dyDescent="0.2">
      <c r="F504" s="1" t="str">
        <f t="shared" si="78"/>
        <v/>
      </c>
      <c r="G504" s="713" t="str">
        <f t="shared" si="86"/>
        <v/>
      </c>
      <c r="H504" s="17" t="str">
        <f>IFERROR(VLOOKUP($G504,Table1[[Property]:[Exposure %]],4,0),"")</f>
        <v/>
      </c>
      <c r="I504" s="3" t="str">
        <f>IFERROR(VLOOKUP($G504,Table1[[Property]:[Exposure %]],6,0),"")</f>
        <v/>
      </c>
      <c r="J504" s="3" t="str">
        <f>IFERROR(VLOOKUP($G504,Table1[[Property]:[Exposure %]],7,0),"")</f>
        <v/>
      </c>
      <c r="R504" s="4" t="str">
        <f>IFERROR(VLOOKUP(IF(F504="Total",F503,F504),Table1[[Property]:['# Units]],7,0)*S504,"")</f>
        <v/>
      </c>
      <c r="S504" s="27" t="str">
        <f t="shared" si="79"/>
        <v/>
      </c>
      <c r="T504" s="531" t="str">
        <f>IFERROR(
 IF($F504="Total",
   SUMPRODUCT(
   INDEX(T:T, ROW()-COUNTIF($F$6:INDEX($F:$F, ROW()-1), $F503)) : INDEX(T:T, ROW()-1),
   INDEX(W:W, ROW()-COUNTIF($F$6:INDEX($F:$F, ROW()-1), $F503)) : INDEX(W:W, ROW()-1)
   )
   /SUM(INDEX(W:W, ROW()-COUNTIF($F$6:INDEX($F:$F, ROW()-1), $F503)) : INDEX(W:W, ROW()-1)),
   AVERAGEIFS(
     INDEX((unit_details[Asking Rent],unit_details[Asking PSF]),0,1,IF($U$3="Chunk Rent",1,2)),
     unit_details[Leased Date],"&gt;="&amp;($AM$2-T$5),
     unit_details[Leased Date],"&lt;"&amp;$AM$2,
     unit_details[Beds],$L504,
     unit_details[Baths],$M504,
     unit_details[Partial Baths],IF(ISNUMBER($N504),$N504,""),
     unit_details[Sqft],$P504,
     unit_details[Property Name],$F504)
 ),"")</f>
        <v/>
      </c>
      <c r="U504" s="552" t="str">
        <f>IFERROR(
 IF($F504="Total",
   SUMPRODUCT(
   INDEX(U:U, ROW()-COUNTIF($F$6:INDEX($F:$F, ROW()-1), $F503)) : INDEX(U:U, ROW()-1),
   INDEX(W:W, ROW()-COUNTIF($F$6:INDEX($F:$F, ROW()-1), $F503)) : INDEX(W:W, ROW()-1)
   )
   /SUM(INDEX(W:W, ROW()-COUNTIF($F$6:INDEX($F:$F, ROW()-1), $F503)) : INDEX(W:W, ROW()-1)),
   AVERAGEIFS(
     INDEX((unit_details[Effective Rent],unit_details[Effective PSF]),0,1,IF($U$3="Chunk Rent",1,2)),
     unit_details[Leased Date],"&gt;="&amp;($AM$2-T$5),
     unit_details[Leased Date],"&lt;"&amp;$AM$2,
     unit_details[Beds],$L504,
     unit_details[Baths],$M504,
     unit_details[Partial Baths],IF(ISNUMBER($N504),$N504,""),
     unit_details[Sqft],$P504,
     unit_details[Property Name],$F504)
 ),"")</f>
        <v/>
      </c>
      <c r="V504" s="27" t="str">
        <f t="shared" si="87"/>
        <v/>
      </c>
      <c r="W504" s="526">
        <f>IFERROR(
  IF($F504="Total",
    SUM(INDEX(W:W, ROW()-COUNTIF($F$6:INDEX($F:$F, ROW()-1), $F503)) : INDEX(W:W, ROW()-1)),
    COUNTIFS(
      unit_details[Leased Date], "&gt;="&amp;($AM$2-T$5),
      unit_details[Leased Date], "&lt;"&amp;$AM$2,
      unit_details[Beds], $L504,
      unit_details[Baths], $M504,
      unit_details[Partial Baths], IF(ISNUMBER($N504), $N504, ""),
      unit_details[Sqft],$P504,
      unit_details[Property Name], $F504
    )
  ),
"")</f>
        <v>0</v>
      </c>
      <c r="X504" s="531" t="str">
        <f>IFERROR(
 IF($F504="Total",
   SUMPRODUCT(
   INDEX(X:X, ROW()-COUNTIF($F$6:INDEX($F:$F, ROW()-1), $F503)) : INDEX(X:X, ROW()-1),
   INDEX(AA:AA, ROW()-COUNTIF($F$6:INDEX($F:$F, ROW()-1), $F503)) : INDEX(AA:AA, ROW()-1)
   )
   /SUM(INDEX(AA:AA, ROW()-COUNTIF($F$6:INDEX($F:$F, ROW()-1), $F503)) : INDEX(AA:AA, ROW()-1)),
   AVERAGEIFS(
     INDEX((unit_details[Asking Rent],unit_details[Asking PSF]),0,1,IF($U$3="Chunk Rent",1,2)),
     unit_details[Leased Date],"&gt;="&amp;($AM$2-X$5),
     unit_details[Leased Date],"&lt;"&amp;$AM$2,
     unit_details[Beds],$L504,
     unit_details[Baths],$M504,
     unit_details[Partial Baths],IF(ISNUMBER($N504),$N504,""),
     unit_details[Sqft],$P504,
     unit_details[Property Name],$F504)
 ),"")</f>
        <v/>
      </c>
      <c r="Y504" s="552" t="str">
        <f>IFERROR(
 IF($F504="Total",
   SUMPRODUCT(
   INDEX(Y:Y, ROW()-COUNTIF($F$6:INDEX($F:$F, ROW()-1), $F503)) : INDEX(Y:Y, ROW()-1),
   INDEX(AA:AA, ROW()-COUNTIF($F$6:INDEX($F:$F, ROW()-1), $F503)) : INDEX(AA:AA, ROW()-1)
   )
   /SUM(INDEX(AA:AA, ROW()-COUNTIF($F$6:INDEX($F:$F, ROW()-1), $F503)) : INDEX(AA:AA, ROW()-1)),
   AVERAGEIFS(
     INDEX((unit_details[Effective Rent],unit_details[Effective PSF]),0,1,IF($U$3="Chunk Rent",1,2)),
     unit_details[Leased Date],"&gt;="&amp;($AM$2-X$5),
     unit_details[Leased Date],"&lt;"&amp;$AM$2,
     unit_details[Beds],$L504,
     unit_details[Baths],$M504,
     unit_details[Partial Baths],IF(ISNUMBER($N504),$N504,""),
     unit_details[Sqft],$P504,
     unit_details[Property Name],$F504)
 ),"")</f>
        <v/>
      </c>
      <c r="Z504" s="27" t="str">
        <f t="shared" si="88"/>
        <v/>
      </c>
      <c r="AA504" s="526">
        <f>IFERROR(
  IF($F504="Total",
    SUM(INDEX(AA:AA, ROW()-COUNTIF($F$6:INDEX($F:$F, ROW()-1), $F503)) : INDEX(AA:AA, ROW()-1)),
    COUNTIFS(
      unit_details[Leased Date], "&gt;="&amp;($AM$2-X$5),
      unit_details[Leased Date], "&lt;"&amp;$AM$2,
      unit_details[Beds], $L504,
      unit_details[Baths], $M504,
      unit_details[Partial Baths], IF(ISNUMBER($N504), $N504, ""),
      unit_details[Sqft],$P504,
      unit_details[Property Name], $F504
    )
  ),
"")</f>
        <v>0</v>
      </c>
      <c r="AB504" s="290">
        <f>IF($F504="Total",
SUM(INDEX(AB:AB, ROW()-COUNTIF($F$6:INDEX($F:$F, ROW()-1), $F503)) : INDEX(AB:AB, ROW()-1)),
COUNTIFS(unit_details[Active Listing?],TRUE,
          unit_details[Property Name], $F504,
          unit_details[Beds], $L504,
          unit_details[Baths], $M504,
          unit_details[Partial Baths],IF(ISNUMBER($N504),$N504,""),
          unit_details[Sqft],$P504))</f>
        <v>0</v>
      </c>
      <c r="AC504" s="27" t="str">
        <f t="shared" si="80"/>
        <v/>
      </c>
      <c r="AD504" s="293" t="str">
        <f>IFERROR(IF(AE504="","",IF($F504="Total",
SUMPRODUCT(
   INDEX(AD:AD, ROW()-COUNTIF($F$6:INDEX($F:$F, ROW()-1), $F503)) : INDEX(AD:AD, ROW()-1),
   INDEX(AB:AB, ROW()-COUNTIF($F$6:INDEX($F:$F, ROW()-1), $F503)) : INDEX(AB:AB, ROW()-1)
   )
   /SUM(INDEX(AB:AB, ROW()-COUNTIF($F$6:INDEX($F:$F, ROW()-1), $F503)) : INDEX(AB:AB, ROW()-1)),
          _xlfn.MINIFS(unit_details[Asking Rent],
          unit_details[Active Listing?],TRUE,
          unit_details[Property Name], $F504,
          unit_details[Beds], $L504,
          unit_details[Baths], $M504,
          unit_details[Partial Baths], IF(ISNUMBER($N504),$N504,""),
          unit_details[Sqft],$P504
))),"")</f>
        <v/>
      </c>
      <c r="AE504" s="5" t="str">
        <f>IFERROR(IF($F504="Total",
          SUMPRODUCT(
   INDEX(AE:AE, ROW()-COUNTIF($F$6:INDEX($F:$F, ROW()-1), $F503)) : INDEX(AE:AE, ROW()-1),
   INDEX(AB:AB, ROW()-COUNTIF($F$6:INDEX($F:$F, ROW()-1), $F503)) : INDEX(AB:AB, ROW()-1)
   )
   /SUM(INDEX(AB:AB, ROW()-COUNTIF($F$6:INDEX($F:$F, ROW()-1), $F503)) : INDEX(AB:AB, ROW()-1)),
          AVERAGEIFS(unit_details[Asking Rent],
          unit_details[Active Listing?],TRUE,
          unit_details[Property Name], $F504,
          unit_details[Beds], $L504,
          unit_details[Baths], $M504,
          unit_details[Partial Baths], IF(ISNUMBER($N504),$N504,""),
          unit_details[Sqft],$P504
)),"")</f>
        <v/>
      </c>
      <c r="AF504" s="5" t="str">
        <f>IFERROR(IF(AE504="","",IF($F504="Total",
SUMPRODUCT(
   INDEX(AF:AF, ROW()-COUNTIF($F$6:INDEX($F:$F, ROW()-1), $F503)) : INDEX(AF:AF, ROW()-1),
   INDEX(AB:AB, ROW()-COUNTIF($F$6:INDEX($F:$F, ROW()-1), $F503)) : INDEX(AB:AB, ROW()-1)
   )
   /SUM(INDEX(AB:AB, ROW()-COUNTIF($F$6:INDEX($F:$F, ROW()-1), $F503)) : INDEX(AB:AB, ROW()-1)),
           _xlfn.MAXIFS(unit_details[Asking Rent],
          unit_details[Active Listing?],TRUE,
          unit_details[Property Name], $F504,
          unit_details[Beds], $L504,
          unit_details[Baths], $M504,
          unit_details[Partial Baths], IF(ISNUMBER($N504),$N504,""),
          unit_details[Sqft],$P504
))),"")</f>
        <v/>
      </c>
      <c r="AG504" s="6" t="str">
        <f>IFERROR(IF($F504="Total",
         SUMPRODUCT(
         INDEX(AG:AG, ROW()-COUNTIF($F$6:INDEX($F:$F, ROW()-1), $F503)) : INDEX(AG:AG, ROW()-1),
         INDEX(AB:AB, ROW()-COUNTIF($F$6:INDEX($F:$F, ROW()-1), $F503)) : INDEX(AB:AB, ROW()-1)
         )
         /SUM(INDEX(AB:AB, ROW()-COUNTIF($F$6:INDEX($F:$F, ROW()-1), $F503)) : INDEX(AB:AB, ROW()-1)),
          AVERAGEIFS(unit_details[Asking PSF],
          unit_details[Active Listing?],TRUE,
          unit_details[Property Name], $F504,
          unit_details[Beds], $L504,
          unit_details[Baths], $M504,
          unit_details[Partial Baths], IF(ISNUMBER($N504),$N504,""),
          unit_details[Sqft],$P504
)),"")</f>
        <v/>
      </c>
      <c r="AH504" s="293" t="str">
        <f>IFERROR(IF($F504="Total",
         SUMPRODUCT(
         INDEX(AH:AH, ROW()-COUNTIF($F$6:INDEX($F:$F, ROW()-1), $F503)) : INDEX(AH:AH, ROW()-1),
         INDEX(AB:AB, ROW()-COUNTIF($F$6:INDEX($F:$F, ROW()-1), $F503)) : INDEX(AB:AB, ROW()-1)
         )
         /SUM(INDEX(AB:AB, ROW()-COUNTIF($F$6:INDEX($F:$F, ROW()-1), $F503)) : INDEX(AB:AB, ROW()-1)),
          AVERAGEIFS(unit_details[Effective Rent],
          unit_details[Active Listing?],TRUE,
          unit_details[Property Name], $F504,
          unit_details[Beds], $L504,
          unit_details[Baths], $M504,
          unit_details[Partial Baths], IF(ISNUMBER($N504),$N504,""),
          unit_details[Sqft],$P504
)),"")</f>
        <v/>
      </c>
      <c r="AI504" s="6" t="str">
        <f>IFERROR(IF($F504="Total",
         SUMPRODUCT(
         INDEX(AI:AI, ROW()-COUNTIF($F$6:INDEX($F:$F, ROW()-1), $F503)) : INDEX(AI:AI, ROW()-1),
         INDEX(AB:AB, ROW()-COUNTIF($F$6:INDEX($F:$F, ROW()-1), $F503)) : INDEX(AB:AB, ROW()-1)
         )
         /SUM(INDEX(AB:AB, ROW()-COUNTIF($F$6:INDEX($F:$F, ROW()-1), $F503)) : INDEX(AB:AB, ROW()-1)),
           AVERAGEIFS(unit_details[Effective PSF],
          unit_details[Active Listing?],TRUE,
          unit_details[Property Name], $F504,
          unit_details[Beds], $L504,
          unit_details[Baths], $M504,
          unit_details[Partial Baths], IF(ISNUMBER($N504),$N504,""),
          unit_details[Sqft],$P504
)),"")</f>
        <v/>
      </c>
      <c r="AJ504" s="824" t="str">
        <f t="shared" si="81"/>
        <v/>
      </c>
      <c r="AK504" s="531" t="str">
        <f t="shared" si="82"/>
        <v/>
      </c>
      <c r="AL504" s="714" t="str">
        <f t="shared" si="83"/>
        <v/>
      </c>
      <c r="AM504" s="531" t="str">
        <f t="shared" si="84"/>
        <v/>
      </c>
      <c r="AN504" s="716" t="str">
        <f t="shared" si="85"/>
        <v/>
      </c>
    </row>
    <row r="505" spans="6:40" x14ac:dyDescent="0.2">
      <c r="F505" s="1" t="str">
        <f t="shared" si="78"/>
        <v/>
      </c>
      <c r="G505" s="713" t="str">
        <f t="shared" si="86"/>
        <v/>
      </c>
      <c r="H505" s="17" t="str">
        <f>IFERROR(VLOOKUP($G505,Table1[[Property]:[Exposure %]],4,0),"")</f>
        <v/>
      </c>
      <c r="I505" s="3" t="str">
        <f>IFERROR(VLOOKUP($G505,Table1[[Property]:[Exposure %]],6,0),"")</f>
        <v/>
      </c>
      <c r="J505" s="3" t="str">
        <f>IFERROR(VLOOKUP($G505,Table1[[Property]:[Exposure %]],7,0),"")</f>
        <v/>
      </c>
      <c r="R505" s="4" t="str">
        <f>IFERROR(VLOOKUP(IF(F505="Total",F504,F505),Table1[[Property]:['# Units]],7,0)*S505,"")</f>
        <v/>
      </c>
      <c r="S505" s="27" t="str">
        <f t="shared" si="79"/>
        <v/>
      </c>
      <c r="T505" s="531" t="str">
        <f>IFERROR(
 IF($F505="Total",
   SUMPRODUCT(
   INDEX(T:T, ROW()-COUNTIF($F$6:INDEX($F:$F, ROW()-1), $F504)) : INDEX(T:T, ROW()-1),
   INDEX(W:W, ROW()-COUNTIF($F$6:INDEX($F:$F, ROW()-1), $F504)) : INDEX(W:W, ROW()-1)
   )
   /SUM(INDEX(W:W, ROW()-COUNTIF($F$6:INDEX($F:$F, ROW()-1), $F504)) : INDEX(W:W, ROW()-1)),
   AVERAGEIFS(
     INDEX((unit_details[Asking Rent],unit_details[Asking PSF]),0,1,IF($U$3="Chunk Rent",1,2)),
     unit_details[Leased Date],"&gt;="&amp;($AM$2-T$5),
     unit_details[Leased Date],"&lt;"&amp;$AM$2,
     unit_details[Beds],$L505,
     unit_details[Baths],$M505,
     unit_details[Partial Baths],IF(ISNUMBER($N505),$N505,""),
     unit_details[Sqft],$P505,
     unit_details[Property Name],$F505)
 ),"")</f>
        <v/>
      </c>
      <c r="U505" s="552" t="str">
        <f>IFERROR(
 IF($F505="Total",
   SUMPRODUCT(
   INDEX(U:U, ROW()-COUNTIF($F$6:INDEX($F:$F, ROW()-1), $F504)) : INDEX(U:U, ROW()-1),
   INDEX(W:W, ROW()-COUNTIF($F$6:INDEX($F:$F, ROW()-1), $F504)) : INDEX(W:W, ROW()-1)
   )
   /SUM(INDEX(W:W, ROW()-COUNTIF($F$6:INDEX($F:$F, ROW()-1), $F504)) : INDEX(W:W, ROW()-1)),
   AVERAGEIFS(
     INDEX((unit_details[Effective Rent],unit_details[Effective PSF]),0,1,IF($U$3="Chunk Rent",1,2)),
     unit_details[Leased Date],"&gt;="&amp;($AM$2-T$5),
     unit_details[Leased Date],"&lt;"&amp;$AM$2,
     unit_details[Beds],$L505,
     unit_details[Baths],$M505,
     unit_details[Partial Baths],IF(ISNUMBER($N505),$N505,""),
     unit_details[Sqft],$P505,
     unit_details[Property Name],$F505)
 ),"")</f>
        <v/>
      </c>
      <c r="V505" s="27" t="str">
        <f t="shared" si="87"/>
        <v/>
      </c>
      <c r="W505" s="526">
        <f>IFERROR(
  IF($F505="Total",
    SUM(INDEX(W:W, ROW()-COUNTIF($F$6:INDEX($F:$F, ROW()-1), $F504)) : INDEX(W:W, ROW()-1)),
    COUNTIFS(
      unit_details[Leased Date], "&gt;="&amp;($AM$2-T$5),
      unit_details[Leased Date], "&lt;"&amp;$AM$2,
      unit_details[Beds], $L505,
      unit_details[Baths], $M505,
      unit_details[Partial Baths], IF(ISNUMBER($N505), $N505, ""),
      unit_details[Sqft],$P505,
      unit_details[Property Name], $F505
    )
  ),
"")</f>
        <v>0</v>
      </c>
      <c r="X505" s="531" t="str">
        <f>IFERROR(
 IF($F505="Total",
   SUMPRODUCT(
   INDEX(X:X, ROW()-COUNTIF($F$6:INDEX($F:$F, ROW()-1), $F504)) : INDEX(X:X, ROW()-1),
   INDEX(AA:AA, ROW()-COUNTIF($F$6:INDEX($F:$F, ROW()-1), $F504)) : INDEX(AA:AA, ROW()-1)
   )
   /SUM(INDEX(AA:AA, ROW()-COUNTIF($F$6:INDEX($F:$F, ROW()-1), $F504)) : INDEX(AA:AA, ROW()-1)),
   AVERAGEIFS(
     INDEX((unit_details[Asking Rent],unit_details[Asking PSF]),0,1,IF($U$3="Chunk Rent",1,2)),
     unit_details[Leased Date],"&gt;="&amp;($AM$2-X$5),
     unit_details[Leased Date],"&lt;"&amp;$AM$2,
     unit_details[Beds],$L505,
     unit_details[Baths],$M505,
     unit_details[Partial Baths],IF(ISNUMBER($N505),$N505,""),
     unit_details[Sqft],$P505,
     unit_details[Property Name],$F505)
 ),"")</f>
        <v/>
      </c>
      <c r="Y505" s="552" t="str">
        <f>IFERROR(
 IF($F505="Total",
   SUMPRODUCT(
   INDEX(Y:Y, ROW()-COUNTIF($F$6:INDEX($F:$F, ROW()-1), $F504)) : INDEX(Y:Y, ROW()-1),
   INDEX(AA:AA, ROW()-COUNTIF($F$6:INDEX($F:$F, ROW()-1), $F504)) : INDEX(AA:AA, ROW()-1)
   )
   /SUM(INDEX(AA:AA, ROW()-COUNTIF($F$6:INDEX($F:$F, ROW()-1), $F504)) : INDEX(AA:AA, ROW()-1)),
   AVERAGEIFS(
     INDEX((unit_details[Effective Rent],unit_details[Effective PSF]),0,1,IF($U$3="Chunk Rent",1,2)),
     unit_details[Leased Date],"&gt;="&amp;($AM$2-X$5),
     unit_details[Leased Date],"&lt;"&amp;$AM$2,
     unit_details[Beds],$L505,
     unit_details[Baths],$M505,
     unit_details[Partial Baths],IF(ISNUMBER($N505),$N505,""),
     unit_details[Sqft],$P505,
     unit_details[Property Name],$F505)
 ),"")</f>
        <v/>
      </c>
      <c r="Z505" s="27" t="str">
        <f t="shared" si="88"/>
        <v/>
      </c>
      <c r="AA505" s="526">
        <f>IFERROR(
  IF($F505="Total",
    SUM(INDEX(AA:AA, ROW()-COUNTIF($F$6:INDEX($F:$F, ROW()-1), $F504)) : INDEX(AA:AA, ROW()-1)),
    COUNTIFS(
      unit_details[Leased Date], "&gt;="&amp;($AM$2-X$5),
      unit_details[Leased Date], "&lt;"&amp;$AM$2,
      unit_details[Beds], $L505,
      unit_details[Baths], $M505,
      unit_details[Partial Baths], IF(ISNUMBER($N505), $N505, ""),
      unit_details[Sqft],$P505,
      unit_details[Property Name], $F505
    )
  ),
"")</f>
        <v>0</v>
      </c>
      <c r="AB505" s="290">
        <f>IF($F505="Total",
SUM(INDEX(AB:AB, ROW()-COUNTIF($F$6:INDEX($F:$F, ROW()-1), $F504)) : INDEX(AB:AB, ROW()-1)),
COUNTIFS(unit_details[Active Listing?],TRUE,
          unit_details[Property Name], $F505,
          unit_details[Beds], $L505,
          unit_details[Baths], $M505,
          unit_details[Partial Baths],IF(ISNUMBER($N505),$N505,""),
          unit_details[Sqft],$P505))</f>
        <v>0</v>
      </c>
      <c r="AC505" s="27" t="str">
        <f t="shared" si="80"/>
        <v/>
      </c>
      <c r="AD505" s="293" t="str">
        <f>IFERROR(IF(AE505="","",IF($F505="Total",
SUMPRODUCT(
   INDEX(AD:AD, ROW()-COUNTIF($F$6:INDEX($F:$F, ROW()-1), $F504)) : INDEX(AD:AD, ROW()-1),
   INDEX(AB:AB, ROW()-COUNTIF($F$6:INDEX($F:$F, ROW()-1), $F504)) : INDEX(AB:AB, ROW()-1)
   )
   /SUM(INDEX(AB:AB, ROW()-COUNTIF($F$6:INDEX($F:$F, ROW()-1), $F504)) : INDEX(AB:AB, ROW()-1)),
          _xlfn.MINIFS(unit_details[Asking Rent],
          unit_details[Active Listing?],TRUE,
          unit_details[Property Name], $F505,
          unit_details[Beds], $L505,
          unit_details[Baths], $M505,
          unit_details[Partial Baths], IF(ISNUMBER($N505),$N505,""),
          unit_details[Sqft],$P505
))),"")</f>
        <v/>
      </c>
      <c r="AE505" s="5" t="str">
        <f>IFERROR(IF($F505="Total",
          SUMPRODUCT(
   INDEX(AE:AE, ROW()-COUNTIF($F$6:INDEX($F:$F, ROW()-1), $F504)) : INDEX(AE:AE, ROW()-1),
   INDEX(AB:AB, ROW()-COUNTIF($F$6:INDEX($F:$F, ROW()-1), $F504)) : INDEX(AB:AB, ROW()-1)
   )
   /SUM(INDEX(AB:AB, ROW()-COUNTIF($F$6:INDEX($F:$F, ROW()-1), $F504)) : INDEX(AB:AB, ROW()-1)),
          AVERAGEIFS(unit_details[Asking Rent],
          unit_details[Active Listing?],TRUE,
          unit_details[Property Name], $F505,
          unit_details[Beds], $L505,
          unit_details[Baths], $M505,
          unit_details[Partial Baths], IF(ISNUMBER($N505),$N505,""),
          unit_details[Sqft],$P505
)),"")</f>
        <v/>
      </c>
      <c r="AF505" s="5" t="str">
        <f>IFERROR(IF(AE505="","",IF($F505="Total",
SUMPRODUCT(
   INDEX(AF:AF, ROW()-COUNTIF($F$6:INDEX($F:$F, ROW()-1), $F504)) : INDEX(AF:AF, ROW()-1),
   INDEX(AB:AB, ROW()-COUNTIF($F$6:INDEX($F:$F, ROW()-1), $F504)) : INDEX(AB:AB, ROW()-1)
   )
   /SUM(INDEX(AB:AB, ROW()-COUNTIF($F$6:INDEX($F:$F, ROW()-1), $F504)) : INDEX(AB:AB, ROW()-1)),
           _xlfn.MAXIFS(unit_details[Asking Rent],
          unit_details[Active Listing?],TRUE,
          unit_details[Property Name], $F505,
          unit_details[Beds], $L505,
          unit_details[Baths], $M505,
          unit_details[Partial Baths], IF(ISNUMBER($N505),$N505,""),
          unit_details[Sqft],$P505
))),"")</f>
        <v/>
      </c>
      <c r="AG505" s="6" t="str">
        <f>IFERROR(IF($F505="Total",
         SUMPRODUCT(
         INDEX(AG:AG, ROW()-COUNTIF($F$6:INDEX($F:$F, ROW()-1), $F504)) : INDEX(AG:AG, ROW()-1),
         INDEX(AB:AB, ROW()-COUNTIF($F$6:INDEX($F:$F, ROW()-1), $F504)) : INDEX(AB:AB, ROW()-1)
         )
         /SUM(INDEX(AB:AB, ROW()-COUNTIF($F$6:INDEX($F:$F, ROW()-1), $F504)) : INDEX(AB:AB, ROW()-1)),
          AVERAGEIFS(unit_details[Asking PSF],
          unit_details[Active Listing?],TRUE,
          unit_details[Property Name], $F505,
          unit_details[Beds], $L505,
          unit_details[Baths], $M505,
          unit_details[Partial Baths], IF(ISNUMBER($N505),$N505,""),
          unit_details[Sqft],$P505
)),"")</f>
        <v/>
      </c>
      <c r="AH505" s="293" t="str">
        <f>IFERROR(IF($F505="Total",
         SUMPRODUCT(
         INDEX(AH:AH, ROW()-COUNTIF($F$6:INDEX($F:$F, ROW()-1), $F504)) : INDEX(AH:AH, ROW()-1),
         INDEX(AB:AB, ROW()-COUNTIF($F$6:INDEX($F:$F, ROW()-1), $F504)) : INDEX(AB:AB, ROW()-1)
         )
         /SUM(INDEX(AB:AB, ROW()-COUNTIF($F$6:INDEX($F:$F, ROW()-1), $F504)) : INDEX(AB:AB, ROW()-1)),
          AVERAGEIFS(unit_details[Effective Rent],
          unit_details[Active Listing?],TRUE,
          unit_details[Property Name], $F505,
          unit_details[Beds], $L505,
          unit_details[Baths], $M505,
          unit_details[Partial Baths], IF(ISNUMBER($N505),$N505,""),
          unit_details[Sqft],$P505
)),"")</f>
        <v/>
      </c>
      <c r="AI505" s="6" t="str">
        <f>IFERROR(IF($F505="Total",
         SUMPRODUCT(
         INDEX(AI:AI, ROW()-COUNTIF($F$6:INDEX($F:$F, ROW()-1), $F504)) : INDEX(AI:AI, ROW()-1),
         INDEX(AB:AB, ROW()-COUNTIF($F$6:INDEX($F:$F, ROW()-1), $F504)) : INDEX(AB:AB, ROW()-1)
         )
         /SUM(INDEX(AB:AB, ROW()-COUNTIF($F$6:INDEX($F:$F, ROW()-1), $F504)) : INDEX(AB:AB, ROW()-1)),
           AVERAGEIFS(unit_details[Effective PSF],
          unit_details[Active Listing?],TRUE,
          unit_details[Property Name], $F505,
          unit_details[Beds], $L505,
          unit_details[Baths], $M505,
          unit_details[Partial Baths], IF(ISNUMBER($N505),$N505,""),
          unit_details[Sqft],$P505
)),"")</f>
        <v/>
      </c>
      <c r="AJ505" s="824" t="str">
        <f t="shared" si="81"/>
        <v/>
      </c>
      <c r="AK505" s="531" t="str">
        <f t="shared" si="82"/>
        <v/>
      </c>
      <c r="AL505" s="714" t="str">
        <f t="shared" si="83"/>
        <v/>
      </c>
      <c r="AM505" s="531" t="str">
        <f t="shared" si="84"/>
        <v/>
      </c>
      <c r="AN505" s="716" t="str">
        <f t="shared" si="85"/>
        <v/>
      </c>
    </row>
    <row r="506" spans="6:40" x14ac:dyDescent="0.2">
      <c r="F506" s="1" t="str">
        <f t="shared" si="78"/>
        <v/>
      </c>
      <c r="G506" s="713" t="str">
        <f t="shared" si="86"/>
        <v/>
      </c>
      <c r="H506" s="17" t="str">
        <f>IFERROR(VLOOKUP($G506,Table1[[Property]:[Exposure %]],4,0),"")</f>
        <v/>
      </c>
      <c r="I506" s="3" t="str">
        <f>IFERROR(VLOOKUP($G506,Table1[[Property]:[Exposure %]],6,0),"")</f>
        <v/>
      </c>
      <c r="J506" s="3" t="str">
        <f>IFERROR(VLOOKUP($G506,Table1[[Property]:[Exposure %]],7,0),"")</f>
        <v/>
      </c>
      <c r="R506" s="4" t="str">
        <f>IFERROR(VLOOKUP(IF(F506="Total",F505,F506),Table1[[Property]:['# Units]],7,0)*S506,"")</f>
        <v/>
      </c>
      <c r="S506" s="27" t="str">
        <f t="shared" si="79"/>
        <v/>
      </c>
      <c r="T506" s="531" t="str">
        <f>IFERROR(
 IF($F506="Total",
   SUMPRODUCT(
   INDEX(T:T, ROW()-COUNTIF($F$6:INDEX($F:$F, ROW()-1), $F505)) : INDEX(T:T, ROW()-1),
   INDEX(W:W, ROW()-COUNTIF($F$6:INDEX($F:$F, ROW()-1), $F505)) : INDEX(W:W, ROW()-1)
   )
   /SUM(INDEX(W:W, ROW()-COUNTIF($F$6:INDEX($F:$F, ROW()-1), $F505)) : INDEX(W:W, ROW()-1)),
   AVERAGEIFS(
     INDEX((unit_details[Asking Rent],unit_details[Asking PSF]),0,1,IF($U$3="Chunk Rent",1,2)),
     unit_details[Leased Date],"&gt;="&amp;($AM$2-T$5),
     unit_details[Leased Date],"&lt;"&amp;$AM$2,
     unit_details[Beds],$L506,
     unit_details[Baths],$M506,
     unit_details[Partial Baths],IF(ISNUMBER($N506),$N506,""),
     unit_details[Sqft],$P506,
     unit_details[Property Name],$F506)
 ),"")</f>
        <v/>
      </c>
      <c r="U506" s="552" t="str">
        <f>IFERROR(
 IF($F506="Total",
   SUMPRODUCT(
   INDEX(U:U, ROW()-COUNTIF($F$6:INDEX($F:$F, ROW()-1), $F505)) : INDEX(U:U, ROW()-1),
   INDEX(W:W, ROW()-COUNTIF($F$6:INDEX($F:$F, ROW()-1), $F505)) : INDEX(W:W, ROW()-1)
   )
   /SUM(INDEX(W:W, ROW()-COUNTIF($F$6:INDEX($F:$F, ROW()-1), $F505)) : INDEX(W:W, ROW()-1)),
   AVERAGEIFS(
     INDEX((unit_details[Effective Rent],unit_details[Effective PSF]),0,1,IF($U$3="Chunk Rent",1,2)),
     unit_details[Leased Date],"&gt;="&amp;($AM$2-T$5),
     unit_details[Leased Date],"&lt;"&amp;$AM$2,
     unit_details[Beds],$L506,
     unit_details[Baths],$M506,
     unit_details[Partial Baths],IF(ISNUMBER($N506),$N506,""),
     unit_details[Sqft],$P506,
     unit_details[Property Name],$F506)
 ),"")</f>
        <v/>
      </c>
      <c r="V506" s="27" t="str">
        <f t="shared" si="87"/>
        <v/>
      </c>
      <c r="W506" s="526">
        <f>IFERROR(
  IF($F506="Total",
    SUM(INDEX(W:W, ROW()-COUNTIF($F$6:INDEX($F:$F, ROW()-1), $F505)) : INDEX(W:W, ROW()-1)),
    COUNTIFS(
      unit_details[Leased Date], "&gt;="&amp;($AM$2-T$5),
      unit_details[Leased Date], "&lt;"&amp;$AM$2,
      unit_details[Beds], $L506,
      unit_details[Baths], $M506,
      unit_details[Partial Baths], IF(ISNUMBER($N506), $N506, ""),
      unit_details[Sqft],$P506,
      unit_details[Property Name], $F506
    )
  ),
"")</f>
        <v>0</v>
      </c>
      <c r="X506" s="531" t="str">
        <f>IFERROR(
 IF($F506="Total",
   SUMPRODUCT(
   INDEX(X:X, ROW()-COUNTIF($F$6:INDEX($F:$F, ROW()-1), $F505)) : INDEX(X:X, ROW()-1),
   INDEX(AA:AA, ROW()-COUNTIF($F$6:INDEX($F:$F, ROW()-1), $F505)) : INDEX(AA:AA, ROW()-1)
   )
   /SUM(INDEX(AA:AA, ROW()-COUNTIF($F$6:INDEX($F:$F, ROW()-1), $F505)) : INDEX(AA:AA, ROW()-1)),
   AVERAGEIFS(
     INDEX((unit_details[Asking Rent],unit_details[Asking PSF]),0,1,IF($U$3="Chunk Rent",1,2)),
     unit_details[Leased Date],"&gt;="&amp;($AM$2-X$5),
     unit_details[Leased Date],"&lt;"&amp;$AM$2,
     unit_details[Beds],$L506,
     unit_details[Baths],$M506,
     unit_details[Partial Baths],IF(ISNUMBER($N506),$N506,""),
     unit_details[Sqft],$P506,
     unit_details[Property Name],$F506)
 ),"")</f>
        <v/>
      </c>
      <c r="Y506" s="552" t="str">
        <f>IFERROR(
 IF($F506="Total",
   SUMPRODUCT(
   INDEX(Y:Y, ROW()-COUNTIF($F$6:INDEX($F:$F, ROW()-1), $F505)) : INDEX(Y:Y, ROW()-1),
   INDEX(AA:AA, ROW()-COUNTIF($F$6:INDEX($F:$F, ROW()-1), $F505)) : INDEX(AA:AA, ROW()-1)
   )
   /SUM(INDEX(AA:AA, ROW()-COUNTIF($F$6:INDEX($F:$F, ROW()-1), $F505)) : INDEX(AA:AA, ROW()-1)),
   AVERAGEIFS(
     INDEX((unit_details[Effective Rent],unit_details[Effective PSF]),0,1,IF($U$3="Chunk Rent",1,2)),
     unit_details[Leased Date],"&gt;="&amp;($AM$2-X$5),
     unit_details[Leased Date],"&lt;"&amp;$AM$2,
     unit_details[Beds],$L506,
     unit_details[Baths],$M506,
     unit_details[Partial Baths],IF(ISNUMBER($N506),$N506,""),
     unit_details[Sqft],$P506,
     unit_details[Property Name],$F506)
 ),"")</f>
        <v/>
      </c>
      <c r="Z506" s="27" t="str">
        <f t="shared" si="88"/>
        <v/>
      </c>
      <c r="AA506" s="526">
        <f>IFERROR(
  IF($F506="Total",
    SUM(INDEX(AA:AA, ROW()-COUNTIF($F$6:INDEX($F:$F, ROW()-1), $F505)) : INDEX(AA:AA, ROW()-1)),
    COUNTIFS(
      unit_details[Leased Date], "&gt;="&amp;($AM$2-X$5),
      unit_details[Leased Date], "&lt;"&amp;$AM$2,
      unit_details[Beds], $L506,
      unit_details[Baths], $M506,
      unit_details[Partial Baths], IF(ISNUMBER($N506), $N506, ""),
      unit_details[Sqft],$P506,
      unit_details[Property Name], $F506
    )
  ),
"")</f>
        <v>0</v>
      </c>
      <c r="AB506" s="290">
        <f>IF($F506="Total",
SUM(INDEX(AB:AB, ROW()-COUNTIF($F$6:INDEX($F:$F, ROW()-1), $F505)) : INDEX(AB:AB, ROW()-1)),
COUNTIFS(unit_details[Active Listing?],TRUE,
          unit_details[Property Name], $F506,
          unit_details[Beds], $L506,
          unit_details[Baths], $M506,
          unit_details[Partial Baths],IF(ISNUMBER($N506),$N506,""),
          unit_details[Sqft],$P506))</f>
        <v>0</v>
      </c>
      <c r="AC506" s="27" t="str">
        <f t="shared" si="80"/>
        <v/>
      </c>
      <c r="AD506" s="293" t="str">
        <f>IFERROR(IF(AE506="","",IF($F506="Total",
SUMPRODUCT(
   INDEX(AD:AD, ROW()-COUNTIF($F$6:INDEX($F:$F, ROW()-1), $F505)) : INDEX(AD:AD, ROW()-1),
   INDEX(AB:AB, ROW()-COUNTIF($F$6:INDEX($F:$F, ROW()-1), $F505)) : INDEX(AB:AB, ROW()-1)
   )
   /SUM(INDEX(AB:AB, ROW()-COUNTIF($F$6:INDEX($F:$F, ROW()-1), $F505)) : INDEX(AB:AB, ROW()-1)),
          _xlfn.MINIFS(unit_details[Asking Rent],
          unit_details[Active Listing?],TRUE,
          unit_details[Property Name], $F506,
          unit_details[Beds], $L506,
          unit_details[Baths], $M506,
          unit_details[Partial Baths], IF(ISNUMBER($N506),$N506,""),
          unit_details[Sqft],$P506
))),"")</f>
        <v/>
      </c>
      <c r="AE506" s="5" t="str">
        <f>IFERROR(IF($F506="Total",
          SUMPRODUCT(
   INDEX(AE:AE, ROW()-COUNTIF($F$6:INDEX($F:$F, ROW()-1), $F505)) : INDEX(AE:AE, ROW()-1),
   INDEX(AB:AB, ROW()-COUNTIF($F$6:INDEX($F:$F, ROW()-1), $F505)) : INDEX(AB:AB, ROW()-1)
   )
   /SUM(INDEX(AB:AB, ROW()-COUNTIF($F$6:INDEX($F:$F, ROW()-1), $F505)) : INDEX(AB:AB, ROW()-1)),
          AVERAGEIFS(unit_details[Asking Rent],
          unit_details[Active Listing?],TRUE,
          unit_details[Property Name], $F506,
          unit_details[Beds], $L506,
          unit_details[Baths], $M506,
          unit_details[Partial Baths], IF(ISNUMBER($N506),$N506,""),
          unit_details[Sqft],$P506
)),"")</f>
        <v/>
      </c>
      <c r="AF506" s="5" t="str">
        <f>IFERROR(IF(AE506="","",IF($F506="Total",
SUMPRODUCT(
   INDEX(AF:AF, ROW()-COUNTIF($F$6:INDEX($F:$F, ROW()-1), $F505)) : INDEX(AF:AF, ROW()-1),
   INDEX(AB:AB, ROW()-COUNTIF($F$6:INDEX($F:$F, ROW()-1), $F505)) : INDEX(AB:AB, ROW()-1)
   )
   /SUM(INDEX(AB:AB, ROW()-COUNTIF($F$6:INDEX($F:$F, ROW()-1), $F505)) : INDEX(AB:AB, ROW()-1)),
           _xlfn.MAXIFS(unit_details[Asking Rent],
          unit_details[Active Listing?],TRUE,
          unit_details[Property Name], $F506,
          unit_details[Beds], $L506,
          unit_details[Baths], $M506,
          unit_details[Partial Baths], IF(ISNUMBER($N506),$N506,""),
          unit_details[Sqft],$P506
))),"")</f>
        <v/>
      </c>
      <c r="AG506" s="6" t="str">
        <f>IFERROR(IF($F506="Total",
         SUMPRODUCT(
         INDEX(AG:AG, ROW()-COUNTIF($F$6:INDEX($F:$F, ROW()-1), $F505)) : INDEX(AG:AG, ROW()-1),
         INDEX(AB:AB, ROW()-COUNTIF($F$6:INDEX($F:$F, ROW()-1), $F505)) : INDEX(AB:AB, ROW()-1)
         )
         /SUM(INDEX(AB:AB, ROW()-COUNTIF($F$6:INDEX($F:$F, ROW()-1), $F505)) : INDEX(AB:AB, ROW()-1)),
          AVERAGEIFS(unit_details[Asking PSF],
          unit_details[Active Listing?],TRUE,
          unit_details[Property Name], $F506,
          unit_details[Beds], $L506,
          unit_details[Baths], $M506,
          unit_details[Partial Baths], IF(ISNUMBER($N506),$N506,""),
          unit_details[Sqft],$P506
)),"")</f>
        <v/>
      </c>
      <c r="AH506" s="293" t="str">
        <f>IFERROR(IF($F506="Total",
         SUMPRODUCT(
         INDEX(AH:AH, ROW()-COUNTIF($F$6:INDEX($F:$F, ROW()-1), $F505)) : INDEX(AH:AH, ROW()-1),
         INDEX(AB:AB, ROW()-COUNTIF($F$6:INDEX($F:$F, ROW()-1), $F505)) : INDEX(AB:AB, ROW()-1)
         )
         /SUM(INDEX(AB:AB, ROW()-COUNTIF($F$6:INDEX($F:$F, ROW()-1), $F505)) : INDEX(AB:AB, ROW()-1)),
          AVERAGEIFS(unit_details[Effective Rent],
          unit_details[Active Listing?],TRUE,
          unit_details[Property Name], $F506,
          unit_details[Beds], $L506,
          unit_details[Baths], $M506,
          unit_details[Partial Baths], IF(ISNUMBER($N506),$N506,""),
          unit_details[Sqft],$P506
)),"")</f>
        <v/>
      </c>
      <c r="AI506" s="6" t="str">
        <f>IFERROR(IF($F506="Total",
         SUMPRODUCT(
         INDEX(AI:AI, ROW()-COUNTIF($F$6:INDEX($F:$F, ROW()-1), $F505)) : INDEX(AI:AI, ROW()-1),
         INDEX(AB:AB, ROW()-COUNTIF($F$6:INDEX($F:$F, ROW()-1), $F505)) : INDEX(AB:AB, ROW()-1)
         )
         /SUM(INDEX(AB:AB, ROW()-COUNTIF($F$6:INDEX($F:$F, ROW()-1), $F505)) : INDEX(AB:AB, ROW()-1)),
           AVERAGEIFS(unit_details[Effective PSF],
          unit_details[Active Listing?],TRUE,
          unit_details[Property Name], $F506,
          unit_details[Beds], $L506,
          unit_details[Baths], $M506,
          unit_details[Partial Baths], IF(ISNUMBER($N506),$N506,""),
          unit_details[Sqft],$P506
)),"")</f>
        <v/>
      </c>
      <c r="AJ506" s="824" t="str">
        <f t="shared" si="81"/>
        <v/>
      </c>
      <c r="AK506" s="531" t="str">
        <f t="shared" si="82"/>
        <v/>
      </c>
      <c r="AL506" s="714" t="str">
        <f t="shared" si="83"/>
        <v/>
      </c>
      <c r="AM506" s="531" t="str">
        <f t="shared" si="84"/>
        <v/>
      </c>
      <c r="AN506" s="716" t="str">
        <f t="shared" si="85"/>
        <v/>
      </c>
    </row>
    <row r="507" spans="6:40" x14ac:dyDescent="0.2">
      <c r="F507" s="1" t="str">
        <f t="shared" si="78"/>
        <v/>
      </c>
      <c r="G507" s="713" t="str">
        <f t="shared" si="86"/>
        <v/>
      </c>
      <c r="H507" s="17" t="str">
        <f>IFERROR(VLOOKUP($G507,Table1[[Property]:[Exposure %]],4,0),"")</f>
        <v/>
      </c>
      <c r="I507" s="3" t="str">
        <f>IFERROR(VLOOKUP($G507,Table1[[Property]:[Exposure %]],6,0),"")</f>
        <v/>
      </c>
      <c r="J507" s="3" t="str">
        <f>IFERROR(VLOOKUP($G507,Table1[[Property]:[Exposure %]],7,0),"")</f>
        <v/>
      </c>
      <c r="R507" s="4" t="str">
        <f>IFERROR(VLOOKUP(IF(F507="Total",F506,F507),Table1[[Property]:['# Units]],7,0)*S507,"")</f>
        <v/>
      </c>
      <c r="S507" s="27" t="str">
        <f t="shared" si="79"/>
        <v/>
      </c>
      <c r="T507" s="531" t="str">
        <f>IFERROR(
 IF($F507="Total",
   SUMPRODUCT(
   INDEX(T:T, ROW()-COUNTIF($F$6:INDEX($F:$F, ROW()-1), $F506)) : INDEX(T:T, ROW()-1),
   INDEX(W:W, ROW()-COUNTIF($F$6:INDEX($F:$F, ROW()-1), $F506)) : INDEX(W:W, ROW()-1)
   )
   /SUM(INDEX(W:W, ROW()-COUNTIF($F$6:INDEX($F:$F, ROW()-1), $F506)) : INDEX(W:W, ROW()-1)),
   AVERAGEIFS(
     INDEX((unit_details[Asking Rent],unit_details[Asking PSF]),0,1,IF($U$3="Chunk Rent",1,2)),
     unit_details[Leased Date],"&gt;="&amp;($AM$2-T$5),
     unit_details[Leased Date],"&lt;"&amp;$AM$2,
     unit_details[Beds],$L507,
     unit_details[Baths],$M507,
     unit_details[Partial Baths],IF(ISNUMBER($N507),$N507,""),
     unit_details[Sqft],$P507,
     unit_details[Property Name],$F507)
 ),"")</f>
        <v/>
      </c>
      <c r="U507" s="552" t="str">
        <f>IFERROR(
 IF($F507="Total",
   SUMPRODUCT(
   INDEX(U:U, ROW()-COUNTIF($F$6:INDEX($F:$F, ROW()-1), $F506)) : INDEX(U:U, ROW()-1),
   INDEX(W:W, ROW()-COUNTIF($F$6:INDEX($F:$F, ROW()-1), $F506)) : INDEX(W:W, ROW()-1)
   )
   /SUM(INDEX(W:W, ROW()-COUNTIF($F$6:INDEX($F:$F, ROW()-1), $F506)) : INDEX(W:W, ROW()-1)),
   AVERAGEIFS(
     INDEX((unit_details[Effective Rent],unit_details[Effective PSF]),0,1,IF($U$3="Chunk Rent",1,2)),
     unit_details[Leased Date],"&gt;="&amp;($AM$2-T$5),
     unit_details[Leased Date],"&lt;"&amp;$AM$2,
     unit_details[Beds],$L507,
     unit_details[Baths],$M507,
     unit_details[Partial Baths],IF(ISNUMBER($N507),$N507,""),
     unit_details[Sqft],$P507,
     unit_details[Property Name],$F507)
 ),"")</f>
        <v/>
      </c>
      <c r="V507" s="27" t="str">
        <f t="shared" si="87"/>
        <v/>
      </c>
      <c r="W507" s="526">
        <f>IFERROR(
  IF($F507="Total",
    SUM(INDEX(W:W, ROW()-COUNTIF($F$6:INDEX($F:$F, ROW()-1), $F506)) : INDEX(W:W, ROW()-1)),
    COUNTIFS(
      unit_details[Leased Date], "&gt;="&amp;($AM$2-T$5),
      unit_details[Leased Date], "&lt;"&amp;$AM$2,
      unit_details[Beds], $L507,
      unit_details[Baths], $M507,
      unit_details[Partial Baths], IF(ISNUMBER($N507), $N507, ""),
      unit_details[Sqft],$P507,
      unit_details[Property Name], $F507
    )
  ),
"")</f>
        <v>0</v>
      </c>
      <c r="X507" s="531" t="str">
        <f>IFERROR(
 IF($F507="Total",
   SUMPRODUCT(
   INDEX(X:X, ROW()-COUNTIF($F$6:INDEX($F:$F, ROW()-1), $F506)) : INDEX(X:X, ROW()-1),
   INDEX(AA:AA, ROW()-COUNTIF($F$6:INDEX($F:$F, ROW()-1), $F506)) : INDEX(AA:AA, ROW()-1)
   )
   /SUM(INDEX(AA:AA, ROW()-COUNTIF($F$6:INDEX($F:$F, ROW()-1), $F506)) : INDEX(AA:AA, ROW()-1)),
   AVERAGEIFS(
     INDEX((unit_details[Asking Rent],unit_details[Asking PSF]),0,1,IF($U$3="Chunk Rent",1,2)),
     unit_details[Leased Date],"&gt;="&amp;($AM$2-X$5),
     unit_details[Leased Date],"&lt;"&amp;$AM$2,
     unit_details[Beds],$L507,
     unit_details[Baths],$M507,
     unit_details[Partial Baths],IF(ISNUMBER($N507),$N507,""),
     unit_details[Sqft],$P507,
     unit_details[Property Name],$F507)
 ),"")</f>
        <v/>
      </c>
      <c r="Y507" s="552" t="str">
        <f>IFERROR(
 IF($F507="Total",
   SUMPRODUCT(
   INDEX(Y:Y, ROW()-COUNTIF($F$6:INDEX($F:$F, ROW()-1), $F506)) : INDEX(Y:Y, ROW()-1),
   INDEX(AA:AA, ROW()-COUNTIF($F$6:INDEX($F:$F, ROW()-1), $F506)) : INDEX(AA:AA, ROW()-1)
   )
   /SUM(INDEX(AA:AA, ROW()-COUNTIF($F$6:INDEX($F:$F, ROW()-1), $F506)) : INDEX(AA:AA, ROW()-1)),
   AVERAGEIFS(
     INDEX((unit_details[Effective Rent],unit_details[Effective PSF]),0,1,IF($U$3="Chunk Rent",1,2)),
     unit_details[Leased Date],"&gt;="&amp;($AM$2-X$5),
     unit_details[Leased Date],"&lt;"&amp;$AM$2,
     unit_details[Beds],$L507,
     unit_details[Baths],$M507,
     unit_details[Partial Baths],IF(ISNUMBER($N507),$N507,""),
     unit_details[Sqft],$P507,
     unit_details[Property Name],$F507)
 ),"")</f>
        <v/>
      </c>
      <c r="Z507" s="27" t="str">
        <f t="shared" si="88"/>
        <v/>
      </c>
      <c r="AA507" s="526">
        <f>IFERROR(
  IF($F507="Total",
    SUM(INDEX(AA:AA, ROW()-COUNTIF($F$6:INDEX($F:$F, ROW()-1), $F506)) : INDEX(AA:AA, ROW()-1)),
    COUNTIFS(
      unit_details[Leased Date], "&gt;="&amp;($AM$2-X$5),
      unit_details[Leased Date], "&lt;"&amp;$AM$2,
      unit_details[Beds], $L507,
      unit_details[Baths], $M507,
      unit_details[Partial Baths], IF(ISNUMBER($N507), $N507, ""),
      unit_details[Sqft],$P507,
      unit_details[Property Name], $F507
    )
  ),
"")</f>
        <v>0</v>
      </c>
      <c r="AB507" s="290">
        <f>IF($F507="Total",
SUM(INDEX(AB:AB, ROW()-COUNTIF($F$6:INDEX($F:$F, ROW()-1), $F506)) : INDEX(AB:AB, ROW()-1)),
COUNTIFS(unit_details[Active Listing?],TRUE,
          unit_details[Property Name], $F507,
          unit_details[Beds], $L507,
          unit_details[Baths], $M507,
          unit_details[Partial Baths],IF(ISNUMBER($N507),$N507,""),
          unit_details[Sqft],$P507))</f>
        <v>0</v>
      </c>
      <c r="AC507" s="27" t="str">
        <f t="shared" si="80"/>
        <v/>
      </c>
      <c r="AD507" s="293" t="str">
        <f>IFERROR(IF(AE507="","",IF($F507="Total",
SUMPRODUCT(
   INDEX(AD:AD, ROW()-COUNTIF($F$6:INDEX($F:$F, ROW()-1), $F506)) : INDEX(AD:AD, ROW()-1),
   INDEX(AB:AB, ROW()-COUNTIF($F$6:INDEX($F:$F, ROW()-1), $F506)) : INDEX(AB:AB, ROW()-1)
   )
   /SUM(INDEX(AB:AB, ROW()-COUNTIF($F$6:INDEX($F:$F, ROW()-1), $F506)) : INDEX(AB:AB, ROW()-1)),
          _xlfn.MINIFS(unit_details[Asking Rent],
          unit_details[Active Listing?],TRUE,
          unit_details[Property Name], $F507,
          unit_details[Beds], $L507,
          unit_details[Baths], $M507,
          unit_details[Partial Baths], IF(ISNUMBER($N507),$N507,""),
          unit_details[Sqft],$P507
))),"")</f>
        <v/>
      </c>
      <c r="AE507" s="5" t="str">
        <f>IFERROR(IF($F507="Total",
          SUMPRODUCT(
   INDEX(AE:AE, ROW()-COUNTIF($F$6:INDEX($F:$F, ROW()-1), $F506)) : INDEX(AE:AE, ROW()-1),
   INDEX(AB:AB, ROW()-COUNTIF($F$6:INDEX($F:$F, ROW()-1), $F506)) : INDEX(AB:AB, ROW()-1)
   )
   /SUM(INDEX(AB:AB, ROW()-COUNTIF($F$6:INDEX($F:$F, ROW()-1), $F506)) : INDEX(AB:AB, ROW()-1)),
          AVERAGEIFS(unit_details[Asking Rent],
          unit_details[Active Listing?],TRUE,
          unit_details[Property Name], $F507,
          unit_details[Beds], $L507,
          unit_details[Baths], $M507,
          unit_details[Partial Baths], IF(ISNUMBER($N507),$N507,""),
          unit_details[Sqft],$P507
)),"")</f>
        <v/>
      </c>
      <c r="AF507" s="5" t="str">
        <f>IFERROR(IF(AE507="","",IF($F507="Total",
SUMPRODUCT(
   INDEX(AF:AF, ROW()-COUNTIF($F$6:INDEX($F:$F, ROW()-1), $F506)) : INDEX(AF:AF, ROW()-1),
   INDEX(AB:AB, ROW()-COUNTIF($F$6:INDEX($F:$F, ROW()-1), $F506)) : INDEX(AB:AB, ROW()-1)
   )
   /SUM(INDEX(AB:AB, ROW()-COUNTIF($F$6:INDEX($F:$F, ROW()-1), $F506)) : INDEX(AB:AB, ROW()-1)),
           _xlfn.MAXIFS(unit_details[Asking Rent],
          unit_details[Active Listing?],TRUE,
          unit_details[Property Name], $F507,
          unit_details[Beds], $L507,
          unit_details[Baths], $M507,
          unit_details[Partial Baths], IF(ISNUMBER($N507),$N507,""),
          unit_details[Sqft],$P507
))),"")</f>
        <v/>
      </c>
      <c r="AG507" s="6" t="str">
        <f>IFERROR(IF($F507="Total",
         SUMPRODUCT(
         INDEX(AG:AG, ROW()-COUNTIF($F$6:INDEX($F:$F, ROW()-1), $F506)) : INDEX(AG:AG, ROW()-1),
         INDEX(AB:AB, ROW()-COUNTIF($F$6:INDEX($F:$F, ROW()-1), $F506)) : INDEX(AB:AB, ROW()-1)
         )
         /SUM(INDEX(AB:AB, ROW()-COUNTIF($F$6:INDEX($F:$F, ROW()-1), $F506)) : INDEX(AB:AB, ROW()-1)),
          AVERAGEIFS(unit_details[Asking PSF],
          unit_details[Active Listing?],TRUE,
          unit_details[Property Name], $F507,
          unit_details[Beds], $L507,
          unit_details[Baths], $M507,
          unit_details[Partial Baths], IF(ISNUMBER($N507),$N507,""),
          unit_details[Sqft],$P507
)),"")</f>
        <v/>
      </c>
      <c r="AH507" s="293" t="str">
        <f>IFERROR(IF($F507="Total",
         SUMPRODUCT(
         INDEX(AH:AH, ROW()-COUNTIF($F$6:INDEX($F:$F, ROW()-1), $F506)) : INDEX(AH:AH, ROW()-1),
         INDEX(AB:AB, ROW()-COUNTIF($F$6:INDEX($F:$F, ROW()-1), $F506)) : INDEX(AB:AB, ROW()-1)
         )
         /SUM(INDEX(AB:AB, ROW()-COUNTIF($F$6:INDEX($F:$F, ROW()-1), $F506)) : INDEX(AB:AB, ROW()-1)),
          AVERAGEIFS(unit_details[Effective Rent],
          unit_details[Active Listing?],TRUE,
          unit_details[Property Name], $F507,
          unit_details[Beds], $L507,
          unit_details[Baths], $M507,
          unit_details[Partial Baths], IF(ISNUMBER($N507),$N507,""),
          unit_details[Sqft],$P507
)),"")</f>
        <v/>
      </c>
      <c r="AI507" s="6" t="str">
        <f>IFERROR(IF($F507="Total",
         SUMPRODUCT(
         INDEX(AI:AI, ROW()-COUNTIF($F$6:INDEX($F:$F, ROW()-1), $F506)) : INDEX(AI:AI, ROW()-1),
         INDEX(AB:AB, ROW()-COUNTIF($F$6:INDEX($F:$F, ROW()-1), $F506)) : INDEX(AB:AB, ROW()-1)
         )
         /SUM(INDEX(AB:AB, ROW()-COUNTIF($F$6:INDEX($F:$F, ROW()-1), $F506)) : INDEX(AB:AB, ROW()-1)),
           AVERAGEIFS(unit_details[Effective PSF],
          unit_details[Active Listing?],TRUE,
          unit_details[Property Name], $F507,
          unit_details[Beds], $L507,
          unit_details[Baths], $M507,
          unit_details[Partial Baths], IF(ISNUMBER($N507),$N507,""),
          unit_details[Sqft],$P507
)),"")</f>
        <v/>
      </c>
      <c r="AJ507" s="824" t="str">
        <f t="shared" si="81"/>
        <v/>
      </c>
      <c r="AK507" s="531" t="str">
        <f t="shared" si="82"/>
        <v/>
      </c>
      <c r="AL507" s="714" t="str">
        <f t="shared" si="83"/>
        <v/>
      </c>
      <c r="AM507" s="531" t="str">
        <f t="shared" si="84"/>
        <v/>
      </c>
      <c r="AN507" s="716" t="str">
        <f t="shared" si="85"/>
        <v/>
      </c>
    </row>
    <row r="508" spans="6:40" x14ac:dyDescent="0.2">
      <c r="F508" s="1" t="str">
        <f t="shared" si="78"/>
        <v/>
      </c>
      <c r="G508" s="713" t="str">
        <f t="shared" si="86"/>
        <v/>
      </c>
      <c r="H508" s="17" t="str">
        <f>IFERROR(VLOOKUP($G508,Table1[[Property]:[Exposure %]],4,0),"")</f>
        <v/>
      </c>
      <c r="I508" s="3" t="str">
        <f>IFERROR(VLOOKUP($G508,Table1[[Property]:[Exposure %]],6,0),"")</f>
        <v/>
      </c>
      <c r="J508" s="3" t="str">
        <f>IFERROR(VLOOKUP($G508,Table1[[Property]:[Exposure %]],7,0),"")</f>
        <v/>
      </c>
      <c r="R508" s="4" t="str">
        <f>IFERROR(VLOOKUP(IF(F508="Total",F507,F508),Table1[[Property]:['# Units]],7,0)*S508,"")</f>
        <v/>
      </c>
      <c r="S508" s="27" t="str">
        <f t="shared" si="79"/>
        <v/>
      </c>
      <c r="T508" s="531" t="str">
        <f>IFERROR(
 IF($F508="Total",
   SUMPRODUCT(
   INDEX(T:T, ROW()-COUNTIF($F$6:INDEX($F:$F, ROW()-1), $F507)) : INDEX(T:T, ROW()-1),
   INDEX(W:W, ROW()-COUNTIF($F$6:INDEX($F:$F, ROW()-1), $F507)) : INDEX(W:W, ROW()-1)
   )
   /SUM(INDEX(W:W, ROW()-COUNTIF($F$6:INDEX($F:$F, ROW()-1), $F507)) : INDEX(W:W, ROW()-1)),
   AVERAGEIFS(
     INDEX((unit_details[Asking Rent],unit_details[Asking PSF]),0,1,IF($U$3="Chunk Rent",1,2)),
     unit_details[Leased Date],"&gt;="&amp;($AM$2-T$5),
     unit_details[Leased Date],"&lt;"&amp;$AM$2,
     unit_details[Beds],$L508,
     unit_details[Baths],$M508,
     unit_details[Partial Baths],IF(ISNUMBER($N508),$N508,""),
     unit_details[Sqft],$P508,
     unit_details[Property Name],$F508)
 ),"")</f>
        <v/>
      </c>
      <c r="U508" s="552" t="str">
        <f>IFERROR(
 IF($F508="Total",
   SUMPRODUCT(
   INDEX(U:U, ROW()-COUNTIF($F$6:INDEX($F:$F, ROW()-1), $F507)) : INDEX(U:U, ROW()-1),
   INDEX(W:W, ROW()-COUNTIF($F$6:INDEX($F:$F, ROW()-1), $F507)) : INDEX(W:W, ROW()-1)
   )
   /SUM(INDEX(W:W, ROW()-COUNTIF($F$6:INDEX($F:$F, ROW()-1), $F507)) : INDEX(W:W, ROW()-1)),
   AVERAGEIFS(
     INDEX((unit_details[Effective Rent],unit_details[Effective PSF]),0,1,IF($U$3="Chunk Rent",1,2)),
     unit_details[Leased Date],"&gt;="&amp;($AM$2-T$5),
     unit_details[Leased Date],"&lt;"&amp;$AM$2,
     unit_details[Beds],$L508,
     unit_details[Baths],$M508,
     unit_details[Partial Baths],IF(ISNUMBER($N508),$N508,""),
     unit_details[Sqft],$P508,
     unit_details[Property Name],$F508)
 ),"")</f>
        <v/>
      </c>
      <c r="V508" s="27" t="str">
        <f t="shared" si="87"/>
        <v/>
      </c>
      <c r="W508" s="526">
        <f>IFERROR(
  IF($F508="Total",
    SUM(INDEX(W:W, ROW()-COUNTIF($F$6:INDEX($F:$F, ROW()-1), $F507)) : INDEX(W:W, ROW()-1)),
    COUNTIFS(
      unit_details[Leased Date], "&gt;="&amp;($AM$2-T$5),
      unit_details[Leased Date], "&lt;"&amp;$AM$2,
      unit_details[Beds], $L508,
      unit_details[Baths], $M508,
      unit_details[Partial Baths], IF(ISNUMBER($N508), $N508, ""),
      unit_details[Sqft],$P508,
      unit_details[Property Name], $F508
    )
  ),
"")</f>
        <v>0</v>
      </c>
      <c r="X508" s="531" t="str">
        <f>IFERROR(
 IF($F508="Total",
   SUMPRODUCT(
   INDEX(X:X, ROW()-COUNTIF($F$6:INDEX($F:$F, ROW()-1), $F507)) : INDEX(X:X, ROW()-1),
   INDEX(AA:AA, ROW()-COUNTIF($F$6:INDEX($F:$F, ROW()-1), $F507)) : INDEX(AA:AA, ROW()-1)
   )
   /SUM(INDEX(AA:AA, ROW()-COUNTIF($F$6:INDEX($F:$F, ROW()-1), $F507)) : INDEX(AA:AA, ROW()-1)),
   AVERAGEIFS(
     INDEX((unit_details[Asking Rent],unit_details[Asking PSF]),0,1,IF($U$3="Chunk Rent",1,2)),
     unit_details[Leased Date],"&gt;="&amp;($AM$2-X$5),
     unit_details[Leased Date],"&lt;"&amp;$AM$2,
     unit_details[Beds],$L508,
     unit_details[Baths],$M508,
     unit_details[Partial Baths],IF(ISNUMBER($N508),$N508,""),
     unit_details[Sqft],$P508,
     unit_details[Property Name],$F508)
 ),"")</f>
        <v/>
      </c>
      <c r="Y508" s="552" t="str">
        <f>IFERROR(
 IF($F508="Total",
   SUMPRODUCT(
   INDEX(Y:Y, ROW()-COUNTIF($F$6:INDEX($F:$F, ROW()-1), $F507)) : INDEX(Y:Y, ROW()-1),
   INDEX(AA:AA, ROW()-COUNTIF($F$6:INDEX($F:$F, ROW()-1), $F507)) : INDEX(AA:AA, ROW()-1)
   )
   /SUM(INDEX(AA:AA, ROW()-COUNTIF($F$6:INDEX($F:$F, ROW()-1), $F507)) : INDEX(AA:AA, ROW()-1)),
   AVERAGEIFS(
     INDEX((unit_details[Effective Rent],unit_details[Effective PSF]),0,1,IF($U$3="Chunk Rent",1,2)),
     unit_details[Leased Date],"&gt;="&amp;($AM$2-X$5),
     unit_details[Leased Date],"&lt;"&amp;$AM$2,
     unit_details[Beds],$L508,
     unit_details[Baths],$M508,
     unit_details[Partial Baths],IF(ISNUMBER($N508),$N508,""),
     unit_details[Sqft],$P508,
     unit_details[Property Name],$F508)
 ),"")</f>
        <v/>
      </c>
      <c r="Z508" s="27" t="str">
        <f t="shared" si="88"/>
        <v/>
      </c>
      <c r="AA508" s="526">
        <f>IFERROR(
  IF($F508="Total",
    SUM(INDEX(AA:AA, ROW()-COUNTIF($F$6:INDEX($F:$F, ROW()-1), $F507)) : INDEX(AA:AA, ROW()-1)),
    COUNTIFS(
      unit_details[Leased Date], "&gt;="&amp;($AM$2-X$5),
      unit_details[Leased Date], "&lt;"&amp;$AM$2,
      unit_details[Beds], $L508,
      unit_details[Baths], $M508,
      unit_details[Partial Baths], IF(ISNUMBER($N508), $N508, ""),
      unit_details[Sqft],$P508,
      unit_details[Property Name], $F508
    )
  ),
"")</f>
        <v>0</v>
      </c>
      <c r="AB508" s="290">
        <f>IF($F508="Total",
SUM(INDEX(AB:AB, ROW()-COUNTIF($F$6:INDEX($F:$F, ROW()-1), $F507)) : INDEX(AB:AB, ROW()-1)),
COUNTIFS(unit_details[Active Listing?],TRUE,
          unit_details[Property Name], $F508,
          unit_details[Beds], $L508,
          unit_details[Baths], $M508,
          unit_details[Partial Baths],IF(ISNUMBER($N508),$N508,""),
          unit_details[Sqft],$P508))</f>
        <v>0</v>
      </c>
      <c r="AC508" s="27" t="str">
        <f t="shared" si="80"/>
        <v/>
      </c>
      <c r="AD508" s="293" t="str">
        <f>IFERROR(IF(AE508="","",IF($F508="Total",
SUMPRODUCT(
   INDEX(AD:AD, ROW()-COUNTIF($F$6:INDEX($F:$F, ROW()-1), $F507)) : INDEX(AD:AD, ROW()-1),
   INDEX(AB:AB, ROW()-COUNTIF($F$6:INDEX($F:$F, ROW()-1), $F507)) : INDEX(AB:AB, ROW()-1)
   )
   /SUM(INDEX(AB:AB, ROW()-COUNTIF($F$6:INDEX($F:$F, ROW()-1), $F507)) : INDEX(AB:AB, ROW()-1)),
          _xlfn.MINIFS(unit_details[Asking Rent],
          unit_details[Active Listing?],TRUE,
          unit_details[Property Name], $F508,
          unit_details[Beds], $L508,
          unit_details[Baths], $M508,
          unit_details[Partial Baths], IF(ISNUMBER($N508),$N508,""),
          unit_details[Sqft],$P508
))),"")</f>
        <v/>
      </c>
      <c r="AE508" s="5" t="str">
        <f>IFERROR(IF($F508="Total",
          SUMPRODUCT(
   INDEX(AE:AE, ROW()-COUNTIF($F$6:INDEX($F:$F, ROW()-1), $F507)) : INDEX(AE:AE, ROW()-1),
   INDEX(AB:AB, ROW()-COUNTIF($F$6:INDEX($F:$F, ROW()-1), $F507)) : INDEX(AB:AB, ROW()-1)
   )
   /SUM(INDEX(AB:AB, ROW()-COUNTIF($F$6:INDEX($F:$F, ROW()-1), $F507)) : INDEX(AB:AB, ROW()-1)),
          AVERAGEIFS(unit_details[Asking Rent],
          unit_details[Active Listing?],TRUE,
          unit_details[Property Name], $F508,
          unit_details[Beds], $L508,
          unit_details[Baths], $M508,
          unit_details[Partial Baths], IF(ISNUMBER($N508),$N508,""),
          unit_details[Sqft],$P508
)),"")</f>
        <v/>
      </c>
      <c r="AF508" s="5" t="str">
        <f>IFERROR(IF(AE508="","",IF($F508="Total",
SUMPRODUCT(
   INDEX(AF:AF, ROW()-COUNTIF($F$6:INDEX($F:$F, ROW()-1), $F507)) : INDEX(AF:AF, ROW()-1),
   INDEX(AB:AB, ROW()-COUNTIF($F$6:INDEX($F:$F, ROW()-1), $F507)) : INDEX(AB:AB, ROW()-1)
   )
   /SUM(INDEX(AB:AB, ROW()-COUNTIF($F$6:INDEX($F:$F, ROW()-1), $F507)) : INDEX(AB:AB, ROW()-1)),
           _xlfn.MAXIFS(unit_details[Asking Rent],
          unit_details[Active Listing?],TRUE,
          unit_details[Property Name], $F508,
          unit_details[Beds], $L508,
          unit_details[Baths], $M508,
          unit_details[Partial Baths], IF(ISNUMBER($N508),$N508,""),
          unit_details[Sqft],$P508
))),"")</f>
        <v/>
      </c>
      <c r="AG508" s="6" t="str">
        <f>IFERROR(IF($F508="Total",
         SUMPRODUCT(
         INDEX(AG:AG, ROW()-COUNTIF($F$6:INDEX($F:$F, ROW()-1), $F507)) : INDEX(AG:AG, ROW()-1),
         INDEX(AB:AB, ROW()-COUNTIF($F$6:INDEX($F:$F, ROW()-1), $F507)) : INDEX(AB:AB, ROW()-1)
         )
         /SUM(INDEX(AB:AB, ROW()-COUNTIF($F$6:INDEX($F:$F, ROW()-1), $F507)) : INDEX(AB:AB, ROW()-1)),
          AVERAGEIFS(unit_details[Asking PSF],
          unit_details[Active Listing?],TRUE,
          unit_details[Property Name], $F508,
          unit_details[Beds], $L508,
          unit_details[Baths], $M508,
          unit_details[Partial Baths], IF(ISNUMBER($N508),$N508,""),
          unit_details[Sqft],$P508
)),"")</f>
        <v/>
      </c>
      <c r="AH508" s="293" t="str">
        <f>IFERROR(IF($F508="Total",
         SUMPRODUCT(
         INDEX(AH:AH, ROW()-COUNTIF($F$6:INDEX($F:$F, ROW()-1), $F507)) : INDEX(AH:AH, ROW()-1),
         INDEX(AB:AB, ROW()-COUNTIF($F$6:INDEX($F:$F, ROW()-1), $F507)) : INDEX(AB:AB, ROW()-1)
         )
         /SUM(INDEX(AB:AB, ROW()-COUNTIF($F$6:INDEX($F:$F, ROW()-1), $F507)) : INDEX(AB:AB, ROW()-1)),
          AVERAGEIFS(unit_details[Effective Rent],
          unit_details[Active Listing?],TRUE,
          unit_details[Property Name], $F508,
          unit_details[Beds], $L508,
          unit_details[Baths], $M508,
          unit_details[Partial Baths], IF(ISNUMBER($N508),$N508,""),
          unit_details[Sqft],$P508
)),"")</f>
        <v/>
      </c>
      <c r="AI508" s="6" t="str">
        <f>IFERROR(IF($F508="Total",
         SUMPRODUCT(
         INDEX(AI:AI, ROW()-COUNTIF($F$6:INDEX($F:$F, ROW()-1), $F507)) : INDEX(AI:AI, ROW()-1),
         INDEX(AB:AB, ROW()-COUNTIF($F$6:INDEX($F:$F, ROW()-1), $F507)) : INDEX(AB:AB, ROW()-1)
         )
         /SUM(INDEX(AB:AB, ROW()-COUNTIF($F$6:INDEX($F:$F, ROW()-1), $F507)) : INDEX(AB:AB, ROW()-1)),
           AVERAGEIFS(unit_details[Effective PSF],
          unit_details[Active Listing?],TRUE,
          unit_details[Property Name], $F508,
          unit_details[Beds], $L508,
          unit_details[Baths], $M508,
          unit_details[Partial Baths], IF(ISNUMBER($N508),$N508,""),
          unit_details[Sqft],$P508
)),"")</f>
        <v/>
      </c>
      <c r="AJ508" s="824" t="str">
        <f t="shared" si="81"/>
        <v/>
      </c>
      <c r="AK508" s="531" t="str">
        <f t="shared" si="82"/>
        <v/>
      </c>
      <c r="AL508" s="714" t="str">
        <f t="shared" si="83"/>
        <v/>
      </c>
      <c r="AM508" s="531" t="str">
        <f t="shared" si="84"/>
        <v/>
      </c>
      <c r="AN508" s="716" t="str">
        <f t="shared" si="85"/>
        <v/>
      </c>
    </row>
    <row r="509" spans="6:40" x14ac:dyDescent="0.2">
      <c r="F509" s="1" t="str">
        <f t="shared" si="78"/>
        <v/>
      </c>
      <c r="G509" s="713" t="str">
        <f t="shared" si="86"/>
        <v/>
      </c>
      <c r="H509" s="17" t="str">
        <f>IFERROR(VLOOKUP($G509,Table1[[Property]:[Exposure %]],4,0),"")</f>
        <v/>
      </c>
      <c r="I509" s="3" t="str">
        <f>IFERROR(VLOOKUP($G509,Table1[[Property]:[Exposure %]],6,0),"")</f>
        <v/>
      </c>
      <c r="J509" s="3" t="str">
        <f>IFERROR(VLOOKUP($G509,Table1[[Property]:[Exposure %]],7,0),"")</f>
        <v/>
      </c>
      <c r="R509" s="4" t="str">
        <f>IFERROR(VLOOKUP(IF(F509="Total",F508,F509),Table1[[Property]:['# Units]],7,0)*S509,"")</f>
        <v/>
      </c>
      <c r="S509" s="27" t="str">
        <f t="shared" si="79"/>
        <v/>
      </c>
      <c r="T509" s="531" t="str">
        <f>IFERROR(
 IF($F509="Total",
   SUMPRODUCT(
   INDEX(T:T, ROW()-COUNTIF($F$6:INDEX($F:$F, ROW()-1), $F508)) : INDEX(T:T, ROW()-1),
   INDEX(W:W, ROW()-COUNTIF($F$6:INDEX($F:$F, ROW()-1), $F508)) : INDEX(W:W, ROW()-1)
   )
   /SUM(INDEX(W:W, ROW()-COUNTIF($F$6:INDEX($F:$F, ROW()-1), $F508)) : INDEX(W:W, ROW()-1)),
   AVERAGEIFS(
     INDEX((unit_details[Asking Rent],unit_details[Asking PSF]),0,1,IF($U$3="Chunk Rent",1,2)),
     unit_details[Leased Date],"&gt;="&amp;($AM$2-T$5),
     unit_details[Leased Date],"&lt;"&amp;$AM$2,
     unit_details[Beds],$L509,
     unit_details[Baths],$M509,
     unit_details[Partial Baths],IF(ISNUMBER($N509),$N509,""),
     unit_details[Sqft],$P509,
     unit_details[Property Name],$F509)
 ),"")</f>
        <v/>
      </c>
      <c r="U509" s="552" t="str">
        <f>IFERROR(
 IF($F509="Total",
   SUMPRODUCT(
   INDEX(U:U, ROW()-COUNTIF($F$6:INDEX($F:$F, ROW()-1), $F508)) : INDEX(U:U, ROW()-1),
   INDEX(W:W, ROW()-COUNTIF($F$6:INDEX($F:$F, ROW()-1), $F508)) : INDEX(W:W, ROW()-1)
   )
   /SUM(INDEX(W:W, ROW()-COUNTIF($F$6:INDEX($F:$F, ROW()-1), $F508)) : INDEX(W:W, ROW()-1)),
   AVERAGEIFS(
     INDEX((unit_details[Effective Rent],unit_details[Effective PSF]),0,1,IF($U$3="Chunk Rent",1,2)),
     unit_details[Leased Date],"&gt;="&amp;($AM$2-T$5),
     unit_details[Leased Date],"&lt;"&amp;$AM$2,
     unit_details[Beds],$L509,
     unit_details[Baths],$M509,
     unit_details[Partial Baths],IF(ISNUMBER($N509),$N509,""),
     unit_details[Sqft],$P509,
     unit_details[Property Name],$F509)
 ),"")</f>
        <v/>
      </c>
      <c r="V509" s="27" t="str">
        <f t="shared" si="87"/>
        <v/>
      </c>
      <c r="W509" s="526">
        <f>IFERROR(
  IF($F509="Total",
    SUM(INDEX(W:W, ROW()-COUNTIF($F$6:INDEX($F:$F, ROW()-1), $F508)) : INDEX(W:W, ROW()-1)),
    COUNTIFS(
      unit_details[Leased Date], "&gt;="&amp;($AM$2-T$5),
      unit_details[Leased Date], "&lt;"&amp;$AM$2,
      unit_details[Beds], $L509,
      unit_details[Baths], $M509,
      unit_details[Partial Baths], IF(ISNUMBER($N509), $N509, ""),
      unit_details[Sqft],$P509,
      unit_details[Property Name], $F509
    )
  ),
"")</f>
        <v>0</v>
      </c>
      <c r="X509" s="531" t="str">
        <f>IFERROR(
 IF($F509="Total",
   SUMPRODUCT(
   INDEX(X:X, ROW()-COUNTIF($F$6:INDEX($F:$F, ROW()-1), $F508)) : INDEX(X:X, ROW()-1),
   INDEX(AA:AA, ROW()-COUNTIF($F$6:INDEX($F:$F, ROW()-1), $F508)) : INDEX(AA:AA, ROW()-1)
   )
   /SUM(INDEX(AA:AA, ROW()-COUNTIF($F$6:INDEX($F:$F, ROW()-1), $F508)) : INDEX(AA:AA, ROW()-1)),
   AVERAGEIFS(
     INDEX((unit_details[Asking Rent],unit_details[Asking PSF]),0,1,IF($U$3="Chunk Rent",1,2)),
     unit_details[Leased Date],"&gt;="&amp;($AM$2-X$5),
     unit_details[Leased Date],"&lt;"&amp;$AM$2,
     unit_details[Beds],$L509,
     unit_details[Baths],$M509,
     unit_details[Partial Baths],IF(ISNUMBER($N509),$N509,""),
     unit_details[Sqft],$P509,
     unit_details[Property Name],$F509)
 ),"")</f>
        <v/>
      </c>
      <c r="Y509" s="552" t="str">
        <f>IFERROR(
 IF($F509="Total",
   SUMPRODUCT(
   INDEX(Y:Y, ROW()-COUNTIF($F$6:INDEX($F:$F, ROW()-1), $F508)) : INDEX(Y:Y, ROW()-1),
   INDEX(AA:AA, ROW()-COUNTIF($F$6:INDEX($F:$F, ROW()-1), $F508)) : INDEX(AA:AA, ROW()-1)
   )
   /SUM(INDEX(AA:AA, ROW()-COUNTIF($F$6:INDEX($F:$F, ROW()-1), $F508)) : INDEX(AA:AA, ROW()-1)),
   AVERAGEIFS(
     INDEX((unit_details[Effective Rent],unit_details[Effective PSF]),0,1,IF($U$3="Chunk Rent",1,2)),
     unit_details[Leased Date],"&gt;="&amp;($AM$2-X$5),
     unit_details[Leased Date],"&lt;"&amp;$AM$2,
     unit_details[Beds],$L509,
     unit_details[Baths],$M509,
     unit_details[Partial Baths],IF(ISNUMBER($N509),$N509,""),
     unit_details[Sqft],$P509,
     unit_details[Property Name],$F509)
 ),"")</f>
        <v/>
      </c>
      <c r="Z509" s="27" t="str">
        <f t="shared" si="88"/>
        <v/>
      </c>
      <c r="AA509" s="526">
        <f>IFERROR(
  IF($F509="Total",
    SUM(INDEX(AA:AA, ROW()-COUNTIF($F$6:INDEX($F:$F, ROW()-1), $F508)) : INDEX(AA:AA, ROW()-1)),
    COUNTIFS(
      unit_details[Leased Date], "&gt;="&amp;($AM$2-X$5),
      unit_details[Leased Date], "&lt;"&amp;$AM$2,
      unit_details[Beds], $L509,
      unit_details[Baths], $M509,
      unit_details[Partial Baths], IF(ISNUMBER($N509), $N509, ""),
      unit_details[Sqft],$P509,
      unit_details[Property Name], $F509
    )
  ),
"")</f>
        <v>0</v>
      </c>
      <c r="AB509" s="290">
        <f>IF($F509="Total",
SUM(INDEX(AB:AB, ROW()-COUNTIF($F$6:INDEX($F:$F, ROW()-1), $F508)) : INDEX(AB:AB, ROW()-1)),
COUNTIFS(unit_details[Active Listing?],TRUE,
          unit_details[Property Name], $F509,
          unit_details[Beds], $L509,
          unit_details[Baths], $M509,
          unit_details[Partial Baths],IF(ISNUMBER($N509),$N509,""),
          unit_details[Sqft],$P509))</f>
        <v>0</v>
      </c>
      <c r="AC509" s="27" t="str">
        <f t="shared" si="80"/>
        <v/>
      </c>
      <c r="AD509" s="293" t="str">
        <f>IFERROR(IF(AE509="","",IF($F509="Total",
SUMPRODUCT(
   INDEX(AD:AD, ROW()-COUNTIF($F$6:INDEX($F:$F, ROW()-1), $F508)) : INDEX(AD:AD, ROW()-1),
   INDEX(AB:AB, ROW()-COUNTIF($F$6:INDEX($F:$F, ROW()-1), $F508)) : INDEX(AB:AB, ROW()-1)
   )
   /SUM(INDEX(AB:AB, ROW()-COUNTIF($F$6:INDEX($F:$F, ROW()-1), $F508)) : INDEX(AB:AB, ROW()-1)),
          _xlfn.MINIFS(unit_details[Asking Rent],
          unit_details[Active Listing?],TRUE,
          unit_details[Property Name], $F509,
          unit_details[Beds], $L509,
          unit_details[Baths], $M509,
          unit_details[Partial Baths], IF(ISNUMBER($N509),$N509,""),
          unit_details[Sqft],$P509
))),"")</f>
        <v/>
      </c>
      <c r="AE509" s="5" t="str">
        <f>IFERROR(IF($F509="Total",
          SUMPRODUCT(
   INDEX(AE:AE, ROW()-COUNTIF($F$6:INDEX($F:$F, ROW()-1), $F508)) : INDEX(AE:AE, ROW()-1),
   INDEX(AB:AB, ROW()-COUNTIF($F$6:INDEX($F:$F, ROW()-1), $F508)) : INDEX(AB:AB, ROW()-1)
   )
   /SUM(INDEX(AB:AB, ROW()-COUNTIF($F$6:INDEX($F:$F, ROW()-1), $F508)) : INDEX(AB:AB, ROW()-1)),
          AVERAGEIFS(unit_details[Asking Rent],
          unit_details[Active Listing?],TRUE,
          unit_details[Property Name], $F509,
          unit_details[Beds], $L509,
          unit_details[Baths], $M509,
          unit_details[Partial Baths], IF(ISNUMBER($N509),$N509,""),
          unit_details[Sqft],$P509
)),"")</f>
        <v/>
      </c>
      <c r="AF509" s="5" t="str">
        <f>IFERROR(IF(AE509="","",IF($F509="Total",
SUMPRODUCT(
   INDEX(AF:AF, ROW()-COUNTIF($F$6:INDEX($F:$F, ROW()-1), $F508)) : INDEX(AF:AF, ROW()-1),
   INDEX(AB:AB, ROW()-COUNTIF($F$6:INDEX($F:$F, ROW()-1), $F508)) : INDEX(AB:AB, ROW()-1)
   )
   /SUM(INDEX(AB:AB, ROW()-COUNTIF($F$6:INDEX($F:$F, ROW()-1), $F508)) : INDEX(AB:AB, ROW()-1)),
           _xlfn.MAXIFS(unit_details[Asking Rent],
          unit_details[Active Listing?],TRUE,
          unit_details[Property Name], $F509,
          unit_details[Beds], $L509,
          unit_details[Baths], $M509,
          unit_details[Partial Baths], IF(ISNUMBER($N509),$N509,""),
          unit_details[Sqft],$P509
))),"")</f>
        <v/>
      </c>
      <c r="AG509" s="6" t="str">
        <f>IFERROR(IF($F509="Total",
         SUMPRODUCT(
         INDEX(AG:AG, ROW()-COUNTIF($F$6:INDEX($F:$F, ROW()-1), $F508)) : INDEX(AG:AG, ROW()-1),
         INDEX(AB:AB, ROW()-COUNTIF($F$6:INDEX($F:$F, ROW()-1), $F508)) : INDEX(AB:AB, ROW()-1)
         )
         /SUM(INDEX(AB:AB, ROW()-COUNTIF($F$6:INDEX($F:$F, ROW()-1), $F508)) : INDEX(AB:AB, ROW()-1)),
          AVERAGEIFS(unit_details[Asking PSF],
          unit_details[Active Listing?],TRUE,
          unit_details[Property Name], $F509,
          unit_details[Beds], $L509,
          unit_details[Baths], $M509,
          unit_details[Partial Baths], IF(ISNUMBER($N509),$N509,""),
          unit_details[Sqft],$P509
)),"")</f>
        <v/>
      </c>
      <c r="AH509" s="293" t="str">
        <f>IFERROR(IF($F509="Total",
         SUMPRODUCT(
         INDEX(AH:AH, ROW()-COUNTIF($F$6:INDEX($F:$F, ROW()-1), $F508)) : INDEX(AH:AH, ROW()-1),
         INDEX(AB:AB, ROW()-COUNTIF($F$6:INDEX($F:$F, ROW()-1), $F508)) : INDEX(AB:AB, ROW()-1)
         )
         /SUM(INDEX(AB:AB, ROW()-COUNTIF($F$6:INDEX($F:$F, ROW()-1), $F508)) : INDEX(AB:AB, ROW()-1)),
          AVERAGEIFS(unit_details[Effective Rent],
          unit_details[Active Listing?],TRUE,
          unit_details[Property Name], $F509,
          unit_details[Beds], $L509,
          unit_details[Baths], $M509,
          unit_details[Partial Baths], IF(ISNUMBER($N509),$N509,""),
          unit_details[Sqft],$P509
)),"")</f>
        <v/>
      </c>
      <c r="AI509" s="6" t="str">
        <f>IFERROR(IF($F509="Total",
         SUMPRODUCT(
         INDEX(AI:AI, ROW()-COUNTIF($F$6:INDEX($F:$F, ROW()-1), $F508)) : INDEX(AI:AI, ROW()-1),
         INDEX(AB:AB, ROW()-COUNTIF($F$6:INDEX($F:$F, ROW()-1), $F508)) : INDEX(AB:AB, ROW()-1)
         )
         /SUM(INDEX(AB:AB, ROW()-COUNTIF($F$6:INDEX($F:$F, ROW()-1), $F508)) : INDEX(AB:AB, ROW()-1)),
           AVERAGEIFS(unit_details[Effective PSF],
          unit_details[Active Listing?],TRUE,
          unit_details[Property Name], $F509,
          unit_details[Beds], $L509,
          unit_details[Baths], $M509,
          unit_details[Partial Baths], IF(ISNUMBER($N509),$N509,""),
          unit_details[Sqft],$P509
)),"")</f>
        <v/>
      </c>
      <c r="AJ509" s="824" t="str">
        <f t="shared" si="81"/>
        <v/>
      </c>
      <c r="AK509" s="531" t="str">
        <f t="shared" si="82"/>
        <v/>
      </c>
      <c r="AL509" s="714" t="str">
        <f t="shared" si="83"/>
        <v/>
      </c>
      <c r="AM509" s="531" t="str">
        <f t="shared" si="84"/>
        <v/>
      </c>
      <c r="AN509" s="716" t="str">
        <f t="shared" si="85"/>
        <v/>
      </c>
    </row>
    <row r="510" spans="6:40" x14ac:dyDescent="0.2">
      <c r="F510" s="1" t="str">
        <f t="shared" si="78"/>
        <v/>
      </c>
      <c r="G510" s="713" t="str">
        <f t="shared" si="86"/>
        <v/>
      </c>
      <c r="H510" s="17" t="str">
        <f>IFERROR(VLOOKUP($G510,Table1[[Property]:[Exposure %]],4,0),"")</f>
        <v/>
      </c>
      <c r="I510" s="3" t="str">
        <f>IFERROR(VLOOKUP($G510,Table1[[Property]:[Exposure %]],6,0),"")</f>
        <v/>
      </c>
      <c r="J510" s="3" t="str">
        <f>IFERROR(VLOOKUP($G510,Table1[[Property]:[Exposure %]],7,0),"")</f>
        <v/>
      </c>
      <c r="R510" s="4" t="str">
        <f>IFERROR(VLOOKUP(IF(F510="Total",F509,F510),Table1[[Property]:['# Units]],7,0)*S510,"")</f>
        <v/>
      </c>
      <c r="S510" s="27" t="str">
        <f t="shared" si="79"/>
        <v/>
      </c>
      <c r="T510" s="531" t="str">
        <f>IFERROR(
 IF($F510="Total",
   SUMPRODUCT(
   INDEX(T:T, ROW()-COUNTIF($F$6:INDEX($F:$F, ROW()-1), $F509)) : INDEX(T:T, ROW()-1),
   INDEX(W:W, ROW()-COUNTIF($F$6:INDEX($F:$F, ROW()-1), $F509)) : INDEX(W:W, ROW()-1)
   )
   /SUM(INDEX(W:W, ROW()-COUNTIF($F$6:INDEX($F:$F, ROW()-1), $F509)) : INDEX(W:W, ROW()-1)),
   AVERAGEIFS(
     INDEX((unit_details[Asking Rent],unit_details[Asking PSF]),0,1,IF($U$3="Chunk Rent",1,2)),
     unit_details[Leased Date],"&gt;="&amp;($AM$2-T$5),
     unit_details[Leased Date],"&lt;"&amp;$AM$2,
     unit_details[Beds],$L510,
     unit_details[Baths],$M510,
     unit_details[Partial Baths],IF(ISNUMBER($N510),$N510,""),
     unit_details[Sqft],$P510,
     unit_details[Property Name],$F510)
 ),"")</f>
        <v/>
      </c>
      <c r="U510" s="552" t="str">
        <f>IFERROR(
 IF($F510="Total",
   SUMPRODUCT(
   INDEX(U:U, ROW()-COUNTIF($F$6:INDEX($F:$F, ROW()-1), $F509)) : INDEX(U:U, ROW()-1),
   INDEX(W:W, ROW()-COUNTIF($F$6:INDEX($F:$F, ROW()-1), $F509)) : INDEX(W:W, ROW()-1)
   )
   /SUM(INDEX(W:W, ROW()-COUNTIF($F$6:INDEX($F:$F, ROW()-1), $F509)) : INDEX(W:W, ROW()-1)),
   AVERAGEIFS(
     INDEX((unit_details[Effective Rent],unit_details[Effective PSF]),0,1,IF($U$3="Chunk Rent",1,2)),
     unit_details[Leased Date],"&gt;="&amp;($AM$2-T$5),
     unit_details[Leased Date],"&lt;"&amp;$AM$2,
     unit_details[Beds],$L510,
     unit_details[Baths],$M510,
     unit_details[Partial Baths],IF(ISNUMBER($N510),$N510,""),
     unit_details[Sqft],$P510,
     unit_details[Property Name],$F510)
 ),"")</f>
        <v/>
      </c>
      <c r="V510" s="27" t="str">
        <f t="shared" si="87"/>
        <v/>
      </c>
      <c r="W510" s="526">
        <f>IFERROR(
  IF($F510="Total",
    SUM(INDEX(W:W, ROW()-COUNTIF($F$6:INDEX($F:$F, ROW()-1), $F509)) : INDEX(W:W, ROW()-1)),
    COUNTIFS(
      unit_details[Leased Date], "&gt;="&amp;($AM$2-T$5),
      unit_details[Leased Date], "&lt;"&amp;$AM$2,
      unit_details[Beds], $L510,
      unit_details[Baths], $M510,
      unit_details[Partial Baths], IF(ISNUMBER($N510), $N510, ""),
      unit_details[Sqft],$P510,
      unit_details[Property Name], $F510
    )
  ),
"")</f>
        <v>0</v>
      </c>
      <c r="X510" s="531" t="str">
        <f>IFERROR(
 IF($F510="Total",
   SUMPRODUCT(
   INDEX(X:X, ROW()-COUNTIF($F$6:INDEX($F:$F, ROW()-1), $F509)) : INDEX(X:X, ROW()-1),
   INDEX(AA:AA, ROW()-COUNTIF($F$6:INDEX($F:$F, ROW()-1), $F509)) : INDEX(AA:AA, ROW()-1)
   )
   /SUM(INDEX(AA:AA, ROW()-COUNTIF($F$6:INDEX($F:$F, ROW()-1), $F509)) : INDEX(AA:AA, ROW()-1)),
   AVERAGEIFS(
     INDEX((unit_details[Asking Rent],unit_details[Asking PSF]),0,1,IF($U$3="Chunk Rent",1,2)),
     unit_details[Leased Date],"&gt;="&amp;($AM$2-X$5),
     unit_details[Leased Date],"&lt;"&amp;$AM$2,
     unit_details[Beds],$L510,
     unit_details[Baths],$M510,
     unit_details[Partial Baths],IF(ISNUMBER($N510),$N510,""),
     unit_details[Sqft],$P510,
     unit_details[Property Name],$F510)
 ),"")</f>
        <v/>
      </c>
      <c r="Y510" s="552" t="str">
        <f>IFERROR(
 IF($F510="Total",
   SUMPRODUCT(
   INDEX(Y:Y, ROW()-COUNTIF($F$6:INDEX($F:$F, ROW()-1), $F509)) : INDEX(Y:Y, ROW()-1),
   INDEX(AA:AA, ROW()-COUNTIF($F$6:INDEX($F:$F, ROW()-1), $F509)) : INDEX(AA:AA, ROW()-1)
   )
   /SUM(INDEX(AA:AA, ROW()-COUNTIF($F$6:INDEX($F:$F, ROW()-1), $F509)) : INDEX(AA:AA, ROW()-1)),
   AVERAGEIFS(
     INDEX((unit_details[Effective Rent],unit_details[Effective PSF]),0,1,IF($U$3="Chunk Rent",1,2)),
     unit_details[Leased Date],"&gt;="&amp;($AM$2-X$5),
     unit_details[Leased Date],"&lt;"&amp;$AM$2,
     unit_details[Beds],$L510,
     unit_details[Baths],$M510,
     unit_details[Partial Baths],IF(ISNUMBER($N510),$N510,""),
     unit_details[Sqft],$P510,
     unit_details[Property Name],$F510)
 ),"")</f>
        <v/>
      </c>
      <c r="Z510" s="27" t="str">
        <f t="shared" si="88"/>
        <v/>
      </c>
      <c r="AA510" s="526">
        <f>IFERROR(
  IF($F510="Total",
    SUM(INDEX(AA:AA, ROW()-COUNTIF($F$6:INDEX($F:$F, ROW()-1), $F509)) : INDEX(AA:AA, ROW()-1)),
    COUNTIFS(
      unit_details[Leased Date], "&gt;="&amp;($AM$2-X$5),
      unit_details[Leased Date], "&lt;"&amp;$AM$2,
      unit_details[Beds], $L510,
      unit_details[Baths], $M510,
      unit_details[Partial Baths], IF(ISNUMBER($N510), $N510, ""),
      unit_details[Sqft],$P510,
      unit_details[Property Name], $F510
    )
  ),
"")</f>
        <v>0</v>
      </c>
      <c r="AB510" s="290">
        <f>IF($F510="Total",
SUM(INDEX(AB:AB, ROW()-COUNTIF($F$6:INDEX($F:$F, ROW()-1), $F509)) : INDEX(AB:AB, ROW()-1)),
COUNTIFS(unit_details[Active Listing?],TRUE,
          unit_details[Property Name], $F510,
          unit_details[Beds], $L510,
          unit_details[Baths], $M510,
          unit_details[Partial Baths],IF(ISNUMBER($N510),$N510,""),
          unit_details[Sqft],$P510))</f>
        <v>0</v>
      </c>
      <c r="AC510" s="27" t="str">
        <f t="shared" si="80"/>
        <v/>
      </c>
      <c r="AD510" s="293" t="str">
        <f>IFERROR(IF(AE510="","",IF($F510="Total",
SUMPRODUCT(
   INDEX(AD:AD, ROW()-COUNTIF($F$6:INDEX($F:$F, ROW()-1), $F509)) : INDEX(AD:AD, ROW()-1),
   INDEX(AB:AB, ROW()-COUNTIF($F$6:INDEX($F:$F, ROW()-1), $F509)) : INDEX(AB:AB, ROW()-1)
   )
   /SUM(INDEX(AB:AB, ROW()-COUNTIF($F$6:INDEX($F:$F, ROW()-1), $F509)) : INDEX(AB:AB, ROW()-1)),
          _xlfn.MINIFS(unit_details[Asking Rent],
          unit_details[Active Listing?],TRUE,
          unit_details[Property Name], $F510,
          unit_details[Beds], $L510,
          unit_details[Baths], $M510,
          unit_details[Partial Baths], IF(ISNUMBER($N510),$N510,""),
          unit_details[Sqft],$P510
))),"")</f>
        <v/>
      </c>
      <c r="AE510" s="5" t="str">
        <f>IFERROR(IF($F510="Total",
          SUMPRODUCT(
   INDEX(AE:AE, ROW()-COUNTIF($F$6:INDEX($F:$F, ROW()-1), $F509)) : INDEX(AE:AE, ROW()-1),
   INDEX(AB:AB, ROW()-COUNTIF($F$6:INDEX($F:$F, ROW()-1), $F509)) : INDEX(AB:AB, ROW()-1)
   )
   /SUM(INDEX(AB:AB, ROW()-COUNTIF($F$6:INDEX($F:$F, ROW()-1), $F509)) : INDEX(AB:AB, ROW()-1)),
          AVERAGEIFS(unit_details[Asking Rent],
          unit_details[Active Listing?],TRUE,
          unit_details[Property Name], $F510,
          unit_details[Beds], $L510,
          unit_details[Baths], $M510,
          unit_details[Partial Baths], IF(ISNUMBER($N510),$N510,""),
          unit_details[Sqft],$P510
)),"")</f>
        <v/>
      </c>
      <c r="AF510" s="5" t="str">
        <f>IFERROR(IF(AE510="","",IF($F510="Total",
SUMPRODUCT(
   INDEX(AF:AF, ROW()-COUNTIF($F$6:INDEX($F:$F, ROW()-1), $F509)) : INDEX(AF:AF, ROW()-1),
   INDEX(AB:AB, ROW()-COUNTIF($F$6:INDEX($F:$F, ROW()-1), $F509)) : INDEX(AB:AB, ROW()-1)
   )
   /SUM(INDEX(AB:AB, ROW()-COUNTIF($F$6:INDEX($F:$F, ROW()-1), $F509)) : INDEX(AB:AB, ROW()-1)),
           _xlfn.MAXIFS(unit_details[Asking Rent],
          unit_details[Active Listing?],TRUE,
          unit_details[Property Name], $F510,
          unit_details[Beds], $L510,
          unit_details[Baths], $M510,
          unit_details[Partial Baths], IF(ISNUMBER($N510),$N510,""),
          unit_details[Sqft],$P510
))),"")</f>
        <v/>
      </c>
      <c r="AG510" s="6" t="str">
        <f>IFERROR(IF($F510="Total",
         SUMPRODUCT(
         INDEX(AG:AG, ROW()-COUNTIF($F$6:INDEX($F:$F, ROW()-1), $F509)) : INDEX(AG:AG, ROW()-1),
         INDEX(AB:AB, ROW()-COUNTIF($F$6:INDEX($F:$F, ROW()-1), $F509)) : INDEX(AB:AB, ROW()-1)
         )
         /SUM(INDEX(AB:AB, ROW()-COUNTIF($F$6:INDEX($F:$F, ROW()-1), $F509)) : INDEX(AB:AB, ROW()-1)),
          AVERAGEIFS(unit_details[Asking PSF],
          unit_details[Active Listing?],TRUE,
          unit_details[Property Name], $F510,
          unit_details[Beds], $L510,
          unit_details[Baths], $M510,
          unit_details[Partial Baths], IF(ISNUMBER($N510),$N510,""),
          unit_details[Sqft],$P510
)),"")</f>
        <v/>
      </c>
      <c r="AH510" s="293" t="str">
        <f>IFERROR(IF($F510="Total",
         SUMPRODUCT(
         INDEX(AH:AH, ROW()-COUNTIF($F$6:INDEX($F:$F, ROW()-1), $F509)) : INDEX(AH:AH, ROW()-1),
         INDEX(AB:AB, ROW()-COUNTIF($F$6:INDEX($F:$F, ROW()-1), $F509)) : INDEX(AB:AB, ROW()-1)
         )
         /SUM(INDEX(AB:AB, ROW()-COUNTIF($F$6:INDEX($F:$F, ROW()-1), $F509)) : INDEX(AB:AB, ROW()-1)),
          AVERAGEIFS(unit_details[Effective Rent],
          unit_details[Active Listing?],TRUE,
          unit_details[Property Name], $F510,
          unit_details[Beds], $L510,
          unit_details[Baths], $M510,
          unit_details[Partial Baths], IF(ISNUMBER($N510),$N510,""),
          unit_details[Sqft],$P510
)),"")</f>
        <v/>
      </c>
      <c r="AI510" s="6" t="str">
        <f>IFERROR(IF($F510="Total",
         SUMPRODUCT(
         INDEX(AI:AI, ROW()-COUNTIF($F$6:INDEX($F:$F, ROW()-1), $F509)) : INDEX(AI:AI, ROW()-1),
         INDEX(AB:AB, ROW()-COUNTIF($F$6:INDEX($F:$F, ROW()-1), $F509)) : INDEX(AB:AB, ROW()-1)
         )
         /SUM(INDEX(AB:AB, ROW()-COUNTIF($F$6:INDEX($F:$F, ROW()-1), $F509)) : INDEX(AB:AB, ROW()-1)),
           AVERAGEIFS(unit_details[Effective PSF],
          unit_details[Active Listing?],TRUE,
          unit_details[Property Name], $F510,
          unit_details[Beds], $L510,
          unit_details[Baths], $M510,
          unit_details[Partial Baths], IF(ISNUMBER($N510),$N510,""),
          unit_details[Sqft],$P510
)),"")</f>
        <v/>
      </c>
      <c r="AJ510" s="824" t="str">
        <f t="shared" si="81"/>
        <v/>
      </c>
      <c r="AK510" s="531" t="str">
        <f t="shared" si="82"/>
        <v/>
      </c>
      <c r="AL510" s="714" t="str">
        <f t="shared" si="83"/>
        <v/>
      </c>
      <c r="AM510" s="531" t="str">
        <f t="shared" si="84"/>
        <v/>
      </c>
      <c r="AN510" s="716" t="str">
        <f t="shared" si="85"/>
        <v/>
      </c>
    </row>
    <row r="511" spans="6:40" x14ac:dyDescent="0.2">
      <c r="F511" s="1" t="str">
        <f t="shared" si="78"/>
        <v/>
      </c>
      <c r="G511" s="713" t="str">
        <f t="shared" si="86"/>
        <v/>
      </c>
      <c r="H511" s="17" t="str">
        <f>IFERROR(VLOOKUP($G511,Table1[[Property]:[Exposure %]],4,0),"")</f>
        <v/>
      </c>
      <c r="I511" s="3" t="str">
        <f>IFERROR(VLOOKUP($G511,Table1[[Property]:[Exposure %]],6,0),"")</f>
        <v/>
      </c>
      <c r="J511" s="3" t="str">
        <f>IFERROR(VLOOKUP($G511,Table1[[Property]:[Exposure %]],7,0),"")</f>
        <v/>
      </c>
      <c r="R511" s="4" t="str">
        <f>IFERROR(VLOOKUP(IF(F511="Total",F510,F511),Table1[[Property]:['# Units]],7,0)*S511,"")</f>
        <v/>
      </c>
      <c r="S511" s="27" t="str">
        <f t="shared" si="79"/>
        <v/>
      </c>
      <c r="T511" s="531" t="str">
        <f>IFERROR(
 IF($F511="Total",
   SUMPRODUCT(
   INDEX(T:T, ROW()-COUNTIF($F$6:INDEX($F:$F, ROW()-1), $F510)) : INDEX(T:T, ROW()-1),
   INDEX(W:W, ROW()-COUNTIF($F$6:INDEX($F:$F, ROW()-1), $F510)) : INDEX(W:W, ROW()-1)
   )
   /SUM(INDEX(W:W, ROW()-COUNTIF($F$6:INDEX($F:$F, ROW()-1), $F510)) : INDEX(W:W, ROW()-1)),
   AVERAGEIFS(
     INDEX((unit_details[Asking Rent],unit_details[Asking PSF]),0,1,IF($U$3="Chunk Rent",1,2)),
     unit_details[Leased Date],"&gt;="&amp;($AM$2-T$5),
     unit_details[Leased Date],"&lt;"&amp;$AM$2,
     unit_details[Beds],$L511,
     unit_details[Baths],$M511,
     unit_details[Partial Baths],IF(ISNUMBER($N511),$N511,""),
     unit_details[Sqft],$P511,
     unit_details[Property Name],$F511)
 ),"")</f>
        <v/>
      </c>
      <c r="U511" s="552" t="str">
        <f>IFERROR(
 IF($F511="Total",
   SUMPRODUCT(
   INDEX(U:U, ROW()-COUNTIF($F$6:INDEX($F:$F, ROW()-1), $F510)) : INDEX(U:U, ROW()-1),
   INDEX(W:W, ROW()-COUNTIF($F$6:INDEX($F:$F, ROW()-1), $F510)) : INDEX(W:W, ROW()-1)
   )
   /SUM(INDEX(W:W, ROW()-COUNTIF($F$6:INDEX($F:$F, ROW()-1), $F510)) : INDEX(W:W, ROW()-1)),
   AVERAGEIFS(
     INDEX((unit_details[Effective Rent],unit_details[Effective PSF]),0,1,IF($U$3="Chunk Rent",1,2)),
     unit_details[Leased Date],"&gt;="&amp;($AM$2-T$5),
     unit_details[Leased Date],"&lt;"&amp;$AM$2,
     unit_details[Beds],$L511,
     unit_details[Baths],$M511,
     unit_details[Partial Baths],IF(ISNUMBER($N511),$N511,""),
     unit_details[Sqft],$P511,
     unit_details[Property Name],$F511)
 ),"")</f>
        <v/>
      </c>
      <c r="V511" s="27" t="str">
        <f t="shared" si="87"/>
        <v/>
      </c>
      <c r="W511" s="526">
        <f>IFERROR(
  IF($F511="Total",
    SUM(INDEX(W:W, ROW()-COUNTIF($F$6:INDEX($F:$F, ROW()-1), $F510)) : INDEX(W:W, ROW()-1)),
    COUNTIFS(
      unit_details[Leased Date], "&gt;="&amp;($AM$2-T$5),
      unit_details[Leased Date], "&lt;"&amp;$AM$2,
      unit_details[Beds], $L511,
      unit_details[Baths], $M511,
      unit_details[Partial Baths], IF(ISNUMBER($N511), $N511, ""),
      unit_details[Sqft],$P511,
      unit_details[Property Name], $F511
    )
  ),
"")</f>
        <v>0</v>
      </c>
      <c r="X511" s="531" t="str">
        <f>IFERROR(
 IF($F511="Total",
   SUMPRODUCT(
   INDEX(X:X, ROW()-COUNTIF($F$6:INDEX($F:$F, ROW()-1), $F510)) : INDEX(X:X, ROW()-1),
   INDEX(AA:AA, ROW()-COUNTIF($F$6:INDEX($F:$F, ROW()-1), $F510)) : INDEX(AA:AA, ROW()-1)
   )
   /SUM(INDEX(AA:AA, ROW()-COUNTIF($F$6:INDEX($F:$F, ROW()-1), $F510)) : INDEX(AA:AA, ROW()-1)),
   AVERAGEIFS(
     INDEX((unit_details[Asking Rent],unit_details[Asking PSF]),0,1,IF($U$3="Chunk Rent",1,2)),
     unit_details[Leased Date],"&gt;="&amp;($AM$2-X$5),
     unit_details[Leased Date],"&lt;"&amp;$AM$2,
     unit_details[Beds],$L511,
     unit_details[Baths],$M511,
     unit_details[Partial Baths],IF(ISNUMBER($N511),$N511,""),
     unit_details[Sqft],$P511,
     unit_details[Property Name],$F511)
 ),"")</f>
        <v/>
      </c>
      <c r="Y511" s="552" t="str">
        <f>IFERROR(
 IF($F511="Total",
   SUMPRODUCT(
   INDEX(Y:Y, ROW()-COUNTIF($F$6:INDEX($F:$F, ROW()-1), $F510)) : INDEX(Y:Y, ROW()-1),
   INDEX(AA:AA, ROW()-COUNTIF($F$6:INDEX($F:$F, ROW()-1), $F510)) : INDEX(AA:AA, ROW()-1)
   )
   /SUM(INDEX(AA:AA, ROW()-COUNTIF($F$6:INDEX($F:$F, ROW()-1), $F510)) : INDEX(AA:AA, ROW()-1)),
   AVERAGEIFS(
     INDEX((unit_details[Effective Rent],unit_details[Effective PSF]),0,1,IF($U$3="Chunk Rent",1,2)),
     unit_details[Leased Date],"&gt;="&amp;($AM$2-X$5),
     unit_details[Leased Date],"&lt;"&amp;$AM$2,
     unit_details[Beds],$L511,
     unit_details[Baths],$M511,
     unit_details[Partial Baths],IF(ISNUMBER($N511),$N511,""),
     unit_details[Sqft],$P511,
     unit_details[Property Name],$F511)
 ),"")</f>
        <v/>
      </c>
      <c r="Z511" s="27" t="str">
        <f t="shared" si="88"/>
        <v/>
      </c>
      <c r="AA511" s="526">
        <f>IFERROR(
  IF($F511="Total",
    SUM(INDEX(AA:AA, ROW()-COUNTIF($F$6:INDEX($F:$F, ROW()-1), $F510)) : INDEX(AA:AA, ROW()-1)),
    COUNTIFS(
      unit_details[Leased Date], "&gt;="&amp;($AM$2-X$5),
      unit_details[Leased Date], "&lt;"&amp;$AM$2,
      unit_details[Beds], $L511,
      unit_details[Baths], $M511,
      unit_details[Partial Baths], IF(ISNUMBER($N511), $N511, ""),
      unit_details[Sqft],$P511,
      unit_details[Property Name], $F511
    )
  ),
"")</f>
        <v>0</v>
      </c>
      <c r="AB511" s="290">
        <f>IF($F511="Total",
SUM(INDEX(AB:AB, ROW()-COUNTIF($F$6:INDEX($F:$F, ROW()-1), $F510)) : INDEX(AB:AB, ROW()-1)),
COUNTIFS(unit_details[Active Listing?],TRUE,
          unit_details[Property Name], $F511,
          unit_details[Beds], $L511,
          unit_details[Baths], $M511,
          unit_details[Partial Baths],IF(ISNUMBER($N511),$N511,""),
          unit_details[Sqft],$P511))</f>
        <v>0</v>
      </c>
      <c r="AC511" s="27" t="str">
        <f t="shared" si="80"/>
        <v/>
      </c>
      <c r="AD511" s="293" t="str">
        <f>IFERROR(IF(AE511="","",IF($F511="Total",
SUMPRODUCT(
   INDEX(AD:AD, ROW()-COUNTIF($F$6:INDEX($F:$F, ROW()-1), $F510)) : INDEX(AD:AD, ROW()-1),
   INDEX(AB:AB, ROW()-COUNTIF($F$6:INDEX($F:$F, ROW()-1), $F510)) : INDEX(AB:AB, ROW()-1)
   )
   /SUM(INDEX(AB:AB, ROW()-COUNTIF($F$6:INDEX($F:$F, ROW()-1), $F510)) : INDEX(AB:AB, ROW()-1)),
          _xlfn.MINIFS(unit_details[Asking Rent],
          unit_details[Active Listing?],TRUE,
          unit_details[Property Name], $F511,
          unit_details[Beds], $L511,
          unit_details[Baths], $M511,
          unit_details[Partial Baths], IF(ISNUMBER($N511),$N511,""),
          unit_details[Sqft],$P511
))),"")</f>
        <v/>
      </c>
      <c r="AE511" s="5" t="str">
        <f>IFERROR(IF($F511="Total",
          SUMPRODUCT(
   INDEX(AE:AE, ROW()-COUNTIF($F$6:INDEX($F:$F, ROW()-1), $F510)) : INDEX(AE:AE, ROW()-1),
   INDEX(AB:AB, ROW()-COUNTIF($F$6:INDEX($F:$F, ROW()-1), $F510)) : INDEX(AB:AB, ROW()-1)
   )
   /SUM(INDEX(AB:AB, ROW()-COUNTIF($F$6:INDEX($F:$F, ROW()-1), $F510)) : INDEX(AB:AB, ROW()-1)),
          AVERAGEIFS(unit_details[Asking Rent],
          unit_details[Active Listing?],TRUE,
          unit_details[Property Name], $F511,
          unit_details[Beds], $L511,
          unit_details[Baths], $M511,
          unit_details[Partial Baths], IF(ISNUMBER($N511),$N511,""),
          unit_details[Sqft],$P511
)),"")</f>
        <v/>
      </c>
      <c r="AF511" s="5" t="str">
        <f>IFERROR(IF(AE511="","",IF($F511="Total",
SUMPRODUCT(
   INDEX(AF:AF, ROW()-COUNTIF($F$6:INDEX($F:$F, ROW()-1), $F510)) : INDEX(AF:AF, ROW()-1),
   INDEX(AB:AB, ROW()-COUNTIF($F$6:INDEX($F:$F, ROW()-1), $F510)) : INDEX(AB:AB, ROW()-1)
   )
   /SUM(INDEX(AB:AB, ROW()-COUNTIF($F$6:INDEX($F:$F, ROW()-1), $F510)) : INDEX(AB:AB, ROW()-1)),
           _xlfn.MAXIFS(unit_details[Asking Rent],
          unit_details[Active Listing?],TRUE,
          unit_details[Property Name], $F511,
          unit_details[Beds], $L511,
          unit_details[Baths], $M511,
          unit_details[Partial Baths], IF(ISNUMBER($N511),$N511,""),
          unit_details[Sqft],$P511
))),"")</f>
        <v/>
      </c>
      <c r="AG511" s="6" t="str">
        <f>IFERROR(IF($F511="Total",
         SUMPRODUCT(
         INDEX(AG:AG, ROW()-COUNTIF($F$6:INDEX($F:$F, ROW()-1), $F510)) : INDEX(AG:AG, ROW()-1),
         INDEX(AB:AB, ROW()-COUNTIF($F$6:INDEX($F:$F, ROW()-1), $F510)) : INDEX(AB:AB, ROW()-1)
         )
         /SUM(INDEX(AB:AB, ROW()-COUNTIF($F$6:INDEX($F:$F, ROW()-1), $F510)) : INDEX(AB:AB, ROW()-1)),
          AVERAGEIFS(unit_details[Asking PSF],
          unit_details[Active Listing?],TRUE,
          unit_details[Property Name], $F511,
          unit_details[Beds], $L511,
          unit_details[Baths], $M511,
          unit_details[Partial Baths], IF(ISNUMBER($N511),$N511,""),
          unit_details[Sqft],$P511
)),"")</f>
        <v/>
      </c>
      <c r="AH511" s="293" t="str">
        <f>IFERROR(IF($F511="Total",
         SUMPRODUCT(
         INDEX(AH:AH, ROW()-COUNTIF($F$6:INDEX($F:$F, ROW()-1), $F510)) : INDEX(AH:AH, ROW()-1),
         INDEX(AB:AB, ROW()-COUNTIF($F$6:INDEX($F:$F, ROW()-1), $F510)) : INDEX(AB:AB, ROW()-1)
         )
         /SUM(INDEX(AB:AB, ROW()-COUNTIF($F$6:INDEX($F:$F, ROW()-1), $F510)) : INDEX(AB:AB, ROW()-1)),
          AVERAGEIFS(unit_details[Effective Rent],
          unit_details[Active Listing?],TRUE,
          unit_details[Property Name], $F511,
          unit_details[Beds], $L511,
          unit_details[Baths], $M511,
          unit_details[Partial Baths], IF(ISNUMBER($N511),$N511,""),
          unit_details[Sqft],$P511
)),"")</f>
        <v/>
      </c>
      <c r="AI511" s="6" t="str">
        <f>IFERROR(IF($F511="Total",
         SUMPRODUCT(
         INDEX(AI:AI, ROW()-COUNTIF($F$6:INDEX($F:$F, ROW()-1), $F510)) : INDEX(AI:AI, ROW()-1),
         INDEX(AB:AB, ROW()-COUNTIF($F$6:INDEX($F:$F, ROW()-1), $F510)) : INDEX(AB:AB, ROW()-1)
         )
         /SUM(INDEX(AB:AB, ROW()-COUNTIF($F$6:INDEX($F:$F, ROW()-1), $F510)) : INDEX(AB:AB, ROW()-1)),
           AVERAGEIFS(unit_details[Effective PSF],
          unit_details[Active Listing?],TRUE,
          unit_details[Property Name], $F511,
          unit_details[Beds], $L511,
          unit_details[Baths], $M511,
          unit_details[Partial Baths], IF(ISNUMBER($N511),$N511,""),
          unit_details[Sqft],$P511
)),"")</f>
        <v/>
      </c>
      <c r="AJ511" s="824" t="str">
        <f t="shared" si="81"/>
        <v/>
      </c>
      <c r="AK511" s="531" t="str">
        <f t="shared" si="82"/>
        <v/>
      </c>
      <c r="AL511" s="714" t="str">
        <f t="shared" si="83"/>
        <v/>
      </c>
      <c r="AM511" s="531" t="str">
        <f t="shared" si="84"/>
        <v/>
      </c>
      <c r="AN511" s="716" t="str">
        <f t="shared" si="85"/>
        <v/>
      </c>
    </row>
    <row r="512" spans="6:40" x14ac:dyDescent="0.2">
      <c r="F512" s="1" t="str">
        <f t="shared" si="78"/>
        <v/>
      </c>
      <c r="G512" s="713" t="str">
        <f t="shared" si="86"/>
        <v/>
      </c>
      <c r="H512" s="17" t="str">
        <f>IFERROR(VLOOKUP($G512,Table1[[Property]:[Exposure %]],4,0),"")</f>
        <v/>
      </c>
      <c r="I512" s="3" t="str">
        <f>IFERROR(VLOOKUP($G512,Table1[[Property]:[Exposure %]],6,0),"")</f>
        <v/>
      </c>
      <c r="J512" s="3" t="str">
        <f>IFERROR(VLOOKUP($G512,Table1[[Property]:[Exposure %]],7,0),"")</f>
        <v/>
      </c>
      <c r="R512" s="4" t="str">
        <f>IFERROR(VLOOKUP(IF(F512="Total",F511,F512),Table1[[Property]:['# Units]],7,0)*S512,"")</f>
        <v/>
      </c>
      <c r="S512" s="27" t="str">
        <f t="shared" si="79"/>
        <v/>
      </c>
      <c r="T512" s="531" t="str">
        <f>IFERROR(
 IF($F512="Total",
   SUMPRODUCT(
   INDEX(T:T, ROW()-COUNTIF($F$6:INDEX($F:$F, ROW()-1), $F511)) : INDEX(T:T, ROW()-1),
   INDEX(W:W, ROW()-COUNTIF($F$6:INDEX($F:$F, ROW()-1), $F511)) : INDEX(W:W, ROW()-1)
   )
   /SUM(INDEX(W:W, ROW()-COUNTIF($F$6:INDEX($F:$F, ROW()-1), $F511)) : INDEX(W:W, ROW()-1)),
   AVERAGEIFS(
     INDEX((unit_details[Asking Rent],unit_details[Asking PSF]),0,1,IF($U$3="Chunk Rent",1,2)),
     unit_details[Leased Date],"&gt;="&amp;($AM$2-T$5),
     unit_details[Leased Date],"&lt;"&amp;$AM$2,
     unit_details[Beds],$L512,
     unit_details[Baths],$M512,
     unit_details[Partial Baths],IF(ISNUMBER($N512),$N512,""),
     unit_details[Sqft],$P512,
     unit_details[Property Name],$F512)
 ),"")</f>
        <v/>
      </c>
      <c r="U512" s="552" t="str">
        <f>IFERROR(
 IF($F512="Total",
   SUMPRODUCT(
   INDEX(U:U, ROW()-COUNTIF($F$6:INDEX($F:$F, ROW()-1), $F511)) : INDEX(U:U, ROW()-1),
   INDEX(W:W, ROW()-COUNTIF($F$6:INDEX($F:$F, ROW()-1), $F511)) : INDEX(W:W, ROW()-1)
   )
   /SUM(INDEX(W:W, ROW()-COUNTIF($F$6:INDEX($F:$F, ROW()-1), $F511)) : INDEX(W:W, ROW()-1)),
   AVERAGEIFS(
     INDEX((unit_details[Effective Rent],unit_details[Effective PSF]),0,1,IF($U$3="Chunk Rent",1,2)),
     unit_details[Leased Date],"&gt;="&amp;($AM$2-T$5),
     unit_details[Leased Date],"&lt;"&amp;$AM$2,
     unit_details[Beds],$L512,
     unit_details[Baths],$M512,
     unit_details[Partial Baths],IF(ISNUMBER($N512),$N512,""),
     unit_details[Sqft],$P512,
     unit_details[Property Name],$F512)
 ),"")</f>
        <v/>
      </c>
      <c r="V512" s="27" t="str">
        <f t="shared" si="87"/>
        <v/>
      </c>
      <c r="W512" s="526">
        <f>IFERROR(
  IF($F512="Total",
    SUM(INDEX(W:W, ROW()-COUNTIF($F$6:INDEX($F:$F, ROW()-1), $F511)) : INDEX(W:W, ROW()-1)),
    COUNTIFS(
      unit_details[Leased Date], "&gt;="&amp;($AM$2-T$5),
      unit_details[Leased Date], "&lt;"&amp;$AM$2,
      unit_details[Beds], $L512,
      unit_details[Baths], $M512,
      unit_details[Partial Baths], IF(ISNUMBER($N512), $N512, ""),
      unit_details[Sqft],$P512,
      unit_details[Property Name], $F512
    )
  ),
"")</f>
        <v>0</v>
      </c>
      <c r="X512" s="531" t="str">
        <f>IFERROR(
 IF($F512="Total",
   SUMPRODUCT(
   INDEX(X:X, ROW()-COUNTIF($F$6:INDEX($F:$F, ROW()-1), $F511)) : INDEX(X:X, ROW()-1),
   INDEX(AA:AA, ROW()-COUNTIF($F$6:INDEX($F:$F, ROW()-1), $F511)) : INDEX(AA:AA, ROW()-1)
   )
   /SUM(INDEX(AA:AA, ROW()-COUNTIF($F$6:INDEX($F:$F, ROW()-1), $F511)) : INDEX(AA:AA, ROW()-1)),
   AVERAGEIFS(
     INDEX((unit_details[Asking Rent],unit_details[Asking PSF]),0,1,IF($U$3="Chunk Rent",1,2)),
     unit_details[Leased Date],"&gt;="&amp;($AM$2-X$5),
     unit_details[Leased Date],"&lt;"&amp;$AM$2,
     unit_details[Beds],$L512,
     unit_details[Baths],$M512,
     unit_details[Partial Baths],IF(ISNUMBER($N512),$N512,""),
     unit_details[Sqft],$P512,
     unit_details[Property Name],$F512)
 ),"")</f>
        <v/>
      </c>
      <c r="Y512" s="552" t="str">
        <f>IFERROR(
 IF($F512="Total",
   SUMPRODUCT(
   INDEX(Y:Y, ROW()-COUNTIF($F$6:INDEX($F:$F, ROW()-1), $F511)) : INDEX(Y:Y, ROW()-1),
   INDEX(AA:AA, ROW()-COUNTIF($F$6:INDEX($F:$F, ROW()-1), $F511)) : INDEX(AA:AA, ROW()-1)
   )
   /SUM(INDEX(AA:AA, ROW()-COUNTIF($F$6:INDEX($F:$F, ROW()-1), $F511)) : INDEX(AA:AA, ROW()-1)),
   AVERAGEIFS(
     INDEX((unit_details[Effective Rent],unit_details[Effective PSF]),0,1,IF($U$3="Chunk Rent",1,2)),
     unit_details[Leased Date],"&gt;="&amp;($AM$2-X$5),
     unit_details[Leased Date],"&lt;"&amp;$AM$2,
     unit_details[Beds],$L512,
     unit_details[Baths],$M512,
     unit_details[Partial Baths],IF(ISNUMBER($N512),$N512,""),
     unit_details[Sqft],$P512,
     unit_details[Property Name],$F512)
 ),"")</f>
        <v/>
      </c>
      <c r="Z512" s="27" t="str">
        <f t="shared" si="88"/>
        <v/>
      </c>
      <c r="AA512" s="526">
        <f>IFERROR(
  IF($F512="Total",
    SUM(INDEX(AA:AA, ROW()-COUNTIF($F$6:INDEX($F:$F, ROW()-1), $F511)) : INDEX(AA:AA, ROW()-1)),
    COUNTIFS(
      unit_details[Leased Date], "&gt;="&amp;($AM$2-X$5),
      unit_details[Leased Date], "&lt;"&amp;$AM$2,
      unit_details[Beds], $L512,
      unit_details[Baths], $M512,
      unit_details[Partial Baths], IF(ISNUMBER($N512), $N512, ""),
      unit_details[Sqft],$P512,
      unit_details[Property Name], $F512
    )
  ),
"")</f>
        <v>0</v>
      </c>
      <c r="AB512" s="290">
        <f>IF($F512="Total",
SUM(INDEX(AB:AB, ROW()-COUNTIF($F$6:INDEX($F:$F, ROW()-1), $F511)) : INDEX(AB:AB, ROW()-1)),
COUNTIFS(unit_details[Active Listing?],TRUE,
          unit_details[Property Name], $F512,
          unit_details[Beds], $L512,
          unit_details[Baths], $M512,
          unit_details[Partial Baths],IF(ISNUMBER($N512),$N512,""),
          unit_details[Sqft],$P512))</f>
        <v>0</v>
      </c>
      <c r="AC512" s="27" t="str">
        <f t="shared" si="80"/>
        <v/>
      </c>
      <c r="AD512" s="293" t="str">
        <f>IFERROR(IF(AE512="","",IF($F512="Total",
SUMPRODUCT(
   INDEX(AD:AD, ROW()-COUNTIF($F$6:INDEX($F:$F, ROW()-1), $F511)) : INDEX(AD:AD, ROW()-1),
   INDEX(AB:AB, ROW()-COUNTIF($F$6:INDEX($F:$F, ROW()-1), $F511)) : INDEX(AB:AB, ROW()-1)
   )
   /SUM(INDEX(AB:AB, ROW()-COUNTIF($F$6:INDEX($F:$F, ROW()-1), $F511)) : INDEX(AB:AB, ROW()-1)),
          _xlfn.MINIFS(unit_details[Asking Rent],
          unit_details[Active Listing?],TRUE,
          unit_details[Property Name], $F512,
          unit_details[Beds], $L512,
          unit_details[Baths], $M512,
          unit_details[Partial Baths], IF(ISNUMBER($N512),$N512,""),
          unit_details[Sqft],$P512
))),"")</f>
        <v/>
      </c>
      <c r="AE512" s="5" t="str">
        <f>IFERROR(IF($F512="Total",
          SUMPRODUCT(
   INDEX(AE:AE, ROW()-COUNTIF($F$6:INDEX($F:$F, ROW()-1), $F511)) : INDEX(AE:AE, ROW()-1),
   INDEX(AB:AB, ROW()-COUNTIF($F$6:INDEX($F:$F, ROW()-1), $F511)) : INDEX(AB:AB, ROW()-1)
   )
   /SUM(INDEX(AB:AB, ROW()-COUNTIF($F$6:INDEX($F:$F, ROW()-1), $F511)) : INDEX(AB:AB, ROW()-1)),
          AVERAGEIFS(unit_details[Asking Rent],
          unit_details[Active Listing?],TRUE,
          unit_details[Property Name], $F512,
          unit_details[Beds], $L512,
          unit_details[Baths], $M512,
          unit_details[Partial Baths], IF(ISNUMBER($N512),$N512,""),
          unit_details[Sqft],$P512
)),"")</f>
        <v/>
      </c>
      <c r="AF512" s="5" t="str">
        <f>IFERROR(IF(AE512="","",IF($F512="Total",
SUMPRODUCT(
   INDEX(AF:AF, ROW()-COUNTIF($F$6:INDEX($F:$F, ROW()-1), $F511)) : INDEX(AF:AF, ROW()-1),
   INDEX(AB:AB, ROW()-COUNTIF($F$6:INDEX($F:$F, ROW()-1), $F511)) : INDEX(AB:AB, ROW()-1)
   )
   /SUM(INDEX(AB:AB, ROW()-COUNTIF($F$6:INDEX($F:$F, ROW()-1), $F511)) : INDEX(AB:AB, ROW()-1)),
           _xlfn.MAXIFS(unit_details[Asking Rent],
          unit_details[Active Listing?],TRUE,
          unit_details[Property Name], $F512,
          unit_details[Beds], $L512,
          unit_details[Baths], $M512,
          unit_details[Partial Baths], IF(ISNUMBER($N512),$N512,""),
          unit_details[Sqft],$P512
))),"")</f>
        <v/>
      </c>
      <c r="AG512" s="6" t="str">
        <f>IFERROR(IF($F512="Total",
         SUMPRODUCT(
         INDEX(AG:AG, ROW()-COUNTIF($F$6:INDEX($F:$F, ROW()-1), $F511)) : INDEX(AG:AG, ROW()-1),
         INDEX(AB:AB, ROW()-COUNTIF($F$6:INDEX($F:$F, ROW()-1), $F511)) : INDEX(AB:AB, ROW()-1)
         )
         /SUM(INDEX(AB:AB, ROW()-COUNTIF($F$6:INDEX($F:$F, ROW()-1), $F511)) : INDEX(AB:AB, ROW()-1)),
          AVERAGEIFS(unit_details[Asking PSF],
          unit_details[Active Listing?],TRUE,
          unit_details[Property Name], $F512,
          unit_details[Beds], $L512,
          unit_details[Baths], $M512,
          unit_details[Partial Baths], IF(ISNUMBER($N512),$N512,""),
          unit_details[Sqft],$P512
)),"")</f>
        <v/>
      </c>
      <c r="AH512" s="293" t="str">
        <f>IFERROR(IF($F512="Total",
         SUMPRODUCT(
         INDEX(AH:AH, ROW()-COUNTIF($F$6:INDEX($F:$F, ROW()-1), $F511)) : INDEX(AH:AH, ROW()-1),
         INDEX(AB:AB, ROW()-COUNTIF($F$6:INDEX($F:$F, ROW()-1), $F511)) : INDEX(AB:AB, ROW()-1)
         )
         /SUM(INDEX(AB:AB, ROW()-COUNTIF($F$6:INDEX($F:$F, ROW()-1), $F511)) : INDEX(AB:AB, ROW()-1)),
          AVERAGEIFS(unit_details[Effective Rent],
          unit_details[Active Listing?],TRUE,
          unit_details[Property Name], $F512,
          unit_details[Beds], $L512,
          unit_details[Baths], $M512,
          unit_details[Partial Baths], IF(ISNUMBER($N512),$N512,""),
          unit_details[Sqft],$P512
)),"")</f>
        <v/>
      </c>
      <c r="AI512" s="6" t="str">
        <f>IFERROR(IF($F512="Total",
         SUMPRODUCT(
         INDEX(AI:AI, ROW()-COUNTIF($F$6:INDEX($F:$F, ROW()-1), $F511)) : INDEX(AI:AI, ROW()-1),
         INDEX(AB:AB, ROW()-COUNTIF($F$6:INDEX($F:$F, ROW()-1), $F511)) : INDEX(AB:AB, ROW()-1)
         )
         /SUM(INDEX(AB:AB, ROW()-COUNTIF($F$6:INDEX($F:$F, ROW()-1), $F511)) : INDEX(AB:AB, ROW()-1)),
           AVERAGEIFS(unit_details[Effective PSF],
          unit_details[Active Listing?],TRUE,
          unit_details[Property Name], $F512,
          unit_details[Beds], $L512,
          unit_details[Baths], $M512,
          unit_details[Partial Baths], IF(ISNUMBER($N512),$N512,""),
          unit_details[Sqft],$P512
)),"")</f>
        <v/>
      </c>
      <c r="AJ512" s="824" t="str">
        <f t="shared" si="81"/>
        <v/>
      </c>
      <c r="AK512" s="531" t="str">
        <f t="shared" si="82"/>
        <v/>
      </c>
      <c r="AL512" s="714" t="str">
        <f t="shared" si="83"/>
        <v/>
      </c>
      <c r="AM512" s="531" t="str">
        <f t="shared" si="84"/>
        <v/>
      </c>
      <c r="AN512" s="716" t="str">
        <f t="shared" si="85"/>
        <v/>
      </c>
    </row>
    <row r="513" spans="6:40" x14ac:dyDescent="0.2">
      <c r="F513" s="1" t="str">
        <f t="shared" si="78"/>
        <v/>
      </c>
      <c r="G513" s="713" t="str">
        <f t="shared" si="86"/>
        <v/>
      </c>
      <c r="H513" s="17" t="str">
        <f>IFERROR(VLOOKUP($G513,Table1[[Property]:[Exposure %]],4,0),"")</f>
        <v/>
      </c>
      <c r="I513" s="3" t="str">
        <f>IFERROR(VLOOKUP($G513,Table1[[Property]:[Exposure %]],6,0),"")</f>
        <v/>
      </c>
      <c r="J513" s="3" t="str">
        <f>IFERROR(VLOOKUP($G513,Table1[[Property]:[Exposure %]],7,0),"")</f>
        <v/>
      </c>
      <c r="R513" s="4" t="str">
        <f>IFERROR(VLOOKUP(IF(F513="Total",F512,F513),Table1[[Property]:['# Units]],7,0)*S513,"")</f>
        <v/>
      </c>
      <c r="S513" s="27" t="str">
        <f t="shared" si="79"/>
        <v/>
      </c>
      <c r="T513" s="531" t="str">
        <f>IFERROR(
 IF($F513="Total",
   SUMPRODUCT(
   INDEX(T:T, ROW()-COUNTIF($F$6:INDEX($F:$F, ROW()-1), $F512)) : INDEX(T:T, ROW()-1),
   INDEX(W:W, ROW()-COUNTIF($F$6:INDEX($F:$F, ROW()-1), $F512)) : INDEX(W:W, ROW()-1)
   )
   /SUM(INDEX(W:W, ROW()-COUNTIF($F$6:INDEX($F:$F, ROW()-1), $F512)) : INDEX(W:W, ROW()-1)),
   AVERAGEIFS(
     INDEX((unit_details[Asking Rent],unit_details[Asking PSF]),0,1,IF($U$3="Chunk Rent",1,2)),
     unit_details[Leased Date],"&gt;="&amp;($AM$2-T$5),
     unit_details[Leased Date],"&lt;"&amp;$AM$2,
     unit_details[Beds],$L513,
     unit_details[Baths],$M513,
     unit_details[Partial Baths],IF(ISNUMBER($N513),$N513,""),
     unit_details[Sqft],$P513,
     unit_details[Property Name],$F513)
 ),"")</f>
        <v/>
      </c>
      <c r="U513" s="552" t="str">
        <f>IFERROR(
 IF($F513="Total",
   SUMPRODUCT(
   INDEX(U:U, ROW()-COUNTIF($F$6:INDEX($F:$F, ROW()-1), $F512)) : INDEX(U:U, ROW()-1),
   INDEX(W:W, ROW()-COUNTIF($F$6:INDEX($F:$F, ROW()-1), $F512)) : INDEX(W:W, ROW()-1)
   )
   /SUM(INDEX(W:W, ROW()-COUNTIF($F$6:INDEX($F:$F, ROW()-1), $F512)) : INDEX(W:W, ROW()-1)),
   AVERAGEIFS(
     INDEX((unit_details[Effective Rent],unit_details[Effective PSF]),0,1,IF($U$3="Chunk Rent",1,2)),
     unit_details[Leased Date],"&gt;="&amp;($AM$2-T$5),
     unit_details[Leased Date],"&lt;"&amp;$AM$2,
     unit_details[Beds],$L513,
     unit_details[Baths],$M513,
     unit_details[Partial Baths],IF(ISNUMBER($N513),$N513,""),
     unit_details[Sqft],$P513,
     unit_details[Property Name],$F513)
 ),"")</f>
        <v/>
      </c>
      <c r="V513" s="27" t="str">
        <f t="shared" si="87"/>
        <v/>
      </c>
      <c r="W513" s="526">
        <f>IFERROR(
  IF($F513="Total",
    SUM(INDEX(W:W, ROW()-COUNTIF($F$6:INDEX($F:$F, ROW()-1), $F512)) : INDEX(W:W, ROW()-1)),
    COUNTIFS(
      unit_details[Leased Date], "&gt;="&amp;($AM$2-T$5),
      unit_details[Leased Date], "&lt;"&amp;$AM$2,
      unit_details[Beds], $L513,
      unit_details[Baths], $M513,
      unit_details[Partial Baths], IF(ISNUMBER($N513), $N513, ""),
      unit_details[Sqft],$P513,
      unit_details[Property Name], $F513
    )
  ),
"")</f>
        <v>0</v>
      </c>
      <c r="X513" s="531" t="str">
        <f>IFERROR(
 IF($F513="Total",
   SUMPRODUCT(
   INDEX(X:X, ROW()-COUNTIF($F$6:INDEX($F:$F, ROW()-1), $F512)) : INDEX(X:X, ROW()-1),
   INDEX(AA:AA, ROW()-COUNTIF($F$6:INDEX($F:$F, ROW()-1), $F512)) : INDEX(AA:AA, ROW()-1)
   )
   /SUM(INDEX(AA:AA, ROW()-COUNTIF($F$6:INDEX($F:$F, ROW()-1), $F512)) : INDEX(AA:AA, ROW()-1)),
   AVERAGEIFS(
     INDEX((unit_details[Asking Rent],unit_details[Asking PSF]),0,1,IF($U$3="Chunk Rent",1,2)),
     unit_details[Leased Date],"&gt;="&amp;($AM$2-X$5),
     unit_details[Leased Date],"&lt;"&amp;$AM$2,
     unit_details[Beds],$L513,
     unit_details[Baths],$M513,
     unit_details[Partial Baths],IF(ISNUMBER($N513),$N513,""),
     unit_details[Sqft],$P513,
     unit_details[Property Name],$F513)
 ),"")</f>
        <v/>
      </c>
      <c r="Y513" s="552" t="str">
        <f>IFERROR(
 IF($F513="Total",
   SUMPRODUCT(
   INDEX(Y:Y, ROW()-COUNTIF($F$6:INDEX($F:$F, ROW()-1), $F512)) : INDEX(Y:Y, ROW()-1),
   INDEX(AA:AA, ROW()-COUNTIF($F$6:INDEX($F:$F, ROW()-1), $F512)) : INDEX(AA:AA, ROW()-1)
   )
   /SUM(INDEX(AA:AA, ROW()-COUNTIF($F$6:INDEX($F:$F, ROW()-1), $F512)) : INDEX(AA:AA, ROW()-1)),
   AVERAGEIFS(
     INDEX((unit_details[Effective Rent],unit_details[Effective PSF]),0,1,IF($U$3="Chunk Rent",1,2)),
     unit_details[Leased Date],"&gt;="&amp;($AM$2-X$5),
     unit_details[Leased Date],"&lt;"&amp;$AM$2,
     unit_details[Beds],$L513,
     unit_details[Baths],$M513,
     unit_details[Partial Baths],IF(ISNUMBER($N513),$N513,""),
     unit_details[Sqft],$P513,
     unit_details[Property Name],$F513)
 ),"")</f>
        <v/>
      </c>
      <c r="Z513" s="27" t="str">
        <f t="shared" si="88"/>
        <v/>
      </c>
      <c r="AA513" s="526">
        <f>IFERROR(
  IF($F513="Total",
    SUM(INDEX(AA:AA, ROW()-COUNTIF($F$6:INDEX($F:$F, ROW()-1), $F512)) : INDEX(AA:AA, ROW()-1)),
    COUNTIFS(
      unit_details[Leased Date], "&gt;="&amp;($AM$2-X$5),
      unit_details[Leased Date], "&lt;"&amp;$AM$2,
      unit_details[Beds], $L513,
      unit_details[Baths], $M513,
      unit_details[Partial Baths], IF(ISNUMBER($N513), $N513, ""),
      unit_details[Sqft],$P513,
      unit_details[Property Name], $F513
    )
  ),
"")</f>
        <v>0</v>
      </c>
      <c r="AB513" s="290">
        <f>IF($F513="Total",
SUM(INDEX(AB:AB, ROW()-COUNTIF($F$6:INDEX($F:$F, ROW()-1), $F512)) : INDEX(AB:AB, ROW()-1)),
COUNTIFS(unit_details[Active Listing?],TRUE,
          unit_details[Property Name], $F513,
          unit_details[Beds], $L513,
          unit_details[Baths], $M513,
          unit_details[Partial Baths],IF(ISNUMBER($N513),$N513,""),
          unit_details[Sqft],$P513))</f>
        <v>0</v>
      </c>
      <c r="AC513" s="27" t="str">
        <f t="shared" si="80"/>
        <v/>
      </c>
      <c r="AD513" s="293" t="str">
        <f>IFERROR(IF(AE513="","",IF($F513="Total",
SUMPRODUCT(
   INDEX(AD:AD, ROW()-COUNTIF($F$6:INDEX($F:$F, ROW()-1), $F512)) : INDEX(AD:AD, ROW()-1),
   INDEX(AB:AB, ROW()-COUNTIF($F$6:INDEX($F:$F, ROW()-1), $F512)) : INDEX(AB:AB, ROW()-1)
   )
   /SUM(INDEX(AB:AB, ROW()-COUNTIF($F$6:INDEX($F:$F, ROW()-1), $F512)) : INDEX(AB:AB, ROW()-1)),
          _xlfn.MINIFS(unit_details[Asking Rent],
          unit_details[Active Listing?],TRUE,
          unit_details[Property Name], $F513,
          unit_details[Beds], $L513,
          unit_details[Baths], $M513,
          unit_details[Partial Baths], IF(ISNUMBER($N513),$N513,""),
          unit_details[Sqft],$P513
))),"")</f>
        <v/>
      </c>
      <c r="AE513" s="5" t="str">
        <f>IFERROR(IF($F513="Total",
          SUMPRODUCT(
   INDEX(AE:AE, ROW()-COUNTIF($F$6:INDEX($F:$F, ROW()-1), $F512)) : INDEX(AE:AE, ROW()-1),
   INDEX(AB:AB, ROW()-COUNTIF($F$6:INDEX($F:$F, ROW()-1), $F512)) : INDEX(AB:AB, ROW()-1)
   )
   /SUM(INDEX(AB:AB, ROW()-COUNTIF($F$6:INDEX($F:$F, ROW()-1), $F512)) : INDEX(AB:AB, ROW()-1)),
          AVERAGEIFS(unit_details[Asking Rent],
          unit_details[Active Listing?],TRUE,
          unit_details[Property Name], $F513,
          unit_details[Beds], $L513,
          unit_details[Baths], $M513,
          unit_details[Partial Baths], IF(ISNUMBER($N513),$N513,""),
          unit_details[Sqft],$P513
)),"")</f>
        <v/>
      </c>
      <c r="AF513" s="5" t="str">
        <f>IFERROR(IF(AE513="","",IF($F513="Total",
SUMPRODUCT(
   INDEX(AF:AF, ROW()-COUNTIF($F$6:INDEX($F:$F, ROW()-1), $F512)) : INDEX(AF:AF, ROW()-1),
   INDEX(AB:AB, ROW()-COUNTIF($F$6:INDEX($F:$F, ROW()-1), $F512)) : INDEX(AB:AB, ROW()-1)
   )
   /SUM(INDEX(AB:AB, ROW()-COUNTIF($F$6:INDEX($F:$F, ROW()-1), $F512)) : INDEX(AB:AB, ROW()-1)),
           _xlfn.MAXIFS(unit_details[Asking Rent],
          unit_details[Active Listing?],TRUE,
          unit_details[Property Name], $F513,
          unit_details[Beds], $L513,
          unit_details[Baths], $M513,
          unit_details[Partial Baths], IF(ISNUMBER($N513),$N513,""),
          unit_details[Sqft],$P513
))),"")</f>
        <v/>
      </c>
      <c r="AG513" s="6" t="str">
        <f>IFERROR(IF($F513="Total",
         SUMPRODUCT(
         INDEX(AG:AG, ROW()-COUNTIF($F$6:INDEX($F:$F, ROW()-1), $F512)) : INDEX(AG:AG, ROW()-1),
         INDEX(AB:AB, ROW()-COUNTIF($F$6:INDEX($F:$F, ROW()-1), $F512)) : INDEX(AB:AB, ROW()-1)
         )
         /SUM(INDEX(AB:AB, ROW()-COUNTIF($F$6:INDEX($F:$F, ROW()-1), $F512)) : INDEX(AB:AB, ROW()-1)),
          AVERAGEIFS(unit_details[Asking PSF],
          unit_details[Active Listing?],TRUE,
          unit_details[Property Name], $F513,
          unit_details[Beds], $L513,
          unit_details[Baths], $M513,
          unit_details[Partial Baths], IF(ISNUMBER($N513),$N513,""),
          unit_details[Sqft],$P513
)),"")</f>
        <v/>
      </c>
      <c r="AH513" s="293" t="str">
        <f>IFERROR(IF($F513="Total",
         SUMPRODUCT(
         INDEX(AH:AH, ROW()-COUNTIF($F$6:INDEX($F:$F, ROW()-1), $F512)) : INDEX(AH:AH, ROW()-1),
         INDEX(AB:AB, ROW()-COUNTIF($F$6:INDEX($F:$F, ROW()-1), $F512)) : INDEX(AB:AB, ROW()-1)
         )
         /SUM(INDEX(AB:AB, ROW()-COUNTIF($F$6:INDEX($F:$F, ROW()-1), $F512)) : INDEX(AB:AB, ROW()-1)),
          AVERAGEIFS(unit_details[Effective Rent],
          unit_details[Active Listing?],TRUE,
          unit_details[Property Name], $F513,
          unit_details[Beds], $L513,
          unit_details[Baths], $M513,
          unit_details[Partial Baths], IF(ISNUMBER($N513),$N513,""),
          unit_details[Sqft],$P513
)),"")</f>
        <v/>
      </c>
      <c r="AI513" s="6" t="str">
        <f>IFERROR(IF($F513="Total",
         SUMPRODUCT(
         INDEX(AI:AI, ROW()-COUNTIF($F$6:INDEX($F:$F, ROW()-1), $F512)) : INDEX(AI:AI, ROW()-1),
         INDEX(AB:AB, ROW()-COUNTIF($F$6:INDEX($F:$F, ROW()-1), $F512)) : INDEX(AB:AB, ROW()-1)
         )
         /SUM(INDEX(AB:AB, ROW()-COUNTIF($F$6:INDEX($F:$F, ROW()-1), $F512)) : INDEX(AB:AB, ROW()-1)),
           AVERAGEIFS(unit_details[Effective PSF],
          unit_details[Active Listing?],TRUE,
          unit_details[Property Name], $F513,
          unit_details[Beds], $L513,
          unit_details[Baths], $M513,
          unit_details[Partial Baths], IF(ISNUMBER($N513),$N513,""),
          unit_details[Sqft],$P513
)),"")</f>
        <v/>
      </c>
      <c r="AJ513" s="824" t="str">
        <f t="shared" si="81"/>
        <v/>
      </c>
      <c r="AK513" s="531" t="str">
        <f t="shared" si="82"/>
        <v/>
      </c>
      <c r="AL513" s="714" t="str">
        <f t="shared" si="83"/>
        <v/>
      </c>
      <c r="AM513" s="531" t="str">
        <f t="shared" si="84"/>
        <v/>
      </c>
      <c r="AN513" s="716" t="str">
        <f t="shared" si="85"/>
        <v/>
      </c>
    </row>
    <row r="514" spans="6:40" x14ac:dyDescent="0.2">
      <c r="F514" s="1" t="str">
        <f t="shared" si="78"/>
        <v/>
      </c>
      <c r="G514" s="713" t="str">
        <f t="shared" si="86"/>
        <v/>
      </c>
      <c r="H514" s="17" t="str">
        <f>IFERROR(VLOOKUP($G514,Table1[[Property]:[Exposure %]],4,0),"")</f>
        <v/>
      </c>
      <c r="I514" s="3" t="str">
        <f>IFERROR(VLOOKUP($G514,Table1[[Property]:[Exposure %]],6,0),"")</f>
        <v/>
      </c>
      <c r="J514" s="3" t="str">
        <f>IFERROR(VLOOKUP($G514,Table1[[Property]:[Exposure %]],7,0),"")</f>
        <v/>
      </c>
      <c r="R514" s="4" t="str">
        <f>IFERROR(VLOOKUP(IF(F514="Total",F513,F514),Table1[[Property]:['# Units]],7,0)*S514,"")</f>
        <v/>
      </c>
      <c r="S514" s="27" t="str">
        <f t="shared" si="79"/>
        <v/>
      </c>
      <c r="T514" s="531" t="str">
        <f>IFERROR(
 IF($F514="Total",
   SUMPRODUCT(
   INDEX(T:T, ROW()-COUNTIF($F$6:INDEX($F:$F, ROW()-1), $F513)) : INDEX(T:T, ROW()-1),
   INDEX(W:W, ROW()-COUNTIF($F$6:INDEX($F:$F, ROW()-1), $F513)) : INDEX(W:W, ROW()-1)
   )
   /SUM(INDEX(W:W, ROW()-COUNTIF($F$6:INDEX($F:$F, ROW()-1), $F513)) : INDEX(W:W, ROW()-1)),
   AVERAGEIFS(
     INDEX((unit_details[Asking Rent],unit_details[Asking PSF]),0,1,IF($U$3="Chunk Rent",1,2)),
     unit_details[Leased Date],"&gt;="&amp;($AM$2-T$5),
     unit_details[Leased Date],"&lt;"&amp;$AM$2,
     unit_details[Beds],$L514,
     unit_details[Baths],$M514,
     unit_details[Partial Baths],IF(ISNUMBER($N514),$N514,""),
     unit_details[Sqft],$P514,
     unit_details[Property Name],$F514)
 ),"")</f>
        <v/>
      </c>
      <c r="U514" s="552" t="str">
        <f>IFERROR(
 IF($F514="Total",
   SUMPRODUCT(
   INDEX(U:U, ROW()-COUNTIF($F$6:INDEX($F:$F, ROW()-1), $F513)) : INDEX(U:U, ROW()-1),
   INDEX(W:W, ROW()-COUNTIF($F$6:INDEX($F:$F, ROW()-1), $F513)) : INDEX(W:W, ROW()-1)
   )
   /SUM(INDEX(W:W, ROW()-COUNTIF($F$6:INDEX($F:$F, ROW()-1), $F513)) : INDEX(W:W, ROW()-1)),
   AVERAGEIFS(
     INDEX((unit_details[Effective Rent],unit_details[Effective PSF]),0,1,IF($U$3="Chunk Rent",1,2)),
     unit_details[Leased Date],"&gt;="&amp;($AM$2-T$5),
     unit_details[Leased Date],"&lt;"&amp;$AM$2,
     unit_details[Beds],$L514,
     unit_details[Baths],$M514,
     unit_details[Partial Baths],IF(ISNUMBER($N514),$N514,""),
     unit_details[Sqft],$P514,
     unit_details[Property Name],$F514)
 ),"")</f>
        <v/>
      </c>
      <c r="V514" s="27" t="str">
        <f t="shared" si="87"/>
        <v/>
      </c>
      <c r="W514" s="526">
        <f>IFERROR(
  IF($F514="Total",
    SUM(INDEX(W:W, ROW()-COUNTIF($F$6:INDEX($F:$F, ROW()-1), $F513)) : INDEX(W:W, ROW()-1)),
    COUNTIFS(
      unit_details[Leased Date], "&gt;="&amp;($AM$2-T$5),
      unit_details[Leased Date], "&lt;"&amp;$AM$2,
      unit_details[Beds], $L514,
      unit_details[Baths], $M514,
      unit_details[Partial Baths], IF(ISNUMBER($N514), $N514, ""),
      unit_details[Sqft],$P514,
      unit_details[Property Name], $F514
    )
  ),
"")</f>
        <v>0</v>
      </c>
      <c r="X514" s="531" t="str">
        <f>IFERROR(
 IF($F514="Total",
   SUMPRODUCT(
   INDEX(X:X, ROW()-COUNTIF($F$6:INDEX($F:$F, ROW()-1), $F513)) : INDEX(X:X, ROW()-1),
   INDEX(AA:AA, ROW()-COUNTIF($F$6:INDEX($F:$F, ROW()-1), $F513)) : INDEX(AA:AA, ROW()-1)
   )
   /SUM(INDEX(AA:AA, ROW()-COUNTIF($F$6:INDEX($F:$F, ROW()-1), $F513)) : INDEX(AA:AA, ROW()-1)),
   AVERAGEIFS(
     INDEX((unit_details[Asking Rent],unit_details[Asking PSF]),0,1,IF($U$3="Chunk Rent",1,2)),
     unit_details[Leased Date],"&gt;="&amp;($AM$2-X$5),
     unit_details[Leased Date],"&lt;"&amp;$AM$2,
     unit_details[Beds],$L514,
     unit_details[Baths],$M514,
     unit_details[Partial Baths],IF(ISNUMBER($N514),$N514,""),
     unit_details[Sqft],$P514,
     unit_details[Property Name],$F514)
 ),"")</f>
        <v/>
      </c>
      <c r="Y514" s="552" t="str">
        <f>IFERROR(
 IF($F514="Total",
   SUMPRODUCT(
   INDEX(Y:Y, ROW()-COUNTIF($F$6:INDEX($F:$F, ROW()-1), $F513)) : INDEX(Y:Y, ROW()-1),
   INDEX(AA:AA, ROW()-COUNTIF($F$6:INDEX($F:$F, ROW()-1), $F513)) : INDEX(AA:AA, ROW()-1)
   )
   /SUM(INDEX(AA:AA, ROW()-COUNTIF($F$6:INDEX($F:$F, ROW()-1), $F513)) : INDEX(AA:AA, ROW()-1)),
   AVERAGEIFS(
     INDEX((unit_details[Effective Rent],unit_details[Effective PSF]),0,1,IF($U$3="Chunk Rent",1,2)),
     unit_details[Leased Date],"&gt;="&amp;($AM$2-X$5),
     unit_details[Leased Date],"&lt;"&amp;$AM$2,
     unit_details[Beds],$L514,
     unit_details[Baths],$M514,
     unit_details[Partial Baths],IF(ISNUMBER($N514),$N514,""),
     unit_details[Sqft],$P514,
     unit_details[Property Name],$F514)
 ),"")</f>
        <v/>
      </c>
      <c r="Z514" s="27" t="str">
        <f t="shared" si="88"/>
        <v/>
      </c>
      <c r="AA514" s="526">
        <f>IFERROR(
  IF($F514="Total",
    SUM(INDEX(AA:AA, ROW()-COUNTIF($F$6:INDEX($F:$F, ROW()-1), $F513)) : INDEX(AA:AA, ROW()-1)),
    COUNTIFS(
      unit_details[Leased Date], "&gt;="&amp;($AM$2-X$5),
      unit_details[Leased Date], "&lt;"&amp;$AM$2,
      unit_details[Beds], $L514,
      unit_details[Baths], $M514,
      unit_details[Partial Baths], IF(ISNUMBER($N514), $N514, ""),
      unit_details[Sqft],$P514,
      unit_details[Property Name], $F514
    )
  ),
"")</f>
        <v>0</v>
      </c>
      <c r="AB514" s="290">
        <f>IF($F514="Total",
SUM(INDEX(AB:AB, ROW()-COUNTIF($F$6:INDEX($F:$F, ROW()-1), $F513)) : INDEX(AB:AB, ROW()-1)),
COUNTIFS(unit_details[Active Listing?],TRUE,
          unit_details[Property Name], $F514,
          unit_details[Beds], $L514,
          unit_details[Baths], $M514,
          unit_details[Partial Baths],IF(ISNUMBER($N514),$N514,""),
          unit_details[Sqft],$P514))</f>
        <v>0</v>
      </c>
      <c r="AC514" s="27" t="str">
        <f t="shared" si="80"/>
        <v/>
      </c>
      <c r="AD514" s="293" t="str">
        <f>IFERROR(IF(AE514="","",IF($F514="Total",
SUMPRODUCT(
   INDEX(AD:AD, ROW()-COUNTIF($F$6:INDEX($F:$F, ROW()-1), $F513)) : INDEX(AD:AD, ROW()-1),
   INDEX(AB:AB, ROW()-COUNTIF($F$6:INDEX($F:$F, ROW()-1), $F513)) : INDEX(AB:AB, ROW()-1)
   )
   /SUM(INDEX(AB:AB, ROW()-COUNTIF($F$6:INDEX($F:$F, ROW()-1), $F513)) : INDEX(AB:AB, ROW()-1)),
          _xlfn.MINIFS(unit_details[Asking Rent],
          unit_details[Active Listing?],TRUE,
          unit_details[Property Name], $F514,
          unit_details[Beds], $L514,
          unit_details[Baths], $M514,
          unit_details[Partial Baths], IF(ISNUMBER($N514),$N514,""),
          unit_details[Sqft],$P514
))),"")</f>
        <v/>
      </c>
      <c r="AE514" s="5" t="str">
        <f>IFERROR(IF($F514="Total",
          SUMPRODUCT(
   INDEX(AE:AE, ROW()-COUNTIF($F$6:INDEX($F:$F, ROW()-1), $F513)) : INDEX(AE:AE, ROW()-1),
   INDEX(AB:AB, ROW()-COUNTIF($F$6:INDEX($F:$F, ROW()-1), $F513)) : INDEX(AB:AB, ROW()-1)
   )
   /SUM(INDEX(AB:AB, ROW()-COUNTIF($F$6:INDEX($F:$F, ROW()-1), $F513)) : INDEX(AB:AB, ROW()-1)),
          AVERAGEIFS(unit_details[Asking Rent],
          unit_details[Active Listing?],TRUE,
          unit_details[Property Name], $F514,
          unit_details[Beds], $L514,
          unit_details[Baths], $M514,
          unit_details[Partial Baths], IF(ISNUMBER($N514),$N514,""),
          unit_details[Sqft],$P514
)),"")</f>
        <v/>
      </c>
      <c r="AF514" s="5" t="str">
        <f>IFERROR(IF(AE514="","",IF($F514="Total",
SUMPRODUCT(
   INDEX(AF:AF, ROW()-COUNTIF($F$6:INDEX($F:$F, ROW()-1), $F513)) : INDEX(AF:AF, ROW()-1),
   INDEX(AB:AB, ROW()-COUNTIF($F$6:INDEX($F:$F, ROW()-1), $F513)) : INDEX(AB:AB, ROW()-1)
   )
   /SUM(INDEX(AB:AB, ROW()-COUNTIF($F$6:INDEX($F:$F, ROW()-1), $F513)) : INDEX(AB:AB, ROW()-1)),
           _xlfn.MAXIFS(unit_details[Asking Rent],
          unit_details[Active Listing?],TRUE,
          unit_details[Property Name], $F514,
          unit_details[Beds], $L514,
          unit_details[Baths], $M514,
          unit_details[Partial Baths], IF(ISNUMBER($N514),$N514,""),
          unit_details[Sqft],$P514
))),"")</f>
        <v/>
      </c>
      <c r="AG514" s="6" t="str">
        <f>IFERROR(IF($F514="Total",
         SUMPRODUCT(
         INDEX(AG:AG, ROW()-COUNTIF($F$6:INDEX($F:$F, ROW()-1), $F513)) : INDEX(AG:AG, ROW()-1),
         INDEX(AB:AB, ROW()-COUNTIF($F$6:INDEX($F:$F, ROW()-1), $F513)) : INDEX(AB:AB, ROW()-1)
         )
         /SUM(INDEX(AB:AB, ROW()-COUNTIF($F$6:INDEX($F:$F, ROW()-1), $F513)) : INDEX(AB:AB, ROW()-1)),
          AVERAGEIFS(unit_details[Asking PSF],
          unit_details[Active Listing?],TRUE,
          unit_details[Property Name], $F514,
          unit_details[Beds], $L514,
          unit_details[Baths], $M514,
          unit_details[Partial Baths], IF(ISNUMBER($N514),$N514,""),
          unit_details[Sqft],$P514
)),"")</f>
        <v/>
      </c>
      <c r="AH514" s="293" t="str">
        <f>IFERROR(IF($F514="Total",
         SUMPRODUCT(
         INDEX(AH:AH, ROW()-COUNTIF($F$6:INDEX($F:$F, ROW()-1), $F513)) : INDEX(AH:AH, ROW()-1),
         INDEX(AB:AB, ROW()-COUNTIF($F$6:INDEX($F:$F, ROW()-1), $F513)) : INDEX(AB:AB, ROW()-1)
         )
         /SUM(INDEX(AB:AB, ROW()-COUNTIF($F$6:INDEX($F:$F, ROW()-1), $F513)) : INDEX(AB:AB, ROW()-1)),
          AVERAGEIFS(unit_details[Effective Rent],
          unit_details[Active Listing?],TRUE,
          unit_details[Property Name], $F514,
          unit_details[Beds], $L514,
          unit_details[Baths], $M514,
          unit_details[Partial Baths], IF(ISNUMBER($N514),$N514,""),
          unit_details[Sqft],$P514
)),"")</f>
        <v/>
      </c>
      <c r="AI514" s="6" t="str">
        <f>IFERROR(IF($F514="Total",
         SUMPRODUCT(
         INDEX(AI:AI, ROW()-COUNTIF($F$6:INDEX($F:$F, ROW()-1), $F513)) : INDEX(AI:AI, ROW()-1),
         INDEX(AB:AB, ROW()-COUNTIF($F$6:INDEX($F:$F, ROW()-1), $F513)) : INDEX(AB:AB, ROW()-1)
         )
         /SUM(INDEX(AB:AB, ROW()-COUNTIF($F$6:INDEX($F:$F, ROW()-1), $F513)) : INDEX(AB:AB, ROW()-1)),
           AVERAGEIFS(unit_details[Effective PSF],
          unit_details[Active Listing?],TRUE,
          unit_details[Property Name], $F514,
          unit_details[Beds], $L514,
          unit_details[Baths], $M514,
          unit_details[Partial Baths], IF(ISNUMBER($N514),$N514,""),
          unit_details[Sqft],$P514
)),"")</f>
        <v/>
      </c>
      <c r="AJ514" s="824" t="str">
        <f t="shared" si="81"/>
        <v/>
      </c>
      <c r="AK514" s="531" t="str">
        <f t="shared" si="82"/>
        <v/>
      </c>
      <c r="AL514" s="714" t="str">
        <f t="shared" si="83"/>
        <v/>
      </c>
      <c r="AM514" s="531" t="str">
        <f t="shared" si="84"/>
        <v/>
      </c>
      <c r="AN514" s="716" t="str">
        <f t="shared" si="85"/>
        <v/>
      </c>
    </row>
    <row r="515" spans="6:40" x14ac:dyDescent="0.2">
      <c r="F515" s="1" t="str">
        <f t="shared" si="78"/>
        <v/>
      </c>
      <c r="G515" s="713" t="str">
        <f t="shared" si="86"/>
        <v/>
      </c>
      <c r="H515" s="17" t="str">
        <f>IFERROR(VLOOKUP($G515,Table1[[Property]:[Exposure %]],4,0),"")</f>
        <v/>
      </c>
      <c r="I515" s="3" t="str">
        <f>IFERROR(VLOOKUP($G515,Table1[[Property]:[Exposure %]],6,0),"")</f>
        <v/>
      </c>
      <c r="J515" s="3" t="str">
        <f>IFERROR(VLOOKUP($G515,Table1[[Property]:[Exposure %]],7,0),"")</f>
        <v/>
      </c>
      <c r="R515" s="4" t="str">
        <f>IFERROR(VLOOKUP(IF(F515="Total",F514,F515),Table1[[Property]:['# Units]],7,0)*S515,"")</f>
        <v/>
      </c>
      <c r="S515" s="27" t="str">
        <f t="shared" si="79"/>
        <v/>
      </c>
      <c r="T515" s="531" t="str">
        <f>IFERROR(
 IF($F515="Total",
   SUMPRODUCT(
   INDEX(T:T, ROW()-COUNTIF($F$6:INDEX($F:$F, ROW()-1), $F514)) : INDEX(T:T, ROW()-1),
   INDEX(W:W, ROW()-COUNTIF($F$6:INDEX($F:$F, ROW()-1), $F514)) : INDEX(W:W, ROW()-1)
   )
   /SUM(INDEX(W:W, ROW()-COUNTIF($F$6:INDEX($F:$F, ROW()-1), $F514)) : INDEX(W:W, ROW()-1)),
   AVERAGEIFS(
     INDEX((unit_details[Asking Rent],unit_details[Asking PSF]),0,1,IF($U$3="Chunk Rent",1,2)),
     unit_details[Leased Date],"&gt;="&amp;($AM$2-T$5),
     unit_details[Leased Date],"&lt;"&amp;$AM$2,
     unit_details[Beds],$L515,
     unit_details[Baths],$M515,
     unit_details[Partial Baths],IF(ISNUMBER($N515),$N515,""),
     unit_details[Sqft],$P515,
     unit_details[Property Name],$F515)
 ),"")</f>
        <v/>
      </c>
      <c r="U515" s="552" t="str">
        <f>IFERROR(
 IF($F515="Total",
   SUMPRODUCT(
   INDEX(U:U, ROW()-COUNTIF($F$6:INDEX($F:$F, ROW()-1), $F514)) : INDEX(U:U, ROW()-1),
   INDEX(W:W, ROW()-COUNTIF($F$6:INDEX($F:$F, ROW()-1), $F514)) : INDEX(W:W, ROW()-1)
   )
   /SUM(INDEX(W:W, ROW()-COUNTIF($F$6:INDEX($F:$F, ROW()-1), $F514)) : INDEX(W:W, ROW()-1)),
   AVERAGEIFS(
     INDEX((unit_details[Effective Rent],unit_details[Effective PSF]),0,1,IF($U$3="Chunk Rent",1,2)),
     unit_details[Leased Date],"&gt;="&amp;($AM$2-T$5),
     unit_details[Leased Date],"&lt;"&amp;$AM$2,
     unit_details[Beds],$L515,
     unit_details[Baths],$M515,
     unit_details[Partial Baths],IF(ISNUMBER($N515),$N515,""),
     unit_details[Sqft],$P515,
     unit_details[Property Name],$F515)
 ),"")</f>
        <v/>
      </c>
      <c r="V515" s="27" t="str">
        <f t="shared" si="87"/>
        <v/>
      </c>
      <c r="W515" s="526">
        <f>IFERROR(
  IF($F515="Total",
    SUM(INDEX(W:W, ROW()-COUNTIF($F$6:INDEX($F:$F, ROW()-1), $F514)) : INDEX(W:W, ROW()-1)),
    COUNTIFS(
      unit_details[Leased Date], "&gt;="&amp;($AM$2-T$5),
      unit_details[Leased Date], "&lt;"&amp;$AM$2,
      unit_details[Beds], $L515,
      unit_details[Baths], $M515,
      unit_details[Partial Baths], IF(ISNUMBER($N515), $N515, ""),
      unit_details[Sqft],$P515,
      unit_details[Property Name], $F515
    )
  ),
"")</f>
        <v>0</v>
      </c>
      <c r="X515" s="531" t="str">
        <f>IFERROR(
 IF($F515="Total",
   SUMPRODUCT(
   INDEX(X:X, ROW()-COUNTIF($F$6:INDEX($F:$F, ROW()-1), $F514)) : INDEX(X:X, ROW()-1),
   INDEX(AA:AA, ROW()-COUNTIF($F$6:INDEX($F:$F, ROW()-1), $F514)) : INDEX(AA:AA, ROW()-1)
   )
   /SUM(INDEX(AA:AA, ROW()-COUNTIF($F$6:INDEX($F:$F, ROW()-1), $F514)) : INDEX(AA:AA, ROW()-1)),
   AVERAGEIFS(
     INDEX((unit_details[Asking Rent],unit_details[Asking PSF]),0,1,IF($U$3="Chunk Rent",1,2)),
     unit_details[Leased Date],"&gt;="&amp;($AM$2-X$5),
     unit_details[Leased Date],"&lt;"&amp;$AM$2,
     unit_details[Beds],$L515,
     unit_details[Baths],$M515,
     unit_details[Partial Baths],IF(ISNUMBER($N515),$N515,""),
     unit_details[Sqft],$P515,
     unit_details[Property Name],$F515)
 ),"")</f>
        <v/>
      </c>
      <c r="Y515" s="552" t="str">
        <f>IFERROR(
 IF($F515="Total",
   SUMPRODUCT(
   INDEX(Y:Y, ROW()-COUNTIF($F$6:INDEX($F:$F, ROW()-1), $F514)) : INDEX(Y:Y, ROW()-1),
   INDEX(AA:AA, ROW()-COUNTIF($F$6:INDEX($F:$F, ROW()-1), $F514)) : INDEX(AA:AA, ROW()-1)
   )
   /SUM(INDEX(AA:AA, ROW()-COUNTIF($F$6:INDEX($F:$F, ROW()-1), $F514)) : INDEX(AA:AA, ROW()-1)),
   AVERAGEIFS(
     INDEX((unit_details[Effective Rent],unit_details[Effective PSF]),0,1,IF($U$3="Chunk Rent",1,2)),
     unit_details[Leased Date],"&gt;="&amp;($AM$2-X$5),
     unit_details[Leased Date],"&lt;"&amp;$AM$2,
     unit_details[Beds],$L515,
     unit_details[Baths],$M515,
     unit_details[Partial Baths],IF(ISNUMBER($N515),$N515,""),
     unit_details[Sqft],$P515,
     unit_details[Property Name],$F515)
 ),"")</f>
        <v/>
      </c>
      <c r="Z515" s="27" t="str">
        <f t="shared" si="88"/>
        <v/>
      </c>
      <c r="AA515" s="526">
        <f>IFERROR(
  IF($F515="Total",
    SUM(INDEX(AA:AA, ROW()-COUNTIF($F$6:INDEX($F:$F, ROW()-1), $F514)) : INDEX(AA:AA, ROW()-1)),
    COUNTIFS(
      unit_details[Leased Date], "&gt;="&amp;($AM$2-X$5),
      unit_details[Leased Date], "&lt;"&amp;$AM$2,
      unit_details[Beds], $L515,
      unit_details[Baths], $M515,
      unit_details[Partial Baths], IF(ISNUMBER($N515), $N515, ""),
      unit_details[Sqft],$P515,
      unit_details[Property Name], $F515
    )
  ),
"")</f>
        <v>0</v>
      </c>
      <c r="AB515" s="290">
        <f>IF($F515="Total",
SUM(INDEX(AB:AB, ROW()-COUNTIF($F$6:INDEX($F:$F, ROW()-1), $F514)) : INDEX(AB:AB, ROW()-1)),
COUNTIFS(unit_details[Active Listing?],TRUE,
          unit_details[Property Name], $F515,
          unit_details[Beds], $L515,
          unit_details[Baths], $M515,
          unit_details[Partial Baths],IF(ISNUMBER($N515),$N515,""),
          unit_details[Sqft],$P515))</f>
        <v>0</v>
      </c>
      <c r="AC515" s="27" t="str">
        <f t="shared" si="80"/>
        <v/>
      </c>
      <c r="AD515" s="293" t="str">
        <f>IFERROR(IF(AE515="","",IF($F515="Total",
SUMPRODUCT(
   INDEX(AD:AD, ROW()-COUNTIF($F$6:INDEX($F:$F, ROW()-1), $F514)) : INDEX(AD:AD, ROW()-1),
   INDEX(AB:AB, ROW()-COUNTIF($F$6:INDEX($F:$F, ROW()-1), $F514)) : INDEX(AB:AB, ROW()-1)
   )
   /SUM(INDEX(AB:AB, ROW()-COUNTIF($F$6:INDEX($F:$F, ROW()-1), $F514)) : INDEX(AB:AB, ROW()-1)),
          _xlfn.MINIFS(unit_details[Asking Rent],
          unit_details[Active Listing?],TRUE,
          unit_details[Property Name], $F515,
          unit_details[Beds], $L515,
          unit_details[Baths], $M515,
          unit_details[Partial Baths], IF(ISNUMBER($N515),$N515,""),
          unit_details[Sqft],$P515
))),"")</f>
        <v/>
      </c>
      <c r="AE515" s="5" t="str">
        <f>IFERROR(IF($F515="Total",
          SUMPRODUCT(
   INDEX(AE:AE, ROW()-COUNTIF($F$6:INDEX($F:$F, ROW()-1), $F514)) : INDEX(AE:AE, ROW()-1),
   INDEX(AB:AB, ROW()-COUNTIF($F$6:INDEX($F:$F, ROW()-1), $F514)) : INDEX(AB:AB, ROW()-1)
   )
   /SUM(INDEX(AB:AB, ROW()-COUNTIF($F$6:INDEX($F:$F, ROW()-1), $F514)) : INDEX(AB:AB, ROW()-1)),
          AVERAGEIFS(unit_details[Asking Rent],
          unit_details[Active Listing?],TRUE,
          unit_details[Property Name], $F515,
          unit_details[Beds], $L515,
          unit_details[Baths], $M515,
          unit_details[Partial Baths], IF(ISNUMBER($N515),$N515,""),
          unit_details[Sqft],$P515
)),"")</f>
        <v/>
      </c>
      <c r="AF515" s="5" t="str">
        <f>IFERROR(IF(AE515="","",IF($F515="Total",
SUMPRODUCT(
   INDEX(AF:AF, ROW()-COUNTIF($F$6:INDEX($F:$F, ROW()-1), $F514)) : INDEX(AF:AF, ROW()-1),
   INDEX(AB:AB, ROW()-COUNTIF($F$6:INDEX($F:$F, ROW()-1), $F514)) : INDEX(AB:AB, ROW()-1)
   )
   /SUM(INDEX(AB:AB, ROW()-COUNTIF($F$6:INDEX($F:$F, ROW()-1), $F514)) : INDEX(AB:AB, ROW()-1)),
           _xlfn.MAXIFS(unit_details[Asking Rent],
          unit_details[Active Listing?],TRUE,
          unit_details[Property Name], $F515,
          unit_details[Beds], $L515,
          unit_details[Baths], $M515,
          unit_details[Partial Baths], IF(ISNUMBER($N515),$N515,""),
          unit_details[Sqft],$P515
))),"")</f>
        <v/>
      </c>
      <c r="AG515" s="6" t="str">
        <f>IFERROR(IF($F515="Total",
         SUMPRODUCT(
         INDEX(AG:AG, ROW()-COUNTIF($F$6:INDEX($F:$F, ROW()-1), $F514)) : INDEX(AG:AG, ROW()-1),
         INDEX(AB:AB, ROW()-COUNTIF($F$6:INDEX($F:$F, ROW()-1), $F514)) : INDEX(AB:AB, ROW()-1)
         )
         /SUM(INDEX(AB:AB, ROW()-COUNTIF($F$6:INDEX($F:$F, ROW()-1), $F514)) : INDEX(AB:AB, ROW()-1)),
          AVERAGEIFS(unit_details[Asking PSF],
          unit_details[Active Listing?],TRUE,
          unit_details[Property Name], $F515,
          unit_details[Beds], $L515,
          unit_details[Baths], $M515,
          unit_details[Partial Baths], IF(ISNUMBER($N515),$N515,""),
          unit_details[Sqft],$P515
)),"")</f>
        <v/>
      </c>
      <c r="AH515" s="293" t="str">
        <f>IFERROR(IF($F515="Total",
         SUMPRODUCT(
         INDEX(AH:AH, ROW()-COUNTIF($F$6:INDEX($F:$F, ROW()-1), $F514)) : INDEX(AH:AH, ROW()-1),
         INDEX(AB:AB, ROW()-COUNTIF($F$6:INDEX($F:$F, ROW()-1), $F514)) : INDEX(AB:AB, ROW()-1)
         )
         /SUM(INDEX(AB:AB, ROW()-COUNTIF($F$6:INDEX($F:$F, ROW()-1), $F514)) : INDEX(AB:AB, ROW()-1)),
          AVERAGEIFS(unit_details[Effective Rent],
          unit_details[Active Listing?],TRUE,
          unit_details[Property Name], $F515,
          unit_details[Beds], $L515,
          unit_details[Baths], $M515,
          unit_details[Partial Baths], IF(ISNUMBER($N515),$N515,""),
          unit_details[Sqft],$P515
)),"")</f>
        <v/>
      </c>
      <c r="AI515" s="6" t="str">
        <f>IFERROR(IF($F515="Total",
         SUMPRODUCT(
         INDEX(AI:AI, ROW()-COUNTIF($F$6:INDEX($F:$F, ROW()-1), $F514)) : INDEX(AI:AI, ROW()-1),
         INDEX(AB:AB, ROW()-COUNTIF($F$6:INDEX($F:$F, ROW()-1), $F514)) : INDEX(AB:AB, ROW()-1)
         )
         /SUM(INDEX(AB:AB, ROW()-COUNTIF($F$6:INDEX($F:$F, ROW()-1), $F514)) : INDEX(AB:AB, ROW()-1)),
           AVERAGEIFS(unit_details[Effective PSF],
          unit_details[Active Listing?],TRUE,
          unit_details[Property Name], $F515,
          unit_details[Beds], $L515,
          unit_details[Baths], $M515,
          unit_details[Partial Baths], IF(ISNUMBER($N515),$N515,""),
          unit_details[Sqft],$P515
)),"")</f>
        <v/>
      </c>
      <c r="AJ515" s="824" t="str">
        <f t="shared" si="81"/>
        <v/>
      </c>
      <c r="AK515" s="531" t="str">
        <f t="shared" si="82"/>
        <v/>
      </c>
      <c r="AL515" s="714" t="str">
        <f t="shared" si="83"/>
        <v/>
      </c>
      <c r="AM515" s="531" t="str">
        <f t="shared" si="84"/>
        <v/>
      </c>
      <c r="AN515" s="716" t="str">
        <f t="shared" si="85"/>
        <v/>
      </c>
    </row>
    <row r="516" spans="6:40" x14ac:dyDescent="0.2">
      <c r="F516" s="1" t="str">
        <f t="shared" si="78"/>
        <v/>
      </c>
      <c r="G516" s="713" t="str">
        <f t="shared" si="86"/>
        <v/>
      </c>
      <c r="H516" s="17" t="str">
        <f>IFERROR(VLOOKUP($G516,Table1[[Property]:[Exposure %]],4,0),"")</f>
        <v/>
      </c>
      <c r="I516" s="3" t="str">
        <f>IFERROR(VLOOKUP($G516,Table1[[Property]:[Exposure %]],6,0),"")</f>
        <v/>
      </c>
      <c r="J516" s="3" t="str">
        <f>IFERROR(VLOOKUP($G516,Table1[[Property]:[Exposure %]],7,0),"")</f>
        <v/>
      </c>
      <c r="R516" s="4" t="str">
        <f>IFERROR(VLOOKUP(IF(F516="Total",F515,F516),Table1[[Property]:['# Units]],7,0)*S516,"")</f>
        <v/>
      </c>
      <c r="S516" s="27" t="str">
        <f t="shared" si="79"/>
        <v/>
      </c>
      <c r="T516" s="531" t="str">
        <f>IFERROR(
 IF($F516="Total",
   SUMPRODUCT(
   INDEX(T:T, ROW()-COUNTIF($F$6:INDEX($F:$F, ROW()-1), $F515)) : INDEX(T:T, ROW()-1),
   INDEX(W:W, ROW()-COUNTIF($F$6:INDEX($F:$F, ROW()-1), $F515)) : INDEX(W:W, ROW()-1)
   )
   /SUM(INDEX(W:W, ROW()-COUNTIF($F$6:INDEX($F:$F, ROW()-1), $F515)) : INDEX(W:W, ROW()-1)),
   AVERAGEIFS(
     INDEX((unit_details[Asking Rent],unit_details[Asking PSF]),0,1,IF($U$3="Chunk Rent",1,2)),
     unit_details[Leased Date],"&gt;="&amp;($AM$2-T$5),
     unit_details[Leased Date],"&lt;"&amp;$AM$2,
     unit_details[Beds],$L516,
     unit_details[Baths],$M516,
     unit_details[Partial Baths],IF(ISNUMBER($N516),$N516,""),
     unit_details[Sqft],$P516,
     unit_details[Property Name],$F516)
 ),"")</f>
        <v/>
      </c>
      <c r="U516" s="552" t="str">
        <f>IFERROR(
 IF($F516="Total",
   SUMPRODUCT(
   INDEX(U:U, ROW()-COUNTIF($F$6:INDEX($F:$F, ROW()-1), $F515)) : INDEX(U:U, ROW()-1),
   INDEX(W:W, ROW()-COUNTIF($F$6:INDEX($F:$F, ROW()-1), $F515)) : INDEX(W:W, ROW()-1)
   )
   /SUM(INDEX(W:W, ROW()-COUNTIF($F$6:INDEX($F:$F, ROW()-1), $F515)) : INDEX(W:W, ROW()-1)),
   AVERAGEIFS(
     INDEX((unit_details[Effective Rent],unit_details[Effective PSF]),0,1,IF($U$3="Chunk Rent",1,2)),
     unit_details[Leased Date],"&gt;="&amp;($AM$2-T$5),
     unit_details[Leased Date],"&lt;"&amp;$AM$2,
     unit_details[Beds],$L516,
     unit_details[Baths],$M516,
     unit_details[Partial Baths],IF(ISNUMBER($N516),$N516,""),
     unit_details[Sqft],$P516,
     unit_details[Property Name],$F516)
 ),"")</f>
        <v/>
      </c>
      <c r="V516" s="27" t="str">
        <f t="shared" si="87"/>
        <v/>
      </c>
      <c r="W516" s="526">
        <f>IFERROR(
  IF($F516="Total",
    SUM(INDEX(W:W, ROW()-COUNTIF($F$6:INDEX($F:$F, ROW()-1), $F515)) : INDEX(W:W, ROW()-1)),
    COUNTIFS(
      unit_details[Leased Date], "&gt;="&amp;($AM$2-T$5),
      unit_details[Leased Date], "&lt;"&amp;$AM$2,
      unit_details[Beds], $L516,
      unit_details[Baths], $M516,
      unit_details[Partial Baths], IF(ISNUMBER($N516), $N516, ""),
      unit_details[Sqft],$P516,
      unit_details[Property Name], $F516
    )
  ),
"")</f>
        <v>0</v>
      </c>
      <c r="X516" s="531" t="str">
        <f>IFERROR(
 IF($F516="Total",
   SUMPRODUCT(
   INDEX(X:X, ROW()-COUNTIF($F$6:INDEX($F:$F, ROW()-1), $F515)) : INDEX(X:X, ROW()-1),
   INDEX(AA:AA, ROW()-COUNTIF($F$6:INDEX($F:$F, ROW()-1), $F515)) : INDEX(AA:AA, ROW()-1)
   )
   /SUM(INDEX(AA:AA, ROW()-COUNTIF($F$6:INDEX($F:$F, ROW()-1), $F515)) : INDEX(AA:AA, ROW()-1)),
   AVERAGEIFS(
     INDEX((unit_details[Asking Rent],unit_details[Asking PSF]),0,1,IF($U$3="Chunk Rent",1,2)),
     unit_details[Leased Date],"&gt;="&amp;($AM$2-X$5),
     unit_details[Leased Date],"&lt;"&amp;$AM$2,
     unit_details[Beds],$L516,
     unit_details[Baths],$M516,
     unit_details[Partial Baths],IF(ISNUMBER($N516),$N516,""),
     unit_details[Sqft],$P516,
     unit_details[Property Name],$F516)
 ),"")</f>
        <v/>
      </c>
      <c r="Y516" s="552" t="str">
        <f>IFERROR(
 IF($F516="Total",
   SUMPRODUCT(
   INDEX(Y:Y, ROW()-COUNTIF($F$6:INDEX($F:$F, ROW()-1), $F515)) : INDEX(Y:Y, ROW()-1),
   INDEX(AA:AA, ROW()-COUNTIF($F$6:INDEX($F:$F, ROW()-1), $F515)) : INDEX(AA:AA, ROW()-1)
   )
   /SUM(INDEX(AA:AA, ROW()-COUNTIF($F$6:INDEX($F:$F, ROW()-1), $F515)) : INDEX(AA:AA, ROW()-1)),
   AVERAGEIFS(
     INDEX((unit_details[Effective Rent],unit_details[Effective PSF]),0,1,IF($U$3="Chunk Rent",1,2)),
     unit_details[Leased Date],"&gt;="&amp;($AM$2-X$5),
     unit_details[Leased Date],"&lt;"&amp;$AM$2,
     unit_details[Beds],$L516,
     unit_details[Baths],$M516,
     unit_details[Partial Baths],IF(ISNUMBER($N516),$N516,""),
     unit_details[Sqft],$P516,
     unit_details[Property Name],$F516)
 ),"")</f>
        <v/>
      </c>
      <c r="Z516" s="27" t="str">
        <f t="shared" si="88"/>
        <v/>
      </c>
      <c r="AA516" s="526">
        <f>IFERROR(
  IF($F516="Total",
    SUM(INDEX(AA:AA, ROW()-COUNTIF($F$6:INDEX($F:$F, ROW()-1), $F515)) : INDEX(AA:AA, ROW()-1)),
    COUNTIFS(
      unit_details[Leased Date], "&gt;="&amp;($AM$2-X$5),
      unit_details[Leased Date], "&lt;"&amp;$AM$2,
      unit_details[Beds], $L516,
      unit_details[Baths], $M516,
      unit_details[Partial Baths], IF(ISNUMBER($N516), $N516, ""),
      unit_details[Sqft],$P516,
      unit_details[Property Name], $F516
    )
  ),
"")</f>
        <v>0</v>
      </c>
      <c r="AB516" s="290">
        <f>IF($F516="Total",
SUM(INDEX(AB:AB, ROW()-COUNTIF($F$6:INDEX($F:$F, ROW()-1), $F515)) : INDEX(AB:AB, ROW()-1)),
COUNTIFS(unit_details[Active Listing?],TRUE,
          unit_details[Property Name], $F516,
          unit_details[Beds], $L516,
          unit_details[Baths], $M516,
          unit_details[Partial Baths],IF(ISNUMBER($N516),$N516,""),
          unit_details[Sqft],$P516))</f>
        <v>0</v>
      </c>
      <c r="AC516" s="27" t="str">
        <f t="shared" si="80"/>
        <v/>
      </c>
      <c r="AD516" s="293" t="str">
        <f>IFERROR(IF(AE516="","",IF($F516="Total",
SUMPRODUCT(
   INDEX(AD:AD, ROW()-COUNTIF($F$6:INDEX($F:$F, ROW()-1), $F515)) : INDEX(AD:AD, ROW()-1),
   INDEX(AB:AB, ROW()-COUNTIF($F$6:INDEX($F:$F, ROW()-1), $F515)) : INDEX(AB:AB, ROW()-1)
   )
   /SUM(INDEX(AB:AB, ROW()-COUNTIF($F$6:INDEX($F:$F, ROW()-1), $F515)) : INDEX(AB:AB, ROW()-1)),
          _xlfn.MINIFS(unit_details[Asking Rent],
          unit_details[Active Listing?],TRUE,
          unit_details[Property Name], $F516,
          unit_details[Beds], $L516,
          unit_details[Baths], $M516,
          unit_details[Partial Baths], IF(ISNUMBER($N516),$N516,""),
          unit_details[Sqft],$P516
))),"")</f>
        <v/>
      </c>
      <c r="AE516" s="5" t="str">
        <f>IFERROR(IF($F516="Total",
          SUMPRODUCT(
   INDEX(AE:AE, ROW()-COUNTIF($F$6:INDEX($F:$F, ROW()-1), $F515)) : INDEX(AE:AE, ROW()-1),
   INDEX(AB:AB, ROW()-COUNTIF($F$6:INDEX($F:$F, ROW()-1), $F515)) : INDEX(AB:AB, ROW()-1)
   )
   /SUM(INDEX(AB:AB, ROW()-COUNTIF($F$6:INDEX($F:$F, ROW()-1), $F515)) : INDEX(AB:AB, ROW()-1)),
          AVERAGEIFS(unit_details[Asking Rent],
          unit_details[Active Listing?],TRUE,
          unit_details[Property Name], $F516,
          unit_details[Beds], $L516,
          unit_details[Baths], $M516,
          unit_details[Partial Baths], IF(ISNUMBER($N516),$N516,""),
          unit_details[Sqft],$P516
)),"")</f>
        <v/>
      </c>
      <c r="AF516" s="5" t="str">
        <f>IFERROR(IF(AE516="","",IF($F516="Total",
SUMPRODUCT(
   INDEX(AF:AF, ROW()-COUNTIF($F$6:INDEX($F:$F, ROW()-1), $F515)) : INDEX(AF:AF, ROW()-1),
   INDEX(AB:AB, ROW()-COUNTIF($F$6:INDEX($F:$F, ROW()-1), $F515)) : INDEX(AB:AB, ROW()-1)
   )
   /SUM(INDEX(AB:AB, ROW()-COUNTIF($F$6:INDEX($F:$F, ROW()-1), $F515)) : INDEX(AB:AB, ROW()-1)),
           _xlfn.MAXIFS(unit_details[Asking Rent],
          unit_details[Active Listing?],TRUE,
          unit_details[Property Name], $F516,
          unit_details[Beds], $L516,
          unit_details[Baths], $M516,
          unit_details[Partial Baths], IF(ISNUMBER($N516),$N516,""),
          unit_details[Sqft],$P516
))),"")</f>
        <v/>
      </c>
      <c r="AG516" s="6" t="str">
        <f>IFERROR(IF($F516="Total",
         SUMPRODUCT(
         INDEX(AG:AG, ROW()-COUNTIF($F$6:INDEX($F:$F, ROW()-1), $F515)) : INDEX(AG:AG, ROW()-1),
         INDEX(AB:AB, ROW()-COUNTIF($F$6:INDEX($F:$F, ROW()-1), $F515)) : INDEX(AB:AB, ROW()-1)
         )
         /SUM(INDEX(AB:AB, ROW()-COUNTIF($F$6:INDEX($F:$F, ROW()-1), $F515)) : INDEX(AB:AB, ROW()-1)),
          AVERAGEIFS(unit_details[Asking PSF],
          unit_details[Active Listing?],TRUE,
          unit_details[Property Name], $F516,
          unit_details[Beds], $L516,
          unit_details[Baths], $M516,
          unit_details[Partial Baths], IF(ISNUMBER($N516),$N516,""),
          unit_details[Sqft],$P516
)),"")</f>
        <v/>
      </c>
      <c r="AH516" s="293" t="str">
        <f>IFERROR(IF($F516="Total",
         SUMPRODUCT(
         INDEX(AH:AH, ROW()-COUNTIF($F$6:INDEX($F:$F, ROW()-1), $F515)) : INDEX(AH:AH, ROW()-1),
         INDEX(AB:AB, ROW()-COUNTIF($F$6:INDEX($F:$F, ROW()-1), $F515)) : INDEX(AB:AB, ROW()-1)
         )
         /SUM(INDEX(AB:AB, ROW()-COUNTIF($F$6:INDEX($F:$F, ROW()-1), $F515)) : INDEX(AB:AB, ROW()-1)),
          AVERAGEIFS(unit_details[Effective Rent],
          unit_details[Active Listing?],TRUE,
          unit_details[Property Name], $F516,
          unit_details[Beds], $L516,
          unit_details[Baths], $M516,
          unit_details[Partial Baths], IF(ISNUMBER($N516),$N516,""),
          unit_details[Sqft],$P516
)),"")</f>
        <v/>
      </c>
      <c r="AI516" s="6" t="str">
        <f>IFERROR(IF($F516="Total",
         SUMPRODUCT(
         INDEX(AI:AI, ROW()-COUNTIF($F$6:INDEX($F:$F, ROW()-1), $F515)) : INDEX(AI:AI, ROW()-1),
         INDEX(AB:AB, ROW()-COUNTIF($F$6:INDEX($F:$F, ROW()-1), $F515)) : INDEX(AB:AB, ROW()-1)
         )
         /SUM(INDEX(AB:AB, ROW()-COUNTIF($F$6:INDEX($F:$F, ROW()-1), $F515)) : INDEX(AB:AB, ROW()-1)),
           AVERAGEIFS(unit_details[Effective PSF],
          unit_details[Active Listing?],TRUE,
          unit_details[Property Name], $F516,
          unit_details[Beds], $L516,
          unit_details[Baths], $M516,
          unit_details[Partial Baths], IF(ISNUMBER($N516),$N516,""),
          unit_details[Sqft],$P516
)),"")</f>
        <v/>
      </c>
      <c r="AJ516" s="824" t="str">
        <f t="shared" si="81"/>
        <v/>
      </c>
      <c r="AK516" s="531" t="str">
        <f t="shared" si="82"/>
        <v/>
      </c>
      <c r="AL516" s="714" t="str">
        <f t="shared" si="83"/>
        <v/>
      </c>
      <c r="AM516" s="531" t="str">
        <f t="shared" si="84"/>
        <v/>
      </c>
      <c r="AN516" s="716" t="str">
        <f t="shared" si="85"/>
        <v/>
      </c>
    </row>
    <row r="517" spans="6:40" x14ac:dyDescent="0.2">
      <c r="F517" s="1" t="str">
        <f t="shared" si="78"/>
        <v/>
      </c>
      <c r="G517" s="713" t="str">
        <f t="shared" si="86"/>
        <v/>
      </c>
      <c r="H517" s="17" t="str">
        <f>IFERROR(VLOOKUP($G517,Table1[[Property]:[Exposure %]],4,0),"")</f>
        <v/>
      </c>
      <c r="I517" s="3" t="str">
        <f>IFERROR(VLOOKUP($G517,Table1[[Property]:[Exposure %]],6,0),"")</f>
        <v/>
      </c>
      <c r="J517" s="3" t="str">
        <f>IFERROR(VLOOKUP($G517,Table1[[Property]:[Exposure %]],7,0),"")</f>
        <v/>
      </c>
      <c r="R517" s="4" t="str">
        <f>IFERROR(VLOOKUP(IF(F517="Total",F516,F517),Table1[[Property]:['# Units]],7,0)*S517,"")</f>
        <v/>
      </c>
      <c r="S517" s="27" t="str">
        <f t="shared" si="79"/>
        <v/>
      </c>
      <c r="T517" s="531" t="str">
        <f>IFERROR(
 IF($F517="Total",
   SUMPRODUCT(
   INDEX(T:T, ROW()-COUNTIF($F$6:INDEX($F:$F, ROW()-1), $F516)) : INDEX(T:T, ROW()-1),
   INDEX(W:W, ROW()-COUNTIF($F$6:INDEX($F:$F, ROW()-1), $F516)) : INDEX(W:W, ROW()-1)
   )
   /SUM(INDEX(W:W, ROW()-COUNTIF($F$6:INDEX($F:$F, ROW()-1), $F516)) : INDEX(W:W, ROW()-1)),
   AVERAGEIFS(
     INDEX((unit_details[Asking Rent],unit_details[Asking PSF]),0,1,IF($U$3="Chunk Rent",1,2)),
     unit_details[Leased Date],"&gt;="&amp;($AM$2-T$5),
     unit_details[Leased Date],"&lt;"&amp;$AM$2,
     unit_details[Beds],$L517,
     unit_details[Baths],$M517,
     unit_details[Partial Baths],IF(ISNUMBER($N517),$N517,""),
     unit_details[Sqft],$P517,
     unit_details[Property Name],$F517)
 ),"")</f>
        <v/>
      </c>
      <c r="U517" s="552" t="str">
        <f>IFERROR(
 IF($F517="Total",
   SUMPRODUCT(
   INDEX(U:U, ROW()-COUNTIF($F$6:INDEX($F:$F, ROW()-1), $F516)) : INDEX(U:U, ROW()-1),
   INDEX(W:W, ROW()-COUNTIF($F$6:INDEX($F:$F, ROW()-1), $F516)) : INDEX(W:W, ROW()-1)
   )
   /SUM(INDEX(W:W, ROW()-COUNTIF($F$6:INDEX($F:$F, ROW()-1), $F516)) : INDEX(W:W, ROW()-1)),
   AVERAGEIFS(
     INDEX((unit_details[Effective Rent],unit_details[Effective PSF]),0,1,IF($U$3="Chunk Rent",1,2)),
     unit_details[Leased Date],"&gt;="&amp;($AM$2-T$5),
     unit_details[Leased Date],"&lt;"&amp;$AM$2,
     unit_details[Beds],$L517,
     unit_details[Baths],$M517,
     unit_details[Partial Baths],IF(ISNUMBER($N517),$N517,""),
     unit_details[Sqft],$P517,
     unit_details[Property Name],$F517)
 ),"")</f>
        <v/>
      </c>
      <c r="V517" s="27" t="str">
        <f t="shared" si="87"/>
        <v/>
      </c>
      <c r="W517" s="526">
        <f>IFERROR(
  IF($F517="Total",
    SUM(INDEX(W:W, ROW()-COUNTIF($F$6:INDEX($F:$F, ROW()-1), $F516)) : INDEX(W:W, ROW()-1)),
    COUNTIFS(
      unit_details[Leased Date], "&gt;="&amp;($AM$2-T$5),
      unit_details[Leased Date], "&lt;"&amp;$AM$2,
      unit_details[Beds], $L517,
      unit_details[Baths], $M517,
      unit_details[Partial Baths], IF(ISNUMBER($N517), $N517, ""),
      unit_details[Sqft],$P517,
      unit_details[Property Name], $F517
    )
  ),
"")</f>
        <v>0</v>
      </c>
      <c r="X517" s="531" t="str">
        <f>IFERROR(
 IF($F517="Total",
   SUMPRODUCT(
   INDEX(X:X, ROW()-COUNTIF($F$6:INDEX($F:$F, ROW()-1), $F516)) : INDEX(X:X, ROW()-1),
   INDEX(AA:AA, ROW()-COUNTIF($F$6:INDEX($F:$F, ROW()-1), $F516)) : INDEX(AA:AA, ROW()-1)
   )
   /SUM(INDEX(AA:AA, ROW()-COUNTIF($F$6:INDEX($F:$F, ROW()-1), $F516)) : INDEX(AA:AA, ROW()-1)),
   AVERAGEIFS(
     INDEX((unit_details[Asking Rent],unit_details[Asking PSF]),0,1,IF($U$3="Chunk Rent",1,2)),
     unit_details[Leased Date],"&gt;="&amp;($AM$2-X$5),
     unit_details[Leased Date],"&lt;"&amp;$AM$2,
     unit_details[Beds],$L517,
     unit_details[Baths],$M517,
     unit_details[Partial Baths],IF(ISNUMBER($N517),$N517,""),
     unit_details[Sqft],$P517,
     unit_details[Property Name],$F517)
 ),"")</f>
        <v/>
      </c>
      <c r="Y517" s="552" t="str">
        <f>IFERROR(
 IF($F517="Total",
   SUMPRODUCT(
   INDEX(Y:Y, ROW()-COUNTIF($F$6:INDEX($F:$F, ROW()-1), $F516)) : INDEX(Y:Y, ROW()-1),
   INDEX(AA:AA, ROW()-COUNTIF($F$6:INDEX($F:$F, ROW()-1), $F516)) : INDEX(AA:AA, ROW()-1)
   )
   /SUM(INDEX(AA:AA, ROW()-COUNTIF($F$6:INDEX($F:$F, ROW()-1), $F516)) : INDEX(AA:AA, ROW()-1)),
   AVERAGEIFS(
     INDEX((unit_details[Effective Rent],unit_details[Effective PSF]),0,1,IF($U$3="Chunk Rent",1,2)),
     unit_details[Leased Date],"&gt;="&amp;($AM$2-X$5),
     unit_details[Leased Date],"&lt;"&amp;$AM$2,
     unit_details[Beds],$L517,
     unit_details[Baths],$M517,
     unit_details[Partial Baths],IF(ISNUMBER($N517),$N517,""),
     unit_details[Sqft],$P517,
     unit_details[Property Name],$F517)
 ),"")</f>
        <v/>
      </c>
      <c r="Z517" s="27" t="str">
        <f t="shared" si="88"/>
        <v/>
      </c>
      <c r="AA517" s="526">
        <f>IFERROR(
  IF($F517="Total",
    SUM(INDEX(AA:AA, ROW()-COUNTIF($F$6:INDEX($F:$F, ROW()-1), $F516)) : INDEX(AA:AA, ROW()-1)),
    COUNTIFS(
      unit_details[Leased Date], "&gt;="&amp;($AM$2-X$5),
      unit_details[Leased Date], "&lt;"&amp;$AM$2,
      unit_details[Beds], $L517,
      unit_details[Baths], $M517,
      unit_details[Partial Baths], IF(ISNUMBER($N517), $N517, ""),
      unit_details[Sqft],$P517,
      unit_details[Property Name], $F517
    )
  ),
"")</f>
        <v>0</v>
      </c>
      <c r="AB517" s="290">
        <f>IF($F517="Total",
SUM(INDEX(AB:AB, ROW()-COUNTIF($F$6:INDEX($F:$F, ROW()-1), $F516)) : INDEX(AB:AB, ROW()-1)),
COUNTIFS(unit_details[Active Listing?],TRUE,
          unit_details[Property Name], $F517,
          unit_details[Beds], $L517,
          unit_details[Baths], $M517,
          unit_details[Partial Baths],IF(ISNUMBER($N517),$N517,""),
          unit_details[Sqft],$P517))</f>
        <v>0</v>
      </c>
      <c r="AC517" s="27" t="str">
        <f t="shared" si="80"/>
        <v/>
      </c>
      <c r="AD517" s="293" t="str">
        <f>IFERROR(IF(AE517="","",IF($F517="Total",
SUMPRODUCT(
   INDEX(AD:AD, ROW()-COUNTIF($F$6:INDEX($F:$F, ROW()-1), $F516)) : INDEX(AD:AD, ROW()-1),
   INDEX(AB:AB, ROW()-COUNTIF($F$6:INDEX($F:$F, ROW()-1), $F516)) : INDEX(AB:AB, ROW()-1)
   )
   /SUM(INDEX(AB:AB, ROW()-COUNTIF($F$6:INDEX($F:$F, ROW()-1), $F516)) : INDEX(AB:AB, ROW()-1)),
          _xlfn.MINIFS(unit_details[Asking Rent],
          unit_details[Active Listing?],TRUE,
          unit_details[Property Name], $F517,
          unit_details[Beds], $L517,
          unit_details[Baths], $M517,
          unit_details[Partial Baths], IF(ISNUMBER($N517),$N517,""),
          unit_details[Sqft],$P517
))),"")</f>
        <v/>
      </c>
      <c r="AE517" s="5" t="str">
        <f>IFERROR(IF($F517="Total",
          SUMPRODUCT(
   INDEX(AE:AE, ROW()-COUNTIF($F$6:INDEX($F:$F, ROW()-1), $F516)) : INDEX(AE:AE, ROW()-1),
   INDEX(AB:AB, ROW()-COUNTIF($F$6:INDEX($F:$F, ROW()-1), $F516)) : INDEX(AB:AB, ROW()-1)
   )
   /SUM(INDEX(AB:AB, ROW()-COUNTIF($F$6:INDEX($F:$F, ROW()-1), $F516)) : INDEX(AB:AB, ROW()-1)),
          AVERAGEIFS(unit_details[Asking Rent],
          unit_details[Active Listing?],TRUE,
          unit_details[Property Name], $F517,
          unit_details[Beds], $L517,
          unit_details[Baths], $M517,
          unit_details[Partial Baths], IF(ISNUMBER($N517),$N517,""),
          unit_details[Sqft],$P517
)),"")</f>
        <v/>
      </c>
      <c r="AF517" s="5" t="str">
        <f>IFERROR(IF(AE517="","",IF($F517="Total",
SUMPRODUCT(
   INDEX(AF:AF, ROW()-COUNTIF($F$6:INDEX($F:$F, ROW()-1), $F516)) : INDEX(AF:AF, ROW()-1),
   INDEX(AB:AB, ROW()-COUNTIF($F$6:INDEX($F:$F, ROW()-1), $F516)) : INDEX(AB:AB, ROW()-1)
   )
   /SUM(INDEX(AB:AB, ROW()-COUNTIF($F$6:INDEX($F:$F, ROW()-1), $F516)) : INDEX(AB:AB, ROW()-1)),
           _xlfn.MAXIFS(unit_details[Asking Rent],
          unit_details[Active Listing?],TRUE,
          unit_details[Property Name], $F517,
          unit_details[Beds], $L517,
          unit_details[Baths], $M517,
          unit_details[Partial Baths], IF(ISNUMBER($N517),$N517,""),
          unit_details[Sqft],$P517
))),"")</f>
        <v/>
      </c>
      <c r="AG517" s="6" t="str">
        <f>IFERROR(IF($F517="Total",
         SUMPRODUCT(
         INDEX(AG:AG, ROW()-COUNTIF($F$6:INDEX($F:$F, ROW()-1), $F516)) : INDEX(AG:AG, ROW()-1),
         INDEX(AB:AB, ROW()-COUNTIF($F$6:INDEX($F:$F, ROW()-1), $F516)) : INDEX(AB:AB, ROW()-1)
         )
         /SUM(INDEX(AB:AB, ROW()-COUNTIF($F$6:INDEX($F:$F, ROW()-1), $F516)) : INDEX(AB:AB, ROW()-1)),
          AVERAGEIFS(unit_details[Asking PSF],
          unit_details[Active Listing?],TRUE,
          unit_details[Property Name], $F517,
          unit_details[Beds], $L517,
          unit_details[Baths], $M517,
          unit_details[Partial Baths], IF(ISNUMBER($N517),$N517,""),
          unit_details[Sqft],$P517
)),"")</f>
        <v/>
      </c>
      <c r="AH517" s="293" t="str">
        <f>IFERROR(IF($F517="Total",
         SUMPRODUCT(
         INDEX(AH:AH, ROW()-COUNTIF($F$6:INDEX($F:$F, ROW()-1), $F516)) : INDEX(AH:AH, ROW()-1),
         INDEX(AB:AB, ROW()-COUNTIF($F$6:INDEX($F:$F, ROW()-1), $F516)) : INDEX(AB:AB, ROW()-1)
         )
         /SUM(INDEX(AB:AB, ROW()-COUNTIF($F$6:INDEX($F:$F, ROW()-1), $F516)) : INDEX(AB:AB, ROW()-1)),
          AVERAGEIFS(unit_details[Effective Rent],
          unit_details[Active Listing?],TRUE,
          unit_details[Property Name], $F517,
          unit_details[Beds], $L517,
          unit_details[Baths], $M517,
          unit_details[Partial Baths], IF(ISNUMBER($N517),$N517,""),
          unit_details[Sqft],$P517
)),"")</f>
        <v/>
      </c>
      <c r="AI517" s="6" t="str">
        <f>IFERROR(IF($F517="Total",
         SUMPRODUCT(
         INDEX(AI:AI, ROW()-COUNTIF($F$6:INDEX($F:$F, ROW()-1), $F516)) : INDEX(AI:AI, ROW()-1),
         INDEX(AB:AB, ROW()-COUNTIF($F$6:INDEX($F:$F, ROW()-1), $F516)) : INDEX(AB:AB, ROW()-1)
         )
         /SUM(INDEX(AB:AB, ROW()-COUNTIF($F$6:INDEX($F:$F, ROW()-1), $F516)) : INDEX(AB:AB, ROW()-1)),
           AVERAGEIFS(unit_details[Effective PSF],
          unit_details[Active Listing?],TRUE,
          unit_details[Property Name], $F517,
          unit_details[Beds], $L517,
          unit_details[Baths], $M517,
          unit_details[Partial Baths], IF(ISNUMBER($N517),$N517,""),
          unit_details[Sqft],$P517
)),"")</f>
        <v/>
      </c>
      <c r="AJ517" s="824" t="str">
        <f t="shared" si="81"/>
        <v/>
      </c>
      <c r="AK517" s="531" t="str">
        <f t="shared" si="82"/>
        <v/>
      </c>
      <c r="AL517" s="714" t="str">
        <f t="shared" si="83"/>
        <v/>
      </c>
      <c r="AM517" s="531" t="str">
        <f t="shared" si="84"/>
        <v/>
      </c>
      <c r="AN517" s="716" t="str">
        <f t="shared" si="85"/>
        <v/>
      </c>
    </row>
    <row r="518" spans="6:40" x14ac:dyDescent="0.2">
      <c r="F518" s="1" t="str">
        <f t="shared" si="78"/>
        <v/>
      </c>
      <c r="G518" s="713" t="str">
        <f t="shared" si="86"/>
        <v/>
      </c>
      <c r="H518" s="17" t="str">
        <f>IFERROR(VLOOKUP($G518,Table1[[Property]:[Exposure %]],4,0),"")</f>
        <v/>
      </c>
      <c r="I518" s="3" t="str">
        <f>IFERROR(VLOOKUP($G518,Table1[[Property]:[Exposure %]],6,0),"")</f>
        <v/>
      </c>
      <c r="J518" s="3" t="str">
        <f>IFERROR(VLOOKUP($G518,Table1[[Property]:[Exposure %]],7,0),"")</f>
        <v/>
      </c>
      <c r="R518" s="4" t="str">
        <f>IFERROR(VLOOKUP(IF(F518="Total",F517,F518),Table1[[Property]:['# Units]],7,0)*S518,"")</f>
        <v/>
      </c>
      <c r="S518" s="27" t="str">
        <f t="shared" si="79"/>
        <v/>
      </c>
      <c r="T518" s="531" t="str">
        <f>IFERROR(
 IF($F518="Total",
   SUMPRODUCT(
   INDEX(T:T, ROW()-COUNTIF($F$6:INDEX($F:$F, ROW()-1), $F517)) : INDEX(T:T, ROW()-1),
   INDEX(W:W, ROW()-COUNTIF($F$6:INDEX($F:$F, ROW()-1), $F517)) : INDEX(W:W, ROW()-1)
   )
   /SUM(INDEX(W:W, ROW()-COUNTIF($F$6:INDEX($F:$F, ROW()-1), $F517)) : INDEX(W:W, ROW()-1)),
   AVERAGEIFS(
     INDEX((unit_details[Asking Rent],unit_details[Asking PSF]),0,1,IF($U$3="Chunk Rent",1,2)),
     unit_details[Leased Date],"&gt;="&amp;($AM$2-T$5),
     unit_details[Leased Date],"&lt;"&amp;$AM$2,
     unit_details[Beds],$L518,
     unit_details[Baths],$M518,
     unit_details[Partial Baths],IF(ISNUMBER($N518),$N518,""),
     unit_details[Sqft],$P518,
     unit_details[Property Name],$F518)
 ),"")</f>
        <v/>
      </c>
      <c r="U518" s="552" t="str">
        <f>IFERROR(
 IF($F518="Total",
   SUMPRODUCT(
   INDEX(U:U, ROW()-COUNTIF($F$6:INDEX($F:$F, ROW()-1), $F517)) : INDEX(U:U, ROW()-1),
   INDEX(W:W, ROW()-COUNTIF($F$6:INDEX($F:$F, ROW()-1), $F517)) : INDEX(W:W, ROW()-1)
   )
   /SUM(INDEX(W:W, ROW()-COUNTIF($F$6:INDEX($F:$F, ROW()-1), $F517)) : INDEX(W:W, ROW()-1)),
   AVERAGEIFS(
     INDEX((unit_details[Effective Rent],unit_details[Effective PSF]),0,1,IF($U$3="Chunk Rent",1,2)),
     unit_details[Leased Date],"&gt;="&amp;($AM$2-T$5),
     unit_details[Leased Date],"&lt;"&amp;$AM$2,
     unit_details[Beds],$L518,
     unit_details[Baths],$M518,
     unit_details[Partial Baths],IF(ISNUMBER($N518),$N518,""),
     unit_details[Sqft],$P518,
     unit_details[Property Name],$F518)
 ),"")</f>
        <v/>
      </c>
      <c r="V518" s="27" t="str">
        <f t="shared" si="87"/>
        <v/>
      </c>
      <c r="W518" s="526">
        <f>IFERROR(
  IF($F518="Total",
    SUM(INDEX(W:W, ROW()-COUNTIF($F$6:INDEX($F:$F, ROW()-1), $F517)) : INDEX(W:W, ROW()-1)),
    COUNTIFS(
      unit_details[Leased Date], "&gt;="&amp;($AM$2-T$5),
      unit_details[Leased Date], "&lt;"&amp;$AM$2,
      unit_details[Beds], $L518,
      unit_details[Baths], $M518,
      unit_details[Partial Baths], IF(ISNUMBER($N518), $N518, ""),
      unit_details[Sqft],$P518,
      unit_details[Property Name], $F518
    )
  ),
"")</f>
        <v>0</v>
      </c>
      <c r="X518" s="531" t="str">
        <f>IFERROR(
 IF($F518="Total",
   SUMPRODUCT(
   INDEX(X:X, ROW()-COUNTIF($F$6:INDEX($F:$F, ROW()-1), $F517)) : INDEX(X:X, ROW()-1),
   INDEX(AA:AA, ROW()-COUNTIF($F$6:INDEX($F:$F, ROW()-1), $F517)) : INDEX(AA:AA, ROW()-1)
   )
   /SUM(INDEX(AA:AA, ROW()-COUNTIF($F$6:INDEX($F:$F, ROW()-1), $F517)) : INDEX(AA:AA, ROW()-1)),
   AVERAGEIFS(
     INDEX((unit_details[Asking Rent],unit_details[Asking PSF]),0,1,IF($U$3="Chunk Rent",1,2)),
     unit_details[Leased Date],"&gt;="&amp;($AM$2-X$5),
     unit_details[Leased Date],"&lt;"&amp;$AM$2,
     unit_details[Beds],$L518,
     unit_details[Baths],$M518,
     unit_details[Partial Baths],IF(ISNUMBER($N518),$N518,""),
     unit_details[Sqft],$P518,
     unit_details[Property Name],$F518)
 ),"")</f>
        <v/>
      </c>
      <c r="Y518" s="552" t="str">
        <f>IFERROR(
 IF($F518="Total",
   SUMPRODUCT(
   INDEX(Y:Y, ROW()-COUNTIF($F$6:INDEX($F:$F, ROW()-1), $F517)) : INDEX(Y:Y, ROW()-1),
   INDEX(AA:AA, ROW()-COUNTIF($F$6:INDEX($F:$F, ROW()-1), $F517)) : INDEX(AA:AA, ROW()-1)
   )
   /SUM(INDEX(AA:AA, ROW()-COUNTIF($F$6:INDEX($F:$F, ROW()-1), $F517)) : INDEX(AA:AA, ROW()-1)),
   AVERAGEIFS(
     INDEX((unit_details[Effective Rent],unit_details[Effective PSF]),0,1,IF($U$3="Chunk Rent",1,2)),
     unit_details[Leased Date],"&gt;="&amp;($AM$2-X$5),
     unit_details[Leased Date],"&lt;"&amp;$AM$2,
     unit_details[Beds],$L518,
     unit_details[Baths],$M518,
     unit_details[Partial Baths],IF(ISNUMBER($N518),$N518,""),
     unit_details[Sqft],$P518,
     unit_details[Property Name],$F518)
 ),"")</f>
        <v/>
      </c>
      <c r="Z518" s="27" t="str">
        <f t="shared" si="88"/>
        <v/>
      </c>
      <c r="AA518" s="526">
        <f>IFERROR(
  IF($F518="Total",
    SUM(INDEX(AA:AA, ROW()-COUNTIF($F$6:INDEX($F:$F, ROW()-1), $F517)) : INDEX(AA:AA, ROW()-1)),
    COUNTIFS(
      unit_details[Leased Date], "&gt;="&amp;($AM$2-X$5),
      unit_details[Leased Date], "&lt;"&amp;$AM$2,
      unit_details[Beds], $L518,
      unit_details[Baths], $M518,
      unit_details[Partial Baths], IF(ISNUMBER($N518), $N518, ""),
      unit_details[Sqft],$P518,
      unit_details[Property Name], $F518
    )
  ),
"")</f>
        <v>0</v>
      </c>
      <c r="AB518" s="290">
        <f>IF($F518="Total",
SUM(INDEX(AB:AB, ROW()-COUNTIF($F$6:INDEX($F:$F, ROW()-1), $F517)) : INDEX(AB:AB, ROW()-1)),
COUNTIFS(unit_details[Active Listing?],TRUE,
          unit_details[Property Name], $F518,
          unit_details[Beds], $L518,
          unit_details[Baths], $M518,
          unit_details[Partial Baths],IF(ISNUMBER($N518),$N518,""),
          unit_details[Sqft],$P518))</f>
        <v>0</v>
      </c>
      <c r="AC518" s="27" t="str">
        <f t="shared" si="80"/>
        <v/>
      </c>
      <c r="AD518" s="293" t="str">
        <f>IFERROR(IF(AE518="","",IF($F518="Total",
SUMPRODUCT(
   INDEX(AD:AD, ROW()-COUNTIF($F$6:INDEX($F:$F, ROW()-1), $F517)) : INDEX(AD:AD, ROW()-1),
   INDEX(AB:AB, ROW()-COUNTIF($F$6:INDEX($F:$F, ROW()-1), $F517)) : INDEX(AB:AB, ROW()-1)
   )
   /SUM(INDEX(AB:AB, ROW()-COUNTIF($F$6:INDEX($F:$F, ROW()-1), $F517)) : INDEX(AB:AB, ROW()-1)),
          _xlfn.MINIFS(unit_details[Asking Rent],
          unit_details[Active Listing?],TRUE,
          unit_details[Property Name], $F518,
          unit_details[Beds], $L518,
          unit_details[Baths], $M518,
          unit_details[Partial Baths], IF(ISNUMBER($N518),$N518,""),
          unit_details[Sqft],$P518
))),"")</f>
        <v/>
      </c>
      <c r="AE518" s="5" t="str">
        <f>IFERROR(IF($F518="Total",
          SUMPRODUCT(
   INDEX(AE:AE, ROW()-COUNTIF($F$6:INDEX($F:$F, ROW()-1), $F517)) : INDEX(AE:AE, ROW()-1),
   INDEX(AB:AB, ROW()-COUNTIF($F$6:INDEX($F:$F, ROW()-1), $F517)) : INDEX(AB:AB, ROW()-1)
   )
   /SUM(INDEX(AB:AB, ROW()-COUNTIF($F$6:INDEX($F:$F, ROW()-1), $F517)) : INDEX(AB:AB, ROW()-1)),
          AVERAGEIFS(unit_details[Asking Rent],
          unit_details[Active Listing?],TRUE,
          unit_details[Property Name], $F518,
          unit_details[Beds], $L518,
          unit_details[Baths], $M518,
          unit_details[Partial Baths], IF(ISNUMBER($N518),$N518,""),
          unit_details[Sqft],$P518
)),"")</f>
        <v/>
      </c>
      <c r="AF518" s="5" t="str">
        <f>IFERROR(IF(AE518="","",IF($F518="Total",
SUMPRODUCT(
   INDEX(AF:AF, ROW()-COUNTIF($F$6:INDEX($F:$F, ROW()-1), $F517)) : INDEX(AF:AF, ROW()-1),
   INDEX(AB:AB, ROW()-COUNTIF($F$6:INDEX($F:$F, ROW()-1), $F517)) : INDEX(AB:AB, ROW()-1)
   )
   /SUM(INDEX(AB:AB, ROW()-COUNTIF($F$6:INDEX($F:$F, ROW()-1), $F517)) : INDEX(AB:AB, ROW()-1)),
           _xlfn.MAXIFS(unit_details[Asking Rent],
          unit_details[Active Listing?],TRUE,
          unit_details[Property Name], $F518,
          unit_details[Beds], $L518,
          unit_details[Baths], $M518,
          unit_details[Partial Baths], IF(ISNUMBER($N518),$N518,""),
          unit_details[Sqft],$P518
))),"")</f>
        <v/>
      </c>
      <c r="AG518" s="6" t="str">
        <f>IFERROR(IF($F518="Total",
         SUMPRODUCT(
         INDEX(AG:AG, ROW()-COUNTIF($F$6:INDEX($F:$F, ROW()-1), $F517)) : INDEX(AG:AG, ROW()-1),
         INDEX(AB:AB, ROW()-COUNTIF($F$6:INDEX($F:$F, ROW()-1), $F517)) : INDEX(AB:AB, ROW()-1)
         )
         /SUM(INDEX(AB:AB, ROW()-COUNTIF($F$6:INDEX($F:$F, ROW()-1), $F517)) : INDEX(AB:AB, ROW()-1)),
          AVERAGEIFS(unit_details[Asking PSF],
          unit_details[Active Listing?],TRUE,
          unit_details[Property Name], $F518,
          unit_details[Beds], $L518,
          unit_details[Baths], $M518,
          unit_details[Partial Baths], IF(ISNUMBER($N518),$N518,""),
          unit_details[Sqft],$P518
)),"")</f>
        <v/>
      </c>
      <c r="AH518" s="293" t="str">
        <f>IFERROR(IF($F518="Total",
         SUMPRODUCT(
         INDEX(AH:AH, ROW()-COUNTIF($F$6:INDEX($F:$F, ROW()-1), $F517)) : INDEX(AH:AH, ROW()-1),
         INDEX(AB:AB, ROW()-COUNTIF($F$6:INDEX($F:$F, ROW()-1), $F517)) : INDEX(AB:AB, ROW()-1)
         )
         /SUM(INDEX(AB:AB, ROW()-COUNTIF($F$6:INDEX($F:$F, ROW()-1), $F517)) : INDEX(AB:AB, ROW()-1)),
          AVERAGEIFS(unit_details[Effective Rent],
          unit_details[Active Listing?],TRUE,
          unit_details[Property Name], $F518,
          unit_details[Beds], $L518,
          unit_details[Baths], $M518,
          unit_details[Partial Baths], IF(ISNUMBER($N518),$N518,""),
          unit_details[Sqft],$P518
)),"")</f>
        <v/>
      </c>
      <c r="AI518" s="6" t="str">
        <f>IFERROR(IF($F518="Total",
         SUMPRODUCT(
         INDEX(AI:AI, ROW()-COUNTIF($F$6:INDEX($F:$F, ROW()-1), $F517)) : INDEX(AI:AI, ROW()-1),
         INDEX(AB:AB, ROW()-COUNTIF($F$6:INDEX($F:$F, ROW()-1), $F517)) : INDEX(AB:AB, ROW()-1)
         )
         /SUM(INDEX(AB:AB, ROW()-COUNTIF($F$6:INDEX($F:$F, ROW()-1), $F517)) : INDEX(AB:AB, ROW()-1)),
           AVERAGEIFS(unit_details[Effective PSF],
          unit_details[Active Listing?],TRUE,
          unit_details[Property Name], $F518,
          unit_details[Beds], $L518,
          unit_details[Baths], $M518,
          unit_details[Partial Baths], IF(ISNUMBER($N518),$N518,""),
          unit_details[Sqft],$P518
)),"")</f>
        <v/>
      </c>
      <c r="AJ518" s="824" t="str">
        <f t="shared" si="81"/>
        <v/>
      </c>
      <c r="AK518" s="531" t="str">
        <f t="shared" si="82"/>
        <v/>
      </c>
      <c r="AL518" s="714" t="str">
        <f t="shared" si="83"/>
        <v/>
      </c>
      <c r="AM518" s="531" t="str">
        <f t="shared" si="84"/>
        <v/>
      </c>
      <c r="AN518" s="716" t="str">
        <f t="shared" si="85"/>
        <v/>
      </c>
    </row>
    <row r="519" spans="6:40" x14ac:dyDescent="0.2">
      <c r="F519" s="1" t="str">
        <f t="shared" ref="F519:F582" si="89">IF(RIGHT(K519,5)="Total","Total",IF(ISTEXT(K519),K519,IF(F518="Total","",F518)))</f>
        <v/>
      </c>
      <c r="G519" s="713" t="str">
        <f t="shared" si="86"/>
        <v/>
      </c>
      <c r="H519" s="17" t="str">
        <f>IFERROR(VLOOKUP($G519,Table1[[Property]:[Exposure %]],4,0),"")</f>
        <v/>
      </c>
      <c r="I519" s="3" t="str">
        <f>IFERROR(VLOOKUP($G519,Table1[[Property]:[Exposure %]],6,0),"")</f>
        <v/>
      </c>
      <c r="J519" s="3" t="str">
        <f>IFERROR(VLOOKUP($G519,Table1[[Property]:[Exposure %]],7,0),"")</f>
        <v/>
      </c>
      <c r="R519" s="4" t="str">
        <f>IFERROR(VLOOKUP(IF(F519="Total",F518,F519),Table1[[Property]:['# Units]],7,0)*S519,"")</f>
        <v/>
      </c>
      <c r="S519" s="27" t="str">
        <f t="shared" ref="S519:S582" si="90">IF(Q519=0,"",Q519)</f>
        <v/>
      </c>
      <c r="T519" s="531" t="str">
        <f>IFERROR(
 IF($F519="Total",
   SUMPRODUCT(
   INDEX(T:T, ROW()-COUNTIF($F$6:INDEX($F:$F, ROW()-1), $F518)) : INDEX(T:T, ROW()-1),
   INDEX(W:W, ROW()-COUNTIF($F$6:INDEX($F:$F, ROW()-1), $F518)) : INDEX(W:W, ROW()-1)
   )
   /SUM(INDEX(W:W, ROW()-COUNTIF($F$6:INDEX($F:$F, ROW()-1), $F518)) : INDEX(W:W, ROW()-1)),
   AVERAGEIFS(
     INDEX((unit_details[Asking Rent],unit_details[Asking PSF]),0,1,IF($U$3="Chunk Rent",1,2)),
     unit_details[Leased Date],"&gt;="&amp;($AM$2-T$5),
     unit_details[Leased Date],"&lt;"&amp;$AM$2,
     unit_details[Beds],$L519,
     unit_details[Baths],$M519,
     unit_details[Partial Baths],IF(ISNUMBER($N519),$N519,""),
     unit_details[Sqft],$P519,
     unit_details[Property Name],$F519)
 ),"")</f>
        <v/>
      </c>
      <c r="U519" s="552" t="str">
        <f>IFERROR(
 IF($F519="Total",
   SUMPRODUCT(
   INDEX(U:U, ROW()-COUNTIF($F$6:INDEX($F:$F, ROW()-1), $F518)) : INDEX(U:U, ROW()-1),
   INDEX(W:W, ROW()-COUNTIF($F$6:INDEX($F:$F, ROW()-1), $F518)) : INDEX(W:W, ROW()-1)
   )
   /SUM(INDEX(W:W, ROW()-COUNTIF($F$6:INDEX($F:$F, ROW()-1), $F518)) : INDEX(W:W, ROW()-1)),
   AVERAGEIFS(
     INDEX((unit_details[Effective Rent],unit_details[Effective PSF]),0,1,IF($U$3="Chunk Rent",1,2)),
     unit_details[Leased Date],"&gt;="&amp;($AM$2-T$5),
     unit_details[Leased Date],"&lt;"&amp;$AM$2,
     unit_details[Beds],$L519,
     unit_details[Baths],$M519,
     unit_details[Partial Baths],IF(ISNUMBER($N519),$N519,""),
     unit_details[Sqft],$P519,
     unit_details[Property Name],$F519)
 ),"")</f>
        <v/>
      </c>
      <c r="V519" s="27" t="str">
        <f t="shared" si="87"/>
        <v/>
      </c>
      <c r="W519" s="526">
        <f>IFERROR(
  IF($F519="Total",
    SUM(INDEX(W:W, ROW()-COUNTIF($F$6:INDEX($F:$F, ROW()-1), $F518)) : INDEX(W:W, ROW()-1)),
    COUNTIFS(
      unit_details[Leased Date], "&gt;="&amp;($AM$2-T$5),
      unit_details[Leased Date], "&lt;"&amp;$AM$2,
      unit_details[Beds], $L519,
      unit_details[Baths], $M519,
      unit_details[Partial Baths], IF(ISNUMBER($N519), $N519, ""),
      unit_details[Sqft],$P519,
      unit_details[Property Name], $F519
    )
  ),
"")</f>
        <v>0</v>
      </c>
      <c r="X519" s="531" t="str">
        <f>IFERROR(
 IF($F519="Total",
   SUMPRODUCT(
   INDEX(X:X, ROW()-COUNTIF($F$6:INDEX($F:$F, ROW()-1), $F518)) : INDEX(X:X, ROW()-1),
   INDEX(AA:AA, ROW()-COUNTIF($F$6:INDEX($F:$F, ROW()-1), $F518)) : INDEX(AA:AA, ROW()-1)
   )
   /SUM(INDEX(AA:AA, ROW()-COUNTIF($F$6:INDEX($F:$F, ROW()-1), $F518)) : INDEX(AA:AA, ROW()-1)),
   AVERAGEIFS(
     INDEX((unit_details[Asking Rent],unit_details[Asking PSF]),0,1,IF($U$3="Chunk Rent",1,2)),
     unit_details[Leased Date],"&gt;="&amp;($AM$2-X$5),
     unit_details[Leased Date],"&lt;"&amp;$AM$2,
     unit_details[Beds],$L519,
     unit_details[Baths],$M519,
     unit_details[Partial Baths],IF(ISNUMBER($N519),$N519,""),
     unit_details[Sqft],$P519,
     unit_details[Property Name],$F519)
 ),"")</f>
        <v/>
      </c>
      <c r="Y519" s="552" t="str">
        <f>IFERROR(
 IF($F519="Total",
   SUMPRODUCT(
   INDEX(Y:Y, ROW()-COUNTIF($F$6:INDEX($F:$F, ROW()-1), $F518)) : INDEX(Y:Y, ROW()-1),
   INDEX(AA:AA, ROW()-COUNTIF($F$6:INDEX($F:$F, ROW()-1), $F518)) : INDEX(AA:AA, ROW()-1)
   )
   /SUM(INDEX(AA:AA, ROW()-COUNTIF($F$6:INDEX($F:$F, ROW()-1), $F518)) : INDEX(AA:AA, ROW()-1)),
   AVERAGEIFS(
     INDEX((unit_details[Effective Rent],unit_details[Effective PSF]),0,1,IF($U$3="Chunk Rent",1,2)),
     unit_details[Leased Date],"&gt;="&amp;($AM$2-X$5),
     unit_details[Leased Date],"&lt;"&amp;$AM$2,
     unit_details[Beds],$L519,
     unit_details[Baths],$M519,
     unit_details[Partial Baths],IF(ISNUMBER($N519),$N519,""),
     unit_details[Sqft],$P519,
     unit_details[Property Name],$F519)
 ),"")</f>
        <v/>
      </c>
      <c r="Z519" s="27" t="str">
        <f t="shared" si="88"/>
        <v/>
      </c>
      <c r="AA519" s="526">
        <f>IFERROR(
  IF($F519="Total",
    SUM(INDEX(AA:AA, ROW()-COUNTIF($F$6:INDEX($F:$F, ROW()-1), $F518)) : INDEX(AA:AA, ROW()-1)),
    COUNTIFS(
      unit_details[Leased Date], "&gt;="&amp;($AM$2-X$5),
      unit_details[Leased Date], "&lt;"&amp;$AM$2,
      unit_details[Beds], $L519,
      unit_details[Baths], $M519,
      unit_details[Partial Baths], IF(ISNUMBER($N519), $N519, ""),
      unit_details[Sqft],$P519,
      unit_details[Property Name], $F519
    )
  ),
"")</f>
        <v>0</v>
      </c>
      <c r="AB519" s="290">
        <f>IF($F519="Total",
SUM(INDEX(AB:AB, ROW()-COUNTIF($F$6:INDEX($F:$F, ROW()-1), $F518)) : INDEX(AB:AB, ROW()-1)),
COUNTIFS(unit_details[Active Listing?],TRUE,
          unit_details[Property Name], $F519,
          unit_details[Beds], $L519,
          unit_details[Baths], $M519,
          unit_details[Partial Baths],IF(ISNUMBER($N519),$N519,""),
          unit_details[Sqft],$P519))</f>
        <v>0</v>
      </c>
      <c r="AC519" s="27" t="str">
        <f t="shared" ref="AC519:AC582" si="91">IFERROR(AB519/R519,"")</f>
        <v/>
      </c>
      <c r="AD519" s="293" t="str">
        <f>IFERROR(IF(AE519="","",IF($F519="Total",
SUMPRODUCT(
   INDEX(AD:AD, ROW()-COUNTIF($F$6:INDEX($F:$F, ROW()-1), $F518)) : INDEX(AD:AD, ROW()-1),
   INDEX(AB:AB, ROW()-COUNTIF($F$6:INDEX($F:$F, ROW()-1), $F518)) : INDEX(AB:AB, ROW()-1)
   )
   /SUM(INDEX(AB:AB, ROW()-COUNTIF($F$6:INDEX($F:$F, ROW()-1), $F518)) : INDEX(AB:AB, ROW()-1)),
          _xlfn.MINIFS(unit_details[Asking Rent],
          unit_details[Active Listing?],TRUE,
          unit_details[Property Name], $F519,
          unit_details[Beds], $L519,
          unit_details[Baths], $M519,
          unit_details[Partial Baths], IF(ISNUMBER($N519),$N519,""),
          unit_details[Sqft],$P519
))),"")</f>
        <v/>
      </c>
      <c r="AE519" s="5" t="str">
        <f>IFERROR(IF($F519="Total",
          SUMPRODUCT(
   INDEX(AE:AE, ROW()-COUNTIF($F$6:INDEX($F:$F, ROW()-1), $F518)) : INDEX(AE:AE, ROW()-1),
   INDEX(AB:AB, ROW()-COUNTIF($F$6:INDEX($F:$F, ROW()-1), $F518)) : INDEX(AB:AB, ROW()-1)
   )
   /SUM(INDEX(AB:AB, ROW()-COUNTIF($F$6:INDEX($F:$F, ROW()-1), $F518)) : INDEX(AB:AB, ROW()-1)),
          AVERAGEIFS(unit_details[Asking Rent],
          unit_details[Active Listing?],TRUE,
          unit_details[Property Name], $F519,
          unit_details[Beds], $L519,
          unit_details[Baths], $M519,
          unit_details[Partial Baths], IF(ISNUMBER($N519),$N519,""),
          unit_details[Sqft],$P519
)),"")</f>
        <v/>
      </c>
      <c r="AF519" s="5" t="str">
        <f>IFERROR(IF(AE519="","",IF($F519="Total",
SUMPRODUCT(
   INDEX(AF:AF, ROW()-COUNTIF($F$6:INDEX($F:$F, ROW()-1), $F518)) : INDEX(AF:AF, ROW()-1),
   INDEX(AB:AB, ROW()-COUNTIF($F$6:INDEX($F:$F, ROW()-1), $F518)) : INDEX(AB:AB, ROW()-1)
   )
   /SUM(INDEX(AB:AB, ROW()-COUNTIF($F$6:INDEX($F:$F, ROW()-1), $F518)) : INDEX(AB:AB, ROW()-1)),
           _xlfn.MAXIFS(unit_details[Asking Rent],
          unit_details[Active Listing?],TRUE,
          unit_details[Property Name], $F519,
          unit_details[Beds], $L519,
          unit_details[Baths], $M519,
          unit_details[Partial Baths], IF(ISNUMBER($N519),$N519,""),
          unit_details[Sqft],$P519
))),"")</f>
        <v/>
      </c>
      <c r="AG519" s="6" t="str">
        <f>IFERROR(IF($F519="Total",
         SUMPRODUCT(
         INDEX(AG:AG, ROW()-COUNTIF($F$6:INDEX($F:$F, ROW()-1), $F518)) : INDEX(AG:AG, ROW()-1),
         INDEX(AB:AB, ROW()-COUNTIF($F$6:INDEX($F:$F, ROW()-1), $F518)) : INDEX(AB:AB, ROW()-1)
         )
         /SUM(INDEX(AB:AB, ROW()-COUNTIF($F$6:INDEX($F:$F, ROW()-1), $F518)) : INDEX(AB:AB, ROW()-1)),
          AVERAGEIFS(unit_details[Asking PSF],
          unit_details[Active Listing?],TRUE,
          unit_details[Property Name], $F519,
          unit_details[Beds], $L519,
          unit_details[Baths], $M519,
          unit_details[Partial Baths], IF(ISNUMBER($N519),$N519,""),
          unit_details[Sqft],$P519
)),"")</f>
        <v/>
      </c>
      <c r="AH519" s="293" t="str">
        <f>IFERROR(IF($F519="Total",
         SUMPRODUCT(
         INDEX(AH:AH, ROW()-COUNTIF($F$6:INDEX($F:$F, ROW()-1), $F518)) : INDEX(AH:AH, ROW()-1),
         INDEX(AB:AB, ROW()-COUNTIF($F$6:INDEX($F:$F, ROW()-1), $F518)) : INDEX(AB:AB, ROW()-1)
         )
         /SUM(INDEX(AB:AB, ROW()-COUNTIF($F$6:INDEX($F:$F, ROW()-1), $F518)) : INDEX(AB:AB, ROW()-1)),
          AVERAGEIFS(unit_details[Effective Rent],
          unit_details[Active Listing?],TRUE,
          unit_details[Property Name], $F519,
          unit_details[Beds], $L519,
          unit_details[Baths], $M519,
          unit_details[Partial Baths], IF(ISNUMBER($N519),$N519,""),
          unit_details[Sqft],$P519
)),"")</f>
        <v/>
      </c>
      <c r="AI519" s="6" t="str">
        <f>IFERROR(IF($F519="Total",
         SUMPRODUCT(
         INDEX(AI:AI, ROW()-COUNTIF($F$6:INDEX($F:$F, ROW()-1), $F518)) : INDEX(AI:AI, ROW()-1),
         INDEX(AB:AB, ROW()-COUNTIF($F$6:INDEX($F:$F, ROW()-1), $F518)) : INDEX(AB:AB, ROW()-1)
         )
         /SUM(INDEX(AB:AB, ROW()-COUNTIF($F$6:INDEX($F:$F, ROW()-1), $F518)) : INDEX(AB:AB, ROW()-1)),
           AVERAGEIFS(unit_details[Effective PSF],
          unit_details[Active Listing?],TRUE,
          unit_details[Property Name], $F519,
          unit_details[Beds], $L519,
          unit_details[Baths], $M519,
          unit_details[Partial Baths], IF(ISNUMBER($N519),$N519,""),
          unit_details[Sqft],$P519
)),"")</f>
        <v/>
      </c>
      <c r="AJ519" s="824" t="str">
        <f t="shared" ref="AJ519:AJ582" si="92">IFERROR((AE519-AH519)/AE519,"")</f>
        <v/>
      </c>
      <c r="AK519" s="531" t="str">
        <f t="shared" ref="AK519:AK582" si="93">IFERROR(
IF(AND($AM$3="Asking Rent",$U$3="Chunk Rent"),$AE519-$T519,
IF(AND($AM$3="Effective Rent",$U$3="Chunk Rent"),$AH519-$U519,
IF(AND($AM$3="Asking Rent",$U$3="Rent PSF"),$AG519-$T519,$AI519-$U519))),"")</f>
        <v/>
      </c>
      <c r="AL519" s="714" t="str">
        <f t="shared" ref="AL519:AL582" si="94">IFERROR(AK519/(IF($AM$3="Asking Rent",T519,U519)),"")</f>
        <v/>
      </c>
      <c r="AM519" s="531" t="str">
        <f t="shared" ref="AM519:AM582" si="95">IFERROR(
IF(AND($AM$3="Asking Rent",$U$3="Chunk Rent"),$AE519-$X519,
IF(AND($AM$3="Effective Rent",$U$3="Chunk Rent"),$AH519-$Y519,
IF(AND($AM$3="Asking Rent",$U$3="Rent PSF"),$AG519-$X519,$AI519-$Y519))),"")</f>
        <v/>
      </c>
      <c r="AN519" s="716" t="str">
        <f t="shared" ref="AN519:AN582" si="96">IFERROR(AM519/(IF($AM$3="Asking Rent",X519,Y519)),"")</f>
        <v/>
      </c>
    </row>
    <row r="520" spans="6:40" x14ac:dyDescent="0.2">
      <c r="F520" s="1" t="str">
        <f t="shared" si="89"/>
        <v/>
      </c>
      <c r="G520" s="713" t="str">
        <f t="shared" ref="G520:G583" si="97">IF(F520=F519,"",F520)</f>
        <v/>
      </c>
      <c r="H520" s="17" t="str">
        <f>IFERROR(VLOOKUP($G520,Table1[[Property]:[Exposure %]],4,0),"")</f>
        <v/>
      </c>
      <c r="I520" s="3" t="str">
        <f>IFERROR(VLOOKUP($G520,Table1[[Property]:[Exposure %]],6,0),"")</f>
        <v/>
      </c>
      <c r="J520" s="3" t="str">
        <f>IFERROR(VLOOKUP($G520,Table1[[Property]:[Exposure %]],7,0),"")</f>
        <v/>
      </c>
      <c r="R520" s="4" t="str">
        <f>IFERROR(VLOOKUP(IF(F520="Total",F519,F520),Table1[[Property]:['# Units]],7,0)*S520,"")</f>
        <v/>
      </c>
      <c r="S520" s="27" t="str">
        <f t="shared" si="90"/>
        <v/>
      </c>
      <c r="T520" s="531" t="str">
        <f>IFERROR(
 IF($F520="Total",
   SUMPRODUCT(
   INDEX(T:T, ROW()-COUNTIF($F$6:INDEX($F:$F, ROW()-1), $F519)) : INDEX(T:T, ROW()-1),
   INDEX(W:W, ROW()-COUNTIF($F$6:INDEX($F:$F, ROW()-1), $F519)) : INDEX(W:W, ROW()-1)
   )
   /SUM(INDEX(W:W, ROW()-COUNTIF($F$6:INDEX($F:$F, ROW()-1), $F519)) : INDEX(W:W, ROW()-1)),
   AVERAGEIFS(
     INDEX((unit_details[Asking Rent],unit_details[Asking PSF]),0,1,IF($U$3="Chunk Rent",1,2)),
     unit_details[Leased Date],"&gt;="&amp;($AM$2-T$5),
     unit_details[Leased Date],"&lt;"&amp;$AM$2,
     unit_details[Beds],$L520,
     unit_details[Baths],$M520,
     unit_details[Partial Baths],IF(ISNUMBER($N520),$N520,""),
     unit_details[Sqft],$P520,
     unit_details[Property Name],$F520)
 ),"")</f>
        <v/>
      </c>
      <c r="U520" s="552" t="str">
        <f>IFERROR(
 IF($F520="Total",
   SUMPRODUCT(
   INDEX(U:U, ROW()-COUNTIF($F$6:INDEX($F:$F, ROW()-1), $F519)) : INDEX(U:U, ROW()-1),
   INDEX(W:W, ROW()-COUNTIF($F$6:INDEX($F:$F, ROW()-1), $F519)) : INDEX(W:W, ROW()-1)
   )
   /SUM(INDEX(W:W, ROW()-COUNTIF($F$6:INDEX($F:$F, ROW()-1), $F519)) : INDEX(W:W, ROW()-1)),
   AVERAGEIFS(
     INDEX((unit_details[Effective Rent],unit_details[Effective PSF]),0,1,IF($U$3="Chunk Rent",1,2)),
     unit_details[Leased Date],"&gt;="&amp;($AM$2-T$5),
     unit_details[Leased Date],"&lt;"&amp;$AM$2,
     unit_details[Beds],$L520,
     unit_details[Baths],$M520,
     unit_details[Partial Baths],IF(ISNUMBER($N520),$N520,""),
     unit_details[Sqft],$P520,
     unit_details[Property Name],$F520)
 ),"")</f>
        <v/>
      </c>
      <c r="V520" s="27" t="str">
        <f t="shared" ref="V520:V583" si="98">IFERROR(IF((T520-U520)/T520=0,"",(T520-U520)/T520),"")</f>
        <v/>
      </c>
      <c r="W520" s="526">
        <f>IFERROR(
  IF($F520="Total",
    SUM(INDEX(W:W, ROW()-COUNTIF($F$6:INDEX($F:$F, ROW()-1), $F519)) : INDEX(W:W, ROW()-1)),
    COUNTIFS(
      unit_details[Leased Date], "&gt;="&amp;($AM$2-T$5),
      unit_details[Leased Date], "&lt;"&amp;$AM$2,
      unit_details[Beds], $L520,
      unit_details[Baths], $M520,
      unit_details[Partial Baths], IF(ISNUMBER($N520), $N520, ""),
      unit_details[Sqft],$P520,
      unit_details[Property Name], $F520
    )
  ),
"")</f>
        <v>0</v>
      </c>
      <c r="X520" s="531" t="str">
        <f>IFERROR(
 IF($F520="Total",
   SUMPRODUCT(
   INDEX(X:X, ROW()-COUNTIF($F$6:INDEX($F:$F, ROW()-1), $F519)) : INDEX(X:X, ROW()-1),
   INDEX(AA:AA, ROW()-COUNTIF($F$6:INDEX($F:$F, ROW()-1), $F519)) : INDEX(AA:AA, ROW()-1)
   )
   /SUM(INDEX(AA:AA, ROW()-COUNTIF($F$6:INDEX($F:$F, ROW()-1), $F519)) : INDEX(AA:AA, ROW()-1)),
   AVERAGEIFS(
     INDEX((unit_details[Asking Rent],unit_details[Asking PSF]),0,1,IF($U$3="Chunk Rent",1,2)),
     unit_details[Leased Date],"&gt;="&amp;($AM$2-X$5),
     unit_details[Leased Date],"&lt;"&amp;$AM$2,
     unit_details[Beds],$L520,
     unit_details[Baths],$M520,
     unit_details[Partial Baths],IF(ISNUMBER($N520),$N520,""),
     unit_details[Sqft],$P520,
     unit_details[Property Name],$F520)
 ),"")</f>
        <v/>
      </c>
      <c r="Y520" s="552" t="str">
        <f>IFERROR(
 IF($F520="Total",
   SUMPRODUCT(
   INDEX(Y:Y, ROW()-COUNTIF($F$6:INDEX($F:$F, ROW()-1), $F519)) : INDEX(Y:Y, ROW()-1),
   INDEX(AA:AA, ROW()-COUNTIF($F$6:INDEX($F:$F, ROW()-1), $F519)) : INDEX(AA:AA, ROW()-1)
   )
   /SUM(INDEX(AA:AA, ROW()-COUNTIF($F$6:INDEX($F:$F, ROW()-1), $F519)) : INDEX(AA:AA, ROW()-1)),
   AVERAGEIFS(
     INDEX((unit_details[Effective Rent],unit_details[Effective PSF]),0,1,IF($U$3="Chunk Rent",1,2)),
     unit_details[Leased Date],"&gt;="&amp;($AM$2-X$5),
     unit_details[Leased Date],"&lt;"&amp;$AM$2,
     unit_details[Beds],$L520,
     unit_details[Baths],$M520,
     unit_details[Partial Baths],IF(ISNUMBER($N520),$N520,""),
     unit_details[Sqft],$P520,
     unit_details[Property Name],$F520)
 ),"")</f>
        <v/>
      </c>
      <c r="Z520" s="27" t="str">
        <f t="shared" ref="Z520:Z583" si="99">IFERROR(IF((X520-Y520)/X520=0,"",(X520-Y520)/X520),"")</f>
        <v/>
      </c>
      <c r="AA520" s="526">
        <f>IFERROR(
  IF($F520="Total",
    SUM(INDEX(AA:AA, ROW()-COUNTIF($F$6:INDEX($F:$F, ROW()-1), $F519)) : INDEX(AA:AA, ROW()-1)),
    COUNTIFS(
      unit_details[Leased Date], "&gt;="&amp;($AM$2-X$5),
      unit_details[Leased Date], "&lt;"&amp;$AM$2,
      unit_details[Beds], $L520,
      unit_details[Baths], $M520,
      unit_details[Partial Baths], IF(ISNUMBER($N520), $N520, ""),
      unit_details[Sqft],$P520,
      unit_details[Property Name], $F520
    )
  ),
"")</f>
        <v>0</v>
      </c>
      <c r="AB520" s="290">
        <f>IF($F520="Total",
SUM(INDEX(AB:AB, ROW()-COUNTIF($F$6:INDEX($F:$F, ROW()-1), $F519)) : INDEX(AB:AB, ROW()-1)),
COUNTIFS(unit_details[Active Listing?],TRUE,
          unit_details[Property Name], $F520,
          unit_details[Beds], $L520,
          unit_details[Baths], $M520,
          unit_details[Partial Baths],IF(ISNUMBER($N520),$N520,""),
          unit_details[Sqft],$P520))</f>
        <v>0</v>
      </c>
      <c r="AC520" s="27" t="str">
        <f t="shared" si="91"/>
        <v/>
      </c>
      <c r="AD520" s="293" t="str">
        <f>IFERROR(IF(AE520="","",IF($F520="Total",
SUMPRODUCT(
   INDEX(AD:AD, ROW()-COUNTIF($F$6:INDEX($F:$F, ROW()-1), $F519)) : INDEX(AD:AD, ROW()-1),
   INDEX(AB:AB, ROW()-COUNTIF($F$6:INDEX($F:$F, ROW()-1), $F519)) : INDEX(AB:AB, ROW()-1)
   )
   /SUM(INDEX(AB:AB, ROW()-COUNTIF($F$6:INDEX($F:$F, ROW()-1), $F519)) : INDEX(AB:AB, ROW()-1)),
          _xlfn.MINIFS(unit_details[Asking Rent],
          unit_details[Active Listing?],TRUE,
          unit_details[Property Name], $F520,
          unit_details[Beds], $L520,
          unit_details[Baths], $M520,
          unit_details[Partial Baths], IF(ISNUMBER($N520),$N520,""),
          unit_details[Sqft],$P520
))),"")</f>
        <v/>
      </c>
      <c r="AE520" s="5" t="str">
        <f>IFERROR(IF($F520="Total",
          SUMPRODUCT(
   INDEX(AE:AE, ROW()-COUNTIF($F$6:INDEX($F:$F, ROW()-1), $F519)) : INDEX(AE:AE, ROW()-1),
   INDEX(AB:AB, ROW()-COUNTIF($F$6:INDEX($F:$F, ROW()-1), $F519)) : INDEX(AB:AB, ROW()-1)
   )
   /SUM(INDEX(AB:AB, ROW()-COUNTIF($F$6:INDEX($F:$F, ROW()-1), $F519)) : INDEX(AB:AB, ROW()-1)),
          AVERAGEIFS(unit_details[Asking Rent],
          unit_details[Active Listing?],TRUE,
          unit_details[Property Name], $F520,
          unit_details[Beds], $L520,
          unit_details[Baths], $M520,
          unit_details[Partial Baths], IF(ISNUMBER($N520),$N520,""),
          unit_details[Sqft],$P520
)),"")</f>
        <v/>
      </c>
      <c r="AF520" s="5" t="str">
        <f>IFERROR(IF(AE520="","",IF($F520="Total",
SUMPRODUCT(
   INDEX(AF:AF, ROW()-COUNTIF($F$6:INDEX($F:$F, ROW()-1), $F519)) : INDEX(AF:AF, ROW()-1),
   INDEX(AB:AB, ROW()-COUNTIF($F$6:INDEX($F:$F, ROW()-1), $F519)) : INDEX(AB:AB, ROW()-1)
   )
   /SUM(INDEX(AB:AB, ROW()-COUNTIF($F$6:INDEX($F:$F, ROW()-1), $F519)) : INDEX(AB:AB, ROW()-1)),
           _xlfn.MAXIFS(unit_details[Asking Rent],
          unit_details[Active Listing?],TRUE,
          unit_details[Property Name], $F520,
          unit_details[Beds], $L520,
          unit_details[Baths], $M520,
          unit_details[Partial Baths], IF(ISNUMBER($N520),$N520,""),
          unit_details[Sqft],$P520
))),"")</f>
        <v/>
      </c>
      <c r="AG520" s="6" t="str">
        <f>IFERROR(IF($F520="Total",
         SUMPRODUCT(
         INDEX(AG:AG, ROW()-COUNTIF($F$6:INDEX($F:$F, ROW()-1), $F519)) : INDEX(AG:AG, ROW()-1),
         INDEX(AB:AB, ROW()-COUNTIF($F$6:INDEX($F:$F, ROW()-1), $F519)) : INDEX(AB:AB, ROW()-1)
         )
         /SUM(INDEX(AB:AB, ROW()-COUNTIF($F$6:INDEX($F:$F, ROW()-1), $F519)) : INDEX(AB:AB, ROW()-1)),
          AVERAGEIFS(unit_details[Asking PSF],
          unit_details[Active Listing?],TRUE,
          unit_details[Property Name], $F520,
          unit_details[Beds], $L520,
          unit_details[Baths], $M520,
          unit_details[Partial Baths], IF(ISNUMBER($N520),$N520,""),
          unit_details[Sqft],$P520
)),"")</f>
        <v/>
      </c>
      <c r="AH520" s="293" t="str">
        <f>IFERROR(IF($F520="Total",
         SUMPRODUCT(
         INDEX(AH:AH, ROW()-COUNTIF($F$6:INDEX($F:$F, ROW()-1), $F519)) : INDEX(AH:AH, ROW()-1),
         INDEX(AB:AB, ROW()-COUNTIF($F$6:INDEX($F:$F, ROW()-1), $F519)) : INDEX(AB:AB, ROW()-1)
         )
         /SUM(INDEX(AB:AB, ROW()-COUNTIF($F$6:INDEX($F:$F, ROW()-1), $F519)) : INDEX(AB:AB, ROW()-1)),
          AVERAGEIFS(unit_details[Effective Rent],
          unit_details[Active Listing?],TRUE,
          unit_details[Property Name], $F520,
          unit_details[Beds], $L520,
          unit_details[Baths], $M520,
          unit_details[Partial Baths], IF(ISNUMBER($N520),$N520,""),
          unit_details[Sqft],$P520
)),"")</f>
        <v/>
      </c>
      <c r="AI520" s="6" t="str">
        <f>IFERROR(IF($F520="Total",
         SUMPRODUCT(
         INDEX(AI:AI, ROW()-COUNTIF($F$6:INDEX($F:$F, ROW()-1), $F519)) : INDEX(AI:AI, ROW()-1),
         INDEX(AB:AB, ROW()-COUNTIF($F$6:INDEX($F:$F, ROW()-1), $F519)) : INDEX(AB:AB, ROW()-1)
         )
         /SUM(INDEX(AB:AB, ROW()-COUNTIF($F$6:INDEX($F:$F, ROW()-1), $F519)) : INDEX(AB:AB, ROW()-1)),
           AVERAGEIFS(unit_details[Effective PSF],
          unit_details[Active Listing?],TRUE,
          unit_details[Property Name], $F520,
          unit_details[Beds], $L520,
          unit_details[Baths], $M520,
          unit_details[Partial Baths], IF(ISNUMBER($N520),$N520,""),
          unit_details[Sqft],$P520
)),"")</f>
        <v/>
      </c>
      <c r="AJ520" s="824" t="str">
        <f t="shared" si="92"/>
        <v/>
      </c>
      <c r="AK520" s="531" t="str">
        <f t="shared" si="93"/>
        <v/>
      </c>
      <c r="AL520" s="714" t="str">
        <f t="shared" si="94"/>
        <v/>
      </c>
      <c r="AM520" s="531" t="str">
        <f t="shared" si="95"/>
        <v/>
      </c>
      <c r="AN520" s="716" t="str">
        <f t="shared" si="96"/>
        <v/>
      </c>
    </row>
    <row r="521" spans="6:40" x14ac:dyDescent="0.2">
      <c r="F521" s="1" t="str">
        <f t="shared" si="89"/>
        <v/>
      </c>
      <c r="G521" s="713" t="str">
        <f t="shared" si="97"/>
        <v/>
      </c>
      <c r="H521" s="17" t="str">
        <f>IFERROR(VLOOKUP($G521,Table1[[Property]:[Exposure %]],4,0),"")</f>
        <v/>
      </c>
      <c r="I521" s="3" t="str">
        <f>IFERROR(VLOOKUP($G521,Table1[[Property]:[Exposure %]],6,0),"")</f>
        <v/>
      </c>
      <c r="J521" s="3" t="str">
        <f>IFERROR(VLOOKUP($G521,Table1[[Property]:[Exposure %]],7,0),"")</f>
        <v/>
      </c>
      <c r="R521" s="4" t="str">
        <f>IFERROR(VLOOKUP(IF(F521="Total",F520,F521),Table1[[Property]:['# Units]],7,0)*S521,"")</f>
        <v/>
      </c>
      <c r="S521" s="27" t="str">
        <f t="shared" si="90"/>
        <v/>
      </c>
      <c r="T521" s="531" t="str">
        <f>IFERROR(
 IF($F521="Total",
   SUMPRODUCT(
   INDEX(T:T, ROW()-COUNTIF($F$6:INDEX($F:$F, ROW()-1), $F520)) : INDEX(T:T, ROW()-1),
   INDEX(W:W, ROW()-COUNTIF($F$6:INDEX($F:$F, ROW()-1), $F520)) : INDEX(W:W, ROW()-1)
   )
   /SUM(INDEX(W:W, ROW()-COUNTIF($F$6:INDEX($F:$F, ROW()-1), $F520)) : INDEX(W:W, ROW()-1)),
   AVERAGEIFS(
     INDEX((unit_details[Asking Rent],unit_details[Asking PSF]),0,1,IF($U$3="Chunk Rent",1,2)),
     unit_details[Leased Date],"&gt;="&amp;($AM$2-T$5),
     unit_details[Leased Date],"&lt;"&amp;$AM$2,
     unit_details[Beds],$L521,
     unit_details[Baths],$M521,
     unit_details[Partial Baths],IF(ISNUMBER($N521),$N521,""),
     unit_details[Sqft],$P521,
     unit_details[Property Name],$F521)
 ),"")</f>
        <v/>
      </c>
      <c r="U521" s="552" t="str">
        <f>IFERROR(
 IF($F521="Total",
   SUMPRODUCT(
   INDEX(U:U, ROW()-COUNTIF($F$6:INDEX($F:$F, ROW()-1), $F520)) : INDEX(U:U, ROW()-1),
   INDEX(W:W, ROW()-COUNTIF($F$6:INDEX($F:$F, ROW()-1), $F520)) : INDEX(W:W, ROW()-1)
   )
   /SUM(INDEX(W:W, ROW()-COUNTIF($F$6:INDEX($F:$F, ROW()-1), $F520)) : INDEX(W:W, ROW()-1)),
   AVERAGEIFS(
     INDEX((unit_details[Effective Rent],unit_details[Effective PSF]),0,1,IF($U$3="Chunk Rent",1,2)),
     unit_details[Leased Date],"&gt;="&amp;($AM$2-T$5),
     unit_details[Leased Date],"&lt;"&amp;$AM$2,
     unit_details[Beds],$L521,
     unit_details[Baths],$M521,
     unit_details[Partial Baths],IF(ISNUMBER($N521),$N521,""),
     unit_details[Sqft],$P521,
     unit_details[Property Name],$F521)
 ),"")</f>
        <v/>
      </c>
      <c r="V521" s="27" t="str">
        <f t="shared" si="98"/>
        <v/>
      </c>
      <c r="W521" s="526">
        <f>IFERROR(
  IF($F521="Total",
    SUM(INDEX(W:W, ROW()-COUNTIF($F$6:INDEX($F:$F, ROW()-1), $F520)) : INDEX(W:W, ROW()-1)),
    COUNTIFS(
      unit_details[Leased Date], "&gt;="&amp;($AM$2-T$5),
      unit_details[Leased Date], "&lt;"&amp;$AM$2,
      unit_details[Beds], $L521,
      unit_details[Baths], $M521,
      unit_details[Partial Baths], IF(ISNUMBER($N521), $N521, ""),
      unit_details[Sqft],$P521,
      unit_details[Property Name], $F521
    )
  ),
"")</f>
        <v>0</v>
      </c>
      <c r="X521" s="531" t="str">
        <f>IFERROR(
 IF($F521="Total",
   SUMPRODUCT(
   INDEX(X:X, ROW()-COUNTIF($F$6:INDEX($F:$F, ROW()-1), $F520)) : INDEX(X:X, ROW()-1),
   INDEX(AA:AA, ROW()-COUNTIF($F$6:INDEX($F:$F, ROW()-1), $F520)) : INDEX(AA:AA, ROW()-1)
   )
   /SUM(INDEX(AA:AA, ROW()-COUNTIF($F$6:INDEX($F:$F, ROW()-1), $F520)) : INDEX(AA:AA, ROW()-1)),
   AVERAGEIFS(
     INDEX((unit_details[Asking Rent],unit_details[Asking PSF]),0,1,IF($U$3="Chunk Rent",1,2)),
     unit_details[Leased Date],"&gt;="&amp;($AM$2-X$5),
     unit_details[Leased Date],"&lt;"&amp;$AM$2,
     unit_details[Beds],$L521,
     unit_details[Baths],$M521,
     unit_details[Partial Baths],IF(ISNUMBER($N521),$N521,""),
     unit_details[Sqft],$P521,
     unit_details[Property Name],$F521)
 ),"")</f>
        <v/>
      </c>
      <c r="Y521" s="552" t="str">
        <f>IFERROR(
 IF($F521="Total",
   SUMPRODUCT(
   INDEX(Y:Y, ROW()-COUNTIF($F$6:INDEX($F:$F, ROW()-1), $F520)) : INDEX(Y:Y, ROW()-1),
   INDEX(AA:AA, ROW()-COUNTIF($F$6:INDEX($F:$F, ROW()-1), $F520)) : INDEX(AA:AA, ROW()-1)
   )
   /SUM(INDEX(AA:AA, ROW()-COUNTIF($F$6:INDEX($F:$F, ROW()-1), $F520)) : INDEX(AA:AA, ROW()-1)),
   AVERAGEIFS(
     INDEX((unit_details[Effective Rent],unit_details[Effective PSF]),0,1,IF($U$3="Chunk Rent",1,2)),
     unit_details[Leased Date],"&gt;="&amp;($AM$2-X$5),
     unit_details[Leased Date],"&lt;"&amp;$AM$2,
     unit_details[Beds],$L521,
     unit_details[Baths],$M521,
     unit_details[Partial Baths],IF(ISNUMBER($N521),$N521,""),
     unit_details[Sqft],$P521,
     unit_details[Property Name],$F521)
 ),"")</f>
        <v/>
      </c>
      <c r="Z521" s="27" t="str">
        <f t="shared" si="99"/>
        <v/>
      </c>
      <c r="AA521" s="526">
        <f>IFERROR(
  IF($F521="Total",
    SUM(INDEX(AA:AA, ROW()-COUNTIF($F$6:INDEX($F:$F, ROW()-1), $F520)) : INDEX(AA:AA, ROW()-1)),
    COUNTIFS(
      unit_details[Leased Date], "&gt;="&amp;($AM$2-X$5),
      unit_details[Leased Date], "&lt;"&amp;$AM$2,
      unit_details[Beds], $L521,
      unit_details[Baths], $M521,
      unit_details[Partial Baths], IF(ISNUMBER($N521), $N521, ""),
      unit_details[Sqft],$P521,
      unit_details[Property Name], $F521
    )
  ),
"")</f>
        <v>0</v>
      </c>
      <c r="AB521" s="290">
        <f>IF($F521="Total",
SUM(INDEX(AB:AB, ROW()-COUNTIF($F$6:INDEX($F:$F, ROW()-1), $F520)) : INDEX(AB:AB, ROW()-1)),
COUNTIFS(unit_details[Active Listing?],TRUE,
          unit_details[Property Name], $F521,
          unit_details[Beds], $L521,
          unit_details[Baths], $M521,
          unit_details[Partial Baths],IF(ISNUMBER($N521),$N521,""),
          unit_details[Sqft],$P521))</f>
        <v>0</v>
      </c>
      <c r="AC521" s="27" t="str">
        <f t="shared" si="91"/>
        <v/>
      </c>
      <c r="AD521" s="293" t="str">
        <f>IFERROR(IF(AE521="","",IF($F521="Total",
SUMPRODUCT(
   INDEX(AD:AD, ROW()-COUNTIF($F$6:INDEX($F:$F, ROW()-1), $F520)) : INDEX(AD:AD, ROW()-1),
   INDEX(AB:AB, ROW()-COUNTIF($F$6:INDEX($F:$F, ROW()-1), $F520)) : INDEX(AB:AB, ROW()-1)
   )
   /SUM(INDEX(AB:AB, ROW()-COUNTIF($F$6:INDEX($F:$F, ROW()-1), $F520)) : INDEX(AB:AB, ROW()-1)),
          _xlfn.MINIFS(unit_details[Asking Rent],
          unit_details[Active Listing?],TRUE,
          unit_details[Property Name], $F521,
          unit_details[Beds], $L521,
          unit_details[Baths], $M521,
          unit_details[Partial Baths], IF(ISNUMBER($N521),$N521,""),
          unit_details[Sqft],$P521
))),"")</f>
        <v/>
      </c>
      <c r="AE521" s="5" t="str">
        <f>IFERROR(IF($F521="Total",
          SUMPRODUCT(
   INDEX(AE:AE, ROW()-COUNTIF($F$6:INDEX($F:$F, ROW()-1), $F520)) : INDEX(AE:AE, ROW()-1),
   INDEX(AB:AB, ROW()-COUNTIF($F$6:INDEX($F:$F, ROW()-1), $F520)) : INDEX(AB:AB, ROW()-1)
   )
   /SUM(INDEX(AB:AB, ROW()-COUNTIF($F$6:INDEX($F:$F, ROW()-1), $F520)) : INDEX(AB:AB, ROW()-1)),
          AVERAGEIFS(unit_details[Asking Rent],
          unit_details[Active Listing?],TRUE,
          unit_details[Property Name], $F521,
          unit_details[Beds], $L521,
          unit_details[Baths], $M521,
          unit_details[Partial Baths], IF(ISNUMBER($N521),$N521,""),
          unit_details[Sqft],$P521
)),"")</f>
        <v/>
      </c>
      <c r="AF521" s="5" t="str">
        <f>IFERROR(IF(AE521="","",IF($F521="Total",
SUMPRODUCT(
   INDEX(AF:AF, ROW()-COUNTIF($F$6:INDEX($F:$F, ROW()-1), $F520)) : INDEX(AF:AF, ROW()-1),
   INDEX(AB:AB, ROW()-COUNTIF($F$6:INDEX($F:$F, ROW()-1), $F520)) : INDEX(AB:AB, ROW()-1)
   )
   /SUM(INDEX(AB:AB, ROW()-COUNTIF($F$6:INDEX($F:$F, ROW()-1), $F520)) : INDEX(AB:AB, ROW()-1)),
           _xlfn.MAXIFS(unit_details[Asking Rent],
          unit_details[Active Listing?],TRUE,
          unit_details[Property Name], $F521,
          unit_details[Beds], $L521,
          unit_details[Baths], $M521,
          unit_details[Partial Baths], IF(ISNUMBER($N521),$N521,""),
          unit_details[Sqft],$P521
))),"")</f>
        <v/>
      </c>
      <c r="AG521" s="6" t="str">
        <f>IFERROR(IF($F521="Total",
         SUMPRODUCT(
         INDEX(AG:AG, ROW()-COUNTIF($F$6:INDEX($F:$F, ROW()-1), $F520)) : INDEX(AG:AG, ROW()-1),
         INDEX(AB:AB, ROW()-COUNTIF($F$6:INDEX($F:$F, ROW()-1), $F520)) : INDEX(AB:AB, ROW()-1)
         )
         /SUM(INDEX(AB:AB, ROW()-COUNTIF($F$6:INDEX($F:$F, ROW()-1), $F520)) : INDEX(AB:AB, ROW()-1)),
          AVERAGEIFS(unit_details[Asking PSF],
          unit_details[Active Listing?],TRUE,
          unit_details[Property Name], $F521,
          unit_details[Beds], $L521,
          unit_details[Baths], $M521,
          unit_details[Partial Baths], IF(ISNUMBER($N521),$N521,""),
          unit_details[Sqft],$P521
)),"")</f>
        <v/>
      </c>
      <c r="AH521" s="293" t="str">
        <f>IFERROR(IF($F521="Total",
         SUMPRODUCT(
         INDEX(AH:AH, ROW()-COUNTIF($F$6:INDEX($F:$F, ROW()-1), $F520)) : INDEX(AH:AH, ROW()-1),
         INDEX(AB:AB, ROW()-COUNTIF($F$6:INDEX($F:$F, ROW()-1), $F520)) : INDEX(AB:AB, ROW()-1)
         )
         /SUM(INDEX(AB:AB, ROW()-COUNTIF($F$6:INDEX($F:$F, ROW()-1), $F520)) : INDEX(AB:AB, ROW()-1)),
          AVERAGEIFS(unit_details[Effective Rent],
          unit_details[Active Listing?],TRUE,
          unit_details[Property Name], $F521,
          unit_details[Beds], $L521,
          unit_details[Baths], $M521,
          unit_details[Partial Baths], IF(ISNUMBER($N521),$N521,""),
          unit_details[Sqft],$P521
)),"")</f>
        <v/>
      </c>
      <c r="AI521" s="6" t="str">
        <f>IFERROR(IF($F521="Total",
         SUMPRODUCT(
         INDEX(AI:AI, ROW()-COUNTIF($F$6:INDEX($F:$F, ROW()-1), $F520)) : INDEX(AI:AI, ROW()-1),
         INDEX(AB:AB, ROW()-COUNTIF($F$6:INDEX($F:$F, ROW()-1), $F520)) : INDEX(AB:AB, ROW()-1)
         )
         /SUM(INDEX(AB:AB, ROW()-COUNTIF($F$6:INDEX($F:$F, ROW()-1), $F520)) : INDEX(AB:AB, ROW()-1)),
           AVERAGEIFS(unit_details[Effective PSF],
          unit_details[Active Listing?],TRUE,
          unit_details[Property Name], $F521,
          unit_details[Beds], $L521,
          unit_details[Baths], $M521,
          unit_details[Partial Baths], IF(ISNUMBER($N521),$N521,""),
          unit_details[Sqft],$P521
)),"")</f>
        <v/>
      </c>
      <c r="AJ521" s="824" t="str">
        <f t="shared" si="92"/>
        <v/>
      </c>
      <c r="AK521" s="531" t="str">
        <f t="shared" si="93"/>
        <v/>
      </c>
      <c r="AL521" s="714" t="str">
        <f t="shared" si="94"/>
        <v/>
      </c>
      <c r="AM521" s="531" t="str">
        <f t="shared" si="95"/>
        <v/>
      </c>
      <c r="AN521" s="716" t="str">
        <f t="shared" si="96"/>
        <v/>
      </c>
    </row>
    <row r="522" spans="6:40" x14ac:dyDescent="0.2">
      <c r="F522" s="1" t="str">
        <f t="shared" si="89"/>
        <v/>
      </c>
      <c r="G522" s="713" t="str">
        <f t="shared" si="97"/>
        <v/>
      </c>
      <c r="H522" s="17" t="str">
        <f>IFERROR(VLOOKUP($G522,Table1[[Property]:[Exposure %]],4,0),"")</f>
        <v/>
      </c>
      <c r="I522" s="3" t="str">
        <f>IFERROR(VLOOKUP($G522,Table1[[Property]:[Exposure %]],6,0),"")</f>
        <v/>
      </c>
      <c r="J522" s="3" t="str">
        <f>IFERROR(VLOOKUP($G522,Table1[[Property]:[Exposure %]],7,0),"")</f>
        <v/>
      </c>
      <c r="R522" s="4" t="str">
        <f>IFERROR(VLOOKUP(IF(F522="Total",F521,F522),Table1[[Property]:['# Units]],7,0)*S522,"")</f>
        <v/>
      </c>
      <c r="S522" s="27" t="str">
        <f t="shared" si="90"/>
        <v/>
      </c>
      <c r="T522" s="531" t="str">
        <f>IFERROR(
 IF($F522="Total",
   SUMPRODUCT(
   INDEX(T:T, ROW()-COUNTIF($F$6:INDEX($F:$F, ROW()-1), $F521)) : INDEX(T:T, ROW()-1),
   INDEX(W:W, ROW()-COUNTIF($F$6:INDEX($F:$F, ROW()-1), $F521)) : INDEX(W:W, ROW()-1)
   )
   /SUM(INDEX(W:W, ROW()-COUNTIF($F$6:INDEX($F:$F, ROW()-1), $F521)) : INDEX(W:W, ROW()-1)),
   AVERAGEIFS(
     INDEX((unit_details[Asking Rent],unit_details[Asking PSF]),0,1,IF($U$3="Chunk Rent",1,2)),
     unit_details[Leased Date],"&gt;="&amp;($AM$2-T$5),
     unit_details[Leased Date],"&lt;"&amp;$AM$2,
     unit_details[Beds],$L522,
     unit_details[Baths],$M522,
     unit_details[Partial Baths],IF(ISNUMBER($N522),$N522,""),
     unit_details[Sqft],$P522,
     unit_details[Property Name],$F522)
 ),"")</f>
        <v/>
      </c>
      <c r="U522" s="552" t="str">
        <f>IFERROR(
 IF($F522="Total",
   SUMPRODUCT(
   INDEX(U:U, ROW()-COUNTIF($F$6:INDEX($F:$F, ROW()-1), $F521)) : INDEX(U:U, ROW()-1),
   INDEX(W:W, ROW()-COUNTIF($F$6:INDEX($F:$F, ROW()-1), $F521)) : INDEX(W:W, ROW()-1)
   )
   /SUM(INDEX(W:W, ROW()-COUNTIF($F$6:INDEX($F:$F, ROW()-1), $F521)) : INDEX(W:W, ROW()-1)),
   AVERAGEIFS(
     INDEX((unit_details[Effective Rent],unit_details[Effective PSF]),0,1,IF($U$3="Chunk Rent",1,2)),
     unit_details[Leased Date],"&gt;="&amp;($AM$2-T$5),
     unit_details[Leased Date],"&lt;"&amp;$AM$2,
     unit_details[Beds],$L522,
     unit_details[Baths],$M522,
     unit_details[Partial Baths],IF(ISNUMBER($N522),$N522,""),
     unit_details[Sqft],$P522,
     unit_details[Property Name],$F522)
 ),"")</f>
        <v/>
      </c>
      <c r="V522" s="27" t="str">
        <f t="shared" si="98"/>
        <v/>
      </c>
      <c r="W522" s="526">
        <f>IFERROR(
  IF($F522="Total",
    SUM(INDEX(W:W, ROW()-COUNTIF($F$6:INDEX($F:$F, ROW()-1), $F521)) : INDEX(W:W, ROW()-1)),
    COUNTIFS(
      unit_details[Leased Date], "&gt;="&amp;($AM$2-T$5),
      unit_details[Leased Date], "&lt;"&amp;$AM$2,
      unit_details[Beds], $L522,
      unit_details[Baths], $M522,
      unit_details[Partial Baths], IF(ISNUMBER($N522), $N522, ""),
      unit_details[Sqft],$P522,
      unit_details[Property Name], $F522
    )
  ),
"")</f>
        <v>0</v>
      </c>
      <c r="X522" s="531" t="str">
        <f>IFERROR(
 IF($F522="Total",
   SUMPRODUCT(
   INDEX(X:X, ROW()-COUNTIF($F$6:INDEX($F:$F, ROW()-1), $F521)) : INDEX(X:X, ROW()-1),
   INDEX(AA:AA, ROW()-COUNTIF($F$6:INDEX($F:$F, ROW()-1), $F521)) : INDEX(AA:AA, ROW()-1)
   )
   /SUM(INDEX(AA:AA, ROW()-COUNTIF($F$6:INDEX($F:$F, ROW()-1), $F521)) : INDEX(AA:AA, ROW()-1)),
   AVERAGEIFS(
     INDEX((unit_details[Asking Rent],unit_details[Asking PSF]),0,1,IF($U$3="Chunk Rent",1,2)),
     unit_details[Leased Date],"&gt;="&amp;($AM$2-X$5),
     unit_details[Leased Date],"&lt;"&amp;$AM$2,
     unit_details[Beds],$L522,
     unit_details[Baths],$M522,
     unit_details[Partial Baths],IF(ISNUMBER($N522),$N522,""),
     unit_details[Sqft],$P522,
     unit_details[Property Name],$F522)
 ),"")</f>
        <v/>
      </c>
      <c r="Y522" s="552" t="str">
        <f>IFERROR(
 IF($F522="Total",
   SUMPRODUCT(
   INDEX(Y:Y, ROW()-COUNTIF($F$6:INDEX($F:$F, ROW()-1), $F521)) : INDEX(Y:Y, ROW()-1),
   INDEX(AA:AA, ROW()-COUNTIF($F$6:INDEX($F:$F, ROW()-1), $F521)) : INDEX(AA:AA, ROW()-1)
   )
   /SUM(INDEX(AA:AA, ROW()-COUNTIF($F$6:INDEX($F:$F, ROW()-1), $F521)) : INDEX(AA:AA, ROW()-1)),
   AVERAGEIFS(
     INDEX((unit_details[Effective Rent],unit_details[Effective PSF]),0,1,IF($U$3="Chunk Rent",1,2)),
     unit_details[Leased Date],"&gt;="&amp;($AM$2-X$5),
     unit_details[Leased Date],"&lt;"&amp;$AM$2,
     unit_details[Beds],$L522,
     unit_details[Baths],$M522,
     unit_details[Partial Baths],IF(ISNUMBER($N522),$N522,""),
     unit_details[Sqft],$P522,
     unit_details[Property Name],$F522)
 ),"")</f>
        <v/>
      </c>
      <c r="Z522" s="27" t="str">
        <f t="shared" si="99"/>
        <v/>
      </c>
      <c r="AA522" s="526">
        <f>IFERROR(
  IF($F522="Total",
    SUM(INDEX(AA:AA, ROW()-COUNTIF($F$6:INDEX($F:$F, ROW()-1), $F521)) : INDEX(AA:AA, ROW()-1)),
    COUNTIFS(
      unit_details[Leased Date], "&gt;="&amp;($AM$2-X$5),
      unit_details[Leased Date], "&lt;"&amp;$AM$2,
      unit_details[Beds], $L522,
      unit_details[Baths], $M522,
      unit_details[Partial Baths], IF(ISNUMBER($N522), $N522, ""),
      unit_details[Sqft],$P522,
      unit_details[Property Name], $F522
    )
  ),
"")</f>
        <v>0</v>
      </c>
      <c r="AB522" s="290">
        <f>IF($F522="Total",
SUM(INDEX(AB:AB, ROW()-COUNTIF($F$6:INDEX($F:$F, ROW()-1), $F521)) : INDEX(AB:AB, ROW()-1)),
COUNTIFS(unit_details[Active Listing?],TRUE,
          unit_details[Property Name], $F522,
          unit_details[Beds], $L522,
          unit_details[Baths], $M522,
          unit_details[Partial Baths],IF(ISNUMBER($N522),$N522,""),
          unit_details[Sqft],$P522))</f>
        <v>0</v>
      </c>
      <c r="AC522" s="27" t="str">
        <f t="shared" si="91"/>
        <v/>
      </c>
      <c r="AD522" s="293" t="str">
        <f>IFERROR(IF(AE522="","",IF($F522="Total",
SUMPRODUCT(
   INDEX(AD:AD, ROW()-COUNTIF($F$6:INDEX($F:$F, ROW()-1), $F521)) : INDEX(AD:AD, ROW()-1),
   INDEX(AB:AB, ROW()-COUNTIF($F$6:INDEX($F:$F, ROW()-1), $F521)) : INDEX(AB:AB, ROW()-1)
   )
   /SUM(INDEX(AB:AB, ROW()-COUNTIF($F$6:INDEX($F:$F, ROW()-1), $F521)) : INDEX(AB:AB, ROW()-1)),
          _xlfn.MINIFS(unit_details[Asking Rent],
          unit_details[Active Listing?],TRUE,
          unit_details[Property Name], $F522,
          unit_details[Beds], $L522,
          unit_details[Baths], $M522,
          unit_details[Partial Baths], IF(ISNUMBER($N522),$N522,""),
          unit_details[Sqft],$P522
))),"")</f>
        <v/>
      </c>
      <c r="AE522" s="5" t="str">
        <f>IFERROR(IF($F522="Total",
          SUMPRODUCT(
   INDEX(AE:AE, ROW()-COUNTIF($F$6:INDEX($F:$F, ROW()-1), $F521)) : INDEX(AE:AE, ROW()-1),
   INDEX(AB:AB, ROW()-COUNTIF($F$6:INDEX($F:$F, ROW()-1), $F521)) : INDEX(AB:AB, ROW()-1)
   )
   /SUM(INDEX(AB:AB, ROW()-COUNTIF($F$6:INDEX($F:$F, ROW()-1), $F521)) : INDEX(AB:AB, ROW()-1)),
          AVERAGEIFS(unit_details[Asking Rent],
          unit_details[Active Listing?],TRUE,
          unit_details[Property Name], $F522,
          unit_details[Beds], $L522,
          unit_details[Baths], $M522,
          unit_details[Partial Baths], IF(ISNUMBER($N522),$N522,""),
          unit_details[Sqft],$P522
)),"")</f>
        <v/>
      </c>
      <c r="AF522" s="5" t="str">
        <f>IFERROR(IF(AE522="","",IF($F522="Total",
SUMPRODUCT(
   INDEX(AF:AF, ROW()-COUNTIF($F$6:INDEX($F:$F, ROW()-1), $F521)) : INDEX(AF:AF, ROW()-1),
   INDEX(AB:AB, ROW()-COUNTIF($F$6:INDEX($F:$F, ROW()-1), $F521)) : INDEX(AB:AB, ROW()-1)
   )
   /SUM(INDEX(AB:AB, ROW()-COUNTIF($F$6:INDEX($F:$F, ROW()-1), $F521)) : INDEX(AB:AB, ROW()-1)),
           _xlfn.MAXIFS(unit_details[Asking Rent],
          unit_details[Active Listing?],TRUE,
          unit_details[Property Name], $F522,
          unit_details[Beds], $L522,
          unit_details[Baths], $M522,
          unit_details[Partial Baths], IF(ISNUMBER($N522),$N522,""),
          unit_details[Sqft],$P522
))),"")</f>
        <v/>
      </c>
      <c r="AG522" s="6" t="str">
        <f>IFERROR(IF($F522="Total",
         SUMPRODUCT(
         INDEX(AG:AG, ROW()-COUNTIF($F$6:INDEX($F:$F, ROW()-1), $F521)) : INDEX(AG:AG, ROW()-1),
         INDEX(AB:AB, ROW()-COUNTIF($F$6:INDEX($F:$F, ROW()-1), $F521)) : INDEX(AB:AB, ROW()-1)
         )
         /SUM(INDEX(AB:AB, ROW()-COUNTIF($F$6:INDEX($F:$F, ROW()-1), $F521)) : INDEX(AB:AB, ROW()-1)),
          AVERAGEIFS(unit_details[Asking PSF],
          unit_details[Active Listing?],TRUE,
          unit_details[Property Name], $F522,
          unit_details[Beds], $L522,
          unit_details[Baths], $M522,
          unit_details[Partial Baths], IF(ISNUMBER($N522),$N522,""),
          unit_details[Sqft],$P522
)),"")</f>
        <v/>
      </c>
      <c r="AH522" s="293" t="str">
        <f>IFERROR(IF($F522="Total",
         SUMPRODUCT(
         INDEX(AH:AH, ROW()-COUNTIF($F$6:INDEX($F:$F, ROW()-1), $F521)) : INDEX(AH:AH, ROW()-1),
         INDEX(AB:AB, ROW()-COUNTIF($F$6:INDEX($F:$F, ROW()-1), $F521)) : INDEX(AB:AB, ROW()-1)
         )
         /SUM(INDEX(AB:AB, ROW()-COUNTIF($F$6:INDEX($F:$F, ROW()-1), $F521)) : INDEX(AB:AB, ROW()-1)),
          AVERAGEIFS(unit_details[Effective Rent],
          unit_details[Active Listing?],TRUE,
          unit_details[Property Name], $F522,
          unit_details[Beds], $L522,
          unit_details[Baths], $M522,
          unit_details[Partial Baths], IF(ISNUMBER($N522),$N522,""),
          unit_details[Sqft],$P522
)),"")</f>
        <v/>
      </c>
      <c r="AI522" s="6" t="str">
        <f>IFERROR(IF($F522="Total",
         SUMPRODUCT(
         INDEX(AI:AI, ROW()-COUNTIF($F$6:INDEX($F:$F, ROW()-1), $F521)) : INDEX(AI:AI, ROW()-1),
         INDEX(AB:AB, ROW()-COUNTIF($F$6:INDEX($F:$F, ROW()-1), $F521)) : INDEX(AB:AB, ROW()-1)
         )
         /SUM(INDEX(AB:AB, ROW()-COUNTIF($F$6:INDEX($F:$F, ROW()-1), $F521)) : INDEX(AB:AB, ROW()-1)),
           AVERAGEIFS(unit_details[Effective PSF],
          unit_details[Active Listing?],TRUE,
          unit_details[Property Name], $F522,
          unit_details[Beds], $L522,
          unit_details[Baths], $M522,
          unit_details[Partial Baths], IF(ISNUMBER($N522),$N522,""),
          unit_details[Sqft],$P522
)),"")</f>
        <v/>
      </c>
      <c r="AJ522" s="824" t="str">
        <f t="shared" si="92"/>
        <v/>
      </c>
      <c r="AK522" s="531" t="str">
        <f t="shared" si="93"/>
        <v/>
      </c>
      <c r="AL522" s="714" t="str">
        <f t="shared" si="94"/>
        <v/>
      </c>
      <c r="AM522" s="531" t="str">
        <f t="shared" si="95"/>
        <v/>
      </c>
      <c r="AN522" s="716" t="str">
        <f t="shared" si="96"/>
        <v/>
      </c>
    </row>
    <row r="523" spans="6:40" x14ac:dyDescent="0.2">
      <c r="F523" s="1" t="str">
        <f t="shared" si="89"/>
        <v/>
      </c>
      <c r="G523" s="713" t="str">
        <f t="shared" si="97"/>
        <v/>
      </c>
      <c r="H523" s="17" t="str">
        <f>IFERROR(VLOOKUP($G523,Table1[[Property]:[Exposure %]],4,0),"")</f>
        <v/>
      </c>
      <c r="I523" s="3" t="str">
        <f>IFERROR(VLOOKUP($G523,Table1[[Property]:[Exposure %]],6,0),"")</f>
        <v/>
      </c>
      <c r="J523" s="3" t="str">
        <f>IFERROR(VLOOKUP($G523,Table1[[Property]:[Exposure %]],7,0),"")</f>
        <v/>
      </c>
      <c r="R523" s="4" t="str">
        <f>IFERROR(VLOOKUP(IF(F523="Total",F522,F523),Table1[[Property]:['# Units]],7,0)*S523,"")</f>
        <v/>
      </c>
      <c r="S523" s="27" t="str">
        <f t="shared" si="90"/>
        <v/>
      </c>
      <c r="T523" s="531" t="str">
        <f>IFERROR(
 IF($F523="Total",
   SUMPRODUCT(
   INDEX(T:T, ROW()-COUNTIF($F$6:INDEX($F:$F, ROW()-1), $F522)) : INDEX(T:T, ROW()-1),
   INDEX(W:W, ROW()-COUNTIF($F$6:INDEX($F:$F, ROW()-1), $F522)) : INDEX(W:W, ROW()-1)
   )
   /SUM(INDEX(W:W, ROW()-COUNTIF($F$6:INDEX($F:$F, ROW()-1), $F522)) : INDEX(W:W, ROW()-1)),
   AVERAGEIFS(
     INDEX((unit_details[Asking Rent],unit_details[Asking PSF]),0,1,IF($U$3="Chunk Rent",1,2)),
     unit_details[Leased Date],"&gt;="&amp;($AM$2-T$5),
     unit_details[Leased Date],"&lt;"&amp;$AM$2,
     unit_details[Beds],$L523,
     unit_details[Baths],$M523,
     unit_details[Partial Baths],IF(ISNUMBER($N523),$N523,""),
     unit_details[Sqft],$P523,
     unit_details[Property Name],$F523)
 ),"")</f>
        <v/>
      </c>
      <c r="U523" s="552" t="str">
        <f>IFERROR(
 IF($F523="Total",
   SUMPRODUCT(
   INDEX(U:U, ROW()-COUNTIF($F$6:INDEX($F:$F, ROW()-1), $F522)) : INDEX(U:U, ROW()-1),
   INDEX(W:W, ROW()-COUNTIF($F$6:INDEX($F:$F, ROW()-1), $F522)) : INDEX(W:W, ROW()-1)
   )
   /SUM(INDEX(W:W, ROW()-COUNTIF($F$6:INDEX($F:$F, ROW()-1), $F522)) : INDEX(W:W, ROW()-1)),
   AVERAGEIFS(
     INDEX((unit_details[Effective Rent],unit_details[Effective PSF]),0,1,IF($U$3="Chunk Rent",1,2)),
     unit_details[Leased Date],"&gt;="&amp;($AM$2-T$5),
     unit_details[Leased Date],"&lt;"&amp;$AM$2,
     unit_details[Beds],$L523,
     unit_details[Baths],$M523,
     unit_details[Partial Baths],IF(ISNUMBER($N523),$N523,""),
     unit_details[Sqft],$P523,
     unit_details[Property Name],$F523)
 ),"")</f>
        <v/>
      </c>
      <c r="V523" s="27" t="str">
        <f t="shared" si="98"/>
        <v/>
      </c>
      <c r="W523" s="526">
        <f>IFERROR(
  IF($F523="Total",
    SUM(INDEX(W:W, ROW()-COUNTIF($F$6:INDEX($F:$F, ROW()-1), $F522)) : INDEX(W:W, ROW()-1)),
    COUNTIFS(
      unit_details[Leased Date], "&gt;="&amp;($AM$2-T$5),
      unit_details[Leased Date], "&lt;"&amp;$AM$2,
      unit_details[Beds], $L523,
      unit_details[Baths], $M523,
      unit_details[Partial Baths], IF(ISNUMBER($N523), $N523, ""),
      unit_details[Sqft],$P523,
      unit_details[Property Name], $F523
    )
  ),
"")</f>
        <v>0</v>
      </c>
      <c r="X523" s="531" t="str">
        <f>IFERROR(
 IF($F523="Total",
   SUMPRODUCT(
   INDEX(X:X, ROW()-COUNTIF($F$6:INDEX($F:$F, ROW()-1), $F522)) : INDEX(X:X, ROW()-1),
   INDEX(AA:AA, ROW()-COUNTIF($F$6:INDEX($F:$F, ROW()-1), $F522)) : INDEX(AA:AA, ROW()-1)
   )
   /SUM(INDEX(AA:AA, ROW()-COUNTIF($F$6:INDEX($F:$F, ROW()-1), $F522)) : INDEX(AA:AA, ROW()-1)),
   AVERAGEIFS(
     INDEX((unit_details[Asking Rent],unit_details[Asking PSF]),0,1,IF($U$3="Chunk Rent",1,2)),
     unit_details[Leased Date],"&gt;="&amp;($AM$2-X$5),
     unit_details[Leased Date],"&lt;"&amp;$AM$2,
     unit_details[Beds],$L523,
     unit_details[Baths],$M523,
     unit_details[Partial Baths],IF(ISNUMBER($N523),$N523,""),
     unit_details[Sqft],$P523,
     unit_details[Property Name],$F523)
 ),"")</f>
        <v/>
      </c>
      <c r="Y523" s="552" t="str">
        <f>IFERROR(
 IF($F523="Total",
   SUMPRODUCT(
   INDEX(Y:Y, ROW()-COUNTIF($F$6:INDEX($F:$F, ROW()-1), $F522)) : INDEX(Y:Y, ROW()-1),
   INDEX(AA:AA, ROW()-COUNTIF($F$6:INDEX($F:$F, ROW()-1), $F522)) : INDEX(AA:AA, ROW()-1)
   )
   /SUM(INDEX(AA:AA, ROW()-COUNTIF($F$6:INDEX($F:$F, ROW()-1), $F522)) : INDEX(AA:AA, ROW()-1)),
   AVERAGEIFS(
     INDEX((unit_details[Effective Rent],unit_details[Effective PSF]),0,1,IF($U$3="Chunk Rent",1,2)),
     unit_details[Leased Date],"&gt;="&amp;($AM$2-X$5),
     unit_details[Leased Date],"&lt;"&amp;$AM$2,
     unit_details[Beds],$L523,
     unit_details[Baths],$M523,
     unit_details[Partial Baths],IF(ISNUMBER($N523),$N523,""),
     unit_details[Sqft],$P523,
     unit_details[Property Name],$F523)
 ),"")</f>
        <v/>
      </c>
      <c r="Z523" s="27" t="str">
        <f t="shared" si="99"/>
        <v/>
      </c>
      <c r="AA523" s="526">
        <f>IFERROR(
  IF($F523="Total",
    SUM(INDEX(AA:AA, ROW()-COUNTIF($F$6:INDEX($F:$F, ROW()-1), $F522)) : INDEX(AA:AA, ROW()-1)),
    COUNTIFS(
      unit_details[Leased Date], "&gt;="&amp;($AM$2-X$5),
      unit_details[Leased Date], "&lt;"&amp;$AM$2,
      unit_details[Beds], $L523,
      unit_details[Baths], $M523,
      unit_details[Partial Baths], IF(ISNUMBER($N523), $N523, ""),
      unit_details[Sqft],$P523,
      unit_details[Property Name], $F523
    )
  ),
"")</f>
        <v>0</v>
      </c>
      <c r="AB523" s="290">
        <f>IF($F523="Total",
SUM(INDEX(AB:AB, ROW()-COUNTIF($F$6:INDEX($F:$F, ROW()-1), $F522)) : INDEX(AB:AB, ROW()-1)),
COUNTIFS(unit_details[Active Listing?],TRUE,
          unit_details[Property Name], $F523,
          unit_details[Beds], $L523,
          unit_details[Baths], $M523,
          unit_details[Partial Baths],IF(ISNUMBER($N523),$N523,""),
          unit_details[Sqft],$P523))</f>
        <v>0</v>
      </c>
      <c r="AC523" s="27" t="str">
        <f t="shared" si="91"/>
        <v/>
      </c>
      <c r="AD523" s="293" t="str">
        <f>IFERROR(IF(AE523="","",IF($F523="Total",
SUMPRODUCT(
   INDEX(AD:AD, ROW()-COUNTIF($F$6:INDEX($F:$F, ROW()-1), $F522)) : INDEX(AD:AD, ROW()-1),
   INDEX(AB:AB, ROW()-COUNTIF($F$6:INDEX($F:$F, ROW()-1), $F522)) : INDEX(AB:AB, ROW()-1)
   )
   /SUM(INDEX(AB:AB, ROW()-COUNTIF($F$6:INDEX($F:$F, ROW()-1), $F522)) : INDEX(AB:AB, ROW()-1)),
          _xlfn.MINIFS(unit_details[Asking Rent],
          unit_details[Active Listing?],TRUE,
          unit_details[Property Name], $F523,
          unit_details[Beds], $L523,
          unit_details[Baths], $M523,
          unit_details[Partial Baths], IF(ISNUMBER($N523),$N523,""),
          unit_details[Sqft],$P523
))),"")</f>
        <v/>
      </c>
      <c r="AE523" s="5" t="str">
        <f>IFERROR(IF($F523="Total",
          SUMPRODUCT(
   INDEX(AE:AE, ROW()-COUNTIF($F$6:INDEX($F:$F, ROW()-1), $F522)) : INDEX(AE:AE, ROW()-1),
   INDEX(AB:AB, ROW()-COUNTIF($F$6:INDEX($F:$F, ROW()-1), $F522)) : INDEX(AB:AB, ROW()-1)
   )
   /SUM(INDEX(AB:AB, ROW()-COUNTIF($F$6:INDEX($F:$F, ROW()-1), $F522)) : INDEX(AB:AB, ROW()-1)),
          AVERAGEIFS(unit_details[Asking Rent],
          unit_details[Active Listing?],TRUE,
          unit_details[Property Name], $F523,
          unit_details[Beds], $L523,
          unit_details[Baths], $M523,
          unit_details[Partial Baths], IF(ISNUMBER($N523),$N523,""),
          unit_details[Sqft],$P523
)),"")</f>
        <v/>
      </c>
      <c r="AF523" s="5" t="str">
        <f>IFERROR(IF(AE523="","",IF($F523="Total",
SUMPRODUCT(
   INDEX(AF:AF, ROW()-COUNTIF($F$6:INDEX($F:$F, ROW()-1), $F522)) : INDEX(AF:AF, ROW()-1),
   INDEX(AB:AB, ROW()-COUNTIF($F$6:INDEX($F:$F, ROW()-1), $F522)) : INDEX(AB:AB, ROW()-1)
   )
   /SUM(INDEX(AB:AB, ROW()-COUNTIF($F$6:INDEX($F:$F, ROW()-1), $F522)) : INDEX(AB:AB, ROW()-1)),
           _xlfn.MAXIFS(unit_details[Asking Rent],
          unit_details[Active Listing?],TRUE,
          unit_details[Property Name], $F523,
          unit_details[Beds], $L523,
          unit_details[Baths], $M523,
          unit_details[Partial Baths], IF(ISNUMBER($N523),$N523,""),
          unit_details[Sqft],$P523
))),"")</f>
        <v/>
      </c>
      <c r="AG523" s="6" t="str">
        <f>IFERROR(IF($F523="Total",
         SUMPRODUCT(
         INDEX(AG:AG, ROW()-COUNTIF($F$6:INDEX($F:$F, ROW()-1), $F522)) : INDEX(AG:AG, ROW()-1),
         INDEX(AB:AB, ROW()-COUNTIF($F$6:INDEX($F:$F, ROW()-1), $F522)) : INDEX(AB:AB, ROW()-1)
         )
         /SUM(INDEX(AB:AB, ROW()-COUNTIF($F$6:INDEX($F:$F, ROW()-1), $F522)) : INDEX(AB:AB, ROW()-1)),
          AVERAGEIFS(unit_details[Asking PSF],
          unit_details[Active Listing?],TRUE,
          unit_details[Property Name], $F523,
          unit_details[Beds], $L523,
          unit_details[Baths], $M523,
          unit_details[Partial Baths], IF(ISNUMBER($N523),$N523,""),
          unit_details[Sqft],$P523
)),"")</f>
        <v/>
      </c>
      <c r="AH523" s="293" t="str">
        <f>IFERROR(IF($F523="Total",
         SUMPRODUCT(
         INDEX(AH:AH, ROW()-COUNTIF($F$6:INDEX($F:$F, ROW()-1), $F522)) : INDEX(AH:AH, ROW()-1),
         INDEX(AB:AB, ROW()-COUNTIF($F$6:INDEX($F:$F, ROW()-1), $F522)) : INDEX(AB:AB, ROW()-1)
         )
         /SUM(INDEX(AB:AB, ROW()-COUNTIF($F$6:INDEX($F:$F, ROW()-1), $F522)) : INDEX(AB:AB, ROW()-1)),
          AVERAGEIFS(unit_details[Effective Rent],
          unit_details[Active Listing?],TRUE,
          unit_details[Property Name], $F523,
          unit_details[Beds], $L523,
          unit_details[Baths], $M523,
          unit_details[Partial Baths], IF(ISNUMBER($N523),$N523,""),
          unit_details[Sqft],$P523
)),"")</f>
        <v/>
      </c>
      <c r="AI523" s="6" t="str">
        <f>IFERROR(IF($F523="Total",
         SUMPRODUCT(
         INDEX(AI:AI, ROW()-COUNTIF($F$6:INDEX($F:$F, ROW()-1), $F522)) : INDEX(AI:AI, ROW()-1),
         INDEX(AB:AB, ROW()-COUNTIF($F$6:INDEX($F:$F, ROW()-1), $F522)) : INDEX(AB:AB, ROW()-1)
         )
         /SUM(INDEX(AB:AB, ROW()-COUNTIF($F$6:INDEX($F:$F, ROW()-1), $F522)) : INDEX(AB:AB, ROW()-1)),
           AVERAGEIFS(unit_details[Effective PSF],
          unit_details[Active Listing?],TRUE,
          unit_details[Property Name], $F523,
          unit_details[Beds], $L523,
          unit_details[Baths], $M523,
          unit_details[Partial Baths], IF(ISNUMBER($N523),$N523,""),
          unit_details[Sqft],$P523
)),"")</f>
        <v/>
      </c>
      <c r="AJ523" s="824" t="str">
        <f t="shared" si="92"/>
        <v/>
      </c>
      <c r="AK523" s="531" t="str">
        <f t="shared" si="93"/>
        <v/>
      </c>
      <c r="AL523" s="714" t="str">
        <f t="shared" si="94"/>
        <v/>
      </c>
      <c r="AM523" s="531" t="str">
        <f t="shared" si="95"/>
        <v/>
      </c>
      <c r="AN523" s="716" t="str">
        <f t="shared" si="96"/>
        <v/>
      </c>
    </row>
    <row r="524" spans="6:40" x14ac:dyDescent="0.2">
      <c r="F524" s="1" t="str">
        <f t="shared" si="89"/>
        <v/>
      </c>
      <c r="G524" s="713" t="str">
        <f t="shared" si="97"/>
        <v/>
      </c>
      <c r="H524" s="17" t="str">
        <f>IFERROR(VLOOKUP($G524,Table1[[Property]:[Exposure %]],4,0),"")</f>
        <v/>
      </c>
      <c r="I524" s="3" t="str">
        <f>IFERROR(VLOOKUP($G524,Table1[[Property]:[Exposure %]],6,0),"")</f>
        <v/>
      </c>
      <c r="J524" s="3" t="str">
        <f>IFERROR(VLOOKUP($G524,Table1[[Property]:[Exposure %]],7,0),"")</f>
        <v/>
      </c>
      <c r="R524" s="4" t="str">
        <f>IFERROR(VLOOKUP(IF(F524="Total",F523,F524),Table1[[Property]:['# Units]],7,0)*S524,"")</f>
        <v/>
      </c>
      <c r="S524" s="27" t="str">
        <f t="shared" si="90"/>
        <v/>
      </c>
      <c r="T524" s="531" t="str">
        <f>IFERROR(
 IF($F524="Total",
   SUMPRODUCT(
   INDEX(T:T, ROW()-COUNTIF($F$6:INDEX($F:$F, ROW()-1), $F523)) : INDEX(T:T, ROW()-1),
   INDEX(W:W, ROW()-COUNTIF($F$6:INDEX($F:$F, ROW()-1), $F523)) : INDEX(W:W, ROW()-1)
   )
   /SUM(INDEX(W:W, ROW()-COUNTIF($F$6:INDEX($F:$F, ROW()-1), $F523)) : INDEX(W:W, ROW()-1)),
   AVERAGEIFS(
     INDEX((unit_details[Asking Rent],unit_details[Asking PSF]),0,1,IF($U$3="Chunk Rent",1,2)),
     unit_details[Leased Date],"&gt;="&amp;($AM$2-T$5),
     unit_details[Leased Date],"&lt;"&amp;$AM$2,
     unit_details[Beds],$L524,
     unit_details[Baths],$M524,
     unit_details[Partial Baths],IF(ISNUMBER($N524),$N524,""),
     unit_details[Sqft],$P524,
     unit_details[Property Name],$F524)
 ),"")</f>
        <v/>
      </c>
      <c r="U524" s="552" t="str">
        <f>IFERROR(
 IF($F524="Total",
   SUMPRODUCT(
   INDEX(U:U, ROW()-COUNTIF($F$6:INDEX($F:$F, ROW()-1), $F523)) : INDEX(U:U, ROW()-1),
   INDEX(W:W, ROW()-COUNTIF($F$6:INDEX($F:$F, ROW()-1), $F523)) : INDEX(W:W, ROW()-1)
   )
   /SUM(INDEX(W:W, ROW()-COUNTIF($F$6:INDEX($F:$F, ROW()-1), $F523)) : INDEX(W:W, ROW()-1)),
   AVERAGEIFS(
     INDEX((unit_details[Effective Rent],unit_details[Effective PSF]),0,1,IF($U$3="Chunk Rent",1,2)),
     unit_details[Leased Date],"&gt;="&amp;($AM$2-T$5),
     unit_details[Leased Date],"&lt;"&amp;$AM$2,
     unit_details[Beds],$L524,
     unit_details[Baths],$M524,
     unit_details[Partial Baths],IF(ISNUMBER($N524),$N524,""),
     unit_details[Sqft],$P524,
     unit_details[Property Name],$F524)
 ),"")</f>
        <v/>
      </c>
      <c r="V524" s="27" t="str">
        <f t="shared" si="98"/>
        <v/>
      </c>
      <c r="W524" s="526">
        <f>IFERROR(
  IF($F524="Total",
    SUM(INDEX(W:W, ROW()-COUNTIF($F$6:INDEX($F:$F, ROW()-1), $F523)) : INDEX(W:W, ROW()-1)),
    COUNTIFS(
      unit_details[Leased Date], "&gt;="&amp;($AM$2-T$5),
      unit_details[Leased Date], "&lt;"&amp;$AM$2,
      unit_details[Beds], $L524,
      unit_details[Baths], $M524,
      unit_details[Partial Baths], IF(ISNUMBER($N524), $N524, ""),
      unit_details[Sqft],$P524,
      unit_details[Property Name], $F524
    )
  ),
"")</f>
        <v>0</v>
      </c>
      <c r="X524" s="531" t="str">
        <f>IFERROR(
 IF($F524="Total",
   SUMPRODUCT(
   INDEX(X:X, ROW()-COUNTIF($F$6:INDEX($F:$F, ROW()-1), $F523)) : INDEX(X:X, ROW()-1),
   INDEX(AA:AA, ROW()-COUNTIF($F$6:INDEX($F:$F, ROW()-1), $F523)) : INDEX(AA:AA, ROW()-1)
   )
   /SUM(INDEX(AA:AA, ROW()-COUNTIF($F$6:INDEX($F:$F, ROW()-1), $F523)) : INDEX(AA:AA, ROW()-1)),
   AVERAGEIFS(
     INDEX((unit_details[Asking Rent],unit_details[Asking PSF]),0,1,IF($U$3="Chunk Rent",1,2)),
     unit_details[Leased Date],"&gt;="&amp;($AM$2-X$5),
     unit_details[Leased Date],"&lt;"&amp;$AM$2,
     unit_details[Beds],$L524,
     unit_details[Baths],$M524,
     unit_details[Partial Baths],IF(ISNUMBER($N524),$N524,""),
     unit_details[Sqft],$P524,
     unit_details[Property Name],$F524)
 ),"")</f>
        <v/>
      </c>
      <c r="Y524" s="552" t="str">
        <f>IFERROR(
 IF($F524="Total",
   SUMPRODUCT(
   INDEX(Y:Y, ROW()-COUNTIF($F$6:INDEX($F:$F, ROW()-1), $F523)) : INDEX(Y:Y, ROW()-1),
   INDEX(AA:AA, ROW()-COUNTIF($F$6:INDEX($F:$F, ROW()-1), $F523)) : INDEX(AA:AA, ROW()-1)
   )
   /SUM(INDEX(AA:AA, ROW()-COUNTIF($F$6:INDEX($F:$F, ROW()-1), $F523)) : INDEX(AA:AA, ROW()-1)),
   AVERAGEIFS(
     INDEX((unit_details[Effective Rent],unit_details[Effective PSF]),0,1,IF($U$3="Chunk Rent",1,2)),
     unit_details[Leased Date],"&gt;="&amp;($AM$2-X$5),
     unit_details[Leased Date],"&lt;"&amp;$AM$2,
     unit_details[Beds],$L524,
     unit_details[Baths],$M524,
     unit_details[Partial Baths],IF(ISNUMBER($N524),$N524,""),
     unit_details[Sqft],$P524,
     unit_details[Property Name],$F524)
 ),"")</f>
        <v/>
      </c>
      <c r="Z524" s="27" t="str">
        <f t="shared" si="99"/>
        <v/>
      </c>
      <c r="AA524" s="526">
        <f>IFERROR(
  IF($F524="Total",
    SUM(INDEX(AA:AA, ROW()-COUNTIF($F$6:INDEX($F:$F, ROW()-1), $F523)) : INDEX(AA:AA, ROW()-1)),
    COUNTIFS(
      unit_details[Leased Date], "&gt;="&amp;($AM$2-X$5),
      unit_details[Leased Date], "&lt;"&amp;$AM$2,
      unit_details[Beds], $L524,
      unit_details[Baths], $M524,
      unit_details[Partial Baths], IF(ISNUMBER($N524), $N524, ""),
      unit_details[Sqft],$P524,
      unit_details[Property Name], $F524
    )
  ),
"")</f>
        <v>0</v>
      </c>
      <c r="AB524" s="290">
        <f>IF($F524="Total",
SUM(INDEX(AB:AB, ROW()-COUNTIF($F$6:INDEX($F:$F, ROW()-1), $F523)) : INDEX(AB:AB, ROW()-1)),
COUNTIFS(unit_details[Active Listing?],TRUE,
          unit_details[Property Name], $F524,
          unit_details[Beds], $L524,
          unit_details[Baths], $M524,
          unit_details[Partial Baths],IF(ISNUMBER($N524),$N524,""),
          unit_details[Sqft],$P524))</f>
        <v>0</v>
      </c>
      <c r="AC524" s="27" t="str">
        <f t="shared" si="91"/>
        <v/>
      </c>
      <c r="AD524" s="293" t="str">
        <f>IFERROR(IF(AE524="","",IF($F524="Total",
SUMPRODUCT(
   INDEX(AD:AD, ROW()-COUNTIF($F$6:INDEX($F:$F, ROW()-1), $F523)) : INDEX(AD:AD, ROW()-1),
   INDEX(AB:AB, ROW()-COUNTIF($F$6:INDEX($F:$F, ROW()-1), $F523)) : INDEX(AB:AB, ROW()-1)
   )
   /SUM(INDEX(AB:AB, ROW()-COUNTIF($F$6:INDEX($F:$F, ROW()-1), $F523)) : INDEX(AB:AB, ROW()-1)),
          _xlfn.MINIFS(unit_details[Asking Rent],
          unit_details[Active Listing?],TRUE,
          unit_details[Property Name], $F524,
          unit_details[Beds], $L524,
          unit_details[Baths], $M524,
          unit_details[Partial Baths], IF(ISNUMBER($N524),$N524,""),
          unit_details[Sqft],$P524
))),"")</f>
        <v/>
      </c>
      <c r="AE524" s="5" t="str">
        <f>IFERROR(IF($F524="Total",
          SUMPRODUCT(
   INDEX(AE:AE, ROW()-COUNTIF($F$6:INDEX($F:$F, ROW()-1), $F523)) : INDEX(AE:AE, ROW()-1),
   INDEX(AB:AB, ROW()-COUNTIF($F$6:INDEX($F:$F, ROW()-1), $F523)) : INDEX(AB:AB, ROW()-1)
   )
   /SUM(INDEX(AB:AB, ROW()-COUNTIF($F$6:INDEX($F:$F, ROW()-1), $F523)) : INDEX(AB:AB, ROW()-1)),
          AVERAGEIFS(unit_details[Asking Rent],
          unit_details[Active Listing?],TRUE,
          unit_details[Property Name], $F524,
          unit_details[Beds], $L524,
          unit_details[Baths], $M524,
          unit_details[Partial Baths], IF(ISNUMBER($N524),$N524,""),
          unit_details[Sqft],$P524
)),"")</f>
        <v/>
      </c>
      <c r="AF524" s="5" t="str">
        <f>IFERROR(IF(AE524="","",IF($F524="Total",
SUMPRODUCT(
   INDEX(AF:AF, ROW()-COUNTIF($F$6:INDEX($F:$F, ROW()-1), $F523)) : INDEX(AF:AF, ROW()-1),
   INDEX(AB:AB, ROW()-COUNTIF($F$6:INDEX($F:$F, ROW()-1), $F523)) : INDEX(AB:AB, ROW()-1)
   )
   /SUM(INDEX(AB:AB, ROW()-COUNTIF($F$6:INDEX($F:$F, ROW()-1), $F523)) : INDEX(AB:AB, ROW()-1)),
           _xlfn.MAXIFS(unit_details[Asking Rent],
          unit_details[Active Listing?],TRUE,
          unit_details[Property Name], $F524,
          unit_details[Beds], $L524,
          unit_details[Baths], $M524,
          unit_details[Partial Baths], IF(ISNUMBER($N524),$N524,""),
          unit_details[Sqft],$P524
))),"")</f>
        <v/>
      </c>
      <c r="AG524" s="6" t="str">
        <f>IFERROR(IF($F524="Total",
         SUMPRODUCT(
         INDEX(AG:AG, ROW()-COUNTIF($F$6:INDEX($F:$F, ROW()-1), $F523)) : INDEX(AG:AG, ROW()-1),
         INDEX(AB:AB, ROW()-COUNTIF($F$6:INDEX($F:$F, ROW()-1), $F523)) : INDEX(AB:AB, ROW()-1)
         )
         /SUM(INDEX(AB:AB, ROW()-COUNTIF($F$6:INDEX($F:$F, ROW()-1), $F523)) : INDEX(AB:AB, ROW()-1)),
          AVERAGEIFS(unit_details[Asking PSF],
          unit_details[Active Listing?],TRUE,
          unit_details[Property Name], $F524,
          unit_details[Beds], $L524,
          unit_details[Baths], $M524,
          unit_details[Partial Baths], IF(ISNUMBER($N524),$N524,""),
          unit_details[Sqft],$P524
)),"")</f>
        <v/>
      </c>
      <c r="AH524" s="293" t="str">
        <f>IFERROR(IF($F524="Total",
         SUMPRODUCT(
         INDEX(AH:AH, ROW()-COUNTIF($F$6:INDEX($F:$F, ROW()-1), $F523)) : INDEX(AH:AH, ROW()-1),
         INDEX(AB:AB, ROW()-COUNTIF($F$6:INDEX($F:$F, ROW()-1), $F523)) : INDEX(AB:AB, ROW()-1)
         )
         /SUM(INDEX(AB:AB, ROW()-COUNTIF($F$6:INDEX($F:$F, ROW()-1), $F523)) : INDEX(AB:AB, ROW()-1)),
          AVERAGEIFS(unit_details[Effective Rent],
          unit_details[Active Listing?],TRUE,
          unit_details[Property Name], $F524,
          unit_details[Beds], $L524,
          unit_details[Baths], $M524,
          unit_details[Partial Baths], IF(ISNUMBER($N524),$N524,""),
          unit_details[Sqft],$P524
)),"")</f>
        <v/>
      </c>
      <c r="AI524" s="6" t="str">
        <f>IFERROR(IF($F524="Total",
         SUMPRODUCT(
         INDEX(AI:AI, ROW()-COUNTIF($F$6:INDEX($F:$F, ROW()-1), $F523)) : INDEX(AI:AI, ROW()-1),
         INDEX(AB:AB, ROW()-COUNTIF($F$6:INDEX($F:$F, ROW()-1), $F523)) : INDEX(AB:AB, ROW()-1)
         )
         /SUM(INDEX(AB:AB, ROW()-COUNTIF($F$6:INDEX($F:$F, ROW()-1), $F523)) : INDEX(AB:AB, ROW()-1)),
           AVERAGEIFS(unit_details[Effective PSF],
          unit_details[Active Listing?],TRUE,
          unit_details[Property Name], $F524,
          unit_details[Beds], $L524,
          unit_details[Baths], $M524,
          unit_details[Partial Baths], IF(ISNUMBER($N524),$N524,""),
          unit_details[Sqft],$P524
)),"")</f>
        <v/>
      </c>
      <c r="AJ524" s="824" t="str">
        <f t="shared" si="92"/>
        <v/>
      </c>
      <c r="AK524" s="531" t="str">
        <f t="shared" si="93"/>
        <v/>
      </c>
      <c r="AL524" s="714" t="str">
        <f t="shared" si="94"/>
        <v/>
      </c>
      <c r="AM524" s="531" t="str">
        <f t="shared" si="95"/>
        <v/>
      </c>
      <c r="AN524" s="716" t="str">
        <f t="shared" si="96"/>
        <v/>
      </c>
    </row>
    <row r="525" spans="6:40" x14ac:dyDescent="0.2">
      <c r="F525" s="1" t="str">
        <f t="shared" si="89"/>
        <v/>
      </c>
      <c r="G525" s="713" t="str">
        <f t="shared" si="97"/>
        <v/>
      </c>
      <c r="H525" s="17" t="str">
        <f>IFERROR(VLOOKUP($G525,Table1[[Property]:[Exposure %]],4,0),"")</f>
        <v/>
      </c>
      <c r="I525" s="3" t="str">
        <f>IFERROR(VLOOKUP($G525,Table1[[Property]:[Exposure %]],6,0),"")</f>
        <v/>
      </c>
      <c r="J525" s="3" t="str">
        <f>IFERROR(VLOOKUP($G525,Table1[[Property]:[Exposure %]],7,0),"")</f>
        <v/>
      </c>
      <c r="R525" s="4" t="str">
        <f>IFERROR(VLOOKUP(IF(F525="Total",F524,F525),Table1[[Property]:['# Units]],7,0)*S525,"")</f>
        <v/>
      </c>
      <c r="S525" s="27" t="str">
        <f t="shared" si="90"/>
        <v/>
      </c>
      <c r="T525" s="531" t="str">
        <f>IFERROR(
 IF($F525="Total",
   SUMPRODUCT(
   INDEX(T:T, ROW()-COUNTIF($F$6:INDEX($F:$F, ROW()-1), $F524)) : INDEX(T:T, ROW()-1),
   INDEX(W:W, ROW()-COUNTIF($F$6:INDEX($F:$F, ROW()-1), $F524)) : INDEX(W:W, ROW()-1)
   )
   /SUM(INDEX(W:W, ROW()-COUNTIF($F$6:INDEX($F:$F, ROW()-1), $F524)) : INDEX(W:W, ROW()-1)),
   AVERAGEIFS(
     INDEX((unit_details[Asking Rent],unit_details[Asking PSF]),0,1,IF($U$3="Chunk Rent",1,2)),
     unit_details[Leased Date],"&gt;="&amp;($AM$2-T$5),
     unit_details[Leased Date],"&lt;"&amp;$AM$2,
     unit_details[Beds],$L525,
     unit_details[Baths],$M525,
     unit_details[Partial Baths],IF(ISNUMBER($N525),$N525,""),
     unit_details[Sqft],$P525,
     unit_details[Property Name],$F525)
 ),"")</f>
        <v/>
      </c>
      <c r="U525" s="552" t="str">
        <f>IFERROR(
 IF($F525="Total",
   SUMPRODUCT(
   INDEX(U:U, ROW()-COUNTIF($F$6:INDEX($F:$F, ROW()-1), $F524)) : INDEX(U:U, ROW()-1),
   INDEX(W:W, ROW()-COUNTIF($F$6:INDEX($F:$F, ROW()-1), $F524)) : INDEX(W:W, ROW()-1)
   )
   /SUM(INDEX(W:W, ROW()-COUNTIF($F$6:INDEX($F:$F, ROW()-1), $F524)) : INDEX(W:W, ROW()-1)),
   AVERAGEIFS(
     INDEX((unit_details[Effective Rent],unit_details[Effective PSF]),0,1,IF($U$3="Chunk Rent",1,2)),
     unit_details[Leased Date],"&gt;="&amp;($AM$2-T$5),
     unit_details[Leased Date],"&lt;"&amp;$AM$2,
     unit_details[Beds],$L525,
     unit_details[Baths],$M525,
     unit_details[Partial Baths],IF(ISNUMBER($N525),$N525,""),
     unit_details[Sqft],$P525,
     unit_details[Property Name],$F525)
 ),"")</f>
        <v/>
      </c>
      <c r="V525" s="27" t="str">
        <f t="shared" si="98"/>
        <v/>
      </c>
      <c r="W525" s="526">
        <f>IFERROR(
  IF($F525="Total",
    SUM(INDEX(W:W, ROW()-COUNTIF($F$6:INDEX($F:$F, ROW()-1), $F524)) : INDEX(W:W, ROW()-1)),
    COUNTIFS(
      unit_details[Leased Date], "&gt;="&amp;($AM$2-T$5),
      unit_details[Leased Date], "&lt;"&amp;$AM$2,
      unit_details[Beds], $L525,
      unit_details[Baths], $M525,
      unit_details[Partial Baths], IF(ISNUMBER($N525), $N525, ""),
      unit_details[Sqft],$P525,
      unit_details[Property Name], $F525
    )
  ),
"")</f>
        <v>0</v>
      </c>
      <c r="X525" s="531" t="str">
        <f>IFERROR(
 IF($F525="Total",
   SUMPRODUCT(
   INDEX(X:X, ROW()-COUNTIF($F$6:INDEX($F:$F, ROW()-1), $F524)) : INDEX(X:X, ROW()-1),
   INDEX(AA:AA, ROW()-COUNTIF($F$6:INDEX($F:$F, ROW()-1), $F524)) : INDEX(AA:AA, ROW()-1)
   )
   /SUM(INDEX(AA:AA, ROW()-COUNTIF($F$6:INDEX($F:$F, ROW()-1), $F524)) : INDEX(AA:AA, ROW()-1)),
   AVERAGEIFS(
     INDEX((unit_details[Asking Rent],unit_details[Asking PSF]),0,1,IF($U$3="Chunk Rent",1,2)),
     unit_details[Leased Date],"&gt;="&amp;($AM$2-X$5),
     unit_details[Leased Date],"&lt;"&amp;$AM$2,
     unit_details[Beds],$L525,
     unit_details[Baths],$M525,
     unit_details[Partial Baths],IF(ISNUMBER($N525),$N525,""),
     unit_details[Sqft],$P525,
     unit_details[Property Name],$F525)
 ),"")</f>
        <v/>
      </c>
      <c r="Y525" s="552" t="str">
        <f>IFERROR(
 IF($F525="Total",
   SUMPRODUCT(
   INDEX(Y:Y, ROW()-COUNTIF($F$6:INDEX($F:$F, ROW()-1), $F524)) : INDEX(Y:Y, ROW()-1),
   INDEX(AA:AA, ROW()-COUNTIF($F$6:INDEX($F:$F, ROW()-1), $F524)) : INDEX(AA:AA, ROW()-1)
   )
   /SUM(INDEX(AA:AA, ROW()-COUNTIF($F$6:INDEX($F:$F, ROW()-1), $F524)) : INDEX(AA:AA, ROW()-1)),
   AVERAGEIFS(
     INDEX((unit_details[Effective Rent],unit_details[Effective PSF]),0,1,IF($U$3="Chunk Rent",1,2)),
     unit_details[Leased Date],"&gt;="&amp;($AM$2-X$5),
     unit_details[Leased Date],"&lt;"&amp;$AM$2,
     unit_details[Beds],$L525,
     unit_details[Baths],$M525,
     unit_details[Partial Baths],IF(ISNUMBER($N525),$N525,""),
     unit_details[Sqft],$P525,
     unit_details[Property Name],$F525)
 ),"")</f>
        <v/>
      </c>
      <c r="Z525" s="27" t="str">
        <f t="shared" si="99"/>
        <v/>
      </c>
      <c r="AA525" s="526">
        <f>IFERROR(
  IF($F525="Total",
    SUM(INDEX(AA:AA, ROW()-COUNTIF($F$6:INDEX($F:$F, ROW()-1), $F524)) : INDEX(AA:AA, ROW()-1)),
    COUNTIFS(
      unit_details[Leased Date], "&gt;="&amp;($AM$2-X$5),
      unit_details[Leased Date], "&lt;"&amp;$AM$2,
      unit_details[Beds], $L525,
      unit_details[Baths], $M525,
      unit_details[Partial Baths], IF(ISNUMBER($N525), $N525, ""),
      unit_details[Sqft],$P525,
      unit_details[Property Name], $F525
    )
  ),
"")</f>
        <v>0</v>
      </c>
      <c r="AB525" s="290">
        <f>IF($F525="Total",
SUM(INDEX(AB:AB, ROW()-COUNTIF($F$6:INDEX($F:$F, ROW()-1), $F524)) : INDEX(AB:AB, ROW()-1)),
COUNTIFS(unit_details[Active Listing?],TRUE,
          unit_details[Property Name], $F525,
          unit_details[Beds], $L525,
          unit_details[Baths], $M525,
          unit_details[Partial Baths],IF(ISNUMBER($N525),$N525,""),
          unit_details[Sqft],$P525))</f>
        <v>0</v>
      </c>
      <c r="AC525" s="27" t="str">
        <f t="shared" si="91"/>
        <v/>
      </c>
      <c r="AD525" s="293" t="str">
        <f>IFERROR(IF(AE525="","",IF($F525="Total",
SUMPRODUCT(
   INDEX(AD:AD, ROW()-COUNTIF($F$6:INDEX($F:$F, ROW()-1), $F524)) : INDEX(AD:AD, ROW()-1),
   INDEX(AB:AB, ROW()-COUNTIF($F$6:INDEX($F:$F, ROW()-1), $F524)) : INDEX(AB:AB, ROW()-1)
   )
   /SUM(INDEX(AB:AB, ROW()-COUNTIF($F$6:INDEX($F:$F, ROW()-1), $F524)) : INDEX(AB:AB, ROW()-1)),
          _xlfn.MINIFS(unit_details[Asking Rent],
          unit_details[Active Listing?],TRUE,
          unit_details[Property Name], $F525,
          unit_details[Beds], $L525,
          unit_details[Baths], $M525,
          unit_details[Partial Baths], IF(ISNUMBER($N525),$N525,""),
          unit_details[Sqft],$P525
))),"")</f>
        <v/>
      </c>
      <c r="AE525" s="5" t="str">
        <f>IFERROR(IF($F525="Total",
          SUMPRODUCT(
   INDEX(AE:AE, ROW()-COUNTIF($F$6:INDEX($F:$F, ROW()-1), $F524)) : INDEX(AE:AE, ROW()-1),
   INDEX(AB:AB, ROW()-COUNTIF($F$6:INDEX($F:$F, ROW()-1), $F524)) : INDEX(AB:AB, ROW()-1)
   )
   /SUM(INDEX(AB:AB, ROW()-COUNTIF($F$6:INDEX($F:$F, ROW()-1), $F524)) : INDEX(AB:AB, ROW()-1)),
          AVERAGEIFS(unit_details[Asking Rent],
          unit_details[Active Listing?],TRUE,
          unit_details[Property Name], $F525,
          unit_details[Beds], $L525,
          unit_details[Baths], $M525,
          unit_details[Partial Baths], IF(ISNUMBER($N525),$N525,""),
          unit_details[Sqft],$P525
)),"")</f>
        <v/>
      </c>
      <c r="AF525" s="5" t="str">
        <f>IFERROR(IF(AE525="","",IF($F525="Total",
SUMPRODUCT(
   INDEX(AF:AF, ROW()-COUNTIF($F$6:INDEX($F:$F, ROW()-1), $F524)) : INDEX(AF:AF, ROW()-1),
   INDEX(AB:AB, ROW()-COUNTIF($F$6:INDEX($F:$F, ROW()-1), $F524)) : INDEX(AB:AB, ROW()-1)
   )
   /SUM(INDEX(AB:AB, ROW()-COUNTIF($F$6:INDEX($F:$F, ROW()-1), $F524)) : INDEX(AB:AB, ROW()-1)),
           _xlfn.MAXIFS(unit_details[Asking Rent],
          unit_details[Active Listing?],TRUE,
          unit_details[Property Name], $F525,
          unit_details[Beds], $L525,
          unit_details[Baths], $M525,
          unit_details[Partial Baths], IF(ISNUMBER($N525),$N525,""),
          unit_details[Sqft],$P525
))),"")</f>
        <v/>
      </c>
      <c r="AG525" s="6" t="str">
        <f>IFERROR(IF($F525="Total",
         SUMPRODUCT(
         INDEX(AG:AG, ROW()-COUNTIF($F$6:INDEX($F:$F, ROW()-1), $F524)) : INDEX(AG:AG, ROW()-1),
         INDEX(AB:AB, ROW()-COUNTIF($F$6:INDEX($F:$F, ROW()-1), $F524)) : INDEX(AB:AB, ROW()-1)
         )
         /SUM(INDEX(AB:AB, ROW()-COUNTIF($F$6:INDEX($F:$F, ROW()-1), $F524)) : INDEX(AB:AB, ROW()-1)),
          AVERAGEIFS(unit_details[Asking PSF],
          unit_details[Active Listing?],TRUE,
          unit_details[Property Name], $F525,
          unit_details[Beds], $L525,
          unit_details[Baths], $M525,
          unit_details[Partial Baths], IF(ISNUMBER($N525),$N525,""),
          unit_details[Sqft],$P525
)),"")</f>
        <v/>
      </c>
      <c r="AH525" s="293" t="str">
        <f>IFERROR(IF($F525="Total",
         SUMPRODUCT(
         INDEX(AH:AH, ROW()-COUNTIF($F$6:INDEX($F:$F, ROW()-1), $F524)) : INDEX(AH:AH, ROW()-1),
         INDEX(AB:AB, ROW()-COUNTIF($F$6:INDEX($F:$F, ROW()-1), $F524)) : INDEX(AB:AB, ROW()-1)
         )
         /SUM(INDEX(AB:AB, ROW()-COUNTIF($F$6:INDEX($F:$F, ROW()-1), $F524)) : INDEX(AB:AB, ROW()-1)),
          AVERAGEIFS(unit_details[Effective Rent],
          unit_details[Active Listing?],TRUE,
          unit_details[Property Name], $F525,
          unit_details[Beds], $L525,
          unit_details[Baths], $M525,
          unit_details[Partial Baths], IF(ISNUMBER($N525),$N525,""),
          unit_details[Sqft],$P525
)),"")</f>
        <v/>
      </c>
      <c r="AI525" s="6" t="str">
        <f>IFERROR(IF($F525="Total",
         SUMPRODUCT(
         INDEX(AI:AI, ROW()-COUNTIF($F$6:INDEX($F:$F, ROW()-1), $F524)) : INDEX(AI:AI, ROW()-1),
         INDEX(AB:AB, ROW()-COUNTIF($F$6:INDEX($F:$F, ROW()-1), $F524)) : INDEX(AB:AB, ROW()-1)
         )
         /SUM(INDEX(AB:AB, ROW()-COUNTIF($F$6:INDEX($F:$F, ROW()-1), $F524)) : INDEX(AB:AB, ROW()-1)),
           AVERAGEIFS(unit_details[Effective PSF],
          unit_details[Active Listing?],TRUE,
          unit_details[Property Name], $F525,
          unit_details[Beds], $L525,
          unit_details[Baths], $M525,
          unit_details[Partial Baths], IF(ISNUMBER($N525),$N525,""),
          unit_details[Sqft],$P525
)),"")</f>
        <v/>
      </c>
      <c r="AJ525" s="824" t="str">
        <f t="shared" si="92"/>
        <v/>
      </c>
      <c r="AK525" s="531" t="str">
        <f t="shared" si="93"/>
        <v/>
      </c>
      <c r="AL525" s="714" t="str">
        <f t="shared" si="94"/>
        <v/>
      </c>
      <c r="AM525" s="531" t="str">
        <f t="shared" si="95"/>
        <v/>
      </c>
      <c r="AN525" s="716" t="str">
        <f t="shared" si="96"/>
        <v/>
      </c>
    </row>
    <row r="526" spans="6:40" x14ac:dyDescent="0.2">
      <c r="F526" s="1" t="str">
        <f t="shared" si="89"/>
        <v/>
      </c>
      <c r="G526" s="713" t="str">
        <f t="shared" si="97"/>
        <v/>
      </c>
      <c r="H526" s="17" t="str">
        <f>IFERROR(VLOOKUP($G526,Table1[[Property]:[Exposure %]],4,0),"")</f>
        <v/>
      </c>
      <c r="I526" s="3" t="str">
        <f>IFERROR(VLOOKUP($G526,Table1[[Property]:[Exposure %]],6,0),"")</f>
        <v/>
      </c>
      <c r="J526" s="3" t="str">
        <f>IFERROR(VLOOKUP($G526,Table1[[Property]:[Exposure %]],7,0),"")</f>
        <v/>
      </c>
      <c r="R526" s="4" t="str">
        <f>IFERROR(VLOOKUP(IF(F526="Total",F525,F526),Table1[[Property]:['# Units]],7,0)*S526,"")</f>
        <v/>
      </c>
      <c r="S526" s="27" t="str">
        <f t="shared" si="90"/>
        <v/>
      </c>
      <c r="T526" s="531" t="str">
        <f>IFERROR(
 IF($F526="Total",
   SUMPRODUCT(
   INDEX(T:T, ROW()-COUNTIF($F$6:INDEX($F:$F, ROW()-1), $F525)) : INDEX(T:T, ROW()-1),
   INDEX(W:W, ROW()-COUNTIF($F$6:INDEX($F:$F, ROW()-1), $F525)) : INDEX(W:W, ROW()-1)
   )
   /SUM(INDEX(W:W, ROW()-COUNTIF($F$6:INDEX($F:$F, ROW()-1), $F525)) : INDEX(W:W, ROW()-1)),
   AVERAGEIFS(
     INDEX((unit_details[Asking Rent],unit_details[Asking PSF]),0,1,IF($U$3="Chunk Rent",1,2)),
     unit_details[Leased Date],"&gt;="&amp;($AM$2-T$5),
     unit_details[Leased Date],"&lt;"&amp;$AM$2,
     unit_details[Beds],$L526,
     unit_details[Baths],$M526,
     unit_details[Partial Baths],IF(ISNUMBER($N526),$N526,""),
     unit_details[Sqft],$P526,
     unit_details[Property Name],$F526)
 ),"")</f>
        <v/>
      </c>
      <c r="U526" s="552" t="str">
        <f>IFERROR(
 IF($F526="Total",
   SUMPRODUCT(
   INDEX(U:U, ROW()-COUNTIF($F$6:INDEX($F:$F, ROW()-1), $F525)) : INDEX(U:U, ROW()-1),
   INDEX(W:W, ROW()-COUNTIF($F$6:INDEX($F:$F, ROW()-1), $F525)) : INDEX(W:W, ROW()-1)
   )
   /SUM(INDEX(W:W, ROW()-COUNTIF($F$6:INDEX($F:$F, ROW()-1), $F525)) : INDEX(W:W, ROW()-1)),
   AVERAGEIFS(
     INDEX((unit_details[Effective Rent],unit_details[Effective PSF]),0,1,IF($U$3="Chunk Rent",1,2)),
     unit_details[Leased Date],"&gt;="&amp;($AM$2-T$5),
     unit_details[Leased Date],"&lt;"&amp;$AM$2,
     unit_details[Beds],$L526,
     unit_details[Baths],$M526,
     unit_details[Partial Baths],IF(ISNUMBER($N526),$N526,""),
     unit_details[Sqft],$P526,
     unit_details[Property Name],$F526)
 ),"")</f>
        <v/>
      </c>
      <c r="V526" s="27" t="str">
        <f t="shared" si="98"/>
        <v/>
      </c>
      <c r="W526" s="526">
        <f>IFERROR(
  IF($F526="Total",
    SUM(INDEX(W:W, ROW()-COUNTIF($F$6:INDEX($F:$F, ROW()-1), $F525)) : INDEX(W:W, ROW()-1)),
    COUNTIFS(
      unit_details[Leased Date], "&gt;="&amp;($AM$2-T$5),
      unit_details[Leased Date], "&lt;"&amp;$AM$2,
      unit_details[Beds], $L526,
      unit_details[Baths], $M526,
      unit_details[Partial Baths], IF(ISNUMBER($N526), $N526, ""),
      unit_details[Sqft],$P526,
      unit_details[Property Name], $F526
    )
  ),
"")</f>
        <v>0</v>
      </c>
      <c r="X526" s="531" t="str">
        <f>IFERROR(
 IF($F526="Total",
   SUMPRODUCT(
   INDEX(X:X, ROW()-COUNTIF($F$6:INDEX($F:$F, ROW()-1), $F525)) : INDEX(X:X, ROW()-1),
   INDEX(AA:AA, ROW()-COUNTIF($F$6:INDEX($F:$F, ROW()-1), $F525)) : INDEX(AA:AA, ROW()-1)
   )
   /SUM(INDEX(AA:AA, ROW()-COUNTIF($F$6:INDEX($F:$F, ROW()-1), $F525)) : INDEX(AA:AA, ROW()-1)),
   AVERAGEIFS(
     INDEX((unit_details[Asking Rent],unit_details[Asking PSF]),0,1,IF($U$3="Chunk Rent",1,2)),
     unit_details[Leased Date],"&gt;="&amp;($AM$2-X$5),
     unit_details[Leased Date],"&lt;"&amp;$AM$2,
     unit_details[Beds],$L526,
     unit_details[Baths],$M526,
     unit_details[Partial Baths],IF(ISNUMBER($N526),$N526,""),
     unit_details[Sqft],$P526,
     unit_details[Property Name],$F526)
 ),"")</f>
        <v/>
      </c>
      <c r="Y526" s="552" t="str">
        <f>IFERROR(
 IF($F526="Total",
   SUMPRODUCT(
   INDEX(Y:Y, ROW()-COUNTIF($F$6:INDEX($F:$F, ROW()-1), $F525)) : INDEX(Y:Y, ROW()-1),
   INDEX(AA:AA, ROW()-COUNTIF($F$6:INDEX($F:$F, ROW()-1), $F525)) : INDEX(AA:AA, ROW()-1)
   )
   /SUM(INDEX(AA:AA, ROW()-COUNTIF($F$6:INDEX($F:$F, ROW()-1), $F525)) : INDEX(AA:AA, ROW()-1)),
   AVERAGEIFS(
     INDEX((unit_details[Effective Rent],unit_details[Effective PSF]),0,1,IF($U$3="Chunk Rent",1,2)),
     unit_details[Leased Date],"&gt;="&amp;($AM$2-X$5),
     unit_details[Leased Date],"&lt;"&amp;$AM$2,
     unit_details[Beds],$L526,
     unit_details[Baths],$M526,
     unit_details[Partial Baths],IF(ISNUMBER($N526),$N526,""),
     unit_details[Sqft],$P526,
     unit_details[Property Name],$F526)
 ),"")</f>
        <v/>
      </c>
      <c r="Z526" s="27" t="str">
        <f t="shared" si="99"/>
        <v/>
      </c>
      <c r="AA526" s="526">
        <f>IFERROR(
  IF($F526="Total",
    SUM(INDEX(AA:AA, ROW()-COUNTIF($F$6:INDEX($F:$F, ROW()-1), $F525)) : INDEX(AA:AA, ROW()-1)),
    COUNTIFS(
      unit_details[Leased Date], "&gt;="&amp;($AM$2-X$5),
      unit_details[Leased Date], "&lt;"&amp;$AM$2,
      unit_details[Beds], $L526,
      unit_details[Baths], $M526,
      unit_details[Partial Baths], IF(ISNUMBER($N526), $N526, ""),
      unit_details[Sqft],$P526,
      unit_details[Property Name], $F526
    )
  ),
"")</f>
        <v>0</v>
      </c>
      <c r="AB526" s="290">
        <f>IF($F526="Total",
SUM(INDEX(AB:AB, ROW()-COUNTIF($F$6:INDEX($F:$F, ROW()-1), $F525)) : INDEX(AB:AB, ROW()-1)),
COUNTIFS(unit_details[Active Listing?],TRUE,
          unit_details[Property Name], $F526,
          unit_details[Beds], $L526,
          unit_details[Baths], $M526,
          unit_details[Partial Baths],IF(ISNUMBER($N526),$N526,""),
          unit_details[Sqft],$P526))</f>
        <v>0</v>
      </c>
      <c r="AC526" s="27" t="str">
        <f t="shared" si="91"/>
        <v/>
      </c>
      <c r="AD526" s="293" t="str">
        <f>IFERROR(IF(AE526="","",IF($F526="Total",
SUMPRODUCT(
   INDEX(AD:AD, ROW()-COUNTIF($F$6:INDEX($F:$F, ROW()-1), $F525)) : INDEX(AD:AD, ROW()-1),
   INDEX(AB:AB, ROW()-COUNTIF($F$6:INDEX($F:$F, ROW()-1), $F525)) : INDEX(AB:AB, ROW()-1)
   )
   /SUM(INDEX(AB:AB, ROW()-COUNTIF($F$6:INDEX($F:$F, ROW()-1), $F525)) : INDEX(AB:AB, ROW()-1)),
          _xlfn.MINIFS(unit_details[Asking Rent],
          unit_details[Active Listing?],TRUE,
          unit_details[Property Name], $F526,
          unit_details[Beds], $L526,
          unit_details[Baths], $M526,
          unit_details[Partial Baths], IF(ISNUMBER($N526),$N526,""),
          unit_details[Sqft],$P526
))),"")</f>
        <v/>
      </c>
      <c r="AE526" s="5" t="str">
        <f>IFERROR(IF($F526="Total",
          SUMPRODUCT(
   INDEX(AE:AE, ROW()-COUNTIF($F$6:INDEX($F:$F, ROW()-1), $F525)) : INDEX(AE:AE, ROW()-1),
   INDEX(AB:AB, ROW()-COUNTIF($F$6:INDEX($F:$F, ROW()-1), $F525)) : INDEX(AB:AB, ROW()-1)
   )
   /SUM(INDEX(AB:AB, ROW()-COUNTIF($F$6:INDEX($F:$F, ROW()-1), $F525)) : INDEX(AB:AB, ROW()-1)),
          AVERAGEIFS(unit_details[Asking Rent],
          unit_details[Active Listing?],TRUE,
          unit_details[Property Name], $F526,
          unit_details[Beds], $L526,
          unit_details[Baths], $M526,
          unit_details[Partial Baths], IF(ISNUMBER($N526),$N526,""),
          unit_details[Sqft],$P526
)),"")</f>
        <v/>
      </c>
      <c r="AF526" s="5" t="str">
        <f>IFERROR(IF(AE526="","",IF($F526="Total",
SUMPRODUCT(
   INDEX(AF:AF, ROW()-COUNTIF($F$6:INDEX($F:$F, ROW()-1), $F525)) : INDEX(AF:AF, ROW()-1),
   INDEX(AB:AB, ROW()-COUNTIF($F$6:INDEX($F:$F, ROW()-1), $F525)) : INDEX(AB:AB, ROW()-1)
   )
   /SUM(INDEX(AB:AB, ROW()-COUNTIF($F$6:INDEX($F:$F, ROW()-1), $F525)) : INDEX(AB:AB, ROW()-1)),
           _xlfn.MAXIFS(unit_details[Asking Rent],
          unit_details[Active Listing?],TRUE,
          unit_details[Property Name], $F526,
          unit_details[Beds], $L526,
          unit_details[Baths], $M526,
          unit_details[Partial Baths], IF(ISNUMBER($N526),$N526,""),
          unit_details[Sqft],$P526
))),"")</f>
        <v/>
      </c>
      <c r="AG526" s="6" t="str">
        <f>IFERROR(IF($F526="Total",
         SUMPRODUCT(
         INDEX(AG:AG, ROW()-COUNTIF($F$6:INDEX($F:$F, ROW()-1), $F525)) : INDEX(AG:AG, ROW()-1),
         INDEX(AB:AB, ROW()-COUNTIF($F$6:INDEX($F:$F, ROW()-1), $F525)) : INDEX(AB:AB, ROW()-1)
         )
         /SUM(INDEX(AB:AB, ROW()-COUNTIF($F$6:INDEX($F:$F, ROW()-1), $F525)) : INDEX(AB:AB, ROW()-1)),
          AVERAGEIFS(unit_details[Asking PSF],
          unit_details[Active Listing?],TRUE,
          unit_details[Property Name], $F526,
          unit_details[Beds], $L526,
          unit_details[Baths], $M526,
          unit_details[Partial Baths], IF(ISNUMBER($N526),$N526,""),
          unit_details[Sqft],$P526
)),"")</f>
        <v/>
      </c>
      <c r="AH526" s="293" t="str">
        <f>IFERROR(IF($F526="Total",
         SUMPRODUCT(
         INDEX(AH:AH, ROW()-COUNTIF($F$6:INDEX($F:$F, ROW()-1), $F525)) : INDEX(AH:AH, ROW()-1),
         INDEX(AB:AB, ROW()-COUNTIF($F$6:INDEX($F:$F, ROW()-1), $F525)) : INDEX(AB:AB, ROW()-1)
         )
         /SUM(INDEX(AB:AB, ROW()-COUNTIF($F$6:INDEX($F:$F, ROW()-1), $F525)) : INDEX(AB:AB, ROW()-1)),
          AVERAGEIFS(unit_details[Effective Rent],
          unit_details[Active Listing?],TRUE,
          unit_details[Property Name], $F526,
          unit_details[Beds], $L526,
          unit_details[Baths], $M526,
          unit_details[Partial Baths], IF(ISNUMBER($N526),$N526,""),
          unit_details[Sqft],$P526
)),"")</f>
        <v/>
      </c>
      <c r="AI526" s="6" t="str">
        <f>IFERROR(IF($F526="Total",
         SUMPRODUCT(
         INDEX(AI:AI, ROW()-COUNTIF($F$6:INDEX($F:$F, ROW()-1), $F525)) : INDEX(AI:AI, ROW()-1),
         INDEX(AB:AB, ROW()-COUNTIF($F$6:INDEX($F:$F, ROW()-1), $F525)) : INDEX(AB:AB, ROW()-1)
         )
         /SUM(INDEX(AB:AB, ROW()-COUNTIF($F$6:INDEX($F:$F, ROW()-1), $F525)) : INDEX(AB:AB, ROW()-1)),
           AVERAGEIFS(unit_details[Effective PSF],
          unit_details[Active Listing?],TRUE,
          unit_details[Property Name], $F526,
          unit_details[Beds], $L526,
          unit_details[Baths], $M526,
          unit_details[Partial Baths], IF(ISNUMBER($N526),$N526,""),
          unit_details[Sqft],$P526
)),"")</f>
        <v/>
      </c>
      <c r="AJ526" s="824" t="str">
        <f t="shared" si="92"/>
        <v/>
      </c>
      <c r="AK526" s="531" t="str">
        <f t="shared" si="93"/>
        <v/>
      </c>
      <c r="AL526" s="714" t="str">
        <f t="shared" si="94"/>
        <v/>
      </c>
      <c r="AM526" s="531" t="str">
        <f t="shared" si="95"/>
        <v/>
      </c>
      <c r="AN526" s="716" t="str">
        <f t="shared" si="96"/>
        <v/>
      </c>
    </row>
    <row r="527" spans="6:40" x14ac:dyDescent="0.2">
      <c r="F527" s="1" t="str">
        <f t="shared" si="89"/>
        <v/>
      </c>
      <c r="G527" s="713" t="str">
        <f t="shared" si="97"/>
        <v/>
      </c>
      <c r="H527" s="17" t="str">
        <f>IFERROR(VLOOKUP($G527,Table1[[Property]:[Exposure %]],4,0),"")</f>
        <v/>
      </c>
      <c r="I527" s="3" t="str">
        <f>IFERROR(VLOOKUP($G527,Table1[[Property]:[Exposure %]],6,0),"")</f>
        <v/>
      </c>
      <c r="J527" s="3" t="str">
        <f>IFERROR(VLOOKUP($G527,Table1[[Property]:[Exposure %]],7,0),"")</f>
        <v/>
      </c>
      <c r="R527" s="4" t="str">
        <f>IFERROR(VLOOKUP(IF(F527="Total",F526,F527),Table1[[Property]:['# Units]],7,0)*S527,"")</f>
        <v/>
      </c>
      <c r="S527" s="27" t="str">
        <f t="shared" si="90"/>
        <v/>
      </c>
      <c r="T527" s="531" t="str">
        <f>IFERROR(
 IF($F527="Total",
   SUMPRODUCT(
   INDEX(T:T, ROW()-COUNTIF($F$6:INDEX($F:$F, ROW()-1), $F526)) : INDEX(T:T, ROW()-1),
   INDEX(W:W, ROW()-COUNTIF($F$6:INDEX($F:$F, ROW()-1), $F526)) : INDEX(W:W, ROW()-1)
   )
   /SUM(INDEX(W:W, ROW()-COUNTIF($F$6:INDEX($F:$F, ROW()-1), $F526)) : INDEX(W:W, ROW()-1)),
   AVERAGEIFS(
     INDEX((unit_details[Asking Rent],unit_details[Asking PSF]),0,1,IF($U$3="Chunk Rent",1,2)),
     unit_details[Leased Date],"&gt;="&amp;($AM$2-T$5),
     unit_details[Leased Date],"&lt;"&amp;$AM$2,
     unit_details[Beds],$L527,
     unit_details[Baths],$M527,
     unit_details[Partial Baths],IF(ISNUMBER($N527),$N527,""),
     unit_details[Sqft],$P527,
     unit_details[Property Name],$F527)
 ),"")</f>
        <v/>
      </c>
      <c r="U527" s="552" t="str">
        <f>IFERROR(
 IF($F527="Total",
   SUMPRODUCT(
   INDEX(U:U, ROW()-COUNTIF($F$6:INDEX($F:$F, ROW()-1), $F526)) : INDEX(U:U, ROW()-1),
   INDEX(W:W, ROW()-COUNTIF($F$6:INDEX($F:$F, ROW()-1), $F526)) : INDEX(W:W, ROW()-1)
   )
   /SUM(INDEX(W:W, ROW()-COUNTIF($F$6:INDEX($F:$F, ROW()-1), $F526)) : INDEX(W:W, ROW()-1)),
   AVERAGEIFS(
     INDEX((unit_details[Effective Rent],unit_details[Effective PSF]),0,1,IF($U$3="Chunk Rent",1,2)),
     unit_details[Leased Date],"&gt;="&amp;($AM$2-T$5),
     unit_details[Leased Date],"&lt;"&amp;$AM$2,
     unit_details[Beds],$L527,
     unit_details[Baths],$M527,
     unit_details[Partial Baths],IF(ISNUMBER($N527),$N527,""),
     unit_details[Sqft],$P527,
     unit_details[Property Name],$F527)
 ),"")</f>
        <v/>
      </c>
      <c r="V527" s="27" t="str">
        <f t="shared" si="98"/>
        <v/>
      </c>
      <c r="W527" s="526">
        <f>IFERROR(
  IF($F527="Total",
    SUM(INDEX(W:W, ROW()-COUNTIF($F$6:INDEX($F:$F, ROW()-1), $F526)) : INDEX(W:W, ROW()-1)),
    COUNTIFS(
      unit_details[Leased Date], "&gt;="&amp;($AM$2-T$5),
      unit_details[Leased Date], "&lt;"&amp;$AM$2,
      unit_details[Beds], $L527,
      unit_details[Baths], $M527,
      unit_details[Partial Baths], IF(ISNUMBER($N527), $N527, ""),
      unit_details[Sqft],$P527,
      unit_details[Property Name], $F527
    )
  ),
"")</f>
        <v>0</v>
      </c>
      <c r="X527" s="531" t="str">
        <f>IFERROR(
 IF($F527="Total",
   SUMPRODUCT(
   INDEX(X:X, ROW()-COUNTIF($F$6:INDEX($F:$F, ROW()-1), $F526)) : INDEX(X:X, ROW()-1),
   INDEX(AA:AA, ROW()-COUNTIF($F$6:INDEX($F:$F, ROW()-1), $F526)) : INDEX(AA:AA, ROW()-1)
   )
   /SUM(INDEX(AA:AA, ROW()-COUNTIF($F$6:INDEX($F:$F, ROW()-1), $F526)) : INDEX(AA:AA, ROW()-1)),
   AVERAGEIFS(
     INDEX((unit_details[Asking Rent],unit_details[Asking PSF]),0,1,IF($U$3="Chunk Rent",1,2)),
     unit_details[Leased Date],"&gt;="&amp;($AM$2-X$5),
     unit_details[Leased Date],"&lt;"&amp;$AM$2,
     unit_details[Beds],$L527,
     unit_details[Baths],$M527,
     unit_details[Partial Baths],IF(ISNUMBER($N527),$N527,""),
     unit_details[Sqft],$P527,
     unit_details[Property Name],$F527)
 ),"")</f>
        <v/>
      </c>
      <c r="Y527" s="552" t="str">
        <f>IFERROR(
 IF($F527="Total",
   SUMPRODUCT(
   INDEX(Y:Y, ROW()-COUNTIF($F$6:INDEX($F:$F, ROW()-1), $F526)) : INDEX(Y:Y, ROW()-1),
   INDEX(AA:AA, ROW()-COUNTIF($F$6:INDEX($F:$F, ROW()-1), $F526)) : INDEX(AA:AA, ROW()-1)
   )
   /SUM(INDEX(AA:AA, ROW()-COUNTIF($F$6:INDEX($F:$F, ROW()-1), $F526)) : INDEX(AA:AA, ROW()-1)),
   AVERAGEIFS(
     INDEX((unit_details[Effective Rent],unit_details[Effective PSF]),0,1,IF($U$3="Chunk Rent",1,2)),
     unit_details[Leased Date],"&gt;="&amp;($AM$2-X$5),
     unit_details[Leased Date],"&lt;"&amp;$AM$2,
     unit_details[Beds],$L527,
     unit_details[Baths],$M527,
     unit_details[Partial Baths],IF(ISNUMBER($N527),$N527,""),
     unit_details[Sqft],$P527,
     unit_details[Property Name],$F527)
 ),"")</f>
        <v/>
      </c>
      <c r="Z527" s="27" t="str">
        <f t="shared" si="99"/>
        <v/>
      </c>
      <c r="AA527" s="526">
        <f>IFERROR(
  IF($F527="Total",
    SUM(INDEX(AA:AA, ROW()-COUNTIF($F$6:INDEX($F:$F, ROW()-1), $F526)) : INDEX(AA:AA, ROW()-1)),
    COUNTIFS(
      unit_details[Leased Date], "&gt;="&amp;($AM$2-X$5),
      unit_details[Leased Date], "&lt;"&amp;$AM$2,
      unit_details[Beds], $L527,
      unit_details[Baths], $M527,
      unit_details[Partial Baths], IF(ISNUMBER($N527), $N527, ""),
      unit_details[Sqft],$P527,
      unit_details[Property Name], $F527
    )
  ),
"")</f>
        <v>0</v>
      </c>
      <c r="AB527" s="290">
        <f>IF($F527="Total",
SUM(INDEX(AB:AB, ROW()-COUNTIF($F$6:INDEX($F:$F, ROW()-1), $F526)) : INDEX(AB:AB, ROW()-1)),
COUNTIFS(unit_details[Active Listing?],TRUE,
          unit_details[Property Name], $F527,
          unit_details[Beds], $L527,
          unit_details[Baths], $M527,
          unit_details[Partial Baths],IF(ISNUMBER($N527),$N527,""),
          unit_details[Sqft],$P527))</f>
        <v>0</v>
      </c>
      <c r="AC527" s="27" t="str">
        <f t="shared" si="91"/>
        <v/>
      </c>
      <c r="AD527" s="293" t="str">
        <f>IFERROR(IF(AE527="","",IF($F527="Total",
SUMPRODUCT(
   INDEX(AD:AD, ROW()-COUNTIF($F$6:INDEX($F:$F, ROW()-1), $F526)) : INDEX(AD:AD, ROW()-1),
   INDEX(AB:AB, ROW()-COUNTIF($F$6:INDEX($F:$F, ROW()-1), $F526)) : INDEX(AB:AB, ROW()-1)
   )
   /SUM(INDEX(AB:AB, ROW()-COUNTIF($F$6:INDEX($F:$F, ROW()-1), $F526)) : INDEX(AB:AB, ROW()-1)),
          _xlfn.MINIFS(unit_details[Asking Rent],
          unit_details[Active Listing?],TRUE,
          unit_details[Property Name], $F527,
          unit_details[Beds], $L527,
          unit_details[Baths], $M527,
          unit_details[Partial Baths], IF(ISNUMBER($N527),$N527,""),
          unit_details[Sqft],$P527
))),"")</f>
        <v/>
      </c>
      <c r="AE527" s="5" t="str">
        <f>IFERROR(IF($F527="Total",
          SUMPRODUCT(
   INDEX(AE:AE, ROW()-COUNTIF($F$6:INDEX($F:$F, ROW()-1), $F526)) : INDEX(AE:AE, ROW()-1),
   INDEX(AB:AB, ROW()-COUNTIF($F$6:INDEX($F:$F, ROW()-1), $F526)) : INDEX(AB:AB, ROW()-1)
   )
   /SUM(INDEX(AB:AB, ROW()-COUNTIF($F$6:INDEX($F:$F, ROW()-1), $F526)) : INDEX(AB:AB, ROW()-1)),
          AVERAGEIFS(unit_details[Asking Rent],
          unit_details[Active Listing?],TRUE,
          unit_details[Property Name], $F527,
          unit_details[Beds], $L527,
          unit_details[Baths], $M527,
          unit_details[Partial Baths], IF(ISNUMBER($N527),$N527,""),
          unit_details[Sqft],$P527
)),"")</f>
        <v/>
      </c>
      <c r="AF527" s="5" t="str">
        <f>IFERROR(IF(AE527="","",IF($F527="Total",
SUMPRODUCT(
   INDEX(AF:AF, ROW()-COUNTIF($F$6:INDEX($F:$F, ROW()-1), $F526)) : INDEX(AF:AF, ROW()-1),
   INDEX(AB:AB, ROW()-COUNTIF($F$6:INDEX($F:$F, ROW()-1), $F526)) : INDEX(AB:AB, ROW()-1)
   )
   /SUM(INDEX(AB:AB, ROW()-COUNTIF($F$6:INDEX($F:$F, ROW()-1), $F526)) : INDEX(AB:AB, ROW()-1)),
           _xlfn.MAXIFS(unit_details[Asking Rent],
          unit_details[Active Listing?],TRUE,
          unit_details[Property Name], $F527,
          unit_details[Beds], $L527,
          unit_details[Baths], $M527,
          unit_details[Partial Baths], IF(ISNUMBER($N527),$N527,""),
          unit_details[Sqft],$P527
))),"")</f>
        <v/>
      </c>
      <c r="AG527" s="6" t="str">
        <f>IFERROR(IF($F527="Total",
         SUMPRODUCT(
         INDEX(AG:AG, ROW()-COUNTIF($F$6:INDEX($F:$F, ROW()-1), $F526)) : INDEX(AG:AG, ROW()-1),
         INDEX(AB:AB, ROW()-COUNTIF($F$6:INDEX($F:$F, ROW()-1), $F526)) : INDEX(AB:AB, ROW()-1)
         )
         /SUM(INDEX(AB:AB, ROW()-COUNTIF($F$6:INDEX($F:$F, ROW()-1), $F526)) : INDEX(AB:AB, ROW()-1)),
          AVERAGEIFS(unit_details[Asking PSF],
          unit_details[Active Listing?],TRUE,
          unit_details[Property Name], $F527,
          unit_details[Beds], $L527,
          unit_details[Baths], $M527,
          unit_details[Partial Baths], IF(ISNUMBER($N527),$N527,""),
          unit_details[Sqft],$P527
)),"")</f>
        <v/>
      </c>
      <c r="AH527" s="293" t="str">
        <f>IFERROR(IF($F527="Total",
         SUMPRODUCT(
         INDEX(AH:AH, ROW()-COUNTIF($F$6:INDEX($F:$F, ROW()-1), $F526)) : INDEX(AH:AH, ROW()-1),
         INDEX(AB:AB, ROW()-COUNTIF($F$6:INDEX($F:$F, ROW()-1), $F526)) : INDEX(AB:AB, ROW()-1)
         )
         /SUM(INDEX(AB:AB, ROW()-COUNTIF($F$6:INDEX($F:$F, ROW()-1), $F526)) : INDEX(AB:AB, ROW()-1)),
          AVERAGEIFS(unit_details[Effective Rent],
          unit_details[Active Listing?],TRUE,
          unit_details[Property Name], $F527,
          unit_details[Beds], $L527,
          unit_details[Baths], $M527,
          unit_details[Partial Baths], IF(ISNUMBER($N527),$N527,""),
          unit_details[Sqft],$P527
)),"")</f>
        <v/>
      </c>
      <c r="AI527" s="6" t="str">
        <f>IFERROR(IF($F527="Total",
         SUMPRODUCT(
         INDEX(AI:AI, ROW()-COUNTIF($F$6:INDEX($F:$F, ROW()-1), $F526)) : INDEX(AI:AI, ROW()-1),
         INDEX(AB:AB, ROW()-COUNTIF($F$6:INDEX($F:$F, ROW()-1), $F526)) : INDEX(AB:AB, ROW()-1)
         )
         /SUM(INDEX(AB:AB, ROW()-COUNTIF($F$6:INDEX($F:$F, ROW()-1), $F526)) : INDEX(AB:AB, ROW()-1)),
           AVERAGEIFS(unit_details[Effective PSF],
          unit_details[Active Listing?],TRUE,
          unit_details[Property Name], $F527,
          unit_details[Beds], $L527,
          unit_details[Baths], $M527,
          unit_details[Partial Baths], IF(ISNUMBER($N527),$N527,""),
          unit_details[Sqft],$P527
)),"")</f>
        <v/>
      </c>
      <c r="AJ527" s="824" t="str">
        <f t="shared" si="92"/>
        <v/>
      </c>
      <c r="AK527" s="531" t="str">
        <f t="shared" si="93"/>
        <v/>
      </c>
      <c r="AL527" s="714" t="str">
        <f t="shared" si="94"/>
        <v/>
      </c>
      <c r="AM527" s="531" t="str">
        <f t="shared" si="95"/>
        <v/>
      </c>
      <c r="AN527" s="716" t="str">
        <f t="shared" si="96"/>
        <v/>
      </c>
    </row>
    <row r="528" spans="6:40" x14ac:dyDescent="0.2">
      <c r="F528" s="1" t="str">
        <f t="shared" si="89"/>
        <v/>
      </c>
      <c r="G528" s="713" t="str">
        <f t="shared" si="97"/>
        <v/>
      </c>
      <c r="H528" s="17" t="str">
        <f>IFERROR(VLOOKUP($G528,Table1[[Property]:[Exposure %]],4,0),"")</f>
        <v/>
      </c>
      <c r="I528" s="3" t="str">
        <f>IFERROR(VLOOKUP($G528,Table1[[Property]:[Exposure %]],6,0),"")</f>
        <v/>
      </c>
      <c r="J528" s="3" t="str">
        <f>IFERROR(VLOOKUP($G528,Table1[[Property]:[Exposure %]],7,0),"")</f>
        <v/>
      </c>
      <c r="R528" s="4" t="str">
        <f>IFERROR(VLOOKUP(IF(F528="Total",F527,F528),Table1[[Property]:['# Units]],7,0)*S528,"")</f>
        <v/>
      </c>
      <c r="S528" s="27" t="str">
        <f t="shared" si="90"/>
        <v/>
      </c>
      <c r="T528" s="531" t="str">
        <f>IFERROR(
 IF($F528="Total",
   SUMPRODUCT(
   INDEX(T:T, ROW()-COUNTIF($F$6:INDEX($F:$F, ROW()-1), $F527)) : INDEX(T:T, ROW()-1),
   INDEX(W:W, ROW()-COUNTIF($F$6:INDEX($F:$F, ROW()-1), $F527)) : INDEX(W:W, ROW()-1)
   )
   /SUM(INDEX(W:W, ROW()-COUNTIF($F$6:INDEX($F:$F, ROW()-1), $F527)) : INDEX(W:W, ROW()-1)),
   AVERAGEIFS(
     INDEX((unit_details[Asking Rent],unit_details[Asking PSF]),0,1,IF($U$3="Chunk Rent",1,2)),
     unit_details[Leased Date],"&gt;="&amp;($AM$2-T$5),
     unit_details[Leased Date],"&lt;"&amp;$AM$2,
     unit_details[Beds],$L528,
     unit_details[Baths],$M528,
     unit_details[Partial Baths],IF(ISNUMBER($N528),$N528,""),
     unit_details[Sqft],$P528,
     unit_details[Property Name],$F528)
 ),"")</f>
        <v/>
      </c>
      <c r="U528" s="552" t="str">
        <f>IFERROR(
 IF($F528="Total",
   SUMPRODUCT(
   INDEX(U:U, ROW()-COUNTIF($F$6:INDEX($F:$F, ROW()-1), $F527)) : INDEX(U:U, ROW()-1),
   INDEX(W:W, ROW()-COUNTIF($F$6:INDEX($F:$F, ROW()-1), $F527)) : INDEX(W:W, ROW()-1)
   )
   /SUM(INDEX(W:W, ROW()-COUNTIF($F$6:INDEX($F:$F, ROW()-1), $F527)) : INDEX(W:W, ROW()-1)),
   AVERAGEIFS(
     INDEX((unit_details[Effective Rent],unit_details[Effective PSF]),0,1,IF($U$3="Chunk Rent",1,2)),
     unit_details[Leased Date],"&gt;="&amp;($AM$2-T$5),
     unit_details[Leased Date],"&lt;"&amp;$AM$2,
     unit_details[Beds],$L528,
     unit_details[Baths],$M528,
     unit_details[Partial Baths],IF(ISNUMBER($N528),$N528,""),
     unit_details[Sqft],$P528,
     unit_details[Property Name],$F528)
 ),"")</f>
        <v/>
      </c>
      <c r="V528" s="27" t="str">
        <f t="shared" si="98"/>
        <v/>
      </c>
      <c r="W528" s="526">
        <f>IFERROR(
  IF($F528="Total",
    SUM(INDEX(W:W, ROW()-COUNTIF($F$6:INDEX($F:$F, ROW()-1), $F527)) : INDEX(W:W, ROW()-1)),
    COUNTIFS(
      unit_details[Leased Date], "&gt;="&amp;($AM$2-T$5),
      unit_details[Leased Date], "&lt;"&amp;$AM$2,
      unit_details[Beds], $L528,
      unit_details[Baths], $M528,
      unit_details[Partial Baths], IF(ISNUMBER($N528), $N528, ""),
      unit_details[Sqft],$P528,
      unit_details[Property Name], $F528
    )
  ),
"")</f>
        <v>0</v>
      </c>
      <c r="X528" s="531" t="str">
        <f>IFERROR(
 IF($F528="Total",
   SUMPRODUCT(
   INDEX(X:X, ROW()-COUNTIF($F$6:INDEX($F:$F, ROW()-1), $F527)) : INDEX(X:X, ROW()-1),
   INDEX(AA:AA, ROW()-COUNTIF($F$6:INDEX($F:$F, ROW()-1), $F527)) : INDEX(AA:AA, ROW()-1)
   )
   /SUM(INDEX(AA:AA, ROW()-COUNTIF($F$6:INDEX($F:$F, ROW()-1), $F527)) : INDEX(AA:AA, ROW()-1)),
   AVERAGEIFS(
     INDEX((unit_details[Asking Rent],unit_details[Asking PSF]),0,1,IF($U$3="Chunk Rent",1,2)),
     unit_details[Leased Date],"&gt;="&amp;($AM$2-X$5),
     unit_details[Leased Date],"&lt;"&amp;$AM$2,
     unit_details[Beds],$L528,
     unit_details[Baths],$M528,
     unit_details[Partial Baths],IF(ISNUMBER($N528),$N528,""),
     unit_details[Sqft],$P528,
     unit_details[Property Name],$F528)
 ),"")</f>
        <v/>
      </c>
      <c r="Y528" s="552" t="str">
        <f>IFERROR(
 IF($F528="Total",
   SUMPRODUCT(
   INDEX(Y:Y, ROW()-COUNTIF($F$6:INDEX($F:$F, ROW()-1), $F527)) : INDEX(Y:Y, ROW()-1),
   INDEX(AA:AA, ROW()-COUNTIF($F$6:INDEX($F:$F, ROW()-1), $F527)) : INDEX(AA:AA, ROW()-1)
   )
   /SUM(INDEX(AA:AA, ROW()-COUNTIF($F$6:INDEX($F:$F, ROW()-1), $F527)) : INDEX(AA:AA, ROW()-1)),
   AVERAGEIFS(
     INDEX((unit_details[Effective Rent],unit_details[Effective PSF]),0,1,IF($U$3="Chunk Rent",1,2)),
     unit_details[Leased Date],"&gt;="&amp;($AM$2-X$5),
     unit_details[Leased Date],"&lt;"&amp;$AM$2,
     unit_details[Beds],$L528,
     unit_details[Baths],$M528,
     unit_details[Partial Baths],IF(ISNUMBER($N528),$N528,""),
     unit_details[Sqft],$P528,
     unit_details[Property Name],$F528)
 ),"")</f>
        <v/>
      </c>
      <c r="Z528" s="27" t="str">
        <f t="shared" si="99"/>
        <v/>
      </c>
      <c r="AA528" s="526">
        <f>IFERROR(
  IF($F528="Total",
    SUM(INDEX(AA:AA, ROW()-COUNTIF($F$6:INDEX($F:$F, ROW()-1), $F527)) : INDEX(AA:AA, ROW()-1)),
    COUNTIFS(
      unit_details[Leased Date], "&gt;="&amp;($AM$2-X$5),
      unit_details[Leased Date], "&lt;"&amp;$AM$2,
      unit_details[Beds], $L528,
      unit_details[Baths], $M528,
      unit_details[Partial Baths], IF(ISNUMBER($N528), $N528, ""),
      unit_details[Sqft],$P528,
      unit_details[Property Name], $F528
    )
  ),
"")</f>
        <v>0</v>
      </c>
      <c r="AB528" s="290">
        <f>IF($F528="Total",
SUM(INDEX(AB:AB, ROW()-COUNTIF($F$6:INDEX($F:$F, ROW()-1), $F527)) : INDEX(AB:AB, ROW()-1)),
COUNTIFS(unit_details[Active Listing?],TRUE,
          unit_details[Property Name], $F528,
          unit_details[Beds], $L528,
          unit_details[Baths], $M528,
          unit_details[Partial Baths],IF(ISNUMBER($N528),$N528,""),
          unit_details[Sqft],$P528))</f>
        <v>0</v>
      </c>
      <c r="AC528" s="27" t="str">
        <f t="shared" si="91"/>
        <v/>
      </c>
      <c r="AD528" s="293" t="str">
        <f>IFERROR(IF(AE528="","",IF($F528="Total",
SUMPRODUCT(
   INDEX(AD:AD, ROW()-COUNTIF($F$6:INDEX($F:$F, ROW()-1), $F527)) : INDEX(AD:AD, ROW()-1),
   INDEX(AB:AB, ROW()-COUNTIF($F$6:INDEX($F:$F, ROW()-1), $F527)) : INDEX(AB:AB, ROW()-1)
   )
   /SUM(INDEX(AB:AB, ROW()-COUNTIF($F$6:INDEX($F:$F, ROW()-1), $F527)) : INDEX(AB:AB, ROW()-1)),
          _xlfn.MINIFS(unit_details[Asking Rent],
          unit_details[Active Listing?],TRUE,
          unit_details[Property Name], $F528,
          unit_details[Beds], $L528,
          unit_details[Baths], $M528,
          unit_details[Partial Baths], IF(ISNUMBER($N528),$N528,""),
          unit_details[Sqft],$P528
))),"")</f>
        <v/>
      </c>
      <c r="AE528" s="5" t="str">
        <f>IFERROR(IF($F528="Total",
          SUMPRODUCT(
   INDEX(AE:AE, ROW()-COUNTIF($F$6:INDEX($F:$F, ROW()-1), $F527)) : INDEX(AE:AE, ROW()-1),
   INDEX(AB:AB, ROW()-COUNTIF($F$6:INDEX($F:$F, ROW()-1), $F527)) : INDEX(AB:AB, ROW()-1)
   )
   /SUM(INDEX(AB:AB, ROW()-COUNTIF($F$6:INDEX($F:$F, ROW()-1), $F527)) : INDEX(AB:AB, ROW()-1)),
          AVERAGEIFS(unit_details[Asking Rent],
          unit_details[Active Listing?],TRUE,
          unit_details[Property Name], $F528,
          unit_details[Beds], $L528,
          unit_details[Baths], $M528,
          unit_details[Partial Baths], IF(ISNUMBER($N528),$N528,""),
          unit_details[Sqft],$P528
)),"")</f>
        <v/>
      </c>
      <c r="AF528" s="5" t="str">
        <f>IFERROR(IF(AE528="","",IF($F528="Total",
SUMPRODUCT(
   INDEX(AF:AF, ROW()-COUNTIF($F$6:INDEX($F:$F, ROW()-1), $F527)) : INDEX(AF:AF, ROW()-1),
   INDEX(AB:AB, ROW()-COUNTIF($F$6:INDEX($F:$F, ROW()-1), $F527)) : INDEX(AB:AB, ROW()-1)
   )
   /SUM(INDEX(AB:AB, ROW()-COUNTIF($F$6:INDEX($F:$F, ROW()-1), $F527)) : INDEX(AB:AB, ROW()-1)),
           _xlfn.MAXIFS(unit_details[Asking Rent],
          unit_details[Active Listing?],TRUE,
          unit_details[Property Name], $F528,
          unit_details[Beds], $L528,
          unit_details[Baths], $M528,
          unit_details[Partial Baths], IF(ISNUMBER($N528),$N528,""),
          unit_details[Sqft],$P528
))),"")</f>
        <v/>
      </c>
      <c r="AG528" s="6" t="str">
        <f>IFERROR(IF($F528="Total",
         SUMPRODUCT(
         INDEX(AG:AG, ROW()-COUNTIF($F$6:INDEX($F:$F, ROW()-1), $F527)) : INDEX(AG:AG, ROW()-1),
         INDEX(AB:AB, ROW()-COUNTIF($F$6:INDEX($F:$F, ROW()-1), $F527)) : INDEX(AB:AB, ROW()-1)
         )
         /SUM(INDEX(AB:AB, ROW()-COUNTIF($F$6:INDEX($F:$F, ROW()-1), $F527)) : INDEX(AB:AB, ROW()-1)),
          AVERAGEIFS(unit_details[Asking PSF],
          unit_details[Active Listing?],TRUE,
          unit_details[Property Name], $F528,
          unit_details[Beds], $L528,
          unit_details[Baths], $M528,
          unit_details[Partial Baths], IF(ISNUMBER($N528),$N528,""),
          unit_details[Sqft],$P528
)),"")</f>
        <v/>
      </c>
      <c r="AH528" s="293" t="str">
        <f>IFERROR(IF($F528="Total",
         SUMPRODUCT(
         INDEX(AH:AH, ROW()-COUNTIF($F$6:INDEX($F:$F, ROW()-1), $F527)) : INDEX(AH:AH, ROW()-1),
         INDEX(AB:AB, ROW()-COUNTIF($F$6:INDEX($F:$F, ROW()-1), $F527)) : INDEX(AB:AB, ROW()-1)
         )
         /SUM(INDEX(AB:AB, ROW()-COUNTIF($F$6:INDEX($F:$F, ROW()-1), $F527)) : INDEX(AB:AB, ROW()-1)),
          AVERAGEIFS(unit_details[Effective Rent],
          unit_details[Active Listing?],TRUE,
          unit_details[Property Name], $F528,
          unit_details[Beds], $L528,
          unit_details[Baths], $M528,
          unit_details[Partial Baths], IF(ISNUMBER($N528),$N528,""),
          unit_details[Sqft],$P528
)),"")</f>
        <v/>
      </c>
      <c r="AI528" s="6" t="str">
        <f>IFERROR(IF($F528="Total",
         SUMPRODUCT(
         INDEX(AI:AI, ROW()-COUNTIF($F$6:INDEX($F:$F, ROW()-1), $F527)) : INDEX(AI:AI, ROW()-1),
         INDEX(AB:AB, ROW()-COUNTIF($F$6:INDEX($F:$F, ROW()-1), $F527)) : INDEX(AB:AB, ROW()-1)
         )
         /SUM(INDEX(AB:AB, ROW()-COUNTIF($F$6:INDEX($F:$F, ROW()-1), $F527)) : INDEX(AB:AB, ROW()-1)),
           AVERAGEIFS(unit_details[Effective PSF],
          unit_details[Active Listing?],TRUE,
          unit_details[Property Name], $F528,
          unit_details[Beds], $L528,
          unit_details[Baths], $M528,
          unit_details[Partial Baths], IF(ISNUMBER($N528),$N528,""),
          unit_details[Sqft],$P528
)),"")</f>
        <v/>
      </c>
      <c r="AJ528" s="824" t="str">
        <f t="shared" si="92"/>
        <v/>
      </c>
      <c r="AK528" s="531" t="str">
        <f t="shared" si="93"/>
        <v/>
      </c>
      <c r="AL528" s="714" t="str">
        <f t="shared" si="94"/>
        <v/>
      </c>
      <c r="AM528" s="531" t="str">
        <f t="shared" si="95"/>
        <v/>
      </c>
      <c r="AN528" s="716" t="str">
        <f t="shared" si="96"/>
        <v/>
      </c>
    </row>
    <row r="529" spans="6:40" x14ac:dyDescent="0.2">
      <c r="F529" s="1" t="str">
        <f t="shared" si="89"/>
        <v/>
      </c>
      <c r="G529" s="713" t="str">
        <f t="shared" si="97"/>
        <v/>
      </c>
      <c r="H529" s="17" t="str">
        <f>IFERROR(VLOOKUP($G529,Table1[[Property]:[Exposure %]],4,0),"")</f>
        <v/>
      </c>
      <c r="I529" s="3" t="str">
        <f>IFERROR(VLOOKUP($G529,Table1[[Property]:[Exposure %]],6,0),"")</f>
        <v/>
      </c>
      <c r="J529" s="3" t="str">
        <f>IFERROR(VLOOKUP($G529,Table1[[Property]:[Exposure %]],7,0),"")</f>
        <v/>
      </c>
      <c r="R529" s="4" t="str">
        <f>IFERROR(VLOOKUP(IF(F529="Total",F528,F529),Table1[[Property]:['# Units]],7,0)*S529,"")</f>
        <v/>
      </c>
      <c r="S529" s="27" t="str">
        <f t="shared" si="90"/>
        <v/>
      </c>
      <c r="T529" s="531" t="str">
        <f>IFERROR(
 IF($F529="Total",
   SUMPRODUCT(
   INDEX(T:T, ROW()-COUNTIF($F$6:INDEX($F:$F, ROW()-1), $F528)) : INDEX(T:T, ROW()-1),
   INDEX(W:W, ROW()-COUNTIF($F$6:INDEX($F:$F, ROW()-1), $F528)) : INDEX(W:W, ROW()-1)
   )
   /SUM(INDEX(W:W, ROW()-COUNTIF($F$6:INDEX($F:$F, ROW()-1), $F528)) : INDEX(W:W, ROW()-1)),
   AVERAGEIFS(
     INDEX((unit_details[Asking Rent],unit_details[Asking PSF]),0,1,IF($U$3="Chunk Rent",1,2)),
     unit_details[Leased Date],"&gt;="&amp;($AM$2-T$5),
     unit_details[Leased Date],"&lt;"&amp;$AM$2,
     unit_details[Beds],$L529,
     unit_details[Baths],$M529,
     unit_details[Partial Baths],IF(ISNUMBER($N529),$N529,""),
     unit_details[Sqft],$P529,
     unit_details[Property Name],$F529)
 ),"")</f>
        <v/>
      </c>
      <c r="U529" s="552" t="str">
        <f>IFERROR(
 IF($F529="Total",
   SUMPRODUCT(
   INDEX(U:U, ROW()-COUNTIF($F$6:INDEX($F:$F, ROW()-1), $F528)) : INDEX(U:U, ROW()-1),
   INDEX(W:W, ROW()-COUNTIF($F$6:INDEX($F:$F, ROW()-1), $F528)) : INDEX(W:W, ROW()-1)
   )
   /SUM(INDEX(W:W, ROW()-COUNTIF($F$6:INDEX($F:$F, ROW()-1), $F528)) : INDEX(W:W, ROW()-1)),
   AVERAGEIFS(
     INDEX((unit_details[Effective Rent],unit_details[Effective PSF]),0,1,IF($U$3="Chunk Rent",1,2)),
     unit_details[Leased Date],"&gt;="&amp;($AM$2-T$5),
     unit_details[Leased Date],"&lt;"&amp;$AM$2,
     unit_details[Beds],$L529,
     unit_details[Baths],$M529,
     unit_details[Partial Baths],IF(ISNUMBER($N529),$N529,""),
     unit_details[Sqft],$P529,
     unit_details[Property Name],$F529)
 ),"")</f>
        <v/>
      </c>
      <c r="V529" s="27" t="str">
        <f t="shared" si="98"/>
        <v/>
      </c>
      <c r="W529" s="526">
        <f>IFERROR(
  IF($F529="Total",
    SUM(INDEX(W:W, ROW()-COUNTIF($F$6:INDEX($F:$F, ROW()-1), $F528)) : INDEX(W:W, ROW()-1)),
    COUNTIFS(
      unit_details[Leased Date], "&gt;="&amp;($AM$2-T$5),
      unit_details[Leased Date], "&lt;"&amp;$AM$2,
      unit_details[Beds], $L529,
      unit_details[Baths], $M529,
      unit_details[Partial Baths], IF(ISNUMBER($N529), $N529, ""),
      unit_details[Sqft],$P529,
      unit_details[Property Name], $F529
    )
  ),
"")</f>
        <v>0</v>
      </c>
      <c r="X529" s="531" t="str">
        <f>IFERROR(
 IF($F529="Total",
   SUMPRODUCT(
   INDEX(X:X, ROW()-COUNTIF($F$6:INDEX($F:$F, ROW()-1), $F528)) : INDEX(X:X, ROW()-1),
   INDEX(AA:AA, ROW()-COUNTIF($F$6:INDEX($F:$F, ROW()-1), $F528)) : INDEX(AA:AA, ROW()-1)
   )
   /SUM(INDEX(AA:AA, ROW()-COUNTIF($F$6:INDEX($F:$F, ROW()-1), $F528)) : INDEX(AA:AA, ROW()-1)),
   AVERAGEIFS(
     INDEX((unit_details[Asking Rent],unit_details[Asking PSF]),0,1,IF($U$3="Chunk Rent",1,2)),
     unit_details[Leased Date],"&gt;="&amp;($AM$2-X$5),
     unit_details[Leased Date],"&lt;"&amp;$AM$2,
     unit_details[Beds],$L529,
     unit_details[Baths],$M529,
     unit_details[Partial Baths],IF(ISNUMBER($N529),$N529,""),
     unit_details[Sqft],$P529,
     unit_details[Property Name],$F529)
 ),"")</f>
        <v/>
      </c>
      <c r="Y529" s="552" t="str">
        <f>IFERROR(
 IF($F529="Total",
   SUMPRODUCT(
   INDEX(Y:Y, ROW()-COUNTIF($F$6:INDEX($F:$F, ROW()-1), $F528)) : INDEX(Y:Y, ROW()-1),
   INDEX(AA:AA, ROW()-COUNTIF($F$6:INDEX($F:$F, ROW()-1), $F528)) : INDEX(AA:AA, ROW()-1)
   )
   /SUM(INDEX(AA:AA, ROW()-COUNTIF($F$6:INDEX($F:$F, ROW()-1), $F528)) : INDEX(AA:AA, ROW()-1)),
   AVERAGEIFS(
     INDEX((unit_details[Effective Rent],unit_details[Effective PSF]),0,1,IF($U$3="Chunk Rent",1,2)),
     unit_details[Leased Date],"&gt;="&amp;($AM$2-X$5),
     unit_details[Leased Date],"&lt;"&amp;$AM$2,
     unit_details[Beds],$L529,
     unit_details[Baths],$M529,
     unit_details[Partial Baths],IF(ISNUMBER($N529),$N529,""),
     unit_details[Sqft],$P529,
     unit_details[Property Name],$F529)
 ),"")</f>
        <v/>
      </c>
      <c r="Z529" s="27" t="str">
        <f t="shared" si="99"/>
        <v/>
      </c>
      <c r="AA529" s="526">
        <f>IFERROR(
  IF($F529="Total",
    SUM(INDEX(AA:AA, ROW()-COUNTIF($F$6:INDEX($F:$F, ROW()-1), $F528)) : INDEX(AA:AA, ROW()-1)),
    COUNTIFS(
      unit_details[Leased Date], "&gt;="&amp;($AM$2-X$5),
      unit_details[Leased Date], "&lt;"&amp;$AM$2,
      unit_details[Beds], $L529,
      unit_details[Baths], $M529,
      unit_details[Partial Baths], IF(ISNUMBER($N529), $N529, ""),
      unit_details[Sqft],$P529,
      unit_details[Property Name], $F529
    )
  ),
"")</f>
        <v>0</v>
      </c>
      <c r="AB529" s="290">
        <f>IF($F529="Total",
SUM(INDEX(AB:AB, ROW()-COUNTIF($F$6:INDEX($F:$F, ROW()-1), $F528)) : INDEX(AB:AB, ROW()-1)),
COUNTIFS(unit_details[Active Listing?],TRUE,
          unit_details[Property Name], $F529,
          unit_details[Beds], $L529,
          unit_details[Baths], $M529,
          unit_details[Partial Baths],IF(ISNUMBER($N529),$N529,""),
          unit_details[Sqft],$P529))</f>
        <v>0</v>
      </c>
      <c r="AC529" s="27" t="str">
        <f t="shared" si="91"/>
        <v/>
      </c>
      <c r="AD529" s="293" t="str">
        <f>IFERROR(IF(AE529="","",IF($F529="Total",
SUMPRODUCT(
   INDEX(AD:AD, ROW()-COUNTIF($F$6:INDEX($F:$F, ROW()-1), $F528)) : INDEX(AD:AD, ROW()-1),
   INDEX(AB:AB, ROW()-COUNTIF($F$6:INDEX($F:$F, ROW()-1), $F528)) : INDEX(AB:AB, ROW()-1)
   )
   /SUM(INDEX(AB:AB, ROW()-COUNTIF($F$6:INDEX($F:$F, ROW()-1), $F528)) : INDEX(AB:AB, ROW()-1)),
          _xlfn.MINIFS(unit_details[Asking Rent],
          unit_details[Active Listing?],TRUE,
          unit_details[Property Name], $F529,
          unit_details[Beds], $L529,
          unit_details[Baths], $M529,
          unit_details[Partial Baths], IF(ISNUMBER($N529),$N529,""),
          unit_details[Sqft],$P529
))),"")</f>
        <v/>
      </c>
      <c r="AE529" s="5" t="str">
        <f>IFERROR(IF($F529="Total",
          SUMPRODUCT(
   INDEX(AE:AE, ROW()-COUNTIF($F$6:INDEX($F:$F, ROW()-1), $F528)) : INDEX(AE:AE, ROW()-1),
   INDEX(AB:AB, ROW()-COUNTIF($F$6:INDEX($F:$F, ROW()-1), $F528)) : INDEX(AB:AB, ROW()-1)
   )
   /SUM(INDEX(AB:AB, ROW()-COUNTIF($F$6:INDEX($F:$F, ROW()-1), $F528)) : INDEX(AB:AB, ROW()-1)),
          AVERAGEIFS(unit_details[Asking Rent],
          unit_details[Active Listing?],TRUE,
          unit_details[Property Name], $F529,
          unit_details[Beds], $L529,
          unit_details[Baths], $M529,
          unit_details[Partial Baths], IF(ISNUMBER($N529),$N529,""),
          unit_details[Sqft],$P529
)),"")</f>
        <v/>
      </c>
      <c r="AF529" s="5" t="str">
        <f>IFERROR(IF(AE529="","",IF($F529="Total",
SUMPRODUCT(
   INDEX(AF:AF, ROW()-COUNTIF($F$6:INDEX($F:$F, ROW()-1), $F528)) : INDEX(AF:AF, ROW()-1),
   INDEX(AB:AB, ROW()-COUNTIF($F$6:INDEX($F:$F, ROW()-1), $F528)) : INDEX(AB:AB, ROW()-1)
   )
   /SUM(INDEX(AB:AB, ROW()-COUNTIF($F$6:INDEX($F:$F, ROW()-1), $F528)) : INDEX(AB:AB, ROW()-1)),
           _xlfn.MAXIFS(unit_details[Asking Rent],
          unit_details[Active Listing?],TRUE,
          unit_details[Property Name], $F529,
          unit_details[Beds], $L529,
          unit_details[Baths], $M529,
          unit_details[Partial Baths], IF(ISNUMBER($N529),$N529,""),
          unit_details[Sqft],$P529
))),"")</f>
        <v/>
      </c>
      <c r="AG529" s="6" t="str">
        <f>IFERROR(IF($F529="Total",
         SUMPRODUCT(
         INDEX(AG:AG, ROW()-COUNTIF($F$6:INDEX($F:$F, ROW()-1), $F528)) : INDEX(AG:AG, ROW()-1),
         INDEX(AB:AB, ROW()-COUNTIF($F$6:INDEX($F:$F, ROW()-1), $F528)) : INDEX(AB:AB, ROW()-1)
         )
         /SUM(INDEX(AB:AB, ROW()-COUNTIF($F$6:INDEX($F:$F, ROW()-1), $F528)) : INDEX(AB:AB, ROW()-1)),
          AVERAGEIFS(unit_details[Asking PSF],
          unit_details[Active Listing?],TRUE,
          unit_details[Property Name], $F529,
          unit_details[Beds], $L529,
          unit_details[Baths], $M529,
          unit_details[Partial Baths], IF(ISNUMBER($N529),$N529,""),
          unit_details[Sqft],$P529
)),"")</f>
        <v/>
      </c>
      <c r="AH529" s="293" t="str">
        <f>IFERROR(IF($F529="Total",
         SUMPRODUCT(
         INDEX(AH:AH, ROW()-COUNTIF($F$6:INDEX($F:$F, ROW()-1), $F528)) : INDEX(AH:AH, ROW()-1),
         INDEX(AB:AB, ROW()-COUNTIF($F$6:INDEX($F:$F, ROW()-1), $F528)) : INDEX(AB:AB, ROW()-1)
         )
         /SUM(INDEX(AB:AB, ROW()-COUNTIF($F$6:INDEX($F:$F, ROW()-1), $F528)) : INDEX(AB:AB, ROW()-1)),
          AVERAGEIFS(unit_details[Effective Rent],
          unit_details[Active Listing?],TRUE,
          unit_details[Property Name], $F529,
          unit_details[Beds], $L529,
          unit_details[Baths], $M529,
          unit_details[Partial Baths], IF(ISNUMBER($N529),$N529,""),
          unit_details[Sqft],$P529
)),"")</f>
        <v/>
      </c>
      <c r="AI529" s="6" t="str">
        <f>IFERROR(IF($F529="Total",
         SUMPRODUCT(
         INDEX(AI:AI, ROW()-COUNTIF($F$6:INDEX($F:$F, ROW()-1), $F528)) : INDEX(AI:AI, ROW()-1),
         INDEX(AB:AB, ROW()-COUNTIF($F$6:INDEX($F:$F, ROW()-1), $F528)) : INDEX(AB:AB, ROW()-1)
         )
         /SUM(INDEX(AB:AB, ROW()-COUNTIF($F$6:INDEX($F:$F, ROW()-1), $F528)) : INDEX(AB:AB, ROW()-1)),
           AVERAGEIFS(unit_details[Effective PSF],
          unit_details[Active Listing?],TRUE,
          unit_details[Property Name], $F529,
          unit_details[Beds], $L529,
          unit_details[Baths], $M529,
          unit_details[Partial Baths], IF(ISNUMBER($N529),$N529,""),
          unit_details[Sqft],$P529
)),"")</f>
        <v/>
      </c>
      <c r="AJ529" s="824" t="str">
        <f t="shared" si="92"/>
        <v/>
      </c>
      <c r="AK529" s="531" t="str">
        <f t="shared" si="93"/>
        <v/>
      </c>
      <c r="AL529" s="714" t="str">
        <f t="shared" si="94"/>
        <v/>
      </c>
      <c r="AM529" s="531" t="str">
        <f t="shared" si="95"/>
        <v/>
      </c>
      <c r="AN529" s="716" t="str">
        <f t="shared" si="96"/>
        <v/>
      </c>
    </row>
    <row r="530" spans="6:40" x14ac:dyDescent="0.2">
      <c r="F530" s="1" t="str">
        <f t="shared" si="89"/>
        <v/>
      </c>
      <c r="G530" s="713" t="str">
        <f t="shared" si="97"/>
        <v/>
      </c>
      <c r="H530" s="17" t="str">
        <f>IFERROR(VLOOKUP($G530,Table1[[Property]:[Exposure %]],4,0),"")</f>
        <v/>
      </c>
      <c r="I530" s="3" t="str">
        <f>IFERROR(VLOOKUP($G530,Table1[[Property]:[Exposure %]],6,0),"")</f>
        <v/>
      </c>
      <c r="J530" s="3" t="str">
        <f>IFERROR(VLOOKUP($G530,Table1[[Property]:[Exposure %]],7,0),"")</f>
        <v/>
      </c>
      <c r="R530" s="4" t="str">
        <f>IFERROR(VLOOKUP(IF(F530="Total",F529,F530),Table1[[Property]:['# Units]],7,0)*S530,"")</f>
        <v/>
      </c>
      <c r="S530" s="27" t="str">
        <f t="shared" si="90"/>
        <v/>
      </c>
      <c r="T530" s="531" t="str">
        <f>IFERROR(
 IF($F530="Total",
   SUMPRODUCT(
   INDEX(T:T, ROW()-COUNTIF($F$6:INDEX($F:$F, ROW()-1), $F529)) : INDEX(T:T, ROW()-1),
   INDEX(W:W, ROW()-COUNTIF($F$6:INDEX($F:$F, ROW()-1), $F529)) : INDEX(W:W, ROW()-1)
   )
   /SUM(INDEX(W:W, ROW()-COUNTIF($F$6:INDEX($F:$F, ROW()-1), $F529)) : INDEX(W:W, ROW()-1)),
   AVERAGEIFS(
     INDEX((unit_details[Asking Rent],unit_details[Asking PSF]),0,1,IF($U$3="Chunk Rent",1,2)),
     unit_details[Leased Date],"&gt;="&amp;($AM$2-T$5),
     unit_details[Leased Date],"&lt;"&amp;$AM$2,
     unit_details[Beds],$L530,
     unit_details[Baths],$M530,
     unit_details[Partial Baths],IF(ISNUMBER($N530),$N530,""),
     unit_details[Sqft],$P530,
     unit_details[Property Name],$F530)
 ),"")</f>
        <v/>
      </c>
      <c r="U530" s="552" t="str">
        <f>IFERROR(
 IF($F530="Total",
   SUMPRODUCT(
   INDEX(U:U, ROW()-COUNTIF($F$6:INDEX($F:$F, ROW()-1), $F529)) : INDEX(U:U, ROW()-1),
   INDEX(W:W, ROW()-COUNTIF($F$6:INDEX($F:$F, ROW()-1), $F529)) : INDEX(W:W, ROW()-1)
   )
   /SUM(INDEX(W:W, ROW()-COUNTIF($F$6:INDEX($F:$F, ROW()-1), $F529)) : INDEX(W:W, ROW()-1)),
   AVERAGEIFS(
     INDEX((unit_details[Effective Rent],unit_details[Effective PSF]),0,1,IF($U$3="Chunk Rent",1,2)),
     unit_details[Leased Date],"&gt;="&amp;($AM$2-T$5),
     unit_details[Leased Date],"&lt;"&amp;$AM$2,
     unit_details[Beds],$L530,
     unit_details[Baths],$M530,
     unit_details[Partial Baths],IF(ISNUMBER($N530),$N530,""),
     unit_details[Sqft],$P530,
     unit_details[Property Name],$F530)
 ),"")</f>
        <v/>
      </c>
      <c r="V530" s="27" t="str">
        <f t="shared" si="98"/>
        <v/>
      </c>
      <c r="W530" s="526">
        <f>IFERROR(
  IF($F530="Total",
    SUM(INDEX(W:W, ROW()-COUNTIF($F$6:INDEX($F:$F, ROW()-1), $F529)) : INDEX(W:W, ROW()-1)),
    COUNTIFS(
      unit_details[Leased Date], "&gt;="&amp;($AM$2-T$5),
      unit_details[Leased Date], "&lt;"&amp;$AM$2,
      unit_details[Beds], $L530,
      unit_details[Baths], $M530,
      unit_details[Partial Baths], IF(ISNUMBER($N530), $N530, ""),
      unit_details[Sqft],$P530,
      unit_details[Property Name], $F530
    )
  ),
"")</f>
        <v>0</v>
      </c>
      <c r="X530" s="531" t="str">
        <f>IFERROR(
 IF($F530="Total",
   SUMPRODUCT(
   INDEX(X:X, ROW()-COUNTIF($F$6:INDEX($F:$F, ROW()-1), $F529)) : INDEX(X:X, ROW()-1),
   INDEX(AA:AA, ROW()-COUNTIF($F$6:INDEX($F:$F, ROW()-1), $F529)) : INDEX(AA:AA, ROW()-1)
   )
   /SUM(INDEX(AA:AA, ROW()-COUNTIF($F$6:INDEX($F:$F, ROW()-1), $F529)) : INDEX(AA:AA, ROW()-1)),
   AVERAGEIFS(
     INDEX((unit_details[Asking Rent],unit_details[Asking PSF]),0,1,IF($U$3="Chunk Rent",1,2)),
     unit_details[Leased Date],"&gt;="&amp;($AM$2-X$5),
     unit_details[Leased Date],"&lt;"&amp;$AM$2,
     unit_details[Beds],$L530,
     unit_details[Baths],$M530,
     unit_details[Partial Baths],IF(ISNUMBER($N530),$N530,""),
     unit_details[Sqft],$P530,
     unit_details[Property Name],$F530)
 ),"")</f>
        <v/>
      </c>
      <c r="Y530" s="552" t="str">
        <f>IFERROR(
 IF($F530="Total",
   SUMPRODUCT(
   INDEX(Y:Y, ROW()-COUNTIF($F$6:INDEX($F:$F, ROW()-1), $F529)) : INDEX(Y:Y, ROW()-1),
   INDEX(AA:AA, ROW()-COUNTIF($F$6:INDEX($F:$F, ROW()-1), $F529)) : INDEX(AA:AA, ROW()-1)
   )
   /SUM(INDEX(AA:AA, ROW()-COUNTIF($F$6:INDEX($F:$F, ROW()-1), $F529)) : INDEX(AA:AA, ROW()-1)),
   AVERAGEIFS(
     INDEX((unit_details[Effective Rent],unit_details[Effective PSF]),0,1,IF($U$3="Chunk Rent",1,2)),
     unit_details[Leased Date],"&gt;="&amp;($AM$2-X$5),
     unit_details[Leased Date],"&lt;"&amp;$AM$2,
     unit_details[Beds],$L530,
     unit_details[Baths],$M530,
     unit_details[Partial Baths],IF(ISNUMBER($N530),$N530,""),
     unit_details[Sqft],$P530,
     unit_details[Property Name],$F530)
 ),"")</f>
        <v/>
      </c>
      <c r="Z530" s="27" t="str">
        <f t="shared" si="99"/>
        <v/>
      </c>
      <c r="AA530" s="526">
        <f>IFERROR(
  IF($F530="Total",
    SUM(INDEX(AA:AA, ROW()-COUNTIF($F$6:INDEX($F:$F, ROW()-1), $F529)) : INDEX(AA:AA, ROW()-1)),
    COUNTIFS(
      unit_details[Leased Date], "&gt;="&amp;($AM$2-X$5),
      unit_details[Leased Date], "&lt;"&amp;$AM$2,
      unit_details[Beds], $L530,
      unit_details[Baths], $M530,
      unit_details[Partial Baths], IF(ISNUMBER($N530), $N530, ""),
      unit_details[Sqft],$P530,
      unit_details[Property Name], $F530
    )
  ),
"")</f>
        <v>0</v>
      </c>
      <c r="AB530" s="290">
        <f>IF($F530="Total",
SUM(INDEX(AB:AB, ROW()-COUNTIF($F$6:INDEX($F:$F, ROW()-1), $F529)) : INDEX(AB:AB, ROW()-1)),
COUNTIFS(unit_details[Active Listing?],TRUE,
          unit_details[Property Name], $F530,
          unit_details[Beds], $L530,
          unit_details[Baths], $M530,
          unit_details[Partial Baths],IF(ISNUMBER($N530),$N530,""),
          unit_details[Sqft],$P530))</f>
        <v>0</v>
      </c>
      <c r="AC530" s="27" t="str">
        <f t="shared" si="91"/>
        <v/>
      </c>
      <c r="AD530" s="293" t="str">
        <f>IFERROR(IF(AE530="","",IF($F530="Total",
SUMPRODUCT(
   INDEX(AD:AD, ROW()-COUNTIF($F$6:INDEX($F:$F, ROW()-1), $F529)) : INDEX(AD:AD, ROW()-1),
   INDEX(AB:AB, ROW()-COUNTIF($F$6:INDEX($F:$F, ROW()-1), $F529)) : INDEX(AB:AB, ROW()-1)
   )
   /SUM(INDEX(AB:AB, ROW()-COUNTIF($F$6:INDEX($F:$F, ROW()-1), $F529)) : INDEX(AB:AB, ROW()-1)),
          _xlfn.MINIFS(unit_details[Asking Rent],
          unit_details[Active Listing?],TRUE,
          unit_details[Property Name], $F530,
          unit_details[Beds], $L530,
          unit_details[Baths], $M530,
          unit_details[Partial Baths], IF(ISNUMBER($N530),$N530,""),
          unit_details[Sqft],$P530
))),"")</f>
        <v/>
      </c>
      <c r="AE530" s="5" t="str">
        <f>IFERROR(IF($F530="Total",
          SUMPRODUCT(
   INDEX(AE:AE, ROW()-COUNTIF($F$6:INDEX($F:$F, ROW()-1), $F529)) : INDEX(AE:AE, ROW()-1),
   INDEX(AB:AB, ROW()-COUNTIF($F$6:INDEX($F:$F, ROW()-1), $F529)) : INDEX(AB:AB, ROW()-1)
   )
   /SUM(INDEX(AB:AB, ROW()-COUNTIF($F$6:INDEX($F:$F, ROW()-1), $F529)) : INDEX(AB:AB, ROW()-1)),
          AVERAGEIFS(unit_details[Asking Rent],
          unit_details[Active Listing?],TRUE,
          unit_details[Property Name], $F530,
          unit_details[Beds], $L530,
          unit_details[Baths], $M530,
          unit_details[Partial Baths], IF(ISNUMBER($N530),$N530,""),
          unit_details[Sqft],$P530
)),"")</f>
        <v/>
      </c>
      <c r="AF530" s="5" t="str">
        <f>IFERROR(IF(AE530="","",IF($F530="Total",
SUMPRODUCT(
   INDEX(AF:AF, ROW()-COUNTIF($F$6:INDEX($F:$F, ROW()-1), $F529)) : INDEX(AF:AF, ROW()-1),
   INDEX(AB:AB, ROW()-COUNTIF($F$6:INDEX($F:$F, ROW()-1), $F529)) : INDEX(AB:AB, ROW()-1)
   )
   /SUM(INDEX(AB:AB, ROW()-COUNTIF($F$6:INDEX($F:$F, ROW()-1), $F529)) : INDEX(AB:AB, ROW()-1)),
           _xlfn.MAXIFS(unit_details[Asking Rent],
          unit_details[Active Listing?],TRUE,
          unit_details[Property Name], $F530,
          unit_details[Beds], $L530,
          unit_details[Baths], $M530,
          unit_details[Partial Baths], IF(ISNUMBER($N530),$N530,""),
          unit_details[Sqft],$P530
))),"")</f>
        <v/>
      </c>
      <c r="AG530" s="6" t="str">
        <f>IFERROR(IF($F530="Total",
         SUMPRODUCT(
         INDEX(AG:AG, ROW()-COUNTIF($F$6:INDEX($F:$F, ROW()-1), $F529)) : INDEX(AG:AG, ROW()-1),
         INDEX(AB:AB, ROW()-COUNTIF($F$6:INDEX($F:$F, ROW()-1), $F529)) : INDEX(AB:AB, ROW()-1)
         )
         /SUM(INDEX(AB:AB, ROW()-COUNTIF($F$6:INDEX($F:$F, ROW()-1), $F529)) : INDEX(AB:AB, ROW()-1)),
          AVERAGEIFS(unit_details[Asking PSF],
          unit_details[Active Listing?],TRUE,
          unit_details[Property Name], $F530,
          unit_details[Beds], $L530,
          unit_details[Baths], $M530,
          unit_details[Partial Baths], IF(ISNUMBER($N530),$N530,""),
          unit_details[Sqft],$P530
)),"")</f>
        <v/>
      </c>
      <c r="AH530" s="293" t="str">
        <f>IFERROR(IF($F530="Total",
         SUMPRODUCT(
         INDEX(AH:AH, ROW()-COUNTIF($F$6:INDEX($F:$F, ROW()-1), $F529)) : INDEX(AH:AH, ROW()-1),
         INDEX(AB:AB, ROW()-COUNTIF($F$6:INDEX($F:$F, ROW()-1), $F529)) : INDEX(AB:AB, ROW()-1)
         )
         /SUM(INDEX(AB:AB, ROW()-COUNTIF($F$6:INDEX($F:$F, ROW()-1), $F529)) : INDEX(AB:AB, ROW()-1)),
          AVERAGEIFS(unit_details[Effective Rent],
          unit_details[Active Listing?],TRUE,
          unit_details[Property Name], $F530,
          unit_details[Beds], $L530,
          unit_details[Baths], $M530,
          unit_details[Partial Baths], IF(ISNUMBER($N530),$N530,""),
          unit_details[Sqft],$P530
)),"")</f>
        <v/>
      </c>
      <c r="AI530" s="6" t="str">
        <f>IFERROR(IF($F530="Total",
         SUMPRODUCT(
         INDEX(AI:AI, ROW()-COUNTIF($F$6:INDEX($F:$F, ROW()-1), $F529)) : INDEX(AI:AI, ROW()-1),
         INDEX(AB:AB, ROW()-COUNTIF($F$6:INDEX($F:$F, ROW()-1), $F529)) : INDEX(AB:AB, ROW()-1)
         )
         /SUM(INDEX(AB:AB, ROW()-COUNTIF($F$6:INDEX($F:$F, ROW()-1), $F529)) : INDEX(AB:AB, ROW()-1)),
           AVERAGEIFS(unit_details[Effective PSF],
          unit_details[Active Listing?],TRUE,
          unit_details[Property Name], $F530,
          unit_details[Beds], $L530,
          unit_details[Baths], $M530,
          unit_details[Partial Baths], IF(ISNUMBER($N530),$N530,""),
          unit_details[Sqft],$P530
)),"")</f>
        <v/>
      </c>
      <c r="AJ530" s="824" t="str">
        <f t="shared" si="92"/>
        <v/>
      </c>
      <c r="AK530" s="531" t="str">
        <f t="shared" si="93"/>
        <v/>
      </c>
      <c r="AL530" s="714" t="str">
        <f t="shared" si="94"/>
        <v/>
      </c>
      <c r="AM530" s="531" t="str">
        <f t="shared" si="95"/>
        <v/>
      </c>
      <c r="AN530" s="716" t="str">
        <f t="shared" si="96"/>
        <v/>
      </c>
    </row>
    <row r="531" spans="6:40" x14ac:dyDescent="0.2">
      <c r="F531" s="1" t="str">
        <f t="shared" si="89"/>
        <v/>
      </c>
      <c r="G531" s="713" t="str">
        <f t="shared" si="97"/>
        <v/>
      </c>
      <c r="H531" s="17" t="str">
        <f>IFERROR(VLOOKUP($G531,Table1[[Property]:[Exposure %]],4,0),"")</f>
        <v/>
      </c>
      <c r="I531" s="3" t="str">
        <f>IFERROR(VLOOKUP($G531,Table1[[Property]:[Exposure %]],6,0),"")</f>
        <v/>
      </c>
      <c r="J531" s="3" t="str">
        <f>IFERROR(VLOOKUP($G531,Table1[[Property]:[Exposure %]],7,0),"")</f>
        <v/>
      </c>
      <c r="R531" s="4" t="str">
        <f>IFERROR(VLOOKUP(IF(F531="Total",F530,F531),Table1[[Property]:['# Units]],7,0)*S531,"")</f>
        <v/>
      </c>
      <c r="S531" s="27" t="str">
        <f t="shared" si="90"/>
        <v/>
      </c>
      <c r="T531" s="531" t="str">
        <f>IFERROR(
 IF($F531="Total",
   SUMPRODUCT(
   INDEX(T:T, ROW()-COUNTIF($F$6:INDEX($F:$F, ROW()-1), $F530)) : INDEX(T:T, ROW()-1),
   INDEX(W:W, ROW()-COUNTIF($F$6:INDEX($F:$F, ROW()-1), $F530)) : INDEX(W:W, ROW()-1)
   )
   /SUM(INDEX(W:W, ROW()-COUNTIF($F$6:INDEX($F:$F, ROW()-1), $F530)) : INDEX(W:W, ROW()-1)),
   AVERAGEIFS(
     INDEX((unit_details[Asking Rent],unit_details[Asking PSF]),0,1,IF($U$3="Chunk Rent",1,2)),
     unit_details[Leased Date],"&gt;="&amp;($AM$2-T$5),
     unit_details[Leased Date],"&lt;"&amp;$AM$2,
     unit_details[Beds],$L531,
     unit_details[Baths],$M531,
     unit_details[Partial Baths],IF(ISNUMBER($N531),$N531,""),
     unit_details[Sqft],$P531,
     unit_details[Property Name],$F531)
 ),"")</f>
        <v/>
      </c>
      <c r="U531" s="552" t="str">
        <f>IFERROR(
 IF($F531="Total",
   SUMPRODUCT(
   INDEX(U:U, ROW()-COUNTIF($F$6:INDEX($F:$F, ROW()-1), $F530)) : INDEX(U:U, ROW()-1),
   INDEX(W:W, ROW()-COUNTIF($F$6:INDEX($F:$F, ROW()-1), $F530)) : INDEX(W:W, ROW()-1)
   )
   /SUM(INDEX(W:W, ROW()-COUNTIF($F$6:INDEX($F:$F, ROW()-1), $F530)) : INDEX(W:W, ROW()-1)),
   AVERAGEIFS(
     INDEX((unit_details[Effective Rent],unit_details[Effective PSF]),0,1,IF($U$3="Chunk Rent",1,2)),
     unit_details[Leased Date],"&gt;="&amp;($AM$2-T$5),
     unit_details[Leased Date],"&lt;"&amp;$AM$2,
     unit_details[Beds],$L531,
     unit_details[Baths],$M531,
     unit_details[Partial Baths],IF(ISNUMBER($N531),$N531,""),
     unit_details[Sqft],$P531,
     unit_details[Property Name],$F531)
 ),"")</f>
        <v/>
      </c>
      <c r="V531" s="27" t="str">
        <f t="shared" si="98"/>
        <v/>
      </c>
      <c r="W531" s="526">
        <f>IFERROR(
  IF($F531="Total",
    SUM(INDEX(W:W, ROW()-COUNTIF($F$6:INDEX($F:$F, ROW()-1), $F530)) : INDEX(W:W, ROW()-1)),
    COUNTIFS(
      unit_details[Leased Date], "&gt;="&amp;($AM$2-T$5),
      unit_details[Leased Date], "&lt;"&amp;$AM$2,
      unit_details[Beds], $L531,
      unit_details[Baths], $M531,
      unit_details[Partial Baths], IF(ISNUMBER($N531), $N531, ""),
      unit_details[Sqft],$P531,
      unit_details[Property Name], $F531
    )
  ),
"")</f>
        <v>0</v>
      </c>
      <c r="X531" s="531" t="str">
        <f>IFERROR(
 IF($F531="Total",
   SUMPRODUCT(
   INDEX(X:X, ROW()-COUNTIF($F$6:INDEX($F:$F, ROW()-1), $F530)) : INDEX(X:X, ROW()-1),
   INDEX(AA:AA, ROW()-COUNTIF($F$6:INDEX($F:$F, ROW()-1), $F530)) : INDEX(AA:AA, ROW()-1)
   )
   /SUM(INDEX(AA:AA, ROW()-COUNTIF($F$6:INDEX($F:$F, ROW()-1), $F530)) : INDEX(AA:AA, ROW()-1)),
   AVERAGEIFS(
     INDEX((unit_details[Asking Rent],unit_details[Asking PSF]),0,1,IF($U$3="Chunk Rent",1,2)),
     unit_details[Leased Date],"&gt;="&amp;($AM$2-X$5),
     unit_details[Leased Date],"&lt;"&amp;$AM$2,
     unit_details[Beds],$L531,
     unit_details[Baths],$M531,
     unit_details[Partial Baths],IF(ISNUMBER($N531),$N531,""),
     unit_details[Sqft],$P531,
     unit_details[Property Name],$F531)
 ),"")</f>
        <v/>
      </c>
      <c r="Y531" s="552" t="str">
        <f>IFERROR(
 IF($F531="Total",
   SUMPRODUCT(
   INDEX(Y:Y, ROW()-COUNTIF($F$6:INDEX($F:$F, ROW()-1), $F530)) : INDEX(Y:Y, ROW()-1),
   INDEX(AA:AA, ROW()-COUNTIF($F$6:INDEX($F:$F, ROW()-1), $F530)) : INDEX(AA:AA, ROW()-1)
   )
   /SUM(INDEX(AA:AA, ROW()-COUNTIF($F$6:INDEX($F:$F, ROW()-1), $F530)) : INDEX(AA:AA, ROW()-1)),
   AVERAGEIFS(
     INDEX((unit_details[Effective Rent],unit_details[Effective PSF]),0,1,IF($U$3="Chunk Rent",1,2)),
     unit_details[Leased Date],"&gt;="&amp;($AM$2-X$5),
     unit_details[Leased Date],"&lt;"&amp;$AM$2,
     unit_details[Beds],$L531,
     unit_details[Baths],$M531,
     unit_details[Partial Baths],IF(ISNUMBER($N531),$N531,""),
     unit_details[Sqft],$P531,
     unit_details[Property Name],$F531)
 ),"")</f>
        <v/>
      </c>
      <c r="Z531" s="27" t="str">
        <f t="shared" si="99"/>
        <v/>
      </c>
      <c r="AA531" s="526">
        <f>IFERROR(
  IF($F531="Total",
    SUM(INDEX(AA:AA, ROW()-COUNTIF($F$6:INDEX($F:$F, ROW()-1), $F530)) : INDEX(AA:AA, ROW()-1)),
    COUNTIFS(
      unit_details[Leased Date], "&gt;="&amp;($AM$2-X$5),
      unit_details[Leased Date], "&lt;"&amp;$AM$2,
      unit_details[Beds], $L531,
      unit_details[Baths], $M531,
      unit_details[Partial Baths], IF(ISNUMBER($N531), $N531, ""),
      unit_details[Sqft],$P531,
      unit_details[Property Name], $F531
    )
  ),
"")</f>
        <v>0</v>
      </c>
      <c r="AB531" s="290">
        <f>IF($F531="Total",
SUM(INDEX(AB:AB, ROW()-COUNTIF($F$6:INDEX($F:$F, ROW()-1), $F530)) : INDEX(AB:AB, ROW()-1)),
COUNTIFS(unit_details[Active Listing?],TRUE,
          unit_details[Property Name], $F531,
          unit_details[Beds], $L531,
          unit_details[Baths], $M531,
          unit_details[Partial Baths],IF(ISNUMBER($N531),$N531,""),
          unit_details[Sqft],$P531))</f>
        <v>0</v>
      </c>
      <c r="AC531" s="27" t="str">
        <f t="shared" si="91"/>
        <v/>
      </c>
      <c r="AD531" s="293" t="str">
        <f>IFERROR(IF(AE531="","",IF($F531="Total",
SUMPRODUCT(
   INDEX(AD:AD, ROW()-COUNTIF($F$6:INDEX($F:$F, ROW()-1), $F530)) : INDEX(AD:AD, ROW()-1),
   INDEX(AB:AB, ROW()-COUNTIF($F$6:INDEX($F:$F, ROW()-1), $F530)) : INDEX(AB:AB, ROW()-1)
   )
   /SUM(INDEX(AB:AB, ROW()-COUNTIF($F$6:INDEX($F:$F, ROW()-1), $F530)) : INDEX(AB:AB, ROW()-1)),
          _xlfn.MINIFS(unit_details[Asking Rent],
          unit_details[Active Listing?],TRUE,
          unit_details[Property Name], $F531,
          unit_details[Beds], $L531,
          unit_details[Baths], $M531,
          unit_details[Partial Baths], IF(ISNUMBER($N531),$N531,""),
          unit_details[Sqft],$P531
))),"")</f>
        <v/>
      </c>
      <c r="AE531" s="5" t="str">
        <f>IFERROR(IF($F531="Total",
          SUMPRODUCT(
   INDEX(AE:AE, ROW()-COUNTIF($F$6:INDEX($F:$F, ROW()-1), $F530)) : INDEX(AE:AE, ROW()-1),
   INDEX(AB:AB, ROW()-COUNTIF($F$6:INDEX($F:$F, ROW()-1), $F530)) : INDEX(AB:AB, ROW()-1)
   )
   /SUM(INDEX(AB:AB, ROW()-COUNTIF($F$6:INDEX($F:$F, ROW()-1), $F530)) : INDEX(AB:AB, ROW()-1)),
          AVERAGEIFS(unit_details[Asking Rent],
          unit_details[Active Listing?],TRUE,
          unit_details[Property Name], $F531,
          unit_details[Beds], $L531,
          unit_details[Baths], $M531,
          unit_details[Partial Baths], IF(ISNUMBER($N531),$N531,""),
          unit_details[Sqft],$P531
)),"")</f>
        <v/>
      </c>
      <c r="AF531" s="5" t="str">
        <f>IFERROR(IF(AE531="","",IF($F531="Total",
SUMPRODUCT(
   INDEX(AF:AF, ROW()-COUNTIF($F$6:INDEX($F:$F, ROW()-1), $F530)) : INDEX(AF:AF, ROW()-1),
   INDEX(AB:AB, ROW()-COUNTIF($F$6:INDEX($F:$F, ROW()-1), $F530)) : INDEX(AB:AB, ROW()-1)
   )
   /SUM(INDEX(AB:AB, ROW()-COUNTIF($F$6:INDEX($F:$F, ROW()-1), $F530)) : INDEX(AB:AB, ROW()-1)),
           _xlfn.MAXIFS(unit_details[Asking Rent],
          unit_details[Active Listing?],TRUE,
          unit_details[Property Name], $F531,
          unit_details[Beds], $L531,
          unit_details[Baths], $M531,
          unit_details[Partial Baths], IF(ISNUMBER($N531),$N531,""),
          unit_details[Sqft],$P531
))),"")</f>
        <v/>
      </c>
      <c r="AG531" s="6" t="str">
        <f>IFERROR(IF($F531="Total",
         SUMPRODUCT(
         INDEX(AG:AG, ROW()-COUNTIF($F$6:INDEX($F:$F, ROW()-1), $F530)) : INDEX(AG:AG, ROW()-1),
         INDEX(AB:AB, ROW()-COUNTIF($F$6:INDEX($F:$F, ROW()-1), $F530)) : INDEX(AB:AB, ROW()-1)
         )
         /SUM(INDEX(AB:AB, ROW()-COUNTIF($F$6:INDEX($F:$F, ROW()-1), $F530)) : INDEX(AB:AB, ROW()-1)),
          AVERAGEIFS(unit_details[Asking PSF],
          unit_details[Active Listing?],TRUE,
          unit_details[Property Name], $F531,
          unit_details[Beds], $L531,
          unit_details[Baths], $M531,
          unit_details[Partial Baths], IF(ISNUMBER($N531),$N531,""),
          unit_details[Sqft],$P531
)),"")</f>
        <v/>
      </c>
      <c r="AH531" s="293" t="str">
        <f>IFERROR(IF($F531="Total",
         SUMPRODUCT(
         INDEX(AH:AH, ROW()-COUNTIF($F$6:INDEX($F:$F, ROW()-1), $F530)) : INDEX(AH:AH, ROW()-1),
         INDEX(AB:AB, ROW()-COUNTIF($F$6:INDEX($F:$F, ROW()-1), $F530)) : INDEX(AB:AB, ROW()-1)
         )
         /SUM(INDEX(AB:AB, ROW()-COUNTIF($F$6:INDEX($F:$F, ROW()-1), $F530)) : INDEX(AB:AB, ROW()-1)),
          AVERAGEIFS(unit_details[Effective Rent],
          unit_details[Active Listing?],TRUE,
          unit_details[Property Name], $F531,
          unit_details[Beds], $L531,
          unit_details[Baths], $M531,
          unit_details[Partial Baths], IF(ISNUMBER($N531),$N531,""),
          unit_details[Sqft],$P531
)),"")</f>
        <v/>
      </c>
      <c r="AI531" s="6" t="str">
        <f>IFERROR(IF($F531="Total",
         SUMPRODUCT(
         INDEX(AI:AI, ROW()-COUNTIF($F$6:INDEX($F:$F, ROW()-1), $F530)) : INDEX(AI:AI, ROW()-1),
         INDEX(AB:AB, ROW()-COUNTIF($F$6:INDEX($F:$F, ROW()-1), $F530)) : INDEX(AB:AB, ROW()-1)
         )
         /SUM(INDEX(AB:AB, ROW()-COUNTIF($F$6:INDEX($F:$F, ROW()-1), $F530)) : INDEX(AB:AB, ROW()-1)),
           AVERAGEIFS(unit_details[Effective PSF],
          unit_details[Active Listing?],TRUE,
          unit_details[Property Name], $F531,
          unit_details[Beds], $L531,
          unit_details[Baths], $M531,
          unit_details[Partial Baths], IF(ISNUMBER($N531),$N531,""),
          unit_details[Sqft],$P531
)),"")</f>
        <v/>
      </c>
      <c r="AJ531" s="824" t="str">
        <f t="shared" si="92"/>
        <v/>
      </c>
      <c r="AK531" s="531" t="str">
        <f t="shared" si="93"/>
        <v/>
      </c>
      <c r="AL531" s="714" t="str">
        <f t="shared" si="94"/>
        <v/>
      </c>
      <c r="AM531" s="531" t="str">
        <f t="shared" si="95"/>
        <v/>
      </c>
      <c r="AN531" s="716" t="str">
        <f t="shared" si="96"/>
        <v/>
      </c>
    </row>
    <row r="532" spans="6:40" x14ac:dyDescent="0.2">
      <c r="F532" s="1" t="str">
        <f t="shared" si="89"/>
        <v/>
      </c>
      <c r="G532" s="713" t="str">
        <f t="shared" si="97"/>
        <v/>
      </c>
      <c r="H532" s="17" t="str">
        <f>IFERROR(VLOOKUP($G532,Table1[[Property]:[Exposure %]],4,0),"")</f>
        <v/>
      </c>
      <c r="I532" s="3" t="str">
        <f>IFERROR(VLOOKUP($G532,Table1[[Property]:[Exposure %]],6,0),"")</f>
        <v/>
      </c>
      <c r="J532" s="3" t="str">
        <f>IFERROR(VLOOKUP($G532,Table1[[Property]:[Exposure %]],7,0),"")</f>
        <v/>
      </c>
      <c r="R532" s="4" t="str">
        <f>IFERROR(VLOOKUP(IF(F532="Total",F531,F532),Table1[[Property]:['# Units]],7,0)*S532,"")</f>
        <v/>
      </c>
      <c r="S532" s="27" t="str">
        <f t="shared" si="90"/>
        <v/>
      </c>
      <c r="T532" s="531" t="str">
        <f>IFERROR(
 IF($F532="Total",
   SUMPRODUCT(
   INDEX(T:T, ROW()-COUNTIF($F$6:INDEX($F:$F, ROW()-1), $F531)) : INDEX(T:T, ROW()-1),
   INDEX(W:W, ROW()-COUNTIF($F$6:INDEX($F:$F, ROW()-1), $F531)) : INDEX(W:W, ROW()-1)
   )
   /SUM(INDEX(W:W, ROW()-COUNTIF($F$6:INDEX($F:$F, ROW()-1), $F531)) : INDEX(W:W, ROW()-1)),
   AVERAGEIFS(
     INDEX((unit_details[Asking Rent],unit_details[Asking PSF]),0,1,IF($U$3="Chunk Rent",1,2)),
     unit_details[Leased Date],"&gt;="&amp;($AM$2-T$5),
     unit_details[Leased Date],"&lt;"&amp;$AM$2,
     unit_details[Beds],$L532,
     unit_details[Baths],$M532,
     unit_details[Partial Baths],IF(ISNUMBER($N532),$N532,""),
     unit_details[Sqft],$P532,
     unit_details[Property Name],$F532)
 ),"")</f>
        <v/>
      </c>
      <c r="U532" s="552" t="str">
        <f>IFERROR(
 IF($F532="Total",
   SUMPRODUCT(
   INDEX(U:U, ROW()-COUNTIF($F$6:INDEX($F:$F, ROW()-1), $F531)) : INDEX(U:U, ROW()-1),
   INDEX(W:W, ROW()-COUNTIF($F$6:INDEX($F:$F, ROW()-1), $F531)) : INDEX(W:W, ROW()-1)
   )
   /SUM(INDEX(W:W, ROW()-COUNTIF($F$6:INDEX($F:$F, ROW()-1), $F531)) : INDEX(W:W, ROW()-1)),
   AVERAGEIFS(
     INDEX((unit_details[Effective Rent],unit_details[Effective PSF]),0,1,IF($U$3="Chunk Rent",1,2)),
     unit_details[Leased Date],"&gt;="&amp;($AM$2-T$5),
     unit_details[Leased Date],"&lt;"&amp;$AM$2,
     unit_details[Beds],$L532,
     unit_details[Baths],$M532,
     unit_details[Partial Baths],IF(ISNUMBER($N532),$N532,""),
     unit_details[Sqft],$P532,
     unit_details[Property Name],$F532)
 ),"")</f>
        <v/>
      </c>
      <c r="V532" s="27" t="str">
        <f t="shared" si="98"/>
        <v/>
      </c>
      <c r="W532" s="526">
        <f>IFERROR(
  IF($F532="Total",
    SUM(INDEX(W:W, ROW()-COUNTIF($F$6:INDEX($F:$F, ROW()-1), $F531)) : INDEX(W:W, ROW()-1)),
    COUNTIFS(
      unit_details[Leased Date], "&gt;="&amp;($AM$2-T$5),
      unit_details[Leased Date], "&lt;"&amp;$AM$2,
      unit_details[Beds], $L532,
      unit_details[Baths], $M532,
      unit_details[Partial Baths], IF(ISNUMBER($N532), $N532, ""),
      unit_details[Sqft],$P532,
      unit_details[Property Name], $F532
    )
  ),
"")</f>
        <v>0</v>
      </c>
      <c r="X532" s="531" t="str">
        <f>IFERROR(
 IF($F532="Total",
   SUMPRODUCT(
   INDEX(X:X, ROW()-COUNTIF($F$6:INDEX($F:$F, ROW()-1), $F531)) : INDEX(X:X, ROW()-1),
   INDEX(AA:AA, ROW()-COUNTIF($F$6:INDEX($F:$F, ROW()-1), $F531)) : INDEX(AA:AA, ROW()-1)
   )
   /SUM(INDEX(AA:AA, ROW()-COUNTIF($F$6:INDEX($F:$F, ROW()-1), $F531)) : INDEX(AA:AA, ROW()-1)),
   AVERAGEIFS(
     INDEX((unit_details[Asking Rent],unit_details[Asking PSF]),0,1,IF($U$3="Chunk Rent",1,2)),
     unit_details[Leased Date],"&gt;="&amp;($AM$2-X$5),
     unit_details[Leased Date],"&lt;"&amp;$AM$2,
     unit_details[Beds],$L532,
     unit_details[Baths],$M532,
     unit_details[Partial Baths],IF(ISNUMBER($N532),$N532,""),
     unit_details[Sqft],$P532,
     unit_details[Property Name],$F532)
 ),"")</f>
        <v/>
      </c>
      <c r="Y532" s="552" t="str">
        <f>IFERROR(
 IF($F532="Total",
   SUMPRODUCT(
   INDEX(Y:Y, ROW()-COUNTIF($F$6:INDEX($F:$F, ROW()-1), $F531)) : INDEX(Y:Y, ROW()-1),
   INDEX(AA:AA, ROW()-COUNTIF($F$6:INDEX($F:$F, ROW()-1), $F531)) : INDEX(AA:AA, ROW()-1)
   )
   /SUM(INDEX(AA:AA, ROW()-COUNTIF($F$6:INDEX($F:$F, ROW()-1), $F531)) : INDEX(AA:AA, ROW()-1)),
   AVERAGEIFS(
     INDEX((unit_details[Effective Rent],unit_details[Effective PSF]),0,1,IF($U$3="Chunk Rent",1,2)),
     unit_details[Leased Date],"&gt;="&amp;($AM$2-X$5),
     unit_details[Leased Date],"&lt;"&amp;$AM$2,
     unit_details[Beds],$L532,
     unit_details[Baths],$M532,
     unit_details[Partial Baths],IF(ISNUMBER($N532),$N532,""),
     unit_details[Sqft],$P532,
     unit_details[Property Name],$F532)
 ),"")</f>
        <v/>
      </c>
      <c r="Z532" s="27" t="str">
        <f t="shared" si="99"/>
        <v/>
      </c>
      <c r="AA532" s="526">
        <f>IFERROR(
  IF($F532="Total",
    SUM(INDEX(AA:AA, ROW()-COUNTIF($F$6:INDEX($F:$F, ROW()-1), $F531)) : INDEX(AA:AA, ROW()-1)),
    COUNTIFS(
      unit_details[Leased Date], "&gt;="&amp;($AM$2-X$5),
      unit_details[Leased Date], "&lt;"&amp;$AM$2,
      unit_details[Beds], $L532,
      unit_details[Baths], $M532,
      unit_details[Partial Baths], IF(ISNUMBER($N532), $N532, ""),
      unit_details[Sqft],$P532,
      unit_details[Property Name], $F532
    )
  ),
"")</f>
        <v>0</v>
      </c>
      <c r="AB532" s="290">
        <f>IF($F532="Total",
SUM(INDEX(AB:AB, ROW()-COUNTIF($F$6:INDEX($F:$F, ROW()-1), $F531)) : INDEX(AB:AB, ROW()-1)),
COUNTIFS(unit_details[Active Listing?],TRUE,
          unit_details[Property Name], $F532,
          unit_details[Beds], $L532,
          unit_details[Baths], $M532,
          unit_details[Partial Baths],IF(ISNUMBER($N532),$N532,""),
          unit_details[Sqft],$P532))</f>
        <v>0</v>
      </c>
      <c r="AC532" s="27" t="str">
        <f t="shared" si="91"/>
        <v/>
      </c>
      <c r="AD532" s="293" t="str">
        <f>IFERROR(IF(AE532="","",IF($F532="Total",
SUMPRODUCT(
   INDEX(AD:AD, ROW()-COUNTIF($F$6:INDEX($F:$F, ROW()-1), $F531)) : INDEX(AD:AD, ROW()-1),
   INDEX(AB:AB, ROW()-COUNTIF($F$6:INDEX($F:$F, ROW()-1), $F531)) : INDEX(AB:AB, ROW()-1)
   )
   /SUM(INDEX(AB:AB, ROW()-COUNTIF($F$6:INDEX($F:$F, ROW()-1), $F531)) : INDEX(AB:AB, ROW()-1)),
          _xlfn.MINIFS(unit_details[Asking Rent],
          unit_details[Active Listing?],TRUE,
          unit_details[Property Name], $F532,
          unit_details[Beds], $L532,
          unit_details[Baths], $M532,
          unit_details[Partial Baths], IF(ISNUMBER($N532),$N532,""),
          unit_details[Sqft],$P532
))),"")</f>
        <v/>
      </c>
      <c r="AE532" s="5" t="str">
        <f>IFERROR(IF($F532="Total",
          SUMPRODUCT(
   INDEX(AE:AE, ROW()-COUNTIF($F$6:INDEX($F:$F, ROW()-1), $F531)) : INDEX(AE:AE, ROW()-1),
   INDEX(AB:AB, ROW()-COUNTIF($F$6:INDEX($F:$F, ROW()-1), $F531)) : INDEX(AB:AB, ROW()-1)
   )
   /SUM(INDEX(AB:AB, ROW()-COUNTIF($F$6:INDEX($F:$F, ROW()-1), $F531)) : INDEX(AB:AB, ROW()-1)),
          AVERAGEIFS(unit_details[Asking Rent],
          unit_details[Active Listing?],TRUE,
          unit_details[Property Name], $F532,
          unit_details[Beds], $L532,
          unit_details[Baths], $M532,
          unit_details[Partial Baths], IF(ISNUMBER($N532),$N532,""),
          unit_details[Sqft],$P532
)),"")</f>
        <v/>
      </c>
      <c r="AF532" s="5" t="str">
        <f>IFERROR(IF(AE532="","",IF($F532="Total",
SUMPRODUCT(
   INDEX(AF:AF, ROW()-COUNTIF($F$6:INDEX($F:$F, ROW()-1), $F531)) : INDEX(AF:AF, ROW()-1),
   INDEX(AB:AB, ROW()-COUNTIF($F$6:INDEX($F:$F, ROW()-1), $F531)) : INDEX(AB:AB, ROW()-1)
   )
   /SUM(INDEX(AB:AB, ROW()-COUNTIF($F$6:INDEX($F:$F, ROW()-1), $F531)) : INDEX(AB:AB, ROW()-1)),
           _xlfn.MAXIFS(unit_details[Asking Rent],
          unit_details[Active Listing?],TRUE,
          unit_details[Property Name], $F532,
          unit_details[Beds], $L532,
          unit_details[Baths], $M532,
          unit_details[Partial Baths], IF(ISNUMBER($N532),$N532,""),
          unit_details[Sqft],$P532
))),"")</f>
        <v/>
      </c>
      <c r="AG532" s="6" t="str">
        <f>IFERROR(IF($F532="Total",
         SUMPRODUCT(
         INDEX(AG:AG, ROW()-COUNTIF($F$6:INDEX($F:$F, ROW()-1), $F531)) : INDEX(AG:AG, ROW()-1),
         INDEX(AB:AB, ROW()-COUNTIF($F$6:INDEX($F:$F, ROW()-1), $F531)) : INDEX(AB:AB, ROW()-1)
         )
         /SUM(INDEX(AB:AB, ROW()-COUNTIF($F$6:INDEX($F:$F, ROW()-1), $F531)) : INDEX(AB:AB, ROW()-1)),
          AVERAGEIFS(unit_details[Asking PSF],
          unit_details[Active Listing?],TRUE,
          unit_details[Property Name], $F532,
          unit_details[Beds], $L532,
          unit_details[Baths], $M532,
          unit_details[Partial Baths], IF(ISNUMBER($N532),$N532,""),
          unit_details[Sqft],$P532
)),"")</f>
        <v/>
      </c>
      <c r="AH532" s="293" t="str">
        <f>IFERROR(IF($F532="Total",
         SUMPRODUCT(
         INDEX(AH:AH, ROW()-COUNTIF($F$6:INDEX($F:$F, ROW()-1), $F531)) : INDEX(AH:AH, ROW()-1),
         INDEX(AB:AB, ROW()-COUNTIF($F$6:INDEX($F:$F, ROW()-1), $F531)) : INDEX(AB:AB, ROW()-1)
         )
         /SUM(INDEX(AB:AB, ROW()-COUNTIF($F$6:INDEX($F:$F, ROW()-1), $F531)) : INDEX(AB:AB, ROW()-1)),
          AVERAGEIFS(unit_details[Effective Rent],
          unit_details[Active Listing?],TRUE,
          unit_details[Property Name], $F532,
          unit_details[Beds], $L532,
          unit_details[Baths], $M532,
          unit_details[Partial Baths], IF(ISNUMBER($N532),$N532,""),
          unit_details[Sqft],$P532
)),"")</f>
        <v/>
      </c>
      <c r="AI532" s="6" t="str">
        <f>IFERROR(IF($F532="Total",
         SUMPRODUCT(
         INDEX(AI:AI, ROW()-COUNTIF($F$6:INDEX($F:$F, ROW()-1), $F531)) : INDEX(AI:AI, ROW()-1),
         INDEX(AB:AB, ROW()-COUNTIF($F$6:INDEX($F:$F, ROW()-1), $F531)) : INDEX(AB:AB, ROW()-1)
         )
         /SUM(INDEX(AB:AB, ROW()-COUNTIF($F$6:INDEX($F:$F, ROW()-1), $F531)) : INDEX(AB:AB, ROW()-1)),
           AVERAGEIFS(unit_details[Effective PSF],
          unit_details[Active Listing?],TRUE,
          unit_details[Property Name], $F532,
          unit_details[Beds], $L532,
          unit_details[Baths], $M532,
          unit_details[Partial Baths], IF(ISNUMBER($N532),$N532,""),
          unit_details[Sqft],$P532
)),"")</f>
        <v/>
      </c>
      <c r="AJ532" s="824" t="str">
        <f t="shared" si="92"/>
        <v/>
      </c>
      <c r="AK532" s="531" t="str">
        <f t="shared" si="93"/>
        <v/>
      </c>
      <c r="AL532" s="714" t="str">
        <f t="shared" si="94"/>
        <v/>
      </c>
      <c r="AM532" s="531" t="str">
        <f t="shared" si="95"/>
        <v/>
      </c>
      <c r="AN532" s="716" t="str">
        <f t="shared" si="96"/>
        <v/>
      </c>
    </row>
    <row r="533" spans="6:40" x14ac:dyDescent="0.2">
      <c r="F533" s="1" t="str">
        <f t="shared" si="89"/>
        <v/>
      </c>
      <c r="G533" s="713" t="str">
        <f t="shared" si="97"/>
        <v/>
      </c>
      <c r="H533" s="17" t="str">
        <f>IFERROR(VLOOKUP($G533,Table1[[Property]:[Exposure %]],4,0),"")</f>
        <v/>
      </c>
      <c r="I533" s="3" t="str">
        <f>IFERROR(VLOOKUP($G533,Table1[[Property]:[Exposure %]],6,0),"")</f>
        <v/>
      </c>
      <c r="J533" s="3" t="str">
        <f>IFERROR(VLOOKUP($G533,Table1[[Property]:[Exposure %]],7,0),"")</f>
        <v/>
      </c>
      <c r="R533" s="4" t="str">
        <f>IFERROR(VLOOKUP(IF(F533="Total",F532,F533),Table1[[Property]:['# Units]],7,0)*S533,"")</f>
        <v/>
      </c>
      <c r="S533" s="27" t="str">
        <f t="shared" si="90"/>
        <v/>
      </c>
      <c r="T533" s="531" t="str">
        <f>IFERROR(
 IF($F533="Total",
   SUMPRODUCT(
   INDEX(T:T, ROW()-COUNTIF($F$6:INDEX($F:$F, ROW()-1), $F532)) : INDEX(T:T, ROW()-1),
   INDEX(W:W, ROW()-COUNTIF($F$6:INDEX($F:$F, ROW()-1), $F532)) : INDEX(W:W, ROW()-1)
   )
   /SUM(INDEX(W:W, ROW()-COUNTIF($F$6:INDEX($F:$F, ROW()-1), $F532)) : INDEX(W:W, ROW()-1)),
   AVERAGEIFS(
     INDEX((unit_details[Asking Rent],unit_details[Asking PSF]),0,1,IF($U$3="Chunk Rent",1,2)),
     unit_details[Leased Date],"&gt;="&amp;($AM$2-T$5),
     unit_details[Leased Date],"&lt;"&amp;$AM$2,
     unit_details[Beds],$L533,
     unit_details[Baths],$M533,
     unit_details[Partial Baths],IF(ISNUMBER($N533),$N533,""),
     unit_details[Sqft],$P533,
     unit_details[Property Name],$F533)
 ),"")</f>
        <v/>
      </c>
      <c r="U533" s="552" t="str">
        <f>IFERROR(
 IF($F533="Total",
   SUMPRODUCT(
   INDEX(U:U, ROW()-COUNTIF($F$6:INDEX($F:$F, ROW()-1), $F532)) : INDEX(U:U, ROW()-1),
   INDEX(W:W, ROW()-COUNTIF($F$6:INDEX($F:$F, ROW()-1), $F532)) : INDEX(W:W, ROW()-1)
   )
   /SUM(INDEX(W:W, ROW()-COUNTIF($F$6:INDEX($F:$F, ROW()-1), $F532)) : INDEX(W:W, ROW()-1)),
   AVERAGEIFS(
     INDEX((unit_details[Effective Rent],unit_details[Effective PSF]),0,1,IF($U$3="Chunk Rent",1,2)),
     unit_details[Leased Date],"&gt;="&amp;($AM$2-T$5),
     unit_details[Leased Date],"&lt;"&amp;$AM$2,
     unit_details[Beds],$L533,
     unit_details[Baths],$M533,
     unit_details[Partial Baths],IF(ISNUMBER($N533),$N533,""),
     unit_details[Sqft],$P533,
     unit_details[Property Name],$F533)
 ),"")</f>
        <v/>
      </c>
      <c r="V533" s="27" t="str">
        <f t="shared" si="98"/>
        <v/>
      </c>
      <c r="W533" s="526">
        <f>IFERROR(
  IF($F533="Total",
    SUM(INDEX(W:W, ROW()-COUNTIF($F$6:INDEX($F:$F, ROW()-1), $F532)) : INDEX(W:W, ROW()-1)),
    COUNTIFS(
      unit_details[Leased Date], "&gt;="&amp;($AM$2-T$5),
      unit_details[Leased Date], "&lt;"&amp;$AM$2,
      unit_details[Beds], $L533,
      unit_details[Baths], $M533,
      unit_details[Partial Baths], IF(ISNUMBER($N533), $N533, ""),
      unit_details[Sqft],$P533,
      unit_details[Property Name], $F533
    )
  ),
"")</f>
        <v>0</v>
      </c>
      <c r="X533" s="531" t="str">
        <f>IFERROR(
 IF($F533="Total",
   SUMPRODUCT(
   INDEX(X:X, ROW()-COUNTIF($F$6:INDEX($F:$F, ROW()-1), $F532)) : INDEX(X:X, ROW()-1),
   INDEX(AA:AA, ROW()-COUNTIF($F$6:INDEX($F:$F, ROW()-1), $F532)) : INDEX(AA:AA, ROW()-1)
   )
   /SUM(INDEX(AA:AA, ROW()-COUNTIF($F$6:INDEX($F:$F, ROW()-1), $F532)) : INDEX(AA:AA, ROW()-1)),
   AVERAGEIFS(
     INDEX((unit_details[Asking Rent],unit_details[Asking PSF]),0,1,IF($U$3="Chunk Rent",1,2)),
     unit_details[Leased Date],"&gt;="&amp;($AM$2-X$5),
     unit_details[Leased Date],"&lt;"&amp;$AM$2,
     unit_details[Beds],$L533,
     unit_details[Baths],$M533,
     unit_details[Partial Baths],IF(ISNUMBER($N533),$N533,""),
     unit_details[Sqft],$P533,
     unit_details[Property Name],$F533)
 ),"")</f>
        <v/>
      </c>
      <c r="Y533" s="552" t="str">
        <f>IFERROR(
 IF($F533="Total",
   SUMPRODUCT(
   INDEX(Y:Y, ROW()-COUNTIF($F$6:INDEX($F:$F, ROW()-1), $F532)) : INDEX(Y:Y, ROW()-1),
   INDEX(AA:AA, ROW()-COUNTIF($F$6:INDEX($F:$F, ROW()-1), $F532)) : INDEX(AA:AA, ROW()-1)
   )
   /SUM(INDEX(AA:AA, ROW()-COUNTIF($F$6:INDEX($F:$F, ROW()-1), $F532)) : INDEX(AA:AA, ROW()-1)),
   AVERAGEIFS(
     INDEX((unit_details[Effective Rent],unit_details[Effective PSF]),0,1,IF($U$3="Chunk Rent",1,2)),
     unit_details[Leased Date],"&gt;="&amp;($AM$2-X$5),
     unit_details[Leased Date],"&lt;"&amp;$AM$2,
     unit_details[Beds],$L533,
     unit_details[Baths],$M533,
     unit_details[Partial Baths],IF(ISNUMBER($N533),$N533,""),
     unit_details[Sqft],$P533,
     unit_details[Property Name],$F533)
 ),"")</f>
        <v/>
      </c>
      <c r="Z533" s="27" t="str">
        <f t="shared" si="99"/>
        <v/>
      </c>
      <c r="AA533" s="526">
        <f>IFERROR(
  IF($F533="Total",
    SUM(INDEX(AA:AA, ROW()-COUNTIF($F$6:INDEX($F:$F, ROW()-1), $F532)) : INDEX(AA:AA, ROW()-1)),
    COUNTIFS(
      unit_details[Leased Date], "&gt;="&amp;($AM$2-X$5),
      unit_details[Leased Date], "&lt;"&amp;$AM$2,
      unit_details[Beds], $L533,
      unit_details[Baths], $M533,
      unit_details[Partial Baths], IF(ISNUMBER($N533), $N533, ""),
      unit_details[Sqft],$P533,
      unit_details[Property Name], $F533
    )
  ),
"")</f>
        <v>0</v>
      </c>
      <c r="AB533" s="290">
        <f>IF($F533="Total",
SUM(INDEX(AB:AB, ROW()-COUNTIF($F$6:INDEX($F:$F, ROW()-1), $F532)) : INDEX(AB:AB, ROW()-1)),
COUNTIFS(unit_details[Active Listing?],TRUE,
          unit_details[Property Name], $F533,
          unit_details[Beds], $L533,
          unit_details[Baths], $M533,
          unit_details[Partial Baths],IF(ISNUMBER($N533),$N533,""),
          unit_details[Sqft],$P533))</f>
        <v>0</v>
      </c>
      <c r="AC533" s="27" t="str">
        <f t="shared" si="91"/>
        <v/>
      </c>
      <c r="AD533" s="293" t="str">
        <f>IFERROR(IF(AE533="","",IF($F533="Total",
SUMPRODUCT(
   INDEX(AD:AD, ROW()-COUNTIF($F$6:INDEX($F:$F, ROW()-1), $F532)) : INDEX(AD:AD, ROW()-1),
   INDEX(AB:AB, ROW()-COUNTIF($F$6:INDEX($F:$F, ROW()-1), $F532)) : INDEX(AB:AB, ROW()-1)
   )
   /SUM(INDEX(AB:AB, ROW()-COUNTIF($F$6:INDEX($F:$F, ROW()-1), $F532)) : INDEX(AB:AB, ROW()-1)),
          _xlfn.MINIFS(unit_details[Asking Rent],
          unit_details[Active Listing?],TRUE,
          unit_details[Property Name], $F533,
          unit_details[Beds], $L533,
          unit_details[Baths], $M533,
          unit_details[Partial Baths], IF(ISNUMBER($N533),$N533,""),
          unit_details[Sqft],$P533
))),"")</f>
        <v/>
      </c>
      <c r="AE533" s="5" t="str">
        <f>IFERROR(IF($F533="Total",
          SUMPRODUCT(
   INDEX(AE:AE, ROW()-COUNTIF($F$6:INDEX($F:$F, ROW()-1), $F532)) : INDEX(AE:AE, ROW()-1),
   INDEX(AB:AB, ROW()-COUNTIF($F$6:INDEX($F:$F, ROW()-1), $F532)) : INDEX(AB:AB, ROW()-1)
   )
   /SUM(INDEX(AB:AB, ROW()-COUNTIF($F$6:INDEX($F:$F, ROW()-1), $F532)) : INDEX(AB:AB, ROW()-1)),
          AVERAGEIFS(unit_details[Asking Rent],
          unit_details[Active Listing?],TRUE,
          unit_details[Property Name], $F533,
          unit_details[Beds], $L533,
          unit_details[Baths], $M533,
          unit_details[Partial Baths], IF(ISNUMBER($N533),$N533,""),
          unit_details[Sqft],$P533
)),"")</f>
        <v/>
      </c>
      <c r="AF533" s="5" t="str">
        <f>IFERROR(IF(AE533="","",IF($F533="Total",
SUMPRODUCT(
   INDEX(AF:AF, ROW()-COUNTIF($F$6:INDEX($F:$F, ROW()-1), $F532)) : INDEX(AF:AF, ROW()-1),
   INDEX(AB:AB, ROW()-COUNTIF($F$6:INDEX($F:$F, ROW()-1), $F532)) : INDEX(AB:AB, ROW()-1)
   )
   /SUM(INDEX(AB:AB, ROW()-COUNTIF($F$6:INDEX($F:$F, ROW()-1), $F532)) : INDEX(AB:AB, ROW()-1)),
           _xlfn.MAXIFS(unit_details[Asking Rent],
          unit_details[Active Listing?],TRUE,
          unit_details[Property Name], $F533,
          unit_details[Beds], $L533,
          unit_details[Baths], $M533,
          unit_details[Partial Baths], IF(ISNUMBER($N533),$N533,""),
          unit_details[Sqft],$P533
))),"")</f>
        <v/>
      </c>
      <c r="AG533" s="6" t="str">
        <f>IFERROR(IF($F533="Total",
         SUMPRODUCT(
         INDEX(AG:AG, ROW()-COUNTIF($F$6:INDEX($F:$F, ROW()-1), $F532)) : INDEX(AG:AG, ROW()-1),
         INDEX(AB:AB, ROW()-COUNTIF($F$6:INDEX($F:$F, ROW()-1), $F532)) : INDEX(AB:AB, ROW()-1)
         )
         /SUM(INDEX(AB:AB, ROW()-COUNTIF($F$6:INDEX($F:$F, ROW()-1), $F532)) : INDEX(AB:AB, ROW()-1)),
          AVERAGEIFS(unit_details[Asking PSF],
          unit_details[Active Listing?],TRUE,
          unit_details[Property Name], $F533,
          unit_details[Beds], $L533,
          unit_details[Baths], $M533,
          unit_details[Partial Baths], IF(ISNUMBER($N533),$N533,""),
          unit_details[Sqft],$P533
)),"")</f>
        <v/>
      </c>
      <c r="AH533" s="293" t="str">
        <f>IFERROR(IF($F533="Total",
         SUMPRODUCT(
         INDEX(AH:AH, ROW()-COUNTIF($F$6:INDEX($F:$F, ROW()-1), $F532)) : INDEX(AH:AH, ROW()-1),
         INDEX(AB:AB, ROW()-COUNTIF($F$6:INDEX($F:$F, ROW()-1), $F532)) : INDEX(AB:AB, ROW()-1)
         )
         /SUM(INDEX(AB:AB, ROW()-COUNTIF($F$6:INDEX($F:$F, ROW()-1), $F532)) : INDEX(AB:AB, ROW()-1)),
          AVERAGEIFS(unit_details[Effective Rent],
          unit_details[Active Listing?],TRUE,
          unit_details[Property Name], $F533,
          unit_details[Beds], $L533,
          unit_details[Baths], $M533,
          unit_details[Partial Baths], IF(ISNUMBER($N533),$N533,""),
          unit_details[Sqft],$P533
)),"")</f>
        <v/>
      </c>
      <c r="AI533" s="6" t="str">
        <f>IFERROR(IF($F533="Total",
         SUMPRODUCT(
         INDEX(AI:AI, ROW()-COUNTIF($F$6:INDEX($F:$F, ROW()-1), $F532)) : INDEX(AI:AI, ROW()-1),
         INDEX(AB:AB, ROW()-COUNTIF($F$6:INDEX($F:$F, ROW()-1), $F532)) : INDEX(AB:AB, ROW()-1)
         )
         /SUM(INDEX(AB:AB, ROW()-COUNTIF($F$6:INDEX($F:$F, ROW()-1), $F532)) : INDEX(AB:AB, ROW()-1)),
           AVERAGEIFS(unit_details[Effective PSF],
          unit_details[Active Listing?],TRUE,
          unit_details[Property Name], $F533,
          unit_details[Beds], $L533,
          unit_details[Baths], $M533,
          unit_details[Partial Baths], IF(ISNUMBER($N533),$N533,""),
          unit_details[Sqft],$P533
)),"")</f>
        <v/>
      </c>
      <c r="AJ533" s="824" t="str">
        <f t="shared" si="92"/>
        <v/>
      </c>
      <c r="AK533" s="531" t="str">
        <f t="shared" si="93"/>
        <v/>
      </c>
      <c r="AL533" s="714" t="str">
        <f t="shared" si="94"/>
        <v/>
      </c>
      <c r="AM533" s="531" t="str">
        <f t="shared" si="95"/>
        <v/>
      </c>
      <c r="AN533" s="716" t="str">
        <f t="shared" si="96"/>
        <v/>
      </c>
    </row>
    <row r="534" spans="6:40" x14ac:dyDescent="0.2">
      <c r="F534" s="1" t="str">
        <f t="shared" si="89"/>
        <v/>
      </c>
      <c r="G534" s="713" t="str">
        <f t="shared" si="97"/>
        <v/>
      </c>
      <c r="H534" s="17" t="str">
        <f>IFERROR(VLOOKUP($G534,Table1[[Property]:[Exposure %]],4,0),"")</f>
        <v/>
      </c>
      <c r="I534" s="3" t="str">
        <f>IFERROR(VLOOKUP($G534,Table1[[Property]:[Exposure %]],6,0),"")</f>
        <v/>
      </c>
      <c r="J534" s="3" t="str">
        <f>IFERROR(VLOOKUP($G534,Table1[[Property]:[Exposure %]],7,0),"")</f>
        <v/>
      </c>
      <c r="R534" s="4" t="str">
        <f>IFERROR(VLOOKUP(IF(F534="Total",F533,F534),Table1[[Property]:['# Units]],7,0)*S534,"")</f>
        <v/>
      </c>
      <c r="S534" s="27" t="str">
        <f t="shared" si="90"/>
        <v/>
      </c>
      <c r="T534" s="531" t="str">
        <f>IFERROR(
 IF($F534="Total",
   SUMPRODUCT(
   INDEX(T:T, ROW()-COUNTIF($F$6:INDEX($F:$F, ROW()-1), $F533)) : INDEX(T:T, ROW()-1),
   INDEX(W:W, ROW()-COUNTIF($F$6:INDEX($F:$F, ROW()-1), $F533)) : INDEX(W:W, ROW()-1)
   )
   /SUM(INDEX(W:W, ROW()-COUNTIF($F$6:INDEX($F:$F, ROW()-1), $F533)) : INDEX(W:W, ROW()-1)),
   AVERAGEIFS(
     INDEX((unit_details[Asking Rent],unit_details[Asking PSF]),0,1,IF($U$3="Chunk Rent",1,2)),
     unit_details[Leased Date],"&gt;="&amp;($AM$2-T$5),
     unit_details[Leased Date],"&lt;"&amp;$AM$2,
     unit_details[Beds],$L534,
     unit_details[Baths],$M534,
     unit_details[Partial Baths],IF(ISNUMBER($N534),$N534,""),
     unit_details[Sqft],$P534,
     unit_details[Property Name],$F534)
 ),"")</f>
        <v/>
      </c>
      <c r="U534" s="552" t="str">
        <f>IFERROR(
 IF($F534="Total",
   SUMPRODUCT(
   INDEX(U:U, ROW()-COUNTIF($F$6:INDEX($F:$F, ROW()-1), $F533)) : INDEX(U:U, ROW()-1),
   INDEX(W:W, ROW()-COUNTIF($F$6:INDEX($F:$F, ROW()-1), $F533)) : INDEX(W:W, ROW()-1)
   )
   /SUM(INDEX(W:W, ROW()-COUNTIF($F$6:INDEX($F:$F, ROW()-1), $F533)) : INDEX(W:W, ROW()-1)),
   AVERAGEIFS(
     INDEX((unit_details[Effective Rent],unit_details[Effective PSF]),0,1,IF($U$3="Chunk Rent",1,2)),
     unit_details[Leased Date],"&gt;="&amp;($AM$2-T$5),
     unit_details[Leased Date],"&lt;"&amp;$AM$2,
     unit_details[Beds],$L534,
     unit_details[Baths],$M534,
     unit_details[Partial Baths],IF(ISNUMBER($N534),$N534,""),
     unit_details[Sqft],$P534,
     unit_details[Property Name],$F534)
 ),"")</f>
        <v/>
      </c>
      <c r="V534" s="27" t="str">
        <f t="shared" si="98"/>
        <v/>
      </c>
      <c r="W534" s="526">
        <f>IFERROR(
  IF($F534="Total",
    SUM(INDEX(W:W, ROW()-COUNTIF($F$6:INDEX($F:$F, ROW()-1), $F533)) : INDEX(W:W, ROW()-1)),
    COUNTIFS(
      unit_details[Leased Date], "&gt;="&amp;($AM$2-T$5),
      unit_details[Leased Date], "&lt;"&amp;$AM$2,
      unit_details[Beds], $L534,
      unit_details[Baths], $M534,
      unit_details[Partial Baths], IF(ISNUMBER($N534), $N534, ""),
      unit_details[Sqft],$P534,
      unit_details[Property Name], $F534
    )
  ),
"")</f>
        <v>0</v>
      </c>
      <c r="X534" s="531" t="str">
        <f>IFERROR(
 IF($F534="Total",
   SUMPRODUCT(
   INDEX(X:X, ROW()-COUNTIF($F$6:INDEX($F:$F, ROW()-1), $F533)) : INDEX(X:X, ROW()-1),
   INDEX(AA:AA, ROW()-COUNTIF($F$6:INDEX($F:$F, ROW()-1), $F533)) : INDEX(AA:AA, ROW()-1)
   )
   /SUM(INDEX(AA:AA, ROW()-COUNTIF($F$6:INDEX($F:$F, ROW()-1), $F533)) : INDEX(AA:AA, ROW()-1)),
   AVERAGEIFS(
     INDEX((unit_details[Asking Rent],unit_details[Asking PSF]),0,1,IF($U$3="Chunk Rent",1,2)),
     unit_details[Leased Date],"&gt;="&amp;($AM$2-X$5),
     unit_details[Leased Date],"&lt;"&amp;$AM$2,
     unit_details[Beds],$L534,
     unit_details[Baths],$M534,
     unit_details[Partial Baths],IF(ISNUMBER($N534),$N534,""),
     unit_details[Sqft],$P534,
     unit_details[Property Name],$F534)
 ),"")</f>
        <v/>
      </c>
      <c r="Y534" s="552" t="str">
        <f>IFERROR(
 IF($F534="Total",
   SUMPRODUCT(
   INDEX(Y:Y, ROW()-COUNTIF($F$6:INDEX($F:$F, ROW()-1), $F533)) : INDEX(Y:Y, ROW()-1),
   INDEX(AA:AA, ROW()-COUNTIF($F$6:INDEX($F:$F, ROW()-1), $F533)) : INDEX(AA:AA, ROW()-1)
   )
   /SUM(INDEX(AA:AA, ROW()-COUNTIF($F$6:INDEX($F:$F, ROW()-1), $F533)) : INDEX(AA:AA, ROW()-1)),
   AVERAGEIFS(
     INDEX((unit_details[Effective Rent],unit_details[Effective PSF]),0,1,IF($U$3="Chunk Rent",1,2)),
     unit_details[Leased Date],"&gt;="&amp;($AM$2-X$5),
     unit_details[Leased Date],"&lt;"&amp;$AM$2,
     unit_details[Beds],$L534,
     unit_details[Baths],$M534,
     unit_details[Partial Baths],IF(ISNUMBER($N534),$N534,""),
     unit_details[Sqft],$P534,
     unit_details[Property Name],$F534)
 ),"")</f>
        <v/>
      </c>
      <c r="Z534" s="27" t="str">
        <f t="shared" si="99"/>
        <v/>
      </c>
      <c r="AA534" s="526">
        <f>IFERROR(
  IF($F534="Total",
    SUM(INDEX(AA:AA, ROW()-COUNTIF($F$6:INDEX($F:$F, ROW()-1), $F533)) : INDEX(AA:AA, ROW()-1)),
    COUNTIFS(
      unit_details[Leased Date], "&gt;="&amp;($AM$2-X$5),
      unit_details[Leased Date], "&lt;"&amp;$AM$2,
      unit_details[Beds], $L534,
      unit_details[Baths], $M534,
      unit_details[Partial Baths], IF(ISNUMBER($N534), $N534, ""),
      unit_details[Sqft],$P534,
      unit_details[Property Name], $F534
    )
  ),
"")</f>
        <v>0</v>
      </c>
      <c r="AB534" s="290">
        <f>IF($F534="Total",
SUM(INDEX(AB:AB, ROW()-COUNTIF($F$6:INDEX($F:$F, ROW()-1), $F533)) : INDEX(AB:AB, ROW()-1)),
COUNTIFS(unit_details[Active Listing?],TRUE,
          unit_details[Property Name], $F534,
          unit_details[Beds], $L534,
          unit_details[Baths], $M534,
          unit_details[Partial Baths],IF(ISNUMBER($N534),$N534,""),
          unit_details[Sqft],$P534))</f>
        <v>0</v>
      </c>
      <c r="AC534" s="27" t="str">
        <f t="shared" si="91"/>
        <v/>
      </c>
      <c r="AD534" s="293" t="str">
        <f>IFERROR(IF(AE534="","",IF($F534="Total",
SUMPRODUCT(
   INDEX(AD:AD, ROW()-COUNTIF($F$6:INDEX($F:$F, ROW()-1), $F533)) : INDEX(AD:AD, ROW()-1),
   INDEX(AB:AB, ROW()-COUNTIF($F$6:INDEX($F:$F, ROW()-1), $F533)) : INDEX(AB:AB, ROW()-1)
   )
   /SUM(INDEX(AB:AB, ROW()-COUNTIF($F$6:INDEX($F:$F, ROW()-1), $F533)) : INDEX(AB:AB, ROW()-1)),
          _xlfn.MINIFS(unit_details[Asking Rent],
          unit_details[Active Listing?],TRUE,
          unit_details[Property Name], $F534,
          unit_details[Beds], $L534,
          unit_details[Baths], $M534,
          unit_details[Partial Baths], IF(ISNUMBER($N534),$N534,""),
          unit_details[Sqft],$P534
))),"")</f>
        <v/>
      </c>
      <c r="AE534" s="5" t="str">
        <f>IFERROR(IF($F534="Total",
          SUMPRODUCT(
   INDEX(AE:AE, ROW()-COUNTIF($F$6:INDEX($F:$F, ROW()-1), $F533)) : INDEX(AE:AE, ROW()-1),
   INDEX(AB:AB, ROW()-COUNTIF($F$6:INDEX($F:$F, ROW()-1), $F533)) : INDEX(AB:AB, ROW()-1)
   )
   /SUM(INDEX(AB:AB, ROW()-COUNTIF($F$6:INDEX($F:$F, ROW()-1), $F533)) : INDEX(AB:AB, ROW()-1)),
          AVERAGEIFS(unit_details[Asking Rent],
          unit_details[Active Listing?],TRUE,
          unit_details[Property Name], $F534,
          unit_details[Beds], $L534,
          unit_details[Baths], $M534,
          unit_details[Partial Baths], IF(ISNUMBER($N534),$N534,""),
          unit_details[Sqft],$P534
)),"")</f>
        <v/>
      </c>
      <c r="AF534" s="5" t="str">
        <f>IFERROR(IF(AE534="","",IF($F534="Total",
SUMPRODUCT(
   INDEX(AF:AF, ROW()-COUNTIF($F$6:INDEX($F:$F, ROW()-1), $F533)) : INDEX(AF:AF, ROW()-1),
   INDEX(AB:AB, ROW()-COUNTIF($F$6:INDEX($F:$F, ROW()-1), $F533)) : INDEX(AB:AB, ROW()-1)
   )
   /SUM(INDEX(AB:AB, ROW()-COUNTIF($F$6:INDEX($F:$F, ROW()-1), $F533)) : INDEX(AB:AB, ROW()-1)),
           _xlfn.MAXIFS(unit_details[Asking Rent],
          unit_details[Active Listing?],TRUE,
          unit_details[Property Name], $F534,
          unit_details[Beds], $L534,
          unit_details[Baths], $M534,
          unit_details[Partial Baths], IF(ISNUMBER($N534),$N534,""),
          unit_details[Sqft],$P534
))),"")</f>
        <v/>
      </c>
      <c r="AG534" s="6" t="str">
        <f>IFERROR(IF($F534="Total",
         SUMPRODUCT(
         INDEX(AG:AG, ROW()-COUNTIF($F$6:INDEX($F:$F, ROW()-1), $F533)) : INDEX(AG:AG, ROW()-1),
         INDEX(AB:AB, ROW()-COUNTIF($F$6:INDEX($F:$F, ROW()-1), $F533)) : INDEX(AB:AB, ROW()-1)
         )
         /SUM(INDEX(AB:AB, ROW()-COUNTIF($F$6:INDEX($F:$F, ROW()-1), $F533)) : INDEX(AB:AB, ROW()-1)),
          AVERAGEIFS(unit_details[Asking PSF],
          unit_details[Active Listing?],TRUE,
          unit_details[Property Name], $F534,
          unit_details[Beds], $L534,
          unit_details[Baths], $M534,
          unit_details[Partial Baths], IF(ISNUMBER($N534),$N534,""),
          unit_details[Sqft],$P534
)),"")</f>
        <v/>
      </c>
      <c r="AH534" s="293" t="str">
        <f>IFERROR(IF($F534="Total",
         SUMPRODUCT(
         INDEX(AH:AH, ROW()-COUNTIF($F$6:INDEX($F:$F, ROW()-1), $F533)) : INDEX(AH:AH, ROW()-1),
         INDEX(AB:AB, ROW()-COUNTIF($F$6:INDEX($F:$F, ROW()-1), $F533)) : INDEX(AB:AB, ROW()-1)
         )
         /SUM(INDEX(AB:AB, ROW()-COUNTIF($F$6:INDEX($F:$F, ROW()-1), $F533)) : INDEX(AB:AB, ROW()-1)),
          AVERAGEIFS(unit_details[Effective Rent],
          unit_details[Active Listing?],TRUE,
          unit_details[Property Name], $F534,
          unit_details[Beds], $L534,
          unit_details[Baths], $M534,
          unit_details[Partial Baths], IF(ISNUMBER($N534),$N534,""),
          unit_details[Sqft],$P534
)),"")</f>
        <v/>
      </c>
      <c r="AI534" s="6" t="str">
        <f>IFERROR(IF($F534="Total",
         SUMPRODUCT(
         INDEX(AI:AI, ROW()-COUNTIF($F$6:INDEX($F:$F, ROW()-1), $F533)) : INDEX(AI:AI, ROW()-1),
         INDEX(AB:AB, ROW()-COUNTIF($F$6:INDEX($F:$F, ROW()-1), $F533)) : INDEX(AB:AB, ROW()-1)
         )
         /SUM(INDEX(AB:AB, ROW()-COUNTIF($F$6:INDEX($F:$F, ROW()-1), $F533)) : INDEX(AB:AB, ROW()-1)),
           AVERAGEIFS(unit_details[Effective PSF],
          unit_details[Active Listing?],TRUE,
          unit_details[Property Name], $F534,
          unit_details[Beds], $L534,
          unit_details[Baths], $M534,
          unit_details[Partial Baths], IF(ISNUMBER($N534),$N534,""),
          unit_details[Sqft],$P534
)),"")</f>
        <v/>
      </c>
      <c r="AJ534" s="824" t="str">
        <f t="shared" si="92"/>
        <v/>
      </c>
      <c r="AK534" s="531" t="str">
        <f t="shared" si="93"/>
        <v/>
      </c>
      <c r="AL534" s="714" t="str">
        <f t="shared" si="94"/>
        <v/>
      </c>
      <c r="AM534" s="531" t="str">
        <f t="shared" si="95"/>
        <v/>
      </c>
      <c r="AN534" s="716" t="str">
        <f t="shared" si="96"/>
        <v/>
      </c>
    </row>
    <row r="535" spans="6:40" x14ac:dyDescent="0.2">
      <c r="F535" s="1" t="str">
        <f t="shared" si="89"/>
        <v/>
      </c>
      <c r="G535" s="713" t="str">
        <f t="shared" si="97"/>
        <v/>
      </c>
      <c r="H535" s="17" t="str">
        <f>IFERROR(VLOOKUP($G535,Table1[[Property]:[Exposure %]],4,0),"")</f>
        <v/>
      </c>
      <c r="I535" s="3" t="str">
        <f>IFERROR(VLOOKUP($G535,Table1[[Property]:[Exposure %]],6,0),"")</f>
        <v/>
      </c>
      <c r="J535" s="3" t="str">
        <f>IFERROR(VLOOKUP($G535,Table1[[Property]:[Exposure %]],7,0),"")</f>
        <v/>
      </c>
      <c r="R535" s="4" t="str">
        <f>IFERROR(VLOOKUP(IF(F535="Total",F534,F535),Table1[[Property]:['# Units]],7,0)*S535,"")</f>
        <v/>
      </c>
      <c r="S535" s="27" t="str">
        <f t="shared" si="90"/>
        <v/>
      </c>
      <c r="T535" s="531" t="str">
        <f>IFERROR(
 IF($F535="Total",
   SUMPRODUCT(
   INDEX(T:T, ROW()-COUNTIF($F$6:INDEX($F:$F, ROW()-1), $F534)) : INDEX(T:T, ROW()-1),
   INDEX(W:W, ROW()-COUNTIF($F$6:INDEX($F:$F, ROW()-1), $F534)) : INDEX(W:W, ROW()-1)
   )
   /SUM(INDEX(W:W, ROW()-COUNTIF($F$6:INDEX($F:$F, ROW()-1), $F534)) : INDEX(W:W, ROW()-1)),
   AVERAGEIFS(
     INDEX((unit_details[Asking Rent],unit_details[Asking PSF]),0,1,IF($U$3="Chunk Rent",1,2)),
     unit_details[Leased Date],"&gt;="&amp;($AM$2-T$5),
     unit_details[Leased Date],"&lt;"&amp;$AM$2,
     unit_details[Beds],$L535,
     unit_details[Baths],$M535,
     unit_details[Partial Baths],IF(ISNUMBER($N535),$N535,""),
     unit_details[Sqft],$P535,
     unit_details[Property Name],$F535)
 ),"")</f>
        <v/>
      </c>
      <c r="U535" s="552" t="str">
        <f>IFERROR(
 IF($F535="Total",
   SUMPRODUCT(
   INDEX(U:U, ROW()-COUNTIF($F$6:INDEX($F:$F, ROW()-1), $F534)) : INDEX(U:U, ROW()-1),
   INDEX(W:W, ROW()-COUNTIF($F$6:INDEX($F:$F, ROW()-1), $F534)) : INDEX(W:W, ROW()-1)
   )
   /SUM(INDEX(W:W, ROW()-COUNTIF($F$6:INDEX($F:$F, ROW()-1), $F534)) : INDEX(W:W, ROW()-1)),
   AVERAGEIFS(
     INDEX((unit_details[Effective Rent],unit_details[Effective PSF]),0,1,IF($U$3="Chunk Rent",1,2)),
     unit_details[Leased Date],"&gt;="&amp;($AM$2-T$5),
     unit_details[Leased Date],"&lt;"&amp;$AM$2,
     unit_details[Beds],$L535,
     unit_details[Baths],$M535,
     unit_details[Partial Baths],IF(ISNUMBER($N535),$N535,""),
     unit_details[Sqft],$P535,
     unit_details[Property Name],$F535)
 ),"")</f>
        <v/>
      </c>
      <c r="V535" s="27" t="str">
        <f t="shared" si="98"/>
        <v/>
      </c>
      <c r="W535" s="526">
        <f>IFERROR(
  IF($F535="Total",
    SUM(INDEX(W:W, ROW()-COUNTIF($F$6:INDEX($F:$F, ROW()-1), $F534)) : INDEX(W:W, ROW()-1)),
    COUNTIFS(
      unit_details[Leased Date], "&gt;="&amp;($AM$2-T$5),
      unit_details[Leased Date], "&lt;"&amp;$AM$2,
      unit_details[Beds], $L535,
      unit_details[Baths], $M535,
      unit_details[Partial Baths], IF(ISNUMBER($N535), $N535, ""),
      unit_details[Sqft],$P535,
      unit_details[Property Name], $F535
    )
  ),
"")</f>
        <v>0</v>
      </c>
      <c r="X535" s="531" t="str">
        <f>IFERROR(
 IF($F535="Total",
   SUMPRODUCT(
   INDEX(X:X, ROW()-COUNTIF($F$6:INDEX($F:$F, ROW()-1), $F534)) : INDEX(X:X, ROW()-1),
   INDEX(AA:AA, ROW()-COUNTIF($F$6:INDEX($F:$F, ROW()-1), $F534)) : INDEX(AA:AA, ROW()-1)
   )
   /SUM(INDEX(AA:AA, ROW()-COUNTIF($F$6:INDEX($F:$F, ROW()-1), $F534)) : INDEX(AA:AA, ROW()-1)),
   AVERAGEIFS(
     INDEX((unit_details[Asking Rent],unit_details[Asking PSF]),0,1,IF($U$3="Chunk Rent",1,2)),
     unit_details[Leased Date],"&gt;="&amp;($AM$2-X$5),
     unit_details[Leased Date],"&lt;"&amp;$AM$2,
     unit_details[Beds],$L535,
     unit_details[Baths],$M535,
     unit_details[Partial Baths],IF(ISNUMBER($N535),$N535,""),
     unit_details[Sqft],$P535,
     unit_details[Property Name],$F535)
 ),"")</f>
        <v/>
      </c>
      <c r="Y535" s="552" t="str">
        <f>IFERROR(
 IF($F535="Total",
   SUMPRODUCT(
   INDEX(Y:Y, ROW()-COUNTIF($F$6:INDEX($F:$F, ROW()-1), $F534)) : INDEX(Y:Y, ROW()-1),
   INDEX(AA:AA, ROW()-COUNTIF($F$6:INDEX($F:$F, ROW()-1), $F534)) : INDEX(AA:AA, ROW()-1)
   )
   /SUM(INDEX(AA:AA, ROW()-COUNTIF($F$6:INDEX($F:$F, ROW()-1), $F534)) : INDEX(AA:AA, ROW()-1)),
   AVERAGEIFS(
     INDEX((unit_details[Effective Rent],unit_details[Effective PSF]),0,1,IF($U$3="Chunk Rent",1,2)),
     unit_details[Leased Date],"&gt;="&amp;($AM$2-X$5),
     unit_details[Leased Date],"&lt;"&amp;$AM$2,
     unit_details[Beds],$L535,
     unit_details[Baths],$M535,
     unit_details[Partial Baths],IF(ISNUMBER($N535),$N535,""),
     unit_details[Sqft],$P535,
     unit_details[Property Name],$F535)
 ),"")</f>
        <v/>
      </c>
      <c r="Z535" s="27" t="str">
        <f t="shared" si="99"/>
        <v/>
      </c>
      <c r="AA535" s="526">
        <f>IFERROR(
  IF($F535="Total",
    SUM(INDEX(AA:AA, ROW()-COUNTIF($F$6:INDEX($F:$F, ROW()-1), $F534)) : INDEX(AA:AA, ROW()-1)),
    COUNTIFS(
      unit_details[Leased Date], "&gt;="&amp;($AM$2-X$5),
      unit_details[Leased Date], "&lt;"&amp;$AM$2,
      unit_details[Beds], $L535,
      unit_details[Baths], $M535,
      unit_details[Partial Baths], IF(ISNUMBER($N535), $N535, ""),
      unit_details[Sqft],$P535,
      unit_details[Property Name], $F535
    )
  ),
"")</f>
        <v>0</v>
      </c>
      <c r="AB535" s="290">
        <f>IF($F535="Total",
SUM(INDEX(AB:AB, ROW()-COUNTIF($F$6:INDEX($F:$F, ROW()-1), $F534)) : INDEX(AB:AB, ROW()-1)),
COUNTIFS(unit_details[Active Listing?],TRUE,
          unit_details[Property Name], $F535,
          unit_details[Beds], $L535,
          unit_details[Baths], $M535,
          unit_details[Partial Baths],IF(ISNUMBER($N535),$N535,""),
          unit_details[Sqft],$P535))</f>
        <v>0</v>
      </c>
      <c r="AC535" s="27" t="str">
        <f t="shared" si="91"/>
        <v/>
      </c>
      <c r="AD535" s="293" t="str">
        <f>IFERROR(IF(AE535="","",IF($F535="Total",
SUMPRODUCT(
   INDEX(AD:AD, ROW()-COUNTIF($F$6:INDEX($F:$F, ROW()-1), $F534)) : INDEX(AD:AD, ROW()-1),
   INDEX(AB:AB, ROW()-COUNTIF($F$6:INDEX($F:$F, ROW()-1), $F534)) : INDEX(AB:AB, ROW()-1)
   )
   /SUM(INDEX(AB:AB, ROW()-COUNTIF($F$6:INDEX($F:$F, ROW()-1), $F534)) : INDEX(AB:AB, ROW()-1)),
          _xlfn.MINIFS(unit_details[Asking Rent],
          unit_details[Active Listing?],TRUE,
          unit_details[Property Name], $F535,
          unit_details[Beds], $L535,
          unit_details[Baths], $M535,
          unit_details[Partial Baths], IF(ISNUMBER($N535),$N535,""),
          unit_details[Sqft],$P535
))),"")</f>
        <v/>
      </c>
      <c r="AE535" s="5" t="str">
        <f>IFERROR(IF($F535="Total",
          SUMPRODUCT(
   INDEX(AE:AE, ROW()-COUNTIF($F$6:INDEX($F:$F, ROW()-1), $F534)) : INDEX(AE:AE, ROW()-1),
   INDEX(AB:AB, ROW()-COUNTIF($F$6:INDEX($F:$F, ROW()-1), $F534)) : INDEX(AB:AB, ROW()-1)
   )
   /SUM(INDEX(AB:AB, ROW()-COUNTIF($F$6:INDEX($F:$F, ROW()-1), $F534)) : INDEX(AB:AB, ROW()-1)),
          AVERAGEIFS(unit_details[Asking Rent],
          unit_details[Active Listing?],TRUE,
          unit_details[Property Name], $F535,
          unit_details[Beds], $L535,
          unit_details[Baths], $M535,
          unit_details[Partial Baths], IF(ISNUMBER($N535),$N535,""),
          unit_details[Sqft],$P535
)),"")</f>
        <v/>
      </c>
      <c r="AF535" s="5" t="str">
        <f>IFERROR(IF(AE535="","",IF($F535="Total",
SUMPRODUCT(
   INDEX(AF:AF, ROW()-COUNTIF($F$6:INDEX($F:$F, ROW()-1), $F534)) : INDEX(AF:AF, ROW()-1),
   INDEX(AB:AB, ROW()-COUNTIF($F$6:INDEX($F:$F, ROW()-1), $F534)) : INDEX(AB:AB, ROW()-1)
   )
   /SUM(INDEX(AB:AB, ROW()-COUNTIF($F$6:INDEX($F:$F, ROW()-1), $F534)) : INDEX(AB:AB, ROW()-1)),
           _xlfn.MAXIFS(unit_details[Asking Rent],
          unit_details[Active Listing?],TRUE,
          unit_details[Property Name], $F535,
          unit_details[Beds], $L535,
          unit_details[Baths], $M535,
          unit_details[Partial Baths], IF(ISNUMBER($N535),$N535,""),
          unit_details[Sqft],$P535
))),"")</f>
        <v/>
      </c>
      <c r="AG535" s="6" t="str">
        <f>IFERROR(IF($F535="Total",
         SUMPRODUCT(
         INDEX(AG:AG, ROW()-COUNTIF($F$6:INDEX($F:$F, ROW()-1), $F534)) : INDEX(AG:AG, ROW()-1),
         INDEX(AB:AB, ROW()-COUNTIF($F$6:INDEX($F:$F, ROW()-1), $F534)) : INDEX(AB:AB, ROW()-1)
         )
         /SUM(INDEX(AB:AB, ROW()-COUNTIF($F$6:INDEX($F:$F, ROW()-1), $F534)) : INDEX(AB:AB, ROW()-1)),
          AVERAGEIFS(unit_details[Asking PSF],
          unit_details[Active Listing?],TRUE,
          unit_details[Property Name], $F535,
          unit_details[Beds], $L535,
          unit_details[Baths], $M535,
          unit_details[Partial Baths], IF(ISNUMBER($N535),$N535,""),
          unit_details[Sqft],$P535
)),"")</f>
        <v/>
      </c>
      <c r="AH535" s="293" t="str">
        <f>IFERROR(IF($F535="Total",
         SUMPRODUCT(
         INDEX(AH:AH, ROW()-COUNTIF($F$6:INDEX($F:$F, ROW()-1), $F534)) : INDEX(AH:AH, ROW()-1),
         INDEX(AB:AB, ROW()-COUNTIF($F$6:INDEX($F:$F, ROW()-1), $F534)) : INDEX(AB:AB, ROW()-1)
         )
         /SUM(INDEX(AB:AB, ROW()-COUNTIF($F$6:INDEX($F:$F, ROW()-1), $F534)) : INDEX(AB:AB, ROW()-1)),
          AVERAGEIFS(unit_details[Effective Rent],
          unit_details[Active Listing?],TRUE,
          unit_details[Property Name], $F535,
          unit_details[Beds], $L535,
          unit_details[Baths], $M535,
          unit_details[Partial Baths], IF(ISNUMBER($N535),$N535,""),
          unit_details[Sqft],$P535
)),"")</f>
        <v/>
      </c>
      <c r="AI535" s="6" t="str">
        <f>IFERROR(IF($F535="Total",
         SUMPRODUCT(
         INDEX(AI:AI, ROW()-COUNTIF($F$6:INDEX($F:$F, ROW()-1), $F534)) : INDEX(AI:AI, ROW()-1),
         INDEX(AB:AB, ROW()-COUNTIF($F$6:INDEX($F:$F, ROW()-1), $F534)) : INDEX(AB:AB, ROW()-1)
         )
         /SUM(INDEX(AB:AB, ROW()-COUNTIF($F$6:INDEX($F:$F, ROW()-1), $F534)) : INDEX(AB:AB, ROW()-1)),
           AVERAGEIFS(unit_details[Effective PSF],
          unit_details[Active Listing?],TRUE,
          unit_details[Property Name], $F535,
          unit_details[Beds], $L535,
          unit_details[Baths], $M535,
          unit_details[Partial Baths], IF(ISNUMBER($N535),$N535,""),
          unit_details[Sqft],$P535
)),"")</f>
        <v/>
      </c>
      <c r="AJ535" s="824" t="str">
        <f t="shared" si="92"/>
        <v/>
      </c>
      <c r="AK535" s="531" t="str">
        <f t="shared" si="93"/>
        <v/>
      </c>
      <c r="AL535" s="714" t="str">
        <f t="shared" si="94"/>
        <v/>
      </c>
      <c r="AM535" s="531" t="str">
        <f t="shared" si="95"/>
        <v/>
      </c>
      <c r="AN535" s="716" t="str">
        <f t="shared" si="96"/>
        <v/>
      </c>
    </row>
    <row r="536" spans="6:40" x14ac:dyDescent="0.2">
      <c r="F536" s="1" t="str">
        <f t="shared" si="89"/>
        <v/>
      </c>
      <c r="G536" s="713" t="str">
        <f t="shared" si="97"/>
        <v/>
      </c>
      <c r="H536" s="17" t="str">
        <f>IFERROR(VLOOKUP($G536,Table1[[Property]:[Exposure %]],4,0),"")</f>
        <v/>
      </c>
      <c r="I536" s="3" t="str">
        <f>IFERROR(VLOOKUP($G536,Table1[[Property]:[Exposure %]],6,0),"")</f>
        <v/>
      </c>
      <c r="J536" s="3" t="str">
        <f>IFERROR(VLOOKUP($G536,Table1[[Property]:[Exposure %]],7,0),"")</f>
        <v/>
      </c>
      <c r="R536" s="4" t="str">
        <f>IFERROR(VLOOKUP(IF(F536="Total",F535,F536),Table1[[Property]:['# Units]],7,0)*S536,"")</f>
        <v/>
      </c>
      <c r="S536" s="27" t="str">
        <f t="shared" si="90"/>
        <v/>
      </c>
      <c r="T536" s="531" t="str">
        <f>IFERROR(
 IF($F536="Total",
   SUMPRODUCT(
   INDEX(T:T, ROW()-COUNTIF($F$6:INDEX($F:$F, ROW()-1), $F535)) : INDEX(T:T, ROW()-1),
   INDEX(W:W, ROW()-COUNTIF($F$6:INDEX($F:$F, ROW()-1), $F535)) : INDEX(W:W, ROW()-1)
   )
   /SUM(INDEX(W:W, ROW()-COUNTIF($F$6:INDEX($F:$F, ROW()-1), $F535)) : INDEX(W:W, ROW()-1)),
   AVERAGEIFS(
     INDEX((unit_details[Asking Rent],unit_details[Asking PSF]),0,1,IF($U$3="Chunk Rent",1,2)),
     unit_details[Leased Date],"&gt;="&amp;($AM$2-T$5),
     unit_details[Leased Date],"&lt;"&amp;$AM$2,
     unit_details[Beds],$L536,
     unit_details[Baths],$M536,
     unit_details[Partial Baths],IF(ISNUMBER($N536),$N536,""),
     unit_details[Sqft],$P536,
     unit_details[Property Name],$F536)
 ),"")</f>
        <v/>
      </c>
      <c r="U536" s="552" t="str">
        <f>IFERROR(
 IF($F536="Total",
   SUMPRODUCT(
   INDEX(U:U, ROW()-COUNTIF($F$6:INDEX($F:$F, ROW()-1), $F535)) : INDEX(U:U, ROW()-1),
   INDEX(W:W, ROW()-COUNTIF($F$6:INDEX($F:$F, ROW()-1), $F535)) : INDEX(W:W, ROW()-1)
   )
   /SUM(INDEX(W:W, ROW()-COUNTIF($F$6:INDEX($F:$F, ROW()-1), $F535)) : INDEX(W:W, ROW()-1)),
   AVERAGEIFS(
     INDEX((unit_details[Effective Rent],unit_details[Effective PSF]),0,1,IF($U$3="Chunk Rent",1,2)),
     unit_details[Leased Date],"&gt;="&amp;($AM$2-T$5),
     unit_details[Leased Date],"&lt;"&amp;$AM$2,
     unit_details[Beds],$L536,
     unit_details[Baths],$M536,
     unit_details[Partial Baths],IF(ISNUMBER($N536),$N536,""),
     unit_details[Sqft],$P536,
     unit_details[Property Name],$F536)
 ),"")</f>
        <v/>
      </c>
      <c r="V536" s="27" t="str">
        <f t="shared" si="98"/>
        <v/>
      </c>
      <c r="W536" s="526">
        <f>IFERROR(
  IF($F536="Total",
    SUM(INDEX(W:W, ROW()-COUNTIF($F$6:INDEX($F:$F, ROW()-1), $F535)) : INDEX(W:W, ROW()-1)),
    COUNTIFS(
      unit_details[Leased Date], "&gt;="&amp;($AM$2-T$5),
      unit_details[Leased Date], "&lt;"&amp;$AM$2,
      unit_details[Beds], $L536,
      unit_details[Baths], $M536,
      unit_details[Partial Baths], IF(ISNUMBER($N536), $N536, ""),
      unit_details[Sqft],$P536,
      unit_details[Property Name], $F536
    )
  ),
"")</f>
        <v>0</v>
      </c>
      <c r="X536" s="531" t="str">
        <f>IFERROR(
 IF($F536="Total",
   SUMPRODUCT(
   INDEX(X:X, ROW()-COUNTIF($F$6:INDEX($F:$F, ROW()-1), $F535)) : INDEX(X:X, ROW()-1),
   INDEX(AA:AA, ROW()-COUNTIF($F$6:INDEX($F:$F, ROW()-1), $F535)) : INDEX(AA:AA, ROW()-1)
   )
   /SUM(INDEX(AA:AA, ROW()-COUNTIF($F$6:INDEX($F:$F, ROW()-1), $F535)) : INDEX(AA:AA, ROW()-1)),
   AVERAGEIFS(
     INDEX((unit_details[Asking Rent],unit_details[Asking PSF]),0,1,IF($U$3="Chunk Rent",1,2)),
     unit_details[Leased Date],"&gt;="&amp;($AM$2-X$5),
     unit_details[Leased Date],"&lt;"&amp;$AM$2,
     unit_details[Beds],$L536,
     unit_details[Baths],$M536,
     unit_details[Partial Baths],IF(ISNUMBER($N536),$N536,""),
     unit_details[Sqft],$P536,
     unit_details[Property Name],$F536)
 ),"")</f>
        <v/>
      </c>
      <c r="Y536" s="552" t="str">
        <f>IFERROR(
 IF($F536="Total",
   SUMPRODUCT(
   INDEX(Y:Y, ROW()-COUNTIF($F$6:INDEX($F:$F, ROW()-1), $F535)) : INDEX(Y:Y, ROW()-1),
   INDEX(AA:AA, ROW()-COUNTIF($F$6:INDEX($F:$F, ROW()-1), $F535)) : INDEX(AA:AA, ROW()-1)
   )
   /SUM(INDEX(AA:AA, ROW()-COUNTIF($F$6:INDEX($F:$F, ROW()-1), $F535)) : INDEX(AA:AA, ROW()-1)),
   AVERAGEIFS(
     INDEX((unit_details[Effective Rent],unit_details[Effective PSF]),0,1,IF($U$3="Chunk Rent",1,2)),
     unit_details[Leased Date],"&gt;="&amp;($AM$2-X$5),
     unit_details[Leased Date],"&lt;"&amp;$AM$2,
     unit_details[Beds],$L536,
     unit_details[Baths],$M536,
     unit_details[Partial Baths],IF(ISNUMBER($N536),$N536,""),
     unit_details[Sqft],$P536,
     unit_details[Property Name],$F536)
 ),"")</f>
        <v/>
      </c>
      <c r="Z536" s="27" t="str">
        <f t="shared" si="99"/>
        <v/>
      </c>
      <c r="AA536" s="526">
        <f>IFERROR(
  IF($F536="Total",
    SUM(INDEX(AA:AA, ROW()-COUNTIF($F$6:INDEX($F:$F, ROW()-1), $F535)) : INDEX(AA:AA, ROW()-1)),
    COUNTIFS(
      unit_details[Leased Date], "&gt;="&amp;($AM$2-X$5),
      unit_details[Leased Date], "&lt;"&amp;$AM$2,
      unit_details[Beds], $L536,
      unit_details[Baths], $M536,
      unit_details[Partial Baths], IF(ISNUMBER($N536), $N536, ""),
      unit_details[Sqft],$P536,
      unit_details[Property Name], $F536
    )
  ),
"")</f>
        <v>0</v>
      </c>
      <c r="AB536" s="290">
        <f>IF($F536="Total",
SUM(INDEX(AB:AB, ROW()-COUNTIF($F$6:INDEX($F:$F, ROW()-1), $F535)) : INDEX(AB:AB, ROW()-1)),
COUNTIFS(unit_details[Active Listing?],TRUE,
          unit_details[Property Name], $F536,
          unit_details[Beds], $L536,
          unit_details[Baths], $M536,
          unit_details[Partial Baths],IF(ISNUMBER($N536),$N536,""),
          unit_details[Sqft],$P536))</f>
        <v>0</v>
      </c>
      <c r="AC536" s="27" t="str">
        <f t="shared" si="91"/>
        <v/>
      </c>
      <c r="AD536" s="293" t="str">
        <f>IFERROR(IF(AE536="","",IF($F536="Total",
SUMPRODUCT(
   INDEX(AD:AD, ROW()-COUNTIF($F$6:INDEX($F:$F, ROW()-1), $F535)) : INDEX(AD:AD, ROW()-1),
   INDEX(AB:AB, ROW()-COUNTIF($F$6:INDEX($F:$F, ROW()-1), $F535)) : INDEX(AB:AB, ROW()-1)
   )
   /SUM(INDEX(AB:AB, ROW()-COUNTIF($F$6:INDEX($F:$F, ROW()-1), $F535)) : INDEX(AB:AB, ROW()-1)),
          _xlfn.MINIFS(unit_details[Asking Rent],
          unit_details[Active Listing?],TRUE,
          unit_details[Property Name], $F536,
          unit_details[Beds], $L536,
          unit_details[Baths], $M536,
          unit_details[Partial Baths], IF(ISNUMBER($N536),$N536,""),
          unit_details[Sqft],$P536
))),"")</f>
        <v/>
      </c>
      <c r="AE536" s="5" t="str">
        <f>IFERROR(IF($F536="Total",
          SUMPRODUCT(
   INDEX(AE:AE, ROW()-COUNTIF($F$6:INDEX($F:$F, ROW()-1), $F535)) : INDEX(AE:AE, ROW()-1),
   INDEX(AB:AB, ROW()-COUNTIF($F$6:INDEX($F:$F, ROW()-1), $F535)) : INDEX(AB:AB, ROW()-1)
   )
   /SUM(INDEX(AB:AB, ROW()-COUNTIF($F$6:INDEX($F:$F, ROW()-1), $F535)) : INDEX(AB:AB, ROW()-1)),
          AVERAGEIFS(unit_details[Asking Rent],
          unit_details[Active Listing?],TRUE,
          unit_details[Property Name], $F536,
          unit_details[Beds], $L536,
          unit_details[Baths], $M536,
          unit_details[Partial Baths], IF(ISNUMBER($N536),$N536,""),
          unit_details[Sqft],$P536
)),"")</f>
        <v/>
      </c>
      <c r="AF536" s="5" t="str">
        <f>IFERROR(IF(AE536="","",IF($F536="Total",
SUMPRODUCT(
   INDEX(AF:AF, ROW()-COUNTIF($F$6:INDEX($F:$F, ROW()-1), $F535)) : INDEX(AF:AF, ROW()-1),
   INDEX(AB:AB, ROW()-COUNTIF($F$6:INDEX($F:$F, ROW()-1), $F535)) : INDEX(AB:AB, ROW()-1)
   )
   /SUM(INDEX(AB:AB, ROW()-COUNTIF($F$6:INDEX($F:$F, ROW()-1), $F535)) : INDEX(AB:AB, ROW()-1)),
           _xlfn.MAXIFS(unit_details[Asking Rent],
          unit_details[Active Listing?],TRUE,
          unit_details[Property Name], $F536,
          unit_details[Beds], $L536,
          unit_details[Baths], $M536,
          unit_details[Partial Baths], IF(ISNUMBER($N536),$N536,""),
          unit_details[Sqft],$P536
))),"")</f>
        <v/>
      </c>
      <c r="AG536" s="6" t="str">
        <f>IFERROR(IF($F536="Total",
         SUMPRODUCT(
         INDEX(AG:AG, ROW()-COUNTIF($F$6:INDEX($F:$F, ROW()-1), $F535)) : INDEX(AG:AG, ROW()-1),
         INDEX(AB:AB, ROW()-COUNTIF($F$6:INDEX($F:$F, ROW()-1), $F535)) : INDEX(AB:AB, ROW()-1)
         )
         /SUM(INDEX(AB:AB, ROW()-COUNTIF($F$6:INDEX($F:$F, ROW()-1), $F535)) : INDEX(AB:AB, ROW()-1)),
          AVERAGEIFS(unit_details[Asking PSF],
          unit_details[Active Listing?],TRUE,
          unit_details[Property Name], $F536,
          unit_details[Beds], $L536,
          unit_details[Baths], $M536,
          unit_details[Partial Baths], IF(ISNUMBER($N536),$N536,""),
          unit_details[Sqft],$P536
)),"")</f>
        <v/>
      </c>
      <c r="AH536" s="293" t="str">
        <f>IFERROR(IF($F536="Total",
         SUMPRODUCT(
         INDEX(AH:AH, ROW()-COUNTIF($F$6:INDEX($F:$F, ROW()-1), $F535)) : INDEX(AH:AH, ROW()-1),
         INDEX(AB:AB, ROW()-COUNTIF($F$6:INDEX($F:$F, ROW()-1), $F535)) : INDEX(AB:AB, ROW()-1)
         )
         /SUM(INDEX(AB:AB, ROW()-COUNTIF($F$6:INDEX($F:$F, ROW()-1), $F535)) : INDEX(AB:AB, ROW()-1)),
          AVERAGEIFS(unit_details[Effective Rent],
          unit_details[Active Listing?],TRUE,
          unit_details[Property Name], $F536,
          unit_details[Beds], $L536,
          unit_details[Baths], $M536,
          unit_details[Partial Baths], IF(ISNUMBER($N536),$N536,""),
          unit_details[Sqft],$P536
)),"")</f>
        <v/>
      </c>
      <c r="AI536" s="6" t="str">
        <f>IFERROR(IF($F536="Total",
         SUMPRODUCT(
         INDEX(AI:AI, ROW()-COUNTIF($F$6:INDEX($F:$F, ROW()-1), $F535)) : INDEX(AI:AI, ROW()-1),
         INDEX(AB:AB, ROW()-COUNTIF($F$6:INDEX($F:$F, ROW()-1), $F535)) : INDEX(AB:AB, ROW()-1)
         )
         /SUM(INDEX(AB:AB, ROW()-COUNTIF($F$6:INDEX($F:$F, ROW()-1), $F535)) : INDEX(AB:AB, ROW()-1)),
           AVERAGEIFS(unit_details[Effective PSF],
          unit_details[Active Listing?],TRUE,
          unit_details[Property Name], $F536,
          unit_details[Beds], $L536,
          unit_details[Baths], $M536,
          unit_details[Partial Baths], IF(ISNUMBER($N536),$N536,""),
          unit_details[Sqft],$P536
)),"")</f>
        <v/>
      </c>
      <c r="AJ536" s="824" t="str">
        <f t="shared" si="92"/>
        <v/>
      </c>
      <c r="AK536" s="531" t="str">
        <f t="shared" si="93"/>
        <v/>
      </c>
      <c r="AL536" s="714" t="str">
        <f t="shared" si="94"/>
        <v/>
      </c>
      <c r="AM536" s="531" t="str">
        <f t="shared" si="95"/>
        <v/>
      </c>
      <c r="AN536" s="716" t="str">
        <f t="shared" si="96"/>
        <v/>
      </c>
    </row>
    <row r="537" spans="6:40" x14ac:dyDescent="0.2">
      <c r="F537" s="1" t="str">
        <f t="shared" si="89"/>
        <v/>
      </c>
      <c r="G537" s="713" t="str">
        <f t="shared" si="97"/>
        <v/>
      </c>
      <c r="H537" s="17" t="str">
        <f>IFERROR(VLOOKUP($G537,Table1[[Property]:[Exposure %]],4,0),"")</f>
        <v/>
      </c>
      <c r="I537" s="3" t="str">
        <f>IFERROR(VLOOKUP($G537,Table1[[Property]:[Exposure %]],6,0),"")</f>
        <v/>
      </c>
      <c r="J537" s="3" t="str">
        <f>IFERROR(VLOOKUP($G537,Table1[[Property]:[Exposure %]],7,0),"")</f>
        <v/>
      </c>
      <c r="R537" s="4" t="str">
        <f>IFERROR(VLOOKUP(IF(F537="Total",F536,F537),Table1[[Property]:['# Units]],7,0)*S537,"")</f>
        <v/>
      </c>
      <c r="S537" s="27" t="str">
        <f t="shared" si="90"/>
        <v/>
      </c>
      <c r="T537" s="531" t="str">
        <f>IFERROR(
 IF($F537="Total",
   SUMPRODUCT(
   INDEX(T:T, ROW()-COUNTIF($F$6:INDEX($F:$F, ROW()-1), $F536)) : INDEX(T:T, ROW()-1),
   INDEX(W:W, ROW()-COUNTIF($F$6:INDEX($F:$F, ROW()-1), $F536)) : INDEX(W:W, ROW()-1)
   )
   /SUM(INDEX(W:W, ROW()-COUNTIF($F$6:INDEX($F:$F, ROW()-1), $F536)) : INDEX(W:W, ROW()-1)),
   AVERAGEIFS(
     INDEX((unit_details[Asking Rent],unit_details[Asking PSF]),0,1,IF($U$3="Chunk Rent",1,2)),
     unit_details[Leased Date],"&gt;="&amp;($AM$2-T$5),
     unit_details[Leased Date],"&lt;"&amp;$AM$2,
     unit_details[Beds],$L537,
     unit_details[Baths],$M537,
     unit_details[Partial Baths],IF(ISNUMBER($N537),$N537,""),
     unit_details[Sqft],$P537,
     unit_details[Property Name],$F537)
 ),"")</f>
        <v/>
      </c>
      <c r="U537" s="552" t="str">
        <f>IFERROR(
 IF($F537="Total",
   SUMPRODUCT(
   INDEX(U:U, ROW()-COUNTIF($F$6:INDEX($F:$F, ROW()-1), $F536)) : INDEX(U:U, ROW()-1),
   INDEX(W:W, ROW()-COUNTIF($F$6:INDEX($F:$F, ROW()-1), $F536)) : INDEX(W:W, ROW()-1)
   )
   /SUM(INDEX(W:W, ROW()-COUNTIF($F$6:INDEX($F:$F, ROW()-1), $F536)) : INDEX(W:W, ROW()-1)),
   AVERAGEIFS(
     INDEX((unit_details[Effective Rent],unit_details[Effective PSF]),0,1,IF($U$3="Chunk Rent",1,2)),
     unit_details[Leased Date],"&gt;="&amp;($AM$2-T$5),
     unit_details[Leased Date],"&lt;"&amp;$AM$2,
     unit_details[Beds],$L537,
     unit_details[Baths],$M537,
     unit_details[Partial Baths],IF(ISNUMBER($N537),$N537,""),
     unit_details[Sqft],$P537,
     unit_details[Property Name],$F537)
 ),"")</f>
        <v/>
      </c>
      <c r="V537" s="27" t="str">
        <f t="shared" si="98"/>
        <v/>
      </c>
      <c r="W537" s="526">
        <f>IFERROR(
  IF($F537="Total",
    SUM(INDEX(W:W, ROW()-COUNTIF($F$6:INDEX($F:$F, ROW()-1), $F536)) : INDEX(W:W, ROW()-1)),
    COUNTIFS(
      unit_details[Leased Date], "&gt;="&amp;($AM$2-T$5),
      unit_details[Leased Date], "&lt;"&amp;$AM$2,
      unit_details[Beds], $L537,
      unit_details[Baths], $M537,
      unit_details[Partial Baths], IF(ISNUMBER($N537), $N537, ""),
      unit_details[Sqft],$P537,
      unit_details[Property Name], $F537
    )
  ),
"")</f>
        <v>0</v>
      </c>
      <c r="X537" s="531" t="str">
        <f>IFERROR(
 IF($F537="Total",
   SUMPRODUCT(
   INDEX(X:X, ROW()-COUNTIF($F$6:INDEX($F:$F, ROW()-1), $F536)) : INDEX(X:X, ROW()-1),
   INDEX(AA:AA, ROW()-COUNTIF($F$6:INDEX($F:$F, ROW()-1), $F536)) : INDEX(AA:AA, ROW()-1)
   )
   /SUM(INDEX(AA:AA, ROW()-COUNTIF($F$6:INDEX($F:$F, ROW()-1), $F536)) : INDEX(AA:AA, ROW()-1)),
   AVERAGEIFS(
     INDEX((unit_details[Asking Rent],unit_details[Asking PSF]),0,1,IF($U$3="Chunk Rent",1,2)),
     unit_details[Leased Date],"&gt;="&amp;($AM$2-X$5),
     unit_details[Leased Date],"&lt;"&amp;$AM$2,
     unit_details[Beds],$L537,
     unit_details[Baths],$M537,
     unit_details[Partial Baths],IF(ISNUMBER($N537),$N537,""),
     unit_details[Sqft],$P537,
     unit_details[Property Name],$F537)
 ),"")</f>
        <v/>
      </c>
      <c r="Y537" s="552" t="str">
        <f>IFERROR(
 IF($F537="Total",
   SUMPRODUCT(
   INDEX(Y:Y, ROW()-COUNTIF($F$6:INDEX($F:$F, ROW()-1), $F536)) : INDEX(Y:Y, ROW()-1),
   INDEX(AA:AA, ROW()-COUNTIF($F$6:INDEX($F:$F, ROW()-1), $F536)) : INDEX(AA:AA, ROW()-1)
   )
   /SUM(INDEX(AA:AA, ROW()-COUNTIF($F$6:INDEX($F:$F, ROW()-1), $F536)) : INDEX(AA:AA, ROW()-1)),
   AVERAGEIFS(
     INDEX((unit_details[Effective Rent],unit_details[Effective PSF]),0,1,IF($U$3="Chunk Rent",1,2)),
     unit_details[Leased Date],"&gt;="&amp;($AM$2-X$5),
     unit_details[Leased Date],"&lt;"&amp;$AM$2,
     unit_details[Beds],$L537,
     unit_details[Baths],$M537,
     unit_details[Partial Baths],IF(ISNUMBER($N537),$N537,""),
     unit_details[Sqft],$P537,
     unit_details[Property Name],$F537)
 ),"")</f>
        <v/>
      </c>
      <c r="Z537" s="27" t="str">
        <f t="shared" si="99"/>
        <v/>
      </c>
      <c r="AA537" s="526">
        <f>IFERROR(
  IF($F537="Total",
    SUM(INDEX(AA:AA, ROW()-COUNTIF($F$6:INDEX($F:$F, ROW()-1), $F536)) : INDEX(AA:AA, ROW()-1)),
    COUNTIFS(
      unit_details[Leased Date], "&gt;="&amp;($AM$2-X$5),
      unit_details[Leased Date], "&lt;"&amp;$AM$2,
      unit_details[Beds], $L537,
      unit_details[Baths], $M537,
      unit_details[Partial Baths], IF(ISNUMBER($N537), $N537, ""),
      unit_details[Sqft],$P537,
      unit_details[Property Name], $F537
    )
  ),
"")</f>
        <v>0</v>
      </c>
      <c r="AB537" s="290">
        <f>IF($F537="Total",
SUM(INDEX(AB:AB, ROW()-COUNTIF($F$6:INDEX($F:$F, ROW()-1), $F536)) : INDEX(AB:AB, ROW()-1)),
COUNTIFS(unit_details[Active Listing?],TRUE,
          unit_details[Property Name], $F537,
          unit_details[Beds], $L537,
          unit_details[Baths], $M537,
          unit_details[Partial Baths],IF(ISNUMBER($N537),$N537,""),
          unit_details[Sqft],$P537))</f>
        <v>0</v>
      </c>
      <c r="AC537" s="27" t="str">
        <f t="shared" si="91"/>
        <v/>
      </c>
      <c r="AD537" s="293" t="str">
        <f>IFERROR(IF(AE537="","",IF($F537="Total",
SUMPRODUCT(
   INDEX(AD:AD, ROW()-COUNTIF($F$6:INDEX($F:$F, ROW()-1), $F536)) : INDEX(AD:AD, ROW()-1),
   INDEX(AB:AB, ROW()-COUNTIF($F$6:INDEX($F:$F, ROW()-1), $F536)) : INDEX(AB:AB, ROW()-1)
   )
   /SUM(INDEX(AB:AB, ROW()-COUNTIF($F$6:INDEX($F:$F, ROW()-1), $F536)) : INDEX(AB:AB, ROW()-1)),
          _xlfn.MINIFS(unit_details[Asking Rent],
          unit_details[Active Listing?],TRUE,
          unit_details[Property Name], $F537,
          unit_details[Beds], $L537,
          unit_details[Baths], $M537,
          unit_details[Partial Baths], IF(ISNUMBER($N537),$N537,""),
          unit_details[Sqft],$P537
))),"")</f>
        <v/>
      </c>
      <c r="AE537" s="5" t="str">
        <f>IFERROR(IF($F537="Total",
          SUMPRODUCT(
   INDEX(AE:AE, ROW()-COUNTIF($F$6:INDEX($F:$F, ROW()-1), $F536)) : INDEX(AE:AE, ROW()-1),
   INDEX(AB:AB, ROW()-COUNTIF($F$6:INDEX($F:$F, ROW()-1), $F536)) : INDEX(AB:AB, ROW()-1)
   )
   /SUM(INDEX(AB:AB, ROW()-COUNTIF($F$6:INDEX($F:$F, ROW()-1), $F536)) : INDEX(AB:AB, ROW()-1)),
          AVERAGEIFS(unit_details[Asking Rent],
          unit_details[Active Listing?],TRUE,
          unit_details[Property Name], $F537,
          unit_details[Beds], $L537,
          unit_details[Baths], $M537,
          unit_details[Partial Baths], IF(ISNUMBER($N537),$N537,""),
          unit_details[Sqft],$P537
)),"")</f>
        <v/>
      </c>
      <c r="AF537" s="5" t="str">
        <f>IFERROR(IF(AE537="","",IF($F537="Total",
SUMPRODUCT(
   INDEX(AF:AF, ROW()-COUNTIF($F$6:INDEX($F:$F, ROW()-1), $F536)) : INDEX(AF:AF, ROW()-1),
   INDEX(AB:AB, ROW()-COUNTIF($F$6:INDEX($F:$F, ROW()-1), $F536)) : INDEX(AB:AB, ROW()-1)
   )
   /SUM(INDEX(AB:AB, ROW()-COUNTIF($F$6:INDEX($F:$F, ROW()-1), $F536)) : INDEX(AB:AB, ROW()-1)),
           _xlfn.MAXIFS(unit_details[Asking Rent],
          unit_details[Active Listing?],TRUE,
          unit_details[Property Name], $F537,
          unit_details[Beds], $L537,
          unit_details[Baths], $M537,
          unit_details[Partial Baths], IF(ISNUMBER($N537),$N537,""),
          unit_details[Sqft],$P537
))),"")</f>
        <v/>
      </c>
      <c r="AG537" s="6" t="str">
        <f>IFERROR(IF($F537="Total",
         SUMPRODUCT(
         INDEX(AG:AG, ROW()-COUNTIF($F$6:INDEX($F:$F, ROW()-1), $F536)) : INDEX(AG:AG, ROW()-1),
         INDEX(AB:AB, ROW()-COUNTIF($F$6:INDEX($F:$F, ROW()-1), $F536)) : INDEX(AB:AB, ROW()-1)
         )
         /SUM(INDEX(AB:AB, ROW()-COUNTIF($F$6:INDEX($F:$F, ROW()-1), $F536)) : INDEX(AB:AB, ROW()-1)),
          AVERAGEIFS(unit_details[Asking PSF],
          unit_details[Active Listing?],TRUE,
          unit_details[Property Name], $F537,
          unit_details[Beds], $L537,
          unit_details[Baths], $M537,
          unit_details[Partial Baths], IF(ISNUMBER($N537),$N537,""),
          unit_details[Sqft],$P537
)),"")</f>
        <v/>
      </c>
      <c r="AH537" s="293" t="str">
        <f>IFERROR(IF($F537="Total",
         SUMPRODUCT(
         INDEX(AH:AH, ROW()-COUNTIF($F$6:INDEX($F:$F, ROW()-1), $F536)) : INDEX(AH:AH, ROW()-1),
         INDEX(AB:AB, ROW()-COUNTIF($F$6:INDEX($F:$F, ROW()-1), $F536)) : INDEX(AB:AB, ROW()-1)
         )
         /SUM(INDEX(AB:AB, ROW()-COUNTIF($F$6:INDEX($F:$F, ROW()-1), $F536)) : INDEX(AB:AB, ROW()-1)),
          AVERAGEIFS(unit_details[Effective Rent],
          unit_details[Active Listing?],TRUE,
          unit_details[Property Name], $F537,
          unit_details[Beds], $L537,
          unit_details[Baths], $M537,
          unit_details[Partial Baths], IF(ISNUMBER($N537),$N537,""),
          unit_details[Sqft],$P537
)),"")</f>
        <v/>
      </c>
      <c r="AI537" s="6" t="str">
        <f>IFERROR(IF($F537="Total",
         SUMPRODUCT(
         INDEX(AI:AI, ROW()-COUNTIF($F$6:INDEX($F:$F, ROW()-1), $F536)) : INDEX(AI:AI, ROW()-1),
         INDEX(AB:AB, ROW()-COUNTIF($F$6:INDEX($F:$F, ROW()-1), $F536)) : INDEX(AB:AB, ROW()-1)
         )
         /SUM(INDEX(AB:AB, ROW()-COUNTIF($F$6:INDEX($F:$F, ROW()-1), $F536)) : INDEX(AB:AB, ROW()-1)),
           AVERAGEIFS(unit_details[Effective PSF],
          unit_details[Active Listing?],TRUE,
          unit_details[Property Name], $F537,
          unit_details[Beds], $L537,
          unit_details[Baths], $M537,
          unit_details[Partial Baths], IF(ISNUMBER($N537),$N537,""),
          unit_details[Sqft],$P537
)),"")</f>
        <v/>
      </c>
      <c r="AJ537" s="824" t="str">
        <f t="shared" si="92"/>
        <v/>
      </c>
      <c r="AK537" s="531" t="str">
        <f t="shared" si="93"/>
        <v/>
      </c>
      <c r="AL537" s="714" t="str">
        <f t="shared" si="94"/>
        <v/>
      </c>
      <c r="AM537" s="531" t="str">
        <f t="shared" si="95"/>
        <v/>
      </c>
      <c r="AN537" s="716" t="str">
        <f t="shared" si="96"/>
        <v/>
      </c>
    </row>
    <row r="538" spans="6:40" x14ac:dyDescent="0.2">
      <c r="F538" s="1" t="str">
        <f t="shared" si="89"/>
        <v/>
      </c>
      <c r="G538" s="713" t="str">
        <f t="shared" si="97"/>
        <v/>
      </c>
      <c r="H538" s="17" t="str">
        <f>IFERROR(VLOOKUP($G538,Table1[[Property]:[Exposure %]],4,0),"")</f>
        <v/>
      </c>
      <c r="I538" s="3" t="str">
        <f>IFERROR(VLOOKUP($G538,Table1[[Property]:[Exposure %]],6,0),"")</f>
        <v/>
      </c>
      <c r="J538" s="3" t="str">
        <f>IFERROR(VLOOKUP($G538,Table1[[Property]:[Exposure %]],7,0),"")</f>
        <v/>
      </c>
      <c r="R538" s="4" t="str">
        <f>IFERROR(VLOOKUP(IF(F538="Total",F537,F538),Table1[[Property]:['# Units]],7,0)*S538,"")</f>
        <v/>
      </c>
      <c r="S538" s="27" t="str">
        <f t="shared" si="90"/>
        <v/>
      </c>
      <c r="T538" s="531" t="str">
        <f>IFERROR(
 IF($F538="Total",
   SUMPRODUCT(
   INDEX(T:T, ROW()-COUNTIF($F$6:INDEX($F:$F, ROW()-1), $F537)) : INDEX(T:T, ROW()-1),
   INDEX(W:W, ROW()-COUNTIF($F$6:INDEX($F:$F, ROW()-1), $F537)) : INDEX(W:W, ROW()-1)
   )
   /SUM(INDEX(W:W, ROW()-COUNTIF($F$6:INDEX($F:$F, ROW()-1), $F537)) : INDEX(W:W, ROW()-1)),
   AVERAGEIFS(
     INDEX((unit_details[Asking Rent],unit_details[Asking PSF]),0,1,IF($U$3="Chunk Rent",1,2)),
     unit_details[Leased Date],"&gt;="&amp;($AM$2-T$5),
     unit_details[Leased Date],"&lt;"&amp;$AM$2,
     unit_details[Beds],$L538,
     unit_details[Baths],$M538,
     unit_details[Partial Baths],IF(ISNUMBER($N538),$N538,""),
     unit_details[Sqft],$P538,
     unit_details[Property Name],$F538)
 ),"")</f>
        <v/>
      </c>
      <c r="U538" s="552" t="str">
        <f>IFERROR(
 IF($F538="Total",
   SUMPRODUCT(
   INDEX(U:U, ROW()-COUNTIF($F$6:INDEX($F:$F, ROW()-1), $F537)) : INDEX(U:U, ROW()-1),
   INDEX(W:W, ROW()-COUNTIF($F$6:INDEX($F:$F, ROW()-1), $F537)) : INDEX(W:W, ROW()-1)
   )
   /SUM(INDEX(W:W, ROW()-COUNTIF($F$6:INDEX($F:$F, ROW()-1), $F537)) : INDEX(W:W, ROW()-1)),
   AVERAGEIFS(
     INDEX((unit_details[Effective Rent],unit_details[Effective PSF]),0,1,IF($U$3="Chunk Rent",1,2)),
     unit_details[Leased Date],"&gt;="&amp;($AM$2-T$5),
     unit_details[Leased Date],"&lt;"&amp;$AM$2,
     unit_details[Beds],$L538,
     unit_details[Baths],$M538,
     unit_details[Partial Baths],IF(ISNUMBER($N538),$N538,""),
     unit_details[Sqft],$P538,
     unit_details[Property Name],$F538)
 ),"")</f>
        <v/>
      </c>
      <c r="V538" s="27" t="str">
        <f t="shared" si="98"/>
        <v/>
      </c>
      <c r="W538" s="526">
        <f>IFERROR(
  IF($F538="Total",
    SUM(INDEX(W:W, ROW()-COUNTIF($F$6:INDEX($F:$F, ROW()-1), $F537)) : INDEX(W:W, ROW()-1)),
    COUNTIFS(
      unit_details[Leased Date], "&gt;="&amp;($AM$2-T$5),
      unit_details[Leased Date], "&lt;"&amp;$AM$2,
      unit_details[Beds], $L538,
      unit_details[Baths], $M538,
      unit_details[Partial Baths], IF(ISNUMBER($N538), $N538, ""),
      unit_details[Sqft],$P538,
      unit_details[Property Name], $F538
    )
  ),
"")</f>
        <v>0</v>
      </c>
      <c r="X538" s="531" t="str">
        <f>IFERROR(
 IF($F538="Total",
   SUMPRODUCT(
   INDEX(X:X, ROW()-COUNTIF($F$6:INDEX($F:$F, ROW()-1), $F537)) : INDEX(X:X, ROW()-1),
   INDEX(AA:AA, ROW()-COUNTIF($F$6:INDEX($F:$F, ROW()-1), $F537)) : INDEX(AA:AA, ROW()-1)
   )
   /SUM(INDEX(AA:AA, ROW()-COUNTIF($F$6:INDEX($F:$F, ROW()-1), $F537)) : INDEX(AA:AA, ROW()-1)),
   AVERAGEIFS(
     INDEX((unit_details[Asking Rent],unit_details[Asking PSF]),0,1,IF($U$3="Chunk Rent",1,2)),
     unit_details[Leased Date],"&gt;="&amp;($AM$2-X$5),
     unit_details[Leased Date],"&lt;"&amp;$AM$2,
     unit_details[Beds],$L538,
     unit_details[Baths],$M538,
     unit_details[Partial Baths],IF(ISNUMBER($N538),$N538,""),
     unit_details[Sqft],$P538,
     unit_details[Property Name],$F538)
 ),"")</f>
        <v/>
      </c>
      <c r="Y538" s="552" t="str">
        <f>IFERROR(
 IF($F538="Total",
   SUMPRODUCT(
   INDEX(Y:Y, ROW()-COUNTIF($F$6:INDEX($F:$F, ROW()-1), $F537)) : INDEX(Y:Y, ROW()-1),
   INDEX(AA:AA, ROW()-COUNTIF($F$6:INDEX($F:$F, ROW()-1), $F537)) : INDEX(AA:AA, ROW()-1)
   )
   /SUM(INDEX(AA:AA, ROW()-COUNTIF($F$6:INDEX($F:$F, ROW()-1), $F537)) : INDEX(AA:AA, ROW()-1)),
   AVERAGEIFS(
     INDEX((unit_details[Effective Rent],unit_details[Effective PSF]),0,1,IF($U$3="Chunk Rent",1,2)),
     unit_details[Leased Date],"&gt;="&amp;($AM$2-X$5),
     unit_details[Leased Date],"&lt;"&amp;$AM$2,
     unit_details[Beds],$L538,
     unit_details[Baths],$M538,
     unit_details[Partial Baths],IF(ISNUMBER($N538),$N538,""),
     unit_details[Sqft],$P538,
     unit_details[Property Name],$F538)
 ),"")</f>
        <v/>
      </c>
      <c r="Z538" s="27" t="str">
        <f t="shared" si="99"/>
        <v/>
      </c>
      <c r="AA538" s="526">
        <f>IFERROR(
  IF($F538="Total",
    SUM(INDEX(AA:AA, ROW()-COUNTIF($F$6:INDEX($F:$F, ROW()-1), $F537)) : INDEX(AA:AA, ROW()-1)),
    COUNTIFS(
      unit_details[Leased Date], "&gt;="&amp;($AM$2-X$5),
      unit_details[Leased Date], "&lt;"&amp;$AM$2,
      unit_details[Beds], $L538,
      unit_details[Baths], $M538,
      unit_details[Partial Baths], IF(ISNUMBER($N538), $N538, ""),
      unit_details[Sqft],$P538,
      unit_details[Property Name], $F538
    )
  ),
"")</f>
        <v>0</v>
      </c>
      <c r="AB538" s="290">
        <f>IF($F538="Total",
SUM(INDEX(AB:AB, ROW()-COUNTIF($F$6:INDEX($F:$F, ROW()-1), $F537)) : INDEX(AB:AB, ROW()-1)),
COUNTIFS(unit_details[Active Listing?],TRUE,
          unit_details[Property Name], $F538,
          unit_details[Beds], $L538,
          unit_details[Baths], $M538,
          unit_details[Partial Baths],IF(ISNUMBER($N538),$N538,""),
          unit_details[Sqft],$P538))</f>
        <v>0</v>
      </c>
      <c r="AC538" s="27" t="str">
        <f t="shared" si="91"/>
        <v/>
      </c>
      <c r="AD538" s="293" t="str">
        <f>IFERROR(IF(AE538="","",IF($F538="Total",
SUMPRODUCT(
   INDEX(AD:AD, ROW()-COUNTIF($F$6:INDEX($F:$F, ROW()-1), $F537)) : INDEX(AD:AD, ROW()-1),
   INDEX(AB:AB, ROW()-COUNTIF($F$6:INDEX($F:$F, ROW()-1), $F537)) : INDEX(AB:AB, ROW()-1)
   )
   /SUM(INDEX(AB:AB, ROW()-COUNTIF($F$6:INDEX($F:$F, ROW()-1), $F537)) : INDEX(AB:AB, ROW()-1)),
          _xlfn.MINIFS(unit_details[Asking Rent],
          unit_details[Active Listing?],TRUE,
          unit_details[Property Name], $F538,
          unit_details[Beds], $L538,
          unit_details[Baths], $M538,
          unit_details[Partial Baths], IF(ISNUMBER($N538),$N538,""),
          unit_details[Sqft],$P538
))),"")</f>
        <v/>
      </c>
      <c r="AE538" s="5" t="str">
        <f>IFERROR(IF($F538="Total",
          SUMPRODUCT(
   INDEX(AE:AE, ROW()-COUNTIF($F$6:INDEX($F:$F, ROW()-1), $F537)) : INDEX(AE:AE, ROW()-1),
   INDEX(AB:AB, ROW()-COUNTIF($F$6:INDEX($F:$F, ROW()-1), $F537)) : INDEX(AB:AB, ROW()-1)
   )
   /SUM(INDEX(AB:AB, ROW()-COUNTIF($F$6:INDEX($F:$F, ROW()-1), $F537)) : INDEX(AB:AB, ROW()-1)),
          AVERAGEIFS(unit_details[Asking Rent],
          unit_details[Active Listing?],TRUE,
          unit_details[Property Name], $F538,
          unit_details[Beds], $L538,
          unit_details[Baths], $M538,
          unit_details[Partial Baths], IF(ISNUMBER($N538),$N538,""),
          unit_details[Sqft],$P538
)),"")</f>
        <v/>
      </c>
      <c r="AF538" s="5" t="str">
        <f>IFERROR(IF(AE538="","",IF($F538="Total",
SUMPRODUCT(
   INDEX(AF:AF, ROW()-COUNTIF($F$6:INDEX($F:$F, ROW()-1), $F537)) : INDEX(AF:AF, ROW()-1),
   INDEX(AB:AB, ROW()-COUNTIF($F$6:INDEX($F:$F, ROW()-1), $F537)) : INDEX(AB:AB, ROW()-1)
   )
   /SUM(INDEX(AB:AB, ROW()-COUNTIF($F$6:INDEX($F:$F, ROW()-1), $F537)) : INDEX(AB:AB, ROW()-1)),
           _xlfn.MAXIFS(unit_details[Asking Rent],
          unit_details[Active Listing?],TRUE,
          unit_details[Property Name], $F538,
          unit_details[Beds], $L538,
          unit_details[Baths], $M538,
          unit_details[Partial Baths], IF(ISNUMBER($N538),$N538,""),
          unit_details[Sqft],$P538
))),"")</f>
        <v/>
      </c>
      <c r="AG538" s="6" t="str">
        <f>IFERROR(IF($F538="Total",
         SUMPRODUCT(
         INDEX(AG:AG, ROW()-COUNTIF($F$6:INDEX($F:$F, ROW()-1), $F537)) : INDEX(AG:AG, ROW()-1),
         INDEX(AB:AB, ROW()-COUNTIF($F$6:INDEX($F:$F, ROW()-1), $F537)) : INDEX(AB:AB, ROW()-1)
         )
         /SUM(INDEX(AB:AB, ROW()-COUNTIF($F$6:INDEX($F:$F, ROW()-1), $F537)) : INDEX(AB:AB, ROW()-1)),
          AVERAGEIFS(unit_details[Asking PSF],
          unit_details[Active Listing?],TRUE,
          unit_details[Property Name], $F538,
          unit_details[Beds], $L538,
          unit_details[Baths], $M538,
          unit_details[Partial Baths], IF(ISNUMBER($N538),$N538,""),
          unit_details[Sqft],$P538
)),"")</f>
        <v/>
      </c>
      <c r="AH538" s="293" t="str">
        <f>IFERROR(IF($F538="Total",
         SUMPRODUCT(
         INDEX(AH:AH, ROW()-COUNTIF($F$6:INDEX($F:$F, ROW()-1), $F537)) : INDEX(AH:AH, ROW()-1),
         INDEX(AB:AB, ROW()-COUNTIF($F$6:INDEX($F:$F, ROW()-1), $F537)) : INDEX(AB:AB, ROW()-1)
         )
         /SUM(INDEX(AB:AB, ROW()-COUNTIF($F$6:INDEX($F:$F, ROW()-1), $F537)) : INDEX(AB:AB, ROW()-1)),
          AVERAGEIFS(unit_details[Effective Rent],
          unit_details[Active Listing?],TRUE,
          unit_details[Property Name], $F538,
          unit_details[Beds], $L538,
          unit_details[Baths], $M538,
          unit_details[Partial Baths], IF(ISNUMBER($N538),$N538,""),
          unit_details[Sqft],$P538
)),"")</f>
        <v/>
      </c>
      <c r="AI538" s="6" t="str">
        <f>IFERROR(IF($F538="Total",
         SUMPRODUCT(
         INDEX(AI:AI, ROW()-COUNTIF($F$6:INDEX($F:$F, ROW()-1), $F537)) : INDEX(AI:AI, ROW()-1),
         INDEX(AB:AB, ROW()-COUNTIF($F$6:INDEX($F:$F, ROW()-1), $F537)) : INDEX(AB:AB, ROW()-1)
         )
         /SUM(INDEX(AB:AB, ROW()-COUNTIF($F$6:INDEX($F:$F, ROW()-1), $F537)) : INDEX(AB:AB, ROW()-1)),
           AVERAGEIFS(unit_details[Effective PSF],
          unit_details[Active Listing?],TRUE,
          unit_details[Property Name], $F538,
          unit_details[Beds], $L538,
          unit_details[Baths], $M538,
          unit_details[Partial Baths], IF(ISNUMBER($N538),$N538,""),
          unit_details[Sqft],$P538
)),"")</f>
        <v/>
      </c>
      <c r="AJ538" s="824" t="str">
        <f t="shared" si="92"/>
        <v/>
      </c>
      <c r="AK538" s="531" t="str">
        <f t="shared" si="93"/>
        <v/>
      </c>
      <c r="AL538" s="714" t="str">
        <f t="shared" si="94"/>
        <v/>
      </c>
      <c r="AM538" s="531" t="str">
        <f t="shared" si="95"/>
        <v/>
      </c>
      <c r="AN538" s="716" t="str">
        <f t="shared" si="96"/>
        <v/>
      </c>
    </row>
    <row r="539" spans="6:40" x14ac:dyDescent="0.2">
      <c r="F539" s="1" t="str">
        <f t="shared" si="89"/>
        <v/>
      </c>
      <c r="G539" s="713" t="str">
        <f t="shared" si="97"/>
        <v/>
      </c>
      <c r="H539" s="17" t="str">
        <f>IFERROR(VLOOKUP($G539,Table1[[Property]:[Exposure %]],4,0),"")</f>
        <v/>
      </c>
      <c r="I539" s="3" t="str">
        <f>IFERROR(VLOOKUP($G539,Table1[[Property]:[Exposure %]],6,0),"")</f>
        <v/>
      </c>
      <c r="J539" s="3" t="str">
        <f>IFERROR(VLOOKUP($G539,Table1[[Property]:[Exposure %]],7,0),"")</f>
        <v/>
      </c>
      <c r="R539" s="4" t="str">
        <f>IFERROR(VLOOKUP(IF(F539="Total",F538,F539),Table1[[Property]:['# Units]],7,0)*S539,"")</f>
        <v/>
      </c>
      <c r="S539" s="27" t="str">
        <f t="shared" si="90"/>
        <v/>
      </c>
      <c r="T539" s="531" t="str">
        <f>IFERROR(
 IF($F539="Total",
   SUMPRODUCT(
   INDEX(T:T, ROW()-COUNTIF($F$6:INDEX($F:$F, ROW()-1), $F538)) : INDEX(T:T, ROW()-1),
   INDEX(W:W, ROW()-COUNTIF($F$6:INDEX($F:$F, ROW()-1), $F538)) : INDEX(W:W, ROW()-1)
   )
   /SUM(INDEX(W:W, ROW()-COUNTIF($F$6:INDEX($F:$F, ROW()-1), $F538)) : INDEX(W:W, ROW()-1)),
   AVERAGEIFS(
     INDEX((unit_details[Asking Rent],unit_details[Asking PSF]),0,1,IF($U$3="Chunk Rent",1,2)),
     unit_details[Leased Date],"&gt;="&amp;($AM$2-T$5),
     unit_details[Leased Date],"&lt;"&amp;$AM$2,
     unit_details[Beds],$L539,
     unit_details[Baths],$M539,
     unit_details[Partial Baths],IF(ISNUMBER($N539),$N539,""),
     unit_details[Sqft],$P539,
     unit_details[Property Name],$F539)
 ),"")</f>
        <v/>
      </c>
      <c r="U539" s="552" t="str">
        <f>IFERROR(
 IF($F539="Total",
   SUMPRODUCT(
   INDEX(U:U, ROW()-COUNTIF($F$6:INDEX($F:$F, ROW()-1), $F538)) : INDEX(U:U, ROW()-1),
   INDEX(W:W, ROW()-COUNTIF($F$6:INDEX($F:$F, ROW()-1), $F538)) : INDEX(W:W, ROW()-1)
   )
   /SUM(INDEX(W:W, ROW()-COUNTIF($F$6:INDEX($F:$F, ROW()-1), $F538)) : INDEX(W:W, ROW()-1)),
   AVERAGEIFS(
     INDEX((unit_details[Effective Rent],unit_details[Effective PSF]),0,1,IF($U$3="Chunk Rent",1,2)),
     unit_details[Leased Date],"&gt;="&amp;($AM$2-T$5),
     unit_details[Leased Date],"&lt;"&amp;$AM$2,
     unit_details[Beds],$L539,
     unit_details[Baths],$M539,
     unit_details[Partial Baths],IF(ISNUMBER($N539),$N539,""),
     unit_details[Sqft],$P539,
     unit_details[Property Name],$F539)
 ),"")</f>
        <v/>
      </c>
      <c r="V539" s="27" t="str">
        <f t="shared" si="98"/>
        <v/>
      </c>
      <c r="W539" s="526">
        <f>IFERROR(
  IF($F539="Total",
    SUM(INDEX(W:W, ROW()-COUNTIF($F$6:INDEX($F:$F, ROW()-1), $F538)) : INDEX(W:W, ROW()-1)),
    COUNTIFS(
      unit_details[Leased Date], "&gt;="&amp;($AM$2-T$5),
      unit_details[Leased Date], "&lt;"&amp;$AM$2,
      unit_details[Beds], $L539,
      unit_details[Baths], $M539,
      unit_details[Partial Baths], IF(ISNUMBER($N539), $N539, ""),
      unit_details[Sqft],$P539,
      unit_details[Property Name], $F539
    )
  ),
"")</f>
        <v>0</v>
      </c>
      <c r="X539" s="531" t="str">
        <f>IFERROR(
 IF($F539="Total",
   SUMPRODUCT(
   INDEX(X:X, ROW()-COUNTIF($F$6:INDEX($F:$F, ROW()-1), $F538)) : INDEX(X:X, ROW()-1),
   INDEX(AA:AA, ROW()-COUNTIF($F$6:INDEX($F:$F, ROW()-1), $F538)) : INDEX(AA:AA, ROW()-1)
   )
   /SUM(INDEX(AA:AA, ROW()-COUNTIF($F$6:INDEX($F:$F, ROW()-1), $F538)) : INDEX(AA:AA, ROW()-1)),
   AVERAGEIFS(
     INDEX((unit_details[Asking Rent],unit_details[Asking PSF]),0,1,IF($U$3="Chunk Rent",1,2)),
     unit_details[Leased Date],"&gt;="&amp;($AM$2-X$5),
     unit_details[Leased Date],"&lt;"&amp;$AM$2,
     unit_details[Beds],$L539,
     unit_details[Baths],$M539,
     unit_details[Partial Baths],IF(ISNUMBER($N539),$N539,""),
     unit_details[Sqft],$P539,
     unit_details[Property Name],$F539)
 ),"")</f>
        <v/>
      </c>
      <c r="Y539" s="552" t="str">
        <f>IFERROR(
 IF($F539="Total",
   SUMPRODUCT(
   INDEX(Y:Y, ROW()-COUNTIF($F$6:INDEX($F:$F, ROW()-1), $F538)) : INDEX(Y:Y, ROW()-1),
   INDEX(AA:AA, ROW()-COUNTIF($F$6:INDEX($F:$F, ROW()-1), $F538)) : INDEX(AA:AA, ROW()-1)
   )
   /SUM(INDEX(AA:AA, ROW()-COUNTIF($F$6:INDEX($F:$F, ROW()-1), $F538)) : INDEX(AA:AA, ROW()-1)),
   AVERAGEIFS(
     INDEX((unit_details[Effective Rent],unit_details[Effective PSF]),0,1,IF($U$3="Chunk Rent",1,2)),
     unit_details[Leased Date],"&gt;="&amp;($AM$2-X$5),
     unit_details[Leased Date],"&lt;"&amp;$AM$2,
     unit_details[Beds],$L539,
     unit_details[Baths],$M539,
     unit_details[Partial Baths],IF(ISNUMBER($N539),$N539,""),
     unit_details[Sqft],$P539,
     unit_details[Property Name],$F539)
 ),"")</f>
        <v/>
      </c>
      <c r="Z539" s="27" t="str">
        <f t="shared" si="99"/>
        <v/>
      </c>
      <c r="AA539" s="526">
        <f>IFERROR(
  IF($F539="Total",
    SUM(INDEX(AA:AA, ROW()-COUNTIF($F$6:INDEX($F:$F, ROW()-1), $F538)) : INDEX(AA:AA, ROW()-1)),
    COUNTIFS(
      unit_details[Leased Date], "&gt;="&amp;($AM$2-X$5),
      unit_details[Leased Date], "&lt;"&amp;$AM$2,
      unit_details[Beds], $L539,
      unit_details[Baths], $M539,
      unit_details[Partial Baths], IF(ISNUMBER($N539), $N539, ""),
      unit_details[Sqft],$P539,
      unit_details[Property Name], $F539
    )
  ),
"")</f>
        <v>0</v>
      </c>
      <c r="AB539" s="290">
        <f>IF($F539="Total",
SUM(INDEX(AB:AB, ROW()-COUNTIF($F$6:INDEX($F:$F, ROW()-1), $F538)) : INDEX(AB:AB, ROW()-1)),
COUNTIFS(unit_details[Active Listing?],TRUE,
          unit_details[Property Name], $F539,
          unit_details[Beds], $L539,
          unit_details[Baths], $M539,
          unit_details[Partial Baths],IF(ISNUMBER($N539),$N539,""),
          unit_details[Sqft],$P539))</f>
        <v>0</v>
      </c>
      <c r="AC539" s="27" t="str">
        <f t="shared" si="91"/>
        <v/>
      </c>
      <c r="AD539" s="293" t="str">
        <f>IFERROR(IF(AE539="","",IF($F539="Total",
SUMPRODUCT(
   INDEX(AD:AD, ROW()-COUNTIF($F$6:INDEX($F:$F, ROW()-1), $F538)) : INDEX(AD:AD, ROW()-1),
   INDEX(AB:AB, ROW()-COUNTIF($F$6:INDEX($F:$F, ROW()-1), $F538)) : INDEX(AB:AB, ROW()-1)
   )
   /SUM(INDEX(AB:AB, ROW()-COUNTIF($F$6:INDEX($F:$F, ROW()-1), $F538)) : INDEX(AB:AB, ROW()-1)),
          _xlfn.MINIFS(unit_details[Asking Rent],
          unit_details[Active Listing?],TRUE,
          unit_details[Property Name], $F539,
          unit_details[Beds], $L539,
          unit_details[Baths], $M539,
          unit_details[Partial Baths], IF(ISNUMBER($N539),$N539,""),
          unit_details[Sqft],$P539
))),"")</f>
        <v/>
      </c>
      <c r="AE539" s="5" t="str">
        <f>IFERROR(IF($F539="Total",
          SUMPRODUCT(
   INDEX(AE:AE, ROW()-COUNTIF($F$6:INDEX($F:$F, ROW()-1), $F538)) : INDEX(AE:AE, ROW()-1),
   INDEX(AB:AB, ROW()-COUNTIF($F$6:INDEX($F:$F, ROW()-1), $F538)) : INDEX(AB:AB, ROW()-1)
   )
   /SUM(INDEX(AB:AB, ROW()-COUNTIF($F$6:INDEX($F:$F, ROW()-1), $F538)) : INDEX(AB:AB, ROW()-1)),
          AVERAGEIFS(unit_details[Asking Rent],
          unit_details[Active Listing?],TRUE,
          unit_details[Property Name], $F539,
          unit_details[Beds], $L539,
          unit_details[Baths], $M539,
          unit_details[Partial Baths], IF(ISNUMBER($N539),$N539,""),
          unit_details[Sqft],$P539
)),"")</f>
        <v/>
      </c>
      <c r="AF539" s="5" t="str">
        <f>IFERROR(IF(AE539="","",IF($F539="Total",
SUMPRODUCT(
   INDEX(AF:AF, ROW()-COUNTIF($F$6:INDEX($F:$F, ROW()-1), $F538)) : INDEX(AF:AF, ROW()-1),
   INDEX(AB:AB, ROW()-COUNTIF($F$6:INDEX($F:$F, ROW()-1), $F538)) : INDEX(AB:AB, ROW()-1)
   )
   /SUM(INDEX(AB:AB, ROW()-COUNTIF($F$6:INDEX($F:$F, ROW()-1), $F538)) : INDEX(AB:AB, ROW()-1)),
           _xlfn.MAXIFS(unit_details[Asking Rent],
          unit_details[Active Listing?],TRUE,
          unit_details[Property Name], $F539,
          unit_details[Beds], $L539,
          unit_details[Baths], $M539,
          unit_details[Partial Baths], IF(ISNUMBER($N539),$N539,""),
          unit_details[Sqft],$P539
))),"")</f>
        <v/>
      </c>
      <c r="AG539" s="6" t="str">
        <f>IFERROR(IF($F539="Total",
         SUMPRODUCT(
         INDEX(AG:AG, ROW()-COUNTIF($F$6:INDEX($F:$F, ROW()-1), $F538)) : INDEX(AG:AG, ROW()-1),
         INDEX(AB:AB, ROW()-COUNTIF($F$6:INDEX($F:$F, ROW()-1), $F538)) : INDEX(AB:AB, ROW()-1)
         )
         /SUM(INDEX(AB:AB, ROW()-COUNTIF($F$6:INDEX($F:$F, ROW()-1), $F538)) : INDEX(AB:AB, ROW()-1)),
          AVERAGEIFS(unit_details[Asking PSF],
          unit_details[Active Listing?],TRUE,
          unit_details[Property Name], $F539,
          unit_details[Beds], $L539,
          unit_details[Baths], $M539,
          unit_details[Partial Baths], IF(ISNUMBER($N539),$N539,""),
          unit_details[Sqft],$P539
)),"")</f>
        <v/>
      </c>
      <c r="AH539" s="293" t="str">
        <f>IFERROR(IF($F539="Total",
         SUMPRODUCT(
         INDEX(AH:AH, ROW()-COUNTIF($F$6:INDEX($F:$F, ROW()-1), $F538)) : INDEX(AH:AH, ROW()-1),
         INDEX(AB:AB, ROW()-COUNTIF($F$6:INDEX($F:$F, ROW()-1), $F538)) : INDEX(AB:AB, ROW()-1)
         )
         /SUM(INDEX(AB:AB, ROW()-COUNTIF($F$6:INDEX($F:$F, ROW()-1), $F538)) : INDEX(AB:AB, ROW()-1)),
          AVERAGEIFS(unit_details[Effective Rent],
          unit_details[Active Listing?],TRUE,
          unit_details[Property Name], $F539,
          unit_details[Beds], $L539,
          unit_details[Baths], $M539,
          unit_details[Partial Baths], IF(ISNUMBER($N539),$N539,""),
          unit_details[Sqft],$P539
)),"")</f>
        <v/>
      </c>
      <c r="AI539" s="6" t="str">
        <f>IFERROR(IF($F539="Total",
         SUMPRODUCT(
         INDEX(AI:AI, ROW()-COUNTIF($F$6:INDEX($F:$F, ROW()-1), $F538)) : INDEX(AI:AI, ROW()-1),
         INDEX(AB:AB, ROW()-COUNTIF($F$6:INDEX($F:$F, ROW()-1), $F538)) : INDEX(AB:AB, ROW()-1)
         )
         /SUM(INDEX(AB:AB, ROW()-COUNTIF($F$6:INDEX($F:$F, ROW()-1), $F538)) : INDEX(AB:AB, ROW()-1)),
           AVERAGEIFS(unit_details[Effective PSF],
          unit_details[Active Listing?],TRUE,
          unit_details[Property Name], $F539,
          unit_details[Beds], $L539,
          unit_details[Baths], $M539,
          unit_details[Partial Baths], IF(ISNUMBER($N539),$N539,""),
          unit_details[Sqft],$P539
)),"")</f>
        <v/>
      </c>
      <c r="AJ539" s="824" t="str">
        <f t="shared" si="92"/>
        <v/>
      </c>
      <c r="AK539" s="531" t="str">
        <f t="shared" si="93"/>
        <v/>
      </c>
      <c r="AL539" s="714" t="str">
        <f t="shared" si="94"/>
        <v/>
      </c>
      <c r="AM539" s="531" t="str">
        <f t="shared" si="95"/>
        <v/>
      </c>
      <c r="AN539" s="716" t="str">
        <f t="shared" si="96"/>
        <v/>
      </c>
    </row>
    <row r="540" spans="6:40" x14ac:dyDescent="0.2">
      <c r="F540" s="1" t="str">
        <f t="shared" si="89"/>
        <v/>
      </c>
      <c r="G540" s="713" t="str">
        <f t="shared" si="97"/>
        <v/>
      </c>
      <c r="H540" s="17" t="str">
        <f>IFERROR(VLOOKUP($G540,Table1[[Property]:[Exposure %]],4,0),"")</f>
        <v/>
      </c>
      <c r="I540" s="3" t="str">
        <f>IFERROR(VLOOKUP($G540,Table1[[Property]:[Exposure %]],6,0),"")</f>
        <v/>
      </c>
      <c r="J540" s="3" t="str">
        <f>IFERROR(VLOOKUP($G540,Table1[[Property]:[Exposure %]],7,0),"")</f>
        <v/>
      </c>
      <c r="R540" s="4" t="str">
        <f>IFERROR(VLOOKUP(IF(F540="Total",F539,F540),Table1[[Property]:['# Units]],7,0)*S540,"")</f>
        <v/>
      </c>
      <c r="S540" s="27" t="str">
        <f t="shared" si="90"/>
        <v/>
      </c>
      <c r="T540" s="531" t="str">
        <f>IFERROR(
 IF($F540="Total",
   SUMPRODUCT(
   INDEX(T:T, ROW()-COUNTIF($F$6:INDEX($F:$F, ROW()-1), $F539)) : INDEX(T:T, ROW()-1),
   INDEX(W:W, ROW()-COUNTIF($F$6:INDEX($F:$F, ROW()-1), $F539)) : INDEX(W:W, ROW()-1)
   )
   /SUM(INDEX(W:W, ROW()-COUNTIF($F$6:INDEX($F:$F, ROW()-1), $F539)) : INDEX(W:W, ROW()-1)),
   AVERAGEIFS(
     INDEX((unit_details[Asking Rent],unit_details[Asking PSF]),0,1,IF($U$3="Chunk Rent",1,2)),
     unit_details[Leased Date],"&gt;="&amp;($AM$2-T$5),
     unit_details[Leased Date],"&lt;"&amp;$AM$2,
     unit_details[Beds],$L540,
     unit_details[Baths],$M540,
     unit_details[Partial Baths],IF(ISNUMBER($N540),$N540,""),
     unit_details[Sqft],$P540,
     unit_details[Property Name],$F540)
 ),"")</f>
        <v/>
      </c>
      <c r="U540" s="552" t="str">
        <f>IFERROR(
 IF($F540="Total",
   SUMPRODUCT(
   INDEX(U:U, ROW()-COUNTIF($F$6:INDEX($F:$F, ROW()-1), $F539)) : INDEX(U:U, ROW()-1),
   INDEX(W:W, ROW()-COUNTIF($F$6:INDEX($F:$F, ROW()-1), $F539)) : INDEX(W:W, ROW()-1)
   )
   /SUM(INDEX(W:W, ROW()-COUNTIF($F$6:INDEX($F:$F, ROW()-1), $F539)) : INDEX(W:W, ROW()-1)),
   AVERAGEIFS(
     INDEX((unit_details[Effective Rent],unit_details[Effective PSF]),0,1,IF($U$3="Chunk Rent",1,2)),
     unit_details[Leased Date],"&gt;="&amp;($AM$2-T$5),
     unit_details[Leased Date],"&lt;"&amp;$AM$2,
     unit_details[Beds],$L540,
     unit_details[Baths],$M540,
     unit_details[Partial Baths],IF(ISNUMBER($N540),$N540,""),
     unit_details[Sqft],$P540,
     unit_details[Property Name],$F540)
 ),"")</f>
        <v/>
      </c>
      <c r="V540" s="27" t="str">
        <f t="shared" si="98"/>
        <v/>
      </c>
      <c r="W540" s="526">
        <f>IFERROR(
  IF($F540="Total",
    SUM(INDEX(W:W, ROW()-COUNTIF($F$6:INDEX($F:$F, ROW()-1), $F539)) : INDEX(W:W, ROW()-1)),
    COUNTIFS(
      unit_details[Leased Date], "&gt;="&amp;($AM$2-T$5),
      unit_details[Leased Date], "&lt;"&amp;$AM$2,
      unit_details[Beds], $L540,
      unit_details[Baths], $M540,
      unit_details[Partial Baths], IF(ISNUMBER($N540), $N540, ""),
      unit_details[Sqft],$P540,
      unit_details[Property Name], $F540
    )
  ),
"")</f>
        <v>0</v>
      </c>
      <c r="X540" s="531" t="str">
        <f>IFERROR(
 IF($F540="Total",
   SUMPRODUCT(
   INDEX(X:X, ROW()-COUNTIF($F$6:INDEX($F:$F, ROW()-1), $F539)) : INDEX(X:X, ROW()-1),
   INDEX(AA:AA, ROW()-COUNTIF($F$6:INDEX($F:$F, ROW()-1), $F539)) : INDEX(AA:AA, ROW()-1)
   )
   /SUM(INDEX(AA:AA, ROW()-COUNTIF($F$6:INDEX($F:$F, ROW()-1), $F539)) : INDEX(AA:AA, ROW()-1)),
   AVERAGEIFS(
     INDEX((unit_details[Asking Rent],unit_details[Asking PSF]),0,1,IF($U$3="Chunk Rent",1,2)),
     unit_details[Leased Date],"&gt;="&amp;($AM$2-X$5),
     unit_details[Leased Date],"&lt;"&amp;$AM$2,
     unit_details[Beds],$L540,
     unit_details[Baths],$M540,
     unit_details[Partial Baths],IF(ISNUMBER($N540),$N540,""),
     unit_details[Sqft],$P540,
     unit_details[Property Name],$F540)
 ),"")</f>
        <v/>
      </c>
      <c r="Y540" s="552" t="str">
        <f>IFERROR(
 IF($F540="Total",
   SUMPRODUCT(
   INDEX(Y:Y, ROW()-COUNTIF($F$6:INDEX($F:$F, ROW()-1), $F539)) : INDEX(Y:Y, ROW()-1),
   INDEX(AA:AA, ROW()-COUNTIF($F$6:INDEX($F:$F, ROW()-1), $F539)) : INDEX(AA:AA, ROW()-1)
   )
   /SUM(INDEX(AA:AA, ROW()-COUNTIF($F$6:INDEX($F:$F, ROW()-1), $F539)) : INDEX(AA:AA, ROW()-1)),
   AVERAGEIFS(
     INDEX((unit_details[Effective Rent],unit_details[Effective PSF]),0,1,IF($U$3="Chunk Rent",1,2)),
     unit_details[Leased Date],"&gt;="&amp;($AM$2-X$5),
     unit_details[Leased Date],"&lt;"&amp;$AM$2,
     unit_details[Beds],$L540,
     unit_details[Baths],$M540,
     unit_details[Partial Baths],IF(ISNUMBER($N540),$N540,""),
     unit_details[Sqft],$P540,
     unit_details[Property Name],$F540)
 ),"")</f>
        <v/>
      </c>
      <c r="Z540" s="27" t="str">
        <f t="shared" si="99"/>
        <v/>
      </c>
      <c r="AA540" s="526">
        <f>IFERROR(
  IF($F540="Total",
    SUM(INDEX(AA:AA, ROW()-COUNTIF($F$6:INDEX($F:$F, ROW()-1), $F539)) : INDEX(AA:AA, ROW()-1)),
    COUNTIFS(
      unit_details[Leased Date], "&gt;="&amp;($AM$2-X$5),
      unit_details[Leased Date], "&lt;"&amp;$AM$2,
      unit_details[Beds], $L540,
      unit_details[Baths], $M540,
      unit_details[Partial Baths], IF(ISNUMBER($N540), $N540, ""),
      unit_details[Sqft],$P540,
      unit_details[Property Name], $F540
    )
  ),
"")</f>
        <v>0</v>
      </c>
      <c r="AB540" s="290">
        <f>IF($F540="Total",
SUM(INDEX(AB:AB, ROW()-COUNTIF($F$6:INDEX($F:$F, ROW()-1), $F539)) : INDEX(AB:AB, ROW()-1)),
COUNTIFS(unit_details[Active Listing?],TRUE,
          unit_details[Property Name], $F540,
          unit_details[Beds], $L540,
          unit_details[Baths], $M540,
          unit_details[Partial Baths],IF(ISNUMBER($N540),$N540,""),
          unit_details[Sqft],$P540))</f>
        <v>0</v>
      </c>
      <c r="AC540" s="27" t="str">
        <f t="shared" si="91"/>
        <v/>
      </c>
      <c r="AD540" s="293" t="str">
        <f>IFERROR(IF(AE540="","",IF($F540="Total",
SUMPRODUCT(
   INDEX(AD:AD, ROW()-COUNTIF($F$6:INDEX($F:$F, ROW()-1), $F539)) : INDEX(AD:AD, ROW()-1),
   INDEX(AB:AB, ROW()-COUNTIF($F$6:INDEX($F:$F, ROW()-1), $F539)) : INDEX(AB:AB, ROW()-1)
   )
   /SUM(INDEX(AB:AB, ROW()-COUNTIF($F$6:INDEX($F:$F, ROW()-1), $F539)) : INDEX(AB:AB, ROW()-1)),
          _xlfn.MINIFS(unit_details[Asking Rent],
          unit_details[Active Listing?],TRUE,
          unit_details[Property Name], $F540,
          unit_details[Beds], $L540,
          unit_details[Baths], $M540,
          unit_details[Partial Baths], IF(ISNUMBER($N540),$N540,""),
          unit_details[Sqft],$P540
))),"")</f>
        <v/>
      </c>
      <c r="AE540" s="5" t="str">
        <f>IFERROR(IF($F540="Total",
          SUMPRODUCT(
   INDEX(AE:AE, ROW()-COUNTIF($F$6:INDEX($F:$F, ROW()-1), $F539)) : INDEX(AE:AE, ROW()-1),
   INDEX(AB:AB, ROW()-COUNTIF($F$6:INDEX($F:$F, ROW()-1), $F539)) : INDEX(AB:AB, ROW()-1)
   )
   /SUM(INDEX(AB:AB, ROW()-COUNTIF($F$6:INDEX($F:$F, ROW()-1), $F539)) : INDEX(AB:AB, ROW()-1)),
          AVERAGEIFS(unit_details[Asking Rent],
          unit_details[Active Listing?],TRUE,
          unit_details[Property Name], $F540,
          unit_details[Beds], $L540,
          unit_details[Baths], $M540,
          unit_details[Partial Baths], IF(ISNUMBER($N540),$N540,""),
          unit_details[Sqft],$P540
)),"")</f>
        <v/>
      </c>
      <c r="AF540" s="5" t="str">
        <f>IFERROR(IF(AE540="","",IF($F540="Total",
SUMPRODUCT(
   INDEX(AF:AF, ROW()-COUNTIF($F$6:INDEX($F:$F, ROW()-1), $F539)) : INDEX(AF:AF, ROW()-1),
   INDEX(AB:AB, ROW()-COUNTIF($F$6:INDEX($F:$F, ROW()-1), $F539)) : INDEX(AB:AB, ROW()-1)
   )
   /SUM(INDEX(AB:AB, ROW()-COUNTIF($F$6:INDEX($F:$F, ROW()-1), $F539)) : INDEX(AB:AB, ROW()-1)),
           _xlfn.MAXIFS(unit_details[Asking Rent],
          unit_details[Active Listing?],TRUE,
          unit_details[Property Name], $F540,
          unit_details[Beds], $L540,
          unit_details[Baths], $M540,
          unit_details[Partial Baths], IF(ISNUMBER($N540),$N540,""),
          unit_details[Sqft],$P540
))),"")</f>
        <v/>
      </c>
      <c r="AG540" s="6" t="str">
        <f>IFERROR(IF($F540="Total",
         SUMPRODUCT(
         INDEX(AG:AG, ROW()-COUNTIF($F$6:INDEX($F:$F, ROW()-1), $F539)) : INDEX(AG:AG, ROW()-1),
         INDEX(AB:AB, ROW()-COUNTIF($F$6:INDEX($F:$F, ROW()-1), $F539)) : INDEX(AB:AB, ROW()-1)
         )
         /SUM(INDEX(AB:AB, ROW()-COUNTIF($F$6:INDEX($F:$F, ROW()-1), $F539)) : INDEX(AB:AB, ROW()-1)),
          AVERAGEIFS(unit_details[Asking PSF],
          unit_details[Active Listing?],TRUE,
          unit_details[Property Name], $F540,
          unit_details[Beds], $L540,
          unit_details[Baths], $M540,
          unit_details[Partial Baths], IF(ISNUMBER($N540),$N540,""),
          unit_details[Sqft],$P540
)),"")</f>
        <v/>
      </c>
      <c r="AH540" s="293" t="str">
        <f>IFERROR(IF($F540="Total",
         SUMPRODUCT(
         INDEX(AH:AH, ROW()-COUNTIF($F$6:INDEX($F:$F, ROW()-1), $F539)) : INDEX(AH:AH, ROW()-1),
         INDEX(AB:AB, ROW()-COUNTIF($F$6:INDEX($F:$F, ROW()-1), $F539)) : INDEX(AB:AB, ROW()-1)
         )
         /SUM(INDEX(AB:AB, ROW()-COUNTIF($F$6:INDEX($F:$F, ROW()-1), $F539)) : INDEX(AB:AB, ROW()-1)),
          AVERAGEIFS(unit_details[Effective Rent],
          unit_details[Active Listing?],TRUE,
          unit_details[Property Name], $F540,
          unit_details[Beds], $L540,
          unit_details[Baths], $M540,
          unit_details[Partial Baths], IF(ISNUMBER($N540),$N540,""),
          unit_details[Sqft],$P540
)),"")</f>
        <v/>
      </c>
      <c r="AI540" s="6" t="str">
        <f>IFERROR(IF($F540="Total",
         SUMPRODUCT(
         INDEX(AI:AI, ROW()-COUNTIF($F$6:INDEX($F:$F, ROW()-1), $F539)) : INDEX(AI:AI, ROW()-1),
         INDEX(AB:AB, ROW()-COUNTIF($F$6:INDEX($F:$F, ROW()-1), $F539)) : INDEX(AB:AB, ROW()-1)
         )
         /SUM(INDEX(AB:AB, ROW()-COUNTIF($F$6:INDEX($F:$F, ROW()-1), $F539)) : INDEX(AB:AB, ROW()-1)),
           AVERAGEIFS(unit_details[Effective PSF],
          unit_details[Active Listing?],TRUE,
          unit_details[Property Name], $F540,
          unit_details[Beds], $L540,
          unit_details[Baths], $M540,
          unit_details[Partial Baths], IF(ISNUMBER($N540),$N540,""),
          unit_details[Sqft],$P540
)),"")</f>
        <v/>
      </c>
      <c r="AJ540" s="824" t="str">
        <f t="shared" si="92"/>
        <v/>
      </c>
      <c r="AK540" s="531" t="str">
        <f t="shared" si="93"/>
        <v/>
      </c>
      <c r="AL540" s="714" t="str">
        <f t="shared" si="94"/>
        <v/>
      </c>
      <c r="AM540" s="531" t="str">
        <f t="shared" si="95"/>
        <v/>
      </c>
      <c r="AN540" s="716" t="str">
        <f t="shared" si="96"/>
        <v/>
      </c>
    </row>
    <row r="541" spans="6:40" x14ac:dyDescent="0.2">
      <c r="F541" s="1" t="str">
        <f t="shared" si="89"/>
        <v/>
      </c>
      <c r="G541" s="713" t="str">
        <f t="shared" si="97"/>
        <v/>
      </c>
      <c r="H541" s="17" t="str">
        <f>IFERROR(VLOOKUP($G541,Table1[[Property]:[Exposure %]],4,0),"")</f>
        <v/>
      </c>
      <c r="I541" s="3" t="str">
        <f>IFERROR(VLOOKUP($G541,Table1[[Property]:[Exposure %]],6,0),"")</f>
        <v/>
      </c>
      <c r="J541" s="3" t="str">
        <f>IFERROR(VLOOKUP($G541,Table1[[Property]:[Exposure %]],7,0),"")</f>
        <v/>
      </c>
      <c r="R541" s="4" t="str">
        <f>IFERROR(VLOOKUP(IF(F541="Total",F540,F541),Table1[[Property]:['# Units]],7,0)*S541,"")</f>
        <v/>
      </c>
      <c r="S541" s="27" t="str">
        <f t="shared" si="90"/>
        <v/>
      </c>
      <c r="T541" s="531" t="str">
        <f>IFERROR(
 IF($F541="Total",
   SUMPRODUCT(
   INDEX(T:T, ROW()-COUNTIF($F$6:INDEX($F:$F, ROW()-1), $F540)) : INDEX(T:T, ROW()-1),
   INDEX(W:W, ROW()-COUNTIF($F$6:INDEX($F:$F, ROW()-1), $F540)) : INDEX(W:W, ROW()-1)
   )
   /SUM(INDEX(W:W, ROW()-COUNTIF($F$6:INDEX($F:$F, ROW()-1), $F540)) : INDEX(W:W, ROW()-1)),
   AVERAGEIFS(
     INDEX((unit_details[Asking Rent],unit_details[Asking PSF]),0,1,IF($U$3="Chunk Rent",1,2)),
     unit_details[Leased Date],"&gt;="&amp;($AM$2-T$5),
     unit_details[Leased Date],"&lt;"&amp;$AM$2,
     unit_details[Beds],$L541,
     unit_details[Baths],$M541,
     unit_details[Partial Baths],IF(ISNUMBER($N541),$N541,""),
     unit_details[Sqft],$P541,
     unit_details[Property Name],$F541)
 ),"")</f>
        <v/>
      </c>
      <c r="U541" s="552" t="str">
        <f>IFERROR(
 IF($F541="Total",
   SUMPRODUCT(
   INDEX(U:U, ROW()-COUNTIF($F$6:INDEX($F:$F, ROW()-1), $F540)) : INDEX(U:U, ROW()-1),
   INDEX(W:W, ROW()-COUNTIF($F$6:INDEX($F:$F, ROW()-1), $F540)) : INDEX(W:W, ROW()-1)
   )
   /SUM(INDEX(W:W, ROW()-COUNTIF($F$6:INDEX($F:$F, ROW()-1), $F540)) : INDEX(W:W, ROW()-1)),
   AVERAGEIFS(
     INDEX((unit_details[Effective Rent],unit_details[Effective PSF]),0,1,IF($U$3="Chunk Rent",1,2)),
     unit_details[Leased Date],"&gt;="&amp;($AM$2-T$5),
     unit_details[Leased Date],"&lt;"&amp;$AM$2,
     unit_details[Beds],$L541,
     unit_details[Baths],$M541,
     unit_details[Partial Baths],IF(ISNUMBER($N541),$N541,""),
     unit_details[Sqft],$P541,
     unit_details[Property Name],$F541)
 ),"")</f>
        <v/>
      </c>
      <c r="V541" s="27" t="str">
        <f t="shared" si="98"/>
        <v/>
      </c>
      <c r="W541" s="526">
        <f>IFERROR(
  IF($F541="Total",
    SUM(INDEX(W:W, ROW()-COUNTIF($F$6:INDEX($F:$F, ROW()-1), $F540)) : INDEX(W:W, ROW()-1)),
    COUNTIFS(
      unit_details[Leased Date], "&gt;="&amp;($AM$2-T$5),
      unit_details[Leased Date], "&lt;"&amp;$AM$2,
      unit_details[Beds], $L541,
      unit_details[Baths], $M541,
      unit_details[Partial Baths], IF(ISNUMBER($N541), $N541, ""),
      unit_details[Sqft],$P541,
      unit_details[Property Name], $F541
    )
  ),
"")</f>
        <v>0</v>
      </c>
      <c r="X541" s="531" t="str">
        <f>IFERROR(
 IF($F541="Total",
   SUMPRODUCT(
   INDEX(X:X, ROW()-COUNTIF($F$6:INDEX($F:$F, ROW()-1), $F540)) : INDEX(X:X, ROW()-1),
   INDEX(AA:AA, ROW()-COUNTIF($F$6:INDEX($F:$F, ROW()-1), $F540)) : INDEX(AA:AA, ROW()-1)
   )
   /SUM(INDEX(AA:AA, ROW()-COUNTIF($F$6:INDEX($F:$F, ROW()-1), $F540)) : INDEX(AA:AA, ROW()-1)),
   AVERAGEIFS(
     INDEX((unit_details[Asking Rent],unit_details[Asking PSF]),0,1,IF($U$3="Chunk Rent",1,2)),
     unit_details[Leased Date],"&gt;="&amp;($AM$2-X$5),
     unit_details[Leased Date],"&lt;"&amp;$AM$2,
     unit_details[Beds],$L541,
     unit_details[Baths],$M541,
     unit_details[Partial Baths],IF(ISNUMBER($N541),$N541,""),
     unit_details[Sqft],$P541,
     unit_details[Property Name],$F541)
 ),"")</f>
        <v/>
      </c>
      <c r="Y541" s="552" t="str">
        <f>IFERROR(
 IF($F541="Total",
   SUMPRODUCT(
   INDEX(Y:Y, ROW()-COUNTIF($F$6:INDEX($F:$F, ROW()-1), $F540)) : INDEX(Y:Y, ROW()-1),
   INDEX(AA:AA, ROW()-COUNTIF($F$6:INDEX($F:$F, ROW()-1), $F540)) : INDEX(AA:AA, ROW()-1)
   )
   /SUM(INDEX(AA:AA, ROW()-COUNTIF($F$6:INDEX($F:$F, ROW()-1), $F540)) : INDEX(AA:AA, ROW()-1)),
   AVERAGEIFS(
     INDEX((unit_details[Effective Rent],unit_details[Effective PSF]),0,1,IF($U$3="Chunk Rent",1,2)),
     unit_details[Leased Date],"&gt;="&amp;($AM$2-X$5),
     unit_details[Leased Date],"&lt;"&amp;$AM$2,
     unit_details[Beds],$L541,
     unit_details[Baths],$M541,
     unit_details[Partial Baths],IF(ISNUMBER($N541),$N541,""),
     unit_details[Sqft],$P541,
     unit_details[Property Name],$F541)
 ),"")</f>
        <v/>
      </c>
      <c r="Z541" s="27" t="str">
        <f t="shared" si="99"/>
        <v/>
      </c>
      <c r="AA541" s="526">
        <f>IFERROR(
  IF($F541="Total",
    SUM(INDEX(AA:AA, ROW()-COUNTIF($F$6:INDEX($F:$F, ROW()-1), $F540)) : INDEX(AA:AA, ROW()-1)),
    COUNTIFS(
      unit_details[Leased Date], "&gt;="&amp;($AM$2-X$5),
      unit_details[Leased Date], "&lt;"&amp;$AM$2,
      unit_details[Beds], $L541,
      unit_details[Baths], $M541,
      unit_details[Partial Baths], IF(ISNUMBER($N541), $N541, ""),
      unit_details[Sqft],$P541,
      unit_details[Property Name], $F541
    )
  ),
"")</f>
        <v>0</v>
      </c>
      <c r="AB541" s="290">
        <f>IF($F541="Total",
SUM(INDEX(AB:AB, ROW()-COUNTIF($F$6:INDEX($F:$F, ROW()-1), $F540)) : INDEX(AB:AB, ROW()-1)),
COUNTIFS(unit_details[Active Listing?],TRUE,
          unit_details[Property Name], $F541,
          unit_details[Beds], $L541,
          unit_details[Baths], $M541,
          unit_details[Partial Baths],IF(ISNUMBER($N541),$N541,""),
          unit_details[Sqft],$P541))</f>
        <v>0</v>
      </c>
      <c r="AC541" s="27" t="str">
        <f t="shared" si="91"/>
        <v/>
      </c>
      <c r="AD541" s="293" t="str">
        <f>IFERROR(IF(AE541="","",IF($F541="Total",
SUMPRODUCT(
   INDEX(AD:AD, ROW()-COUNTIF($F$6:INDEX($F:$F, ROW()-1), $F540)) : INDEX(AD:AD, ROW()-1),
   INDEX(AB:AB, ROW()-COUNTIF($F$6:INDEX($F:$F, ROW()-1), $F540)) : INDEX(AB:AB, ROW()-1)
   )
   /SUM(INDEX(AB:AB, ROW()-COUNTIF($F$6:INDEX($F:$F, ROW()-1), $F540)) : INDEX(AB:AB, ROW()-1)),
          _xlfn.MINIFS(unit_details[Asking Rent],
          unit_details[Active Listing?],TRUE,
          unit_details[Property Name], $F541,
          unit_details[Beds], $L541,
          unit_details[Baths], $M541,
          unit_details[Partial Baths], IF(ISNUMBER($N541),$N541,""),
          unit_details[Sqft],$P541
))),"")</f>
        <v/>
      </c>
      <c r="AE541" s="5" t="str">
        <f>IFERROR(IF($F541="Total",
          SUMPRODUCT(
   INDEX(AE:AE, ROW()-COUNTIF($F$6:INDEX($F:$F, ROW()-1), $F540)) : INDEX(AE:AE, ROW()-1),
   INDEX(AB:AB, ROW()-COUNTIF($F$6:INDEX($F:$F, ROW()-1), $F540)) : INDEX(AB:AB, ROW()-1)
   )
   /SUM(INDEX(AB:AB, ROW()-COUNTIF($F$6:INDEX($F:$F, ROW()-1), $F540)) : INDEX(AB:AB, ROW()-1)),
          AVERAGEIFS(unit_details[Asking Rent],
          unit_details[Active Listing?],TRUE,
          unit_details[Property Name], $F541,
          unit_details[Beds], $L541,
          unit_details[Baths], $M541,
          unit_details[Partial Baths], IF(ISNUMBER($N541),$N541,""),
          unit_details[Sqft],$P541
)),"")</f>
        <v/>
      </c>
      <c r="AF541" s="5" t="str">
        <f>IFERROR(IF(AE541="","",IF($F541="Total",
SUMPRODUCT(
   INDEX(AF:AF, ROW()-COUNTIF($F$6:INDEX($F:$F, ROW()-1), $F540)) : INDEX(AF:AF, ROW()-1),
   INDEX(AB:AB, ROW()-COUNTIF($F$6:INDEX($F:$F, ROW()-1), $F540)) : INDEX(AB:AB, ROW()-1)
   )
   /SUM(INDEX(AB:AB, ROW()-COUNTIF($F$6:INDEX($F:$F, ROW()-1), $F540)) : INDEX(AB:AB, ROW()-1)),
           _xlfn.MAXIFS(unit_details[Asking Rent],
          unit_details[Active Listing?],TRUE,
          unit_details[Property Name], $F541,
          unit_details[Beds], $L541,
          unit_details[Baths], $M541,
          unit_details[Partial Baths], IF(ISNUMBER($N541),$N541,""),
          unit_details[Sqft],$P541
))),"")</f>
        <v/>
      </c>
      <c r="AG541" s="6" t="str">
        <f>IFERROR(IF($F541="Total",
         SUMPRODUCT(
         INDEX(AG:AG, ROW()-COUNTIF($F$6:INDEX($F:$F, ROW()-1), $F540)) : INDEX(AG:AG, ROW()-1),
         INDEX(AB:AB, ROW()-COUNTIF($F$6:INDEX($F:$F, ROW()-1), $F540)) : INDEX(AB:AB, ROW()-1)
         )
         /SUM(INDEX(AB:AB, ROW()-COUNTIF($F$6:INDEX($F:$F, ROW()-1), $F540)) : INDEX(AB:AB, ROW()-1)),
          AVERAGEIFS(unit_details[Asking PSF],
          unit_details[Active Listing?],TRUE,
          unit_details[Property Name], $F541,
          unit_details[Beds], $L541,
          unit_details[Baths], $M541,
          unit_details[Partial Baths], IF(ISNUMBER($N541),$N541,""),
          unit_details[Sqft],$P541
)),"")</f>
        <v/>
      </c>
      <c r="AH541" s="293" t="str">
        <f>IFERROR(IF($F541="Total",
         SUMPRODUCT(
         INDEX(AH:AH, ROW()-COUNTIF($F$6:INDEX($F:$F, ROW()-1), $F540)) : INDEX(AH:AH, ROW()-1),
         INDEX(AB:AB, ROW()-COUNTIF($F$6:INDEX($F:$F, ROW()-1), $F540)) : INDEX(AB:AB, ROW()-1)
         )
         /SUM(INDEX(AB:AB, ROW()-COUNTIF($F$6:INDEX($F:$F, ROW()-1), $F540)) : INDEX(AB:AB, ROW()-1)),
          AVERAGEIFS(unit_details[Effective Rent],
          unit_details[Active Listing?],TRUE,
          unit_details[Property Name], $F541,
          unit_details[Beds], $L541,
          unit_details[Baths], $M541,
          unit_details[Partial Baths], IF(ISNUMBER($N541),$N541,""),
          unit_details[Sqft],$P541
)),"")</f>
        <v/>
      </c>
      <c r="AI541" s="6" t="str">
        <f>IFERROR(IF($F541="Total",
         SUMPRODUCT(
         INDEX(AI:AI, ROW()-COUNTIF($F$6:INDEX($F:$F, ROW()-1), $F540)) : INDEX(AI:AI, ROW()-1),
         INDEX(AB:AB, ROW()-COUNTIF($F$6:INDEX($F:$F, ROW()-1), $F540)) : INDEX(AB:AB, ROW()-1)
         )
         /SUM(INDEX(AB:AB, ROW()-COUNTIF($F$6:INDEX($F:$F, ROW()-1), $F540)) : INDEX(AB:AB, ROW()-1)),
           AVERAGEIFS(unit_details[Effective PSF],
          unit_details[Active Listing?],TRUE,
          unit_details[Property Name], $F541,
          unit_details[Beds], $L541,
          unit_details[Baths], $M541,
          unit_details[Partial Baths], IF(ISNUMBER($N541),$N541,""),
          unit_details[Sqft],$P541
)),"")</f>
        <v/>
      </c>
      <c r="AJ541" s="824" t="str">
        <f t="shared" si="92"/>
        <v/>
      </c>
      <c r="AK541" s="531" t="str">
        <f t="shared" si="93"/>
        <v/>
      </c>
      <c r="AL541" s="714" t="str">
        <f t="shared" si="94"/>
        <v/>
      </c>
      <c r="AM541" s="531" t="str">
        <f t="shared" si="95"/>
        <v/>
      </c>
      <c r="AN541" s="716" t="str">
        <f t="shared" si="96"/>
        <v/>
      </c>
    </row>
    <row r="542" spans="6:40" x14ac:dyDescent="0.2">
      <c r="F542" s="1" t="str">
        <f t="shared" si="89"/>
        <v/>
      </c>
      <c r="G542" s="713" t="str">
        <f t="shared" si="97"/>
        <v/>
      </c>
      <c r="H542" s="17" t="str">
        <f>IFERROR(VLOOKUP($G542,Table1[[Property]:[Exposure %]],4,0),"")</f>
        <v/>
      </c>
      <c r="I542" s="3" t="str">
        <f>IFERROR(VLOOKUP($G542,Table1[[Property]:[Exposure %]],6,0),"")</f>
        <v/>
      </c>
      <c r="J542" s="3" t="str">
        <f>IFERROR(VLOOKUP($G542,Table1[[Property]:[Exposure %]],7,0),"")</f>
        <v/>
      </c>
      <c r="R542" s="4" t="str">
        <f>IFERROR(VLOOKUP(IF(F542="Total",F541,F542),Table1[[Property]:['# Units]],7,0)*S542,"")</f>
        <v/>
      </c>
      <c r="S542" s="27" t="str">
        <f t="shared" si="90"/>
        <v/>
      </c>
      <c r="T542" s="531" t="str">
        <f>IFERROR(
 IF($F542="Total",
   SUMPRODUCT(
   INDEX(T:T, ROW()-COUNTIF($F$6:INDEX($F:$F, ROW()-1), $F541)) : INDEX(T:T, ROW()-1),
   INDEX(W:W, ROW()-COUNTIF($F$6:INDEX($F:$F, ROW()-1), $F541)) : INDEX(W:W, ROW()-1)
   )
   /SUM(INDEX(W:W, ROW()-COUNTIF($F$6:INDEX($F:$F, ROW()-1), $F541)) : INDEX(W:W, ROW()-1)),
   AVERAGEIFS(
     INDEX((unit_details[Asking Rent],unit_details[Asking PSF]),0,1,IF($U$3="Chunk Rent",1,2)),
     unit_details[Leased Date],"&gt;="&amp;($AM$2-T$5),
     unit_details[Leased Date],"&lt;"&amp;$AM$2,
     unit_details[Beds],$L542,
     unit_details[Baths],$M542,
     unit_details[Partial Baths],IF(ISNUMBER($N542),$N542,""),
     unit_details[Sqft],$P542,
     unit_details[Property Name],$F542)
 ),"")</f>
        <v/>
      </c>
      <c r="U542" s="552" t="str">
        <f>IFERROR(
 IF($F542="Total",
   SUMPRODUCT(
   INDEX(U:U, ROW()-COUNTIF($F$6:INDEX($F:$F, ROW()-1), $F541)) : INDEX(U:U, ROW()-1),
   INDEX(W:W, ROW()-COUNTIF($F$6:INDEX($F:$F, ROW()-1), $F541)) : INDEX(W:W, ROW()-1)
   )
   /SUM(INDEX(W:W, ROW()-COUNTIF($F$6:INDEX($F:$F, ROW()-1), $F541)) : INDEX(W:W, ROW()-1)),
   AVERAGEIFS(
     INDEX((unit_details[Effective Rent],unit_details[Effective PSF]),0,1,IF($U$3="Chunk Rent",1,2)),
     unit_details[Leased Date],"&gt;="&amp;($AM$2-T$5),
     unit_details[Leased Date],"&lt;"&amp;$AM$2,
     unit_details[Beds],$L542,
     unit_details[Baths],$M542,
     unit_details[Partial Baths],IF(ISNUMBER($N542),$N542,""),
     unit_details[Sqft],$P542,
     unit_details[Property Name],$F542)
 ),"")</f>
        <v/>
      </c>
      <c r="V542" s="27" t="str">
        <f t="shared" si="98"/>
        <v/>
      </c>
      <c r="W542" s="526">
        <f>IFERROR(
  IF($F542="Total",
    SUM(INDEX(W:W, ROW()-COUNTIF($F$6:INDEX($F:$F, ROW()-1), $F541)) : INDEX(W:W, ROW()-1)),
    COUNTIFS(
      unit_details[Leased Date], "&gt;="&amp;($AM$2-T$5),
      unit_details[Leased Date], "&lt;"&amp;$AM$2,
      unit_details[Beds], $L542,
      unit_details[Baths], $M542,
      unit_details[Partial Baths], IF(ISNUMBER($N542), $N542, ""),
      unit_details[Sqft],$P542,
      unit_details[Property Name], $F542
    )
  ),
"")</f>
        <v>0</v>
      </c>
      <c r="X542" s="531" t="str">
        <f>IFERROR(
 IF($F542="Total",
   SUMPRODUCT(
   INDEX(X:X, ROW()-COUNTIF($F$6:INDEX($F:$F, ROW()-1), $F541)) : INDEX(X:X, ROW()-1),
   INDEX(AA:AA, ROW()-COUNTIF($F$6:INDEX($F:$F, ROW()-1), $F541)) : INDEX(AA:AA, ROW()-1)
   )
   /SUM(INDEX(AA:AA, ROW()-COUNTIF($F$6:INDEX($F:$F, ROW()-1), $F541)) : INDEX(AA:AA, ROW()-1)),
   AVERAGEIFS(
     INDEX((unit_details[Asking Rent],unit_details[Asking PSF]),0,1,IF($U$3="Chunk Rent",1,2)),
     unit_details[Leased Date],"&gt;="&amp;($AM$2-X$5),
     unit_details[Leased Date],"&lt;"&amp;$AM$2,
     unit_details[Beds],$L542,
     unit_details[Baths],$M542,
     unit_details[Partial Baths],IF(ISNUMBER($N542),$N542,""),
     unit_details[Sqft],$P542,
     unit_details[Property Name],$F542)
 ),"")</f>
        <v/>
      </c>
      <c r="Y542" s="552" t="str">
        <f>IFERROR(
 IF($F542="Total",
   SUMPRODUCT(
   INDEX(Y:Y, ROW()-COUNTIF($F$6:INDEX($F:$F, ROW()-1), $F541)) : INDEX(Y:Y, ROW()-1),
   INDEX(AA:AA, ROW()-COUNTIF($F$6:INDEX($F:$F, ROW()-1), $F541)) : INDEX(AA:AA, ROW()-1)
   )
   /SUM(INDEX(AA:AA, ROW()-COUNTIF($F$6:INDEX($F:$F, ROW()-1), $F541)) : INDEX(AA:AA, ROW()-1)),
   AVERAGEIFS(
     INDEX((unit_details[Effective Rent],unit_details[Effective PSF]),0,1,IF($U$3="Chunk Rent",1,2)),
     unit_details[Leased Date],"&gt;="&amp;($AM$2-X$5),
     unit_details[Leased Date],"&lt;"&amp;$AM$2,
     unit_details[Beds],$L542,
     unit_details[Baths],$M542,
     unit_details[Partial Baths],IF(ISNUMBER($N542),$N542,""),
     unit_details[Sqft],$P542,
     unit_details[Property Name],$F542)
 ),"")</f>
        <v/>
      </c>
      <c r="Z542" s="27" t="str">
        <f t="shared" si="99"/>
        <v/>
      </c>
      <c r="AA542" s="526">
        <f>IFERROR(
  IF($F542="Total",
    SUM(INDEX(AA:AA, ROW()-COUNTIF($F$6:INDEX($F:$F, ROW()-1), $F541)) : INDEX(AA:AA, ROW()-1)),
    COUNTIFS(
      unit_details[Leased Date], "&gt;="&amp;($AM$2-X$5),
      unit_details[Leased Date], "&lt;"&amp;$AM$2,
      unit_details[Beds], $L542,
      unit_details[Baths], $M542,
      unit_details[Partial Baths], IF(ISNUMBER($N542), $N542, ""),
      unit_details[Sqft],$P542,
      unit_details[Property Name], $F542
    )
  ),
"")</f>
        <v>0</v>
      </c>
      <c r="AB542" s="290">
        <f>IF($F542="Total",
SUM(INDEX(AB:AB, ROW()-COUNTIF($F$6:INDEX($F:$F, ROW()-1), $F541)) : INDEX(AB:AB, ROW()-1)),
COUNTIFS(unit_details[Active Listing?],TRUE,
          unit_details[Property Name], $F542,
          unit_details[Beds], $L542,
          unit_details[Baths], $M542,
          unit_details[Partial Baths],IF(ISNUMBER($N542),$N542,""),
          unit_details[Sqft],$P542))</f>
        <v>0</v>
      </c>
      <c r="AC542" s="27" t="str">
        <f t="shared" si="91"/>
        <v/>
      </c>
      <c r="AD542" s="293" t="str">
        <f>IFERROR(IF(AE542="","",IF($F542="Total",
SUMPRODUCT(
   INDEX(AD:AD, ROW()-COUNTIF($F$6:INDEX($F:$F, ROW()-1), $F541)) : INDEX(AD:AD, ROW()-1),
   INDEX(AB:AB, ROW()-COUNTIF($F$6:INDEX($F:$F, ROW()-1), $F541)) : INDEX(AB:AB, ROW()-1)
   )
   /SUM(INDEX(AB:AB, ROW()-COUNTIF($F$6:INDEX($F:$F, ROW()-1), $F541)) : INDEX(AB:AB, ROW()-1)),
          _xlfn.MINIFS(unit_details[Asking Rent],
          unit_details[Active Listing?],TRUE,
          unit_details[Property Name], $F542,
          unit_details[Beds], $L542,
          unit_details[Baths], $M542,
          unit_details[Partial Baths], IF(ISNUMBER($N542),$N542,""),
          unit_details[Sqft],$P542
))),"")</f>
        <v/>
      </c>
      <c r="AE542" s="5" t="str">
        <f>IFERROR(IF($F542="Total",
          SUMPRODUCT(
   INDEX(AE:AE, ROW()-COUNTIF($F$6:INDEX($F:$F, ROW()-1), $F541)) : INDEX(AE:AE, ROW()-1),
   INDEX(AB:AB, ROW()-COUNTIF($F$6:INDEX($F:$F, ROW()-1), $F541)) : INDEX(AB:AB, ROW()-1)
   )
   /SUM(INDEX(AB:AB, ROW()-COUNTIF($F$6:INDEX($F:$F, ROW()-1), $F541)) : INDEX(AB:AB, ROW()-1)),
          AVERAGEIFS(unit_details[Asking Rent],
          unit_details[Active Listing?],TRUE,
          unit_details[Property Name], $F542,
          unit_details[Beds], $L542,
          unit_details[Baths], $M542,
          unit_details[Partial Baths], IF(ISNUMBER($N542),$N542,""),
          unit_details[Sqft],$P542
)),"")</f>
        <v/>
      </c>
      <c r="AF542" s="5" t="str">
        <f>IFERROR(IF(AE542="","",IF($F542="Total",
SUMPRODUCT(
   INDEX(AF:AF, ROW()-COUNTIF($F$6:INDEX($F:$F, ROW()-1), $F541)) : INDEX(AF:AF, ROW()-1),
   INDEX(AB:AB, ROW()-COUNTIF($F$6:INDEX($F:$F, ROW()-1), $F541)) : INDEX(AB:AB, ROW()-1)
   )
   /SUM(INDEX(AB:AB, ROW()-COUNTIF($F$6:INDEX($F:$F, ROW()-1), $F541)) : INDEX(AB:AB, ROW()-1)),
           _xlfn.MAXIFS(unit_details[Asking Rent],
          unit_details[Active Listing?],TRUE,
          unit_details[Property Name], $F542,
          unit_details[Beds], $L542,
          unit_details[Baths], $M542,
          unit_details[Partial Baths], IF(ISNUMBER($N542),$N542,""),
          unit_details[Sqft],$P542
))),"")</f>
        <v/>
      </c>
      <c r="AG542" s="6" t="str">
        <f>IFERROR(IF($F542="Total",
         SUMPRODUCT(
         INDEX(AG:AG, ROW()-COUNTIF($F$6:INDEX($F:$F, ROW()-1), $F541)) : INDEX(AG:AG, ROW()-1),
         INDEX(AB:AB, ROW()-COUNTIF($F$6:INDEX($F:$F, ROW()-1), $F541)) : INDEX(AB:AB, ROW()-1)
         )
         /SUM(INDEX(AB:AB, ROW()-COUNTIF($F$6:INDEX($F:$F, ROW()-1), $F541)) : INDEX(AB:AB, ROW()-1)),
          AVERAGEIFS(unit_details[Asking PSF],
          unit_details[Active Listing?],TRUE,
          unit_details[Property Name], $F542,
          unit_details[Beds], $L542,
          unit_details[Baths], $M542,
          unit_details[Partial Baths], IF(ISNUMBER($N542),$N542,""),
          unit_details[Sqft],$P542
)),"")</f>
        <v/>
      </c>
      <c r="AH542" s="293" t="str">
        <f>IFERROR(IF($F542="Total",
         SUMPRODUCT(
         INDEX(AH:AH, ROW()-COUNTIF($F$6:INDEX($F:$F, ROW()-1), $F541)) : INDEX(AH:AH, ROW()-1),
         INDEX(AB:AB, ROW()-COUNTIF($F$6:INDEX($F:$F, ROW()-1), $F541)) : INDEX(AB:AB, ROW()-1)
         )
         /SUM(INDEX(AB:AB, ROW()-COUNTIF($F$6:INDEX($F:$F, ROW()-1), $F541)) : INDEX(AB:AB, ROW()-1)),
          AVERAGEIFS(unit_details[Effective Rent],
          unit_details[Active Listing?],TRUE,
          unit_details[Property Name], $F542,
          unit_details[Beds], $L542,
          unit_details[Baths], $M542,
          unit_details[Partial Baths], IF(ISNUMBER($N542),$N542,""),
          unit_details[Sqft],$P542
)),"")</f>
        <v/>
      </c>
      <c r="AI542" s="6" t="str">
        <f>IFERROR(IF($F542="Total",
         SUMPRODUCT(
         INDEX(AI:AI, ROW()-COUNTIF($F$6:INDEX($F:$F, ROW()-1), $F541)) : INDEX(AI:AI, ROW()-1),
         INDEX(AB:AB, ROW()-COUNTIF($F$6:INDEX($F:$F, ROW()-1), $F541)) : INDEX(AB:AB, ROW()-1)
         )
         /SUM(INDEX(AB:AB, ROW()-COUNTIF($F$6:INDEX($F:$F, ROW()-1), $F541)) : INDEX(AB:AB, ROW()-1)),
           AVERAGEIFS(unit_details[Effective PSF],
          unit_details[Active Listing?],TRUE,
          unit_details[Property Name], $F542,
          unit_details[Beds], $L542,
          unit_details[Baths], $M542,
          unit_details[Partial Baths], IF(ISNUMBER($N542),$N542,""),
          unit_details[Sqft],$P542
)),"")</f>
        <v/>
      </c>
      <c r="AJ542" s="824" t="str">
        <f t="shared" si="92"/>
        <v/>
      </c>
      <c r="AK542" s="531" t="str">
        <f t="shared" si="93"/>
        <v/>
      </c>
      <c r="AL542" s="714" t="str">
        <f t="shared" si="94"/>
        <v/>
      </c>
      <c r="AM542" s="531" t="str">
        <f t="shared" si="95"/>
        <v/>
      </c>
      <c r="AN542" s="716" t="str">
        <f t="shared" si="96"/>
        <v/>
      </c>
    </row>
    <row r="543" spans="6:40" x14ac:dyDescent="0.2">
      <c r="F543" s="1" t="str">
        <f t="shared" si="89"/>
        <v/>
      </c>
      <c r="G543" s="713" t="str">
        <f t="shared" si="97"/>
        <v/>
      </c>
      <c r="H543" s="17" t="str">
        <f>IFERROR(VLOOKUP($G543,Table1[[Property]:[Exposure %]],4,0),"")</f>
        <v/>
      </c>
      <c r="I543" s="3" t="str">
        <f>IFERROR(VLOOKUP($G543,Table1[[Property]:[Exposure %]],6,0),"")</f>
        <v/>
      </c>
      <c r="J543" s="3" t="str">
        <f>IFERROR(VLOOKUP($G543,Table1[[Property]:[Exposure %]],7,0),"")</f>
        <v/>
      </c>
      <c r="R543" s="4" t="str">
        <f>IFERROR(VLOOKUP(IF(F543="Total",F542,F543),Table1[[Property]:['# Units]],7,0)*S543,"")</f>
        <v/>
      </c>
      <c r="S543" s="27" t="str">
        <f t="shared" si="90"/>
        <v/>
      </c>
      <c r="T543" s="531" t="str">
        <f>IFERROR(
 IF($F543="Total",
   SUMPRODUCT(
   INDEX(T:T, ROW()-COUNTIF($F$6:INDEX($F:$F, ROW()-1), $F542)) : INDEX(T:T, ROW()-1),
   INDEX(W:W, ROW()-COUNTIF($F$6:INDEX($F:$F, ROW()-1), $F542)) : INDEX(W:W, ROW()-1)
   )
   /SUM(INDEX(W:W, ROW()-COUNTIF($F$6:INDEX($F:$F, ROW()-1), $F542)) : INDEX(W:W, ROW()-1)),
   AVERAGEIFS(
     INDEX((unit_details[Asking Rent],unit_details[Asking PSF]),0,1,IF($U$3="Chunk Rent",1,2)),
     unit_details[Leased Date],"&gt;="&amp;($AM$2-T$5),
     unit_details[Leased Date],"&lt;"&amp;$AM$2,
     unit_details[Beds],$L543,
     unit_details[Baths],$M543,
     unit_details[Partial Baths],IF(ISNUMBER($N543),$N543,""),
     unit_details[Sqft],$P543,
     unit_details[Property Name],$F543)
 ),"")</f>
        <v/>
      </c>
      <c r="U543" s="552" t="str">
        <f>IFERROR(
 IF($F543="Total",
   SUMPRODUCT(
   INDEX(U:U, ROW()-COUNTIF($F$6:INDEX($F:$F, ROW()-1), $F542)) : INDEX(U:U, ROW()-1),
   INDEX(W:W, ROW()-COUNTIF($F$6:INDEX($F:$F, ROW()-1), $F542)) : INDEX(W:W, ROW()-1)
   )
   /SUM(INDEX(W:W, ROW()-COUNTIF($F$6:INDEX($F:$F, ROW()-1), $F542)) : INDEX(W:W, ROW()-1)),
   AVERAGEIFS(
     INDEX((unit_details[Effective Rent],unit_details[Effective PSF]),0,1,IF($U$3="Chunk Rent",1,2)),
     unit_details[Leased Date],"&gt;="&amp;($AM$2-T$5),
     unit_details[Leased Date],"&lt;"&amp;$AM$2,
     unit_details[Beds],$L543,
     unit_details[Baths],$M543,
     unit_details[Partial Baths],IF(ISNUMBER($N543),$N543,""),
     unit_details[Sqft],$P543,
     unit_details[Property Name],$F543)
 ),"")</f>
        <v/>
      </c>
      <c r="V543" s="27" t="str">
        <f t="shared" si="98"/>
        <v/>
      </c>
      <c r="W543" s="526">
        <f>IFERROR(
  IF($F543="Total",
    SUM(INDEX(W:W, ROW()-COUNTIF($F$6:INDEX($F:$F, ROW()-1), $F542)) : INDEX(W:W, ROW()-1)),
    COUNTIFS(
      unit_details[Leased Date], "&gt;="&amp;($AM$2-T$5),
      unit_details[Leased Date], "&lt;"&amp;$AM$2,
      unit_details[Beds], $L543,
      unit_details[Baths], $M543,
      unit_details[Partial Baths], IF(ISNUMBER($N543), $N543, ""),
      unit_details[Sqft],$P543,
      unit_details[Property Name], $F543
    )
  ),
"")</f>
        <v>0</v>
      </c>
      <c r="X543" s="531" t="str">
        <f>IFERROR(
 IF($F543="Total",
   SUMPRODUCT(
   INDEX(X:X, ROW()-COUNTIF($F$6:INDEX($F:$F, ROW()-1), $F542)) : INDEX(X:X, ROW()-1),
   INDEX(AA:AA, ROW()-COUNTIF($F$6:INDEX($F:$F, ROW()-1), $F542)) : INDEX(AA:AA, ROW()-1)
   )
   /SUM(INDEX(AA:AA, ROW()-COUNTIF($F$6:INDEX($F:$F, ROW()-1), $F542)) : INDEX(AA:AA, ROW()-1)),
   AVERAGEIFS(
     INDEX((unit_details[Asking Rent],unit_details[Asking PSF]),0,1,IF($U$3="Chunk Rent",1,2)),
     unit_details[Leased Date],"&gt;="&amp;($AM$2-X$5),
     unit_details[Leased Date],"&lt;"&amp;$AM$2,
     unit_details[Beds],$L543,
     unit_details[Baths],$M543,
     unit_details[Partial Baths],IF(ISNUMBER($N543),$N543,""),
     unit_details[Sqft],$P543,
     unit_details[Property Name],$F543)
 ),"")</f>
        <v/>
      </c>
      <c r="Y543" s="552" t="str">
        <f>IFERROR(
 IF($F543="Total",
   SUMPRODUCT(
   INDEX(Y:Y, ROW()-COUNTIF($F$6:INDEX($F:$F, ROW()-1), $F542)) : INDEX(Y:Y, ROW()-1),
   INDEX(AA:AA, ROW()-COUNTIF($F$6:INDEX($F:$F, ROW()-1), $F542)) : INDEX(AA:AA, ROW()-1)
   )
   /SUM(INDEX(AA:AA, ROW()-COUNTIF($F$6:INDEX($F:$F, ROW()-1), $F542)) : INDEX(AA:AA, ROW()-1)),
   AVERAGEIFS(
     INDEX((unit_details[Effective Rent],unit_details[Effective PSF]),0,1,IF($U$3="Chunk Rent",1,2)),
     unit_details[Leased Date],"&gt;="&amp;($AM$2-X$5),
     unit_details[Leased Date],"&lt;"&amp;$AM$2,
     unit_details[Beds],$L543,
     unit_details[Baths],$M543,
     unit_details[Partial Baths],IF(ISNUMBER($N543),$N543,""),
     unit_details[Sqft],$P543,
     unit_details[Property Name],$F543)
 ),"")</f>
        <v/>
      </c>
      <c r="Z543" s="27" t="str">
        <f t="shared" si="99"/>
        <v/>
      </c>
      <c r="AA543" s="526">
        <f>IFERROR(
  IF($F543="Total",
    SUM(INDEX(AA:AA, ROW()-COUNTIF($F$6:INDEX($F:$F, ROW()-1), $F542)) : INDEX(AA:AA, ROW()-1)),
    COUNTIFS(
      unit_details[Leased Date], "&gt;="&amp;($AM$2-X$5),
      unit_details[Leased Date], "&lt;"&amp;$AM$2,
      unit_details[Beds], $L543,
      unit_details[Baths], $M543,
      unit_details[Partial Baths], IF(ISNUMBER($N543), $N543, ""),
      unit_details[Sqft],$P543,
      unit_details[Property Name], $F543
    )
  ),
"")</f>
        <v>0</v>
      </c>
      <c r="AB543" s="290">
        <f>IF($F543="Total",
SUM(INDEX(AB:AB, ROW()-COUNTIF($F$6:INDEX($F:$F, ROW()-1), $F542)) : INDEX(AB:AB, ROW()-1)),
COUNTIFS(unit_details[Active Listing?],TRUE,
          unit_details[Property Name], $F543,
          unit_details[Beds], $L543,
          unit_details[Baths], $M543,
          unit_details[Partial Baths],IF(ISNUMBER($N543),$N543,""),
          unit_details[Sqft],$P543))</f>
        <v>0</v>
      </c>
      <c r="AC543" s="27" t="str">
        <f t="shared" si="91"/>
        <v/>
      </c>
      <c r="AD543" s="293" t="str">
        <f>IFERROR(IF(AE543="","",IF($F543="Total",
SUMPRODUCT(
   INDEX(AD:AD, ROW()-COUNTIF($F$6:INDEX($F:$F, ROW()-1), $F542)) : INDEX(AD:AD, ROW()-1),
   INDEX(AB:AB, ROW()-COUNTIF($F$6:INDEX($F:$F, ROW()-1), $F542)) : INDEX(AB:AB, ROW()-1)
   )
   /SUM(INDEX(AB:AB, ROW()-COUNTIF($F$6:INDEX($F:$F, ROW()-1), $F542)) : INDEX(AB:AB, ROW()-1)),
          _xlfn.MINIFS(unit_details[Asking Rent],
          unit_details[Active Listing?],TRUE,
          unit_details[Property Name], $F543,
          unit_details[Beds], $L543,
          unit_details[Baths], $M543,
          unit_details[Partial Baths], IF(ISNUMBER($N543),$N543,""),
          unit_details[Sqft],$P543
))),"")</f>
        <v/>
      </c>
      <c r="AE543" s="5" t="str">
        <f>IFERROR(IF($F543="Total",
          SUMPRODUCT(
   INDEX(AE:AE, ROW()-COUNTIF($F$6:INDEX($F:$F, ROW()-1), $F542)) : INDEX(AE:AE, ROW()-1),
   INDEX(AB:AB, ROW()-COUNTIF($F$6:INDEX($F:$F, ROW()-1), $F542)) : INDEX(AB:AB, ROW()-1)
   )
   /SUM(INDEX(AB:AB, ROW()-COUNTIF($F$6:INDEX($F:$F, ROW()-1), $F542)) : INDEX(AB:AB, ROW()-1)),
          AVERAGEIFS(unit_details[Asking Rent],
          unit_details[Active Listing?],TRUE,
          unit_details[Property Name], $F543,
          unit_details[Beds], $L543,
          unit_details[Baths], $M543,
          unit_details[Partial Baths], IF(ISNUMBER($N543),$N543,""),
          unit_details[Sqft],$P543
)),"")</f>
        <v/>
      </c>
      <c r="AF543" s="5" t="str">
        <f>IFERROR(IF(AE543="","",IF($F543="Total",
SUMPRODUCT(
   INDEX(AF:AF, ROW()-COUNTIF($F$6:INDEX($F:$F, ROW()-1), $F542)) : INDEX(AF:AF, ROW()-1),
   INDEX(AB:AB, ROW()-COUNTIF($F$6:INDEX($F:$F, ROW()-1), $F542)) : INDEX(AB:AB, ROW()-1)
   )
   /SUM(INDEX(AB:AB, ROW()-COUNTIF($F$6:INDEX($F:$F, ROW()-1), $F542)) : INDEX(AB:AB, ROW()-1)),
           _xlfn.MAXIFS(unit_details[Asking Rent],
          unit_details[Active Listing?],TRUE,
          unit_details[Property Name], $F543,
          unit_details[Beds], $L543,
          unit_details[Baths], $M543,
          unit_details[Partial Baths], IF(ISNUMBER($N543),$N543,""),
          unit_details[Sqft],$P543
))),"")</f>
        <v/>
      </c>
      <c r="AG543" s="6" t="str">
        <f>IFERROR(IF($F543="Total",
         SUMPRODUCT(
         INDEX(AG:AG, ROW()-COUNTIF($F$6:INDEX($F:$F, ROW()-1), $F542)) : INDEX(AG:AG, ROW()-1),
         INDEX(AB:AB, ROW()-COUNTIF($F$6:INDEX($F:$F, ROW()-1), $F542)) : INDEX(AB:AB, ROW()-1)
         )
         /SUM(INDEX(AB:AB, ROW()-COUNTIF($F$6:INDEX($F:$F, ROW()-1), $F542)) : INDEX(AB:AB, ROW()-1)),
          AVERAGEIFS(unit_details[Asking PSF],
          unit_details[Active Listing?],TRUE,
          unit_details[Property Name], $F543,
          unit_details[Beds], $L543,
          unit_details[Baths], $M543,
          unit_details[Partial Baths], IF(ISNUMBER($N543),$N543,""),
          unit_details[Sqft],$P543
)),"")</f>
        <v/>
      </c>
      <c r="AH543" s="293" t="str">
        <f>IFERROR(IF($F543="Total",
         SUMPRODUCT(
         INDEX(AH:AH, ROW()-COUNTIF($F$6:INDEX($F:$F, ROW()-1), $F542)) : INDEX(AH:AH, ROW()-1),
         INDEX(AB:AB, ROW()-COUNTIF($F$6:INDEX($F:$F, ROW()-1), $F542)) : INDEX(AB:AB, ROW()-1)
         )
         /SUM(INDEX(AB:AB, ROW()-COUNTIF($F$6:INDEX($F:$F, ROW()-1), $F542)) : INDEX(AB:AB, ROW()-1)),
          AVERAGEIFS(unit_details[Effective Rent],
          unit_details[Active Listing?],TRUE,
          unit_details[Property Name], $F543,
          unit_details[Beds], $L543,
          unit_details[Baths], $M543,
          unit_details[Partial Baths], IF(ISNUMBER($N543),$N543,""),
          unit_details[Sqft],$P543
)),"")</f>
        <v/>
      </c>
      <c r="AI543" s="6" t="str">
        <f>IFERROR(IF($F543="Total",
         SUMPRODUCT(
         INDEX(AI:AI, ROW()-COUNTIF($F$6:INDEX($F:$F, ROW()-1), $F542)) : INDEX(AI:AI, ROW()-1),
         INDEX(AB:AB, ROW()-COUNTIF($F$6:INDEX($F:$F, ROW()-1), $F542)) : INDEX(AB:AB, ROW()-1)
         )
         /SUM(INDEX(AB:AB, ROW()-COUNTIF($F$6:INDEX($F:$F, ROW()-1), $F542)) : INDEX(AB:AB, ROW()-1)),
           AVERAGEIFS(unit_details[Effective PSF],
          unit_details[Active Listing?],TRUE,
          unit_details[Property Name], $F543,
          unit_details[Beds], $L543,
          unit_details[Baths], $M543,
          unit_details[Partial Baths], IF(ISNUMBER($N543),$N543,""),
          unit_details[Sqft],$P543
)),"")</f>
        <v/>
      </c>
      <c r="AJ543" s="824" t="str">
        <f t="shared" si="92"/>
        <v/>
      </c>
      <c r="AK543" s="531" t="str">
        <f t="shared" si="93"/>
        <v/>
      </c>
      <c r="AL543" s="714" t="str">
        <f t="shared" si="94"/>
        <v/>
      </c>
      <c r="AM543" s="531" t="str">
        <f t="shared" si="95"/>
        <v/>
      </c>
      <c r="AN543" s="716" t="str">
        <f t="shared" si="96"/>
        <v/>
      </c>
    </row>
    <row r="544" spans="6:40" x14ac:dyDescent="0.2">
      <c r="F544" s="1" t="str">
        <f t="shared" si="89"/>
        <v/>
      </c>
      <c r="G544" s="713" t="str">
        <f t="shared" si="97"/>
        <v/>
      </c>
      <c r="H544" s="17" t="str">
        <f>IFERROR(VLOOKUP($G544,Table1[[Property]:[Exposure %]],4,0),"")</f>
        <v/>
      </c>
      <c r="I544" s="3" t="str">
        <f>IFERROR(VLOOKUP($G544,Table1[[Property]:[Exposure %]],6,0),"")</f>
        <v/>
      </c>
      <c r="J544" s="3" t="str">
        <f>IFERROR(VLOOKUP($G544,Table1[[Property]:[Exposure %]],7,0),"")</f>
        <v/>
      </c>
      <c r="R544" s="4" t="str">
        <f>IFERROR(VLOOKUP(IF(F544="Total",F543,F544),Table1[[Property]:['# Units]],7,0)*S544,"")</f>
        <v/>
      </c>
      <c r="S544" s="27" t="str">
        <f t="shared" si="90"/>
        <v/>
      </c>
      <c r="T544" s="531" t="str">
        <f>IFERROR(
 IF($F544="Total",
   SUMPRODUCT(
   INDEX(T:T, ROW()-COUNTIF($F$6:INDEX($F:$F, ROW()-1), $F543)) : INDEX(T:T, ROW()-1),
   INDEX(W:W, ROW()-COUNTIF($F$6:INDEX($F:$F, ROW()-1), $F543)) : INDEX(W:W, ROW()-1)
   )
   /SUM(INDEX(W:W, ROW()-COUNTIF($F$6:INDEX($F:$F, ROW()-1), $F543)) : INDEX(W:W, ROW()-1)),
   AVERAGEIFS(
     INDEX((unit_details[Asking Rent],unit_details[Asking PSF]),0,1,IF($U$3="Chunk Rent",1,2)),
     unit_details[Leased Date],"&gt;="&amp;($AM$2-T$5),
     unit_details[Leased Date],"&lt;"&amp;$AM$2,
     unit_details[Beds],$L544,
     unit_details[Baths],$M544,
     unit_details[Partial Baths],IF(ISNUMBER($N544),$N544,""),
     unit_details[Sqft],$P544,
     unit_details[Property Name],$F544)
 ),"")</f>
        <v/>
      </c>
      <c r="U544" s="552" t="str">
        <f>IFERROR(
 IF($F544="Total",
   SUMPRODUCT(
   INDEX(U:U, ROW()-COUNTIF($F$6:INDEX($F:$F, ROW()-1), $F543)) : INDEX(U:U, ROW()-1),
   INDEX(W:W, ROW()-COUNTIF($F$6:INDEX($F:$F, ROW()-1), $F543)) : INDEX(W:W, ROW()-1)
   )
   /SUM(INDEX(W:W, ROW()-COUNTIF($F$6:INDEX($F:$F, ROW()-1), $F543)) : INDEX(W:W, ROW()-1)),
   AVERAGEIFS(
     INDEX((unit_details[Effective Rent],unit_details[Effective PSF]),0,1,IF($U$3="Chunk Rent",1,2)),
     unit_details[Leased Date],"&gt;="&amp;($AM$2-T$5),
     unit_details[Leased Date],"&lt;"&amp;$AM$2,
     unit_details[Beds],$L544,
     unit_details[Baths],$M544,
     unit_details[Partial Baths],IF(ISNUMBER($N544),$N544,""),
     unit_details[Sqft],$P544,
     unit_details[Property Name],$F544)
 ),"")</f>
        <v/>
      </c>
      <c r="V544" s="27" t="str">
        <f t="shared" si="98"/>
        <v/>
      </c>
      <c r="W544" s="526">
        <f>IFERROR(
  IF($F544="Total",
    SUM(INDEX(W:W, ROW()-COUNTIF($F$6:INDEX($F:$F, ROW()-1), $F543)) : INDEX(W:W, ROW()-1)),
    COUNTIFS(
      unit_details[Leased Date], "&gt;="&amp;($AM$2-T$5),
      unit_details[Leased Date], "&lt;"&amp;$AM$2,
      unit_details[Beds], $L544,
      unit_details[Baths], $M544,
      unit_details[Partial Baths], IF(ISNUMBER($N544), $N544, ""),
      unit_details[Sqft],$P544,
      unit_details[Property Name], $F544
    )
  ),
"")</f>
        <v>0</v>
      </c>
      <c r="X544" s="531" t="str">
        <f>IFERROR(
 IF($F544="Total",
   SUMPRODUCT(
   INDEX(X:X, ROW()-COUNTIF($F$6:INDEX($F:$F, ROW()-1), $F543)) : INDEX(X:X, ROW()-1),
   INDEX(AA:AA, ROW()-COUNTIF($F$6:INDEX($F:$F, ROW()-1), $F543)) : INDEX(AA:AA, ROW()-1)
   )
   /SUM(INDEX(AA:AA, ROW()-COUNTIF($F$6:INDEX($F:$F, ROW()-1), $F543)) : INDEX(AA:AA, ROW()-1)),
   AVERAGEIFS(
     INDEX((unit_details[Asking Rent],unit_details[Asking PSF]),0,1,IF($U$3="Chunk Rent",1,2)),
     unit_details[Leased Date],"&gt;="&amp;($AM$2-X$5),
     unit_details[Leased Date],"&lt;"&amp;$AM$2,
     unit_details[Beds],$L544,
     unit_details[Baths],$M544,
     unit_details[Partial Baths],IF(ISNUMBER($N544),$N544,""),
     unit_details[Sqft],$P544,
     unit_details[Property Name],$F544)
 ),"")</f>
        <v/>
      </c>
      <c r="Y544" s="552" t="str">
        <f>IFERROR(
 IF($F544="Total",
   SUMPRODUCT(
   INDEX(Y:Y, ROW()-COUNTIF($F$6:INDEX($F:$F, ROW()-1), $F543)) : INDEX(Y:Y, ROW()-1),
   INDEX(AA:AA, ROW()-COUNTIF($F$6:INDEX($F:$F, ROW()-1), $F543)) : INDEX(AA:AA, ROW()-1)
   )
   /SUM(INDEX(AA:AA, ROW()-COUNTIF($F$6:INDEX($F:$F, ROW()-1), $F543)) : INDEX(AA:AA, ROW()-1)),
   AVERAGEIFS(
     INDEX((unit_details[Effective Rent],unit_details[Effective PSF]),0,1,IF($U$3="Chunk Rent",1,2)),
     unit_details[Leased Date],"&gt;="&amp;($AM$2-X$5),
     unit_details[Leased Date],"&lt;"&amp;$AM$2,
     unit_details[Beds],$L544,
     unit_details[Baths],$M544,
     unit_details[Partial Baths],IF(ISNUMBER($N544),$N544,""),
     unit_details[Sqft],$P544,
     unit_details[Property Name],$F544)
 ),"")</f>
        <v/>
      </c>
      <c r="Z544" s="27" t="str">
        <f t="shared" si="99"/>
        <v/>
      </c>
      <c r="AA544" s="526">
        <f>IFERROR(
  IF($F544="Total",
    SUM(INDEX(AA:AA, ROW()-COUNTIF($F$6:INDEX($F:$F, ROW()-1), $F543)) : INDEX(AA:AA, ROW()-1)),
    COUNTIFS(
      unit_details[Leased Date], "&gt;="&amp;($AM$2-X$5),
      unit_details[Leased Date], "&lt;"&amp;$AM$2,
      unit_details[Beds], $L544,
      unit_details[Baths], $M544,
      unit_details[Partial Baths], IF(ISNUMBER($N544), $N544, ""),
      unit_details[Sqft],$P544,
      unit_details[Property Name], $F544
    )
  ),
"")</f>
        <v>0</v>
      </c>
      <c r="AB544" s="290">
        <f>IF($F544="Total",
SUM(INDEX(AB:AB, ROW()-COUNTIF($F$6:INDEX($F:$F, ROW()-1), $F543)) : INDEX(AB:AB, ROW()-1)),
COUNTIFS(unit_details[Active Listing?],TRUE,
          unit_details[Property Name], $F544,
          unit_details[Beds], $L544,
          unit_details[Baths], $M544,
          unit_details[Partial Baths],IF(ISNUMBER($N544),$N544,""),
          unit_details[Sqft],$P544))</f>
        <v>0</v>
      </c>
      <c r="AC544" s="27" t="str">
        <f t="shared" si="91"/>
        <v/>
      </c>
      <c r="AD544" s="293" t="str">
        <f>IFERROR(IF(AE544="","",IF($F544="Total",
SUMPRODUCT(
   INDEX(AD:AD, ROW()-COUNTIF($F$6:INDEX($F:$F, ROW()-1), $F543)) : INDEX(AD:AD, ROW()-1),
   INDEX(AB:AB, ROW()-COUNTIF($F$6:INDEX($F:$F, ROW()-1), $F543)) : INDEX(AB:AB, ROW()-1)
   )
   /SUM(INDEX(AB:AB, ROW()-COUNTIF($F$6:INDEX($F:$F, ROW()-1), $F543)) : INDEX(AB:AB, ROW()-1)),
          _xlfn.MINIFS(unit_details[Asking Rent],
          unit_details[Active Listing?],TRUE,
          unit_details[Property Name], $F544,
          unit_details[Beds], $L544,
          unit_details[Baths], $M544,
          unit_details[Partial Baths], IF(ISNUMBER($N544),$N544,""),
          unit_details[Sqft],$P544
))),"")</f>
        <v/>
      </c>
      <c r="AE544" s="5" t="str">
        <f>IFERROR(IF($F544="Total",
          SUMPRODUCT(
   INDEX(AE:AE, ROW()-COUNTIF($F$6:INDEX($F:$F, ROW()-1), $F543)) : INDEX(AE:AE, ROW()-1),
   INDEX(AB:AB, ROW()-COUNTIF($F$6:INDEX($F:$F, ROW()-1), $F543)) : INDEX(AB:AB, ROW()-1)
   )
   /SUM(INDEX(AB:AB, ROW()-COUNTIF($F$6:INDEX($F:$F, ROW()-1), $F543)) : INDEX(AB:AB, ROW()-1)),
          AVERAGEIFS(unit_details[Asking Rent],
          unit_details[Active Listing?],TRUE,
          unit_details[Property Name], $F544,
          unit_details[Beds], $L544,
          unit_details[Baths], $M544,
          unit_details[Partial Baths], IF(ISNUMBER($N544),$N544,""),
          unit_details[Sqft],$P544
)),"")</f>
        <v/>
      </c>
      <c r="AF544" s="5" t="str">
        <f>IFERROR(IF(AE544="","",IF($F544="Total",
SUMPRODUCT(
   INDEX(AF:AF, ROW()-COUNTIF($F$6:INDEX($F:$F, ROW()-1), $F543)) : INDEX(AF:AF, ROW()-1),
   INDEX(AB:AB, ROW()-COUNTIF($F$6:INDEX($F:$F, ROW()-1), $F543)) : INDEX(AB:AB, ROW()-1)
   )
   /SUM(INDEX(AB:AB, ROW()-COUNTIF($F$6:INDEX($F:$F, ROW()-1), $F543)) : INDEX(AB:AB, ROW()-1)),
           _xlfn.MAXIFS(unit_details[Asking Rent],
          unit_details[Active Listing?],TRUE,
          unit_details[Property Name], $F544,
          unit_details[Beds], $L544,
          unit_details[Baths], $M544,
          unit_details[Partial Baths], IF(ISNUMBER($N544),$N544,""),
          unit_details[Sqft],$P544
))),"")</f>
        <v/>
      </c>
      <c r="AG544" s="6" t="str">
        <f>IFERROR(IF($F544="Total",
         SUMPRODUCT(
         INDEX(AG:AG, ROW()-COUNTIF($F$6:INDEX($F:$F, ROW()-1), $F543)) : INDEX(AG:AG, ROW()-1),
         INDEX(AB:AB, ROW()-COUNTIF($F$6:INDEX($F:$F, ROW()-1), $F543)) : INDEX(AB:AB, ROW()-1)
         )
         /SUM(INDEX(AB:AB, ROW()-COUNTIF($F$6:INDEX($F:$F, ROW()-1), $F543)) : INDEX(AB:AB, ROW()-1)),
          AVERAGEIFS(unit_details[Asking PSF],
          unit_details[Active Listing?],TRUE,
          unit_details[Property Name], $F544,
          unit_details[Beds], $L544,
          unit_details[Baths], $M544,
          unit_details[Partial Baths], IF(ISNUMBER($N544),$N544,""),
          unit_details[Sqft],$P544
)),"")</f>
        <v/>
      </c>
      <c r="AH544" s="293" t="str">
        <f>IFERROR(IF($F544="Total",
         SUMPRODUCT(
         INDEX(AH:AH, ROW()-COUNTIF($F$6:INDEX($F:$F, ROW()-1), $F543)) : INDEX(AH:AH, ROW()-1),
         INDEX(AB:AB, ROW()-COUNTIF($F$6:INDEX($F:$F, ROW()-1), $F543)) : INDEX(AB:AB, ROW()-1)
         )
         /SUM(INDEX(AB:AB, ROW()-COUNTIF($F$6:INDEX($F:$F, ROW()-1), $F543)) : INDEX(AB:AB, ROW()-1)),
          AVERAGEIFS(unit_details[Effective Rent],
          unit_details[Active Listing?],TRUE,
          unit_details[Property Name], $F544,
          unit_details[Beds], $L544,
          unit_details[Baths], $M544,
          unit_details[Partial Baths], IF(ISNUMBER($N544),$N544,""),
          unit_details[Sqft],$P544
)),"")</f>
        <v/>
      </c>
      <c r="AI544" s="6" t="str">
        <f>IFERROR(IF($F544="Total",
         SUMPRODUCT(
         INDEX(AI:AI, ROW()-COUNTIF($F$6:INDEX($F:$F, ROW()-1), $F543)) : INDEX(AI:AI, ROW()-1),
         INDEX(AB:AB, ROW()-COUNTIF($F$6:INDEX($F:$F, ROW()-1), $F543)) : INDEX(AB:AB, ROW()-1)
         )
         /SUM(INDEX(AB:AB, ROW()-COUNTIF($F$6:INDEX($F:$F, ROW()-1), $F543)) : INDEX(AB:AB, ROW()-1)),
           AVERAGEIFS(unit_details[Effective PSF],
          unit_details[Active Listing?],TRUE,
          unit_details[Property Name], $F544,
          unit_details[Beds], $L544,
          unit_details[Baths], $M544,
          unit_details[Partial Baths], IF(ISNUMBER($N544),$N544,""),
          unit_details[Sqft],$P544
)),"")</f>
        <v/>
      </c>
      <c r="AJ544" s="824" t="str">
        <f t="shared" si="92"/>
        <v/>
      </c>
      <c r="AK544" s="531" t="str">
        <f t="shared" si="93"/>
        <v/>
      </c>
      <c r="AL544" s="714" t="str">
        <f t="shared" si="94"/>
        <v/>
      </c>
      <c r="AM544" s="531" t="str">
        <f t="shared" si="95"/>
        <v/>
      </c>
      <c r="AN544" s="716" t="str">
        <f t="shared" si="96"/>
        <v/>
      </c>
    </row>
    <row r="545" spans="6:40" x14ac:dyDescent="0.2">
      <c r="F545" s="1" t="str">
        <f t="shared" si="89"/>
        <v/>
      </c>
      <c r="G545" s="713" t="str">
        <f t="shared" si="97"/>
        <v/>
      </c>
      <c r="H545" s="17" t="str">
        <f>IFERROR(VLOOKUP($G545,Table1[[Property]:[Exposure %]],4,0),"")</f>
        <v/>
      </c>
      <c r="I545" s="3" t="str">
        <f>IFERROR(VLOOKUP($G545,Table1[[Property]:[Exposure %]],6,0),"")</f>
        <v/>
      </c>
      <c r="J545" s="3" t="str">
        <f>IFERROR(VLOOKUP($G545,Table1[[Property]:[Exposure %]],7,0),"")</f>
        <v/>
      </c>
      <c r="R545" s="4" t="str">
        <f>IFERROR(VLOOKUP(IF(F545="Total",F544,F545),Table1[[Property]:['# Units]],7,0)*S545,"")</f>
        <v/>
      </c>
      <c r="S545" s="27" t="str">
        <f t="shared" si="90"/>
        <v/>
      </c>
      <c r="T545" s="531" t="str">
        <f>IFERROR(
 IF($F545="Total",
   SUMPRODUCT(
   INDEX(T:T, ROW()-COUNTIF($F$6:INDEX($F:$F, ROW()-1), $F544)) : INDEX(T:T, ROW()-1),
   INDEX(W:W, ROW()-COUNTIF($F$6:INDEX($F:$F, ROW()-1), $F544)) : INDEX(W:W, ROW()-1)
   )
   /SUM(INDEX(W:W, ROW()-COUNTIF($F$6:INDEX($F:$F, ROW()-1), $F544)) : INDEX(W:W, ROW()-1)),
   AVERAGEIFS(
     INDEX((unit_details[Asking Rent],unit_details[Asking PSF]),0,1,IF($U$3="Chunk Rent",1,2)),
     unit_details[Leased Date],"&gt;="&amp;($AM$2-T$5),
     unit_details[Leased Date],"&lt;"&amp;$AM$2,
     unit_details[Beds],$L545,
     unit_details[Baths],$M545,
     unit_details[Partial Baths],IF(ISNUMBER($N545),$N545,""),
     unit_details[Sqft],$P545,
     unit_details[Property Name],$F545)
 ),"")</f>
        <v/>
      </c>
      <c r="U545" s="552" t="str">
        <f>IFERROR(
 IF($F545="Total",
   SUMPRODUCT(
   INDEX(U:U, ROW()-COUNTIF($F$6:INDEX($F:$F, ROW()-1), $F544)) : INDEX(U:U, ROW()-1),
   INDEX(W:W, ROW()-COUNTIF($F$6:INDEX($F:$F, ROW()-1), $F544)) : INDEX(W:W, ROW()-1)
   )
   /SUM(INDEX(W:W, ROW()-COUNTIF($F$6:INDEX($F:$F, ROW()-1), $F544)) : INDEX(W:W, ROW()-1)),
   AVERAGEIFS(
     INDEX((unit_details[Effective Rent],unit_details[Effective PSF]),0,1,IF($U$3="Chunk Rent",1,2)),
     unit_details[Leased Date],"&gt;="&amp;($AM$2-T$5),
     unit_details[Leased Date],"&lt;"&amp;$AM$2,
     unit_details[Beds],$L545,
     unit_details[Baths],$M545,
     unit_details[Partial Baths],IF(ISNUMBER($N545),$N545,""),
     unit_details[Sqft],$P545,
     unit_details[Property Name],$F545)
 ),"")</f>
        <v/>
      </c>
      <c r="V545" s="27" t="str">
        <f t="shared" si="98"/>
        <v/>
      </c>
      <c r="W545" s="526">
        <f>IFERROR(
  IF($F545="Total",
    SUM(INDEX(W:W, ROW()-COUNTIF($F$6:INDEX($F:$F, ROW()-1), $F544)) : INDEX(W:W, ROW()-1)),
    COUNTIFS(
      unit_details[Leased Date], "&gt;="&amp;($AM$2-T$5),
      unit_details[Leased Date], "&lt;"&amp;$AM$2,
      unit_details[Beds], $L545,
      unit_details[Baths], $M545,
      unit_details[Partial Baths], IF(ISNUMBER($N545), $N545, ""),
      unit_details[Sqft],$P545,
      unit_details[Property Name], $F545
    )
  ),
"")</f>
        <v>0</v>
      </c>
      <c r="X545" s="531" t="str">
        <f>IFERROR(
 IF($F545="Total",
   SUMPRODUCT(
   INDEX(X:X, ROW()-COUNTIF($F$6:INDEX($F:$F, ROW()-1), $F544)) : INDEX(X:X, ROW()-1),
   INDEX(AA:AA, ROW()-COUNTIF($F$6:INDEX($F:$F, ROW()-1), $F544)) : INDEX(AA:AA, ROW()-1)
   )
   /SUM(INDEX(AA:AA, ROW()-COUNTIF($F$6:INDEX($F:$F, ROW()-1), $F544)) : INDEX(AA:AA, ROW()-1)),
   AVERAGEIFS(
     INDEX((unit_details[Asking Rent],unit_details[Asking PSF]),0,1,IF($U$3="Chunk Rent",1,2)),
     unit_details[Leased Date],"&gt;="&amp;($AM$2-X$5),
     unit_details[Leased Date],"&lt;"&amp;$AM$2,
     unit_details[Beds],$L545,
     unit_details[Baths],$M545,
     unit_details[Partial Baths],IF(ISNUMBER($N545),$N545,""),
     unit_details[Sqft],$P545,
     unit_details[Property Name],$F545)
 ),"")</f>
        <v/>
      </c>
      <c r="Y545" s="552" t="str">
        <f>IFERROR(
 IF($F545="Total",
   SUMPRODUCT(
   INDEX(Y:Y, ROW()-COUNTIF($F$6:INDEX($F:$F, ROW()-1), $F544)) : INDEX(Y:Y, ROW()-1),
   INDEX(AA:AA, ROW()-COUNTIF($F$6:INDEX($F:$F, ROW()-1), $F544)) : INDEX(AA:AA, ROW()-1)
   )
   /SUM(INDEX(AA:AA, ROW()-COUNTIF($F$6:INDEX($F:$F, ROW()-1), $F544)) : INDEX(AA:AA, ROW()-1)),
   AVERAGEIFS(
     INDEX((unit_details[Effective Rent],unit_details[Effective PSF]),0,1,IF($U$3="Chunk Rent",1,2)),
     unit_details[Leased Date],"&gt;="&amp;($AM$2-X$5),
     unit_details[Leased Date],"&lt;"&amp;$AM$2,
     unit_details[Beds],$L545,
     unit_details[Baths],$M545,
     unit_details[Partial Baths],IF(ISNUMBER($N545),$N545,""),
     unit_details[Sqft],$P545,
     unit_details[Property Name],$F545)
 ),"")</f>
        <v/>
      </c>
      <c r="Z545" s="27" t="str">
        <f t="shared" si="99"/>
        <v/>
      </c>
      <c r="AA545" s="526">
        <f>IFERROR(
  IF($F545="Total",
    SUM(INDEX(AA:AA, ROW()-COUNTIF($F$6:INDEX($F:$F, ROW()-1), $F544)) : INDEX(AA:AA, ROW()-1)),
    COUNTIFS(
      unit_details[Leased Date], "&gt;="&amp;($AM$2-X$5),
      unit_details[Leased Date], "&lt;"&amp;$AM$2,
      unit_details[Beds], $L545,
      unit_details[Baths], $M545,
      unit_details[Partial Baths], IF(ISNUMBER($N545), $N545, ""),
      unit_details[Sqft],$P545,
      unit_details[Property Name], $F545
    )
  ),
"")</f>
        <v>0</v>
      </c>
      <c r="AB545" s="290">
        <f>IF($F545="Total",
SUM(INDEX(AB:AB, ROW()-COUNTIF($F$6:INDEX($F:$F, ROW()-1), $F544)) : INDEX(AB:AB, ROW()-1)),
COUNTIFS(unit_details[Active Listing?],TRUE,
          unit_details[Property Name], $F545,
          unit_details[Beds], $L545,
          unit_details[Baths], $M545,
          unit_details[Partial Baths],IF(ISNUMBER($N545),$N545,""),
          unit_details[Sqft],$P545))</f>
        <v>0</v>
      </c>
      <c r="AC545" s="27" t="str">
        <f t="shared" si="91"/>
        <v/>
      </c>
      <c r="AD545" s="293" t="str">
        <f>IFERROR(IF(AE545="","",IF($F545="Total",
SUMPRODUCT(
   INDEX(AD:AD, ROW()-COUNTIF($F$6:INDEX($F:$F, ROW()-1), $F544)) : INDEX(AD:AD, ROW()-1),
   INDEX(AB:AB, ROW()-COUNTIF($F$6:INDEX($F:$F, ROW()-1), $F544)) : INDEX(AB:AB, ROW()-1)
   )
   /SUM(INDEX(AB:AB, ROW()-COUNTIF($F$6:INDEX($F:$F, ROW()-1), $F544)) : INDEX(AB:AB, ROW()-1)),
          _xlfn.MINIFS(unit_details[Asking Rent],
          unit_details[Active Listing?],TRUE,
          unit_details[Property Name], $F545,
          unit_details[Beds], $L545,
          unit_details[Baths], $M545,
          unit_details[Partial Baths], IF(ISNUMBER($N545),$N545,""),
          unit_details[Sqft],$P545
))),"")</f>
        <v/>
      </c>
      <c r="AE545" s="5" t="str">
        <f>IFERROR(IF($F545="Total",
          SUMPRODUCT(
   INDEX(AE:AE, ROW()-COUNTIF($F$6:INDEX($F:$F, ROW()-1), $F544)) : INDEX(AE:AE, ROW()-1),
   INDEX(AB:AB, ROW()-COUNTIF($F$6:INDEX($F:$F, ROW()-1), $F544)) : INDEX(AB:AB, ROW()-1)
   )
   /SUM(INDEX(AB:AB, ROW()-COUNTIF($F$6:INDEX($F:$F, ROW()-1), $F544)) : INDEX(AB:AB, ROW()-1)),
          AVERAGEIFS(unit_details[Asking Rent],
          unit_details[Active Listing?],TRUE,
          unit_details[Property Name], $F545,
          unit_details[Beds], $L545,
          unit_details[Baths], $M545,
          unit_details[Partial Baths], IF(ISNUMBER($N545),$N545,""),
          unit_details[Sqft],$P545
)),"")</f>
        <v/>
      </c>
      <c r="AF545" s="5" t="str">
        <f>IFERROR(IF(AE545="","",IF($F545="Total",
SUMPRODUCT(
   INDEX(AF:AF, ROW()-COUNTIF($F$6:INDEX($F:$F, ROW()-1), $F544)) : INDEX(AF:AF, ROW()-1),
   INDEX(AB:AB, ROW()-COUNTIF($F$6:INDEX($F:$F, ROW()-1), $F544)) : INDEX(AB:AB, ROW()-1)
   )
   /SUM(INDEX(AB:AB, ROW()-COUNTIF($F$6:INDEX($F:$F, ROW()-1), $F544)) : INDEX(AB:AB, ROW()-1)),
           _xlfn.MAXIFS(unit_details[Asking Rent],
          unit_details[Active Listing?],TRUE,
          unit_details[Property Name], $F545,
          unit_details[Beds], $L545,
          unit_details[Baths], $M545,
          unit_details[Partial Baths], IF(ISNUMBER($N545),$N545,""),
          unit_details[Sqft],$P545
))),"")</f>
        <v/>
      </c>
      <c r="AG545" s="6" t="str">
        <f>IFERROR(IF($F545="Total",
         SUMPRODUCT(
         INDEX(AG:AG, ROW()-COUNTIF($F$6:INDEX($F:$F, ROW()-1), $F544)) : INDEX(AG:AG, ROW()-1),
         INDEX(AB:AB, ROW()-COUNTIF($F$6:INDEX($F:$F, ROW()-1), $F544)) : INDEX(AB:AB, ROW()-1)
         )
         /SUM(INDEX(AB:AB, ROW()-COUNTIF($F$6:INDEX($F:$F, ROW()-1), $F544)) : INDEX(AB:AB, ROW()-1)),
          AVERAGEIFS(unit_details[Asking PSF],
          unit_details[Active Listing?],TRUE,
          unit_details[Property Name], $F545,
          unit_details[Beds], $L545,
          unit_details[Baths], $M545,
          unit_details[Partial Baths], IF(ISNUMBER($N545),$N545,""),
          unit_details[Sqft],$P545
)),"")</f>
        <v/>
      </c>
      <c r="AH545" s="293" t="str">
        <f>IFERROR(IF($F545="Total",
         SUMPRODUCT(
         INDEX(AH:AH, ROW()-COUNTIF($F$6:INDEX($F:$F, ROW()-1), $F544)) : INDEX(AH:AH, ROW()-1),
         INDEX(AB:AB, ROW()-COUNTIF($F$6:INDEX($F:$F, ROW()-1), $F544)) : INDEX(AB:AB, ROW()-1)
         )
         /SUM(INDEX(AB:AB, ROW()-COUNTIF($F$6:INDEX($F:$F, ROW()-1), $F544)) : INDEX(AB:AB, ROW()-1)),
          AVERAGEIFS(unit_details[Effective Rent],
          unit_details[Active Listing?],TRUE,
          unit_details[Property Name], $F545,
          unit_details[Beds], $L545,
          unit_details[Baths], $M545,
          unit_details[Partial Baths], IF(ISNUMBER($N545),$N545,""),
          unit_details[Sqft],$P545
)),"")</f>
        <v/>
      </c>
      <c r="AI545" s="6" t="str">
        <f>IFERROR(IF($F545="Total",
         SUMPRODUCT(
         INDEX(AI:AI, ROW()-COUNTIF($F$6:INDEX($F:$F, ROW()-1), $F544)) : INDEX(AI:AI, ROW()-1),
         INDEX(AB:AB, ROW()-COUNTIF($F$6:INDEX($F:$F, ROW()-1), $F544)) : INDEX(AB:AB, ROW()-1)
         )
         /SUM(INDEX(AB:AB, ROW()-COUNTIF($F$6:INDEX($F:$F, ROW()-1), $F544)) : INDEX(AB:AB, ROW()-1)),
           AVERAGEIFS(unit_details[Effective PSF],
          unit_details[Active Listing?],TRUE,
          unit_details[Property Name], $F545,
          unit_details[Beds], $L545,
          unit_details[Baths], $M545,
          unit_details[Partial Baths], IF(ISNUMBER($N545),$N545,""),
          unit_details[Sqft],$P545
)),"")</f>
        <v/>
      </c>
      <c r="AJ545" s="824" t="str">
        <f t="shared" si="92"/>
        <v/>
      </c>
      <c r="AK545" s="531" t="str">
        <f t="shared" si="93"/>
        <v/>
      </c>
      <c r="AL545" s="714" t="str">
        <f t="shared" si="94"/>
        <v/>
      </c>
      <c r="AM545" s="531" t="str">
        <f t="shared" si="95"/>
        <v/>
      </c>
      <c r="AN545" s="716" t="str">
        <f t="shared" si="96"/>
        <v/>
      </c>
    </row>
    <row r="546" spans="6:40" x14ac:dyDescent="0.2">
      <c r="F546" s="1" t="str">
        <f t="shared" si="89"/>
        <v/>
      </c>
      <c r="G546" s="713" t="str">
        <f t="shared" si="97"/>
        <v/>
      </c>
      <c r="H546" s="17" t="str">
        <f>IFERROR(VLOOKUP($G546,Table1[[Property]:[Exposure %]],4,0),"")</f>
        <v/>
      </c>
      <c r="I546" s="3" t="str">
        <f>IFERROR(VLOOKUP($G546,Table1[[Property]:[Exposure %]],6,0),"")</f>
        <v/>
      </c>
      <c r="J546" s="3" t="str">
        <f>IFERROR(VLOOKUP($G546,Table1[[Property]:[Exposure %]],7,0),"")</f>
        <v/>
      </c>
      <c r="R546" s="4" t="str">
        <f>IFERROR(VLOOKUP(IF(F546="Total",F545,F546),Table1[[Property]:['# Units]],7,0)*S546,"")</f>
        <v/>
      </c>
      <c r="S546" s="27" t="str">
        <f t="shared" si="90"/>
        <v/>
      </c>
      <c r="T546" s="531" t="str">
        <f>IFERROR(
 IF($F546="Total",
   SUMPRODUCT(
   INDEX(T:T, ROW()-COUNTIF($F$6:INDEX($F:$F, ROW()-1), $F545)) : INDEX(T:T, ROW()-1),
   INDEX(W:W, ROW()-COUNTIF($F$6:INDEX($F:$F, ROW()-1), $F545)) : INDEX(W:W, ROW()-1)
   )
   /SUM(INDEX(W:W, ROW()-COUNTIF($F$6:INDEX($F:$F, ROW()-1), $F545)) : INDEX(W:W, ROW()-1)),
   AVERAGEIFS(
     INDEX((unit_details[Asking Rent],unit_details[Asking PSF]),0,1,IF($U$3="Chunk Rent",1,2)),
     unit_details[Leased Date],"&gt;="&amp;($AM$2-T$5),
     unit_details[Leased Date],"&lt;"&amp;$AM$2,
     unit_details[Beds],$L546,
     unit_details[Baths],$M546,
     unit_details[Partial Baths],IF(ISNUMBER($N546),$N546,""),
     unit_details[Sqft],$P546,
     unit_details[Property Name],$F546)
 ),"")</f>
        <v/>
      </c>
      <c r="U546" s="552" t="str">
        <f>IFERROR(
 IF($F546="Total",
   SUMPRODUCT(
   INDEX(U:U, ROW()-COUNTIF($F$6:INDEX($F:$F, ROW()-1), $F545)) : INDEX(U:U, ROW()-1),
   INDEX(W:W, ROW()-COUNTIF($F$6:INDEX($F:$F, ROW()-1), $F545)) : INDEX(W:W, ROW()-1)
   )
   /SUM(INDEX(W:W, ROW()-COUNTIF($F$6:INDEX($F:$F, ROW()-1), $F545)) : INDEX(W:W, ROW()-1)),
   AVERAGEIFS(
     INDEX((unit_details[Effective Rent],unit_details[Effective PSF]),0,1,IF($U$3="Chunk Rent",1,2)),
     unit_details[Leased Date],"&gt;="&amp;($AM$2-T$5),
     unit_details[Leased Date],"&lt;"&amp;$AM$2,
     unit_details[Beds],$L546,
     unit_details[Baths],$M546,
     unit_details[Partial Baths],IF(ISNUMBER($N546),$N546,""),
     unit_details[Sqft],$P546,
     unit_details[Property Name],$F546)
 ),"")</f>
        <v/>
      </c>
      <c r="V546" s="27" t="str">
        <f t="shared" si="98"/>
        <v/>
      </c>
      <c r="W546" s="526">
        <f>IFERROR(
  IF($F546="Total",
    SUM(INDEX(W:W, ROW()-COUNTIF($F$6:INDEX($F:$F, ROW()-1), $F545)) : INDEX(W:W, ROW()-1)),
    COUNTIFS(
      unit_details[Leased Date], "&gt;="&amp;($AM$2-T$5),
      unit_details[Leased Date], "&lt;"&amp;$AM$2,
      unit_details[Beds], $L546,
      unit_details[Baths], $M546,
      unit_details[Partial Baths], IF(ISNUMBER($N546), $N546, ""),
      unit_details[Sqft],$P546,
      unit_details[Property Name], $F546
    )
  ),
"")</f>
        <v>0</v>
      </c>
      <c r="X546" s="531" t="str">
        <f>IFERROR(
 IF($F546="Total",
   SUMPRODUCT(
   INDEX(X:X, ROW()-COUNTIF($F$6:INDEX($F:$F, ROW()-1), $F545)) : INDEX(X:X, ROW()-1),
   INDEX(AA:AA, ROW()-COUNTIF($F$6:INDEX($F:$F, ROW()-1), $F545)) : INDEX(AA:AA, ROW()-1)
   )
   /SUM(INDEX(AA:AA, ROW()-COUNTIF($F$6:INDEX($F:$F, ROW()-1), $F545)) : INDEX(AA:AA, ROW()-1)),
   AVERAGEIFS(
     INDEX((unit_details[Asking Rent],unit_details[Asking PSF]),0,1,IF($U$3="Chunk Rent",1,2)),
     unit_details[Leased Date],"&gt;="&amp;($AM$2-X$5),
     unit_details[Leased Date],"&lt;"&amp;$AM$2,
     unit_details[Beds],$L546,
     unit_details[Baths],$M546,
     unit_details[Partial Baths],IF(ISNUMBER($N546),$N546,""),
     unit_details[Sqft],$P546,
     unit_details[Property Name],$F546)
 ),"")</f>
        <v/>
      </c>
      <c r="Y546" s="552" t="str">
        <f>IFERROR(
 IF($F546="Total",
   SUMPRODUCT(
   INDEX(Y:Y, ROW()-COUNTIF($F$6:INDEX($F:$F, ROW()-1), $F545)) : INDEX(Y:Y, ROW()-1),
   INDEX(AA:AA, ROW()-COUNTIF($F$6:INDEX($F:$F, ROW()-1), $F545)) : INDEX(AA:AA, ROW()-1)
   )
   /SUM(INDEX(AA:AA, ROW()-COUNTIF($F$6:INDEX($F:$F, ROW()-1), $F545)) : INDEX(AA:AA, ROW()-1)),
   AVERAGEIFS(
     INDEX((unit_details[Effective Rent],unit_details[Effective PSF]),0,1,IF($U$3="Chunk Rent",1,2)),
     unit_details[Leased Date],"&gt;="&amp;($AM$2-X$5),
     unit_details[Leased Date],"&lt;"&amp;$AM$2,
     unit_details[Beds],$L546,
     unit_details[Baths],$M546,
     unit_details[Partial Baths],IF(ISNUMBER($N546),$N546,""),
     unit_details[Sqft],$P546,
     unit_details[Property Name],$F546)
 ),"")</f>
        <v/>
      </c>
      <c r="Z546" s="27" t="str">
        <f t="shared" si="99"/>
        <v/>
      </c>
      <c r="AA546" s="526">
        <f>IFERROR(
  IF($F546="Total",
    SUM(INDEX(AA:AA, ROW()-COUNTIF($F$6:INDEX($F:$F, ROW()-1), $F545)) : INDEX(AA:AA, ROW()-1)),
    COUNTIFS(
      unit_details[Leased Date], "&gt;="&amp;($AM$2-X$5),
      unit_details[Leased Date], "&lt;"&amp;$AM$2,
      unit_details[Beds], $L546,
      unit_details[Baths], $M546,
      unit_details[Partial Baths], IF(ISNUMBER($N546), $N546, ""),
      unit_details[Sqft],$P546,
      unit_details[Property Name], $F546
    )
  ),
"")</f>
        <v>0</v>
      </c>
      <c r="AB546" s="290">
        <f>IF($F546="Total",
SUM(INDEX(AB:AB, ROW()-COUNTIF($F$6:INDEX($F:$F, ROW()-1), $F545)) : INDEX(AB:AB, ROW()-1)),
COUNTIFS(unit_details[Active Listing?],TRUE,
          unit_details[Property Name], $F546,
          unit_details[Beds], $L546,
          unit_details[Baths], $M546,
          unit_details[Partial Baths],IF(ISNUMBER($N546),$N546,""),
          unit_details[Sqft],$P546))</f>
        <v>0</v>
      </c>
      <c r="AC546" s="27" t="str">
        <f t="shared" si="91"/>
        <v/>
      </c>
      <c r="AD546" s="293" t="str">
        <f>IFERROR(IF(AE546="","",IF($F546="Total",
SUMPRODUCT(
   INDEX(AD:AD, ROW()-COUNTIF($F$6:INDEX($F:$F, ROW()-1), $F545)) : INDEX(AD:AD, ROW()-1),
   INDEX(AB:AB, ROW()-COUNTIF($F$6:INDEX($F:$F, ROW()-1), $F545)) : INDEX(AB:AB, ROW()-1)
   )
   /SUM(INDEX(AB:AB, ROW()-COUNTIF($F$6:INDEX($F:$F, ROW()-1), $F545)) : INDEX(AB:AB, ROW()-1)),
          _xlfn.MINIFS(unit_details[Asking Rent],
          unit_details[Active Listing?],TRUE,
          unit_details[Property Name], $F546,
          unit_details[Beds], $L546,
          unit_details[Baths], $M546,
          unit_details[Partial Baths], IF(ISNUMBER($N546),$N546,""),
          unit_details[Sqft],$P546
))),"")</f>
        <v/>
      </c>
      <c r="AE546" s="5" t="str">
        <f>IFERROR(IF($F546="Total",
          SUMPRODUCT(
   INDEX(AE:AE, ROW()-COUNTIF($F$6:INDEX($F:$F, ROW()-1), $F545)) : INDEX(AE:AE, ROW()-1),
   INDEX(AB:AB, ROW()-COUNTIF($F$6:INDEX($F:$F, ROW()-1), $F545)) : INDEX(AB:AB, ROW()-1)
   )
   /SUM(INDEX(AB:AB, ROW()-COUNTIF($F$6:INDEX($F:$F, ROW()-1), $F545)) : INDEX(AB:AB, ROW()-1)),
          AVERAGEIFS(unit_details[Asking Rent],
          unit_details[Active Listing?],TRUE,
          unit_details[Property Name], $F546,
          unit_details[Beds], $L546,
          unit_details[Baths], $M546,
          unit_details[Partial Baths], IF(ISNUMBER($N546),$N546,""),
          unit_details[Sqft],$P546
)),"")</f>
        <v/>
      </c>
      <c r="AF546" s="5" t="str">
        <f>IFERROR(IF(AE546="","",IF($F546="Total",
SUMPRODUCT(
   INDEX(AF:AF, ROW()-COUNTIF($F$6:INDEX($F:$F, ROW()-1), $F545)) : INDEX(AF:AF, ROW()-1),
   INDEX(AB:AB, ROW()-COUNTIF($F$6:INDEX($F:$F, ROW()-1), $F545)) : INDEX(AB:AB, ROW()-1)
   )
   /SUM(INDEX(AB:AB, ROW()-COUNTIF($F$6:INDEX($F:$F, ROW()-1), $F545)) : INDEX(AB:AB, ROW()-1)),
           _xlfn.MAXIFS(unit_details[Asking Rent],
          unit_details[Active Listing?],TRUE,
          unit_details[Property Name], $F546,
          unit_details[Beds], $L546,
          unit_details[Baths], $M546,
          unit_details[Partial Baths], IF(ISNUMBER($N546),$N546,""),
          unit_details[Sqft],$P546
))),"")</f>
        <v/>
      </c>
      <c r="AG546" s="6" t="str">
        <f>IFERROR(IF($F546="Total",
         SUMPRODUCT(
         INDEX(AG:AG, ROW()-COUNTIF($F$6:INDEX($F:$F, ROW()-1), $F545)) : INDEX(AG:AG, ROW()-1),
         INDEX(AB:AB, ROW()-COUNTIF($F$6:INDEX($F:$F, ROW()-1), $F545)) : INDEX(AB:AB, ROW()-1)
         )
         /SUM(INDEX(AB:AB, ROW()-COUNTIF($F$6:INDEX($F:$F, ROW()-1), $F545)) : INDEX(AB:AB, ROW()-1)),
          AVERAGEIFS(unit_details[Asking PSF],
          unit_details[Active Listing?],TRUE,
          unit_details[Property Name], $F546,
          unit_details[Beds], $L546,
          unit_details[Baths], $M546,
          unit_details[Partial Baths], IF(ISNUMBER($N546),$N546,""),
          unit_details[Sqft],$P546
)),"")</f>
        <v/>
      </c>
      <c r="AH546" s="293" t="str">
        <f>IFERROR(IF($F546="Total",
         SUMPRODUCT(
         INDEX(AH:AH, ROW()-COUNTIF($F$6:INDEX($F:$F, ROW()-1), $F545)) : INDEX(AH:AH, ROW()-1),
         INDEX(AB:AB, ROW()-COUNTIF($F$6:INDEX($F:$F, ROW()-1), $F545)) : INDEX(AB:AB, ROW()-1)
         )
         /SUM(INDEX(AB:AB, ROW()-COUNTIF($F$6:INDEX($F:$F, ROW()-1), $F545)) : INDEX(AB:AB, ROW()-1)),
          AVERAGEIFS(unit_details[Effective Rent],
          unit_details[Active Listing?],TRUE,
          unit_details[Property Name], $F546,
          unit_details[Beds], $L546,
          unit_details[Baths], $M546,
          unit_details[Partial Baths], IF(ISNUMBER($N546),$N546,""),
          unit_details[Sqft],$P546
)),"")</f>
        <v/>
      </c>
      <c r="AI546" s="6" t="str">
        <f>IFERROR(IF($F546="Total",
         SUMPRODUCT(
         INDEX(AI:AI, ROW()-COUNTIF($F$6:INDEX($F:$F, ROW()-1), $F545)) : INDEX(AI:AI, ROW()-1),
         INDEX(AB:AB, ROW()-COUNTIF($F$6:INDEX($F:$F, ROW()-1), $F545)) : INDEX(AB:AB, ROW()-1)
         )
         /SUM(INDEX(AB:AB, ROW()-COUNTIF($F$6:INDEX($F:$F, ROW()-1), $F545)) : INDEX(AB:AB, ROW()-1)),
           AVERAGEIFS(unit_details[Effective PSF],
          unit_details[Active Listing?],TRUE,
          unit_details[Property Name], $F546,
          unit_details[Beds], $L546,
          unit_details[Baths], $M546,
          unit_details[Partial Baths], IF(ISNUMBER($N546),$N546,""),
          unit_details[Sqft],$P546
)),"")</f>
        <v/>
      </c>
      <c r="AJ546" s="824" t="str">
        <f t="shared" si="92"/>
        <v/>
      </c>
      <c r="AK546" s="531" t="str">
        <f t="shared" si="93"/>
        <v/>
      </c>
      <c r="AL546" s="714" t="str">
        <f t="shared" si="94"/>
        <v/>
      </c>
      <c r="AM546" s="531" t="str">
        <f t="shared" si="95"/>
        <v/>
      </c>
      <c r="AN546" s="716" t="str">
        <f t="shared" si="96"/>
        <v/>
      </c>
    </row>
    <row r="547" spans="6:40" x14ac:dyDescent="0.2">
      <c r="F547" s="1" t="str">
        <f t="shared" si="89"/>
        <v/>
      </c>
      <c r="G547" s="713" t="str">
        <f t="shared" si="97"/>
        <v/>
      </c>
      <c r="H547" s="17" t="str">
        <f>IFERROR(VLOOKUP($G547,Table1[[Property]:[Exposure %]],4,0),"")</f>
        <v/>
      </c>
      <c r="I547" s="3" t="str">
        <f>IFERROR(VLOOKUP($G547,Table1[[Property]:[Exposure %]],6,0),"")</f>
        <v/>
      </c>
      <c r="J547" s="3" t="str">
        <f>IFERROR(VLOOKUP($G547,Table1[[Property]:[Exposure %]],7,0),"")</f>
        <v/>
      </c>
      <c r="R547" s="4" t="str">
        <f>IFERROR(VLOOKUP(IF(F547="Total",F546,F547),Table1[[Property]:['# Units]],7,0)*S547,"")</f>
        <v/>
      </c>
      <c r="S547" s="27" t="str">
        <f t="shared" si="90"/>
        <v/>
      </c>
      <c r="T547" s="531" t="str">
        <f>IFERROR(
 IF($F547="Total",
   SUMPRODUCT(
   INDEX(T:T, ROW()-COUNTIF($F$6:INDEX($F:$F, ROW()-1), $F546)) : INDEX(T:T, ROW()-1),
   INDEX(W:W, ROW()-COUNTIF($F$6:INDEX($F:$F, ROW()-1), $F546)) : INDEX(W:W, ROW()-1)
   )
   /SUM(INDEX(W:W, ROW()-COUNTIF($F$6:INDEX($F:$F, ROW()-1), $F546)) : INDEX(W:W, ROW()-1)),
   AVERAGEIFS(
     INDEX((unit_details[Asking Rent],unit_details[Asking PSF]),0,1,IF($U$3="Chunk Rent",1,2)),
     unit_details[Leased Date],"&gt;="&amp;($AM$2-T$5),
     unit_details[Leased Date],"&lt;"&amp;$AM$2,
     unit_details[Beds],$L547,
     unit_details[Baths],$M547,
     unit_details[Partial Baths],IF(ISNUMBER($N547),$N547,""),
     unit_details[Sqft],$P547,
     unit_details[Property Name],$F547)
 ),"")</f>
        <v/>
      </c>
      <c r="U547" s="552" t="str">
        <f>IFERROR(
 IF($F547="Total",
   SUMPRODUCT(
   INDEX(U:U, ROW()-COUNTIF($F$6:INDEX($F:$F, ROW()-1), $F546)) : INDEX(U:U, ROW()-1),
   INDEX(W:W, ROW()-COUNTIF($F$6:INDEX($F:$F, ROW()-1), $F546)) : INDEX(W:W, ROW()-1)
   )
   /SUM(INDEX(W:W, ROW()-COUNTIF($F$6:INDEX($F:$F, ROW()-1), $F546)) : INDEX(W:W, ROW()-1)),
   AVERAGEIFS(
     INDEX((unit_details[Effective Rent],unit_details[Effective PSF]),0,1,IF($U$3="Chunk Rent",1,2)),
     unit_details[Leased Date],"&gt;="&amp;($AM$2-T$5),
     unit_details[Leased Date],"&lt;"&amp;$AM$2,
     unit_details[Beds],$L547,
     unit_details[Baths],$M547,
     unit_details[Partial Baths],IF(ISNUMBER($N547),$N547,""),
     unit_details[Sqft],$P547,
     unit_details[Property Name],$F547)
 ),"")</f>
        <v/>
      </c>
      <c r="V547" s="27" t="str">
        <f t="shared" si="98"/>
        <v/>
      </c>
      <c r="W547" s="526">
        <f>IFERROR(
  IF($F547="Total",
    SUM(INDEX(W:W, ROW()-COUNTIF($F$6:INDEX($F:$F, ROW()-1), $F546)) : INDEX(W:W, ROW()-1)),
    COUNTIFS(
      unit_details[Leased Date], "&gt;="&amp;($AM$2-T$5),
      unit_details[Leased Date], "&lt;"&amp;$AM$2,
      unit_details[Beds], $L547,
      unit_details[Baths], $M547,
      unit_details[Partial Baths], IF(ISNUMBER($N547), $N547, ""),
      unit_details[Sqft],$P547,
      unit_details[Property Name], $F547
    )
  ),
"")</f>
        <v>0</v>
      </c>
      <c r="X547" s="531" t="str">
        <f>IFERROR(
 IF($F547="Total",
   SUMPRODUCT(
   INDEX(X:X, ROW()-COUNTIF($F$6:INDEX($F:$F, ROW()-1), $F546)) : INDEX(X:X, ROW()-1),
   INDEX(AA:AA, ROW()-COUNTIF($F$6:INDEX($F:$F, ROW()-1), $F546)) : INDEX(AA:AA, ROW()-1)
   )
   /SUM(INDEX(AA:AA, ROW()-COUNTIF($F$6:INDEX($F:$F, ROW()-1), $F546)) : INDEX(AA:AA, ROW()-1)),
   AVERAGEIFS(
     INDEX((unit_details[Asking Rent],unit_details[Asking PSF]),0,1,IF($U$3="Chunk Rent",1,2)),
     unit_details[Leased Date],"&gt;="&amp;($AM$2-X$5),
     unit_details[Leased Date],"&lt;"&amp;$AM$2,
     unit_details[Beds],$L547,
     unit_details[Baths],$M547,
     unit_details[Partial Baths],IF(ISNUMBER($N547),$N547,""),
     unit_details[Sqft],$P547,
     unit_details[Property Name],$F547)
 ),"")</f>
        <v/>
      </c>
      <c r="Y547" s="552" t="str">
        <f>IFERROR(
 IF($F547="Total",
   SUMPRODUCT(
   INDEX(Y:Y, ROW()-COUNTIF($F$6:INDEX($F:$F, ROW()-1), $F546)) : INDEX(Y:Y, ROW()-1),
   INDEX(AA:AA, ROW()-COUNTIF($F$6:INDEX($F:$F, ROW()-1), $F546)) : INDEX(AA:AA, ROW()-1)
   )
   /SUM(INDEX(AA:AA, ROW()-COUNTIF($F$6:INDEX($F:$F, ROW()-1), $F546)) : INDEX(AA:AA, ROW()-1)),
   AVERAGEIFS(
     INDEX((unit_details[Effective Rent],unit_details[Effective PSF]),0,1,IF($U$3="Chunk Rent",1,2)),
     unit_details[Leased Date],"&gt;="&amp;($AM$2-X$5),
     unit_details[Leased Date],"&lt;"&amp;$AM$2,
     unit_details[Beds],$L547,
     unit_details[Baths],$M547,
     unit_details[Partial Baths],IF(ISNUMBER($N547),$N547,""),
     unit_details[Sqft],$P547,
     unit_details[Property Name],$F547)
 ),"")</f>
        <v/>
      </c>
      <c r="Z547" s="27" t="str">
        <f t="shared" si="99"/>
        <v/>
      </c>
      <c r="AA547" s="526">
        <f>IFERROR(
  IF($F547="Total",
    SUM(INDEX(AA:AA, ROW()-COUNTIF($F$6:INDEX($F:$F, ROW()-1), $F546)) : INDEX(AA:AA, ROW()-1)),
    COUNTIFS(
      unit_details[Leased Date], "&gt;="&amp;($AM$2-X$5),
      unit_details[Leased Date], "&lt;"&amp;$AM$2,
      unit_details[Beds], $L547,
      unit_details[Baths], $M547,
      unit_details[Partial Baths], IF(ISNUMBER($N547), $N547, ""),
      unit_details[Sqft],$P547,
      unit_details[Property Name], $F547
    )
  ),
"")</f>
        <v>0</v>
      </c>
      <c r="AB547" s="290">
        <f>IF($F547="Total",
SUM(INDEX(AB:AB, ROW()-COUNTIF($F$6:INDEX($F:$F, ROW()-1), $F546)) : INDEX(AB:AB, ROW()-1)),
COUNTIFS(unit_details[Active Listing?],TRUE,
          unit_details[Property Name], $F547,
          unit_details[Beds], $L547,
          unit_details[Baths], $M547,
          unit_details[Partial Baths],IF(ISNUMBER($N547),$N547,""),
          unit_details[Sqft],$P547))</f>
        <v>0</v>
      </c>
      <c r="AC547" s="27" t="str">
        <f t="shared" si="91"/>
        <v/>
      </c>
      <c r="AD547" s="293" t="str">
        <f>IFERROR(IF(AE547="","",IF($F547="Total",
SUMPRODUCT(
   INDEX(AD:AD, ROW()-COUNTIF($F$6:INDEX($F:$F, ROW()-1), $F546)) : INDEX(AD:AD, ROW()-1),
   INDEX(AB:AB, ROW()-COUNTIF($F$6:INDEX($F:$F, ROW()-1), $F546)) : INDEX(AB:AB, ROW()-1)
   )
   /SUM(INDEX(AB:AB, ROW()-COUNTIF($F$6:INDEX($F:$F, ROW()-1), $F546)) : INDEX(AB:AB, ROW()-1)),
          _xlfn.MINIFS(unit_details[Asking Rent],
          unit_details[Active Listing?],TRUE,
          unit_details[Property Name], $F547,
          unit_details[Beds], $L547,
          unit_details[Baths], $M547,
          unit_details[Partial Baths], IF(ISNUMBER($N547),$N547,""),
          unit_details[Sqft],$P547
))),"")</f>
        <v/>
      </c>
      <c r="AE547" s="5" t="str">
        <f>IFERROR(IF($F547="Total",
          SUMPRODUCT(
   INDEX(AE:AE, ROW()-COUNTIF($F$6:INDEX($F:$F, ROW()-1), $F546)) : INDEX(AE:AE, ROW()-1),
   INDEX(AB:AB, ROW()-COUNTIF($F$6:INDEX($F:$F, ROW()-1), $F546)) : INDEX(AB:AB, ROW()-1)
   )
   /SUM(INDEX(AB:AB, ROW()-COUNTIF($F$6:INDEX($F:$F, ROW()-1), $F546)) : INDEX(AB:AB, ROW()-1)),
          AVERAGEIFS(unit_details[Asking Rent],
          unit_details[Active Listing?],TRUE,
          unit_details[Property Name], $F547,
          unit_details[Beds], $L547,
          unit_details[Baths], $M547,
          unit_details[Partial Baths], IF(ISNUMBER($N547),$N547,""),
          unit_details[Sqft],$P547
)),"")</f>
        <v/>
      </c>
      <c r="AF547" s="5" t="str">
        <f>IFERROR(IF(AE547="","",IF($F547="Total",
SUMPRODUCT(
   INDEX(AF:AF, ROW()-COUNTIF($F$6:INDEX($F:$F, ROW()-1), $F546)) : INDEX(AF:AF, ROW()-1),
   INDEX(AB:AB, ROW()-COUNTIF($F$6:INDEX($F:$F, ROW()-1), $F546)) : INDEX(AB:AB, ROW()-1)
   )
   /SUM(INDEX(AB:AB, ROW()-COUNTIF($F$6:INDEX($F:$F, ROW()-1), $F546)) : INDEX(AB:AB, ROW()-1)),
           _xlfn.MAXIFS(unit_details[Asking Rent],
          unit_details[Active Listing?],TRUE,
          unit_details[Property Name], $F547,
          unit_details[Beds], $L547,
          unit_details[Baths], $M547,
          unit_details[Partial Baths], IF(ISNUMBER($N547),$N547,""),
          unit_details[Sqft],$P547
))),"")</f>
        <v/>
      </c>
      <c r="AG547" s="6" t="str">
        <f>IFERROR(IF($F547="Total",
         SUMPRODUCT(
         INDEX(AG:AG, ROW()-COUNTIF($F$6:INDEX($F:$F, ROW()-1), $F546)) : INDEX(AG:AG, ROW()-1),
         INDEX(AB:AB, ROW()-COUNTIF($F$6:INDEX($F:$F, ROW()-1), $F546)) : INDEX(AB:AB, ROW()-1)
         )
         /SUM(INDEX(AB:AB, ROW()-COUNTIF($F$6:INDEX($F:$F, ROW()-1), $F546)) : INDEX(AB:AB, ROW()-1)),
          AVERAGEIFS(unit_details[Asking PSF],
          unit_details[Active Listing?],TRUE,
          unit_details[Property Name], $F547,
          unit_details[Beds], $L547,
          unit_details[Baths], $M547,
          unit_details[Partial Baths], IF(ISNUMBER($N547),$N547,""),
          unit_details[Sqft],$P547
)),"")</f>
        <v/>
      </c>
      <c r="AH547" s="293" t="str">
        <f>IFERROR(IF($F547="Total",
         SUMPRODUCT(
         INDEX(AH:AH, ROW()-COUNTIF($F$6:INDEX($F:$F, ROW()-1), $F546)) : INDEX(AH:AH, ROW()-1),
         INDEX(AB:AB, ROW()-COUNTIF($F$6:INDEX($F:$F, ROW()-1), $F546)) : INDEX(AB:AB, ROW()-1)
         )
         /SUM(INDEX(AB:AB, ROW()-COUNTIF($F$6:INDEX($F:$F, ROW()-1), $F546)) : INDEX(AB:AB, ROW()-1)),
          AVERAGEIFS(unit_details[Effective Rent],
          unit_details[Active Listing?],TRUE,
          unit_details[Property Name], $F547,
          unit_details[Beds], $L547,
          unit_details[Baths], $M547,
          unit_details[Partial Baths], IF(ISNUMBER($N547),$N547,""),
          unit_details[Sqft],$P547
)),"")</f>
        <v/>
      </c>
      <c r="AI547" s="6" t="str">
        <f>IFERROR(IF($F547="Total",
         SUMPRODUCT(
         INDEX(AI:AI, ROW()-COUNTIF($F$6:INDEX($F:$F, ROW()-1), $F546)) : INDEX(AI:AI, ROW()-1),
         INDEX(AB:AB, ROW()-COUNTIF($F$6:INDEX($F:$F, ROW()-1), $F546)) : INDEX(AB:AB, ROW()-1)
         )
         /SUM(INDEX(AB:AB, ROW()-COUNTIF($F$6:INDEX($F:$F, ROW()-1), $F546)) : INDEX(AB:AB, ROW()-1)),
           AVERAGEIFS(unit_details[Effective PSF],
          unit_details[Active Listing?],TRUE,
          unit_details[Property Name], $F547,
          unit_details[Beds], $L547,
          unit_details[Baths], $M547,
          unit_details[Partial Baths], IF(ISNUMBER($N547),$N547,""),
          unit_details[Sqft],$P547
)),"")</f>
        <v/>
      </c>
      <c r="AJ547" s="824" t="str">
        <f t="shared" si="92"/>
        <v/>
      </c>
      <c r="AK547" s="531" t="str">
        <f t="shared" si="93"/>
        <v/>
      </c>
      <c r="AL547" s="714" t="str">
        <f t="shared" si="94"/>
        <v/>
      </c>
      <c r="AM547" s="531" t="str">
        <f t="shared" si="95"/>
        <v/>
      </c>
      <c r="AN547" s="716" t="str">
        <f t="shared" si="96"/>
        <v/>
      </c>
    </row>
    <row r="548" spans="6:40" x14ac:dyDescent="0.2">
      <c r="F548" s="1" t="str">
        <f t="shared" si="89"/>
        <v/>
      </c>
      <c r="G548" s="713" t="str">
        <f t="shared" si="97"/>
        <v/>
      </c>
      <c r="H548" s="17" t="str">
        <f>IFERROR(VLOOKUP($G548,Table1[[Property]:[Exposure %]],4,0),"")</f>
        <v/>
      </c>
      <c r="I548" s="3" t="str">
        <f>IFERROR(VLOOKUP($G548,Table1[[Property]:[Exposure %]],6,0),"")</f>
        <v/>
      </c>
      <c r="J548" s="3" t="str">
        <f>IFERROR(VLOOKUP($G548,Table1[[Property]:[Exposure %]],7,0),"")</f>
        <v/>
      </c>
      <c r="R548" s="4" t="str">
        <f>IFERROR(VLOOKUP(IF(F548="Total",F547,F548),Table1[[Property]:['# Units]],7,0)*S548,"")</f>
        <v/>
      </c>
      <c r="S548" s="27" t="str">
        <f t="shared" si="90"/>
        <v/>
      </c>
      <c r="T548" s="531" t="str">
        <f>IFERROR(
 IF($F548="Total",
   SUMPRODUCT(
   INDEX(T:T, ROW()-COUNTIF($F$6:INDEX($F:$F, ROW()-1), $F547)) : INDEX(T:T, ROW()-1),
   INDEX(W:W, ROW()-COUNTIF($F$6:INDEX($F:$F, ROW()-1), $F547)) : INDEX(W:W, ROW()-1)
   )
   /SUM(INDEX(W:W, ROW()-COUNTIF($F$6:INDEX($F:$F, ROW()-1), $F547)) : INDEX(W:W, ROW()-1)),
   AVERAGEIFS(
     INDEX((unit_details[Asking Rent],unit_details[Asking PSF]),0,1,IF($U$3="Chunk Rent",1,2)),
     unit_details[Leased Date],"&gt;="&amp;($AM$2-T$5),
     unit_details[Leased Date],"&lt;"&amp;$AM$2,
     unit_details[Beds],$L548,
     unit_details[Baths],$M548,
     unit_details[Partial Baths],IF(ISNUMBER($N548),$N548,""),
     unit_details[Sqft],$P548,
     unit_details[Property Name],$F548)
 ),"")</f>
        <v/>
      </c>
      <c r="U548" s="552" t="str">
        <f>IFERROR(
 IF($F548="Total",
   SUMPRODUCT(
   INDEX(U:U, ROW()-COUNTIF($F$6:INDEX($F:$F, ROW()-1), $F547)) : INDEX(U:U, ROW()-1),
   INDEX(W:W, ROW()-COUNTIF($F$6:INDEX($F:$F, ROW()-1), $F547)) : INDEX(W:W, ROW()-1)
   )
   /SUM(INDEX(W:W, ROW()-COUNTIF($F$6:INDEX($F:$F, ROW()-1), $F547)) : INDEX(W:W, ROW()-1)),
   AVERAGEIFS(
     INDEX((unit_details[Effective Rent],unit_details[Effective PSF]),0,1,IF($U$3="Chunk Rent",1,2)),
     unit_details[Leased Date],"&gt;="&amp;($AM$2-T$5),
     unit_details[Leased Date],"&lt;"&amp;$AM$2,
     unit_details[Beds],$L548,
     unit_details[Baths],$M548,
     unit_details[Partial Baths],IF(ISNUMBER($N548),$N548,""),
     unit_details[Sqft],$P548,
     unit_details[Property Name],$F548)
 ),"")</f>
        <v/>
      </c>
      <c r="V548" s="27" t="str">
        <f t="shared" si="98"/>
        <v/>
      </c>
      <c r="W548" s="526">
        <f>IFERROR(
  IF($F548="Total",
    SUM(INDEX(W:W, ROW()-COUNTIF($F$6:INDEX($F:$F, ROW()-1), $F547)) : INDEX(W:W, ROW()-1)),
    COUNTIFS(
      unit_details[Leased Date], "&gt;="&amp;($AM$2-T$5),
      unit_details[Leased Date], "&lt;"&amp;$AM$2,
      unit_details[Beds], $L548,
      unit_details[Baths], $M548,
      unit_details[Partial Baths], IF(ISNUMBER($N548), $N548, ""),
      unit_details[Sqft],$P548,
      unit_details[Property Name], $F548
    )
  ),
"")</f>
        <v>0</v>
      </c>
      <c r="X548" s="531" t="str">
        <f>IFERROR(
 IF($F548="Total",
   SUMPRODUCT(
   INDEX(X:X, ROW()-COUNTIF($F$6:INDEX($F:$F, ROW()-1), $F547)) : INDEX(X:X, ROW()-1),
   INDEX(AA:AA, ROW()-COUNTIF($F$6:INDEX($F:$F, ROW()-1), $F547)) : INDEX(AA:AA, ROW()-1)
   )
   /SUM(INDEX(AA:AA, ROW()-COUNTIF($F$6:INDEX($F:$F, ROW()-1), $F547)) : INDEX(AA:AA, ROW()-1)),
   AVERAGEIFS(
     INDEX((unit_details[Asking Rent],unit_details[Asking PSF]),0,1,IF($U$3="Chunk Rent",1,2)),
     unit_details[Leased Date],"&gt;="&amp;($AM$2-X$5),
     unit_details[Leased Date],"&lt;"&amp;$AM$2,
     unit_details[Beds],$L548,
     unit_details[Baths],$M548,
     unit_details[Partial Baths],IF(ISNUMBER($N548),$N548,""),
     unit_details[Sqft],$P548,
     unit_details[Property Name],$F548)
 ),"")</f>
        <v/>
      </c>
      <c r="Y548" s="552" t="str">
        <f>IFERROR(
 IF($F548="Total",
   SUMPRODUCT(
   INDEX(Y:Y, ROW()-COUNTIF($F$6:INDEX($F:$F, ROW()-1), $F547)) : INDEX(Y:Y, ROW()-1),
   INDEX(AA:AA, ROW()-COUNTIF($F$6:INDEX($F:$F, ROW()-1), $F547)) : INDEX(AA:AA, ROW()-1)
   )
   /SUM(INDEX(AA:AA, ROW()-COUNTIF($F$6:INDEX($F:$F, ROW()-1), $F547)) : INDEX(AA:AA, ROW()-1)),
   AVERAGEIFS(
     INDEX((unit_details[Effective Rent],unit_details[Effective PSF]),0,1,IF($U$3="Chunk Rent",1,2)),
     unit_details[Leased Date],"&gt;="&amp;($AM$2-X$5),
     unit_details[Leased Date],"&lt;"&amp;$AM$2,
     unit_details[Beds],$L548,
     unit_details[Baths],$M548,
     unit_details[Partial Baths],IF(ISNUMBER($N548),$N548,""),
     unit_details[Sqft],$P548,
     unit_details[Property Name],$F548)
 ),"")</f>
        <v/>
      </c>
      <c r="Z548" s="27" t="str">
        <f t="shared" si="99"/>
        <v/>
      </c>
      <c r="AA548" s="526">
        <f>IFERROR(
  IF($F548="Total",
    SUM(INDEX(AA:AA, ROW()-COUNTIF($F$6:INDEX($F:$F, ROW()-1), $F547)) : INDEX(AA:AA, ROW()-1)),
    COUNTIFS(
      unit_details[Leased Date], "&gt;="&amp;($AM$2-X$5),
      unit_details[Leased Date], "&lt;"&amp;$AM$2,
      unit_details[Beds], $L548,
      unit_details[Baths], $M548,
      unit_details[Partial Baths], IF(ISNUMBER($N548), $N548, ""),
      unit_details[Sqft],$P548,
      unit_details[Property Name], $F548
    )
  ),
"")</f>
        <v>0</v>
      </c>
      <c r="AB548" s="290">
        <f>IF($F548="Total",
SUM(INDEX(AB:AB, ROW()-COUNTIF($F$6:INDEX($F:$F, ROW()-1), $F547)) : INDEX(AB:AB, ROW()-1)),
COUNTIFS(unit_details[Active Listing?],TRUE,
          unit_details[Property Name], $F548,
          unit_details[Beds], $L548,
          unit_details[Baths], $M548,
          unit_details[Partial Baths],IF(ISNUMBER($N548),$N548,""),
          unit_details[Sqft],$P548))</f>
        <v>0</v>
      </c>
      <c r="AC548" s="27" t="str">
        <f t="shared" si="91"/>
        <v/>
      </c>
      <c r="AD548" s="293" t="str">
        <f>IFERROR(IF(AE548="","",IF($F548="Total",
SUMPRODUCT(
   INDEX(AD:AD, ROW()-COUNTIF($F$6:INDEX($F:$F, ROW()-1), $F547)) : INDEX(AD:AD, ROW()-1),
   INDEX(AB:AB, ROW()-COUNTIF($F$6:INDEX($F:$F, ROW()-1), $F547)) : INDEX(AB:AB, ROW()-1)
   )
   /SUM(INDEX(AB:AB, ROW()-COUNTIF($F$6:INDEX($F:$F, ROW()-1), $F547)) : INDEX(AB:AB, ROW()-1)),
          _xlfn.MINIFS(unit_details[Asking Rent],
          unit_details[Active Listing?],TRUE,
          unit_details[Property Name], $F548,
          unit_details[Beds], $L548,
          unit_details[Baths], $M548,
          unit_details[Partial Baths], IF(ISNUMBER($N548),$N548,""),
          unit_details[Sqft],$P548
))),"")</f>
        <v/>
      </c>
      <c r="AE548" s="5" t="str">
        <f>IFERROR(IF($F548="Total",
          SUMPRODUCT(
   INDEX(AE:AE, ROW()-COUNTIF($F$6:INDEX($F:$F, ROW()-1), $F547)) : INDEX(AE:AE, ROW()-1),
   INDEX(AB:AB, ROW()-COUNTIF($F$6:INDEX($F:$F, ROW()-1), $F547)) : INDEX(AB:AB, ROW()-1)
   )
   /SUM(INDEX(AB:AB, ROW()-COUNTIF($F$6:INDEX($F:$F, ROW()-1), $F547)) : INDEX(AB:AB, ROW()-1)),
          AVERAGEIFS(unit_details[Asking Rent],
          unit_details[Active Listing?],TRUE,
          unit_details[Property Name], $F548,
          unit_details[Beds], $L548,
          unit_details[Baths], $M548,
          unit_details[Partial Baths], IF(ISNUMBER($N548),$N548,""),
          unit_details[Sqft],$P548
)),"")</f>
        <v/>
      </c>
      <c r="AF548" s="5" t="str">
        <f>IFERROR(IF(AE548="","",IF($F548="Total",
SUMPRODUCT(
   INDEX(AF:AF, ROW()-COUNTIF($F$6:INDEX($F:$F, ROW()-1), $F547)) : INDEX(AF:AF, ROW()-1),
   INDEX(AB:AB, ROW()-COUNTIF($F$6:INDEX($F:$F, ROW()-1), $F547)) : INDEX(AB:AB, ROW()-1)
   )
   /SUM(INDEX(AB:AB, ROW()-COUNTIF($F$6:INDEX($F:$F, ROW()-1), $F547)) : INDEX(AB:AB, ROW()-1)),
           _xlfn.MAXIFS(unit_details[Asking Rent],
          unit_details[Active Listing?],TRUE,
          unit_details[Property Name], $F548,
          unit_details[Beds], $L548,
          unit_details[Baths], $M548,
          unit_details[Partial Baths], IF(ISNUMBER($N548),$N548,""),
          unit_details[Sqft],$P548
))),"")</f>
        <v/>
      </c>
      <c r="AG548" s="6" t="str">
        <f>IFERROR(IF($F548="Total",
         SUMPRODUCT(
         INDEX(AG:AG, ROW()-COUNTIF($F$6:INDEX($F:$F, ROW()-1), $F547)) : INDEX(AG:AG, ROW()-1),
         INDEX(AB:AB, ROW()-COUNTIF($F$6:INDEX($F:$F, ROW()-1), $F547)) : INDEX(AB:AB, ROW()-1)
         )
         /SUM(INDEX(AB:AB, ROW()-COUNTIF($F$6:INDEX($F:$F, ROW()-1), $F547)) : INDEX(AB:AB, ROW()-1)),
          AVERAGEIFS(unit_details[Asking PSF],
          unit_details[Active Listing?],TRUE,
          unit_details[Property Name], $F548,
          unit_details[Beds], $L548,
          unit_details[Baths], $M548,
          unit_details[Partial Baths], IF(ISNUMBER($N548),$N548,""),
          unit_details[Sqft],$P548
)),"")</f>
        <v/>
      </c>
      <c r="AH548" s="293" t="str">
        <f>IFERROR(IF($F548="Total",
         SUMPRODUCT(
         INDEX(AH:AH, ROW()-COUNTIF($F$6:INDEX($F:$F, ROW()-1), $F547)) : INDEX(AH:AH, ROW()-1),
         INDEX(AB:AB, ROW()-COUNTIF($F$6:INDEX($F:$F, ROW()-1), $F547)) : INDEX(AB:AB, ROW()-1)
         )
         /SUM(INDEX(AB:AB, ROW()-COUNTIF($F$6:INDEX($F:$F, ROW()-1), $F547)) : INDEX(AB:AB, ROW()-1)),
          AVERAGEIFS(unit_details[Effective Rent],
          unit_details[Active Listing?],TRUE,
          unit_details[Property Name], $F548,
          unit_details[Beds], $L548,
          unit_details[Baths], $M548,
          unit_details[Partial Baths], IF(ISNUMBER($N548),$N548,""),
          unit_details[Sqft],$P548
)),"")</f>
        <v/>
      </c>
      <c r="AI548" s="6" t="str">
        <f>IFERROR(IF($F548="Total",
         SUMPRODUCT(
         INDEX(AI:AI, ROW()-COUNTIF($F$6:INDEX($F:$F, ROW()-1), $F547)) : INDEX(AI:AI, ROW()-1),
         INDEX(AB:AB, ROW()-COUNTIF($F$6:INDEX($F:$F, ROW()-1), $F547)) : INDEX(AB:AB, ROW()-1)
         )
         /SUM(INDEX(AB:AB, ROW()-COUNTIF($F$6:INDEX($F:$F, ROW()-1), $F547)) : INDEX(AB:AB, ROW()-1)),
           AVERAGEIFS(unit_details[Effective PSF],
          unit_details[Active Listing?],TRUE,
          unit_details[Property Name], $F548,
          unit_details[Beds], $L548,
          unit_details[Baths], $M548,
          unit_details[Partial Baths], IF(ISNUMBER($N548),$N548,""),
          unit_details[Sqft],$P548
)),"")</f>
        <v/>
      </c>
      <c r="AJ548" s="824" t="str">
        <f t="shared" si="92"/>
        <v/>
      </c>
      <c r="AK548" s="531" t="str">
        <f t="shared" si="93"/>
        <v/>
      </c>
      <c r="AL548" s="714" t="str">
        <f t="shared" si="94"/>
        <v/>
      </c>
      <c r="AM548" s="531" t="str">
        <f t="shared" si="95"/>
        <v/>
      </c>
      <c r="AN548" s="716" t="str">
        <f t="shared" si="96"/>
        <v/>
      </c>
    </row>
    <row r="549" spans="6:40" x14ac:dyDescent="0.2">
      <c r="F549" s="1" t="str">
        <f t="shared" si="89"/>
        <v/>
      </c>
      <c r="G549" s="713" t="str">
        <f t="shared" si="97"/>
        <v/>
      </c>
      <c r="H549" s="17" t="str">
        <f>IFERROR(VLOOKUP($G549,Table1[[Property]:[Exposure %]],4,0),"")</f>
        <v/>
      </c>
      <c r="I549" s="3" t="str">
        <f>IFERROR(VLOOKUP($G549,Table1[[Property]:[Exposure %]],6,0),"")</f>
        <v/>
      </c>
      <c r="J549" s="3" t="str">
        <f>IFERROR(VLOOKUP($G549,Table1[[Property]:[Exposure %]],7,0),"")</f>
        <v/>
      </c>
      <c r="R549" s="4" t="str">
        <f>IFERROR(VLOOKUP(IF(F549="Total",F548,F549),Table1[[Property]:['# Units]],7,0)*S549,"")</f>
        <v/>
      </c>
      <c r="S549" s="27" t="str">
        <f t="shared" si="90"/>
        <v/>
      </c>
      <c r="T549" s="531" t="str">
        <f>IFERROR(
 IF($F549="Total",
   SUMPRODUCT(
   INDEX(T:T, ROW()-COUNTIF($F$6:INDEX($F:$F, ROW()-1), $F548)) : INDEX(T:T, ROW()-1),
   INDEX(W:W, ROW()-COUNTIF($F$6:INDEX($F:$F, ROW()-1), $F548)) : INDEX(W:W, ROW()-1)
   )
   /SUM(INDEX(W:W, ROW()-COUNTIF($F$6:INDEX($F:$F, ROW()-1), $F548)) : INDEX(W:W, ROW()-1)),
   AVERAGEIFS(
     INDEX((unit_details[Asking Rent],unit_details[Asking PSF]),0,1,IF($U$3="Chunk Rent",1,2)),
     unit_details[Leased Date],"&gt;="&amp;($AM$2-T$5),
     unit_details[Leased Date],"&lt;"&amp;$AM$2,
     unit_details[Beds],$L549,
     unit_details[Baths],$M549,
     unit_details[Partial Baths],IF(ISNUMBER($N549),$N549,""),
     unit_details[Sqft],$P549,
     unit_details[Property Name],$F549)
 ),"")</f>
        <v/>
      </c>
      <c r="U549" s="552" t="str">
        <f>IFERROR(
 IF($F549="Total",
   SUMPRODUCT(
   INDEX(U:U, ROW()-COUNTIF($F$6:INDEX($F:$F, ROW()-1), $F548)) : INDEX(U:U, ROW()-1),
   INDEX(W:W, ROW()-COUNTIF($F$6:INDEX($F:$F, ROW()-1), $F548)) : INDEX(W:W, ROW()-1)
   )
   /SUM(INDEX(W:W, ROW()-COUNTIF($F$6:INDEX($F:$F, ROW()-1), $F548)) : INDEX(W:W, ROW()-1)),
   AVERAGEIFS(
     INDEX((unit_details[Effective Rent],unit_details[Effective PSF]),0,1,IF($U$3="Chunk Rent",1,2)),
     unit_details[Leased Date],"&gt;="&amp;($AM$2-T$5),
     unit_details[Leased Date],"&lt;"&amp;$AM$2,
     unit_details[Beds],$L549,
     unit_details[Baths],$M549,
     unit_details[Partial Baths],IF(ISNUMBER($N549),$N549,""),
     unit_details[Sqft],$P549,
     unit_details[Property Name],$F549)
 ),"")</f>
        <v/>
      </c>
      <c r="V549" s="27" t="str">
        <f t="shared" si="98"/>
        <v/>
      </c>
      <c r="W549" s="526">
        <f>IFERROR(
  IF($F549="Total",
    SUM(INDEX(W:W, ROW()-COUNTIF($F$6:INDEX($F:$F, ROW()-1), $F548)) : INDEX(W:W, ROW()-1)),
    COUNTIFS(
      unit_details[Leased Date], "&gt;="&amp;($AM$2-T$5),
      unit_details[Leased Date], "&lt;"&amp;$AM$2,
      unit_details[Beds], $L549,
      unit_details[Baths], $M549,
      unit_details[Partial Baths], IF(ISNUMBER($N549), $N549, ""),
      unit_details[Sqft],$P549,
      unit_details[Property Name], $F549
    )
  ),
"")</f>
        <v>0</v>
      </c>
      <c r="X549" s="531" t="str">
        <f>IFERROR(
 IF($F549="Total",
   SUMPRODUCT(
   INDEX(X:X, ROW()-COUNTIF($F$6:INDEX($F:$F, ROW()-1), $F548)) : INDEX(X:X, ROW()-1),
   INDEX(AA:AA, ROW()-COUNTIF($F$6:INDEX($F:$F, ROW()-1), $F548)) : INDEX(AA:AA, ROW()-1)
   )
   /SUM(INDEX(AA:AA, ROW()-COUNTIF($F$6:INDEX($F:$F, ROW()-1), $F548)) : INDEX(AA:AA, ROW()-1)),
   AVERAGEIFS(
     INDEX((unit_details[Asking Rent],unit_details[Asking PSF]),0,1,IF($U$3="Chunk Rent",1,2)),
     unit_details[Leased Date],"&gt;="&amp;($AM$2-X$5),
     unit_details[Leased Date],"&lt;"&amp;$AM$2,
     unit_details[Beds],$L549,
     unit_details[Baths],$M549,
     unit_details[Partial Baths],IF(ISNUMBER($N549),$N549,""),
     unit_details[Sqft],$P549,
     unit_details[Property Name],$F549)
 ),"")</f>
        <v/>
      </c>
      <c r="Y549" s="552" t="str">
        <f>IFERROR(
 IF($F549="Total",
   SUMPRODUCT(
   INDEX(Y:Y, ROW()-COUNTIF($F$6:INDEX($F:$F, ROW()-1), $F548)) : INDEX(Y:Y, ROW()-1),
   INDEX(AA:AA, ROW()-COUNTIF($F$6:INDEX($F:$F, ROW()-1), $F548)) : INDEX(AA:AA, ROW()-1)
   )
   /SUM(INDEX(AA:AA, ROW()-COUNTIF($F$6:INDEX($F:$F, ROW()-1), $F548)) : INDEX(AA:AA, ROW()-1)),
   AVERAGEIFS(
     INDEX((unit_details[Effective Rent],unit_details[Effective PSF]),0,1,IF($U$3="Chunk Rent",1,2)),
     unit_details[Leased Date],"&gt;="&amp;($AM$2-X$5),
     unit_details[Leased Date],"&lt;"&amp;$AM$2,
     unit_details[Beds],$L549,
     unit_details[Baths],$M549,
     unit_details[Partial Baths],IF(ISNUMBER($N549),$N549,""),
     unit_details[Sqft],$P549,
     unit_details[Property Name],$F549)
 ),"")</f>
        <v/>
      </c>
      <c r="Z549" s="27" t="str">
        <f t="shared" si="99"/>
        <v/>
      </c>
      <c r="AA549" s="526">
        <f>IFERROR(
  IF($F549="Total",
    SUM(INDEX(AA:AA, ROW()-COUNTIF($F$6:INDEX($F:$F, ROW()-1), $F548)) : INDEX(AA:AA, ROW()-1)),
    COUNTIFS(
      unit_details[Leased Date], "&gt;="&amp;($AM$2-X$5),
      unit_details[Leased Date], "&lt;"&amp;$AM$2,
      unit_details[Beds], $L549,
      unit_details[Baths], $M549,
      unit_details[Partial Baths], IF(ISNUMBER($N549), $N549, ""),
      unit_details[Sqft],$P549,
      unit_details[Property Name], $F549
    )
  ),
"")</f>
        <v>0</v>
      </c>
      <c r="AB549" s="290">
        <f>IF($F549="Total",
SUM(INDEX(AB:AB, ROW()-COUNTIF($F$6:INDEX($F:$F, ROW()-1), $F548)) : INDEX(AB:AB, ROW()-1)),
COUNTIFS(unit_details[Active Listing?],TRUE,
          unit_details[Property Name], $F549,
          unit_details[Beds], $L549,
          unit_details[Baths], $M549,
          unit_details[Partial Baths],IF(ISNUMBER($N549),$N549,""),
          unit_details[Sqft],$P549))</f>
        <v>0</v>
      </c>
      <c r="AC549" s="27" t="str">
        <f t="shared" si="91"/>
        <v/>
      </c>
      <c r="AD549" s="293" t="str">
        <f>IFERROR(IF(AE549="","",IF($F549="Total",
SUMPRODUCT(
   INDEX(AD:AD, ROW()-COUNTIF($F$6:INDEX($F:$F, ROW()-1), $F548)) : INDEX(AD:AD, ROW()-1),
   INDEX(AB:AB, ROW()-COUNTIF($F$6:INDEX($F:$F, ROW()-1), $F548)) : INDEX(AB:AB, ROW()-1)
   )
   /SUM(INDEX(AB:AB, ROW()-COUNTIF($F$6:INDEX($F:$F, ROW()-1), $F548)) : INDEX(AB:AB, ROW()-1)),
          _xlfn.MINIFS(unit_details[Asking Rent],
          unit_details[Active Listing?],TRUE,
          unit_details[Property Name], $F549,
          unit_details[Beds], $L549,
          unit_details[Baths], $M549,
          unit_details[Partial Baths], IF(ISNUMBER($N549),$N549,""),
          unit_details[Sqft],$P549
))),"")</f>
        <v/>
      </c>
      <c r="AE549" s="5" t="str">
        <f>IFERROR(IF($F549="Total",
          SUMPRODUCT(
   INDEX(AE:AE, ROW()-COUNTIF($F$6:INDEX($F:$F, ROW()-1), $F548)) : INDEX(AE:AE, ROW()-1),
   INDEX(AB:AB, ROW()-COUNTIF($F$6:INDEX($F:$F, ROW()-1), $F548)) : INDEX(AB:AB, ROW()-1)
   )
   /SUM(INDEX(AB:AB, ROW()-COUNTIF($F$6:INDEX($F:$F, ROW()-1), $F548)) : INDEX(AB:AB, ROW()-1)),
          AVERAGEIFS(unit_details[Asking Rent],
          unit_details[Active Listing?],TRUE,
          unit_details[Property Name], $F549,
          unit_details[Beds], $L549,
          unit_details[Baths], $M549,
          unit_details[Partial Baths], IF(ISNUMBER($N549),$N549,""),
          unit_details[Sqft],$P549
)),"")</f>
        <v/>
      </c>
      <c r="AF549" s="5" t="str">
        <f>IFERROR(IF(AE549="","",IF($F549="Total",
SUMPRODUCT(
   INDEX(AF:AF, ROW()-COUNTIF($F$6:INDEX($F:$F, ROW()-1), $F548)) : INDEX(AF:AF, ROW()-1),
   INDEX(AB:AB, ROW()-COUNTIF($F$6:INDEX($F:$F, ROW()-1), $F548)) : INDEX(AB:AB, ROW()-1)
   )
   /SUM(INDEX(AB:AB, ROW()-COUNTIF($F$6:INDEX($F:$F, ROW()-1), $F548)) : INDEX(AB:AB, ROW()-1)),
           _xlfn.MAXIFS(unit_details[Asking Rent],
          unit_details[Active Listing?],TRUE,
          unit_details[Property Name], $F549,
          unit_details[Beds], $L549,
          unit_details[Baths], $M549,
          unit_details[Partial Baths], IF(ISNUMBER($N549),$N549,""),
          unit_details[Sqft],$P549
))),"")</f>
        <v/>
      </c>
      <c r="AG549" s="6" t="str">
        <f>IFERROR(IF($F549="Total",
         SUMPRODUCT(
         INDEX(AG:AG, ROW()-COUNTIF($F$6:INDEX($F:$F, ROW()-1), $F548)) : INDEX(AG:AG, ROW()-1),
         INDEX(AB:AB, ROW()-COUNTIF($F$6:INDEX($F:$F, ROW()-1), $F548)) : INDEX(AB:AB, ROW()-1)
         )
         /SUM(INDEX(AB:AB, ROW()-COUNTIF($F$6:INDEX($F:$F, ROW()-1), $F548)) : INDEX(AB:AB, ROW()-1)),
          AVERAGEIFS(unit_details[Asking PSF],
          unit_details[Active Listing?],TRUE,
          unit_details[Property Name], $F549,
          unit_details[Beds], $L549,
          unit_details[Baths], $M549,
          unit_details[Partial Baths], IF(ISNUMBER($N549),$N549,""),
          unit_details[Sqft],$P549
)),"")</f>
        <v/>
      </c>
      <c r="AH549" s="293" t="str">
        <f>IFERROR(IF($F549="Total",
         SUMPRODUCT(
         INDEX(AH:AH, ROW()-COUNTIF($F$6:INDEX($F:$F, ROW()-1), $F548)) : INDEX(AH:AH, ROW()-1),
         INDEX(AB:AB, ROW()-COUNTIF($F$6:INDEX($F:$F, ROW()-1), $F548)) : INDEX(AB:AB, ROW()-1)
         )
         /SUM(INDEX(AB:AB, ROW()-COUNTIF($F$6:INDEX($F:$F, ROW()-1), $F548)) : INDEX(AB:AB, ROW()-1)),
          AVERAGEIFS(unit_details[Effective Rent],
          unit_details[Active Listing?],TRUE,
          unit_details[Property Name], $F549,
          unit_details[Beds], $L549,
          unit_details[Baths], $M549,
          unit_details[Partial Baths], IF(ISNUMBER($N549),$N549,""),
          unit_details[Sqft],$P549
)),"")</f>
        <v/>
      </c>
      <c r="AI549" s="6" t="str">
        <f>IFERROR(IF($F549="Total",
         SUMPRODUCT(
         INDEX(AI:AI, ROW()-COUNTIF($F$6:INDEX($F:$F, ROW()-1), $F548)) : INDEX(AI:AI, ROW()-1),
         INDEX(AB:AB, ROW()-COUNTIF($F$6:INDEX($F:$F, ROW()-1), $F548)) : INDEX(AB:AB, ROW()-1)
         )
         /SUM(INDEX(AB:AB, ROW()-COUNTIF($F$6:INDEX($F:$F, ROW()-1), $F548)) : INDEX(AB:AB, ROW()-1)),
           AVERAGEIFS(unit_details[Effective PSF],
          unit_details[Active Listing?],TRUE,
          unit_details[Property Name], $F549,
          unit_details[Beds], $L549,
          unit_details[Baths], $M549,
          unit_details[Partial Baths], IF(ISNUMBER($N549),$N549,""),
          unit_details[Sqft],$P549
)),"")</f>
        <v/>
      </c>
      <c r="AJ549" s="824" t="str">
        <f t="shared" si="92"/>
        <v/>
      </c>
      <c r="AK549" s="531" t="str">
        <f t="shared" si="93"/>
        <v/>
      </c>
      <c r="AL549" s="714" t="str">
        <f t="shared" si="94"/>
        <v/>
      </c>
      <c r="AM549" s="531" t="str">
        <f t="shared" si="95"/>
        <v/>
      </c>
      <c r="AN549" s="716" t="str">
        <f t="shared" si="96"/>
        <v/>
      </c>
    </row>
    <row r="550" spans="6:40" x14ac:dyDescent="0.2">
      <c r="F550" s="1" t="str">
        <f t="shared" si="89"/>
        <v/>
      </c>
      <c r="G550" s="713" t="str">
        <f t="shared" si="97"/>
        <v/>
      </c>
      <c r="H550" s="17" t="str">
        <f>IFERROR(VLOOKUP($G550,Table1[[Property]:[Exposure %]],4,0),"")</f>
        <v/>
      </c>
      <c r="I550" s="3" t="str">
        <f>IFERROR(VLOOKUP($G550,Table1[[Property]:[Exposure %]],6,0),"")</f>
        <v/>
      </c>
      <c r="J550" s="3" t="str">
        <f>IFERROR(VLOOKUP($G550,Table1[[Property]:[Exposure %]],7,0),"")</f>
        <v/>
      </c>
      <c r="R550" s="4" t="str">
        <f>IFERROR(VLOOKUP(IF(F550="Total",F549,F550),Table1[[Property]:['# Units]],7,0)*S550,"")</f>
        <v/>
      </c>
      <c r="S550" s="27" t="str">
        <f t="shared" si="90"/>
        <v/>
      </c>
      <c r="T550" s="531" t="str">
        <f>IFERROR(
 IF($F550="Total",
   SUMPRODUCT(
   INDEX(T:T, ROW()-COUNTIF($F$6:INDEX($F:$F, ROW()-1), $F549)) : INDEX(T:T, ROW()-1),
   INDEX(W:W, ROW()-COUNTIF($F$6:INDEX($F:$F, ROW()-1), $F549)) : INDEX(W:W, ROW()-1)
   )
   /SUM(INDEX(W:W, ROW()-COUNTIF($F$6:INDEX($F:$F, ROW()-1), $F549)) : INDEX(W:W, ROW()-1)),
   AVERAGEIFS(
     INDEX((unit_details[Asking Rent],unit_details[Asking PSF]),0,1,IF($U$3="Chunk Rent",1,2)),
     unit_details[Leased Date],"&gt;="&amp;($AM$2-T$5),
     unit_details[Leased Date],"&lt;"&amp;$AM$2,
     unit_details[Beds],$L550,
     unit_details[Baths],$M550,
     unit_details[Partial Baths],IF(ISNUMBER($N550),$N550,""),
     unit_details[Sqft],$P550,
     unit_details[Property Name],$F550)
 ),"")</f>
        <v/>
      </c>
      <c r="U550" s="552" t="str">
        <f>IFERROR(
 IF($F550="Total",
   SUMPRODUCT(
   INDEX(U:U, ROW()-COUNTIF($F$6:INDEX($F:$F, ROW()-1), $F549)) : INDEX(U:U, ROW()-1),
   INDEX(W:W, ROW()-COUNTIF($F$6:INDEX($F:$F, ROW()-1), $F549)) : INDEX(W:W, ROW()-1)
   )
   /SUM(INDEX(W:W, ROW()-COUNTIF($F$6:INDEX($F:$F, ROW()-1), $F549)) : INDEX(W:W, ROW()-1)),
   AVERAGEIFS(
     INDEX((unit_details[Effective Rent],unit_details[Effective PSF]),0,1,IF($U$3="Chunk Rent",1,2)),
     unit_details[Leased Date],"&gt;="&amp;($AM$2-T$5),
     unit_details[Leased Date],"&lt;"&amp;$AM$2,
     unit_details[Beds],$L550,
     unit_details[Baths],$M550,
     unit_details[Partial Baths],IF(ISNUMBER($N550),$N550,""),
     unit_details[Sqft],$P550,
     unit_details[Property Name],$F550)
 ),"")</f>
        <v/>
      </c>
      <c r="V550" s="27" t="str">
        <f t="shared" si="98"/>
        <v/>
      </c>
      <c r="W550" s="526">
        <f>IFERROR(
  IF($F550="Total",
    SUM(INDEX(W:W, ROW()-COUNTIF($F$6:INDEX($F:$F, ROW()-1), $F549)) : INDEX(W:W, ROW()-1)),
    COUNTIFS(
      unit_details[Leased Date], "&gt;="&amp;($AM$2-T$5),
      unit_details[Leased Date], "&lt;"&amp;$AM$2,
      unit_details[Beds], $L550,
      unit_details[Baths], $M550,
      unit_details[Partial Baths], IF(ISNUMBER($N550), $N550, ""),
      unit_details[Sqft],$P550,
      unit_details[Property Name], $F550
    )
  ),
"")</f>
        <v>0</v>
      </c>
      <c r="X550" s="531" t="str">
        <f>IFERROR(
 IF($F550="Total",
   SUMPRODUCT(
   INDEX(X:X, ROW()-COUNTIF($F$6:INDEX($F:$F, ROW()-1), $F549)) : INDEX(X:X, ROW()-1),
   INDEX(AA:AA, ROW()-COUNTIF($F$6:INDEX($F:$F, ROW()-1), $F549)) : INDEX(AA:AA, ROW()-1)
   )
   /SUM(INDEX(AA:AA, ROW()-COUNTIF($F$6:INDEX($F:$F, ROW()-1), $F549)) : INDEX(AA:AA, ROW()-1)),
   AVERAGEIFS(
     INDEX((unit_details[Asking Rent],unit_details[Asking PSF]),0,1,IF($U$3="Chunk Rent",1,2)),
     unit_details[Leased Date],"&gt;="&amp;($AM$2-X$5),
     unit_details[Leased Date],"&lt;"&amp;$AM$2,
     unit_details[Beds],$L550,
     unit_details[Baths],$M550,
     unit_details[Partial Baths],IF(ISNUMBER($N550),$N550,""),
     unit_details[Sqft],$P550,
     unit_details[Property Name],$F550)
 ),"")</f>
        <v/>
      </c>
      <c r="Y550" s="552" t="str">
        <f>IFERROR(
 IF($F550="Total",
   SUMPRODUCT(
   INDEX(Y:Y, ROW()-COUNTIF($F$6:INDEX($F:$F, ROW()-1), $F549)) : INDEX(Y:Y, ROW()-1),
   INDEX(AA:AA, ROW()-COUNTIF($F$6:INDEX($F:$F, ROW()-1), $F549)) : INDEX(AA:AA, ROW()-1)
   )
   /SUM(INDEX(AA:AA, ROW()-COUNTIF($F$6:INDEX($F:$F, ROW()-1), $F549)) : INDEX(AA:AA, ROW()-1)),
   AVERAGEIFS(
     INDEX((unit_details[Effective Rent],unit_details[Effective PSF]),0,1,IF($U$3="Chunk Rent",1,2)),
     unit_details[Leased Date],"&gt;="&amp;($AM$2-X$5),
     unit_details[Leased Date],"&lt;"&amp;$AM$2,
     unit_details[Beds],$L550,
     unit_details[Baths],$M550,
     unit_details[Partial Baths],IF(ISNUMBER($N550),$N550,""),
     unit_details[Sqft],$P550,
     unit_details[Property Name],$F550)
 ),"")</f>
        <v/>
      </c>
      <c r="Z550" s="27" t="str">
        <f t="shared" si="99"/>
        <v/>
      </c>
      <c r="AA550" s="526">
        <f>IFERROR(
  IF($F550="Total",
    SUM(INDEX(AA:AA, ROW()-COUNTIF($F$6:INDEX($F:$F, ROW()-1), $F549)) : INDEX(AA:AA, ROW()-1)),
    COUNTIFS(
      unit_details[Leased Date], "&gt;="&amp;($AM$2-X$5),
      unit_details[Leased Date], "&lt;"&amp;$AM$2,
      unit_details[Beds], $L550,
      unit_details[Baths], $M550,
      unit_details[Partial Baths], IF(ISNUMBER($N550), $N550, ""),
      unit_details[Sqft],$P550,
      unit_details[Property Name], $F550
    )
  ),
"")</f>
        <v>0</v>
      </c>
      <c r="AB550" s="290">
        <f>IF($F550="Total",
SUM(INDEX(AB:AB, ROW()-COUNTIF($F$6:INDEX($F:$F, ROW()-1), $F549)) : INDEX(AB:AB, ROW()-1)),
COUNTIFS(unit_details[Active Listing?],TRUE,
          unit_details[Property Name], $F550,
          unit_details[Beds], $L550,
          unit_details[Baths], $M550,
          unit_details[Partial Baths],IF(ISNUMBER($N550),$N550,""),
          unit_details[Sqft],$P550))</f>
        <v>0</v>
      </c>
      <c r="AC550" s="27" t="str">
        <f t="shared" si="91"/>
        <v/>
      </c>
      <c r="AD550" s="293" t="str">
        <f>IFERROR(IF(AE550="","",IF($F550="Total",
SUMPRODUCT(
   INDEX(AD:AD, ROW()-COUNTIF($F$6:INDEX($F:$F, ROW()-1), $F549)) : INDEX(AD:AD, ROW()-1),
   INDEX(AB:AB, ROW()-COUNTIF($F$6:INDEX($F:$F, ROW()-1), $F549)) : INDEX(AB:AB, ROW()-1)
   )
   /SUM(INDEX(AB:AB, ROW()-COUNTIF($F$6:INDEX($F:$F, ROW()-1), $F549)) : INDEX(AB:AB, ROW()-1)),
          _xlfn.MINIFS(unit_details[Asking Rent],
          unit_details[Active Listing?],TRUE,
          unit_details[Property Name], $F550,
          unit_details[Beds], $L550,
          unit_details[Baths], $M550,
          unit_details[Partial Baths], IF(ISNUMBER($N550),$N550,""),
          unit_details[Sqft],$P550
))),"")</f>
        <v/>
      </c>
      <c r="AE550" s="5" t="str">
        <f>IFERROR(IF($F550="Total",
          SUMPRODUCT(
   INDEX(AE:AE, ROW()-COUNTIF($F$6:INDEX($F:$F, ROW()-1), $F549)) : INDEX(AE:AE, ROW()-1),
   INDEX(AB:AB, ROW()-COUNTIF($F$6:INDEX($F:$F, ROW()-1), $F549)) : INDEX(AB:AB, ROW()-1)
   )
   /SUM(INDEX(AB:AB, ROW()-COUNTIF($F$6:INDEX($F:$F, ROW()-1), $F549)) : INDEX(AB:AB, ROW()-1)),
          AVERAGEIFS(unit_details[Asking Rent],
          unit_details[Active Listing?],TRUE,
          unit_details[Property Name], $F550,
          unit_details[Beds], $L550,
          unit_details[Baths], $M550,
          unit_details[Partial Baths], IF(ISNUMBER($N550),$N550,""),
          unit_details[Sqft],$P550
)),"")</f>
        <v/>
      </c>
      <c r="AF550" s="5" t="str">
        <f>IFERROR(IF(AE550="","",IF($F550="Total",
SUMPRODUCT(
   INDEX(AF:AF, ROW()-COUNTIF($F$6:INDEX($F:$F, ROW()-1), $F549)) : INDEX(AF:AF, ROW()-1),
   INDEX(AB:AB, ROW()-COUNTIF($F$6:INDEX($F:$F, ROW()-1), $F549)) : INDEX(AB:AB, ROW()-1)
   )
   /SUM(INDEX(AB:AB, ROW()-COUNTIF($F$6:INDEX($F:$F, ROW()-1), $F549)) : INDEX(AB:AB, ROW()-1)),
           _xlfn.MAXIFS(unit_details[Asking Rent],
          unit_details[Active Listing?],TRUE,
          unit_details[Property Name], $F550,
          unit_details[Beds], $L550,
          unit_details[Baths], $M550,
          unit_details[Partial Baths], IF(ISNUMBER($N550),$N550,""),
          unit_details[Sqft],$P550
))),"")</f>
        <v/>
      </c>
      <c r="AG550" s="6" t="str">
        <f>IFERROR(IF($F550="Total",
         SUMPRODUCT(
         INDEX(AG:AG, ROW()-COUNTIF($F$6:INDEX($F:$F, ROW()-1), $F549)) : INDEX(AG:AG, ROW()-1),
         INDEX(AB:AB, ROW()-COUNTIF($F$6:INDEX($F:$F, ROW()-1), $F549)) : INDEX(AB:AB, ROW()-1)
         )
         /SUM(INDEX(AB:AB, ROW()-COUNTIF($F$6:INDEX($F:$F, ROW()-1), $F549)) : INDEX(AB:AB, ROW()-1)),
          AVERAGEIFS(unit_details[Asking PSF],
          unit_details[Active Listing?],TRUE,
          unit_details[Property Name], $F550,
          unit_details[Beds], $L550,
          unit_details[Baths], $M550,
          unit_details[Partial Baths], IF(ISNUMBER($N550),$N550,""),
          unit_details[Sqft],$P550
)),"")</f>
        <v/>
      </c>
      <c r="AH550" s="293" t="str">
        <f>IFERROR(IF($F550="Total",
         SUMPRODUCT(
         INDEX(AH:AH, ROW()-COUNTIF($F$6:INDEX($F:$F, ROW()-1), $F549)) : INDEX(AH:AH, ROW()-1),
         INDEX(AB:AB, ROW()-COUNTIF($F$6:INDEX($F:$F, ROW()-1), $F549)) : INDEX(AB:AB, ROW()-1)
         )
         /SUM(INDEX(AB:AB, ROW()-COUNTIF($F$6:INDEX($F:$F, ROW()-1), $F549)) : INDEX(AB:AB, ROW()-1)),
          AVERAGEIFS(unit_details[Effective Rent],
          unit_details[Active Listing?],TRUE,
          unit_details[Property Name], $F550,
          unit_details[Beds], $L550,
          unit_details[Baths], $M550,
          unit_details[Partial Baths], IF(ISNUMBER($N550),$N550,""),
          unit_details[Sqft],$P550
)),"")</f>
        <v/>
      </c>
      <c r="AI550" s="6" t="str">
        <f>IFERROR(IF($F550="Total",
         SUMPRODUCT(
         INDEX(AI:AI, ROW()-COUNTIF($F$6:INDEX($F:$F, ROW()-1), $F549)) : INDEX(AI:AI, ROW()-1),
         INDEX(AB:AB, ROW()-COUNTIF($F$6:INDEX($F:$F, ROW()-1), $F549)) : INDEX(AB:AB, ROW()-1)
         )
         /SUM(INDEX(AB:AB, ROW()-COUNTIF($F$6:INDEX($F:$F, ROW()-1), $F549)) : INDEX(AB:AB, ROW()-1)),
           AVERAGEIFS(unit_details[Effective PSF],
          unit_details[Active Listing?],TRUE,
          unit_details[Property Name], $F550,
          unit_details[Beds], $L550,
          unit_details[Baths], $M550,
          unit_details[Partial Baths], IF(ISNUMBER($N550),$N550,""),
          unit_details[Sqft],$P550
)),"")</f>
        <v/>
      </c>
      <c r="AJ550" s="824" t="str">
        <f t="shared" si="92"/>
        <v/>
      </c>
      <c r="AK550" s="531" t="str">
        <f t="shared" si="93"/>
        <v/>
      </c>
      <c r="AL550" s="714" t="str">
        <f t="shared" si="94"/>
        <v/>
      </c>
      <c r="AM550" s="531" t="str">
        <f t="shared" si="95"/>
        <v/>
      </c>
      <c r="AN550" s="716" t="str">
        <f t="shared" si="96"/>
        <v/>
      </c>
    </row>
    <row r="551" spans="6:40" x14ac:dyDescent="0.2">
      <c r="F551" s="1" t="str">
        <f t="shared" si="89"/>
        <v/>
      </c>
      <c r="G551" s="713" t="str">
        <f t="shared" si="97"/>
        <v/>
      </c>
      <c r="H551" s="17" t="str">
        <f>IFERROR(VLOOKUP($G551,Table1[[Property]:[Exposure %]],4,0),"")</f>
        <v/>
      </c>
      <c r="I551" s="3" t="str">
        <f>IFERROR(VLOOKUP($G551,Table1[[Property]:[Exposure %]],6,0),"")</f>
        <v/>
      </c>
      <c r="J551" s="3" t="str">
        <f>IFERROR(VLOOKUP($G551,Table1[[Property]:[Exposure %]],7,0),"")</f>
        <v/>
      </c>
      <c r="R551" s="4" t="str">
        <f>IFERROR(VLOOKUP(IF(F551="Total",F550,F551),Table1[[Property]:['# Units]],7,0)*S551,"")</f>
        <v/>
      </c>
      <c r="S551" s="27" t="str">
        <f t="shared" si="90"/>
        <v/>
      </c>
      <c r="T551" s="531" t="str">
        <f>IFERROR(
 IF($F551="Total",
   SUMPRODUCT(
   INDEX(T:T, ROW()-COUNTIF($F$6:INDEX($F:$F, ROW()-1), $F550)) : INDEX(T:T, ROW()-1),
   INDEX(W:W, ROW()-COUNTIF($F$6:INDEX($F:$F, ROW()-1), $F550)) : INDEX(W:W, ROW()-1)
   )
   /SUM(INDEX(W:W, ROW()-COUNTIF($F$6:INDEX($F:$F, ROW()-1), $F550)) : INDEX(W:W, ROW()-1)),
   AVERAGEIFS(
     INDEX((unit_details[Asking Rent],unit_details[Asking PSF]),0,1,IF($U$3="Chunk Rent",1,2)),
     unit_details[Leased Date],"&gt;="&amp;($AM$2-T$5),
     unit_details[Leased Date],"&lt;"&amp;$AM$2,
     unit_details[Beds],$L551,
     unit_details[Baths],$M551,
     unit_details[Partial Baths],IF(ISNUMBER($N551),$N551,""),
     unit_details[Sqft],$P551,
     unit_details[Property Name],$F551)
 ),"")</f>
        <v/>
      </c>
      <c r="U551" s="552" t="str">
        <f>IFERROR(
 IF($F551="Total",
   SUMPRODUCT(
   INDEX(U:U, ROW()-COUNTIF($F$6:INDEX($F:$F, ROW()-1), $F550)) : INDEX(U:U, ROW()-1),
   INDEX(W:W, ROW()-COUNTIF($F$6:INDEX($F:$F, ROW()-1), $F550)) : INDEX(W:W, ROW()-1)
   )
   /SUM(INDEX(W:W, ROW()-COUNTIF($F$6:INDEX($F:$F, ROW()-1), $F550)) : INDEX(W:W, ROW()-1)),
   AVERAGEIFS(
     INDEX((unit_details[Effective Rent],unit_details[Effective PSF]),0,1,IF($U$3="Chunk Rent",1,2)),
     unit_details[Leased Date],"&gt;="&amp;($AM$2-T$5),
     unit_details[Leased Date],"&lt;"&amp;$AM$2,
     unit_details[Beds],$L551,
     unit_details[Baths],$M551,
     unit_details[Partial Baths],IF(ISNUMBER($N551),$N551,""),
     unit_details[Sqft],$P551,
     unit_details[Property Name],$F551)
 ),"")</f>
        <v/>
      </c>
      <c r="V551" s="27" t="str">
        <f t="shared" si="98"/>
        <v/>
      </c>
      <c r="W551" s="526">
        <f>IFERROR(
  IF($F551="Total",
    SUM(INDEX(W:W, ROW()-COUNTIF($F$6:INDEX($F:$F, ROW()-1), $F550)) : INDEX(W:W, ROW()-1)),
    COUNTIFS(
      unit_details[Leased Date], "&gt;="&amp;($AM$2-T$5),
      unit_details[Leased Date], "&lt;"&amp;$AM$2,
      unit_details[Beds], $L551,
      unit_details[Baths], $M551,
      unit_details[Partial Baths], IF(ISNUMBER($N551), $N551, ""),
      unit_details[Sqft],$P551,
      unit_details[Property Name], $F551
    )
  ),
"")</f>
        <v>0</v>
      </c>
      <c r="X551" s="531" t="str">
        <f>IFERROR(
 IF($F551="Total",
   SUMPRODUCT(
   INDEX(X:X, ROW()-COUNTIF($F$6:INDEX($F:$F, ROW()-1), $F550)) : INDEX(X:X, ROW()-1),
   INDEX(AA:AA, ROW()-COUNTIF($F$6:INDEX($F:$F, ROW()-1), $F550)) : INDEX(AA:AA, ROW()-1)
   )
   /SUM(INDEX(AA:AA, ROW()-COUNTIF($F$6:INDEX($F:$F, ROW()-1), $F550)) : INDEX(AA:AA, ROW()-1)),
   AVERAGEIFS(
     INDEX((unit_details[Asking Rent],unit_details[Asking PSF]),0,1,IF($U$3="Chunk Rent",1,2)),
     unit_details[Leased Date],"&gt;="&amp;($AM$2-X$5),
     unit_details[Leased Date],"&lt;"&amp;$AM$2,
     unit_details[Beds],$L551,
     unit_details[Baths],$M551,
     unit_details[Partial Baths],IF(ISNUMBER($N551),$N551,""),
     unit_details[Sqft],$P551,
     unit_details[Property Name],$F551)
 ),"")</f>
        <v/>
      </c>
      <c r="Y551" s="552" t="str">
        <f>IFERROR(
 IF($F551="Total",
   SUMPRODUCT(
   INDEX(Y:Y, ROW()-COUNTIF($F$6:INDEX($F:$F, ROW()-1), $F550)) : INDEX(Y:Y, ROW()-1),
   INDEX(AA:AA, ROW()-COUNTIF($F$6:INDEX($F:$F, ROW()-1), $F550)) : INDEX(AA:AA, ROW()-1)
   )
   /SUM(INDEX(AA:AA, ROW()-COUNTIF($F$6:INDEX($F:$F, ROW()-1), $F550)) : INDEX(AA:AA, ROW()-1)),
   AVERAGEIFS(
     INDEX((unit_details[Effective Rent],unit_details[Effective PSF]),0,1,IF($U$3="Chunk Rent",1,2)),
     unit_details[Leased Date],"&gt;="&amp;($AM$2-X$5),
     unit_details[Leased Date],"&lt;"&amp;$AM$2,
     unit_details[Beds],$L551,
     unit_details[Baths],$M551,
     unit_details[Partial Baths],IF(ISNUMBER($N551),$N551,""),
     unit_details[Sqft],$P551,
     unit_details[Property Name],$F551)
 ),"")</f>
        <v/>
      </c>
      <c r="Z551" s="27" t="str">
        <f t="shared" si="99"/>
        <v/>
      </c>
      <c r="AA551" s="526">
        <f>IFERROR(
  IF($F551="Total",
    SUM(INDEX(AA:AA, ROW()-COUNTIF($F$6:INDEX($F:$F, ROW()-1), $F550)) : INDEX(AA:AA, ROW()-1)),
    COUNTIFS(
      unit_details[Leased Date], "&gt;="&amp;($AM$2-X$5),
      unit_details[Leased Date], "&lt;"&amp;$AM$2,
      unit_details[Beds], $L551,
      unit_details[Baths], $M551,
      unit_details[Partial Baths], IF(ISNUMBER($N551), $N551, ""),
      unit_details[Sqft],$P551,
      unit_details[Property Name], $F551
    )
  ),
"")</f>
        <v>0</v>
      </c>
      <c r="AB551" s="290">
        <f>IF($F551="Total",
SUM(INDEX(AB:AB, ROW()-COUNTIF($F$6:INDEX($F:$F, ROW()-1), $F550)) : INDEX(AB:AB, ROW()-1)),
COUNTIFS(unit_details[Active Listing?],TRUE,
          unit_details[Property Name], $F551,
          unit_details[Beds], $L551,
          unit_details[Baths], $M551,
          unit_details[Partial Baths],IF(ISNUMBER($N551),$N551,""),
          unit_details[Sqft],$P551))</f>
        <v>0</v>
      </c>
      <c r="AC551" s="27" t="str">
        <f t="shared" si="91"/>
        <v/>
      </c>
      <c r="AD551" s="293" t="str">
        <f>IFERROR(IF(AE551="","",IF($F551="Total",
SUMPRODUCT(
   INDEX(AD:AD, ROW()-COUNTIF($F$6:INDEX($F:$F, ROW()-1), $F550)) : INDEX(AD:AD, ROW()-1),
   INDEX(AB:AB, ROW()-COUNTIF($F$6:INDEX($F:$F, ROW()-1), $F550)) : INDEX(AB:AB, ROW()-1)
   )
   /SUM(INDEX(AB:AB, ROW()-COUNTIF($F$6:INDEX($F:$F, ROW()-1), $F550)) : INDEX(AB:AB, ROW()-1)),
          _xlfn.MINIFS(unit_details[Asking Rent],
          unit_details[Active Listing?],TRUE,
          unit_details[Property Name], $F551,
          unit_details[Beds], $L551,
          unit_details[Baths], $M551,
          unit_details[Partial Baths], IF(ISNUMBER($N551),$N551,""),
          unit_details[Sqft],$P551
))),"")</f>
        <v/>
      </c>
      <c r="AE551" s="5" t="str">
        <f>IFERROR(IF($F551="Total",
          SUMPRODUCT(
   INDEX(AE:AE, ROW()-COUNTIF($F$6:INDEX($F:$F, ROW()-1), $F550)) : INDEX(AE:AE, ROW()-1),
   INDEX(AB:AB, ROW()-COUNTIF($F$6:INDEX($F:$F, ROW()-1), $F550)) : INDEX(AB:AB, ROW()-1)
   )
   /SUM(INDEX(AB:AB, ROW()-COUNTIF($F$6:INDEX($F:$F, ROW()-1), $F550)) : INDEX(AB:AB, ROW()-1)),
          AVERAGEIFS(unit_details[Asking Rent],
          unit_details[Active Listing?],TRUE,
          unit_details[Property Name], $F551,
          unit_details[Beds], $L551,
          unit_details[Baths], $M551,
          unit_details[Partial Baths], IF(ISNUMBER($N551),$N551,""),
          unit_details[Sqft],$P551
)),"")</f>
        <v/>
      </c>
      <c r="AF551" s="5" t="str">
        <f>IFERROR(IF(AE551="","",IF($F551="Total",
SUMPRODUCT(
   INDEX(AF:AF, ROW()-COUNTIF($F$6:INDEX($F:$F, ROW()-1), $F550)) : INDEX(AF:AF, ROW()-1),
   INDEX(AB:AB, ROW()-COUNTIF($F$6:INDEX($F:$F, ROW()-1), $F550)) : INDEX(AB:AB, ROW()-1)
   )
   /SUM(INDEX(AB:AB, ROW()-COUNTIF($F$6:INDEX($F:$F, ROW()-1), $F550)) : INDEX(AB:AB, ROW()-1)),
           _xlfn.MAXIFS(unit_details[Asking Rent],
          unit_details[Active Listing?],TRUE,
          unit_details[Property Name], $F551,
          unit_details[Beds], $L551,
          unit_details[Baths], $M551,
          unit_details[Partial Baths], IF(ISNUMBER($N551),$N551,""),
          unit_details[Sqft],$P551
))),"")</f>
        <v/>
      </c>
      <c r="AG551" s="6" t="str">
        <f>IFERROR(IF($F551="Total",
         SUMPRODUCT(
         INDEX(AG:AG, ROW()-COUNTIF($F$6:INDEX($F:$F, ROW()-1), $F550)) : INDEX(AG:AG, ROW()-1),
         INDEX(AB:AB, ROW()-COUNTIF($F$6:INDEX($F:$F, ROW()-1), $F550)) : INDEX(AB:AB, ROW()-1)
         )
         /SUM(INDEX(AB:AB, ROW()-COUNTIF($F$6:INDEX($F:$F, ROW()-1), $F550)) : INDEX(AB:AB, ROW()-1)),
          AVERAGEIFS(unit_details[Asking PSF],
          unit_details[Active Listing?],TRUE,
          unit_details[Property Name], $F551,
          unit_details[Beds], $L551,
          unit_details[Baths], $M551,
          unit_details[Partial Baths], IF(ISNUMBER($N551),$N551,""),
          unit_details[Sqft],$P551
)),"")</f>
        <v/>
      </c>
      <c r="AH551" s="293" t="str">
        <f>IFERROR(IF($F551="Total",
         SUMPRODUCT(
         INDEX(AH:AH, ROW()-COUNTIF($F$6:INDEX($F:$F, ROW()-1), $F550)) : INDEX(AH:AH, ROW()-1),
         INDEX(AB:AB, ROW()-COUNTIF($F$6:INDEX($F:$F, ROW()-1), $F550)) : INDEX(AB:AB, ROW()-1)
         )
         /SUM(INDEX(AB:AB, ROW()-COUNTIF($F$6:INDEX($F:$F, ROW()-1), $F550)) : INDEX(AB:AB, ROW()-1)),
          AVERAGEIFS(unit_details[Effective Rent],
          unit_details[Active Listing?],TRUE,
          unit_details[Property Name], $F551,
          unit_details[Beds], $L551,
          unit_details[Baths], $M551,
          unit_details[Partial Baths], IF(ISNUMBER($N551),$N551,""),
          unit_details[Sqft],$P551
)),"")</f>
        <v/>
      </c>
      <c r="AI551" s="6" t="str">
        <f>IFERROR(IF($F551="Total",
         SUMPRODUCT(
         INDEX(AI:AI, ROW()-COUNTIF($F$6:INDEX($F:$F, ROW()-1), $F550)) : INDEX(AI:AI, ROW()-1),
         INDEX(AB:AB, ROW()-COUNTIF($F$6:INDEX($F:$F, ROW()-1), $F550)) : INDEX(AB:AB, ROW()-1)
         )
         /SUM(INDEX(AB:AB, ROW()-COUNTIF($F$6:INDEX($F:$F, ROW()-1), $F550)) : INDEX(AB:AB, ROW()-1)),
           AVERAGEIFS(unit_details[Effective PSF],
          unit_details[Active Listing?],TRUE,
          unit_details[Property Name], $F551,
          unit_details[Beds], $L551,
          unit_details[Baths], $M551,
          unit_details[Partial Baths], IF(ISNUMBER($N551),$N551,""),
          unit_details[Sqft],$P551
)),"")</f>
        <v/>
      </c>
      <c r="AJ551" s="824" t="str">
        <f t="shared" si="92"/>
        <v/>
      </c>
      <c r="AK551" s="531" t="str">
        <f t="shared" si="93"/>
        <v/>
      </c>
      <c r="AL551" s="714" t="str">
        <f t="shared" si="94"/>
        <v/>
      </c>
      <c r="AM551" s="531" t="str">
        <f t="shared" si="95"/>
        <v/>
      </c>
      <c r="AN551" s="716" t="str">
        <f t="shared" si="96"/>
        <v/>
      </c>
    </row>
    <row r="552" spans="6:40" x14ac:dyDescent="0.2">
      <c r="F552" s="1" t="str">
        <f t="shared" si="89"/>
        <v/>
      </c>
      <c r="G552" s="713" t="str">
        <f t="shared" si="97"/>
        <v/>
      </c>
      <c r="H552" s="17" t="str">
        <f>IFERROR(VLOOKUP($G552,Table1[[Property]:[Exposure %]],4,0),"")</f>
        <v/>
      </c>
      <c r="I552" s="3" t="str">
        <f>IFERROR(VLOOKUP($G552,Table1[[Property]:[Exposure %]],6,0),"")</f>
        <v/>
      </c>
      <c r="J552" s="3" t="str">
        <f>IFERROR(VLOOKUP($G552,Table1[[Property]:[Exposure %]],7,0),"")</f>
        <v/>
      </c>
      <c r="R552" s="4" t="str">
        <f>IFERROR(VLOOKUP(IF(F552="Total",F551,F552),Table1[[Property]:['# Units]],7,0)*S552,"")</f>
        <v/>
      </c>
      <c r="S552" s="27" t="str">
        <f t="shared" si="90"/>
        <v/>
      </c>
      <c r="T552" s="531" t="str">
        <f>IFERROR(
 IF($F552="Total",
   SUMPRODUCT(
   INDEX(T:T, ROW()-COUNTIF($F$6:INDEX($F:$F, ROW()-1), $F551)) : INDEX(T:T, ROW()-1),
   INDEX(W:W, ROW()-COUNTIF($F$6:INDEX($F:$F, ROW()-1), $F551)) : INDEX(W:W, ROW()-1)
   )
   /SUM(INDEX(W:W, ROW()-COUNTIF($F$6:INDEX($F:$F, ROW()-1), $F551)) : INDEX(W:W, ROW()-1)),
   AVERAGEIFS(
     INDEX((unit_details[Asking Rent],unit_details[Asking PSF]),0,1,IF($U$3="Chunk Rent",1,2)),
     unit_details[Leased Date],"&gt;="&amp;($AM$2-T$5),
     unit_details[Leased Date],"&lt;"&amp;$AM$2,
     unit_details[Beds],$L552,
     unit_details[Baths],$M552,
     unit_details[Partial Baths],IF(ISNUMBER($N552),$N552,""),
     unit_details[Sqft],$P552,
     unit_details[Property Name],$F552)
 ),"")</f>
        <v/>
      </c>
      <c r="U552" s="552" t="str">
        <f>IFERROR(
 IF($F552="Total",
   SUMPRODUCT(
   INDEX(U:U, ROW()-COUNTIF($F$6:INDEX($F:$F, ROW()-1), $F551)) : INDEX(U:U, ROW()-1),
   INDEX(W:W, ROW()-COUNTIF($F$6:INDEX($F:$F, ROW()-1), $F551)) : INDEX(W:W, ROW()-1)
   )
   /SUM(INDEX(W:W, ROW()-COUNTIF($F$6:INDEX($F:$F, ROW()-1), $F551)) : INDEX(W:W, ROW()-1)),
   AVERAGEIFS(
     INDEX((unit_details[Effective Rent],unit_details[Effective PSF]),0,1,IF($U$3="Chunk Rent",1,2)),
     unit_details[Leased Date],"&gt;="&amp;($AM$2-T$5),
     unit_details[Leased Date],"&lt;"&amp;$AM$2,
     unit_details[Beds],$L552,
     unit_details[Baths],$M552,
     unit_details[Partial Baths],IF(ISNUMBER($N552),$N552,""),
     unit_details[Sqft],$P552,
     unit_details[Property Name],$F552)
 ),"")</f>
        <v/>
      </c>
      <c r="V552" s="27" t="str">
        <f t="shared" si="98"/>
        <v/>
      </c>
      <c r="W552" s="526">
        <f>IFERROR(
  IF($F552="Total",
    SUM(INDEX(W:W, ROW()-COUNTIF($F$6:INDEX($F:$F, ROW()-1), $F551)) : INDEX(W:W, ROW()-1)),
    COUNTIFS(
      unit_details[Leased Date], "&gt;="&amp;($AM$2-T$5),
      unit_details[Leased Date], "&lt;"&amp;$AM$2,
      unit_details[Beds], $L552,
      unit_details[Baths], $M552,
      unit_details[Partial Baths], IF(ISNUMBER($N552), $N552, ""),
      unit_details[Sqft],$P552,
      unit_details[Property Name], $F552
    )
  ),
"")</f>
        <v>0</v>
      </c>
      <c r="X552" s="531" t="str">
        <f>IFERROR(
 IF($F552="Total",
   SUMPRODUCT(
   INDEX(X:X, ROW()-COUNTIF($F$6:INDEX($F:$F, ROW()-1), $F551)) : INDEX(X:X, ROW()-1),
   INDEX(AA:AA, ROW()-COUNTIF($F$6:INDEX($F:$F, ROW()-1), $F551)) : INDEX(AA:AA, ROW()-1)
   )
   /SUM(INDEX(AA:AA, ROW()-COUNTIF($F$6:INDEX($F:$F, ROW()-1), $F551)) : INDEX(AA:AA, ROW()-1)),
   AVERAGEIFS(
     INDEX((unit_details[Asking Rent],unit_details[Asking PSF]),0,1,IF($U$3="Chunk Rent",1,2)),
     unit_details[Leased Date],"&gt;="&amp;($AM$2-X$5),
     unit_details[Leased Date],"&lt;"&amp;$AM$2,
     unit_details[Beds],$L552,
     unit_details[Baths],$M552,
     unit_details[Partial Baths],IF(ISNUMBER($N552),$N552,""),
     unit_details[Sqft],$P552,
     unit_details[Property Name],$F552)
 ),"")</f>
        <v/>
      </c>
      <c r="Y552" s="552" t="str">
        <f>IFERROR(
 IF($F552="Total",
   SUMPRODUCT(
   INDEX(Y:Y, ROW()-COUNTIF($F$6:INDEX($F:$F, ROW()-1), $F551)) : INDEX(Y:Y, ROW()-1),
   INDEX(AA:AA, ROW()-COUNTIF($F$6:INDEX($F:$F, ROW()-1), $F551)) : INDEX(AA:AA, ROW()-1)
   )
   /SUM(INDEX(AA:AA, ROW()-COUNTIF($F$6:INDEX($F:$F, ROW()-1), $F551)) : INDEX(AA:AA, ROW()-1)),
   AVERAGEIFS(
     INDEX((unit_details[Effective Rent],unit_details[Effective PSF]),0,1,IF($U$3="Chunk Rent",1,2)),
     unit_details[Leased Date],"&gt;="&amp;($AM$2-X$5),
     unit_details[Leased Date],"&lt;"&amp;$AM$2,
     unit_details[Beds],$L552,
     unit_details[Baths],$M552,
     unit_details[Partial Baths],IF(ISNUMBER($N552),$N552,""),
     unit_details[Sqft],$P552,
     unit_details[Property Name],$F552)
 ),"")</f>
        <v/>
      </c>
      <c r="Z552" s="27" t="str">
        <f t="shared" si="99"/>
        <v/>
      </c>
      <c r="AA552" s="526">
        <f>IFERROR(
  IF($F552="Total",
    SUM(INDEX(AA:AA, ROW()-COUNTIF($F$6:INDEX($F:$F, ROW()-1), $F551)) : INDEX(AA:AA, ROW()-1)),
    COUNTIFS(
      unit_details[Leased Date], "&gt;="&amp;($AM$2-X$5),
      unit_details[Leased Date], "&lt;"&amp;$AM$2,
      unit_details[Beds], $L552,
      unit_details[Baths], $M552,
      unit_details[Partial Baths], IF(ISNUMBER($N552), $N552, ""),
      unit_details[Sqft],$P552,
      unit_details[Property Name], $F552
    )
  ),
"")</f>
        <v>0</v>
      </c>
      <c r="AB552" s="290">
        <f>IF($F552="Total",
SUM(INDEX(AB:AB, ROW()-COUNTIF($F$6:INDEX($F:$F, ROW()-1), $F551)) : INDEX(AB:AB, ROW()-1)),
COUNTIFS(unit_details[Active Listing?],TRUE,
          unit_details[Property Name], $F552,
          unit_details[Beds], $L552,
          unit_details[Baths], $M552,
          unit_details[Partial Baths],IF(ISNUMBER($N552),$N552,""),
          unit_details[Sqft],$P552))</f>
        <v>0</v>
      </c>
      <c r="AC552" s="27" t="str">
        <f t="shared" si="91"/>
        <v/>
      </c>
      <c r="AD552" s="293" t="str">
        <f>IFERROR(IF(AE552="","",IF($F552="Total",
SUMPRODUCT(
   INDEX(AD:AD, ROW()-COUNTIF($F$6:INDEX($F:$F, ROW()-1), $F551)) : INDEX(AD:AD, ROW()-1),
   INDEX(AB:AB, ROW()-COUNTIF($F$6:INDEX($F:$F, ROW()-1), $F551)) : INDEX(AB:AB, ROW()-1)
   )
   /SUM(INDEX(AB:AB, ROW()-COUNTIF($F$6:INDEX($F:$F, ROW()-1), $F551)) : INDEX(AB:AB, ROW()-1)),
          _xlfn.MINIFS(unit_details[Asking Rent],
          unit_details[Active Listing?],TRUE,
          unit_details[Property Name], $F552,
          unit_details[Beds], $L552,
          unit_details[Baths], $M552,
          unit_details[Partial Baths], IF(ISNUMBER($N552),$N552,""),
          unit_details[Sqft],$P552
))),"")</f>
        <v/>
      </c>
      <c r="AE552" s="5" t="str">
        <f>IFERROR(IF($F552="Total",
          SUMPRODUCT(
   INDEX(AE:AE, ROW()-COUNTIF($F$6:INDEX($F:$F, ROW()-1), $F551)) : INDEX(AE:AE, ROW()-1),
   INDEX(AB:AB, ROW()-COUNTIF($F$6:INDEX($F:$F, ROW()-1), $F551)) : INDEX(AB:AB, ROW()-1)
   )
   /SUM(INDEX(AB:AB, ROW()-COUNTIF($F$6:INDEX($F:$F, ROW()-1), $F551)) : INDEX(AB:AB, ROW()-1)),
          AVERAGEIFS(unit_details[Asking Rent],
          unit_details[Active Listing?],TRUE,
          unit_details[Property Name], $F552,
          unit_details[Beds], $L552,
          unit_details[Baths], $M552,
          unit_details[Partial Baths], IF(ISNUMBER($N552),$N552,""),
          unit_details[Sqft],$P552
)),"")</f>
        <v/>
      </c>
      <c r="AF552" s="5" t="str">
        <f>IFERROR(IF(AE552="","",IF($F552="Total",
SUMPRODUCT(
   INDEX(AF:AF, ROW()-COUNTIF($F$6:INDEX($F:$F, ROW()-1), $F551)) : INDEX(AF:AF, ROW()-1),
   INDEX(AB:AB, ROW()-COUNTIF($F$6:INDEX($F:$F, ROW()-1), $F551)) : INDEX(AB:AB, ROW()-1)
   )
   /SUM(INDEX(AB:AB, ROW()-COUNTIF($F$6:INDEX($F:$F, ROW()-1), $F551)) : INDEX(AB:AB, ROW()-1)),
           _xlfn.MAXIFS(unit_details[Asking Rent],
          unit_details[Active Listing?],TRUE,
          unit_details[Property Name], $F552,
          unit_details[Beds], $L552,
          unit_details[Baths], $M552,
          unit_details[Partial Baths], IF(ISNUMBER($N552),$N552,""),
          unit_details[Sqft],$P552
))),"")</f>
        <v/>
      </c>
      <c r="AG552" s="6" t="str">
        <f>IFERROR(IF($F552="Total",
         SUMPRODUCT(
         INDEX(AG:AG, ROW()-COUNTIF($F$6:INDEX($F:$F, ROW()-1), $F551)) : INDEX(AG:AG, ROW()-1),
         INDEX(AB:AB, ROW()-COUNTIF($F$6:INDEX($F:$F, ROW()-1), $F551)) : INDEX(AB:AB, ROW()-1)
         )
         /SUM(INDEX(AB:AB, ROW()-COUNTIF($F$6:INDEX($F:$F, ROW()-1), $F551)) : INDEX(AB:AB, ROW()-1)),
          AVERAGEIFS(unit_details[Asking PSF],
          unit_details[Active Listing?],TRUE,
          unit_details[Property Name], $F552,
          unit_details[Beds], $L552,
          unit_details[Baths], $M552,
          unit_details[Partial Baths], IF(ISNUMBER($N552),$N552,""),
          unit_details[Sqft],$P552
)),"")</f>
        <v/>
      </c>
      <c r="AH552" s="293" t="str">
        <f>IFERROR(IF($F552="Total",
         SUMPRODUCT(
         INDEX(AH:AH, ROW()-COUNTIF($F$6:INDEX($F:$F, ROW()-1), $F551)) : INDEX(AH:AH, ROW()-1),
         INDEX(AB:AB, ROW()-COUNTIF($F$6:INDEX($F:$F, ROW()-1), $F551)) : INDEX(AB:AB, ROW()-1)
         )
         /SUM(INDEX(AB:AB, ROW()-COUNTIF($F$6:INDEX($F:$F, ROW()-1), $F551)) : INDEX(AB:AB, ROW()-1)),
          AVERAGEIFS(unit_details[Effective Rent],
          unit_details[Active Listing?],TRUE,
          unit_details[Property Name], $F552,
          unit_details[Beds], $L552,
          unit_details[Baths], $M552,
          unit_details[Partial Baths], IF(ISNUMBER($N552),$N552,""),
          unit_details[Sqft],$P552
)),"")</f>
        <v/>
      </c>
      <c r="AI552" s="6" t="str">
        <f>IFERROR(IF($F552="Total",
         SUMPRODUCT(
         INDEX(AI:AI, ROW()-COUNTIF($F$6:INDEX($F:$F, ROW()-1), $F551)) : INDEX(AI:AI, ROW()-1),
         INDEX(AB:AB, ROW()-COUNTIF($F$6:INDEX($F:$F, ROW()-1), $F551)) : INDEX(AB:AB, ROW()-1)
         )
         /SUM(INDEX(AB:AB, ROW()-COUNTIF($F$6:INDEX($F:$F, ROW()-1), $F551)) : INDEX(AB:AB, ROW()-1)),
           AVERAGEIFS(unit_details[Effective PSF],
          unit_details[Active Listing?],TRUE,
          unit_details[Property Name], $F552,
          unit_details[Beds], $L552,
          unit_details[Baths], $M552,
          unit_details[Partial Baths], IF(ISNUMBER($N552),$N552,""),
          unit_details[Sqft],$P552
)),"")</f>
        <v/>
      </c>
      <c r="AJ552" s="824" t="str">
        <f t="shared" si="92"/>
        <v/>
      </c>
      <c r="AK552" s="531" t="str">
        <f t="shared" si="93"/>
        <v/>
      </c>
      <c r="AL552" s="714" t="str">
        <f t="shared" si="94"/>
        <v/>
      </c>
      <c r="AM552" s="531" t="str">
        <f t="shared" si="95"/>
        <v/>
      </c>
      <c r="AN552" s="716" t="str">
        <f t="shared" si="96"/>
        <v/>
      </c>
    </row>
    <row r="553" spans="6:40" x14ac:dyDescent="0.2">
      <c r="F553" s="1" t="str">
        <f t="shared" si="89"/>
        <v/>
      </c>
      <c r="G553" s="713" t="str">
        <f t="shared" si="97"/>
        <v/>
      </c>
      <c r="H553" s="17" t="str">
        <f>IFERROR(VLOOKUP($G553,Table1[[Property]:[Exposure %]],4,0),"")</f>
        <v/>
      </c>
      <c r="I553" s="3" t="str">
        <f>IFERROR(VLOOKUP($G553,Table1[[Property]:[Exposure %]],6,0),"")</f>
        <v/>
      </c>
      <c r="J553" s="3" t="str">
        <f>IFERROR(VLOOKUP($G553,Table1[[Property]:[Exposure %]],7,0),"")</f>
        <v/>
      </c>
      <c r="R553" s="4" t="str">
        <f>IFERROR(VLOOKUP(IF(F553="Total",F552,F553),Table1[[Property]:['# Units]],7,0)*S553,"")</f>
        <v/>
      </c>
      <c r="S553" s="27" t="str">
        <f t="shared" si="90"/>
        <v/>
      </c>
      <c r="T553" s="531" t="str">
        <f>IFERROR(
 IF($F553="Total",
   SUMPRODUCT(
   INDEX(T:T, ROW()-COUNTIF($F$6:INDEX($F:$F, ROW()-1), $F552)) : INDEX(T:T, ROW()-1),
   INDEX(W:W, ROW()-COUNTIF($F$6:INDEX($F:$F, ROW()-1), $F552)) : INDEX(W:W, ROW()-1)
   )
   /SUM(INDEX(W:W, ROW()-COUNTIF($F$6:INDEX($F:$F, ROW()-1), $F552)) : INDEX(W:W, ROW()-1)),
   AVERAGEIFS(
     INDEX((unit_details[Asking Rent],unit_details[Asking PSF]),0,1,IF($U$3="Chunk Rent",1,2)),
     unit_details[Leased Date],"&gt;="&amp;($AM$2-T$5),
     unit_details[Leased Date],"&lt;"&amp;$AM$2,
     unit_details[Beds],$L553,
     unit_details[Baths],$M553,
     unit_details[Partial Baths],IF(ISNUMBER($N553),$N553,""),
     unit_details[Sqft],$P553,
     unit_details[Property Name],$F553)
 ),"")</f>
        <v/>
      </c>
      <c r="U553" s="552" t="str">
        <f>IFERROR(
 IF($F553="Total",
   SUMPRODUCT(
   INDEX(U:U, ROW()-COUNTIF($F$6:INDEX($F:$F, ROW()-1), $F552)) : INDEX(U:U, ROW()-1),
   INDEX(W:W, ROW()-COUNTIF($F$6:INDEX($F:$F, ROW()-1), $F552)) : INDEX(W:W, ROW()-1)
   )
   /SUM(INDEX(W:W, ROW()-COUNTIF($F$6:INDEX($F:$F, ROW()-1), $F552)) : INDEX(W:W, ROW()-1)),
   AVERAGEIFS(
     INDEX((unit_details[Effective Rent],unit_details[Effective PSF]),0,1,IF($U$3="Chunk Rent",1,2)),
     unit_details[Leased Date],"&gt;="&amp;($AM$2-T$5),
     unit_details[Leased Date],"&lt;"&amp;$AM$2,
     unit_details[Beds],$L553,
     unit_details[Baths],$M553,
     unit_details[Partial Baths],IF(ISNUMBER($N553),$N553,""),
     unit_details[Sqft],$P553,
     unit_details[Property Name],$F553)
 ),"")</f>
        <v/>
      </c>
      <c r="V553" s="27" t="str">
        <f t="shared" si="98"/>
        <v/>
      </c>
      <c r="W553" s="526">
        <f>IFERROR(
  IF($F553="Total",
    SUM(INDEX(W:W, ROW()-COUNTIF($F$6:INDEX($F:$F, ROW()-1), $F552)) : INDEX(W:W, ROW()-1)),
    COUNTIFS(
      unit_details[Leased Date], "&gt;="&amp;($AM$2-T$5),
      unit_details[Leased Date], "&lt;"&amp;$AM$2,
      unit_details[Beds], $L553,
      unit_details[Baths], $M553,
      unit_details[Partial Baths], IF(ISNUMBER($N553), $N553, ""),
      unit_details[Sqft],$P553,
      unit_details[Property Name], $F553
    )
  ),
"")</f>
        <v>0</v>
      </c>
      <c r="X553" s="531" t="str">
        <f>IFERROR(
 IF($F553="Total",
   SUMPRODUCT(
   INDEX(X:X, ROW()-COUNTIF($F$6:INDEX($F:$F, ROW()-1), $F552)) : INDEX(X:X, ROW()-1),
   INDEX(AA:AA, ROW()-COUNTIF($F$6:INDEX($F:$F, ROW()-1), $F552)) : INDEX(AA:AA, ROW()-1)
   )
   /SUM(INDEX(AA:AA, ROW()-COUNTIF($F$6:INDEX($F:$F, ROW()-1), $F552)) : INDEX(AA:AA, ROW()-1)),
   AVERAGEIFS(
     INDEX((unit_details[Asking Rent],unit_details[Asking PSF]),0,1,IF($U$3="Chunk Rent",1,2)),
     unit_details[Leased Date],"&gt;="&amp;($AM$2-X$5),
     unit_details[Leased Date],"&lt;"&amp;$AM$2,
     unit_details[Beds],$L553,
     unit_details[Baths],$M553,
     unit_details[Partial Baths],IF(ISNUMBER($N553),$N553,""),
     unit_details[Sqft],$P553,
     unit_details[Property Name],$F553)
 ),"")</f>
        <v/>
      </c>
      <c r="Y553" s="552" t="str">
        <f>IFERROR(
 IF($F553="Total",
   SUMPRODUCT(
   INDEX(Y:Y, ROW()-COUNTIF($F$6:INDEX($F:$F, ROW()-1), $F552)) : INDEX(Y:Y, ROW()-1),
   INDEX(AA:AA, ROW()-COUNTIF($F$6:INDEX($F:$F, ROW()-1), $F552)) : INDEX(AA:AA, ROW()-1)
   )
   /SUM(INDEX(AA:AA, ROW()-COUNTIF($F$6:INDEX($F:$F, ROW()-1), $F552)) : INDEX(AA:AA, ROW()-1)),
   AVERAGEIFS(
     INDEX((unit_details[Effective Rent],unit_details[Effective PSF]),0,1,IF($U$3="Chunk Rent",1,2)),
     unit_details[Leased Date],"&gt;="&amp;($AM$2-X$5),
     unit_details[Leased Date],"&lt;"&amp;$AM$2,
     unit_details[Beds],$L553,
     unit_details[Baths],$M553,
     unit_details[Partial Baths],IF(ISNUMBER($N553),$N553,""),
     unit_details[Sqft],$P553,
     unit_details[Property Name],$F553)
 ),"")</f>
        <v/>
      </c>
      <c r="Z553" s="27" t="str">
        <f t="shared" si="99"/>
        <v/>
      </c>
      <c r="AA553" s="526">
        <f>IFERROR(
  IF($F553="Total",
    SUM(INDEX(AA:AA, ROW()-COUNTIF($F$6:INDEX($F:$F, ROW()-1), $F552)) : INDEX(AA:AA, ROW()-1)),
    COUNTIFS(
      unit_details[Leased Date], "&gt;="&amp;($AM$2-X$5),
      unit_details[Leased Date], "&lt;"&amp;$AM$2,
      unit_details[Beds], $L553,
      unit_details[Baths], $M553,
      unit_details[Partial Baths], IF(ISNUMBER($N553), $N553, ""),
      unit_details[Sqft],$P553,
      unit_details[Property Name], $F553
    )
  ),
"")</f>
        <v>0</v>
      </c>
      <c r="AB553" s="290">
        <f>IF($F553="Total",
SUM(INDEX(AB:AB, ROW()-COUNTIF($F$6:INDEX($F:$F, ROW()-1), $F552)) : INDEX(AB:AB, ROW()-1)),
COUNTIFS(unit_details[Active Listing?],TRUE,
          unit_details[Property Name], $F553,
          unit_details[Beds], $L553,
          unit_details[Baths], $M553,
          unit_details[Partial Baths],IF(ISNUMBER($N553),$N553,""),
          unit_details[Sqft],$P553))</f>
        <v>0</v>
      </c>
      <c r="AC553" s="27" t="str">
        <f t="shared" si="91"/>
        <v/>
      </c>
      <c r="AD553" s="293" t="str">
        <f>IFERROR(IF(AE553="","",IF($F553="Total",
SUMPRODUCT(
   INDEX(AD:AD, ROW()-COUNTIF($F$6:INDEX($F:$F, ROW()-1), $F552)) : INDEX(AD:AD, ROW()-1),
   INDEX(AB:AB, ROW()-COUNTIF($F$6:INDEX($F:$F, ROW()-1), $F552)) : INDEX(AB:AB, ROW()-1)
   )
   /SUM(INDEX(AB:AB, ROW()-COUNTIF($F$6:INDEX($F:$F, ROW()-1), $F552)) : INDEX(AB:AB, ROW()-1)),
          _xlfn.MINIFS(unit_details[Asking Rent],
          unit_details[Active Listing?],TRUE,
          unit_details[Property Name], $F553,
          unit_details[Beds], $L553,
          unit_details[Baths], $M553,
          unit_details[Partial Baths], IF(ISNUMBER($N553),$N553,""),
          unit_details[Sqft],$P553
))),"")</f>
        <v/>
      </c>
      <c r="AE553" s="5" t="str">
        <f>IFERROR(IF($F553="Total",
          SUMPRODUCT(
   INDEX(AE:AE, ROW()-COUNTIF($F$6:INDEX($F:$F, ROW()-1), $F552)) : INDEX(AE:AE, ROW()-1),
   INDEX(AB:AB, ROW()-COUNTIF($F$6:INDEX($F:$F, ROW()-1), $F552)) : INDEX(AB:AB, ROW()-1)
   )
   /SUM(INDEX(AB:AB, ROW()-COUNTIF($F$6:INDEX($F:$F, ROW()-1), $F552)) : INDEX(AB:AB, ROW()-1)),
          AVERAGEIFS(unit_details[Asking Rent],
          unit_details[Active Listing?],TRUE,
          unit_details[Property Name], $F553,
          unit_details[Beds], $L553,
          unit_details[Baths], $M553,
          unit_details[Partial Baths], IF(ISNUMBER($N553),$N553,""),
          unit_details[Sqft],$P553
)),"")</f>
        <v/>
      </c>
      <c r="AF553" s="5" t="str">
        <f>IFERROR(IF(AE553="","",IF($F553="Total",
SUMPRODUCT(
   INDEX(AF:AF, ROW()-COUNTIF($F$6:INDEX($F:$F, ROW()-1), $F552)) : INDEX(AF:AF, ROW()-1),
   INDEX(AB:AB, ROW()-COUNTIF($F$6:INDEX($F:$F, ROW()-1), $F552)) : INDEX(AB:AB, ROW()-1)
   )
   /SUM(INDEX(AB:AB, ROW()-COUNTIF($F$6:INDEX($F:$F, ROW()-1), $F552)) : INDEX(AB:AB, ROW()-1)),
           _xlfn.MAXIFS(unit_details[Asking Rent],
          unit_details[Active Listing?],TRUE,
          unit_details[Property Name], $F553,
          unit_details[Beds], $L553,
          unit_details[Baths], $M553,
          unit_details[Partial Baths], IF(ISNUMBER($N553),$N553,""),
          unit_details[Sqft],$P553
))),"")</f>
        <v/>
      </c>
      <c r="AG553" s="6" t="str">
        <f>IFERROR(IF($F553="Total",
         SUMPRODUCT(
         INDEX(AG:AG, ROW()-COUNTIF($F$6:INDEX($F:$F, ROW()-1), $F552)) : INDEX(AG:AG, ROW()-1),
         INDEX(AB:AB, ROW()-COUNTIF($F$6:INDEX($F:$F, ROW()-1), $F552)) : INDEX(AB:AB, ROW()-1)
         )
         /SUM(INDEX(AB:AB, ROW()-COUNTIF($F$6:INDEX($F:$F, ROW()-1), $F552)) : INDEX(AB:AB, ROW()-1)),
          AVERAGEIFS(unit_details[Asking PSF],
          unit_details[Active Listing?],TRUE,
          unit_details[Property Name], $F553,
          unit_details[Beds], $L553,
          unit_details[Baths], $M553,
          unit_details[Partial Baths], IF(ISNUMBER($N553),$N553,""),
          unit_details[Sqft],$P553
)),"")</f>
        <v/>
      </c>
      <c r="AH553" s="293" t="str">
        <f>IFERROR(IF($F553="Total",
         SUMPRODUCT(
         INDEX(AH:AH, ROW()-COUNTIF($F$6:INDEX($F:$F, ROW()-1), $F552)) : INDEX(AH:AH, ROW()-1),
         INDEX(AB:AB, ROW()-COUNTIF($F$6:INDEX($F:$F, ROW()-1), $F552)) : INDEX(AB:AB, ROW()-1)
         )
         /SUM(INDEX(AB:AB, ROW()-COUNTIF($F$6:INDEX($F:$F, ROW()-1), $F552)) : INDEX(AB:AB, ROW()-1)),
          AVERAGEIFS(unit_details[Effective Rent],
          unit_details[Active Listing?],TRUE,
          unit_details[Property Name], $F553,
          unit_details[Beds], $L553,
          unit_details[Baths], $M553,
          unit_details[Partial Baths], IF(ISNUMBER($N553),$N553,""),
          unit_details[Sqft],$P553
)),"")</f>
        <v/>
      </c>
      <c r="AI553" s="6" t="str">
        <f>IFERROR(IF($F553="Total",
         SUMPRODUCT(
         INDEX(AI:AI, ROW()-COUNTIF($F$6:INDEX($F:$F, ROW()-1), $F552)) : INDEX(AI:AI, ROW()-1),
         INDEX(AB:AB, ROW()-COUNTIF($F$6:INDEX($F:$F, ROW()-1), $F552)) : INDEX(AB:AB, ROW()-1)
         )
         /SUM(INDEX(AB:AB, ROW()-COUNTIF($F$6:INDEX($F:$F, ROW()-1), $F552)) : INDEX(AB:AB, ROW()-1)),
           AVERAGEIFS(unit_details[Effective PSF],
          unit_details[Active Listing?],TRUE,
          unit_details[Property Name], $F553,
          unit_details[Beds], $L553,
          unit_details[Baths], $M553,
          unit_details[Partial Baths], IF(ISNUMBER($N553),$N553,""),
          unit_details[Sqft],$P553
)),"")</f>
        <v/>
      </c>
      <c r="AJ553" s="824" t="str">
        <f t="shared" si="92"/>
        <v/>
      </c>
      <c r="AK553" s="531" t="str">
        <f t="shared" si="93"/>
        <v/>
      </c>
      <c r="AL553" s="714" t="str">
        <f t="shared" si="94"/>
        <v/>
      </c>
      <c r="AM553" s="531" t="str">
        <f t="shared" si="95"/>
        <v/>
      </c>
      <c r="AN553" s="716" t="str">
        <f t="shared" si="96"/>
        <v/>
      </c>
    </row>
    <row r="554" spans="6:40" x14ac:dyDescent="0.2">
      <c r="F554" s="1" t="str">
        <f t="shared" si="89"/>
        <v/>
      </c>
      <c r="G554" s="713" t="str">
        <f t="shared" si="97"/>
        <v/>
      </c>
      <c r="H554" s="17" t="str">
        <f>IFERROR(VLOOKUP($G554,Table1[[Property]:[Exposure %]],4,0),"")</f>
        <v/>
      </c>
      <c r="I554" s="3" t="str">
        <f>IFERROR(VLOOKUP($G554,Table1[[Property]:[Exposure %]],6,0),"")</f>
        <v/>
      </c>
      <c r="J554" s="3" t="str">
        <f>IFERROR(VLOOKUP($G554,Table1[[Property]:[Exposure %]],7,0),"")</f>
        <v/>
      </c>
      <c r="R554" s="4" t="str">
        <f>IFERROR(VLOOKUP(IF(F554="Total",F553,F554),Table1[[Property]:['# Units]],7,0)*S554,"")</f>
        <v/>
      </c>
      <c r="S554" s="27" t="str">
        <f t="shared" si="90"/>
        <v/>
      </c>
      <c r="T554" s="531" t="str">
        <f>IFERROR(
 IF($F554="Total",
   SUMPRODUCT(
   INDEX(T:T, ROW()-COUNTIF($F$6:INDEX($F:$F, ROW()-1), $F553)) : INDEX(T:T, ROW()-1),
   INDEX(W:W, ROW()-COUNTIF($F$6:INDEX($F:$F, ROW()-1), $F553)) : INDEX(W:W, ROW()-1)
   )
   /SUM(INDEX(W:W, ROW()-COUNTIF($F$6:INDEX($F:$F, ROW()-1), $F553)) : INDEX(W:W, ROW()-1)),
   AVERAGEIFS(
     INDEX((unit_details[Asking Rent],unit_details[Asking PSF]),0,1,IF($U$3="Chunk Rent",1,2)),
     unit_details[Leased Date],"&gt;="&amp;($AM$2-T$5),
     unit_details[Leased Date],"&lt;"&amp;$AM$2,
     unit_details[Beds],$L554,
     unit_details[Baths],$M554,
     unit_details[Partial Baths],IF(ISNUMBER($N554),$N554,""),
     unit_details[Sqft],$P554,
     unit_details[Property Name],$F554)
 ),"")</f>
        <v/>
      </c>
      <c r="U554" s="552" t="str">
        <f>IFERROR(
 IF($F554="Total",
   SUMPRODUCT(
   INDEX(U:U, ROW()-COUNTIF($F$6:INDEX($F:$F, ROW()-1), $F553)) : INDEX(U:U, ROW()-1),
   INDEX(W:W, ROW()-COUNTIF($F$6:INDEX($F:$F, ROW()-1), $F553)) : INDEX(W:W, ROW()-1)
   )
   /SUM(INDEX(W:W, ROW()-COUNTIF($F$6:INDEX($F:$F, ROW()-1), $F553)) : INDEX(W:W, ROW()-1)),
   AVERAGEIFS(
     INDEX((unit_details[Effective Rent],unit_details[Effective PSF]),0,1,IF($U$3="Chunk Rent",1,2)),
     unit_details[Leased Date],"&gt;="&amp;($AM$2-T$5),
     unit_details[Leased Date],"&lt;"&amp;$AM$2,
     unit_details[Beds],$L554,
     unit_details[Baths],$M554,
     unit_details[Partial Baths],IF(ISNUMBER($N554),$N554,""),
     unit_details[Sqft],$P554,
     unit_details[Property Name],$F554)
 ),"")</f>
        <v/>
      </c>
      <c r="V554" s="27" t="str">
        <f t="shared" si="98"/>
        <v/>
      </c>
      <c r="W554" s="526">
        <f>IFERROR(
  IF($F554="Total",
    SUM(INDEX(W:W, ROW()-COUNTIF($F$6:INDEX($F:$F, ROW()-1), $F553)) : INDEX(W:W, ROW()-1)),
    COUNTIFS(
      unit_details[Leased Date], "&gt;="&amp;($AM$2-T$5),
      unit_details[Leased Date], "&lt;"&amp;$AM$2,
      unit_details[Beds], $L554,
      unit_details[Baths], $M554,
      unit_details[Partial Baths], IF(ISNUMBER($N554), $N554, ""),
      unit_details[Sqft],$P554,
      unit_details[Property Name], $F554
    )
  ),
"")</f>
        <v>0</v>
      </c>
      <c r="X554" s="531" t="str">
        <f>IFERROR(
 IF($F554="Total",
   SUMPRODUCT(
   INDEX(X:X, ROW()-COUNTIF($F$6:INDEX($F:$F, ROW()-1), $F553)) : INDEX(X:X, ROW()-1),
   INDEX(AA:AA, ROW()-COUNTIF($F$6:INDEX($F:$F, ROW()-1), $F553)) : INDEX(AA:AA, ROW()-1)
   )
   /SUM(INDEX(AA:AA, ROW()-COUNTIF($F$6:INDEX($F:$F, ROW()-1), $F553)) : INDEX(AA:AA, ROW()-1)),
   AVERAGEIFS(
     INDEX((unit_details[Asking Rent],unit_details[Asking PSF]),0,1,IF($U$3="Chunk Rent",1,2)),
     unit_details[Leased Date],"&gt;="&amp;($AM$2-X$5),
     unit_details[Leased Date],"&lt;"&amp;$AM$2,
     unit_details[Beds],$L554,
     unit_details[Baths],$M554,
     unit_details[Partial Baths],IF(ISNUMBER($N554),$N554,""),
     unit_details[Sqft],$P554,
     unit_details[Property Name],$F554)
 ),"")</f>
        <v/>
      </c>
      <c r="Y554" s="552" t="str">
        <f>IFERROR(
 IF($F554="Total",
   SUMPRODUCT(
   INDEX(Y:Y, ROW()-COUNTIF($F$6:INDEX($F:$F, ROW()-1), $F553)) : INDEX(Y:Y, ROW()-1),
   INDEX(AA:AA, ROW()-COUNTIF($F$6:INDEX($F:$F, ROW()-1), $F553)) : INDEX(AA:AA, ROW()-1)
   )
   /SUM(INDEX(AA:AA, ROW()-COUNTIF($F$6:INDEX($F:$F, ROW()-1), $F553)) : INDEX(AA:AA, ROW()-1)),
   AVERAGEIFS(
     INDEX((unit_details[Effective Rent],unit_details[Effective PSF]),0,1,IF($U$3="Chunk Rent",1,2)),
     unit_details[Leased Date],"&gt;="&amp;($AM$2-X$5),
     unit_details[Leased Date],"&lt;"&amp;$AM$2,
     unit_details[Beds],$L554,
     unit_details[Baths],$M554,
     unit_details[Partial Baths],IF(ISNUMBER($N554),$N554,""),
     unit_details[Sqft],$P554,
     unit_details[Property Name],$F554)
 ),"")</f>
        <v/>
      </c>
      <c r="Z554" s="27" t="str">
        <f t="shared" si="99"/>
        <v/>
      </c>
      <c r="AA554" s="526">
        <f>IFERROR(
  IF($F554="Total",
    SUM(INDEX(AA:AA, ROW()-COUNTIF($F$6:INDEX($F:$F, ROW()-1), $F553)) : INDEX(AA:AA, ROW()-1)),
    COUNTIFS(
      unit_details[Leased Date], "&gt;="&amp;($AM$2-X$5),
      unit_details[Leased Date], "&lt;"&amp;$AM$2,
      unit_details[Beds], $L554,
      unit_details[Baths], $M554,
      unit_details[Partial Baths], IF(ISNUMBER($N554), $N554, ""),
      unit_details[Sqft],$P554,
      unit_details[Property Name], $F554
    )
  ),
"")</f>
        <v>0</v>
      </c>
      <c r="AB554" s="290">
        <f>IF($F554="Total",
SUM(INDEX(AB:AB, ROW()-COUNTIF($F$6:INDEX($F:$F, ROW()-1), $F553)) : INDEX(AB:AB, ROW()-1)),
COUNTIFS(unit_details[Active Listing?],TRUE,
          unit_details[Property Name], $F554,
          unit_details[Beds], $L554,
          unit_details[Baths], $M554,
          unit_details[Partial Baths],IF(ISNUMBER($N554),$N554,""),
          unit_details[Sqft],$P554))</f>
        <v>0</v>
      </c>
      <c r="AC554" s="27" t="str">
        <f t="shared" si="91"/>
        <v/>
      </c>
      <c r="AD554" s="293" t="str">
        <f>IFERROR(IF(AE554="","",IF($F554="Total",
SUMPRODUCT(
   INDEX(AD:AD, ROW()-COUNTIF($F$6:INDEX($F:$F, ROW()-1), $F553)) : INDEX(AD:AD, ROW()-1),
   INDEX(AB:AB, ROW()-COUNTIF($F$6:INDEX($F:$F, ROW()-1), $F553)) : INDEX(AB:AB, ROW()-1)
   )
   /SUM(INDEX(AB:AB, ROW()-COUNTIF($F$6:INDEX($F:$F, ROW()-1), $F553)) : INDEX(AB:AB, ROW()-1)),
          _xlfn.MINIFS(unit_details[Asking Rent],
          unit_details[Active Listing?],TRUE,
          unit_details[Property Name], $F554,
          unit_details[Beds], $L554,
          unit_details[Baths], $M554,
          unit_details[Partial Baths], IF(ISNUMBER($N554),$N554,""),
          unit_details[Sqft],$P554
))),"")</f>
        <v/>
      </c>
      <c r="AE554" s="5" t="str">
        <f>IFERROR(IF($F554="Total",
          SUMPRODUCT(
   INDEX(AE:AE, ROW()-COUNTIF($F$6:INDEX($F:$F, ROW()-1), $F553)) : INDEX(AE:AE, ROW()-1),
   INDEX(AB:AB, ROW()-COUNTIF($F$6:INDEX($F:$F, ROW()-1), $F553)) : INDEX(AB:AB, ROW()-1)
   )
   /SUM(INDEX(AB:AB, ROW()-COUNTIF($F$6:INDEX($F:$F, ROW()-1), $F553)) : INDEX(AB:AB, ROW()-1)),
          AVERAGEIFS(unit_details[Asking Rent],
          unit_details[Active Listing?],TRUE,
          unit_details[Property Name], $F554,
          unit_details[Beds], $L554,
          unit_details[Baths], $M554,
          unit_details[Partial Baths], IF(ISNUMBER($N554),$N554,""),
          unit_details[Sqft],$P554
)),"")</f>
        <v/>
      </c>
      <c r="AF554" s="5" t="str">
        <f>IFERROR(IF(AE554="","",IF($F554="Total",
SUMPRODUCT(
   INDEX(AF:AF, ROW()-COUNTIF($F$6:INDEX($F:$F, ROW()-1), $F553)) : INDEX(AF:AF, ROW()-1),
   INDEX(AB:AB, ROW()-COUNTIF($F$6:INDEX($F:$F, ROW()-1), $F553)) : INDEX(AB:AB, ROW()-1)
   )
   /SUM(INDEX(AB:AB, ROW()-COUNTIF($F$6:INDEX($F:$F, ROW()-1), $F553)) : INDEX(AB:AB, ROW()-1)),
           _xlfn.MAXIFS(unit_details[Asking Rent],
          unit_details[Active Listing?],TRUE,
          unit_details[Property Name], $F554,
          unit_details[Beds], $L554,
          unit_details[Baths], $M554,
          unit_details[Partial Baths], IF(ISNUMBER($N554),$N554,""),
          unit_details[Sqft],$P554
))),"")</f>
        <v/>
      </c>
      <c r="AG554" s="6" t="str">
        <f>IFERROR(IF($F554="Total",
         SUMPRODUCT(
         INDEX(AG:AG, ROW()-COUNTIF($F$6:INDEX($F:$F, ROW()-1), $F553)) : INDEX(AG:AG, ROW()-1),
         INDEX(AB:AB, ROW()-COUNTIF($F$6:INDEX($F:$F, ROW()-1), $F553)) : INDEX(AB:AB, ROW()-1)
         )
         /SUM(INDEX(AB:AB, ROW()-COUNTIF($F$6:INDEX($F:$F, ROW()-1), $F553)) : INDEX(AB:AB, ROW()-1)),
          AVERAGEIFS(unit_details[Asking PSF],
          unit_details[Active Listing?],TRUE,
          unit_details[Property Name], $F554,
          unit_details[Beds], $L554,
          unit_details[Baths], $M554,
          unit_details[Partial Baths], IF(ISNUMBER($N554),$N554,""),
          unit_details[Sqft],$P554
)),"")</f>
        <v/>
      </c>
      <c r="AH554" s="293" t="str">
        <f>IFERROR(IF($F554="Total",
         SUMPRODUCT(
         INDEX(AH:AH, ROW()-COUNTIF($F$6:INDEX($F:$F, ROW()-1), $F553)) : INDEX(AH:AH, ROW()-1),
         INDEX(AB:AB, ROW()-COUNTIF($F$6:INDEX($F:$F, ROW()-1), $F553)) : INDEX(AB:AB, ROW()-1)
         )
         /SUM(INDEX(AB:AB, ROW()-COUNTIF($F$6:INDEX($F:$F, ROW()-1), $F553)) : INDEX(AB:AB, ROW()-1)),
          AVERAGEIFS(unit_details[Effective Rent],
          unit_details[Active Listing?],TRUE,
          unit_details[Property Name], $F554,
          unit_details[Beds], $L554,
          unit_details[Baths], $M554,
          unit_details[Partial Baths], IF(ISNUMBER($N554),$N554,""),
          unit_details[Sqft],$P554
)),"")</f>
        <v/>
      </c>
      <c r="AI554" s="6" t="str">
        <f>IFERROR(IF($F554="Total",
         SUMPRODUCT(
         INDEX(AI:AI, ROW()-COUNTIF($F$6:INDEX($F:$F, ROW()-1), $F553)) : INDEX(AI:AI, ROW()-1),
         INDEX(AB:AB, ROW()-COUNTIF($F$6:INDEX($F:$F, ROW()-1), $F553)) : INDEX(AB:AB, ROW()-1)
         )
         /SUM(INDEX(AB:AB, ROW()-COUNTIF($F$6:INDEX($F:$F, ROW()-1), $F553)) : INDEX(AB:AB, ROW()-1)),
           AVERAGEIFS(unit_details[Effective PSF],
          unit_details[Active Listing?],TRUE,
          unit_details[Property Name], $F554,
          unit_details[Beds], $L554,
          unit_details[Baths], $M554,
          unit_details[Partial Baths], IF(ISNUMBER($N554),$N554,""),
          unit_details[Sqft],$P554
)),"")</f>
        <v/>
      </c>
      <c r="AJ554" s="824" t="str">
        <f t="shared" si="92"/>
        <v/>
      </c>
      <c r="AK554" s="531" t="str">
        <f t="shared" si="93"/>
        <v/>
      </c>
      <c r="AL554" s="714" t="str">
        <f t="shared" si="94"/>
        <v/>
      </c>
      <c r="AM554" s="531" t="str">
        <f t="shared" si="95"/>
        <v/>
      </c>
      <c r="AN554" s="716" t="str">
        <f t="shared" si="96"/>
        <v/>
      </c>
    </row>
    <row r="555" spans="6:40" x14ac:dyDescent="0.2">
      <c r="F555" s="1" t="str">
        <f t="shared" si="89"/>
        <v/>
      </c>
      <c r="G555" s="713" t="str">
        <f t="shared" si="97"/>
        <v/>
      </c>
      <c r="H555" s="17" t="str">
        <f>IFERROR(VLOOKUP($G555,Table1[[Property]:[Exposure %]],4,0),"")</f>
        <v/>
      </c>
      <c r="I555" s="3" t="str">
        <f>IFERROR(VLOOKUP($G555,Table1[[Property]:[Exposure %]],6,0),"")</f>
        <v/>
      </c>
      <c r="J555" s="3" t="str">
        <f>IFERROR(VLOOKUP($G555,Table1[[Property]:[Exposure %]],7,0),"")</f>
        <v/>
      </c>
      <c r="R555" s="4" t="str">
        <f>IFERROR(VLOOKUP(IF(F555="Total",F554,F555),Table1[[Property]:['# Units]],7,0)*S555,"")</f>
        <v/>
      </c>
      <c r="S555" s="27" t="str">
        <f t="shared" si="90"/>
        <v/>
      </c>
      <c r="T555" s="531" t="str">
        <f>IFERROR(
 IF($F555="Total",
   SUMPRODUCT(
   INDEX(T:T, ROW()-COUNTIF($F$6:INDEX($F:$F, ROW()-1), $F554)) : INDEX(T:T, ROW()-1),
   INDEX(W:W, ROW()-COUNTIF($F$6:INDEX($F:$F, ROW()-1), $F554)) : INDEX(W:W, ROW()-1)
   )
   /SUM(INDEX(W:W, ROW()-COUNTIF($F$6:INDEX($F:$F, ROW()-1), $F554)) : INDEX(W:W, ROW()-1)),
   AVERAGEIFS(
     INDEX((unit_details[Asking Rent],unit_details[Asking PSF]),0,1,IF($U$3="Chunk Rent",1,2)),
     unit_details[Leased Date],"&gt;="&amp;($AM$2-T$5),
     unit_details[Leased Date],"&lt;"&amp;$AM$2,
     unit_details[Beds],$L555,
     unit_details[Baths],$M555,
     unit_details[Partial Baths],IF(ISNUMBER($N555),$N555,""),
     unit_details[Sqft],$P555,
     unit_details[Property Name],$F555)
 ),"")</f>
        <v/>
      </c>
      <c r="U555" s="552" t="str">
        <f>IFERROR(
 IF($F555="Total",
   SUMPRODUCT(
   INDEX(U:U, ROW()-COUNTIF($F$6:INDEX($F:$F, ROW()-1), $F554)) : INDEX(U:U, ROW()-1),
   INDEX(W:W, ROW()-COUNTIF($F$6:INDEX($F:$F, ROW()-1), $F554)) : INDEX(W:W, ROW()-1)
   )
   /SUM(INDEX(W:W, ROW()-COUNTIF($F$6:INDEX($F:$F, ROW()-1), $F554)) : INDEX(W:W, ROW()-1)),
   AVERAGEIFS(
     INDEX((unit_details[Effective Rent],unit_details[Effective PSF]),0,1,IF($U$3="Chunk Rent",1,2)),
     unit_details[Leased Date],"&gt;="&amp;($AM$2-T$5),
     unit_details[Leased Date],"&lt;"&amp;$AM$2,
     unit_details[Beds],$L555,
     unit_details[Baths],$M555,
     unit_details[Partial Baths],IF(ISNUMBER($N555),$N555,""),
     unit_details[Sqft],$P555,
     unit_details[Property Name],$F555)
 ),"")</f>
        <v/>
      </c>
      <c r="V555" s="27" t="str">
        <f t="shared" si="98"/>
        <v/>
      </c>
      <c r="W555" s="526">
        <f>IFERROR(
  IF($F555="Total",
    SUM(INDEX(W:W, ROW()-COUNTIF($F$6:INDEX($F:$F, ROW()-1), $F554)) : INDEX(W:W, ROW()-1)),
    COUNTIFS(
      unit_details[Leased Date], "&gt;="&amp;($AM$2-T$5),
      unit_details[Leased Date], "&lt;"&amp;$AM$2,
      unit_details[Beds], $L555,
      unit_details[Baths], $M555,
      unit_details[Partial Baths], IF(ISNUMBER($N555), $N555, ""),
      unit_details[Sqft],$P555,
      unit_details[Property Name], $F555
    )
  ),
"")</f>
        <v>0</v>
      </c>
      <c r="X555" s="531" t="str">
        <f>IFERROR(
 IF($F555="Total",
   SUMPRODUCT(
   INDEX(X:X, ROW()-COUNTIF($F$6:INDEX($F:$F, ROW()-1), $F554)) : INDEX(X:X, ROW()-1),
   INDEX(AA:AA, ROW()-COUNTIF($F$6:INDEX($F:$F, ROW()-1), $F554)) : INDEX(AA:AA, ROW()-1)
   )
   /SUM(INDEX(AA:AA, ROW()-COUNTIF($F$6:INDEX($F:$F, ROW()-1), $F554)) : INDEX(AA:AA, ROW()-1)),
   AVERAGEIFS(
     INDEX((unit_details[Asking Rent],unit_details[Asking PSF]),0,1,IF($U$3="Chunk Rent",1,2)),
     unit_details[Leased Date],"&gt;="&amp;($AM$2-X$5),
     unit_details[Leased Date],"&lt;"&amp;$AM$2,
     unit_details[Beds],$L555,
     unit_details[Baths],$M555,
     unit_details[Partial Baths],IF(ISNUMBER($N555),$N555,""),
     unit_details[Sqft],$P555,
     unit_details[Property Name],$F555)
 ),"")</f>
        <v/>
      </c>
      <c r="Y555" s="552" t="str">
        <f>IFERROR(
 IF($F555="Total",
   SUMPRODUCT(
   INDEX(Y:Y, ROW()-COUNTIF($F$6:INDEX($F:$F, ROW()-1), $F554)) : INDEX(Y:Y, ROW()-1),
   INDEX(AA:AA, ROW()-COUNTIF($F$6:INDEX($F:$F, ROW()-1), $F554)) : INDEX(AA:AA, ROW()-1)
   )
   /SUM(INDEX(AA:AA, ROW()-COUNTIF($F$6:INDEX($F:$F, ROW()-1), $F554)) : INDEX(AA:AA, ROW()-1)),
   AVERAGEIFS(
     INDEX((unit_details[Effective Rent],unit_details[Effective PSF]),0,1,IF($U$3="Chunk Rent",1,2)),
     unit_details[Leased Date],"&gt;="&amp;($AM$2-X$5),
     unit_details[Leased Date],"&lt;"&amp;$AM$2,
     unit_details[Beds],$L555,
     unit_details[Baths],$M555,
     unit_details[Partial Baths],IF(ISNUMBER($N555),$N555,""),
     unit_details[Sqft],$P555,
     unit_details[Property Name],$F555)
 ),"")</f>
        <v/>
      </c>
      <c r="Z555" s="27" t="str">
        <f t="shared" si="99"/>
        <v/>
      </c>
      <c r="AA555" s="526">
        <f>IFERROR(
  IF($F555="Total",
    SUM(INDEX(AA:AA, ROW()-COUNTIF($F$6:INDEX($F:$F, ROW()-1), $F554)) : INDEX(AA:AA, ROW()-1)),
    COUNTIFS(
      unit_details[Leased Date], "&gt;="&amp;($AM$2-X$5),
      unit_details[Leased Date], "&lt;"&amp;$AM$2,
      unit_details[Beds], $L555,
      unit_details[Baths], $M555,
      unit_details[Partial Baths], IF(ISNUMBER($N555), $N555, ""),
      unit_details[Sqft],$P555,
      unit_details[Property Name], $F555
    )
  ),
"")</f>
        <v>0</v>
      </c>
      <c r="AB555" s="290">
        <f>IF($F555="Total",
SUM(INDEX(AB:AB, ROW()-COUNTIF($F$6:INDEX($F:$F, ROW()-1), $F554)) : INDEX(AB:AB, ROW()-1)),
COUNTIFS(unit_details[Active Listing?],TRUE,
          unit_details[Property Name], $F555,
          unit_details[Beds], $L555,
          unit_details[Baths], $M555,
          unit_details[Partial Baths],IF(ISNUMBER($N555),$N555,""),
          unit_details[Sqft],$P555))</f>
        <v>0</v>
      </c>
      <c r="AC555" s="27" t="str">
        <f t="shared" si="91"/>
        <v/>
      </c>
      <c r="AD555" s="293" t="str">
        <f>IFERROR(IF(AE555="","",IF($F555="Total",
SUMPRODUCT(
   INDEX(AD:AD, ROW()-COUNTIF($F$6:INDEX($F:$F, ROW()-1), $F554)) : INDEX(AD:AD, ROW()-1),
   INDEX(AB:AB, ROW()-COUNTIF($F$6:INDEX($F:$F, ROW()-1), $F554)) : INDEX(AB:AB, ROW()-1)
   )
   /SUM(INDEX(AB:AB, ROW()-COUNTIF($F$6:INDEX($F:$F, ROW()-1), $F554)) : INDEX(AB:AB, ROW()-1)),
          _xlfn.MINIFS(unit_details[Asking Rent],
          unit_details[Active Listing?],TRUE,
          unit_details[Property Name], $F555,
          unit_details[Beds], $L555,
          unit_details[Baths], $M555,
          unit_details[Partial Baths], IF(ISNUMBER($N555),$N555,""),
          unit_details[Sqft],$P555
))),"")</f>
        <v/>
      </c>
      <c r="AE555" s="5" t="str">
        <f>IFERROR(IF($F555="Total",
          SUMPRODUCT(
   INDEX(AE:AE, ROW()-COUNTIF($F$6:INDEX($F:$F, ROW()-1), $F554)) : INDEX(AE:AE, ROW()-1),
   INDEX(AB:AB, ROW()-COUNTIF($F$6:INDEX($F:$F, ROW()-1), $F554)) : INDEX(AB:AB, ROW()-1)
   )
   /SUM(INDEX(AB:AB, ROW()-COUNTIF($F$6:INDEX($F:$F, ROW()-1), $F554)) : INDEX(AB:AB, ROW()-1)),
          AVERAGEIFS(unit_details[Asking Rent],
          unit_details[Active Listing?],TRUE,
          unit_details[Property Name], $F555,
          unit_details[Beds], $L555,
          unit_details[Baths], $M555,
          unit_details[Partial Baths], IF(ISNUMBER($N555),$N555,""),
          unit_details[Sqft],$P555
)),"")</f>
        <v/>
      </c>
      <c r="AF555" s="5" t="str">
        <f>IFERROR(IF(AE555="","",IF($F555="Total",
SUMPRODUCT(
   INDEX(AF:AF, ROW()-COUNTIF($F$6:INDEX($F:$F, ROW()-1), $F554)) : INDEX(AF:AF, ROW()-1),
   INDEX(AB:AB, ROW()-COUNTIF($F$6:INDEX($F:$F, ROW()-1), $F554)) : INDEX(AB:AB, ROW()-1)
   )
   /SUM(INDEX(AB:AB, ROW()-COUNTIF($F$6:INDEX($F:$F, ROW()-1), $F554)) : INDEX(AB:AB, ROW()-1)),
           _xlfn.MAXIFS(unit_details[Asking Rent],
          unit_details[Active Listing?],TRUE,
          unit_details[Property Name], $F555,
          unit_details[Beds], $L555,
          unit_details[Baths], $M555,
          unit_details[Partial Baths], IF(ISNUMBER($N555),$N555,""),
          unit_details[Sqft],$P555
))),"")</f>
        <v/>
      </c>
      <c r="AG555" s="6" t="str">
        <f>IFERROR(IF($F555="Total",
         SUMPRODUCT(
         INDEX(AG:AG, ROW()-COUNTIF($F$6:INDEX($F:$F, ROW()-1), $F554)) : INDEX(AG:AG, ROW()-1),
         INDEX(AB:AB, ROW()-COUNTIF($F$6:INDEX($F:$F, ROW()-1), $F554)) : INDEX(AB:AB, ROW()-1)
         )
         /SUM(INDEX(AB:AB, ROW()-COUNTIF($F$6:INDEX($F:$F, ROW()-1), $F554)) : INDEX(AB:AB, ROW()-1)),
          AVERAGEIFS(unit_details[Asking PSF],
          unit_details[Active Listing?],TRUE,
          unit_details[Property Name], $F555,
          unit_details[Beds], $L555,
          unit_details[Baths], $M555,
          unit_details[Partial Baths], IF(ISNUMBER($N555),$N555,""),
          unit_details[Sqft],$P555
)),"")</f>
        <v/>
      </c>
      <c r="AH555" s="293" t="str">
        <f>IFERROR(IF($F555="Total",
         SUMPRODUCT(
         INDEX(AH:AH, ROW()-COUNTIF($F$6:INDEX($F:$F, ROW()-1), $F554)) : INDEX(AH:AH, ROW()-1),
         INDEX(AB:AB, ROW()-COUNTIF($F$6:INDEX($F:$F, ROW()-1), $F554)) : INDEX(AB:AB, ROW()-1)
         )
         /SUM(INDEX(AB:AB, ROW()-COUNTIF($F$6:INDEX($F:$F, ROW()-1), $F554)) : INDEX(AB:AB, ROW()-1)),
          AVERAGEIFS(unit_details[Effective Rent],
          unit_details[Active Listing?],TRUE,
          unit_details[Property Name], $F555,
          unit_details[Beds], $L555,
          unit_details[Baths], $M555,
          unit_details[Partial Baths], IF(ISNUMBER($N555),$N555,""),
          unit_details[Sqft],$P555
)),"")</f>
        <v/>
      </c>
      <c r="AI555" s="6" t="str">
        <f>IFERROR(IF($F555="Total",
         SUMPRODUCT(
         INDEX(AI:AI, ROW()-COUNTIF($F$6:INDEX($F:$F, ROW()-1), $F554)) : INDEX(AI:AI, ROW()-1),
         INDEX(AB:AB, ROW()-COUNTIF($F$6:INDEX($F:$F, ROW()-1), $F554)) : INDEX(AB:AB, ROW()-1)
         )
         /SUM(INDEX(AB:AB, ROW()-COUNTIF($F$6:INDEX($F:$F, ROW()-1), $F554)) : INDEX(AB:AB, ROW()-1)),
           AVERAGEIFS(unit_details[Effective PSF],
          unit_details[Active Listing?],TRUE,
          unit_details[Property Name], $F555,
          unit_details[Beds], $L555,
          unit_details[Baths], $M555,
          unit_details[Partial Baths], IF(ISNUMBER($N555),$N555,""),
          unit_details[Sqft],$P555
)),"")</f>
        <v/>
      </c>
      <c r="AJ555" s="824" t="str">
        <f t="shared" si="92"/>
        <v/>
      </c>
      <c r="AK555" s="531" t="str">
        <f t="shared" si="93"/>
        <v/>
      </c>
      <c r="AL555" s="714" t="str">
        <f t="shared" si="94"/>
        <v/>
      </c>
      <c r="AM555" s="531" t="str">
        <f t="shared" si="95"/>
        <v/>
      </c>
      <c r="AN555" s="716" t="str">
        <f t="shared" si="96"/>
        <v/>
      </c>
    </row>
    <row r="556" spans="6:40" x14ac:dyDescent="0.2">
      <c r="F556" s="1" t="str">
        <f t="shared" si="89"/>
        <v/>
      </c>
      <c r="G556" s="713" t="str">
        <f t="shared" si="97"/>
        <v/>
      </c>
      <c r="H556" s="17" t="str">
        <f>IFERROR(VLOOKUP($G556,Table1[[Property]:[Exposure %]],4,0),"")</f>
        <v/>
      </c>
      <c r="I556" s="3" t="str">
        <f>IFERROR(VLOOKUP($G556,Table1[[Property]:[Exposure %]],6,0),"")</f>
        <v/>
      </c>
      <c r="J556" s="3" t="str">
        <f>IFERROR(VLOOKUP($G556,Table1[[Property]:[Exposure %]],7,0),"")</f>
        <v/>
      </c>
      <c r="R556" s="4" t="str">
        <f>IFERROR(VLOOKUP(IF(F556="Total",F555,F556),Table1[[Property]:['# Units]],7,0)*S556,"")</f>
        <v/>
      </c>
      <c r="S556" s="27" t="str">
        <f t="shared" si="90"/>
        <v/>
      </c>
      <c r="T556" s="531" t="str">
        <f>IFERROR(
 IF($F556="Total",
   SUMPRODUCT(
   INDEX(T:T, ROW()-COUNTIF($F$6:INDEX($F:$F, ROW()-1), $F555)) : INDEX(T:T, ROW()-1),
   INDEX(W:W, ROW()-COUNTIF($F$6:INDEX($F:$F, ROW()-1), $F555)) : INDEX(W:W, ROW()-1)
   )
   /SUM(INDEX(W:W, ROW()-COUNTIF($F$6:INDEX($F:$F, ROW()-1), $F555)) : INDEX(W:W, ROW()-1)),
   AVERAGEIFS(
     INDEX((unit_details[Asking Rent],unit_details[Asking PSF]),0,1,IF($U$3="Chunk Rent",1,2)),
     unit_details[Leased Date],"&gt;="&amp;($AM$2-T$5),
     unit_details[Leased Date],"&lt;"&amp;$AM$2,
     unit_details[Beds],$L556,
     unit_details[Baths],$M556,
     unit_details[Partial Baths],IF(ISNUMBER($N556),$N556,""),
     unit_details[Sqft],$P556,
     unit_details[Property Name],$F556)
 ),"")</f>
        <v/>
      </c>
      <c r="U556" s="552" t="str">
        <f>IFERROR(
 IF($F556="Total",
   SUMPRODUCT(
   INDEX(U:U, ROW()-COUNTIF($F$6:INDEX($F:$F, ROW()-1), $F555)) : INDEX(U:U, ROW()-1),
   INDEX(W:W, ROW()-COUNTIF($F$6:INDEX($F:$F, ROW()-1), $F555)) : INDEX(W:W, ROW()-1)
   )
   /SUM(INDEX(W:W, ROW()-COUNTIF($F$6:INDEX($F:$F, ROW()-1), $F555)) : INDEX(W:W, ROW()-1)),
   AVERAGEIFS(
     INDEX((unit_details[Effective Rent],unit_details[Effective PSF]),0,1,IF($U$3="Chunk Rent",1,2)),
     unit_details[Leased Date],"&gt;="&amp;($AM$2-T$5),
     unit_details[Leased Date],"&lt;"&amp;$AM$2,
     unit_details[Beds],$L556,
     unit_details[Baths],$M556,
     unit_details[Partial Baths],IF(ISNUMBER($N556),$N556,""),
     unit_details[Sqft],$P556,
     unit_details[Property Name],$F556)
 ),"")</f>
        <v/>
      </c>
      <c r="V556" s="27" t="str">
        <f t="shared" si="98"/>
        <v/>
      </c>
      <c r="W556" s="526">
        <f>IFERROR(
  IF($F556="Total",
    SUM(INDEX(W:W, ROW()-COUNTIF($F$6:INDEX($F:$F, ROW()-1), $F555)) : INDEX(W:W, ROW()-1)),
    COUNTIFS(
      unit_details[Leased Date], "&gt;="&amp;($AM$2-T$5),
      unit_details[Leased Date], "&lt;"&amp;$AM$2,
      unit_details[Beds], $L556,
      unit_details[Baths], $M556,
      unit_details[Partial Baths], IF(ISNUMBER($N556), $N556, ""),
      unit_details[Sqft],$P556,
      unit_details[Property Name], $F556
    )
  ),
"")</f>
        <v>0</v>
      </c>
      <c r="X556" s="531" t="str">
        <f>IFERROR(
 IF($F556="Total",
   SUMPRODUCT(
   INDEX(X:X, ROW()-COUNTIF($F$6:INDEX($F:$F, ROW()-1), $F555)) : INDEX(X:X, ROW()-1),
   INDEX(AA:AA, ROW()-COUNTIF($F$6:INDEX($F:$F, ROW()-1), $F555)) : INDEX(AA:AA, ROW()-1)
   )
   /SUM(INDEX(AA:AA, ROW()-COUNTIF($F$6:INDEX($F:$F, ROW()-1), $F555)) : INDEX(AA:AA, ROW()-1)),
   AVERAGEIFS(
     INDEX((unit_details[Asking Rent],unit_details[Asking PSF]),0,1,IF($U$3="Chunk Rent",1,2)),
     unit_details[Leased Date],"&gt;="&amp;($AM$2-X$5),
     unit_details[Leased Date],"&lt;"&amp;$AM$2,
     unit_details[Beds],$L556,
     unit_details[Baths],$M556,
     unit_details[Partial Baths],IF(ISNUMBER($N556),$N556,""),
     unit_details[Sqft],$P556,
     unit_details[Property Name],$F556)
 ),"")</f>
        <v/>
      </c>
      <c r="Y556" s="552" t="str">
        <f>IFERROR(
 IF($F556="Total",
   SUMPRODUCT(
   INDEX(Y:Y, ROW()-COUNTIF($F$6:INDEX($F:$F, ROW()-1), $F555)) : INDEX(Y:Y, ROW()-1),
   INDEX(AA:AA, ROW()-COUNTIF($F$6:INDEX($F:$F, ROW()-1), $F555)) : INDEX(AA:AA, ROW()-1)
   )
   /SUM(INDEX(AA:AA, ROW()-COUNTIF($F$6:INDEX($F:$F, ROW()-1), $F555)) : INDEX(AA:AA, ROW()-1)),
   AVERAGEIFS(
     INDEX((unit_details[Effective Rent],unit_details[Effective PSF]),0,1,IF($U$3="Chunk Rent",1,2)),
     unit_details[Leased Date],"&gt;="&amp;($AM$2-X$5),
     unit_details[Leased Date],"&lt;"&amp;$AM$2,
     unit_details[Beds],$L556,
     unit_details[Baths],$M556,
     unit_details[Partial Baths],IF(ISNUMBER($N556),$N556,""),
     unit_details[Sqft],$P556,
     unit_details[Property Name],$F556)
 ),"")</f>
        <v/>
      </c>
      <c r="Z556" s="27" t="str">
        <f t="shared" si="99"/>
        <v/>
      </c>
      <c r="AA556" s="526">
        <f>IFERROR(
  IF($F556="Total",
    SUM(INDEX(AA:AA, ROW()-COUNTIF($F$6:INDEX($F:$F, ROW()-1), $F555)) : INDEX(AA:AA, ROW()-1)),
    COUNTIFS(
      unit_details[Leased Date], "&gt;="&amp;($AM$2-X$5),
      unit_details[Leased Date], "&lt;"&amp;$AM$2,
      unit_details[Beds], $L556,
      unit_details[Baths], $M556,
      unit_details[Partial Baths], IF(ISNUMBER($N556), $N556, ""),
      unit_details[Sqft],$P556,
      unit_details[Property Name], $F556
    )
  ),
"")</f>
        <v>0</v>
      </c>
      <c r="AB556" s="290">
        <f>IF($F556="Total",
SUM(INDEX(AB:AB, ROW()-COUNTIF($F$6:INDEX($F:$F, ROW()-1), $F555)) : INDEX(AB:AB, ROW()-1)),
COUNTIFS(unit_details[Active Listing?],TRUE,
          unit_details[Property Name], $F556,
          unit_details[Beds], $L556,
          unit_details[Baths], $M556,
          unit_details[Partial Baths],IF(ISNUMBER($N556),$N556,""),
          unit_details[Sqft],$P556))</f>
        <v>0</v>
      </c>
      <c r="AC556" s="27" t="str">
        <f t="shared" si="91"/>
        <v/>
      </c>
      <c r="AD556" s="293" t="str">
        <f>IFERROR(IF(AE556="","",IF($F556="Total",
SUMPRODUCT(
   INDEX(AD:AD, ROW()-COUNTIF($F$6:INDEX($F:$F, ROW()-1), $F555)) : INDEX(AD:AD, ROW()-1),
   INDEX(AB:AB, ROW()-COUNTIF($F$6:INDEX($F:$F, ROW()-1), $F555)) : INDEX(AB:AB, ROW()-1)
   )
   /SUM(INDEX(AB:AB, ROW()-COUNTIF($F$6:INDEX($F:$F, ROW()-1), $F555)) : INDEX(AB:AB, ROW()-1)),
          _xlfn.MINIFS(unit_details[Asking Rent],
          unit_details[Active Listing?],TRUE,
          unit_details[Property Name], $F556,
          unit_details[Beds], $L556,
          unit_details[Baths], $M556,
          unit_details[Partial Baths], IF(ISNUMBER($N556),$N556,""),
          unit_details[Sqft],$P556
))),"")</f>
        <v/>
      </c>
      <c r="AE556" s="5" t="str">
        <f>IFERROR(IF($F556="Total",
          SUMPRODUCT(
   INDEX(AE:AE, ROW()-COUNTIF($F$6:INDEX($F:$F, ROW()-1), $F555)) : INDEX(AE:AE, ROW()-1),
   INDEX(AB:AB, ROW()-COUNTIF($F$6:INDEX($F:$F, ROW()-1), $F555)) : INDEX(AB:AB, ROW()-1)
   )
   /SUM(INDEX(AB:AB, ROW()-COUNTIF($F$6:INDEX($F:$F, ROW()-1), $F555)) : INDEX(AB:AB, ROW()-1)),
          AVERAGEIFS(unit_details[Asking Rent],
          unit_details[Active Listing?],TRUE,
          unit_details[Property Name], $F556,
          unit_details[Beds], $L556,
          unit_details[Baths], $M556,
          unit_details[Partial Baths], IF(ISNUMBER($N556),$N556,""),
          unit_details[Sqft],$P556
)),"")</f>
        <v/>
      </c>
      <c r="AF556" s="5" t="str">
        <f>IFERROR(IF(AE556="","",IF($F556="Total",
SUMPRODUCT(
   INDEX(AF:AF, ROW()-COUNTIF($F$6:INDEX($F:$F, ROW()-1), $F555)) : INDEX(AF:AF, ROW()-1),
   INDEX(AB:AB, ROW()-COUNTIF($F$6:INDEX($F:$F, ROW()-1), $F555)) : INDEX(AB:AB, ROW()-1)
   )
   /SUM(INDEX(AB:AB, ROW()-COUNTIF($F$6:INDEX($F:$F, ROW()-1), $F555)) : INDEX(AB:AB, ROW()-1)),
           _xlfn.MAXIFS(unit_details[Asking Rent],
          unit_details[Active Listing?],TRUE,
          unit_details[Property Name], $F556,
          unit_details[Beds], $L556,
          unit_details[Baths], $M556,
          unit_details[Partial Baths], IF(ISNUMBER($N556),$N556,""),
          unit_details[Sqft],$P556
))),"")</f>
        <v/>
      </c>
      <c r="AG556" s="6" t="str">
        <f>IFERROR(IF($F556="Total",
         SUMPRODUCT(
         INDEX(AG:AG, ROW()-COUNTIF($F$6:INDEX($F:$F, ROW()-1), $F555)) : INDEX(AG:AG, ROW()-1),
         INDEX(AB:AB, ROW()-COUNTIF($F$6:INDEX($F:$F, ROW()-1), $F555)) : INDEX(AB:AB, ROW()-1)
         )
         /SUM(INDEX(AB:AB, ROW()-COUNTIF($F$6:INDEX($F:$F, ROW()-1), $F555)) : INDEX(AB:AB, ROW()-1)),
          AVERAGEIFS(unit_details[Asking PSF],
          unit_details[Active Listing?],TRUE,
          unit_details[Property Name], $F556,
          unit_details[Beds], $L556,
          unit_details[Baths], $M556,
          unit_details[Partial Baths], IF(ISNUMBER($N556),$N556,""),
          unit_details[Sqft],$P556
)),"")</f>
        <v/>
      </c>
      <c r="AH556" s="293" t="str">
        <f>IFERROR(IF($F556="Total",
         SUMPRODUCT(
         INDEX(AH:AH, ROW()-COUNTIF($F$6:INDEX($F:$F, ROW()-1), $F555)) : INDEX(AH:AH, ROW()-1),
         INDEX(AB:AB, ROW()-COUNTIF($F$6:INDEX($F:$F, ROW()-1), $F555)) : INDEX(AB:AB, ROW()-1)
         )
         /SUM(INDEX(AB:AB, ROW()-COUNTIF($F$6:INDEX($F:$F, ROW()-1), $F555)) : INDEX(AB:AB, ROW()-1)),
          AVERAGEIFS(unit_details[Effective Rent],
          unit_details[Active Listing?],TRUE,
          unit_details[Property Name], $F556,
          unit_details[Beds], $L556,
          unit_details[Baths], $M556,
          unit_details[Partial Baths], IF(ISNUMBER($N556),$N556,""),
          unit_details[Sqft],$P556
)),"")</f>
        <v/>
      </c>
      <c r="AI556" s="6" t="str">
        <f>IFERROR(IF($F556="Total",
         SUMPRODUCT(
         INDEX(AI:AI, ROW()-COUNTIF($F$6:INDEX($F:$F, ROW()-1), $F555)) : INDEX(AI:AI, ROW()-1),
         INDEX(AB:AB, ROW()-COUNTIF($F$6:INDEX($F:$F, ROW()-1), $F555)) : INDEX(AB:AB, ROW()-1)
         )
         /SUM(INDEX(AB:AB, ROW()-COUNTIF($F$6:INDEX($F:$F, ROW()-1), $F555)) : INDEX(AB:AB, ROW()-1)),
           AVERAGEIFS(unit_details[Effective PSF],
          unit_details[Active Listing?],TRUE,
          unit_details[Property Name], $F556,
          unit_details[Beds], $L556,
          unit_details[Baths], $M556,
          unit_details[Partial Baths], IF(ISNUMBER($N556),$N556,""),
          unit_details[Sqft],$P556
)),"")</f>
        <v/>
      </c>
      <c r="AJ556" s="824" t="str">
        <f t="shared" si="92"/>
        <v/>
      </c>
      <c r="AK556" s="531" t="str">
        <f t="shared" si="93"/>
        <v/>
      </c>
      <c r="AL556" s="714" t="str">
        <f t="shared" si="94"/>
        <v/>
      </c>
      <c r="AM556" s="531" t="str">
        <f t="shared" si="95"/>
        <v/>
      </c>
      <c r="AN556" s="716" t="str">
        <f t="shared" si="96"/>
        <v/>
      </c>
    </row>
    <row r="557" spans="6:40" x14ac:dyDescent="0.2">
      <c r="F557" s="1" t="str">
        <f t="shared" si="89"/>
        <v/>
      </c>
      <c r="G557" s="713" t="str">
        <f t="shared" si="97"/>
        <v/>
      </c>
      <c r="H557" s="17" t="str">
        <f>IFERROR(VLOOKUP($G557,Table1[[Property]:[Exposure %]],4,0),"")</f>
        <v/>
      </c>
      <c r="I557" s="3" t="str">
        <f>IFERROR(VLOOKUP($G557,Table1[[Property]:[Exposure %]],6,0),"")</f>
        <v/>
      </c>
      <c r="J557" s="3" t="str">
        <f>IFERROR(VLOOKUP($G557,Table1[[Property]:[Exposure %]],7,0),"")</f>
        <v/>
      </c>
      <c r="R557" s="4" t="str">
        <f>IFERROR(VLOOKUP(IF(F557="Total",F556,F557),Table1[[Property]:['# Units]],7,0)*S557,"")</f>
        <v/>
      </c>
      <c r="S557" s="27" t="str">
        <f t="shared" si="90"/>
        <v/>
      </c>
      <c r="T557" s="531" t="str">
        <f>IFERROR(
 IF($F557="Total",
   SUMPRODUCT(
   INDEX(T:T, ROW()-COUNTIF($F$6:INDEX($F:$F, ROW()-1), $F556)) : INDEX(T:T, ROW()-1),
   INDEX(W:W, ROW()-COUNTIF($F$6:INDEX($F:$F, ROW()-1), $F556)) : INDEX(W:W, ROW()-1)
   )
   /SUM(INDEX(W:W, ROW()-COUNTIF($F$6:INDEX($F:$F, ROW()-1), $F556)) : INDEX(W:W, ROW()-1)),
   AVERAGEIFS(
     INDEX((unit_details[Asking Rent],unit_details[Asking PSF]),0,1,IF($U$3="Chunk Rent",1,2)),
     unit_details[Leased Date],"&gt;="&amp;($AM$2-T$5),
     unit_details[Leased Date],"&lt;"&amp;$AM$2,
     unit_details[Beds],$L557,
     unit_details[Baths],$M557,
     unit_details[Partial Baths],IF(ISNUMBER($N557),$N557,""),
     unit_details[Sqft],$P557,
     unit_details[Property Name],$F557)
 ),"")</f>
        <v/>
      </c>
      <c r="U557" s="552" t="str">
        <f>IFERROR(
 IF($F557="Total",
   SUMPRODUCT(
   INDEX(U:U, ROW()-COUNTIF($F$6:INDEX($F:$F, ROW()-1), $F556)) : INDEX(U:U, ROW()-1),
   INDEX(W:W, ROW()-COUNTIF($F$6:INDEX($F:$F, ROW()-1), $F556)) : INDEX(W:W, ROW()-1)
   )
   /SUM(INDEX(W:W, ROW()-COUNTIF($F$6:INDEX($F:$F, ROW()-1), $F556)) : INDEX(W:W, ROW()-1)),
   AVERAGEIFS(
     INDEX((unit_details[Effective Rent],unit_details[Effective PSF]),0,1,IF($U$3="Chunk Rent",1,2)),
     unit_details[Leased Date],"&gt;="&amp;($AM$2-T$5),
     unit_details[Leased Date],"&lt;"&amp;$AM$2,
     unit_details[Beds],$L557,
     unit_details[Baths],$M557,
     unit_details[Partial Baths],IF(ISNUMBER($N557),$N557,""),
     unit_details[Sqft],$P557,
     unit_details[Property Name],$F557)
 ),"")</f>
        <v/>
      </c>
      <c r="V557" s="27" t="str">
        <f t="shared" si="98"/>
        <v/>
      </c>
      <c r="W557" s="526">
        <f>IFERROR(
  IF($F557="Total",
    SUM(INDEX(W:W, ROW()-COUNTIF($F$6:INDEX($F:$F, ROW()-1), $F556)) : INDEX(W:W, ROW()-1)),
    COUNTIFS(
      unit_details[Leased Date], "&gt;="&amp;($AM$2-T$5),
      unit_details[Leased Date], "&lt;"&amp;$AM$2,
      unit_details[Beds], $L557,
      unit_details[Baths], $M557,
      unit_details[Partial Baths], IF(ISNUMBER($N557), $N557, ""),
      unit_details[Sqft],$P557,
      unit_details[Property Name], $F557
    )
  ),
"")</f>
        <v>0</v>
      </c>
      <c r="X557" s="531" t="str">
        <f>IFERROR(
 IF($F557="Total",
   SUMPRODUCT(
   INDEX(X:X, ROW()-COUNTIF($F$6:INDEX($F:$F, ROW()-1), $F556)) : INDEX(X:X, ROW()-1),
   INDEX(AA:AA, ROW()-COUNTIF($F$6:INDEX($F:$F, ROW()-1), $F556)) : INDEX(AA:AA, ROW()-1)
   )
   /SUM(INDEX(AA:AA, ROW()-COUNTIF($F$6:INDEX($F:$F, ROW()-1), $F556)) : INDEX(AA:AA, ROW()-1)),
   AVERAGEIFS(
     INDEX((unit_details[Asking Rent],unit_details[Asking PSF]),0,1,IF($U$3="Chunk Rent",1,2)),
     unit_details[Leased Date],"&gt;="&amp;($AM$2-X$5),
     unit_details[Leased Date],"&lt;"&amp;$AM$2,
     unit_details[Beds],$L557,
     unit_details[Baths],$M557,
     unit_details[Partial Baths],IF(ISNUMBER($N557),$N557,""),
     unit_details[Sqft],$P557,
     unit_details[Property Name],$F557)
 ),"")</f>
        <v/>
      </c>
      <c r="Y557" s="552" t="str">
        <f>IFERROR(
 IF($F557="Total",
   SUMPRODUCT(
   INDEX(Y:Y, ROW()-COUNTIF($F$6:INDEX($F:$F, ROW()-1), $F556)) : INDEX(Y:Y, ROW()-1),
   INDEX(AA:AA, ROW()-COUNTIF($F$6:INDEX($F:$F, ROW()-1), $F556)) : INDEX(AA:AA, ROW()-1)
   )
   /SUM(INDEX(AA:AA, ROW()-COUNTIF($F$6:INDEX($F:$F, ROW()-1), $F556)) : INDEX(AA:AA, ROW()-1)),
   AVERAGEIFS(
     INDEX((unit_details[Effective Rent],unit_details[Effective PSF]),0,1,IF($U$3="Chunk Rent",1,2)),
     unit_details[Leased Date],"&gt;="&amp;($AM$2-X$5),
     unit_details[Leased Date],"&lt;"&amp;$AM$2,
     unit_details[Beds],$L557,
     unit_details[Baths],$M557,
     unit_details[Partial Baths],IF(ISNUMBER($N557),$N557,""),
     unit_details[Sqft],$P557,
     unit_details[Property Name],$F557)
 ),"")</f>
        <v/>
      </c>
      <c r="Z557" s="27" t="str">
        <f t="shared" si="99"/>
        <v/>
      </c>
      <c r="AA557" s="526">
        <f>IFERROR(
  IF($F557="Total",
    SUM(INDEX(AA:AA, ROW()-COUNTIF($F$6:INDEX($F:$F, ROW()-1), $F556)) : INDEX(AA:AA, ROW()-1)),
    COUNTIFS(
      unit_details[Leased Date], "&gt;="&amp;($AM$2-X$5),
      unit_details[Leased Date], "&lt;"&amp;$AM$2,
      unit_details[Beds], $L557,
      unit_details[Baths], $M557,
      unit_details[Partial Baths], IF(ISNUMBER($N557), $N557, ""),
      unit_details[Sqft],$P557,
      unit_details[Property Name], $F557
    )
  ),
"")</f>
        <v>0</v>
      </c>
      <c r="AB557" s="290">
        <f>IF($F557="Total",
SUM(INDEX(AB:AB, ROW()-COUNTIF($F$6:INDEX($F:$F, ROW()-1), $F556)) : INDEX(AB:AB, ROW()-1)),
COUNTIFS(unit_details[Active Listing?],TRUE,
          unit_details[Property Name], $F557,
          unit_details[Beds], $L557,
          unit_details[Baths], $M557,
          unit_details[Partial Baths],IF(ISNUMBER($N557),$N557,""),
          unit_details[Sqft],$P557))</f>
        <v>0</v>
      </c>
      <c r="AC557" s="27" t="str">
        <f t="shared" si="91"/>
        <v/>
      </c>
      <c r="AD557" s="293" t="str">
        <f>IFERROR(IF(AE557="","",IF($F557="Total",
SUMPRODUCT(
   INDEX(AD:AD, ROW()-COUNTIF($F$6:INDEX($F:$F, ROW()-1), $F556)) : INDEX(AD:AD, ROW()-1),
   INDEX(AB:AB, ROW()-COUNTIF($F$6:INDEX($F:$F, ROW()-1), $F556)) : INDEX(AB:AB, ROW()-1)
   )
   /SUM(INDEX(AB:AB, ROW()-COUNTIF($F$6:INDEX($F:$F, ROW()-1), $F556)) : INDEX(AB:AB, ROW()-1)),
          _xlfn.MINIFS(unit_details[Asking Rent],
          unit_details[Active Listing?],TRUE,
          unit_details[Property Name], $F557,
          unit_details[Beds], $L557,
          unit_details[Baths], $M557,
          unit_details[Partial Baths], IF(ISNUMBER($N557),$N557,""),
          unit_details[Sqft],$P557
))),"")</f>
        <v/>
      </c>
      <c r="AE557" s="5" t="str">
        <f>IFERROR(IF($F557="Total",
          SUMPRODUCT(
   INDEX(AE:AE, ROW()-COUNTIF($F$6:INDEX($F:$F, ROW()-1), $F556)) : INDEX(AE:AE, ROW()-1),
   INDEX(AB:AB, ROW()-COUNTIF($F$6:INDEX($F:$F, ROW()-1), $F556)) : INDEX(AB:AB, ROW()-1)
   )
   /SUM(INDEX(AB:AB, ROW()-COUNTIF($F$6:INDEX($F:$F, ROW()-1), $F556)) : INDEX(AB:AB, ROW()-1)),
          AVERAGEIFS(unit_details[Asking Rent],
          unit_details[Active Listing?],TRUE,
          unit_details[Property Name], $F557,
          unit_details[Beds], $L557,
          unit_details[Baths], $M557,
          unit_details[Partial Baths], IF(ISNUMBER($N557),$N557,""),
          unit_details[Sqft],$P557
)),"")</f>
        <v/>
      </c>
      <c r="AF557" s="5" t="str">
        <f>IFERROR(IF(AE557="","",IF($F557="Total",
SUMPRODUCT(
   INDEX(AF:AF, ROW()-COUNTIF($F$6:INDEX($F:$F, ROW()-1), $F556)) : INDEX(AF:AF, ROW()-1),
   INDEX(AB:AB, ROW()-COUNTIF($F$6:INDEX($F:$F, ROW()-1), $F556)) : INDEX(AB:AB, ROW()-1)
   )
   /SUM(INDEX(AB:AB, ROW()-COUNTIF($F$6:INDEX($F:$F, ROW()-1), $F556)) : INDEX(AB:AB, ROW()-1)),
           _xlfn.MAXIFS(unit_details[Asking Rent],
          unit_details[Active Listing?],TRUE,
          unit_details[Property Name], $F557,
          unit_details[Beds], $L557,
          unit_details[Baths], $M557,
          unit_details[Partial Baths], IF(ISNUMBER($N557),$N557,""),
          unit_details[Sqft],$P557
))),"")</f>
        <v/>
      </c>
      <c r="AG557" s="6" t="str">
        <f>IFERROR(IF($F557="Total",
         SUMPRODUCT(
         INDEX(AG:AG, ROW()-COUNTIF($F$6:INDEX($F:$F, ROW()-1), $F556)) : INDEX(AG:AG, ROW()-1),
         INDEX(AB:AB, ROW()-COUNTIF($F$6:INDEX($F:$F, ROW()-1), $F556)) : INDEX(AB:AB, ROW()-1)
         )
         /SUM(INDEX(AB:AB, ROW()-COUNTIF($F$6:INDEX($F:$F, ROW()-1), $F556)) : INDEX(AB:AB, ROW()-1)),
          AVERAGEIFS(unit_details[Asking PSF],
          unit_details[Active Listing?],TRUE,
          unit_details[Property Name], $F557,
          unit_details[Beds], $L557,
          unit_details[Baths], $M557,
          unit_details[Partial Baths], IF(ISNUMBER($N557),$N557,""),
          unit_details[Sqft],$P557
)),"")</f>
        <v/>
      </c>
      <c r="AH557" s="293" t="str">
        <f>IFERROR(IF($F557="Total",
         SUMPRODUCT(
         INDEX(AH:AH, ROW()-COUNTIF($F$6:INDEX($F:$F, ROW()-1), $F556)) : INDEX(AH:AH, ROW()-1),
         INDEX(AB:AB, ROW()-COUNTIF($F$6:INDEX($F:$F, ROW()-1), $F556)) : INDEX(AB:AB, ROW()-1)
         )
         /SUM(INDEX(AB:AB, ROW()-COUNTIF($F$6:INDEX($F:$F, ROW()-1), $F556)) : INDEX(AB:AB, ROW()-1)),
          AVERAGEIFS(unit_details[Effective Rent],
          unit_details[Active Listing?],TRUE,
          unit_details[Property Name], $F557,
          unit_details[Beds], $L557,
          unit_details[Baths], $M557,
          unit_details[Partial Baths], IF(ISNUMBER($N557),$N557,""),
          unit_details[Sqft],$P557
)),"")</f>
        <v/>
      </c>
      <c r="AI557" s="6" t="str">
        <f>IFERROR(IF($F557="Total",
         SUMPRODUCT(
         INDEX(AI:AI, ROW()-COUNTIF($F$6:INDEX($F:$F, ROW()-1), $F556)) : INDEX(AI:AI, ROW()-1),
         INDEX(AB:AB, ROW()-COUNTIF($F$6:INDEX($F:$F, ROW()-1), $F556)) : INDEX(AB:AB, ROW()-1)
         )
         /SUM(INDEX(AB:AB, ROW()-COUNTIF($F$6:INDEX($F:$F, ROW()-1), $F556)) : INDEX(AB:AB, ROW()-1)),
           AVERAGEIFS(unit_details[Effective PSF],
          unit_details[Active Listing?],TRUE,
          unit_details[Property Name], $F557,
          unit_details[Beds], $L557,
          unit_details[Baths], $M557,
          unit_details[Partial Baths], IF(ISNUMBER($N557),$N557,""),
          unit_details[Sqft],$P557
)),"")</f>
        <v/>
      </c>
      <c r="AJ557" s="824" t="str">
        <f t="shared" si="92"/>
        <v/>
      </c>
      <c r="AK557" s="531" t="str">
        <f t="shared" si="93"/>
        <v/>
      </c>
      <c r="AL557" s="714" t="str">
        <f t="shared" si="94"/>
        <v/>
      </c>
      <c r="AM557" s="531" t="str">
        <f t="shared" si="95"/>
        <v/>
      </c>
      <c r="AN557" s="716" t="str">
        <f t="shared" si="96"/>
        <v/>
      </c>
    </row>
    <row r="558" spans="6:40" x14ac:dyDescent="0.2">
      <c r="F558" s="1" t="str">
        <f t="shared" si="89"/>
        <v/>
      </c>
      <c r="G558" s="713" t="str">
        <f t="shared" si="97"/>
        <v/>
      </c>
      <c r="H558" s="17" t="str">
        <f>IFERROR(VLOOKUP($G558,Table1[[Property]:[Exposure %]],4,0),"")</f>
        <v/>
      </c>
      <c r="I558" s="3" t="str">
        <f>IFERROR(VLOOKUP($G558,Table1[[Property]:[Exposure %]],6,0),"")</f>
        <v/>
      </c>
      <c r="J558" s="3" t="str">
        <f>IFERROR(VLOOKUP($G558,Table1[[Property]:[Exposure %]],7,0),"")</f>
        <v/>
      </c>
      <c r="R558" s="4" t="str">
        <f>IFERROR(VLOOKUP(IF(F558="Total",F557,F558),Table1[[Property]:['# Units]],7,0)*S558,"")</f>
        <v/>
      </c>
      <c r="S558" s="27" t="str">
        <f t="shared" si="90"/>
        <v/>
      </c>
      <c r="T558" s="531" t="str">
        <f>IFERROR(
 IF($F558="Total",
   SUMPRODUCT(
   INDEX(T:T, ROW()-COUNTIF($F$6:INDEX($F:$F, ROW()-1), $F557)) : INDEX(T:T, ROW()-1),
   INDEX(W:W, ROW()-COUNTIF($F$6:INDEX($F:$F, ROW()-1), $F557)) : INDEX(W:W, ROW()-1)
   )
   /SUM(INDEX(W:W, ROW()-COUNTIF($F$6:INDEX($F:$F, ROW()-1), $F557)) : INDEX(W:W, ROW()-1)),
   AVERAGEIFS(
     INDEX((unit_details[Asking Rent],unit_details[Asking PSF]),0,1,IF($U$3="Chunk Rent",1,2)),
     unit_details[Leased Date],"&gt;="&amp;($AM$2-T$5),
     unit_details[Leased Date],"&lt;"&amp;$AM$2,
     unit_details[Beds],$L558,
     unit_details[Baths],$M558,
     unit_details[Partial Baths],IF(ISNUMBER($N558),$N558,""),
     unit_details[Sqft],$P558,
     unit_details[Property Name],$F558)
 ),"")</f>
        <v/>
      </c>
      <c r="U558" s="552" t="str">
        <f>IFERROR(
 IF($F558="Total",
   SUMPRODUCT(
   INDEX(U:U, ROW()-COUNTIF($F$6:INDEX($F:$F, ROW()-1), $F557)) : INDEX(U:U, ROW()-1),
   INDEX(W:W, ROW()-COUNTIF($F$6:INDEX($F:$F, ROW()-1), $F557)) : INDEX(W:W, ROW()-1)
   )
   /SUM(INDEX(W:W, ROW()-COUNTIF($F$6:INDEX($F:$F, ROW()-1), $F557)) : INDEX(W:W, ROW()-1)),
   AVERAGEIFS(
     INDEX((unit_details[Effective Rent],unit_details[Effective PSF]),0,1,IF($U$3="Chunk Rent",1,2)),
     unit_details[Leased Date],"&gt;="&amp;($AM$2-T$5),
     unit_details[Leased Date],"&lt;"&amp;$AM$2,
     unit_details[Beds],$L558,
     unit_details[Baths],$M558,
     unit_details[Partial Baths],IF(ISNUMBER($N558),$N558,""),
     unit_details[Sqft],$P558,
     unit_details[Property Name],$F558)
 ),"")</f>
        <v/>
      </c>
      <c r="V558" s="27" t="str">
        <f t="shared" si="98"/>
        <v/>
      </c>
      <c r="W558" s="526">
        <f>IFERROR(
  IF($F558="Total",
    SUM(INDEX(W:W, ROW()-COUNTIF($F$6:INDEX($F:$F, ROW()-1), $F557)) : INDEX(W:W, ROW()-1)),
    COUNTIFS(
      unit_details[Leased Date], "&gt;="&amp;($AM$2-T$5),
      unit_details[Leased Date], "&lt;"&amp;$AM$2,
      unit_details[Beds], $L558,
      unit_details[Baths], $M558,
      unit_details[Partial Baths], IF(ISNUMBER($N558), $N558, ""),
      unit_details[Sqft],$P558,
      unit_details[Property Name], $F558
    )
  ),
"")</f>
        <v>0</v>
      </c>
      <c r="X558" s="531" t="str">
        <f>IFERROR(
 IF($F558="Total",
   SUMPRODUCT(
   INDEX(X:X, ROW()-COUNTIF($F$6:INDEX($F:$F, ROW()-1), $F557)) : INDEX(X:X, ROW()-1),
   INDEX(AA:AA, ROW()-COUNTIF($F$6:INDEX($F:$F, ROW()-1), $F557)) : INDEX(AA:AA, ROW()-1)
   )
   /SUM(INDEX(AA:AA, ROW()-COUNTIF($F$6:INDEX($F:$F, ROW()-1), $F557)) : INDEX(AA:AA, ROW()-1)),
   AVERAGEIFS(
     INDEX((unit_details[Asking Rent],unit_details[Asking PSF]),0,1,IF($U$3="Chunk Rent",1,2)),
     unit_details[Leased Date],"&gt;="&amp;($AM$2-X$5),
     unit_details[Leased Date],"&lt;"&amp;$AM$2,
     unit_details[Beds],$L558,
     unit_details[Baths],$M558,
     unit_details[Partial Baths],IF(ISNUMBER($N558),$N558,""),
     unit_details[Sqft],$P558,
     unit_details[Property Name],$F558)
 ),"")</f>
        <v/>
      </c>
      <c r="Y558" s="552" t="str">
        <f>IFERROR(
 IF($F558="Total",
   SUMPRODUCT(
   INDEX(Y:Y, ROW()-COUNTIF($F$6:INDEX($F:$F, ROW()-1), $F557)) : INDEX(Y:Y, ROW()-1),
   INDEX(AA:AA, ROW()-COUNTIF($F$6:INDEX($F:$F, ROW()-1), $F557)) : INDEX(AA:AA, ROW()-1)
   )
   /SUM(INDEX(AA:AA, ROW()-COUNTIF($F$6:INDEX($F:$F, ROW()-1), $F557)) : INDEX(AA:AA, ROW()-1)),
   AVERAGEIFS(
     INDEX((unit_details[Effective Rent],unit_details[Effective PSF]),0,1,IF($U$3="Chunk Rent",1,2)),
     unit_details[Leased Date],"&gt;="&amp;($AM$2-X$5),
     unit_details[Leased Date],"&lt;"&amp;$AM$2,
     unit_details[Beds],$L558,
     unit_details[Baths],$M558,
     unit_details[Partial Baths],IF(ISNUMBER($N558),$N558,""),
     unit_details[Sqft],$P558,
     unit_details[Property Name],$F558)
 ),"")</f>
        <v/>
      </c>
      <c r="Z558" s="27" t="str">
        <f t="shared" si="99"/>
        <v/>
      </c>
      <c r="AA558" s="526">
        <f>IFERROR(
  IF($F558="Total",
    SUM(INDEX(AA:AA, ROW()-COUNTIF($F$6:INDEX($F:$F, ROW()-1), $F557)) : INDEX(AA:AA, ROW()-1)),
    COUNTIFS(
      unit_details[Leased Date], "&gt;="&amp;($AM$2-X$5),
      unit_details[Leased Date], "&lt;"&amp;$AM$2,
      unit_details[Beds], $L558,
      unit_details[Baths], $M558,
      unit_details[Partial Baths], IF(ISNUMBER($N558), $N558, ""),
      unit_details[Sqft],$P558,
      unit_details[Property Name], $F558
    )
  ),
"")</f>
        <v>0</v>
      </c>
      <c r="AB558" s="290">
        <f>IF($F558="Total",
SUM(INDEX(AB:AB, ROW()-COUNTIF($F$6:INDEX($F:$F, ROW()-1), $F557)) : INDEX(AB:AB, ROW()-1)),
COUNTIFS(unit_details[Active Listing?],TRUE,
          unit_details[Property Name], $F558,
          unit_details[Beds], $L558,
          unit_details[Baths], $M558,
          unit_details[Partial Baths],IF(ISNUMBER($N558),$N558,""),
          unit_details[Sqft],$P558))</f>
        <v>0</v>
      </c>
      <c r="AC558" s="27" t="str">
        <f t="shared" si="91"/>
        <v/>
      </c>
      <c r="AD558" s="293" t="str">
        <f>IFERROR(IF(AE558="","",IF($F558="Total",
SUMPRODUCT(
   INDEX(AD:AD, ROW()-COUNTIF($F$6:INDEX($F:$F, ROW()-1), $F557)) : INDEX(AD:AD, ROW()-1),
   INDEX(AB:AB, ROW()-COUNTIF($F$6:INDEX($F:$F, ROW()-1), $F557)) : INDEX(AB:AB, ROW()-1)
   )
   /SUM(INDEX(AB:AB, ROW()-COUNTIF($F$6:INDEX($F:$F, ROW()-1), $F557)) : INDEX(AB:AB, ROW()-1)),
          _xlfn.MINIFS(unit_details[Asking Rent],
          unit_details[Active Listing?],TRUE,
          unit_details[Property Name], $F558,
          unit_details[Beds], $L558,
          unit_details[Baths], $M558,
          unit_details[Partial Baths], IF(ISNUMBER($N558),$N558,""),
          unit_details[Sqft],$P558
))),"")</f>
        <v/>
      </c>
      <c r="AE558" s="5" t="str">
        <f>IFERROR(IF($F558="Total",
          SUMPRODUCT(
   INDEX(AE:AE, ROW()-COUNTIF($F$6:INDEX($F:$F, ROW()-1), $F557)) : INDEX(AE:AE, ROW()-1),
   INDEX(AB:AB, ROW()-COUNTIF($F$6:INDEX($F:$F, ROW()-1), $F557)) : INDEX(AB:AB, ROW()-1)
   )
   /SUM(INDEX(AB:AB, ROW()-COUNTIF($F$6:INDEX($F:$F, ROW()-1), $F557)) : INDEX(AB:AB, ROW()-1)),
          AVERAGEIFS(unit_details[Asking Rent],
          unit_details[Active Listing?],TRUE,
          unit_details[Property Name], $F558,
          unit_details[Beds], $L558,
          unit_details[Baths], $M558,
          unit_details[Partial Baths], IF(ISNUMBER($N558),$N558,""),
          unit_details[Sqft],$P558
)),"")</f>
        <v/>
      </c>
      <c r="AF558" s="5" t="str">
        <f>IFERROR(IF(AE558="","",IF($F558="Total",
SUMPRODUCT(
   INDEX(AF:AF, ROW()-COUNTIF($F$6:INDEX($F:$F, ROW()-1), $F557)) : INDEX(AF:AF, ROW()-1),
   INDEX(AB:AB, ROW()-COUNTIF($F$6:INDEX($F:$F, ROW()-1), $F557)) : INDEX(AB:AB, ROW()-1)
   )
   /SUM(INDEX(AB:AB, ROW()-COUNTIF($F$6:INDEX($F:$F, ROW()-1), $F557)) : INDEX(AB:AB, ROW()-1)),
           _xlfn.MAXIFS(unit_details[Asking Rent],
          unit_details[Active Listing?],TRUE,
          unit_details[Property Name], $F558,
          unit_details[Beds], $L558,
          unit_details[Baths], $M558,
          unit_details[Partial Baths], IF(ISNUMBER($N558),$N558,""),
          unit_details[Sqft],$P558
))),"")</f>
        <v/>
      </c>
      <c r="AG558" s="6" t="str">
        <f>IFERROR(IF($F558="Total",
         SUMPRODUCT(
         INDEX(AG:AG, ROW()-COUNTIF($F$6:INDEX($F:$F, ROW()-1), $F557)) : INDEX(AG:AG, ROW()-1),
         INDEX(AB:AB, ROW()-COUNTIF($F$6:INDEX($F:$F, ROW()-1), $F557)) : INDEX(AB:AB, ROW()-1)
         )
         /SUM(INDEX(AB:AB, ROW()-COUNTIF($F$6:INDEX($F:$F, ROW()-1), $F557)) : INDEX(AB:AB, ROW()-1)),
          AVERAGEIFS(unit_details[Asking PSF],
          unit_details[Active Listing?],TRUE,
          unit_details[Property Name], $F558,
          unit_details[Beds], $L558,
          unit_details[Baths], $M558,
          unit_details[Partial Baths], IF(ISNUMBER($N558),$N558,""),
          unit_details[Sqft],$P558
)),"")</f>
        <v/>
      </c>
      <c r="AH558" s="293" t="str">
        <f>IFERROR(IF($F558="Total",
         SUMPRODUCT(
         INDEX(AH:AH, ROW()-COUNTIF($F$6:INDEX($F:$F, ROW()-1), $F557)) : INDEX(AH:AH, ROW()-1),
         INDEX(AB:AB, ROW()-COUNTIF($F$6:INDEX($F:$F, ROW()-1), $F557)) : INDEX(AB:AB, ROW()-1)
         )
         /SUM(INDEX(AB:AB, ROW()-COUNTIF($F$6:INDEX($F:$F, ROW()-1), $F557)) : INDEX(AB:AB, ROW()-1)),
          AVERAGEIFS(unit_details[Effective Rent],
          unit_details[Active Listing?],TRUE,
          unit_details[Property Name], $F558,
          unit_details[Beds], $L558,
          unit_details[Baths], $M558,
          unit_details[Partial Baths], IF(ISNUMBER($N558),$N558,""),
          unit_details[Sqft],$P558
)),"")</f>
        <v/>
      </c>
      <c r="AI558" s="6" t="str">
        <f>IFERROR(IF($F558="Total",
         SUMPRODUCT(
         INDEX(AI:AI, ROW()-COUNTIF($F$6:INDEX($F:$F, ROW()-1), $F557)) : INDEX(AI:AI, ROW()-1),
         INDEX(AB:AB, ROW()-COUNTIF($F$6:INDEX($F:$F, ROW()-1), $F557)) : INDEX(AB:AB, ROW()-1)
         )
         /SUM(INDEX(AB:AB, ROW()-COUNTIF($F$6:INDEX($F:$F, ROW()-1), $F557)) : INDEX(AB:AB, ROW()-1)),
           AVERAGEIFS(unit_details[Effective PSF],
          unit_details[Active Listing?],TRUE,
          unit_details[Property Name], $F558,
          unit_details[Beds], $L558,
          unit_details[Baths], $M558,
          unit_details[Partial Baths], IF(ISNUMBER($N558),$N558,""),
          unit_details[Sqft],$P558
)),"")</f>
        <v/>
      </c>
      <c r="AJ558" s="824" t="str">
        <f t="shared" si="92"/>
        <v/>
      </c>
      <c r="AK558" s="531" t="str">
        <f t="shared" si="93"/>
        <v/>
      </c>
      <c r="AL558" s="714" t="str">
        <f t="shared" si="94"/>
        <v/>
      </c>
      <c r="AM558" s="531" t="str">
        <f t="shared" si="95"/>
        <v/>
      </c>
      <c r="AN558" s="716" t="str">
        <f t="shared" si="96"/>
        <v/>
      </c>
    </row>
    <row r="559" spans="6:40" x14ac:dyDescent="0.2">
      <c r="F559" s="1" t="str">
        <f t="shared" si="89"/>
        <v/>
      </c>
      <c r="G559" s="713" t="str">
        <f t="shared" si="97"/>
        <v/>
      </c>
      <c r="H559" s="17" t="str">
        <f>IFERROR(VLOOKUP($G559,Table1[[Property]:[Exposure %]],4,0),"")</f>
        <v/>
      </c>
      <c r="I559" s="3" t="str">
        <f>IFERROR(VLOOKUP($G559,Table1[[Property]:[Exposure %]],6,0),"")</f>
        <v/>
      </c>
      <c r="J559" s="3" t="str">
        <f>IFERROR(VLOOKUP($G559,Table1[[Property]:[Exposure %]],7,0),"")</f>
        <v/>
      </c>
      <c r="R559" s="4" t="str">
        <f>IFERROR(VLOOKUP(IF(F559="Total",F558,F559),Table1[[Property]:['# Units]],7,0)*S559,"")</f>
        <v/>
      </c>
      <c r="S559" s="27" t="str">
        <f t="shared" si="90"/>
        <v/>
      </c>
      <c r="T559" s="531" t="str">
        <f>IFERROR(
 IF($F559="Total",
   SUMPRODUCT(
   INDEX(T:T, ROW()-COUNTIF($F$6:INDEX($F:$F, ROW()-1), $F558)) : INDEX(T:T, ROW()-1),
   INDEX(W:W, ROW()-COUNTIF($F$6:INDEX($F:$F, ROW()-1), $F558)) : INDEX(W:W, ROW()-1)
   )
   /SUM(INDEX(W:W, ROW()-COUNTIF($F$6:INDEX($F:$F, ROW()-1), $F558)) : INDEX(W:W, ROW()-1)),
   AVERAGEIFS(
     INDEX((unit_details[Asking Rent],unit_details[Asking PSF]),0,1,IF($U$3="Chunk Rent",1,2)),
     unit_details[Leased Date],"&gt;="&amp;($AM$2-T$5),
     unit_details[Leased Date],"&lt;"&amp;$AM$2,
     unit_details[Beds],$L559,
     unit_details[Baths],$M559,
     unit_details[Partial Baths],IF(ISNUMBER($N559),$N559,""),
     unit_details[Sqft],$P559,
     unit_details[Property Name],$F559)
 ),"")</f>
        <v/>
      </c>
      <c r="U559" s="552" t="str">
        <f>IFERROR(
 IF($F559="Total",
   SUMPRODUCT(
   INDEX(U:U, ROW()-COUNTIF($F$6:INDEX($F:$F, ROW()-1), $F558)) : INDEX(U:U, ROW()-1),
   INDEX(W:W, ROW()-COUNTIF($F$6:INDEX($F:$F, ROW()-1), $F558)) : INDEX(W:W, ROW()-1)
   )
   /SUM(INDEX(W:W, ROW()-COUNTIF($F$6:INDEX($F:$F, ROW()-1), $F558)) : INDEX(W:W, ROW()-1)),
   AVERAGEIFS(
     INDEX((unit_details[Effective Rent],unit_details[Effective PSF]),0,1,IF($U$3="Chunk Rent",1,2)),
     unit_details[Leased Date],"&gt;="&amp;($AM$2-T$5),
     unit_details[Leased Date],"&lt;"&amp;$AM$2,
     unit_details[Beds],$L559,
     unit_details[Baths],$M559,
     unit_details[Partial Baths],IF(ISNUMBER($N559),$N559,""),
     unit_details[Sqft],$P559,
     unit_details[Property Name],$F559)
 ),"")</f>
        <v/>
      </c>
      <c r="V559" s="27" t="str">
        <f t="shared" si="98"/>
        <v/>
      </c>
      <c r="W559" s="526">
        <f>IFERROR(
  IF($F559="Total",
    SUM(INDEX(W:W, ROW()-COUNTIF($F$6:INDEX($F:$F, ROW()-1), $F558)) : INDEX(W:W, ROW()-1)),
    COUNTIFS(
      unit_details[Leased Date], "&gt;="&amp;($AM$2-T$5),
      unit_details[Leased Date], "&lt;"&amp;$AM$2,
      unit_details[Beds], $L559,
      unit_details[Baths], $M559,
      unit_details[Partial Baths], IF(ISNUMBER($N559), $N559, ""),
      unit_details[Sqft],$P559,
      unit_details[Property Name], $F559
    )
  ),
"")</f>
        <v>0</v>
      </c>
      <c r="X559" s="531" t="str">
        <f>IFERROR(
 IF($F559="Total",
   SUMPRODUCT(
   INDEX(X:X, ROW()-COUNTIF($F$6:INDEX($F:$F, ROW()-1), $F558)) : INDEX(X:X, ROW()-1),
   INDEX(AA:AA, ROW()-COUNTIF($F$6:INDEX($F:$F, ROW()-1), $F558)) : INDEX(AA:AA, ROW()-1)
   )
   /SUM(INDEX(AA:AA, ROW()-COUNTIF($F$6:INDEX($F:$F, ROW()-1), $F558)) : INDEX(AA:AA, ROW()-1)),
   AVERAGEIFS(
     INDEX((unit_details[Asking Rent],unit_details[Asking PSF]),0,1,IF($U$3="Chunk Rent",1,2)),
     unit_details[Leased Date],"&gt;="&amp;($AM$2-X$5),
     unit_details[Leased Date],"&lt;"&amp;$AM$2,
     unit_details[Beds],$L559,
     unit_details[Baths],$M559,
     unit_details[Partial Baths],IF(ISNUMBER($N559),$N559,""),
     unit_details[Sqft],$P559,
     unit_details[Property Name],$F559)
 ),"")</f>
        <v/>
      </c>
      <c r="Y559" s="552" t="str">
        <f>IFERROR(
 IF($F559="Total",
   SUMPRODUCT(
   INDEX(Y:Y, ROW()-COUNTIF($F$6:INDEX($F:$F, ROW()-1), $F558)) : INDEX(Y:Y, ROW()-1),
   INDEX(AA:AA, ROW()-COUNTIF($F$6:INDEX($F:$F, ROW()-1), $F558)) : INDEX(AA:AA, ROW()-1)
   )
   /SUM(INDEX(AA:AA, ROW()-COUNTIF($F$6:INDEX($F:$F, ROW()-1), $F558)) : INDEX(AA:AA, ROW()-1)),
   AVERAGEIFS(
     INDEX((unit_details[Effective Rent],unit_details[Effective PSF]),0,1,IF($U$3="Chunk Rent",1,2)),
     unit_details[Leased Date],"&gt;="&amp;($AM$2-X$5),
     unit_details[Leased Date],"&lt;"&amp;$AM$2,
     unit_details[Beds],$L559,
     unit_details[Baths],$M559,
     unit_details[Partial Baths],IF(ISNUMBER($N559),$N559,""),
     unit_details[Sqft],$P559,
     unit_details[Property Name],$F559)
 ),"")</f>
        <v/>
      </c>
      <c r="Z559" s="27" t="str">
        <f t="shared" si="99"/>
        <v/>
      </c>
      <c r="AA559" s="526">
        <f>IFERROR(
  IF($F559="Total",
    SUM(INDEX(AA:AA, ROW()-COUNTIF($F$6:INDEX($F:$F, ROW()-1), $F558)) : INDEX(AA:AA, ROW()-1)),
    COUNTIFS(
      unit_details[Leased Date], "&gt;="&amp;($AM$2-X$5),
      unit_details[Leased Date], "&lt;"&amp;$AM$2,
      unit_details[Beds], $L559,
      unit_details[Baths], $M559,
      unit_details[Partial Baths], IF(ISNUMBER($N559), $N559, ""),
      unit_details[Sqft],$P559,
      unit_details[Property Name], $F559
    )
  ),
"")</f>
        <v>0</v>
      </c>
      <c r="AB559" s="290">
        <f>IF($F559="Total",
SUM(INDEX(AB:AB, ROW()-COUNTIF($F$6:INDEX($F:$F, ROW()-1), $F558)) : INDEX(AB:AB, ROW()-1)),
COUNTIFS(unit_details[Active Listing?],TRUE,
          unit_details[Property Name], $F559,
          unit_details[Beds], $L559,
          unit_details[Baths], $M559,
          unit_details[Partial Baths],IF(ISNUMBER($N559),$N559,""),
          unit_details[Sqft],$P559))</f>
        <v>0</v>
      </c>
      <c r="AC559" s="27" t="str">
        <f t="shared" si="91"/>
        <v/>
      </c>
      <c r="AD559" s="293" t="str">
        <f>IFERROR(IF(AE559="","",IF($F559="Total",
SUMPRODUCT(
   INDEX(AD:AD, ROW()-COUNTIF($F$6:INDEX($F:$F, ROW()-1), $F558)) : INDEX(AD:AD, ROW()-1),
   INDEX(AB:AB, ROW()-COUNTIF($F$6:INDEX($F:$F, ROW()-1), $F558)) : INDEX(AB:AB, ROW()-1)
   )
   /SUM(INDEX(AB:AB, ROW()-COUNTIF($F$6:INDEX($F:$F, ROW()-1), $F558)) : INDEX(AB:AB, ROW()-1)),
          _xlfn.MINIFS(unit_details[Asking Rent],
          unit_details[Active Listing?],TRUE,
          unit_details[Property Name], $F559,
          unit_details[Beds], $L559,
          unit_details[Baths], $M559,
          unit_details[Partial Baths], IF(ISNUMBER($N559),$N559,""),
          unit_details[Sqft],$P559
))),"")</f>
        <v/>
      </c>
      <c r="AE559" s="5" t="str">
        <f>IFERROR(IF($F559="Total",
          SUMPRODUCT(
   INDEX(AE:AE, ROW()-COUNTIF($F$6:INDEX($F:$F, ROW()-1), $F558)) : INDEX(AE:AE, ROW()-1),
   INDEX(AB:AB, ROW()-COUNTIF($F$6:INDEX($F:$F, ROW()-1), $F558)) : INDEX(AB:AB, ROW()-1)
   )
   /SUM(INDEX(AB:AB, ROW()-COUNTIF($F$6:INDEX($F:$F, ROW()-1), $F558)) : INDEX(AB:AB, ROW()-1)),
          AVERAGEIFS(unit_details[Asking Rent],
          unit_details[Active Listing?],TRUE,
          unit_details[Property Name], $F559,
          unit_details[Beds], $L559,
          unit_details[Baths], $M559,
          unit_details[Partial Baths], IF(ISNUMBER($N559),$N559,""),
          unit_details[Sqft],$P559
)),"")</f>
        <v/>
      </c>
      <c r="AF559" s="5" t="str">
        <f>IFERROR(IF(AE559="","",IF($F559="Total",
SUMPRODUCT(
   INDEX(AF:AF, ROW()-COUNTIF($F$6:INDEX($F:$F, ROW()-1), $F558)) : INDEX(AF:AF, ROW()-1),
   INDEX(AB:AB, ROW()-COUNTIF($F$6:INDEX($F:$F, ROW()-1), $F558)) : INDEX(AB:AB, ROW()-1)
   )
   /SUM(INDEX(AB:AB, ROW()-COUNTIF($F$6:INDEX($F:$F, ROW()-1), $F558)) : INDEX(AB:AB, ROW()-1)),
           _xlfn.MAXIFS(unit_details[Asking Rent],
          unit_details[Active Listing?],TRUE,
          unit_details[Property Name], $F559,
          unit_details[Beds], $L559,
          unit_details[Baths], $M559,
          unit_details[Partial Baths], IF(ISNUMBER($N559),$N559,""),
          unit_details[Sqft],$P559
))),"")</f>
        <v/>
      </c>
      <c r="AG559" s="6" t="str">
        <f>IFERROR(IF($F559="Total",
         SUMPRODUCT(
         INDEX(AG:AG, ROW()-COUNTIF($F$6:INDEX($F:$F, ROW()-1), $F558)) : INDEX(AG:AG, ROW()-1),
         INDEX(AB:AB, ROW()-COUNTIF($F$6:INDEX($F:$F, ROW()-1), $F558)) : INDEX(AB:AB, ROW()-1)
         )
         /SUM(INDEX(AB:AB, ROW()-COUNTIF($F$6:INDEX($F:$F, ROW()-1), $F558)) : INDEX(AB:AB, ROW()-1)),
          AVERAGEIFS(unit_details[Asking PSF],
          unit_details[Active Listing?],TRUE,
          unit_details[Property Name], $F559,
          unit_details[Beds], $L559,
          unit_details[Baths], $M559,
          unit_details[Partial Baths], IF(ISNUMBER($N559),$N559,""),
          unit_details[Sqft],$P559
)),"")</f>
        <v/>
      </c>
      <c r="AH559" s="293" t="str">
        <f>IFERROR(IF($F559="Total",
         SUMPRODUCT(
         INDEX(AH:AH, ROW()-COUNTIF($F$6:INDEX($F:$F, ROW()-1), $F558)) : INDEX(AH:AH, ROW()-1),
         INDEX(AB:AB, ROW()-COUNTIF($F$6:INDEX($F:$F, ROW()-1), $F558)) : INDEX(AB:AB, ROW()-1)
         )
         /SUM(INDEX(AB:AB, ROW()-COUNTIF($F$6:INDEX($F:$F, ROW()-1), $F558)) : INDEX(AB:AB, ROW()-1)),
          AVERAGEIFS(unit_details[Effective Rent],
          unit_details[Active Listing?],TRUE,
          unit_details[Property Name], $F559,
          unit_details[Beds], $L559,
          unit_details[Baths], $M559,
          unit_details[Partial Baths], IF(ISNUMBER($N559),$N559,""),
          unit_details[Sqft],$P559
)),"")</f>
        <v/>
      </c>
      <c r="AI559" s="6" t="str">
        <f>IFERROR(IF($F559="Total",
         SUMPRODUCT(
         INDEX(AI:AI, ROW()-COUNTIF($F$6:INDEX($F:$F, ROW()-1), $F558)) : INDEX(AI:AI, ROW()-1),
         INDEX(AB:AB, ROW()-COUNTIF($F$6:INDEX($F:$F, ROW()-1), $F558)) : INDEX(AB:AB, ROW()-1)
         )
         /SUM(INDEX(AB:AB, ROW()-COUNTIF($F$6:INDEX($F:$F, ROW()-1), $F558)) : INDEX(AB:AB, ROW()-1)),
           AVERAGEIFS(unit_details[Effective PSF],
          unit_details[Active Listing?],TRUE,
          unit_details[Property Name], $F559,
          unit_details[Beds], $L559,
          unit_details[Baths], $M559,
          unit_details[Partial Baths], IF(ISNUMBER($N559),$N559,""),
          unit_details[Sqft],$P559
)),"")</f>
        <v/>
      </c>
      <c r="AJ559" s="824" t="str">
        <f t="shared" si="92"/>
        <v/>
      </c>
      <c r="AK559" s="531" t="str">
        <f t="shared" si="93"/>
        <v/>
      </c>
      <c r="AL559" s="714" t="str">
        <f t="shared" si="94"/>
        <v/>
      </c>
      <c r="AM559" s="531" t="str">
        <f t="shared" si="95"/>
        <v/>
      </c>
      <c r="AN559" s="716" t="str">
        <f t="shared" si="96"/>
        <v/>
      </c>
    </row>
    <row r="560" spans="6:40" x14ac:dyDescent="0.2">
      <c r="F560" s="1" t="str">
        <f t="shared" si="89"/>
        <v/>
      </c>
      <c r="G560" s="713" t="str">
        <f t="shared" si="97"/>
        <v/>
      </c>
      <c r="H560" s="17" t="str">
        <f>IFERROR(VLOOKUP($G560,Table1[[Property]:[Exposure %]],4,0),"")</f>
        <v/>
      </c>
      <c r="I560" s="3" t="str">
        <f>IFERROR(VLOOKUP($G560,Table1[[Property]:[Exposure %]],6,0),"")</f>
        <v/>
      </c>
      <c r="J560" s="3" t="str">
        <f>IFERROR(VLOOKUP($G560,Table1[[Property]:[Exposure %]],7,0),"")</f>
        <v/>
      </c>
      <c r="R560" s="4" t="str">
        <f>IFERROR(VLOOKUP(IF(F560="Total",F559,F560),Table1[[Property]:['# Units]],7,0)*S560,"")</f>
        <v/>
      </c>
      <c r="S560" s="27" t="str">
        <f t="shared" si="90"/>
        <v/>
      </c>
      <c r="T560" s="531" t="str">
        <f>IFERROR(
 IF($F560="Total",
   SUMPRODUCT(
   INDEX(T:T, ROW()-COUNTIF($F$6:INDEX($F:$F, ROW()-1), $F559)) : INDEX(T:T, ROW()-1),
   INDEX(W:W, ROW()-COUNTIF($F$6:INDEX($F:$F, ROW()-1), $F559)) : INDEX(W:W, ROW()-1)
   )
   /SUM(INDEX(W:W, ROW()-COUNTIF($F$6:INDEX($F:$F, ROW()-1), $F559)) : INDEX(W:W, ROW()-1)),
   AVERAGEIFS(
     INDEX((unit_details[Asking Rent],unit_details[Asking PSF]),0,1,IF($U$3="Chunk Rent",1,2)),
     unit_details[Leased Date],"&gt;="&amp;($AM$2-T$5),
     unit_details[Leased Date],"&lt;"&amp;$AM$2,
     unit_details[Beds],$L560,
     unit_details[Baths],$M560,
     unit_details[Partial Baths],IF(ISNUMBER($N560),$N560,""),
     unit_details[Sqft],$P560,
     unit_details[Property Name],$F560)
 ),"")</f>
        <v/>
      </c>
      <c r="U560" s="552" t="str">
        <f>IFERROR(
 IF($F560="Total",
   SUMPRODUCT(
   INDEX(U:U, ROW()-COUNTIF($F$6:INDEX($F:$F, ROW()-1), $F559)) : INDEX(U:U, ROW()-1),
   INDEX(W:W, ROW()-COUNTIF($F$6:INDEX($F:$F, ROW()-1), $F559)) : INDEX(W:W, ROW()-1)
   )
   /SUM(INDEX(W:W, ROW()-COUNTIF($F$6:INDEX($F:$F, ROW()-1), $F559)) : INDEX(W:W, ROW()-1)),
   AVERAGEIFS(
     INDEX((unit_details[Effective Rent],unit_details[Effective PSF]),0,1,IF($U$3="Chunk Rent",1,2)),
     unit_details[Leased Date],"&gt;="&amp;($AM$2-T$5),
     unit_details[Leased Date],"&lt;"&amp;$AM$2,
     unit_details[Beds],$L560,
     unit_details[Baths],$M560,
     unit_details[Partial Baths],IF(ISNUMBER($N560),$N560,""),
     unit_details[Sqft],$P560,
     unit_details[Property Name],$F560)
 ),"")</f>
        <v/>
      </c>
      <c r="V560" s="27" t="str">
        <f t="shared" si="98"/>
        <v/>
      </c>
      <c r="W560" s="526">
        <f>IFERROR(
  IF($F560="Total",
    SUM(INDEX(W:W, ROW()-COUNTIF($F$6:INDEX($F:$F, ROW()-1), $F559)) : INDEX(W:W, ROW()-1)),
    COUNTIFS(
      unit_details[Leased Date], "&gt;="&amp;($AM$2-T$5),
      unit_details[Leased Date], "&lt;"&amp;$AM$2,
      unit_details[Beds], $L560,
      unit_details[Baths], $M560,
      unit_details[Partial Baths], IF(ISNUMBER($N560), $N560, ""),
      unit_details[Sqft],$P560,
      unit_details[Property Name], $F560
    )
  ),
"")</f>
        <v>0</v>
      </c>
      <c r="X560" s="531" t="str">
        <f>IFERROR(
 IF($F560="Total",
   SUMPRODUCT(
   INDEX(X:X, ROW()-COUNTIF($F$6:INDEX($F:$F, ROW()-1), $F559)) : INDEX(X:X, ROW()-1),
   INDEX(AA:AA, ROW()-COUNTIF($F$6:INDEX($F:$F, ROW()-1), $F559)) : INDEX(AA:AA, ROW()-1)
   )
   /SUM(INDEX(AA:AA, ROW()-COUNTIF($F$6:INDEX($F:$F, ROW()-1), $F559)) : INDEX(AA:AA, ROW()-1)),
   AVERAGEIFS(
     INDEX((unit_details[Asking Rent],unit_details[Asking PSF]),0,1,IF($U$3="Chunk Rent",1,2)),
     unit_details[Leased Date],"&gt;="&amp;($AM$2-X$5),
     unit_details[Leased Date],"&lt;"&amp;$AM$2,
     unit_details[Beds],$L560,
     unit_details[Baths],$M560,
     unit_details[Partial Baths],IF(ISNUMBER($N560),$N560,""),
     unit_details[Sqft],$P560,
     unit_details[Property Name],$F560)
 ),"")</f>
        <v/>
      </c>
      <c r="Y560" s="552" t="str">
        <f>IFERROR(
 IF($F560="Total",
   SUMPRODUCT(
   INDEX(Y:Y, ROW()-COUNTIF($F$6:INDEX($F:$F, ROW()-1), $F559)) : INDEX(Y:Y, ROW()-1),
   INDEX(AA:AA, ROW()-COUNTIF($F$6:INDEX($F:$F, ROW()-1), $F559)) : INDEX(AA:AA, ROW()-1)
   )
   /SUM(INDEX(AA:AA, ROW()-COUNTIF($F$6:INDEX($F:$F, ROW()-1), $F559)) : INDEX(AA:AA, ROW()-1)),
   AVERAGEIFS(
     INDEX((unit_details[Effective Rent],unit_details[Effective PSF]),0,1,IF($U$3="Chunk Rent",1,2)),
     unit_details[Leased Date],"&gt;="&amp;($AM$2-X$5),
     unit_details[Leased Date],"&lt;"&amp;$AM$2,
     unit_details[Beds],$L560,
     unit_details[Baths],$M560,
     unit_details[Partial Baths],IF(ISNUMBER($N560),$N560,""),
     unit_details[Sqft],$P560,
     unit_details[Property Name],$F560)
 ),"")</f>
        <v/>
      </c>
      <c r="Z560" s="27" t="str">
        <f t="shared" si="99"/>
        <v/>
      </c>
      <c r="AA560" s="526">
        <f>IFERROR(
  IF($F560="Total",
    SUM(INDEX(AA:AA, ROW()-COUNTIF($F$6:INDEX($F:$F, ROW()-1), $F559)) : INDEX(AA:AA, ROW()-1)),
    COUNTIFS(
      unit_details[Leased Date], "&gt;="&amp;($AM$2-X$5),
      unit_details[Leased Date], "&lt;"&amp;$AM$2,
      unit_details[Beds], $L560,
      unit_details[Baths], $M560,
      unit_details[Partial Baths], IF(ISNUMBER($N560), $N560, ""),
      unit_details[Sqft],$P560,
      unit_details[Property Name], $F560
    )
  ),
"")</f>
        <v>0</v>
      </c>
      <c r="AB560" s="290">
        <f>IF($F560="Total",
SUM(INDEX(AB:AB, ROW()-COUNTIF($F$6:INDEX($F:$F, ROW()-1), $F559)) : INDEX(AB:AB, ROW()-1)),
COUNTIFS(unit_details[Active Listing?],TRUE,
          unit_details[Property Name], $F560,
          unit_details[Beds], $L560,
          unit_details[Baths], $M560,
          unit_details[Partial Baths],IF(ISNUMBER($N560),$N560,""),
          unit_details[Sqft],$P560))</f>
        <v>0</v>
      </c>
      <c r="AC560" s="27" t="str">
        <f t="shared" si="91"/>
        <v/>
      </c>
      <c r="AD560" s="293" t="str">
        <f>IFERROR(IF(AE560="","",IF($F560="Total",
SUMPRODUCT(
   INDEX(AD:AD, ROW()-COUNTIF($F$6:INDEX($F:$F, ROW()-1), $F559)) : INDEX(AD:AD, ROW()-1),
   INDEX(AB:AB, ROW()-COUNTIF($F$6:INDEX($F:$F, ROW()-1), $F559)) : INDEX(AB:AB, ROW()-1)
   )
   /SUM(INDEX(AB:AB, ROW()-COUNTIF($F$6:INDEX($F:$F, ROW()-1), $F559)) : INDEX(AB:AB, ROW()-1)),
          _xlfn.MINIFS(unit_details[Asking Rent],
          unit_details[Active Listing?],TRUE,
          unit_details[Property Name], $F560,
          unit_details[Beds], $L560,
          unit_details[Baths], $M560,
          unit_details[Partial Baths], IF(ISNUMBER($N560),$N560,""),
          unit_details[Sqft],$P560
))),"")</f>
        <v/>
      </c>
      <c r="AE560" s="5" t="str">
        <f>IFERROR(IF($F560="Total",
          SUMPRODUCT(
   INDEX(AE:AE, ROW()-COUNTIF($F$6:INDEX($F:$F, ROW()-1), $F559)) : INDEX(AE:AE, ROW()-1),
   INDEX(AB:AB, ROW()-COUNTIF($F$6:INDEX($F:$F, ROW()-1), $F559)) : INDEX(AB:AB, ROW()-1)
   )
   /SUM(INDEX(AB:AB, ROW()-COUNTIF($F$6:INDEX($F:$F, ROW()-1), $F559)) : INDEX(AB:AB, ROW()-1)),
          AVERAGEIFS(unit_details[Asking Rent],
          unit_details[Active Listing?],TRUE,
          unit_details[Property Name], $F560,
          unit_details[Beds], $L560,
          unit_details[Baths], $M560,
          unit_details[Partial Baths], IF(ISNUMBER($N560),$N560,""),
          unit_details[Sqft],$P560
)),"")</f>
        <v/>
      </c>
      <c r="AF560" s="5" t="str">
        <f>IFERROR(IF(AE560="","",IF($F560="Total",
SUMPRODUCT(
   INDEX(AF:AF, ROW()-COUNTIF($F$6:INDEX($F:$F, ROW()-1), $F559)) : INDEX(AF:AF, ROW()-1),
   INDEX(AB:AB, ROW()-COUNTIF($F$6:INDEX($F:$F, ROW()-1), $F559)) : INDEX(AB:AB, ROW()-1)
   )
   /SUM(INDEX(AB:AB, ROW()-COUNTIF($F$6:INDEX($F:$F, ROW()-1), $F559)) : INDEX(AB:AB, ROW()-1)),
           _xlfn.MAXIFS(unit_details[Asking Rent],
          unit_details[Active Listing?],TRUE,
          unit_details[Property Name], $F560,
          unit_details[Beds], $L560,
          unit_details[Baths], $M560,
          unit_details[Partial Baths], IF(ISNUMBER($N560),$N560,""),
          unit_details[Sqft],$P560
))),"")</f>
        <v/>
      </c>
      <c r="AG560" s="6" t="str">
        <f>IFERROR(IF($F560="Total",
         SUMPRODUCT(
         INDEX(AG:AG, ROW()-COUNTIF($F$6:INDEX($F:$F, ROW()-1), $F559)) : INDEX(AG:AG, ROW()-1),
         INDEX(AB:AB, ROW()-COUNTIF($F$6:INDEX($F:$F, ROW()-1), $F559)) : INDEX(AB:AB, ROW()-1)
         )
         /SUM(INDEX(AB:AB, ROW()-COUNTIF($F$6:INDEX($F:$F, ROW()-1), $F559)) : INDEX(AB:AB, ROW()-1)),
          AVERAGEIFS(unit_details[Asking PSF],
          unit_details[Active Listing?],TRUE,
          unit_details[Property Name], $F560,
          unit_details[Beds], $L560,
          unit_details[Baths], $M560,
          unit_details[Partial Baths], IF(ISNUMBER($N560),$N560,""),
          unit_details[Sqft],$P560
)),"")</f>
        <v/>
      </c>
      <c r="AH560" s="293" t="str">
        <f>IFERROR(IF($F560="Total",
         SUMPRODUCT(
         INDEX(AH:AH, ROW()-COUNTIF($F$6:INDEX($F:$F, ROW()-1), $F559)) : INDEX(AH:AH, ROW()-1),
         INDEX(AB:AB, ROW()-COUNTIF($F$6:INDEX($F:$F, ROW()-1), $F559)) : INDEX(AB:AB, ROW()-1)
         )
         /SUM(INDEX(AB:AB, ROW()-COUNTIF($F$6:INDEX($F:$F, ROW()-1), $F559)) : INDEX(AB:AB, ROW()-1)),
          AVERAGEIFS(unit_details[Effective Rent],
          unit_details[Active Listing?],TRUE,
          unit_details[Property Name], $F560,
          unit_details[Beds], $L560,
          unit_details[Baths], $M560,
          unit_details[Partial Baths], IF(ISNUMBER($N560),$N560,""),
          unit_details[Sqft],$P560
)),"")</f>
        <v/>
      </c>
      <c r="AI560" s="6" t="str">
        <f>IFERROR(IF($F560="Total",
         SUMPRODUCT(
         INDEX(AI:AI, ROW()-COUNTIF($F$6:INDEX($F:$F, ROW()-1), $F559)) : INDEX(AI:AI, ROW()-1),
         INDEX(AB:AB, ROW()-COUNTIF($F$6:INDEX($F:$F, ROW()-1), $F559)) : INDEX(AB:AB, ROW()-1)
         )
         /SUM(INDEX(AB:AB, ROW()-COUNTIF($F$6:INDEX($F:$F, ROW()-1), $F559)) : INDEX(AB:AB, ROW()-1)),
           AVERAGEIFS(unit_details[Effective PSF],
          unit_details[Active Listing?],TRUE,
          unit_details[Property Name], $F560,
          unit_details[Beds], $L560,
          unit_details[Baths], $M560,
          unit_details[Partial Baths], IF(ISNUMBER($N560),$N560,""),
          unit_details[Sqft],$P560
)),"")</f>
        <v/>
      </c>
      <c r="AJ560" s="824" t="str">
        <f t="shared" si="92"/>
        <v/>
      </c>
      <c r="AK560" s="531" t="str">
        <f t="shared" si="93"/>
        <v/>
      </c>
      <c r="AL560" s="714" t="str">
        <f t="shared" si="94"/>
        <v/>
      </c>
      <c r="AM560" s="531" t="str">
        <f t="shared" si="95"/>
        <v/>
      </c>
      <c r="AN560" s="716" t="str">
        <f t="shared" si="96"/>
        <v/>
      </c>
    </row>
    <row r="561" spans="6:40" x14ac:dyDescent="0.2">
      <c r="F561" s="1" t="str">
        <f t="shared" si="89"/>
        <v/>
      </c>
      <c r="G561" s="713" t="str">
        <f t="shared" si="97"/>
        <v/>
      </c>
      <c r="H561" s="17" t="str">
        <f>IFERROR(VLOOKUP($G561,Table1[[Property]:[Exposure %]],4,0),"")</f>
        <v/>
      </c>
      <c r="I561" s="3" t="str">
        <f>IFERROR(VLOOKUP($G561,Table1[[Property]:[Exposure %]],6,0),"")</f>
        <v/>
      </c>
      <c r="J561" s="3" t="str">
        <f>IFERROR(VLOOKUP($G561,Table1[[Property]:[Exposure %]],7,0),"")</f>
        <v/>
      </c>
      <c r="R561" s="4" t="str">
        <f>IFERROR(VLOOKUP(IF(F561="Total",F560,F561),Table1[[Property]:['# Units]],7,0)*S561,"")</f>
        <v/>
      </c>
      <c r="S561" s="27" t="str">
        <f t="shared" si="90"/>
        <v/>
      </c>
      <c r="T561" s="531" t="str">
        <f>IFERROR(
 IF($F561="Total",
   SUMPRODUCT(
   INDEX(T:T, ROW()-COUNTIF($F$6:INDEX($F:$F, ROW()-1), $F560)) : INDEX(T:T, ROW()-1),
   INDEX(W:W, ROW()-COUNTIF($F$6:INDEX($F:$F, ROW()-1), $F560)) : INDEX(W:W, ROW()-1)
   )
   /SUM(INDEX(W:W, ROW()-COUNTIF($F$6:INDEX($F:$F, ROW()-1), $F560)) : INDEX(W:W, ROW()-1)),
   AVERAGEIFS(
     INDEX((unit_details[Asking Rent],unit_details[Asking PSF]),0,1,IF($U$3="Chunk Rent",1,2)),
     unit_details[Leased Date],"&gt;="&amp;($AM$2-T$5),
     unit_details[Leased Date],"&lt;"&amp;$AM$2,
     unit_details[Beds],$L561,
     unit_details[Baths],$M561,
     unit_details[Partial Baths],IF(ISNUMBER($N561),$N561,""),
     unit_details[Sqft],$P561,
     unit_details[Property Name],$F561)
 ),"")</f>
        <v/>
      </c>
      <c r="U561" s="552" t="str">
        <f>IFERROR(
 IF($F561="Total",
   SUMPRODUCT(
   INDEX(U:U, ROW()-COUNTIF($F$6:INDEX($F:$F, ROW()-1), $F560)) : INDEX(U:U, ROW()-1),
   INDEX(W:W, ROW()-COUNTIF($F$6:INDEX($F:$F, ROW()-1), $F560)) : INDEX(W:W, ROW()-1)
   )
   /SUM(INDEX(W:W, ROW()-COUNTIF($F$6:INDEX($F:$F, ROW()-1), $F560)) : INDEX(W:W, ROW()-1)),
   AVERAGEIFS(
     INDEX((unit_details[Effective Rent],unit_details[Effective PSF]),0,1,IF($U$3="Chunk Rent",1,2)),
     unit_details[Leased Date],"&gt;="&amp;($AM$2-T$5),
     unit_details[Leased Date],"&lt;"&amp;$AM$2,
     unit_details[Beds],$L561,
     unit_details[Baths],$M561,
     unit_details[Partial Baths],IF(ISNUMBER($N561),$N561,""),
     unit_details[Sqft],$P561,
     unit_details[Property Name],$F561)
 ),"")</f>
        <v/>
      </c>
      <c r="V561" s="27" t="str">
        <f t="shared" si="98"/>
        <v/>
      </c>
      <c r="W561" s="526">
        <f>IFERROR(
  IF($F561="Total",
    SUM(INDEX(W:W, ROW()-COUNTIF($F$6:INDEX($F:$F, ROW()-1), $F560)) : INDEX(W:W, ROW()-1)),
    COUNTIFS(
      unit_details[Leased Date], "&gt;="&amp;($AM$2-T$5),
      unit_details[Leased Date], "&lt;"&amp;$AM$2,
      unit_details[Beds], $L561,
      unit_details[Baths], $M561,
      unit_details[Partial Baths], IF(ISNUMBER($N561), $N561, ""),
      unit_details[Sqft],$P561,
      unit_details[Property Name], $F561
    )
  ),
"")</f>
        <v>0</v>
      </c>
      <c r="X561" s="531" t="str">
        <f>IFERROR(
 IF($F561="Total",
   SUMPRODUCT(
   INDEX(X:X, ROW()-COUNTIF($F$6:INDEX($F:$F, ROW()-1), $F560)) : INDEX(X:X, ROW()-1),
   INDEX(AA:AA, ROW()-COUNTIF($F$6:INDEX($F:$F, ROW()-1), $F560)) : INDEX(AA:AA, ROW()-1)
   )
   /SUM(INDEX(AA:AA, ROW()-COUNTIF($F$6:INDEX($F:$F, ROW()-1), $F560)) : INDEX(AA:AA, ROW()-1)),
   AVERAGEIFS(
     INDEX((unit_details[Asking Rent],unit_details[Asking PSF]),0,1,IF($U$3="Chunk Rent",1,2)),
     unit_details[Leased Date],"&gt;="&amp;($AM$2-X$5),
     unit_details[Leased Date],"&lt;"&amp;$AM$2,
     unit_details[Beds],$L561,
     unit_details[Baths],$M561,
     unit_details[Partial Baths],IF(ISNUMBER($N561),$N561,""),
     unit_details[Sqft],$P561,
     unit_details[Property Name],$F561)
 ),"")</f>
        <v/>
      </c>
      <c r="Y561" s="552" t="str">
        <f>IFERROR(
 IF($F561="Total",
   SUMPRODUCT(
   INDEX(Y:Y, ROW()-COUNTIF($F$6:INDEX($F:$F, ROW()-1), $F560)) : INDEX(Y:Y, ROW()-1),
   INDEX(AA:AA, ROW()-COUNTIF($F$6:INDEX($F:$F, ROW()-1), $F560)) : INDEX(AA:AA, ROW()-1)
   )
   /SUM(INDEX(AA:AA, ROW()-COUNTIF($F$6:INDEX($F:$F, ROW()-1), $F560)) : INDEX(AA:AA, ROW()-1)),
   AVERAGEIFS(
     INDEX((unit_details[Effective Rent],unit_details[Effective PSF]),0,1,IF($U$3="Chunk Rent",1,2)),
     unit_details[Leased Date],"&gt;="&amp;($AM$2-X$5),
     unit_details[Leased Date],"&lt;"&amp;$AM$2,
     unit_details[Beds],$L561,
     unit_details[Baths],$M561,
     unit_details[Partial Baths],IF(ISNUMBER($N561),$N561,""),
     unit_details[Sqft],$P561,
     unit_details[Property Name],$F561)
 ),"")</f>
        <v/>
      </c>
      <c r="Z561" s="27" t="str">
        <f t="shared" si="99"/>
        <v/>
      </c>
      <c r="AA561" s="526">
        <f>IFERROR(
  IF($F561="Total",
    SUM(INDEX(AA:AA, ROW()-COUNTIF($F$6:INDEX($F:$F, ROW()-1), $F560)) : INDEX(AA:AA, ROW()-1)),
    COUNTIFS(
      unit_details[Leased Date], "&gt;="&amp;($AM$2-X$5),
      unit_details[Leased Date], "&lt;"&amp;$AM$2,
      unit_details[Beds], $L561,
      unit_details[Baths], $M561,
      unit_details[Partial Baths], IF(ISNUMBER($N561), $N561, ""),
      unit_details[Sqft],$P561,
      unit_details[Property Name], $F561
    )
  ),
"")</f>
        <v>0</v>
      </c>
      <c r="AB561" s="290">
        <f>IF($F561="Total",
SUM(INDEX(AB:AB, ROW()-COUNTIF($F$6:INDEX($F:$F, ROW()-1), $F560)) : INDEX(AB:AB, ROW()-1)),
COUNTIFS(unit_details[Active Listing?],TRUE,
          unit_details[Property Name], $F561,
          unit_details[Beds], $L561,
          unit_details[Baths], $M561,
          unit_details[Partial Baths],IF(ISNUMBER($N561),$N561,""),
          unit_details[Sqft],$P561))</f>
        <v>0</v>
      </c>
      <c r="AC561" s="27" t="str">
        <f t="shared" si="91"/>
        <v/>
      </c>
      <c r="AD561" s="293" t="str">
        <f>IFERROR(IF(AE561="","",IF($F561="Total",
SUMPRODUCT(
   INDEX(AD:AD, ROW()-COUNTIF($F$6:INDEX($F:$F, ROW()-1), $F560)) : INDEX(AD:AD, ROW()-1),
   INDEX(AB:AB, ROW()-COUNTIF($F$6:INDEX($F:$F, ROW()-1), $F560)) : INDEX(AB:AB, ROW()-1)
   )
   /SUM(INDEX(AB:AB, ROW()-COUNTIF($F$6:INDEX($F:$F, ROW()-1), $F560)) : INDEX(AB:AB, ROW()-1)),
          _xlfn.MINIFS(unit_details[Asking Rent],
          unit_details[Active Listing?],TRUE,
          unit_details[Property Name], $F561,
          unit_details[Beds], $L561,
          unit_details[Baths], $M561,
          unit_details[Partial Baths], IF(ISNUMBER($N561),$N561,""),
          unit_details[Sqft],$P561
))),"")</f>
        <v/>
      </c>
      <c r="AE561" s="5" t="str">
        <f>IFERROR(IF($F561="Total",
          SUMPRODUCT(
   INDEX(AE:AE, ROW()-COUNTIF($F$6:INDEX($F:$F, ROW()-1), $F560)) : INDEX(AE:AE, ROW()-1),
   INDEX(AB:AB, ROW()-COUNTIF($F$6:INDEX($F:$F, ROW()-1), $F560)) : INDEX(AB:AB, ROW()-1)
   )
   /SUM(INDEX(AB:AB, ROW()-COUNTIF($F$6:INDEX($F:$F, ROW()-1), $F560)) : INDEX(AB:AB, ROW()-1)),
          AVERAGEIFS(unit_details[Asking Rent],
          unit_details[Active Listing?],TRUE,
          unit_details[Property Name], $F561,
          unit_details[Beds], $L561,
          unit_details[Baths], $M561,
          unit_details[Partial Baths], IF(ISNUMBER($N561),$N561,""),
          unit_details[Sqft],$P561
)),"")</f>
        <v/>
      </c>
      <c r="AF561" s="5" t="str">
        <f>IFERROR(IF(AE561="","",IF($F561="Total",
SUMPRODUCT(
   INDEX(AF:AF, ROW()-COUNTIF($F$6:INDEX($F:$F, ROW()-1), $F560)) : INDEX(AF:AF, ROW()-1),
   INDEX(AB:AB, ROW()-COUNTIF($F$6:INDEX($F:$F, ROW()-1), $F560)) : INDEX(AB:AB, ROW()-1)
   )
   /SUM(INDEX(AB:AB, ROW()-COUNTIF($F$6:INDEX($F:$F, ROW()-1), $F560)) : INDEX(AB:AB, ROW()-1)),
           _xlfn.MAXIFS(unit_details[Asking Rent],
          unit_details[Active Listing?],TRUE,
          unit_details[Property Name], $F561,
          unit_details[Beds], $L561,
          unit_details[Baths], $M561,
          unit_details[Partial Baths], IF(ISNUMBER($N561),$N561,""),
          unit_details[Sqft],$P561
))),"")</f>
        <v/>
      </c>
      <c r="AG561" s="6" t="str">
        <f>IFERROR(IF($F561="Total",
         SUMPRODUCT(
         INDEX(AG:AG, ROW()-COUNTIF($F$6:INDEX($F:$F, ROW()-1), $F560)) : INDEX(AG:AG, ROW()-1),
         INDEX(AB:AB, ROW()-COUNTIF($F$6:INDEX($F:$F, ROW()-1), $F560)) : INDEX(AB:AB, ROW()-1)
         )
         /SUM(INDEX(AB:AB, ROW()-COUNTIF($F$6:INDEX($F:$F, ROW()-1), $F560)) : INDEX(AB:AB, ROW()-1)),
          AVERAGEIFS(unit_details[Asking PSF],
          unit_details[Active Listing?],TRUE,
          unit_details[Property Name], $F561,
          unit_details[Beds], $L561,
          unit_details[Baths], $M561,
          unit_details[Partial Baths], IF(ISNUMBER($N561),$N561,""),
          unit_details[Sqft],$P561
)),"")</f>
        <v/>
      </c>
      <c r="AH561" s="293" t="str">
        <f>IFERROR(IF($F561="Total",
         SUMPRODUCT(
         INDEX(AH:AH, ROW()-COUNTIF($F$6:INDEX($F:$F, ROW()-1), $F560)) : INDEX(AH:AH, ROW()-1),
         INDEX(AB:AB, ROW()-COUNTIF($F$6:INDEX($F:$F, ROW()-1), $F560)) : INDEX(AB:AB, ROW()-1)
         )
         /SUM(INDEX(AB:AB, ROW()-COUNTIF($F$6:INDEX($F:$F, ROW()-1), $F560)) : INDEX(AB:AB, ROW()-1)),
          AVERAGEIFS(unit_details[Effective Rent],
          unit_details[Active Listing?],TRUE,
          unit_details[Property Name], $F561,
          unit_details[Beds], $L561,
          unit_details[Baths], $M561,
          unit_details[Partial Baths], IF(ISNUMBER($N561),$N561,""),
          unit_details[Sqft],$P561
)),"")</f>
        <v/>
      </c>
      <c r="AI561" s="6" t="str">
        <f>IFERROR(IF($F561="Total",
         SUMPRODUCT(
         INDEX(AI:AI, ROW()-COUNTIF($F$6:INDEX($F:$F, ROW()-1), $F560)) : INDEX(AI:AI, ROW()-1),
         INDEX(AB:AB, ROW()-COUNTIF($F$6:INDEX($F:$F, ROW()-1), $F560)) : INDEX(AB:AB, ROW()-1)
         )
         /SUM(INDEX(AB:AB, ROW()-COUNTIF($F$6:INDEX($F:$F, ROW()-1), $F560)) : INDEX(AB:AB, ROW()-1)),
           AVERAGEIFS(unit_details[Effective PSF],
          unit_details[Active Listing?],TRUE,
          unit_details[Property Name], $F561,
          unit_details[Beds], $L561,
          unit_details[Baths], $M561,
          unit_details[Partial Baths], IF(ISNUMBER($N561),$N561,""),
          unit_details[Sqft],$P561
)),"")</f>
        <v/>
      </c>
      <c r="AJ561" s="824" t="str">
        <f t="shared" si="92"/>
        <v/>
      </c>
      <c r="AK561" s="531" t="str">
        <f t="shared" si="93"/>
        <v/>
      </c>
      <c r="AL561" s="714" t="str">
        <f t="shared" si="94"/>
        <v/>
      </c>
      <c r="AM561" s="531" t="str">
        <f t="shared" si="95"/>
        <v/>
      </c>
      <c r="AN561" s="716" t="str">
        <f t="shared" si="96"/>
        <v/>
      </c>
    </row>
    <row r="562" spans="6:40" x14ac:dyDescent="0.2">
      <c r="F562" s="1" t="str">
        <f t="shared" si="89"/>
        <v/>
      </c>
      <c r="G562" s="713" t="str">
        <f t="shared" si="97"/>
        <v/>
      </c>
      <c r="H562" s="17" t="str">
        <f>IFERROR(VLOOKUP($G562,Table1[[Property]:[Exposure %]],4,0),"")</f>
        <v/>
      </c>
      <c r="I562" s="3" t="str">
        <f>IFERROR(VLOOKUP($G562,Table1[[Property]:[Exposure %]],6,0),"")</f>
        <v/>
      </c>
      <c r="J562" s="3" t="str">
        <f>IFERROR(VLOOKUP($G562,Table1[[Property]:[Exposure %]],7,0),"")</f>
        <v/>
      </c>
      <c r="R562" s="4" t="str">
        <f>IFERROR(VLOOKUP(IF(F562="Total",F561,F562),Table1[[Property]:['# Units]],7,0)*S562,"")</f>
        <v/>
      </c>
      <c r="S562" s="27" t="str">
        <f t="shared" si="90"/>
        <v/>
      </c>
      <c r="T562" s="531" t="str">
        <f>IFERROR(
 IF($F562="Total",
   SUMPRODUCT(
   INDEX(T:T, ROW()-COUNTIF($F$6:INDEX($F:$F, ROW()-1), $F561)) : INDEX(T:T, ROW()-1),
   INDEX(W:W, ROW()-COUNTIF($F$6:INDEX($F:$F, ROW()-1), $F561)) : INDEX(W:W, ROW()-1)
   )
   /SUM(INDEX(W:W, ROW()-COUNTIF($F$6:INDEX($F:$F, ROW()-1), $F561)) : INDEX(W:W, ROW()-1)),
   AVERAGEIFS(
     INDEX((unit_details[Asking Rent],unit_details[Asking PSF]),0,1,IF($U$3="Chunk Rent",1,2)),
     unit_details[Leased Date],"&gt;="&amp;($AM$2-T$5),
     unit_details[Leased Date],"&lt;"&amp;$AM$2,
     unit_details[Beds],$L562,
     unit_details[Baths],$M562,
     unit_details[Partial Baths],IF(ISNUMBER($N562),$N562,""),
     unit_details[Sqft],$P562,
     unit_details[Property Name],$F562)
 ),"")</f>
        <v/>
      </c>
      <c r="U562" s="552" t="str">
        <f>IFERROR(
 IF($F562="Total",
   SUMPRODUCT(
   INDEX(U:U, ROW()-COUNTIF($F$6:INDEX($F:$F, ROW()-1), $F561)) : INDEX(U:U, ROW()-1),
   INDEX(W:W, ROW()-COUNTIF($F$6:INDEX($F:$F, ROW()-1), $F561)) : INDEX(W:W, ROW()-1)
   )
   /SUM(INDEX(W:W, ROW()-COUNTIF($F$6:INDEX($F:$F, ROW()-1), $F561)) : INDEX(W:W, ROW()-1)),
   AVERAGEIFS(
     INDEX((unit_details[Effective Rent],unit_details[Effective PSF]),0,1,IF($U$3="Chunk Rent",1,2)),
     unit_details[Leased Date],"&gt;="&amp;($AM$2-T$5),
     unit_details[Leased Date],"&lt;"&amp;$AM$2,
     unit_details[Beds],$L562,
     unit_details[Baths],$M562,
     unit_details[Partial Baths],IF(ISNUMBER($N562),$N562,""),
     unit_details[Sqft],$P562,
     unit_details[Property Name],$F562)
 ),"")</f>
        <v/>
      </c>
      <c r="V562" s="27" t="str">
        <f t="shared" si="98"/>
        <v/>
      </c>
      <c r="W562" s="526">
        <f>IFERROR(
  IF($F562="Total",
    SUM(INDEX(W:W, ROW()-COUNTIF($F$6:INDEX($F:$F, ROW()-1), $F561)) : INDEX(W:W, ROW()-1)),
    COUNTIFS(
      unit_details[Leased Date], "&gt;="&amp;($AM$2-T$5),
      unit_details[Leased Date], "&lt;"&amp;$AM$2,
      unit_details[Beds], $L562,
      unit_details[Baths], $M562,
      unit_details[Partial Baths], IF(ISNUMBER($N562), $N562, ""),
      unit_details[Sqft],$P562,
      unit_details[Property Name], $F562
    )
  ),
"")</f>
        <v>0</v>
      </c>
      <c r="X562" s="531" t="str">
        <f>IFERROR(
 IF($F562="Total",
   SUMPRODUCT(
   INDEX(X:X, ROW()-COUNTIF($F$6:INDEX($F:$F, ROW()-1), $F561)) : INDEX(X:X, ROW()-1),
   INDEX(AA:AA, ROW()-COUNTIF($F$6:INDEX($F:$F, ROW()-1), $F561)) : INDEX(AA:AA, ROW()-1)
   )
   /SUM(INDEX(AA:AA, ROW()-COUNTIF($F$6:INDEX($F:$F, ROW()-1), $F561)) : INDEX(AA:AA, ROW()-1)),
   AVERAGEIFS(
     INDEX((unit_details[Asking Rent],unit_details[Asking PSF]),0,1,IF($U$3="Chunk Rent",1,2)),
     unit_details[Leased Date],"&gt;="&amp;($AM$2-X$5),
     unit_details[Leased Date],"&lt;"&amp;$AM$2,
     unit_details[Beds],$L562,
     unit_details[Baths],$M562,
     unit_details[Partial Baths],IF(ISNUMBER($N562),$N562,""),
     unit_details[Sqft],$P562,
     unit_details[Property Name],$F562)
 ),"")</f>
        <v/>
      </c>
      <c r="Y562" s="552" t="str">
        <f>IFERROR(
 IF($F562="Total",
   SUMPRODUCT(
   INDEX(Y:Y, ROW()-COUNTIF($F$6:INDEX($F:$F, ROW()-1), $F561)) : INDEX(Y:Y, ROW()-1),
   INDEX(AA:AA, ROW()-COUNTIF($F$6:INDEX($F:$F, ROW()-1), $F561)) : INDEX(AA:AA, ROW()-1)
   )
   /SUM(INDEX(AA:AA, ROW()-COUNTIF($F$6:INDEX($F:$F, ROW()-1), $F561)) : INDEX(AA:AA, ROW()-1)),
   AVERAGEIFS(
     INDEX((unit_details[Effective Rent],unit_details[Effective PSF]),0,1,IF($U$3="Chunk Rent",1,2)),
     unit_details[Leased Date],"&gt;="&amp;($AM$2-X$5),
     unit_details[Leased Date],"&lt;"&amp;$AM$2,
     unit_details[Beds],$L562,
     unit_details[Baths],$M562,
     unit_details[Partial Baths],IF(ISNUMBER($N562),$N562,""),
     unit_details[Sqft],$P562,
     unit_details[Property Name],$F562)
 ),"")</f>
        <v/>
      </c>
      <c r="Z562" s="27" t="str">
        <f t="shared" si="99"/>
        <v/>
      </c>
      <c r="AA562" s="526">
        <f>IFERROR(
  IF($F562="Total",
    SUM(INDEX(AA:AA, ROW()-COUNTIF($F$6:INDEX($F:$F, ROW()-1), $F561)) : INDEX(AA:AA, ROW()-1)),
    COUNTIFS(
      unit_details[Leased Date], "&gt;="&amp;($AM$2-X$5),
      unit_details[Leased Date], "&lt;"&amp;$AM$2,
      unit_details[Beds], $L562,
      unit_details[Baths], $M562,
      unit_details[Partial Baths], IF(ISNUMBER($N562), $N562, ""),
      unit_details[Sqft],$P562,
      unit_details[Property Name], $F562
    )
  ),
"")</f>
        <v>0</v>
      </c>
      <c r="AB562" s="290">
        <f>IF($F562="Total",
SUM(INDEX(AB:AB, ROW()-COUNTIF($F$6:INDEX($F:$F, ROW()-1), $F561)) : INDEX(AB:AB, ROW()-1)),
COUNTIFS(unit_details[Active Listing?],TRUE,
          unit_details[Property Name], $F562,
          unit_details[Beds], $L562,
          unit_details[Baths], $M562,
          unit_details[Partial Baths],IF(ISNUMBER($N562),$N562,""),
          unit_details[Sqft],$P562))</f>
        <v>0</v>
      </c>
      <c r="AC562" s="27" t="str">
        <f t="shared" si="91"/>
        <v/>
      </c>
      <c r="AD562" s="293" t="str">
        <f>IFERROR(IF(AE562="","",IF($F562="Total",
SUMPRODUCT(
   INDEX(AD:AD, ROW()-COUNTIF($F$6:INDEX($F:$F, ROW()-1), $F561)) : INDEX(AD:AD, ROW()-1),
   INDEX(AB:AB, ROW()-COUNTIF($F$6:INDEX($F:$F, ROW()-1), $F561)) : INDEX(AB:AB, ROW()-1)
   )
   /SUM(INDEX(AB:AB, ROW()-COUNTIF($F$6:INDEX($F:$F, ROW()-1), $F561)) : INDEX(AB:AB, ROW()-1)),
          _xlfn.MINIFS(unit_details[Asking Rent],
          unit_details[Active Listing?],TRUE,
          unit_details[Property Name], $F562,
          unit_details[Beds], $L562,
          unit_details[Baths], $M562,
          unit_details[Partial Baths], IF(ISNUMBER($N562),$N562,""),
          unit_details[Sqft],$P562
))),"")</f>
        <v/>
      </c>
      <c r="AE562" s="5" t="str">
        <f>IFERROR(IF($F562="Total",
          SUMPRODUCT(
   INDEX(AE:AE, ROW()-COUNTIF($F$6:INDEX($F:$F, ROW()-1), $F561)) : INDEX(AE:AE, ROW()-1),
   INDEX(AB:AB, ROW()-COUNTIF($F$6:INDEX($F:$F, ROW()-1), $F561)) : INDEX(AB:AB, ROW()-1)
   )
   /SUM(INDEX(AB:AB, ROW()-COUNTIF($F$6:INDEX($F:$F, ROW()-1), $F561)) : INDEX(AB:AB, ROW()-1)),
          AVERAGEIFS(unit_details[Asking Rent],
          unit_details[Active Listing?],TRUE,
          unit_details[Property Name], $F562,
          unit_details[Beds], $L562,
          unit_details[Baths], $M562,
          unit_details[Partial Baths], IF(ISNUMBER($N562),$N562,""),
          unit_details[Sqft],$P562
)),"")</f>
        <v/>
      </c>
      <c r="AF562" s="5" t="str">
        <f>IFERROR(IF(AE562="","",IF($F562="Total",
SUMPRODUCT(
   INDEX(AF:AF, ROW()-COUNTIF($F$6:INDEX($F:$F, ROW()-1), $F561)) : INDEX(AF:AF, ROW()-1),
   INDEX(AB:AB, ROW()-COUNTIF($F$6:INDEX($F:$F, ROW()-1), $F561)) : INDEX(AB:AB, ROW()-1)
   )
   /SUM(INDEX(AB:AB, ROW()-COUNTIF($F$6:INDEX($F:$F, ROW()-1), $F561)) : INDEX(AB:AB, ROW()-1)),
           _xlfn.MAXIFS(unit_details[Asking Rent],
          unit_details[Active Listing?],TRUE,
          unit_details[Property Name], $F562,
          unit_details[Beds], $L562,
          unit_details[Baths], $M562,
          unit_details[Partial Baths], IF(ISNUMBER($N562),$N562,""),
          unit_details[Sqft],$P562
))),"")</f>
        <v/>
      </c>
      <c r="AG562" s="6" t="str">
        <f>IFERROR(IF($F562="Total",
         SUMPRODUCT(
         INDEX(AG:AG, ROW()-COUNTIF($F$6:INDEX($F:$F, ROW()-1), $F561)) : INDEX(AG:AG, ROW()-1),
         INDEX(AB:AB, ROW()-COUNTIF($F$6:INDEX($F:$F, ROW()-1), $F561)) : INDEX(AB:AB, ROW()-1)
         )
         /SUM(INDEX(AB:AB, ROW()-COUNTIF($F$6:INDEX($F:$F, ROW()-1), $F561)) : INDEX(AB:AB, ROW()-1)),
          AVERAGEIFS(unit_details[Asking PSF],
          unit_details[Active Listing?],TRUE,
          unit_details[Property Name], $F562,
          unit_details[Beds], $L562,
          unit_details[Baths], $M562,
          unit_details[Partial Baths], IF(ISNUMBER($N562),$N562,""),
          unit_details[Sqft],$P562
)),"")</f>
        <v/>
      </c>
      <c r="AH562" s="293" t="str">
        <f>IFERROR(IF($F562="Total",
         SUMPRODUCT(
         INDEX(AH:AH, ROW()-COUNTIF($F$6:INDEX($F:$F, ROW()-1), $F561)) : INDEX(AH:AH, ROW()-1),
         INDEX(AB:AB, ROW()-COUNTIF($F$6:INDEX($F:$F, ROW()-1), $F561)) : INDEX(AB:AB, ROW()-1)
         )
         /SUM(INDEX(AB:AB, ROW()-COUNTIF($F$6:INDEX($F:$F, ROW()-1), $F561)) : INDEX(AB:AB, ROW()-1)),
          AVERAGEIFS(unit_details[Effective Rent],
          unit_details[Active Listing?],TRUE,
          unit_details[Property Name], $F562,
          unit_details[Beds], $L562,
          unit_details[Baths], $M562,
          unit_details[Partial Baths], IF(ISNUMBER($N562),$N562,""),
          unit_details[Sqft],$P562
)),"")</f>
        <v/>
      </c>
      <c r="AI562" s="6" t="str">
        <f>IFERROR(IF($F562="Total",
         SUMPRODUCT(
         INDEX(AI:AI, ROW()-COUNTIF($F$6:INDEX($F:$F, ROW()-1), $F561)) : INDEX(AI:AI, ROW()-1),
         INDEX(AB:AB, ROW()-COUNTIF($F$6:INDEX($F:$F, ROW()-1), $F561)) : INDEX(AB:AB, ROW()-1)
         )
         /SUM(INDEX(AB:AB, ROW()-COUNTIF($F$6:INDEX($F:$F, ROW()-1), $F561)) : INDEX(AB:AB, ROW()-1)),
           AVERAGEIFS(unit_details[Effective PSF],
          unit_details[Active Listing?],TRUE,
          unit_details[Property Name], $F562,
          unit_details[Beds], $L562,
          unit_details[Baths], $M562,
          unit_details[Partial Baths], IF(ISNUMBER($N562),$N562,""),
          unit_details[Sqft],$P562
)),"")</f>
        <v/>
      </c>
      <c r="AJ562" s="824" t="str">
        <f t="shared" si="92"/>
        <v/>
      </c>
      <c r="AK562" s="531" t="str">
        <f t="shared" si="93"/>
        <v/>
      </c>
      <c r="AL562" s="714" t="str">
        <f t="shared" si="94"/>
        <v/>
      </c>
      <c r="AM562" s="531" t="str">
        <f t="shared" si="95"/>
        <v/>
      </c>
      <c r="AN562" s="716" t="str">
        <f t="shared" si="96"/>
        <v/>
      </c>
    </row>
    <row r="563" spans="6:40" x14ac:dyDescent="0.2">
      <c r="F563" s="1" t="str">
        <f t="shared" si="89"/>
        <v/>
      </c>
      <c r="G563" s="713" t="str">
        <f t="shared" si="97"/>
        <v/>
      </c>
      <c r="H563" s="17" t="str">
        <f>IFERROR(VLOOKUP($G563,Table1[[Property]:[Exposure %]],4,0),"")</f>
        <v/>
      </c>
      <c r="I563" s="3" t="str">
        <f>IFERROR(VLOOKUP($G563,Table1[[Property]:[Exposure %]],6,0),"")</f>
        <v/>
      </c>
      <c r="J563" s="3" t="str">
        <f>IFERROR(VLOOKUP($G563,Table1[[Property]:[Exposure %]],7,0),"")</f>
        <v/>
      </c>
      <c r="R563" s="4" t="str">
        <f>IFERROR(VLOOKUP(IF(F563="Total",F562,F563),Table1[[Property]:['# Units]],7,0)*S563,"")</f>
        <v/>
      </c>
      <c r="S563" s="27" t="str">
        <f t="shared" si="90"/>
        <v/>
      </c>
      <c r="T563" s="531" t="str">
        <f>IFERROR(
 IF($F563="Total",
   SUMPRODUCT(
   INDEX(T:T, ROW()-COUNTIF($F$6:INDEX($F:$F, ROW()-1), $F562)) : INDEX(T:T, ROW()-1),
   INDEX(W:W, ROW()-COUNTIF($F$6:INDEX($F:$F, ROW()-1), $F562)) : INDEX(W:W, ROW()-1)
   )
   /SUM(INDEX(W:W, ROW()-COUNTIF($F$6:INDEX($F:$F, ROW()-1), $F562)) : INDEX(W:W, ROW()-1)),
   AVERAGEIFS(
     INDEX((unit_details[Asking Rent],unit_details[Asking PSF]),0,1,IF($U$3="Chunk Rent",1,2)),
     unit_details[Leased Date],"&gt;="&amp;($AM$2-T$5),
     unit_details[Leased Date],"&lt;"&amp;$AM$2,
     unit_details[Beds],$L563,
     unit_details[Baths],$M563,
     unit_details[Partial Baths],IF(ISNUMBER($N563),$N563,""),
     unit_details[Sqft],$P563,
     unit_details[Property Name],$F563)
 ),"")</f>
        <v/>
      </c>
      <c r="U563" s="552" t="str">
        <f>IFERROR(
 IF($F563="Total",
   SUMPRODUCT(
   INDEX(U:U, ROW()-COUNTIF($F$6:INDEX($F:$F, ROW()-1), $F562)) : INDEX(U:U, ROW()-1),
   INDEX(W:W, ROW()-COUNTIF($F$6:INDEX($F:$F, ROW()-1), $F562)) : INDEX(W:W, ROW()-1)
   )
   /SUM(INDEX(W:W, ROW()-COUNTIF($F$6:INDEX($F:$F, ROW()-1), $F562)) : INDEX(W:W, ROW()-1)),
   AVERAGEIFS(
     INDEX((unit_details[Effective Rent],unit_details[Effective PSF]),0,1,IF($U$3="Chunk Rent",1,2)),
     unit_details[Leased Date],"&gt;="&amp;($AM$2-T$5),
     unit_details[Leased Date],"&lt;"&amp;$AM$2,
     unit_details[Beds],$L563,
     unit_details[Baths],$M563,
     unit_details[Partial Baths],IF(ISNUMBER($N563),$N563,""),
     unit_details[Sqft],$P563,
     unit_details[Property Name],$F563)
 ),"")</f>
        <v/>
      </c>
      <c r="V563" s="27" t="str">
        <f t="shared" si="98"/>
        <v/>
      </c>
      <c r="W563" s="526">
        <f>IFERROR(
  IF($F563="Total",
    SUM(INDEX(W:W, ROW()-COUNTIF($F$6:INDEX($F:$F, ROW()-1), $F562)) : INDEX(W:W, ROW()-1)),
    COUNTIFS(
      unit_details[Leased Date], "&gt;="&amp;($AM$2-T$5),
      unit_details[Leased Date], "&lt;"&amp;$AM$2,
      unit_details[Beds], $L563,
      unit_details[Baths], $M563,
      unit_details[Partial Baths], IF(ISNUMBER($N563), $N563, ""),
      unit_details[Sqft],$P563,
      unit_details[Property Name], $F563
    )
  ),
"")</f>
        <v>0</v>
      </c>
      <c r="X563" s="531" t="str">
        <f>IFERROR(
 IF($F563="Total",
   SUMPRODUCT(
   INDEX(X:X, ROW()-COUNTIF($F$6:INDEX($F:$F, ROW()-1), $F562)) : INDEX(X:X, ROW()-1),
   INDEX(AA:AA, ROW()-COUNTIF($F$6:INDEX($F:$F, ROW()-1), $F562)) : INDEX(AA:AA, ROW()-1)
   )
   /SUM(INDEX(AA:AA, ROW()-COUNTIF($F$6:INDEX($F:$F, ROW()-1), $F562)) : INDEX(AA:AA, ROW()-1)),
   AVERAGEIFS(
     INDEX((unit_details[Asking Rent],unit_details[Asking PSF]),0,1,IF($U$3="Chunk Rent",1,2)),
     unit_details[Leased Date],"&gt;="&amp;($AM$2-X$5),
     unit_details[Leased Date],"&lt;"&amp;$AM$2,
     unit_details[Beds],$L563,
     unit_details[Baths],$M563,
     unit_details[Partial Baths],IF(ISNUMBER($N563),$N563,""),
     unit_details[Sqft],$P563,
     unit_details[Property Name],$F563)
 ),"")</f>
        <v/>
      </c>
      <c r="Y563" s="552" t="str">
        <f>IFERROR(
 IF($F563="Total",
   SUMPRODUCT(
   INDEX(Y:Y, ROW()-COUNTIF($F$6:INDEX($F:$F, ROW()-1), $F562)) : INDEX(Y:Y, ROW()-1),
   INDEX(AA:AA, ROW()-COUNTIF($F$6:INDEX($F:$F, ROW()-1), $F562)) : INDEX(AA:AA, ROW()-1)
   )
   /SUM(INDEX(AA:AA, ROW()-COUNTIF($F$6:INDEX($F:$F, ROW()-1), $F562)) : INDEX(AA:AA, ROW()-1)),
   AVERAGEIFS(
     INDEX((unit_details[Effective Rent],unit_details[Effective PSF]),0,1,IF($U$3="Chunk Rent",1,2)),
     unit_details[Leased Date],"&gt;="&amp;($AM$2-X$5),
     unit_details[Leased Date],"&lt;"&amp;$AM$2,
     unit_details[Beds],$L563,
     unit_details[Baths],$M563,
     unit_details[Partial Baths],IF(ISNUMBER($N563),$N563,""),
     unit_details[Sqft],$P563,
     unit_details[Property Name],$F563)
 ),"")</f>
        <v/>
      </c>
      <c r="Z563" s="27" t="str">
        <f t="shared" si="99"/>
        <v/>
      </c>
      <c r="AA563" s="526">
        <f>IFERROR(
  IF($F563="Total",
    SUM(INDEX(AA:AA, ROW()-COUNTIF($F$6:INDEX($F:$F, ROW()-1), $F562)) : INDEX(AA:AA, ROW()-1)),
    COUNTIFS(
      unit_details[Leased Date], "&gt;="&amp;($AM$2-X$5),
      unit_details[Leased Date], "&lt;"&amp;$AM$2,
      unit_details[Beds], $L563,
      unit_details[Baths], $M563,
      unit_details[Partial Baths], IF(ISNUMBER($N563), $N563, ""),
      unit_details[Sqft],$P563,
      unit_details[Property Name], $F563
    )
  ),
"")</f>
        <v>0</v>
      </c>
      <c r="AB563" s="290">
        <f>IF($F563="Total",
SUM(INDEX(AB:AB, ROW()-COUNTIF($F$6:INDEX($F:$F, ROW()-1), $F562)) : INDEX(AB:AB, ROW()-1)),
COUNTIFS(unit_details[Active Listing?],TRUE,
          unit_details[Property Name], $F563,
          unit_details[Beds], $L563,
          unit_details[Baths], $M563,
          unit_details[Partial Baths],IF(ISNUMBER($N563),$N563,""),
          unit_details[Sqft],$P563))</f>
        <v>0</v>
      </c>
      <c r="AC563" s="27" t="str">
        <f t="shared" si="91"/>
        <v/>
      </c>
      <c r="AD563" s="293" t="str">
        <f>IFERROR(IF(AE563="","",IF($F563="Total",
SUMPRODUCT(
   INDEX(AD:AD, ROW()-COUNTIF($F$6:INDEX($F:$F, ROW()-1), $F562)) : INDEX(AD:AD, ROW()-1),
   INDEX(AB:AB, ROW()-COUNTIF($F$6:INDEX($F:$F, ROW()-1), $F562)) : INDEX(AB:AB, ROW()-1)
   )
   /SUM(INDEX(AB:AB, ROW()-COUNTIF($F$6:INDEX($F:$F, ROW()-1), $F562)) : INDEX(AB:AB, ROW()-1)),
          _xlfn.MINIFS(unit_details[Asking Rent],
          unit_details[Active Listing?],TRUE,
          unit_details[Property Name], $F563,
          unit_details[Beds], $L563,
          unit_details[Baths], $M563,
          unit_details[Partial Baths], IF(ISNUMBER($N563),$N563,""),
          unit_details[Sqft],$P563
))),"")</f>
        <v/>
      </c>
      <c r="AE563" s="5" t="str">
        <f>IFERROR(IF($F563="Total",
          SUMPRODUCT(
   INDEX(AE:AE, ROW()-COUNTIF($F$6:INDEX($F:$F, ROW()-1), $F562)) : INDEX(AE:AE, ROW()-1),
   INDEX(AB:AB, ROW()-COUNTIF($F$6:INDEX($F:$F, ROW()-1), $F562)) : INDEX(AB:AB, ROW()-1)
   )
   /SUM(INDEX(AB:AB, ROW()-COUNTIF($F$6:INDEX($F:$F, ROW()-1), $F562)) : INDEX(AB:AB, ROW()-1)),
          AVERAGEIFS(unit_details[Asking Rent],
          unit_details[Active Listing?],TRUE,
          unit_details[Property Name], $F563,
          unit_details[Beds], $L563,
          unit_details[Baths], $M563,
          unit_details[Partial Baths], IF(ISNUMBER($N563),$N563,""),
          unit_details[Sqft],$P563
)),"")</f>
        <v/>
      </c>
      <c r="AF563" s="5" t="str">
        <f>IFERROR(IF(AE563="","",IF($F563="Total",
SUMPRODUCT(
   INDEX(AF:AF, ROW()-COUNTIF($F$6:INDEX($F:$F, ROW()-1), $F562)) : INDEX(AF:AF, ROW()-1),
   INDEX(AB:AB, ROW()-COUNTIF($F$6:INDEX($F:$F, ROW()-1), $F562)) : INDEX(AB:AB, ROW()-1)
   )
   /SUM(INDEX(AB:AB, ROW()-COUNTIF($F$6:INDEX($F:$F, ROW()-1), $F562)) : INDEX(AB:AB, ROW()-1)),
           _xlfn.MAXIFS(unit_details[Asking Rent],
          unit_details[Active Listing?],TRUE,
          unit_details[Property Name], $F563,
          unit_details[Beds], $L563,
          unit_details[Baths], $M563,
          unit_details[Partial Baths], IF(ISNUMBER($N563),$N563,""),
          unit_details[Sqft],$P563
))),"")</f>
        <v/>
      </c>
      <c r="AG563" s="6" t="str">
        <f>IFERROR(IF($F563="Total",
         SUMPRODUCT(
         INDEX(AG:AG, ROW()-COUNTIF($F$6:INDEX($F:$F, ROW()-1), $F562)) : INDEX(AG:AG, ROW()-1),
         INDEX(AB:AB, ROW()-COUNTIF($F$6:INDEX($F:$F, ROW()-1), $F562)) : INDEX(AB:AB, ROW()-1)
         )
         /SUM(INDEX(AB:AB, ROW()-COUNTIF($F$6:INDEX($F:$F, ROW()-1), $F562)) : INDEX(AB:AB, ROW()-1)),
          AVERAGEIFS(unit_details[Asking PSF],
          unit_details[Active Listing?],TRUE,
          unit_details[Property Name], $F563,
          unit_details[Beds], $L563,
          unit_details[Baths], $M563,
          unit_details[Partial Baths], IF(ISNUMBER($N563),$N563,""),
          unit_details[Sqft],$P563
)),"")</f>
        <v/>
      </c>
      <c r="AH563" s="293" t="str">
        <f>IFERROR(IF($F563="Total",
         SUMPRODUCT(
         INDEX(AH:AH, ROW()-COUNTIF($F$6:INDEX($F:$F, ROW()-1), $F562)) : INDEX(AH:AH, ROW()-1),
         INDEX(AB:AB, ROW()-COUNTIF($F$6:INDEX($F:$F, ROW()-1), $F562)) : INDEX(AB:AB, ROW()-1)
         )
         /SUM(INDEX(AB:AB, ROW()-COUNTIF($F$6:INDEX($F:$F, ROW()-1), $F562)) : INDEX(AB:AB, ROW()-1)),
          AVERAGEIFS(unit_details[Effective Rent],
          unit_details[Active Listing?],TRUE,
          unit_details[Property Name], $F563,
          unit_details[Beds], $L563,
          unit_details[Baths], $M563,
          unit_details[Partial Baths], IF(ISNUMBER($N563),$N563,""),
          unit_details[Sqft],$P563
)),"")</f>
        <v/>
      </c>
      <c r="AI563" s="6" t="str">
        <f>IFERROR(IF($F563="Total",
         SUMPRODUCT(
         INDEX(AI:AI, ROW()-COUNTIF($F$6:INDEX($F:$F, ROW()-1), $F562)) : INDEX(AI:AI, ROW()-1),
         INDEX(AB:AB, ROW()-COUNTIF($F$6:INDEX($F:$F, ROW()-1), $F562)) : INDEX(AB:AB, ROW()-1)
         )
         /SUM(INDEX(AB:AB, ROW()-COUNTIF($F$6:INDEX($F:$F, ROW()-1), $F562)) : INDEX(AB:AB, ROW()-1)),
           AVERAGEIFS(unit_details[Effective PSF],
          unit_details[Active Listing?],TRUE,
          unit_details[Property Name], $F563,
          unit_details[Beds], $L563,
          unit_details[Baths], $M563,
          unit_details[Partial Baths], IF(ISNUMBER($N563),$N563,""),
          unit_details[Sqft],$P563
)),"")</f>
        <v/>
      </c>
      <c r="AJ563" s="824" t="str">
        <f t="shared" si="92"/>
        <v/>
      </c>
      <c r="AK563" s="531" t="str">
        <f t="shared" si="93"/>
        <v/>
      </c>
      <c r="AL563" s="714" t="str">
        <f t="shared" si="94"/>
        <v/>
      </c>
      <c r="AM563" s="531" t="str">
        <f t="shared" si="95"/>
        <v/>
      </c>
      <c r="AN563" s="716" t="str">
        <f t="shared" si="96"/>
        <v/>
      </c>
    </row>
    <row r="564" spans="6:40" x14ac:dyDescent="0.2">
      <c r="F564" s="1" t="str">
        <f t="shared" si="89"/>
        <v/>
      </c>
      <c r="G564" s="713" t="str">
        <f t="shared" si="97"/>
        <v/>
      </c>
      <c r="H564" s="17" t="str">
        <f>IFERROR(VLOOKUP($G564,Table1[[Property]:[Exposure %]],4,0),"")</f>
        <v/>
      </c>
      <c r="I564" s="3" t="str">
        <f>IFERROR(VLOOKUP($G564,Table1[[Property]:[Exposure %]],6,0),"")</f>
        <v/>
      </c>
      <c r="J564" s="3" t="str">
        <f>IFERROR(VLOOKUP($G564,Table1[[Property]:[Exposure %]],7,0),"")</f>
        <v/>
      </c>
      <c r="R564" s="4" t="str">
        <f>IFERROR(VLOOKUP(IF(F564="Total",F563,F564),Table1[[Property]:['# Units]],7,0)*S564,"")</f>
        <v/>
      </c>
      <c r="S564" s="27" t="str">
        <f t="shared" si="90"/>
        <v/>
      </c>
      <c r="T564" s="531" t="str">
        <f>IFERROR(
 IF($F564="Total",
   SUMPRODUCT(
   INDEX(T:T, ROW()-COUNTIF($F$6:INDEX($F:$F, ROW()-1), $F563)) : INDEX(T:T, ROW()-1),
   INDEX(W:W, ROW()-COUNTIF($F$6:INDEX($F:$F, ROW()-1), $F563)) : INDEX(W:W, ROW()-1)
   )
   /SUM(INDEX(W:W, ROW()-COUNTIF($F$6:INDEX($F:$F, ROW()-1), $F563)) : INDEX(W:W, ROW()-1)),
   AVERAGEIFS(
     INDEX((unit_details[Asking Rent],unit_details[Asking PSF]),0,1,IF($U$3="Chunk Rent",1,2)),
     unit_details[Leased Date],"&gt;="&amp;($AM$2-T$5),
     unit_details[Leased Date],"&lt;"&amp;$AM$2,
     unit_details[Beds],$L564,
     unit_details[Baths],$M564,
     unit_details[Partial Baths],IF(ISNUMBER($N564),$N564,""),
     unit_details[Sqft],$P564,
     unit_details[Property Name],$F564)
 ),"")</f>
        <v/>
      </c>
      <c r="U564" s="552" t="str">
        <f>IFERROR(
 IF($F564="Total",
   SUMPRODUCT(
   INDEX(U:U, ROW()-COUNTIF($F$6:INDEX($F:$F, ROW()-1), $F563)) : INDEX(U:U, ROW()-1),
   INDEX(W:W, ROW()-COUNTIF($F$6:INDEX($F:$F, ROW()-1), $F563)) : INDEX(W:W, ROW()-1)
   )
   /SUM(INDEX(W:W, ROW()-COUNTIF($F$6:INDEX($F:$F, ROW()-1), $F563)) : INDEX(W:W, ROW()-1)),
   AVERAGEIFS(
     INDEX((unit_details[Effective Rent],unit_details[Effective PSF]),0,1,IF($U$3="Chunk Rent",1,2)),
     unit_details[Leased Date],"&gt;="&amp;($AM$2-T$5),
     unit_details[Leased Date],"&lt;"&amp;$AM$2,
     unit_details[Beds],$L564,
     unit_details[Baths],$M564,
     unit_details[Partial Baths],IF(ISNUMBER($N564),$N564,""),
     unit_details[Sqft],$P564,
     unit_details[Property Name],$F564)
 ),"")</f>
        <v/>
      </c>
      <c r="V564" s="27" t="str">
        <f t="shared" si="98"/>
        <v/>
      </c>
      <c r="W564" s="526">
        <f>IFERROR(
  IF($F564="Total",
    SUM(INDEX(W:W, ROW()-COUNTIF($F$6:INDEX($F:$F, ROW()-1), $F563)) : INDEX(W:W, ROW()-1)),
    COUNTIFS(
      unit_details[Leased Date], "&gt;="&amp;($AM$2-T$5),
      unit_details[Leased Date], "&lt;"&amp;$AM$2,
      unit_details[Beds], $L564,
      unit_details[Baths], $M564,
      unit_details[Partial Baths], IF(ISNUMBER($N564), $N564, ""),
      unit_details[Sqft],$P564,
      unit_details[Property Name], $F564
    )
  ),
"")</f>
        <v>0</v>
      </c>
      <c r="X564" s="531" t="str">
        <f>IFERROR(
 IF($F564="Total",
   SUMPRODUCT(
   INDEX(X:X, ROW()-COUNTIF($F$6:INDEX($F:$F, ROW()-1), $F563)) : INDEX(X:X, ROW()-1),
   INDEX(AA:AA, ROW()-COUNTIF($F$6:INDEX($F:$F, ROW()-1), $F563)) : INDEX(AA:AA, ROW()-1)
   )
   /SUM(INDEX(AA:AA, ROW()-COUNTIF($F$6:INDEX($F:$F, ROW()-1), $F563)) : INDEX(AA:AA, ROW()-1)),
   AVERAGEIFS(
     INDEX((unit_details[Asking Rent],unit_details[Asking PSF]),0,1,IF($U$3="Chunk Rent",1,2)),
     unit_details[Leased Date],"&gt;="&amp;($AM$2-X$5),
     unit_details[Leased Date],"&lt;"&amp;$AM$2,
     unit_details[Beds],$L564,
     unit_details[Baths],$M564,
     unit_details[Partial Baths],IF(ISNUMBER($N564),$N564,""),
     unit_details[Sqft],$P564,
     unit_details[Property Name],$F564)
 ),"")</f>
        <v/>
      </c>
      <c r="Y564" s="552" t="str">
        <f>IFERROR(
 IF($F564="Total",
   SUMPRODUCT(
   INDEX(Y:Y, ROW()-COUNTIF($F$6:INDEX($F:$F, ROW()-1), $F563)) : INDEX(Y:Y, ROW()-1),
   INDEX(AA:AA, ROW()-COUNTIF($F$6:INDEX($F:$F, ROW()-1), $F563)) : INDEX(AA:AA, ROW()-1)
   )
   /SUM(INDEX(AA:AA, ROW()-COUNTIF($F$6:INDEX($F:$F, ROW()-1), $F563)) : INDEX(AA:AA, ROW()-1)),
   AVERAGEIFS(
     INDEX((unit_details[Effective Rent],unit_details[Effective PSF]),0,1,IF($U$3="Chunk Rent",1,2)),
     unit_details[Leased Date],"&gt;="&amp;($AM$2-X$5),
     unit_details[Leased Date],"&lt;"&amp;$AM$2,
     unit_details[Beds],$L564,
     unit_details[Baths],$M564,
     unit_details[Partial Baths],IF(ISNUMBER($N564),$N564,""),
     unit_details[Sqft],$P564,
     unit_details[Property Name],$F564)
 ),"")</f>
        <v/>
      </c>
      <c r="Z564" s="27" t="str">
        <f t="shared" si="99"/>
        <v/>
      </c>
      <c r="AA564" s="526">
        <f>IFERROR(
  IF($F564="Total",
    SUM(INDEX(AA:AA, ROW()-COUNTIF($F$6:INDEX($F:$F, ROW()-1), $F563)) : INDEX(AA:AA, ROW()-1)),
    COUNTIFS(
      unit_details[Leased Date], "&gt;="&amp;($AM$2-X$5),
      unit_details[Leased Date], "&lt;"&amp;$AM$2,
      unit_details[Beds], $L564,
      unit_details[Baths], $M564,
      unit_details[Partial Baths], IF(ISNUMBER($N564), $N564, ""),
      unit_details[Sqft],$P564,
      unit_details[Property Name], $F564
    )
  ),
"")</f>
        <v>0</v>
      </c>
      <c r="AB564" s="290">
        <f>IF($F564="Total",
SUM(INDEX(AB:AB, ROW()-COUNTIF($F$6:INDEX($F:$F, ROW()-1), $F563)) : INDEX(AB:AB, ROW()-1)),
COUNTIFS(unit_details[Active Listing?],TRUE,
          unit_details[Property Name], $F564,
          unit_details[Beds], $L564,
          unit_details[Baths], $M564,
          unit_details[Partial Baths],IF(ISNUMBER($N564),$N564,""),
          unit_details[Sqft],$P564))</f>
        <v>0</v>
      </c>
      <c r="AC564" s="27" t="str">
        <f t="shared" si="91"/>
        <v/>
      </c>
      <c r="AD564" s="293" t="str">
        <f>IFERROR(IF(AE564="","",IF($F564="Total",
SUMPRODUCT(
   INDEX(AD:AD, ROW()-COUNTIF($F$6:INDEX($F:$F, ROW()-1), $F563)) : INDEX(AD:AD, ROW()-1),
   INDEX(AB:AB, ROW()-COUNTIF($F$6:INDEX($F:$F, ROW()-1), $F563)) : INDEX(AB:AB, ROW()-1)
   )
   /SUM(INDEX(AB:AB, ROW()-COUNTIF($F$6:INDEX($F:$F, ROW()-1), $F563)) : INDEX(AB:AB, ROW()-1)),
          _xlfn.MINIFS(unit_details[Asking Rent],
          unit_details[Active Listing?],TRUE,
          unit_details[Property Name], $F564,
          unit_details[Beds], $L564,
          unit_details[Baths], $M564,
          unit_details[Partial Baths], IF(ISNUMBER($N564),$N564,""),
          unit_details[Sqft],$P564
))),"")</f>
        <v/>
      </c>
      <c r="AE564" s="5" t="str">
        <f>IFERROR(IF($F564="Total",
          SUMPRODUCT(
   INDEX(AE:AE, ROW()-COUNTIF($F$6:INDEX($F:$F, ROW()-1), $F563)) : INDEX(AE:AE, ROW()-1),
   INDEX(AB:AB, ROW()-COUNTIF($F$6:INDEX($F:$F, ROW()-1), $F563)) : INDEX(AB:AB, ROW()-1)
   )
   /SUM(INDEX(AB:AB, ROW()-COUNTIF($F$6:INDEX($F:$F, ROW()-1), $F563)) : INDEX(AB:AB, ROW()-1)),
          AVERAGEIFS(unit_details[Asking Rent],
          unit_details[Active Listing?],TRUE,
          unit_details[Property Name], $F564,
          unit_details[Beds], $L564,
          unit_details[Baths], $M564,
          unit_details[Partial Baths], IF(ISNUMBER($N564),$N564,""),
          unit_details[Sqft],$P564
)),"")</f>
        <v/>
      </c>
      <c r="AF564" s="5" t="str">
        <f>IFERROR(IF(AE564="","",IF($F564="Total",
SUMPRODUCT(
   INDEX(AF:AF, ROW()-COUNTIF($F$6:INDEX($F:$F, ROW()-1), $F563)) : INDEX(AF:AF, ROW()-1),
   INDEX(AB:AB, ROW()-COUNTIF($F$6:INDEX($F:$F, ROW()-1), $F563)) : INDEX(AB:AB, ROW()-1)
   )
   /SUM(INDEX(AB:AB, ROW()-COUNTIF($F$6:INDEX($F:$F, ROW()-1), $F563)) : INDEX(AB:AB, ROW()-1)),
           _xlfn.MAXIFS(unit_details[Asking Rent],
          unit_details[Active Listing?],TRUE,
          unit_details[Property Name], $F564,
          unit_details[Beds], $L564,
          unit_details[Baths], $M564,
          unit_details[Partial Baths], IF(ISNUMBER($N564),$N564,""),
          unit_details[Sqft],$P564
))),"")</f>
        <v/>
      </c>
      <c r="AG564" s="6" t="str">
        <f>IFERROR(IF($F564="Total",
         SUMPRODUCT(
         INDEX(AG:AG, ROW()-COUNTIF($F$6:INDEX($F:$F, ROW()-1), $F563)) : INDEX(AG:AG, ROW()-1),
         INDEX(AB:AB, ROW()-COUNTIF($F$6:INDEX($F:$F, ROW()-1), $F563)) : INDEX(AB:AB, ROW()-1)
         )
         /SUM(INDEX(AB:AB, ROW()-COUNTIF($F$6:INDEX($F:$F, ROW()-1), $F563)) : INDEX(AB:AB, ROW()-1)),
          AVERAGEIFS(unit_details[Asking PSF],
          unit_details[Active Listing?],TRUE,
          unit_details[Property Name], $F564,
          unit_details[Beds], $L564,
          unit_details[Baths], $M564,
          unit_details[Partial Baths], IF(ISNUMBER($N564),$N564,""),
          unit_details[Sqft],$P564
)),"")</f>
        <v/>
      </c>
      <c r="AH564" s="293" t="str">
        <f>IFERROR(IF($F564="Total",
         SUMPRODUCT(
         INDEX(AH:AH, ROW()-COUNTIF($F$6:INDEX($F:$F, ROW()-1), $F563)) : INDEX(AH:AH, ROW()-1),
         INDEX(AB:AB, ROW()-COUNTIF($F$6:INDEX($F:$F, ROW()-1), $F563)) : INDEX(AB:AB, ROW()-1)
         )
         /SUM(INDEX(AB:AB, ROW()-COUNTIF($F$6:INDEX($F:$F, ROW()-1), $F563)) : INDEX(AB:AB, ROW()-1)),
          AVERAGEIFS(unit_details[Effective Rent],
          unit_details[Active Listing?],TRUE,
          unit_details[Property Name], $F564,
          unit_details[Beds], $L564,
          unit_details[Baths], $M564,
          unit_details[Partial Baths], IF(ISNUMBER($N564),$N564,""),
          unit_details[Sqft],$P564
)),"")</f>
        <v/>
      </c>
      <c r="AI564" s="6" t="str">
        <f>IFERROR(IF($F564="Total",
         SUMPRODUCT(
         INDEX(AI:AI, ROW()-COUNTIF($F$6:INDEX($F:$F, ROW()-1), $F563)) : INDEX(AI:AI, ROW()-1),
         INDEX(AB:AB, ROW()-COUNTIF($F$6:INDEX($F:$F, ROW()-1), $F563)) : INDEX(AB:AB, ROW()-1)
         )
         /SUM(INDEX(AB:AB, ROW()-COUNTIF($F$6:INDEX($F:$F, ROW()-1), $F563)) : INDEX(AB:AB, ROW()-1)),
           AVERAGEIFS(unit_details[Effective PSF],
          unit_details[Active Listing?],TRUE,
          unit_details[Property Name], $F564,
          unit_details[Beds], $L564,
          unit_details[Baths], $M564,
          unit_details[Partial Baths], IF(ISNUMBER($N564),$N564,""),
          unit_details[Sqft],$P564
)),"")</f>
        <v/>
      </c>
      <c r="AJ564" s="824" t="str">
        <f t="shared" si="92"/>
        <v/>
      </c>
      <c r="AK564" s="531" t="str">
        <f t="shared" si="93"/>
        <v/>
      </c>
      <c r="AL564" s="714" t="str">
        <f t="shared" si="94"/>
        <v/>
      </c>
      <c r="AM564" s="531" t="str">
        <f t="shared" si="95"/>
        <v/>
      </c>
      <c r="AN564" s="716" t="str">
        <f t="shared" si="96"/>
        <v/>
      </c>
    </row>
    <row r="565" spans="6:40" x14ac:dyDescent="0.2">
      <c r="F565" s="1" t="str">
        <f t="shared" si="89"/>
        <v/>
      </c>
      <c r="G565" s="713" t="str">
        <f t="shared" si="97"/>
        <v/>
      </c>
      <c r="H565" s="17" t="str">
        <f>IFERROR(VLOOKUP($G565,Table1[[Property]:[Exposure %]],4,0),"")</f>
        <v/>
      </c>
      <c r="I565" s="3" t="str">
        <f>IFERROR(VLOOKUP($G565,Table1[[Property]:[Exposure %]],6,0),"")</f>
        <v/>
      </c>
      <c r="J565" s="3" t="str">
        <f>IFERROR(VLOOKUP($G565,Table1[[Property]:[Exposure %]],7,0),"")</f>
        <v/>
      </c>
      <c r="R565" s="4" t="str">
        <f>IFERROR(VLOOKUP(IF(F565="Total",F564,F565),Table1[[Property]:['# Units]],7,0)*S565,"")</f>
        <v/>
      </c>
      <c r="S565" s="27" t="str">
        <f t="shared" si="90"/>
        <v/>
      </c>
      <c r="T565" s="531" t="str">
        <f>IFERROR(
 IF($F565="Total",
   SUMPRODUCT(
   INDEX(T:T, ROW()-COUNTIF($F$6:INDEX($F:$F, ROW()-1), $F564)) : INDEX(T:T, ROW()-1),
   INDEX(W:W, ROW()-COUNTIF($F$6:INDEX($F:$F, ROW()-1), $F564)) : INDEX(W:W, ROW()-1)
   )
   /SUM(INDEX(W:W, ROW()-COUNTIF($F$6:INDEX($F:$F, ROW()-1), $F564)) : INDEX(W:W, ROW()-1)),
   AVERAGEIFS(
     INDEX((unit_details[Asking Rent],unit_details[Asking PSF]),0,1,IF($U$3="Chunk Rent",1,2)),
     unit_details[Leased Date],"&gt;="&amp;($AM$2-T$5),
     unit_details[Leased Date],"&lt;"&amp;$AM$2,
     unit_details[Beds],$L565,
     unit_details[Baths],$M565,
     unit_details[Partial Baths],IF(ISNUMBER($N565),$N565,""),
     unit_details[Sqft],$P565,
     unit_details[Property Name],$F565)
 ),"")</f>
        <v/>
      </c>
      <c r="U565" s="552" t="str">
        <f>IFERROR(
 IF($F565="Total",
   SUMPRODUCT(
   INDEX(U:U, ROW()-COUNTIF($F$6:INDEX($F:$F, ROW()-1), $F564)) : INDEX(U:U, ROW()-1),
   INDEX(W:W, ROW()-COUNTIF($F$6:INDEX($F:$F, ROW()-1), $F564)) : INDEX(W:W, ROW()-1)
   )
   /SUM(INDEX(W:W, ROW()-COUNTIF($F$6:INDEX($F:$F, ROW()-1), $F564)) : INDEX(W:W, ROW()-1)),
   AVERAGEIFS(
     INDEX((unit_details[Effective Rent],unit_details[Effective PSF]),0,1,IF($U$3="Chunk Rent",1,2)),
     unit_details[Leased Date],"&gt;="&amp;($AM$2-T$5),
     unit_details[Leased Date],"&lt;"&amp;$AM$2,
     unit_details[Beds],$L565,
     unit_details[Baths],$M565,
     unit_details[Partial Baths],IF(ISNUMBER($N565),$N565,""),
     unit_details[Sqft],$P565,
     unit_details[Property Name],$F565)
 ),"")</f>
        <v/>
      </c>
      <c r="V565" s="27" t="str">
        <f t="shared" si="98"/>
        <v/>
      </c>
      <c r="W565" s="526">
        <f>IFERROR(
  IF($F565="Total",
    SUM(INDEX(W:W, ROW()-COUNTIF($F$6:INDEX($F:$F, ROW()-1), $F564)) : INDEX(W:W, ROW()-1)),
    COUNTIFS(
      unit_details[Leased Date], "&gt;="&amp;($AM$2-T$5),
      unit_details[Leased Date], "&lt;"&amp;$AM$2,
      unit_details[Beds], $L565,
      unit_details[Baths], $M565,
      unit_details[Partial Baths], IF(ISNUMBER($N565), $N565, ""),
      unit_details[Sqft],$P565,
      unit_details[Property Name], $F565
    )
  ),
"")</f>
        <v>0</v>
      </c>
      <c r="X565" s="531" t="str">
        <f>IFERROR(
 IF($F565="Total",
   SUMPRODUCT(
   INDEX(X:X, ROW()-COUNTIF($F$6:INDEX($F:$F, ROW()-1), $F564)) : INDEX(X:X, ROW()-1),
   INDEX(AA:AA, ROW()-COUNTIF($F$6:INDEX($F:$F, ROW()-1), $F564)) : INDEX(AA:AA, ROW()-1)
   )
   /SUM(INDEX(AA:AA, ROW()-COUNTIF($F$6:INDEX($F:$F, ROW()-1), $F564)) : INDEX(AA:AA, ROW()-1)),
   AVERAGEIFS(
     INDEX((unit_details[Asking Rent],unit_details[Asking PSF]),0,1,IF($U$3="Chunk Rent",1,2)),
     unit_details[Leased Date],"&gt;="&amp;($AM$2-X$5),
     unit_details[Leased Date],"&lt;"&amp;$AM$2,
     unit_details[Beds],$L565,
     unit_details[Baths],$M565,
     unit_details[Partial Baths],IF(ISNUMBER($N565),$N565,""),
     unit_details[Sqft],$P565,
     unit_details[Property Name],$F565)
 ),"")</f>
        <v/>
      </c>
      <c r="Y565" s="552" t="str">
        <f>IFERROR(
 IF($F565="Total",
   SUMPRODUCT(
   INDEX(Y:Y, ROW()-COUNTIF($F$6:INDEX($F:$F, ROW()-1), $F564)) : INDEX(Y:Y, ROW()-1),
   INDEX(AA:AA, ROW()-COUNTIF($F$6:INDEX($F:$F, ROW()-1), $F564)) : INDEX(AA:AA, ROW()-1)
   )
   /SUM(INDEX(AA:AA, ROW()-COUNTIF($F$6:INDEX($F:$F, ROW()-1), $F564)) : INDEX(AA:AA, ROW()-1)),
   AVERAGEIFS(
     INDEX((unit_details[Effective Rent],unit_details[Effective PSF]),0,1,IF($U$3="Chunk Rent",1,2)),
     unit_details[Leased Date],"&gt;="&amp;($AM$2-X$5),
     unit_details[Leased Date],"&lt;"&amp;$AM$2,
     unit_details[Beds],$L565,
     unit_details[Baths],$M565,
     unit_details[Partial Baths],IF(ISNUMBER($N565),$N565,""),
     unit_details[Sqft],$P565,
     unit_details[Property Name],$F565)
 ),"")</f>
        <v/>
      </c>
      <c r="Z565" s="27" t="str">
        <f t="shared" si="99"/>
        <v/>
      </c>
      <c r="AA565" s="526">
        <f>IFERROR(
  IF($F565="Total",
    SUM(INDEX(AA:AA, ROW()-COUNTIF($F$6:INDEX($F:$F, ROW()-1), $F564)) : INDEX(AA:AA, ROW()-1)),
    COUNTIFS(
      unit_details[Leased Date], "&gt;="&amp;($AM$2-X$5),
      unit_details[Leased Date], "&lt;"&amp;$AM$2,
      unit_details[Beds], $L565,
      unit_details[Baths], $M565,
      unit_details[Partial Baths], IF(ISNUMBER($N565), $N565, ""),
      unit_details[Sqft],$P565,
      unit_details[Property Name], $F565
    )
  ),
"")</f>
        <v>0</v>
      </c>
      <c r="AB565" s="290">
        <f>IF($F565="Total",
SUM(INDEX(AB:AB, ROW()-COUNTIF($F$6:INDEX($F:$F, ROW()-1), $F564)) : INDEX(AB:AB, ROW()-1)),
COUNTIFS(unit_details[Active Listing?],TRUE,
          unit_details[Property Name], $F565,
          unit_details[Beds], $L565,
          unit_details[Baths], $M565,
          unit_details[Partial Baths],IF(ISNUMBER($N565),$N565,""),
          unit_details[Sqft],$P565))</f>
        <v>0</v>
      </c>
      <c r="AC565" s="27" t="str">
        <f t="shared" si="91"/>
        <v/>
      </c>
      <c r="AD565" s="293" t="str">
        <f>IFERROR(IF(AE565="","",IF($F565="Total",
SUMPRODUCT(
   INDEX(AD:AD, ROW()-COUNTIF($F$6:INDEX($F:$F, ROW()-1), $F564)) : INDEX(AD:AD, ROW()-1),
   INDEX(AB:AB, ROW()-COUNTIF($F$6:INDEX($F:$F, ROW()-1), $F564)) : INDEX(AB:AB, ROW()-1)
   )
   /SUM(INDEX(AB:AB, ROW()-COUNTIF($F$6:INDEX($F:$F, ROW()-1), $F564)) : INDEX(AB:AB, ROW()-1)),
          _xlfn.MINIFS(unit_details[Asking Rent],
          unit_details[Active Listing?],TRUE,
          unit_details[Property Name], $F565,
          unit_details[Beds], $L565,
          unit_details[Baths], $M565,
          unit_details[Partial Baths], IF(ISNUMBER($N565),$N565,""),
          unit_details[Sqft],$P565
))),"")</f>
        <v/>
      </c>
      <c r="AE565" s="5" t="str">
        <f>IFERROR(IF($F565="Total",
          SUMPRODUCT(
   INDEX(AE:AE, ROW()-COUNTIF($F$6:INDEX($F:$F, ROW()-1), $F564)) : INDEX(AE:AE, ROW()-1),
   INDEX(AB:AB, ROW()-COUNTIF($F$6:INDEX($F:$F, ROW()-1), $F564)) : INDEX(AB:AB, ROW()-1)
   )
   /SUM(INDEX(AB:AB, ROW()-COUNTIF($F$6:INDEX($F:$F, ROW()-1), $F564)) : INDEX(AB:AB, ROW()-1)),
          AVERAGEIFS(unit_details[Asking Rent],
          unit_details[Active Listing?],TRUE,
          unit_details[Property Name], $F565,
          unit_details[Beds], $L565,
          unit_details[Baths], $M565,
          unit_details[Partial Baths], IF(ISNUMBER($N565),$N565,""),
          unit_details[Sqft],$P565
)),"")</f>
        <v/>
      </c>
      <c r="AF565" s="5" t="str">
        <f>IFERROR(IF(AE565="","",IF($F565="Total",
SUMPRODUCT(
   INDEX(AF:AF, ROW()-COUNTIF($F$6:INDEX($F:$F, ROW()-1), $F564)) : INDEX(AF:AF, ROW()-1),
   INDEX(AB:AB, ROW()-COUNTIF($F$6:INDEX($F:$F, ROW()-1), $F564)) : INDEX(AB:AB, ROW()-1)
   )
   /SUM(INDEX(AB:AB, ROW()-COUNTIF($F$6:INDEX($F:$F, ROW()-1), $F564)) : INDEX(AB:AB, ROW()-1)),
           _xlfn.MAXIFS(unit_details[Asking Rent],
          unit_details[Active Listing?],TRUE,
          unit_details[Property Name], $F565,
          unit_details[Beds], $L565,
          unit_details[Baths], $M565,
          unit_details[Partial Baths], IF(ISNUMBER($N565),$N565,""),
          unit_details[Sqft],$P565
))),"")</f>
        <v/>
      </c>
      <c r="AG565" s="6" t="str">
        <f>IFERROR(IF($F565="Total",
         SUMPRODUCT(
         INDEX(AG:AG, ROW()-COUNTIF($F$6:INDEX($F:$F, ROW()-1), $F564)) : INDEX(AG:AG, ROW()-1),
         INDEX(AB:AB, ROW()-COUNTIF($F$6:INDEX($F:$F, ROW()-1), $F564)) : INDEX(AB:AB, ROW()-1)
         )
         /SUM(INDEX(AB:AB, ROW()-COUNTIF($F$6:INDEX($F:$F, ROW()-1), $F564)) : INDEX(AB:AB, ROW()-1)),
          AVERAGEIFS(unit_details[Asking PSF],
          unit_details[Active Listing?],TRUE,
          unit_details[Property Name], $F565,
          unit_details[Beds], $L565,
          unit_details[Baths], $M565,
          unit_details[Partial Baths], IF(ISNUMBER($N565),$N565,""),
          unit_details[Sqft],$P565
)),"")</f>
        <v/>
      </c>
      <c r="AH565" s="293" t="str">
        <f>IFERROR(IF($F565="Total",
         SUMPRODUCT(
         INDEX(AH:AH, ROW()-COUNTIF($F$6:INDEX($F:$F, ROW()-1), $F564)) : INDEX(AH:AH, ROW()-1),
         INDEX(AB:AB, ROW()-COUNTIF($F$6:INDEX($F:$F, ROW()-1), $F564)) : INDEX(AB:AB, ROW()-1)
         )
         /SUM(INDEX(AB:AB, ROW()-COUNTIF($F$6:INDEX($F:$F, ROW()-1), $F564)) : INDEX(AB:AB, ROW()-1)),
          AVERAGEIFS(unit_details[Effective Rent],
          unit_details[Active Listing?],TRUE,
          unit_details[Property Name], $F565,
          unit_details[Beds], $L565,
          unit_details[Baths], $M565,
          unit_details[Partial Baths], IF(ISNUMBER($N565),$N565,""),
          unit_details[Sqft],$P565
)),"")</f>
        <v/>
      </c>
      <c r="AI565" s="6" t="str">
        <f>IFERROR(IF($F565="Total",
         SUMPRODUCT(
         INDEX(AI:AI, ROW()-COUNTIF($F$6:INDEX($F:$F, ROW()-1), $F564)) : INDEX(AI:AI, ROW()-1),
         INDEX(AB:AB, ROW()-COUNTIF($F$6:INDEX($F:$F, ROW()-1), $F564)) : INDEX(AB:AB, ROW()-1)
         )
         /SUM(INDEX(AB:AB, ROW()-COUNTIF($F$6:INDEX($F:$F, ROW()-1), $F564)) : INDEX(AB:AB, ROW()-1)),
           AVERAGEIFS(unit_details[Effective PSF],
          unit_details[Active Listing?],TRUE,
          unit_details[Property Name], $F565,
          unit_details[Beds], $L565,
          unit_details[Baths], $M565,
          unit_details[Partial Baths], IF(ISNUMBER($N565),$N565,""),
          unit_details[Sqft],$P565
)),"")</f>
        <v/>
      </c>
      <c r="AJ565" s="824" t="str">
        <f t="shared" si="92"/>
        <v/>
      </c>
      <c r="AK565" s="531" t="str">
        <f t="shared" si="93"/>
        <v/>
      </c>
      <c r="AL565" s="714" t="str">
        <f t="shared" si="94"/>
        <v/>
      </c>
      <c r="AM565" s="531" t="str">
        <f t="shared" si="95"/>
        <v/>
      </c>
      <c r="AN565" s="716" t="str">
        <f t="shared" si="96"/>
        <v/>
      </c>
    </row>
    <row r="566" spans="6:40" x14ac:dyDescent="0.2">
      <c r="F566" s="1" t="str">
        <f t="shared" si="89"/>
        <v/>
      </c>
      <c r="G566" s="713" t="str">
        <f t="shared" si="97"/>
        <v/>
      </c>
      <c r="H566" s="17" t="str">
        <f>IFERROR(VLOOKUP($G566,Table1[[Property]:[Exposure %]],4,0),"")</f>
        <v/>
      </c>
      <c r="I566" s="3" t="str">
        <f>IFERROR(VLOOKUP($G566,Table1[[Property]:[Exposure %]],6,0),"")</f>
        <v/>
      </c>
      <c r="J566" s="3" t="str">
        <f>IFERROR(VLOOKUP($G566,Table1[[Property]:[Exposure %]],7,0),"")</f>
        <v/>
      </c>
      <c r="R566" s="4" t="str">
        <f>IFERROR(VLOOKUP(IF(F566="Total",F565,F566),Table1[[Property]:['# Units]],7,0)*S566,"")</f>
        <v/>
      </c>
      <c r="S566" s="27" t="str">
        <f t="shared" si="90"/>
        <v/>
      </c>
      <c r="T566" s="531" t="str">
        <f>IFERROR(
 IF($F566="Total",
   SUMPRODUCT(
   INDEX(T:T, ROW()-COUNTIF($F$6:INDEX($F:$F, ROW()-1), $F565)) : INDEX(T:T, ROW()-1),
   INDEX(W:W, ROW()-COUNTIF($F$6:INDEX($F:$F, ROW()-1), $F565)) : INDEX(W:W, ROW()-1)
   )
   /SUM(INDEX(W:W, ROW()-COUNTIF($F$6:INDEX($F:$F, ROW()-1), $F565)) : INDEX(W:W, ROW()-1)),
   AVERAGEIFS(
     INDEX((unit_details[Asking Rent],unit_details[Asking PSF]),0,1,IF($U$3="Chunk Rent",1,2)),
     unit_details[Leased Date],"&gt;="&amp;($AM$2-T$5),
     unit_details[Leased Date],"&lt;"&amp;$AM$2,
     unit_details[Beds],$L566,
     unit_details[Baths],$M566,
     unit_details[Partial Baths],IF(ISNUMBER($N566),$N566,""),
     unit_details[Sqft],$P566,
     unit_details[Property Name],$F566)
 ),"")</f>
        <v/>
      </c>
      <c r="U566" s="552" t="str">
        <f>IFERROR(
 IF($F566="Total",
   SUMPRODUCT(
   INDEX(U:U, ROW()-COUNTIF($F$6:INDEX($F:$F, ROW()-1), $F565)) : INDEX(U:U, ROW()-1),
   INDEX(W:W, ROW()-COUNTIF($F$6:INDEX($F:$F, ROW()-1), $F565)) : INDEX(W:W, ROW()-1)
   )
   /SUM(INDEX(W:W, ROW()-COUNTIF($F$6:INDEX($F:$F, ROW()-1), $F565)) : INDEX(W:W, ROW()-1)),
   AVERAGEIFS(
     INDEX((unit_details[Effective Rent],unit_details[Effective PSF]),0,1,IF($U$3="Chunk Rent",1,2)),
     unit_details[Leased Date],"&gt;="&amp;($AM$2-T$5),
     unit_details[Leased Date],"&lt;"&amp;$AM$2,
     unit_details[Beds],$L566,
     unit_details[Baths],$M566,
     unit_details[Partial Baths],IF(ISNUMBER($N566),$N566,""),
     unit_details[Sqft],$P566,
     unit_details[Property Name],$F566)
 ),"")</f>
        <v/>
      </c>
      <c r="V566" s="27" t="str">
        <f t="shared" si="98"/>
        <v/>
      </c>
      <c r="W566" s="526">
        <f>IFERROR(
  IF($F566="Total",
    SUM(INDEX(W:W, ROW()-COUNTIF($F$6:INDEX($F:$F, ROW()-1), $F565)) : INDEX(W:W, ROW()-1)),
    COUNTIFS(
      unit_details[Leased Date], "&gt;="&amp;($AM$2-T$5),
      unit_details[Leased Date], "&lt;"&amp;$AM$2,
      unit_details[Beds], $L566,
      unit_details[Baths], $M566,
      unit_details[Partial Baths], IF(ISNUMBER($N566), $N566, ""),
      unit_details[Sqft],$P566,
      unit_details[Property Name], $F566
    )
  ),
"")</f>
        <v>0</v>
      </c>
      <c r="X566" s="531" t="str">
        <f>IFERROR(
 IF($F566="Total",
   SUMPRODUCT(
   INDEX(X:X, ROW()-COUNTIF($F$6:INDEX($F:$F, ROW()-1), $F565)) : INDEX(X:X, ROW()-1),
   INDEX(AA:AA, ROW()-COUNTIF($F$6:INDEX($F:$F, ROW()-1), $F565)) : INDEX(AA:AA, ROW()-1)
   )
   /SUM(INDEX(AA:AA, ROW()-COUNTIF($F$6:INDEX($F:$F, ROW()-1), $F565)) : INDEX(AA:AA, ROW()-1)),
   AVERAGEIFS(
     INDEX((unit_details[Asking Rent],unit_details[Asking PSF]),0,1,IF($U$3="Chunk Rent",1,2)),
     unit_details[Leased Date],"&gt;="&amp;($AM$2-X$5),
     unit_details[Leased Date],"&lt;"&amp;$AM$2,
     unit_details[Beds],$L566,
     unit_details[Baths],$M566,
     unit_details[Partial Baths],IF(ISNUMBER($N566),$N566,""),
     unit_details[Sqft],$P566,
     unit_details[Property Name],$F566)
 ),"")</f>
        <v/>
      </c>
      <c r="Y566" s="552" t="str">
        <f>IFERROR(
 IF($F566="Total",
   SUMPRODUCT(
   INDEX(Y:Y, ROW()-COUNTIF($F$6:INDEX($F:$F, ROW()-1), $F565)) : INDEX(Y:Y, ROW()-1),
   INDEX(AA:AA, ROW()-COUNTIF($F$6:INDEX($F:$F, ROW()-1), $F565)) : INDEX(AA:AA, ROW()-1)
   )
   /SUM(INDEX(AA:AA, ROW()-COUNTIF($F$6:INDEX($F:$F, ROW()-1), $F565)) : INDEX(AA:AA, ROW()-1)),
   AVERAGEIFS(
     INDEX((unit_details[Effective Rent],unit_details[Effective PSF]),0,1,IF($U$3="Chunk Rent",1,2)),
     unit_details[Leased Date],"&gt;="&amp;($AM$2-X$5),
     unit_details[Leased Date],"&lt;"&amp;$AM$2,
     unit_details[Beds],$L566,
     unit_details[Baths],$M566,
     unit_details[Partial Baths],IF(ISNUMBER($N566),$N566,""),
     unit_details[Sqft],$P566,
     unit_details[Property Name],$F566)
 ),"")</f>
        <v/>
      </c>
      <c r="Z566" s="27" t="str">
        <f t="shared" si="99"/>
        <v/>
      </c>
      <c r="AA566" s="526">
        <f>IFERROR(
  IF($F566="Total",
    SUM(INDEX(AA:AA, ROW()-COUNTIF($F$6:INDEX($F:$F, ROW()-1), $F565)) : INDEX(AA:AA, ROW()-1)),
    COUNTIFS(
      unit_details[Leased Date], "&gt;="&amp;($AM$2-X$5),
      unit_details[Leased Date], "&lt;"&amp;$AM$2,
      unit_details[Beds], $L566,
      unit_details[Baths], $M566,
      unit_details[Partial Baths], IF(ISNUMBER($N566), $N566, ""),
      unit_details[Sqft],$P566,
      unit_details[Property Name], $F566
    )
  ),
"")</f>
        <v>0</v>
      </c>
      <c r="AB566" s="290">
        <f>IF($F566="Total",
SUM(INDEX(AB:AB, ROW()-COUNTIF($F$6:INDEX($F:$F, ROW()-1), $F565)) : INDEX(AB:AB, ROW()-1)),
COUNTIFS(unit_details[Active Listing?],TRUE,
          unit_details[Property Name], $F566,
          unit_details[Beds], $L566,
          unit_details[Baths], $M566,
          unit_details[Partial Baths],IF(ISNUMBER($N566),$N566,""),
          unit_details[Sqft],$P566))</f>
        <v>0</v>
      </c>
      <c r="AC566" s="27" t="str">
        <f t="shared" si="91"/>
        <v/>
      </c>
      <c r="AD566" s="293" t="str">
        <f>IFERROR(IF(AE566="","",IF($F566="Total",
SUMPRODUCT(
   INDEX(AD:AD, ROW()-COUNTIF($F$6:INDEX($F:$F, ROW()-1), $F565)) : INDEX(AD:AD, ROW()-1),
   INDEX(AB:AB, ROW()-COUNTIF($F$6:INDEX($F:$F, ROW()-1), $F565)) : INDEX(AB:AB, ROW()-1)
   )
   /SUM(INDEX(AB:AB, ROW()-COUNTIF($F$6:INDEX($F:$F, ROW()-1), $F565)) : INDEX(AB:AB, ROW()-1)),
          _xlfn.MINIFS(unit_details[Asking Rent],
          unit_details[Active Listing?],TRUE,
          unit_details[Property Name], $F566,
          unit_details[Beds], $L566,
          unit_details[Baths], $M566,
          unit_details[Partial Baths], IF(ISNUMBER($N566),$N566,""),
          unit_details[Sqft],$P566
))),"")</f>
        <v/>
      </c>
      <c r="AE566" s="5" t="str">
        <f>IFERROR(IF($F566="Total",
          SUMPRODUCT(
   INDEX(AE:AE, ROW()-COUNTIF($F$6:INDEX($F:$F, ROW()-1), $F565)) : INDEX(AE:AE, ROW()-1),
   INDEX(AB:AB, ROW()-COUNTIF($F$6:INDEX($F:$F, ROW()-1), $F565)) : INDEX(AB:AB, ROW()-1)
   )
   /SUM(INDEX(AB:AB, ROW()-COUNTIF($F$6:INDEX($F:$F, ROW()-1), $F565)) : INDEX(AB:AB, ROW()-1)),
          AVERAGEIFS(unit_details[Asking Rent],
          unit_details[Active Listing?],TRUE,
          unit_details[Property Name], $F566,
          unit_details[Beds], $L566,
          unit_details[Baths], $M566,
          unit_details[Partial Baths], IF(ISNUMBER($N566),$N566,""),
          unit_details[Sqft],$P566
)),"")</f>
        <v/>
      </c>
      <c r="AF566" s="5" t="str">
        <f>IFERROR(IF(AE566="","",IF($F566="Total",
SUMPRODUCT(
   INDEX(AF:AF, ROW()-COUNTIF($F$6:INDEX($F:$F, ROW()-1), $F565)) : INDEX(AF:AF, ROW()-1),
   INDEX(AB:AB, ROW()-COUNTIF($F$6:INDEX($F:$F, ROW()-1), $F565)) : INDEX(AB:AB, ROW()-1)
   )
   /SUM(INDEX(AB:AB, ROW()-COUNTIF($F$6:INDEX($F:$F, ROW()-1), $F565)) : INDEX(AB:AB, ROW()-1)),
           _xlfn.MAXIFS(unit_details[Asking Rent],
          unit_details[Active Listing?],TRUE,
          unit_details[Property Name], $F566,
          unit_details[Beds], $L566,
          unit_details[Baths], $M566,
          unit_details[Partial Baths], IF(ISNUMBER($N566),$N566,""),
          unit_details[Sqft],$P566
))),"")</f>
        <v/>
      </c>
      <c r="AG566" s="6" t="str">
        <f>IFERROR(IF($F566="Total",
         SUMPRODUCT(
         INDEX(AG:AG, ROW()-COUNTIF($F$6:INDEX($F:$F, ROW()-1), $F565)) : INDEX(AG:AG, ROW()-1),
         INDEX(AB:AB, ROW()-COUNTIF($F$6:INDEX($F:$F, ROW()-1), $F565)) : INDEX(AB:AB, ROW()-1)
         )
         /SUM(INDEX(AB:AB, ROW()-COUNTIF($F$6:INDEX($F:$F, ROW()-1), $F565)) : INDEX(AB:AB, ROW()-1)),
          AVERAGEIFS(unit_details[Asking PSF],
          unit_details[Active Listing?],TRUE,
          unit_details[Property Name], $F566,
          unit_details[Beds], $L566,
          unit_details[Baths], $M566,
          unit_details[Partial Baths], IF(ISNUMBER($N566),$N566,""),
          unit_details[Sqft],$P566
)),"")</f>
        <v/>
      </c>
      <c r="AH566" s="293" t="str">
        <f>IFERROR(IF($F566="Total",
         SUMPRODUCT(
         INDEX(AH:AH, ROW()-COUNTIF($F$6:INDEX($F:$F, ROW()-1), $F565)) : INDEX(AH:AH, ROW()-1),
         INDEX(AB:AB, ROW()-COUNTIF($F$6:INDEX($F:$F, ROW()-1), $F565)) : INDEX(AB:AB, ROW()-1)
         )
         /SUM(INDEX(AB:AB, ROW()-COUNTIF($F$6:INDEX($F:$F, ROW()-1), $F565)) : INDEX(AB:AB, ROW()-1)),
          AVERAGEIFS(unit_details[Effective Rent],
          unit_details[Active Listing?],TRUE,
          unit_details[Property Name], $F566,
          unit_details[Beds], $L566,
          unit_details[Baths], $M566,
          unit_details[Partial Baths], IF(ISNUMBER($N566),$N566,""),
          unit_details[Sqft],$P566
)),"")</f>
        <v/>
      </c>
      <c r="AI566" s="6" t="str">
        <f>IFERROR(IF($F566="Total",
         SUMPRODUCT(
         INDEX(AI:AI, ROW()-COUNTIF($F$6:INDEX($F:$F, ROW()-1), $F565)) : INDEX(AI:AI, ROW()-1),
         INDEX(AB:AB, ROW()-COUNTIF($F$6:INDEX($F:$F, ROW()-1), $F565)) : INDEX(AB:AB, ROW()-1)
         )
         /SUM(INDEX(AB:AB, ROW()-COUNTIF($F$6:INDEX($F:$F, ROW()-1), $F565)) : INDEX(AB:AB, ROW()-1)),
           AVERAGEIFS(unit_details[Effective PSF],
          unit_details[Active Listing?],TRUE,
          unit_details[Property Name], $F566,
          unit_details[Beds], $L566,
          unit_details[Baths], $M566,
          unit_details[Partial Baths], IF(ISNUMBER($N566),$N566,""),
          unit_details[Sqft],$P566
)),"")</f>
        <v/>
      </c>
      <c r="AJ566" s="824" t="str">
        <f t="shared" si="92"/>
        <v/>
      </c>
      <c r="AK566" s="531" t="str">
        <f t="shared" si="93"/>
        <v/>
      </c>
      <c r="AL566" s="714" t="str">
        <f t="shared" si="94"/>
        <v/>
      </c>
      <c r="AM566" s="531" t="str">
        <f t="shared" si="95"/>
        <v/>
      </c>
      <c r="AN566" s="716" t="str">
        <f t="shared" si="96"/>
        <v/>
      </c>
    </row>
    <row r="567" spans="6:40" x14ac:dyDescent="0.2">
      <c r="F567" s="1" t="str">
        <f t="shared" si="89"/>
        <v/>
      </c>
      <c r="G567" s="713" t="str">
        <f t="shared" si="97"/>
        <v/>
      </c>
      <c r="H567" s="17" t="str">
        <f>IFERROR(VLOOKUP($G567,Table1[[Property]:[Exposure %]],4,0),"")</f>
        <v/>
      </c>
      <c r="I567" s="3" t="str">
        <f>IFERROR(VLOOKUP($G567,Table1[[Property]:[Exposure %]],6,0),"")</f>
        <v/>
      </c>
      <c r="J567" s="3" t="str">
        <f>IFERROR(VLOOKUP($G567,Table1[[Property]:[Exposure %]],7,0),"")</f>
        <v/>
      </c>
      <c r="R567" s="4" t="str">
        <f>IFERROR(VLOOKUP(IF(F567="Total",F566,F567),Table1[[Property]:['# Units]],7,0)*S567,"")</f>
        <v/>
      </c>
      <c r="S567" s="27" t="str">
        <f t="shared" si="90"/>
        <v/>
      </c>
      <c r="T567" s="531" t="str">
        <f>IFERROR(
 IF($F567="Total",
   SUMPRODUCT(
   INDEX(T:T, ROW()-COUNTIF($F$6:INDEX($F:$F, ROW()-1), $F566)) : INDEX(T:T, ROW()-1),
   INDEX(W:W, ROW()-COUNTIF($F$6:INDEX($F:$F, ROW()-1), $F566)) : INDEX(W:W, ROW()-1)
   )
   /SUM(INDEX(W:W, ROW()-COUNTIF($F$6:INDEX($F:$F, ROW()-1), $F566)) : INDEX(W:W, ROW()-1)),
   AVERAGEIFS(
     INDEX((unit_details[Asking Rent],unit_details[Asking PSF]),0,1,IF($U$3="Chunk Rent",1,2)),
     unit_details[Leased Date],"&gt;="&amp;($AM$2-T$5),
     unit_details[Leased Date],"&lt;"&amp;$AM$2,
     unit_details[Beds],$L567,
     unit_details[Baths],$M567,
     unit_details[Partial Baths],IF(ISNUMBER($N567),$N567,""),
     unit_details[Sqft],$P567,
     unit_details[Property Name],$F567)
 ),"")</f>
        <v/>
      </c>
      <c r="U567" s="552" t="str">
        <f>IFERROR(
 IF($F567="Total",
   SUMPRODUCT(
   INDEX(U:U, ROW()-COUNTIF($F$6:INDEX($F:$F, ROW()-1), $F566)) : INDEX(U:U, ROW()-1),
   INDEX(W:W, ROW()-COUNTIF($F$6:INDEX($F:$F, ROW()-1), $F566)) : INDEX(W:W, ROW()-1)
   )
   /SUM(INDEX(W:W, ROW()-COUNTIF($F$6:INDEX($F:$F, ROW()-1), $F566)) : INDEX(W:W, ROW()-1)),
   AVERAGEIFS(
     INDEX((unit_details[Effective Rent],unit_details[Effective PSF]),0,1,IF($U$3="Chunk Rent",1,2)),
     unit_details[Leased Date],"&gt;="&amp;($AM$2-T$5),
     unit_details[Leased Date],"&lt;"&amp;$AM$2,
     unit_details[Beds],$L567,
     unit_details[Baths],$M567,
     unit_details[Partial Baths],IF(ISNUMBER($N567),$N567,""),
     unit_details[Sqft],$P567,
     unit_details[Property Name],$F567)
 ),"")</f>
        <v/>
      </c>
      <c r="V567" s="27" t="str">
        <f t="shared" si="98"/>
        <v/>
      </c>
      <c r="W567" s="526">
        <f>IFERROR(
  IF($F567="Total",
    SUM(INDEX(W:W, ROW()-COUNTIF($F$6:INDEX($F:$F, ROW()-1), $F566)) : INDEX(W:W, ROW()-1)),
    COUNTIFS(
      unit_details[Leased Date], "&gt;="&amp;($AM$2-T$5),
      unit_details[Leased Date], "&lt;"&amp;$AM$2,
      unit_details[Beds], $L567,
      unit_details[Baths], $M567,
      unit_details[Partial Baths], IF(ISNUMBER($N567), $N567, ""),
      unit_details[Sqft],$P567,
      unit_details[Property Name], $F567
    )
  ),
"")</f>
        <v>0</v>
      </c>
      <c r="X567" s="531" t="str">
        <f>IFERROR(
 IF($F567="Total",
   SUMPRODUCT(
   INDEX(X:X, ROW()-COUNTIF($F$6:INDEX($F:$F, ROW()-1), $F566)) : INDEX(X:X, ROW()-1),
   INDEX(AA:AA, ROW()-COUNTIF($F$6:INDEX($F:$F, ROW()-1), $F566)) : INDEX(AA:AA, ROW()-1)
   )
   /SUM(INDEX(AA:AA, ROW()-COUNTIF($F$6:INDEX($F:$F, ROW()-1), $F566)) : INDEX(AA:AA, ROW()-1)),
   AVERAGEIFS(
     INDEX((unit_details[Asking Rent],unit_details[Asking PSF]),0,1,IF($U$3="Chunk Rent",1,2)),
     unit_details[Leased Date],"&gt;="&amp;($AM$2-X$5),
     unit_details[Leased Date],"&lt;"&amp;$AM$2,
     unit_details[Beds],$L567,
     unit_details[Baths],$M567,
     unit_details[Partial Baths],IF(ISNUMBER($N567),$N567,""),
     unit_details[Sqft],$P567,
     unit_details[Property Name],$F567)
 ),"")</f>
        <v/>
      </c>
      <c r="Y567" s="552" t="str">
        <f>IFERROR(
 IF($F567="Total",
   SUMPRODUCT(
   INDEX(Y:Y, ROW()-COUNTIF($F$6:INDEX($F:$F, ROW()-1), $F566)) : INDEX(Y:Y, ROW()-1),
   INDEX(AA:AA, ROW()-COUNTIF($F$6:INDEX($F:$F, ROW()-1), $F566)) : INDEX(AA:AA, ROW()-1)
   )
   /SUM(INDEX(AA:AA, ROW()-COUNTIF($F$6:INDEX($F:$F, ROW()-1), $F566)) : INDEX(AA:AA, ROW()-1)),
   AVERAGEIFS(
     INDEX((unit_details[Effective Rent],unit_details[Effective PSF]),0,1,IF($U$3="Chunk Rent",1,2)),
     unit_details[Leased Date],"&gt;="&amp;($AM$2-X$5),
     unit_details[Leased Date],"&lt;"&amp;$AM$2,
     unit_details[Beds],$L567,
     unit_details[Baths],$M567,
     unit_details[Partial Baths],IF(ISNUMBER($N567),$N567,""),
     unit_details[Sqft],$P567,
     unit_details[Property Name],$F567)
 ),"")</f>
        <v/>
      </c>
      <c r="Z567" s="27" t="str">
        <f t="shared" si="99"/>
        <v/>
      </c>
      <c r="AA567" s="526">
        <f>IFERROR(
  IF($F567="Total",
    SUM(INDEX(AA:AA, ROW()-COUNTIF($F$6:INDEX($F:$F, ROW()-1), $F566)) : INDEX(AA:AA, ROW()-1)),
    COUNTIFS(
      unit_details[Leased Date], "&gt;="&amp;($AM$2-X$5),
      unit_details[Leased Date], "&lt;"&amp;$AM$2,
      unit_details[Beds], $L567,
      unit_details[Baths], $M567,
      unit_details[Partial Baths], IF(ISNUMBER($N567), $N567, ""),
      unit_details[Sqft],$P567,
      unit_details[Property Name], $F567
    )
  ),
"")</f>
        <v>0</v>
      </c>
      <c r="AB567" s="290">
        <f>IF($F567="Total",
SUM(INDEX(AB:AB, ROW()-COUNTIF($F$6:INDEX($F:$F, ROW()-1), $F566)) : INDEX(AB:AB, ROW()-1)),
COUNTIFS(unit_details[Active Listing?],TRUE,
          unit_details[Property Name], $F567,
          unit_details[Beds], $L567,
          unit_details[Baths], $M567,
          unit_details[Partial Baths],IF(ISNUMBER($N567),$N567,""),
          unit_details[Sqft],$P567))</f>
        <v>0</v>
      </c>
      <c r="AC567" s="27" t="str">
        <f t="shared" si="91"/>
        <v/>
      </c>
      <c r="AD567" s="293" t="str">
        <f>IFERROR(IF(AE567="","",IF($F567="Total",
SUMPRODUCT(
   INDEX(AD:AD, ROW()-COUNTIF($F$6:INDEX($F:$F, ROW()-1), $F566)) : INDEX(AD:AD, ROW()-1),
   INDEX(AB:AB, ROW()-COUNTIF($F$6:INDEX($F:$F, ROW()-1), $F566)) : INDEX(AB:AB, ROW()-1)
   )
   /SUM(INDEX(AB:AB, ROW()-COUNTIF($F$6:INDEX($F:$F, ROW()-1), $F566)) : INDEX(AB:AB, ROW()-1)),
          _xlfn.MINIFS(unit_details[Asking Rent],
          unit_details[Active Listing?],TRUE,
          unit_details[Property Name], $F567,
          unit_details[Beds], $L567,
          unit_details[Baths], $M567,
          unit_details[Partial Baths], IF(ISNUMBER($N567),$N567,""),
          unit_details[Sqft],$P567
))),"")</f>
        <v/>
      </c>
      <c r="AE567" s="5" t="str">
        <f>IFERROR(IF($F567="Total",
          SUMPRODUCT(
   INDEX(AE:AE, ROW()-COUNTIF($F$6:INDEX($F:$F, ROW()-1), $F566)) : INDEX(AE:AE, ROW()-1),
   INDEX(AB:AB, ROW()-COUNTIF($F$6:INDEX($F:$F, ROW()-1), $F566)) : INDEX(AB:AB, ROW()-1)
   )
   /SUM(INDEX(AB:AB, ROW()-COUNTIF($F$6:INDEX($F:$F, ROW()-1), $F566)) : INDEX(AB:AB, ROW()-1)),
          AVERAGEIFS(unit_details[Asking Rent],
          unit_details[Active Listing?],TRUE,
          unit_details[Property Name], $F567,
          unit_details[Beds], $L567,
          unit_details[Baths], $M567,
          unit_details[Partial Baths], IF(ISNUMBER($N567),$N567,""),
          unit_details[Sqft],$P567
)),"")</f>
        <v/>
      </c>
      <c r="AF567" s="5" t="str">
        <f>IFERROR(IF(AE567="","",IF($F567="Total",
SUMPRODUCT(
   INDEX(AF:AF, ROW()-COUNTIF($F$6:INDEX($F:$F, ROW()-1), $F566)) : INDEX(AF:AF, ROW()-1),
   INDEX(AB:AB, ROW()-COUNTIF($F$6:INDEX($F:$F, ROW()-1), $F566)) : INDEX(AB:AB, ROW()-1)
   )
   /SUM(INDEX(AB:AB, ROW()-COUNTIF($F$6:INDEX($F:$F, ROW()-1), $F566)) : INDEX(AB:AB, ROW()-1)),
           _xlfn.MAXIFS(unit_details[Asking Rent],
          unit_details[Active Listing?],TRUE,
          unit_details[Property Name], $F567,
          unit_details[Beds], $L567,
          unit_details[Baths], $M567,
          unit_details[Partial Baths], IF(ISNUMBER($N567),$N567,""),
          unit_details[Sqft],$P567
))),"")</f>
        <v/>
      </c>
      <c r="AG567" s="6" t="str">
        <f>IFERROR(IF($F567="Total",
         SUMPRODUCT(
         INDEX(AG:AG, ROW()-COUNTIF($F$6:INDEX($F:$F, ROW()-1), $F566)) : INDEX(AG:AG, ROW()-1),
         INDEX(AB:AB, ROW()-COUNTIF($F$6:INDEX($F:$F, ROW()-1), $F566)) : INDEX(AB:AB, ROW()-1)
         )
         /SUM(INDEX(AB:AB, ROW()-COUNTIF($F$6:INDEX($F:$F, ROW()-1), $F566)) : INDEX(AB:AB, ROW()-1)),
          AVERAGEIFS(unit_details[Asking PSF],
          unit_details[Active Listing?],TRUE,
          unit_details[Property Name], $F567,
          unit_details[Beds], $L567,
          unit_details[Baths], $M567,
          unit_details[Partial Baths], IF(ISNUMBER($N567),$N567,""),
          unit_details[Sqft],$P567
)),"")</f>
        <v/>
      </c>
      <c r="AH567" s="293" t="str">
        <f>IFERROR(IF($F567="Total",
         SUMPRODUCT(
         INDEX(AH:AH, ROW()-COUNTIF($F$6:INDEX($F:$F, ROW()-1), $F566)) : INDEX(AH:AH, ROW()-1),
         INDEX(AB:AB, ROW()-COUNTIF($F$6:INDEX($F:$F, ROW()-1), $F566)) : INDEX(AB:AB, ROW()-1)
         )
         /SUM(INDEX(AB:AB, ROW()-COUNTIF($F$6:INDEX($F:$F, ROW()-1), $F566)) : INDEX(AB:AB, ROW()-1)),
          AVERAGEIFS(unit_details[Effective Rent],
          unit_details[Active Listing?],TRUE,
          unit_details[Property Name], $F567,
          unit_details[Beds], $L567,
          unit_details[Baths], $M567,
          unit_details[Partial Baths], IF(ISNUMBER($N567),$N567,""),
          unit_details[Sqft],$P567
)),"")</f>
        <v/>
      </c>
      <c r="AI567" s="6" t="str">
        <f>IFERROR(IF($F567="Total",
         SUMPRODUCT(
         INDEX(AI:AI, ROW()-COUNTIF($F$6:INDEX($F:$F, ROW()-1), $F566)) : INDEX(AI:AI, ROW()-1),
         INDEX(AB:AB, ROW()-COUNTIF($F$6:INDEX($F:$F, ROW()-1), $F566)) : INDEX(AB:AB, ROW()-1)
         )
         /SUM(INDEX(AB:AB, ROW()-COUNTIF($F$6:INDEX($F:$F, ROW()-1), $F566)) : INDEX(AB:AB, ROW()-1)),
           AVERAGEIFS(unit_details[Effective PSF],
          unit_details[Active Listing?],TRUE,
          unit_details[Property Name], $F567,
          unit_details[Beds], $L567,
          unit_details[Baths], $M567,
          unit_details[Partial Baths], IF(ISNUMBER($N567),$N567,""),
          unit_details[Sqft],$P567
)),"")</f>
        <v/>
      </c>
      <c r="AJ567" s="824" t="str">
        <f t="shared" si="92"/>
        <v/>
      </c>
      <c r="AK567" s="531" t="str">
        <f t="shared" si="93"/>
        <v/>
      </c>
      <c r="AL567" s="714" t="str">
        <f t="shared" si="94"/>
        <v/>
      </c>
      <c r="AM567" s="531" t="str">
        <f t="shared" si="95"/>
        <v/>
      </c>
      <c r="AN567" s="716" t="str">
        <f t="shared" si="96"/>
        <v/>
      </c>
    </row>
    <row r="568" spans="6:40" x14ac:dyDescent="0.2">
      <c r="F568" s="1" t="str">
        <f t="shared" si="89"/>
        <v/>
      </c>
      <c r="G568" s="713" t="str">
        <f t="shared" si="97"/>
        <v/>
      </c>
      <c r="H568" s="17" t="str">
        <f>IFERROR(VLOOKUP($G568,Table1[[Property]:[Exposure %]],4,0),"")</f>
        <v/>
      </c>
      <c r="I568" s="3" t="str">
        <f>IFERROR(VLOOKUP($G568,Table1[[Property]:[Exposure %]],6,0),"")</f>
        <v/>
      </c>
      <c r="J568" s="3" t="str">
        <f>IFERROR(VLOOKUP($G568,Table1[[Property]:[Exposure %]],7,0),"")</f>
        <v/>
      </c>
      <c r="R568" s="4" t="str">
        <f>IFERROR(VLOOKUP(IF(F568="Total",F567,F568),Table1[[Property]:['# Units]],7,0)*S568,"")</f>
        <v/>
      </c>
      <c r="S568" s="27" t="str">
        <f t="shared" si="90"/>
        <v/>
      </c>
      <c r="T568" s="531" t="str">
        <f>IFERROR(
 IF($F568="Total",
   SUMPRODUCT(
   INDEX(T:T, ROW()-COUNTIF($F$6:INDEX($F:$F, ROW()-1), $F567)) : INDEX(T:T, ROW()-1),
   INDEX(W:W, ROW()-COUNTIF($F$6:INDEX($F:$F, ROW()-1), $F567)) : INDEX(W:W, ROW()-1)
   )
   /SUM(INDEX(W:W, ROW()-COUNTIF($F$6:INDEX($F:$F, ROW()-1), $F567)) : INDEX(W:W, ROW()-1)),
   AVERAGEIFS(
     INDEX((unit_details[Asking Rent],unit_details[Asking PSF]),0,1,IF($U$3="Chunk Rent",1,2)),
     unit_details[Leased Date],"&gt;="&amp;($AM$2-T$5),
     unit_details[Leased Date],"&lt;"&amp;$AM$2,
     unit_details[Beds],$L568,
     unit_details[Baths],$M568,
     unit_details[Partial Baths],IF(ISNUMBER($N568),$N568,""),
     unit_details[Sqft],$P568,
     unit_details[Property Name],$F568)
 ),"")</f>
        <v/>
      </c>
      <c r="U568" s="552" t="str">
        <f>IFERROR(
 IF($F568="Total",
   SUMPRODUCT(
   INDEX(U:U, ROW()-COUNTIF($F$6:INDEX($F:$F, ROW()-1), $F567)) : INDEX(U:U, ROW()-1),
   INDEX(W:W, ROW()-COUNTIF($F$6:INDEX($F:$F, ROW()-1), $F567)) : INDEX(W:W, ROW()-1)
   )
   /SUM(INDEX(W:W, ROW()-COUNTIF($F$6:INDEX($F:$F, ROW()-1), $F567)) : INDEX(W:W, ROW()-1)),
   AVERAGEIFS(
     INDEX((unit_details[Effective Rent],unit_details[Effective PSF]),0,1,IF($U$3="Chunk Rent",1,2)),
     unit_details[Leased Date],"&gt;="&amp;($AM$2-T$5),
     unit_details[Leased Date],"&lt;"&amp;$AM$2,
     unit_details[Beds],$L568,
     unit_details[Baths],$M568,
     unit_details[Partial Baths],IF(ISNUMBER($N568),$N568,""),
     unit_details[Sqft],$P568,
     unit_details[Property Name],$F568)
 ),"")</f>
        <v/>
      </c>
      <c r="V568" s="27" t="str">
        <f t="shared" si="98"/>
        <v/>
      </c>
      <c r="W568" s="526">
        <f>IFERROR(
  IF($F568="Total",
    SUM(INDEX(W:W, ROW()-COUNTIF($F$6:INDEX($F:$F, ROW()-1), $F567)) : INDEX(W:W, ROW()-1)),
    COUNTIFS(
      unit_details[Leased Date], "&gt;="&amp;($AM$2-T$5),
      unit_details[Leased Date], "&lt;"&amp;$AM$2,
      unit_details[Beds], $L568,
      unit_details[Baths], $M568,
      unit_details[Partial Baths], IF(ISNUMBER($N568), $N568, ""),
      unit_details[Sqft],$P568,
      unit_details[Property Name], $F568
    )
  ),
"")</f>
        <v>0</v>
      </c>
      <c r="X568" s="531" t="str">
        <f>IFERROR(
 IF($F568="Total",
   SUMPRODUCT(
   INDEX(X:X, ROW()-COUNTIF($F$6:INDEX($F:$F, ROW()-1), $F567)) : INDEX(X:X, ROW()-1),
   INDEX(AA:AA, ROW()-COUNTIF($F$6:INDEX($F:$F, ROW()-1), $F567)) : INDEX(AA:AA, ROW()-1)
   )
   /SUM(INDEX(AA:AA, ROW()-COUNTIF($F$6:INDEX($F:$F, ROW()-1), $F567)) : INDEX(AA:AA, ROW()-1)),
   AVERAGEIFS(
     INDEX((unit_details[Asking Rent],unit_details[Asking PSF]),0,1,IF($U$3="Chunk Rent",1,2)),
     unit_details[Leased Date],"&gt;="&amp;($AM$2-X$5),
     unit_details[Leased Date],"&lt;"&amp;$AM$2,
     unit_details[Beds],$L568,
     unit_details[Baths],$M568,
     unit_details[Partial Baths],IF(ISNUMBER($N568),$N568,""),
     unit_details[Sqft],$P568,
     unit_details[Property Name],$F568)
 ),"")</f>
        <v/>
      </c>
      <c r="Y568" s="552" t="str">
        <f>IFERROR(
 IF($F568="Total",
   SUMPRODUCT(
   INDEX(Y:Y, ROW()-COUNTIF($F$6:INDEX($F:$F, ROW()-1), $F567)) : INDEX(Y:Y, ROW()-1),
   INDEX(AA:AA, ROW()-COUNTIF($F$6:INDEX($F:$F, ROW()-1), $F567)) : INDEX(AA:AA, ROW()-1)
   )
   /SUM(INDEX(AA:AA, ROW()-COUNTIF($F$6:INDEX($F:$F, ROW()-1), $F567)) : INDEX(AA:AA, ROW()-1)),
   AVERAGEIFS(
     INDEX((unit_details[Effective Rent],unit_details[Effective PSF]),0,1,IF($U$3="Chunk Rent",1,2)),
     unit_details[Leased Date],"&gt;="&amp;($AM$2-X$5),
     unit_details[Leased Date],"&lt;"&amp;$AM$2,
     unit_details[Beds],$L568,
     unit_details[Baths],$M568,
     unit_details[Partial Baths],IF(ISNUMBER($N568),$N568,""),
     unit_details[Sqft],$P568,
     unit_details[Property Name],$F568)
 ),"")</f>
        <v/>
      </c>
      <c r="Z568" s="27" t="str">
        <f t="shared" si="99"/>
        <v/>
      </c>
      <c r="AA568" s="526">
        <f>IFERROR(
  IF($F568="Total",
    SUM(INDEX(AA:AA, ROW()-COUNTIF($F$6:INDEX($F:$F, ROW()-1), $F567)) : INDEX(AA:AA, ROW()-1)),
    COUNTIFS(
      unit_details[Leased Date], "&gt;="&amp;($AM$2-X$5),
      unit_details[Leased Date], "&lt;"&amp;$AM$2,
      unit_details[Beds], $L568,
      unit_details[Baths], $M568,
      unit_details[Partial Baths], IF(ISNUMBER($N568), $N568, ""),
      unit_details[Sqft],$P568,
      unit_details[Property Name], $F568
    )
  ),
"")</f>
        <v>0</v>
      </c>
      <c r="AB568" s="290">
        <f>IF($F568="Total",
SUM(INDEX(AB:AB, ROW()-COUNTIF($F$6:INDEX($F:$F, ROW()-1), $F567)) : INDEX(AB:AB, ROW()-1)),
COUNTIFS(unit_details[Active Listing?],TRUE,
          unit_details[Property Name], $F568,
          unit_details[Beds], $L568,
          unit_details[Baths], $M568,
          unit_details[Partial Baths],IF(ISNUMBER($N568),$N568,""),
          unit_details[Sqft],$P568))</f>
        <v>0</v>
      </c>
      <c r="AC568" s="27" t="str">
        <f t="shared" si="91"/>
        <v/>
      </c>
      <c r="AD568" s="293" t="str">
        <f>IFERROR(IF(AE568="","",IF($F568="Total",
SUMPRODUCT(
   INDEX(AD:AD, ROW()-COUNTIF($F$6:INDEX($F:$F, ROW()-1), $F567)) : INDEX(AD:AD, ROW()-1),
   INDEX(AB:AB, ROW()-COUNTIF($F$6:INDEX($F:$F, ROW()-1), $F567)) : INDEX(AB:AB, ROW()-1)
   )
   /SUM(INDEX(AB:AB, ROW()-COUNTIF($F$6:INDEX($F:$F, ROW()-1), $F567)) : INDEX(AB:AB, ROW()-1)),
          _xlfn.MINIFS(unit_details[Asking Rent],
          unit_details[Active Listing?],TRUE,
          unit_details[Property Name], $F568,
          unit_details[Beds], $L568,
          unit_details[Baths], $M568,
          unit_details[Partial Baths], IF(ISNUMBER($N568),$N568,""),
          unit_details[Sqft],$P568
))),"")</f>
        <v/>
      </c>
      <c r="AE568" s="5" t="str">
        <f>IFERROR(IF($F568="Total",
          SUMPRODUCT(
   INDEX(AE:AE, ROW()-COUNTIF($F$6:INDEX($F:$F, ROW()-1), $F567)) : INDEX(AE:AE, ROW()-1),
   INDEX(AB:AB, ROW()-COUNTIF($F$6:INDEX($F:$F, ROW()-1), $F567)) : INDEX(AB:AB, ROW()-1)
   )
   /SUM(INDEX(AB:AB, ROW()-COUNTIF($F$6:INDEX($F:$F, ROW()-1), $F567)) : INDEX(AB:AB, ROW()-1)),
          AVERAGEIFS(unit_details[Asking Rent],
          unit_details[Active Listing?],TRUE,
          unit_details[Property Name], $F568,
          unit_details[Beds], $L568,
          unit_details[Baths], $M568,
          unit_details[Partial Baths], IF(ISNUMBER($N568),$N568,""),
          unit_details[Sqft],$P568
)),"")</f>
        <v/>
      </c>
      <c r="AF568" s="5" t="str">
        <f>IFERROR(IF(AE568="","",IF($F568="Total",
SUMPRODUCT(
   INDEX(AF:AF, ROW()-COUNTIF($F$6:INDEX($F:$F, ROW()-1), $F567)) : INDEX(AF:AF, ROW()-1),
   INDEX(AB:AB, ROW()-COUNTIF($F$6:INDEX($F:$F, ROW()-1), $F567)) : INDEX(AB:AB, ROW()-1)
   )
   /SUM(INDEX(AB:AB, ROW()-COUNTIF($F$6:INDEX($F:$F, ROW()-1), $F567)) : INDEX(AB:AB, ROW()-1)),
           _xlfn.MAXIFS(unit_details[Asking Rent],
          unit_details[Active Listing?],TRUE,
          unit_details[Property Name], $F568,
          unit_details[Beds], $L568,
          unit_details[Baths], $M568,
          unit_details[Partial Baths], IF(ISNUMBER($N568),$N568,""),
          unit_details[Sqft],$P568
))),"")</f>
        <v/>
      </c>
      <c r="AG568" s="6" t="str">
        <f>IFERROR(IF($F568="Total",
         SUMPRODUCT(
         INDEX(AG:AG, ROW()-COUNTIF($F$6:INDEX($F:$F, ROW()-1), $F567)) : INDEX(AG:AG, ROW()-1),
         INDEX(AB:AB, ROW()-COUNTIF($F$6:INDEX($F:$F, ROW()-1), $F567)) : INDEX(AB:AB, ROW()-1)
         )
         /SUM(INDEX(AB:AB, ROW()-COUNTIF($F$6:INDEX($F:$F, ROW()-1), $F567)) : INDEX(AB:AB, ROW()-1)),
          AVERAGEIFS(unit_details[Asking PSF],
          unit_details[Active Listing?],TRUE,
          unit_details[Property Name], $F568,
          unit_details[Beds], $L568,
          unit_details[Baths], $M568,
          unit_details[Partial Baths], IF(ISNUMBER($N568),$N568,""),
          unit_details[Sqft],$P568
)),"")</f>
        <v/>
      </c>
      <c r="AH568" s="293" t="str">
        <f>IFERROR(IF($F568="Total",
         SUMPRODUCT(
         INDEX(AH:AH, ROW()-COUNTIF($F$6:INDEX($F:$F, ROW()-1), $F567)) : INDEX(AH:AH, ROW()-1),
         INDEX(AB:AB, ROW()-COUNTIF($F$6:INDEX($F:$F, ROW()-1), $F567)) : INDEX(AB:AB, ROW()-1)
         )
         /SUM(INDEX(AB:AB, ROW()-COUNTIF($F$6:INDEX($F:$F, ROW()-1), $F567)) : INDEX(AB:AB, ROW()-1)),
          AVERAGEIFS(unit_details[Effective Rent],
          unit_details[Active Listing?],TRUE,
          unit_details[Property Name], $F568,
          unit_details[Beds], $L568,
          unit_details[Baths], $M568,
          unit_details[Partial Baths], IF(ISNUMBER($N568),$N568,""),
          unit_details[Sqft],$P568
)),"")</f>
        <v/>
      </c>
      <c r="AI568" s="6" t="str">
        <f>IFERROR(IF($F568="Total",
         SUMPRODUCT(
         INDEX(AI:AI, ROW()-COUNTIF($F$6:INDEX($F:$F, ROW()-1), $F567)) : INDEX(AI:AI, ROW()-1),
         INDEX(AB:AB, ROW()-COUNTIF($F$6:INDEX($F:$F, ROW()-1), $F567)) : INDEX(AB:AB, ROW()-1)
         )
         /SUM(INDEX(AB:AB, ROW()-COUNTIF($F$6:INDEX($F:$F, ROW()-1), $F567)) : INDEX(AB:AB, ROW()-1)),
           AVERAGEIFS(unit_details[Effective PSF],
          unit_details[Active Listing?],TRUE,
          unit_details[Property Name], $F568,
          unit_details[Beds], $L568,
          unit_details[Baths], $M568,
          unit_details[Partial Baths], IF(ISNUMBER($N568),$N568,""),
          unit_details[Sqft],$P568
)),"")</f>
        <v/>
      </c>
      <c r="AJ568" s="824" t="str">
        <f t="shared" si="92"/>
        <v/>
      </c>
      <c r="AK568" s="531" t="str">
        <f t="shared" si="93"/>
        <v/>
      </c>
      <c r="AL568" s="714" t="str">
        <f t="shared" si="94"/>
        <v/>
      </c>
      <c r="AM568" s="531" t="str">
        <f t="shared" si="95"/>
        <v/>
      </c>
      <c r="AN568" s="716" t="str">
        <f t="shared" si="96"/>
        <v/>
      </c>
    </row>
    <row r="569" spans="6:40" x14ac:dyDescent="0.2">
      <c r="F569" s="1" t="str">
        <f t="shared" si="89"/>
        <v/>
      </c>
      <c r="G569" s="713" t="str">
        <f t="shared" si="97"/>
        <v/>
      </c>
      <c r="H569" s="17" t="str">
        <f>IFERROR(VLOOKUP($G569,Table1[[Property]:[Exposure %]],4,0),"")</f>
        <v/>
      </c>
      <c r="I569" s="3" t="str">
        <f>IFERROR(VLOOKUP($G569,Table1[[Property]:[Exposure %]],6,0),"")</f>
        <v/>
      </c>
      <c r="J569" s="3" t="str">
        <f>IFERROR(VLOOKUP($G569,Table1[[Property]:[Exposure %]],7,0),"")</f>
        <v/>
      </c>
      <c r="R569" s="4" t="str">
        <f>IFERROR(VLOOKUP(IF(F569="Total",F568,F569),Table1[[Property]:['# Units]],7,0)*S569,"")</f>
        <v/>
      </c>
      <c r="S569" s="27" t="str">
        <f t="shared" si="90"/>
        <v/>
      </c>
      <c r="T569" s="531" t="str">
        <f>IFERROR(
 IF($F569="Total",
   SUMPRODUCT(
   INDEX(T:T, ROW()-COUNTIF($F$6:INDEX($F:$F, ROW()-1), $F568)) : INDEX(T:T, ROW()-1),
   INDEX(W:W, ROW()-COUNTIF($F$6:INDEX($F:$F, ROW()-1), $F568)) : INDEX(W:W, ROW()-1)
   )
   /SUM(INDEX(W:W, ROW()-COUNTIF($F$6:INDEX($F:$F, ROW()-1), $F568)) : INDEX(W:W, ROW()-1)),
   AVERAGEIFS(
     INDEX((unit_details[Asking Rent],unit_details[Asking PSF]),0,1,IF($U$3="Chunk Rent",1,2)),
     unit_details[Leased Date],"&gt;="&amp;($AM$2-T$5),
     unit_details[Leased Date],"&lt;"&amp;$AM$2,
     unit_details[Beds],$L569,
     unit_details[Baths],$M569,
     unit_details[Partial Baths],IF(ISNUMBER($N569),$N569,""),
     unit_details[Sqft],$P569,
     unit_details[Property Name],$F569)
 ),"")</f>
        <v/>
      </c>
      <c r="U569" s="552" t="str">
        <f>IFERROR(
 IF($F569="Total",
   SUMPRODUCT(
   INDEX(U:U, ROW()-COUNTIF($F$6:INDEX($F:$F, ROW()-1), $F568)) : INDEX(U:U, ROW()-1),
   INDEX(W:W, ROW()-COUNTIF($F$6:INDEX($F:$F, ROW()-1), $F568)) : INDEX(W:W, ROW()-1)
   )
   /SUM(INDEX(W:W, ROW()-COUNTIF($F$6:INDEX($F:$F, ROW()-1), $F568)) : INDEX(W:W, ROW()-1)),
   AVERAGEIFS(
     INDEX((unit_details[Effective Rent],unit_details[Effective PSF]),0,1,IF($U$3="Chunk Rent",1,2)),
     unit_details[Leased Date],"&gt;="&amp;($AM$2-T$5),
     unit_details[Leased Date],"&lt;"&amp;$AM$2,
     unit_details[Beds],$L569,
     unit_details[Baths],$M569,
     unit_details[Partial Baths],IF(ISNUMBER($N569),$N569,""),
     unit_details[Sqft],$P569,
     unit_details[Property Name],$F569)
 ),"")</f>
        <v/>
      </c>
      <c r="V569" s="27" t="str">
        <f t="shared" si="98"/>
        <v/>
      </c>
      <c r="W569" s="526">
        <f>IFERROR(
  IF($F569="Total",
    SUM(INDEX(W:W, ROW()-COUNTIF($F$6:INDEX($F:$F, ROW()-1), $F568)) : INDEX(W:W, ROW()-1)),
    COUNTIFS(
      unit_details[Leased Date], "&gt;="&amp;($AM$2-T$5),
      unit_details[Leased Date], "&lt;"&amp;$AM$2,
      unit_details[Beds], $L569,
      unit_details[Baths], $M569,
      unit_details[Partial Baths], IF(ISNUMBER($N569), $N569, ""),
      unit_details[Sqft],$P569,
      unit_details[Property Name], $F569
    )
  ),
"")</f>
        <v>0</v>
      </c>
      <c r="X569" s="531" t="str">
        <f>IFERROR(
 IF($F569="Total",
   SUMPRODUCT(
   INDEX(X:X, ROW()-COUNTIF($F$6:INDEX($F:$F, ROW()-1), $F568)) : INDEX(X:X, ROW()-1),
   INDEX(AA:AA, ROW()-COUNTIF($F$6:INDEX($F:$F, ROW()-1), $F568)) : INDEX(AA:AA, ROW()-1)
   )
   /SUM(INDEX(AA:AA, ROW()-COUNTIF($F$6:INDEX($F:$F, ROW()-1), $F568)) : INDEX(AA:AA, ROW()-1)),
   AVERAGEIFS(
     INDEX((unit_details[Asking Rent],unit_details[Asking PSF]),0,1,IF($U$3="Chunk Rent",1,2)),
     unit_details[Leased Date],"&gt;="&amp;($AM$2-X$5),
     unit_details[Leased Date],"&lt;"&amp;$AM$2,
     unit_details[Beds],$L569,
     unit_details[Baths],$M569,
     unit_details[Partial Baths],IF(ISNUMBER($N569),$N569,""),
     unit_details[Sqft],$P569,
     unit_details[Property Name],$F569)
 ),"")</f>
        <v/>
      </c>
      <c r="Y569" s="552" t="str">
        <f>IFERROR(
 IF($F569="Total",
   SUMPRODUCT(
   INDEX(Y:Y, ROW()-COUNTIF($F$6:INDEX($F:$F, ROW()-1), $F568)) : INDEX(Y:Y, ROW()-1),
   INDEX(AA:AA, ROW()-COUNTIF($F$6:INDEX($F:$F, ROW()-1), $F568)) : INDEX(AA:AA, ROW()-1)
   )
   /SUM(INDEX(AA:AA, ROW()-COUNTIF($F$6:INDEX($F:$F, ROW()-1), $F568)) : INDEX(AA:AA, ROW()-1)),
   AVERAGEIFS(
     INDEX((unit_details[Effective Rent],unit_details[Effective PSF]),0,1,IF($U$3="Chunk Rent",1,2)),
     unit_details[Leased Date],"&gt;="&amp;($AM$2-X$5),
     unit_details[Leased Date],"&lt;"&amp;$AM$2,
     unit_details[Beds],$L569,
     unit_details[Baths],$M569,
     unit_details[Partial Baths],IF(ISNUMBER($N569),$N569,""),
     unit_details[Sqft],$P569,
     unit_details[Property Name],$F569)
 ),"")</f>
        <v/>
      </c>
      <c r="Z569" s="27" t="str">
        <f t="shared" si="99"/>
        <v/>
      </c>
      <c r="AA569" s="526">
        <f>IFERROR(
  IF($F569="Total",
    SUM(INDEX(AA:AA, ROW()-COUNTIF($F$6:INDEX($F:$F, ROW()-1), $F568)) : INDEX(AA:AA, ROW()-1)),
    COUNTIFS(
      unit_details[Leased Date], "&gt;="&amp;($AM$2-X$5),
      unit_details[Leased Date], "&lt;"&amp;$AM$2,
      unit_details[Beds], $L569,
      unit_details[Baths], $M569,
      unit_details[Partial Baths], IF(ISNUMBER($N569), $N569, ""),
      unit_details[Sqft],$P569,
      unit_details[Property Name], $F569
    )
  ),
"")</f>
        <v>0</v>
      </c>
      <c r="AB569" s="290">
        <f>IF($F569="Total",
SUM(INDEX(AB:AB, ROW()-COUNTIF($F$6:INDEX($F:$F, ROW()-1), $F568)) : INDEX(AB:AB, ROW()-1)),
COUNTIFS(unit_details[Active Listing?],TRUE,
          unit_details[Property Name], $F569,
          unit_details[Beds], $L569,
          unit_details[Baths], $M569,
          unit_details[Partial Baths],IF(ISNUMBER($N569),$N569,""),
          unit_details[Sqft],$P569))</f>
        <v>0</v>
      </c>
      <c r="AC569" s="27" t="str">
        <f t="shared" si="91"/>
        <v/>
      </c>
      <c r="AD569" s="293" t="str">
        <f>IFERROR(IF(AE569="","",IF($F569="Total",
SUMPRODUCT(
   INDEX(AD:AD, ROW()-COUNTIF($F$6:INDEX($F:$F, ROW()-1), $F568)) : INDEX(AD:AD, ROW()-1),
   INDEX(AB:AB, ROW()-COUNTIF($F$6:INDEX($F:$F, ROW()-1), $F568)) : INDEX(AB:AB, ROW()-1)
   )
   /SUM(INDEX(AB:AB, ROW()-COUNTIF($F$6:INDEX($F:$F, ROW()-1), $F568)) : INDEX(AB:AB, ROW()-1)),
          _xlfn.MINIFS(unit_details[Asking Rent],
          unit_details[Active Listing?],TRUE,
          unit_details[Property Name], $F569,
          unit_details[Beds], $L569,
          unit_details[Baths], $M569,
          unit_details[Partial Baths], IF(ISNUMBER($N569),$N569,""),
          unit_details[Sqft],$P569
))),"")</f>
        <v/>
      </c>
      <c r="AE569" s="5" t="str">
        <f>IFERROR(IF($F569="Total",
          SUMPRODUCT(
   INDEX(AE:AE, ROW()-COUNTIF($F$6:INDEX($F:$F, ROW()-1), $F568)) : INDEX(AE:AE, ROW()-1),
   INDEX(AB:AB, ROW()-COUNTIF($F$6:INDEX($F:$F, ROW()-1), $F568)) : INDEX(AB:AB, ROW()-1)
   )
   /SUM(INDEX(AB:AB, ROW()-COUNTIF($F$6:INDEX($F:$F, ROW()-1), $F568)) : INDEX(AB:AB, ROW()-1)),
          AVERAGEIFS(unit_details[Asking Rent],
          unit_details[Active Listing?],TRUE,
          unit_details[Property Name], $F569,
          unit_details[Beds], $L569,
          unit_details[Baths], $M569,
          unit_details[Partial Baths], IF(ISNUMBER($N569),$N569,""),
          unit_details[Sqft],$P569
)),"")</f>
        <v/>
      </c>
      <c r="AF569" s="5" t="str">
        <f>IFERROR(IF(AE569="","",IF($F569="Total",
SUMPRODUCT(
   INDEX(AF:AF, ROW()-COUNTIF($F$6:INDEX($F:$F, ROW()-1), $F568)) : INDEX(AF:AF, ROW()-1),
   INDEX(AB:AB, ROW()-COUNTIF($F$6:INDEX($F:$F, ROW()-1), $F568)) : INDEX(AB:AB, ROW()-1)
   )
   /SUM(INDEX(AB:AB, ROW()-COUNTIF($F$6:INDEX($F:$F, ROW()-1), $F568)) : INDEX(AB:AB, ROW()-1)),
           _xlfn.MAXIFS(unit_details[Asking Rent],
          unit_details[Active Listing?],TRUE,
          unit_details[Property Name], $F569,
          unit_details[Beds], $L569,
          unit_details[Baths], $M569,
          unit_details[Partial Baths], IF(ISNUMBER($N569),$N569,""),
          unit_details[Sqft],$P569
))),"")</f>
        <v/>
      </c>
      <c r="AG569" s="6" t="str">
        <f>IFERROR(IF($F569="Total",
         SUMPRODUCT(
         INDEX(AG:AG, ROW()-COUNTIF($F$6:INDEX($F:$F, ROW()-1), $F568)) : INDEX(AG:AG, ROW()-1),
         INDEX(AB:AB, ROW()-COUNTIF($F$6:INDEX($F:$F, ROW()-1), $F568)) : INDEX(AB:AB, ROW()-1)
         )
         /SUM(INDEX(AB:AB, ROW()-COUNTIF($F$6:INDEX($F:$F, ROW()-1), $F568)) : INDEX(AB:AB, ROW()-1)),
          AVERAGEIFS(unit_details[Asking PSF],
          unit_details[Active Listing?],TRUE,
          unit_details[Property Name], $F569,
          unit_details[Beds], $L569,
          unit_details[Baths], $M569,
          unit_details[Partial Baths], IF(ISNUMBER($N569),$N569,""),
          unit_details[Sqft],$P569
)),"")</f>
        <v/>
      </c>
      <c r="AH569" s="293" t="str">
        <f>IFERROR(IF($F569="Total",
         SUMPRODUCT(
         INDEX(AH:AH, ROW()-COUNTIF($F$6:INDEX($F:$F, ROW()-1), $F568)) : INDEX(AH:AH, ROW()-1),
         INDEX(AB:AB, ROW()-COUNTIF($F$6:INDEX($F:$F, ROW()-1), $F568)) : INDEX(AB:AB, ROW()-1)
         )
         /SUM(INDEX(AB:AB, ROW()-COUNTIF($F$6:INDEX($F:$F, ROW()-1), $F568)) : INDEX(AB:AB, ROW()-1)),
          AVERAGEIFS(unit_details[Effective Rent],
          unit_details[Active Listing?],TRUE,
          unit_details[Property Name], $F569,
          unit_details[Beds], $L569,
          unit_details[Baths], $M569,
          unit_details[Partial Baths], IF(ISNUMBER($N569),$N569,""),
          unit_details[Sqft],$P569
)),"")</f>
        <v/>
      </c>
      <c r="AI569" s="6" t="str">
        <f>IFERROR(IF($F569="Total",
         SUMPRODUCT(
         INDEX(AI:AI, ROW()-COUNTIF($F$6:INDEX($F:$F, ROW()-1), $F568)) : INDEX(AI:AI, ROW()-1),
         INDEX(AB:AB, ROW()-COUNTIF($F$6:INDEX($F:$F, ROW()-1), $F568)) : INDEX(AB:AB, ROW()-1)
         )
         /SUM(INDEX(AB:AB, ROW()-COUNTIF($F$6:INDEX($F:$F, ROW()-1), $F568)) : INDEX(AB:AB, ROW()-1)),
           AVERAGEIFS(unit_details[Effective PSF],
          unit_details[Active Listing?],TRUE,
          unit_details[Property Name], $F569,
          unit_details[Beds], $L569,
          unit_details[Baths], $M569,
          unit_details[Partial Baths], IF(ISNUMBER($N569),$N569,""),
          unit_details[Sqft],$P569
)),"")</f>
        <v/>
      </c>
      <c r="AJ569" s="824" t="str">
        <f t="shared" si="92"/>
        <v/>
      </c>
      <c r="AK569" s="531" t="str">
        <f t="shared" si="93"/>
        <v/>
      </c>
      <c r="AL569" s="714" t="str">
        <f t="shared" si="94"/>
        <v/>
      </c>
      <c r="AM569" s="531" t="str">
        <f t="shared" si="95"/>
        <v/>
      </c>
      <c r="AN569" s="716" t="str">
        <f t="shared" si="96"/>
        <v/>
      </c>
    </row>
    <row r="570" spans="6:40" x14ac:dyDescent="0.2">
      <c r="F570" s="1" t="str">
        <f t="shared" si="89"/>
        <v/>
      </c>
      <c r="G570" s="713" t="str">
        <f t="shared" si="97"/>
        <v/>
      </c>
      <c r="H570" s="17" t="str">
        <f>IFERROR(VLOOKUP($G570,Table1[[Property]:[Exposure %]],4,0),"")</f>
        <v/>
      </c>
      <c r="I570" s="3" t="str">
        <f>IFERROR(VLOOKUP($G570,Table1[[Property]:[Exposure %]],6,0),"")</f>
        <v/>
      </c>
      <c r="J570" s="3" t="str">
        <f>IFERROR(VLOOKUP($G570,Table1[[Property]:[Exposure %]],7,0),"")</f>
        <v/>
      </c>
      <c r="R570" s="4" t="str">
        <f>IFERROR(VLOOKUP(IF(F570="Total",F569,F570),Table1[[Property]:['# Units]],7,0)*S570,"")</f>
        <v/>
      </c>
      <c r="S570" s="27" t="str">
        <f t="shared" si="90"/>
        <v/>
      </c>
      <c r="T570" s="531" t="str">
        <f>IFERROR(
 IF($F570="Total",
   SUMPRODUCT(
   INDEX(T:T, ROW()-COUNTIF($F$6:INDEX($F:$F, ROW()-1), $F569)) : INDEX(T:T, ROW()-1),
   INDEX(W:W, ROW()-COUNTIF($F$6:INDEX($F:$F, ROW()-1), $F569)) : INDEX(W:W, ROW()-1)
   )
   /SUM(INDEX(W:W, ROW()-COUNTIF($F$6:INDEX($F:$F, ROW()-1), $F569)) : INDEX(W:W, ROW()-1)),
   AVERAGEIFS(
     INDEX((unit_details[Asking Rent],unit_details[Asking PSF]),0,1,IF($U$3="Chunk Rent",1,2)),
     unit_details[Leased Date],"&gt;="&amp;($AM$2-T$5),
     unit_details[Leased Date],"&lt;"&amp;$AM$2,
     unit_details[Beds],$L570,
     unit_details[Baths],$M570,
     unit_details[Partial Baths],IF(ISNUMBER($N570),$N570,""),
     unit_details[Sqft],$P570,
     unit_details[Property Name],$F570)
 ),"")</f>
        <v/>
      </c>
      <c r="U570" s="552" t="str">
        <f>IFERROR(
 IF($F570="Total",
   SUMPRODUCT(
   INDEX(U:U, ROW()-COUNTIF($F$6:INDEX($F:$F, ROW()-1), $F569)) : INDEX(U:U, ROW()-1),
   INDEX(W:W, ROW()-COUNTIF($F$6:INDEX($F:$F, ROW()-1), $F569)) : INDEX(W:W, ROW()-1)
   )
   /SUM(INDEX(W:W, ROW()-COUNTIF($F$6:INDEX($F:$F, ROW()-1), $F569)) : INDEX(W:W, ROW()-1)),
   AVERAGEIFS(
     INDEX((unit_details[Effective Rent],unit_details[Effective PSF]),0,1,IF($U$3="Chunk Rent",1,2)),
     unit_details[Leased Date],"&gt;="&amp;($AM$2-T$5),
     unit_details[Leased Date],"&lt;"&amp;$AM$2,
     unit_details[Beds],$L570,
     unit_details[Baths],$M570,
     unit_details[Partial Baths],IF(ISNUMBER($N570),$N570,""),
     unit_details[Sqft],$P570,
     unit_details[Property Name],$F570)
 ),"")</f>
        <v/>
      </c>
      <c r="V570" s="27" t="str">
        <f t="shared" si="98"/>
        <v/>
      </c>
      <c r="W570" s="526">
        <f>IFERROR(
  IF($F570="Total",
    SUM(INDEX(W:W, ROW()-COUNTIF($F$6:INDEX($F:$F, ROW()-1), $F569)) : INDEX(W:W, ROW()-1)),
    COUNTIFS(
      unit_details[Leased Date], "&gt;="&amp;($AM$2-T$5),
      unit_details[Leased Date], "&lt;"&amp;$AM$2,
      unit_details[Beds], $L570,
      unit_details[Baths], $M570,
      unit_details[Partial Baths], IF(ISNUMBER($N570), $N570, ""),
      unit_details[Sqft],$P570,
      unit_details[Property Name], $F570
    )
  ),
"")</f>
        <v>0</v>
      </c>
      <c r="X570" s="531" t="str">
        <f>IFERROR(
 IF($F570="Total",
   SUMPRODUCT(
   INDEX(X:X, ROW()-COUNTIF($F$6:INDEX($F:$F, ROW()-1), $F569)) : INDEX(X:X, ROW()-1),
   INDEX(AA:AA, ROW()-COUNTIF($F$6:INDEX($F:$F, ROW()-1), $F569)) : INDEX(AA:AA, ROW()-1)
   )
   /SUM(INDEX(AA:AA, ROW()-COUNTIF($F$6:INDEX($F:$F, ROW()-1), $F569)) : INDEX(AA:AA, ROW()-1)),
   AVERAGEIFS(
     INDEX((unit_details[Asking Rent],unit_details[Asking PSF]),0,1,IF($U$3="Chunk Rent",1,2)),
     unit_details[Leased Date],"&gt;="&amp;($AM$2-X$5),
     unit_details[Leased Date],"&lt;"&amp;$AM$2,
     unit_details[Beds],$L570,
     unit_details[Baths],$M570,
     unit_details[Partial Baths],IF(ISNUMBER($N570),$N570,""),
     unit_details[Sqft],$P570,
     unit_details[Property Name],$F570)
 ),"")</f>
        <v/>
      </c>
      <c r="Y570" s="552" t="str">
        <f>IFERROR(
 IF($F570="Total",
   SUMPRODUCT(
   INDEX(Y:Y, ROW()-COUNTIF($F$6:INDEX($F:$F, ROW()-1), $F569)) : INDEX(Y:Y, ROW()-1),
   INDEX(AA:AA, ROW()-COUNTIF($F$6:INDEX($F:$F, ROW()-1), $F569)) : INDEX(AA:AA, ROW()-1)
   )
   /SUM(INDEX(AA:AA, ROW()-COUNTIF($F$6:INDEX($F:$F, ROW()-1), $F569)) : INDEX(AA:AA, ROW()-1)),
   AVERAGEIFS(
     INDEX((unit_details[Effective Rent],unit_details[Effective PSF]),0,1,IF($U$3="Chunk Rent",1,2)),
     unit_details[Leased Date],"&gt;="&amp;($AM$2-X$5),
     unit_details[Leased Date],"&lt;"&amp;$AM$2,
     unit_details[Beds],$L570,
     unit_details[Baths],$M570,
     unit_details[Partial Baths],IF(ISNUMBER($N570),$N570,""),
     unit_details[Sqft],$P570,
     unit_details[Property Name],$F570)
 ),"")</f>
        <v/>
      </c>
      <c r="Z570" s="27" t="str">
        <f t="shared" si="99"/>
        <v/>
      </c>
      <c r="AA570" s="526">
        <f>IFERROR(
  IF($F570="Total",
    SUM(INDEX(AA:AA, ROW()-COUNTIF($F$6:INDEX($F:$F, ROW()-1), $F569)) : INDEX(AA:AA, ROW()-1)),
    COUNTIFS(
      unit_details[Leased Date], "&gt;="&amp;($AM$2-X$5),
      unit_details[Leased Date], "&lt;"&amp;$AM$2,
      unit_details[Beds], $L570,
      unit_details[Baths], $M570,
      unit_details[Partial Baths], IF(ISNUMBER($N570), $N570, ""),
      unit_details[Sqft],$P570,
      unit_details[Property Name], $F570
    )
  ),
"")</f>
        <v>0</v>
      </c>
      <c r="AB570" s="290">
        <f>IF($F570="Total",
SUM(INDEX(AB:AB, ROW()-COUNTIF($F$6:INDEX($F:$F, ROW()-1), $F569)) : INDEX(AB:AB, ROW()-1)),
COUNTIFS(unit_details[Active Listing?],TRUE,
          unit_details[Property Name], $F570,
          unit_details[Beds], $L570,
          unit_details[Baths], $M570,
          unit_details[Partial Baths],IF(ISNUMBER($N570),$N570,""),
          unit_details[Sqft],$P570))</f>
        <v>0</v>
      </c>
      <c r="AC570" s="27" t="str">
        <f t="shared" si="91"/>
        <v/>
      </c>
      <c r="AD570" s="293" t="str">
        <f>IFERROR(IF(AE570="","",IF($F570="Total",
SUMPRODUCT(
   INDEX(AD:AD, ROW()-COUNTIF($F$6:INDEX($F:$F, ROW()-1), $F569)) : INDEX(AD:AD, ROW()-1),
   INDEX(AB:AB, ROW()-COUNTIF($F$6:INDEX($F:$F, ROW()-1), $F569)) : INDEX(AB:AB, ROW()-1)
   )
   /SUM(INDEX(AB:AB, ROW()-COUNTIF($F$6:INDEX($F:$F, ROW()-1), $F569)) : INDEX(AB:AB, ROW()-1)),
          _xlfn.MINIFS(unit_details[Asking Rent],
          unit_details[Active Listing?],TRUE,
          unit_details[Property Name], $F570,
          unit_details[Beds], $L570,
          unit_details[Baths], $M570,
          unit_details[Partial Baths], IF(ISNUMBER($N570),$N570,""),
          unit_details[Sqft],$P570
))),"")</f>
        <v/>
      </c>
      <c r="AE570" s="5" t="str">
        <f>IFERROR(IF($F570="Total",
          SUMPRODUCT(
   INDEX(AE:AE, ROW()-COUNTIF($F$6:INDEX($F:$F, ROW()-1), $F569)) : INDEX(AE:AE, ROW()-1),
   INDEX(AB:AB, ROW()-COUNTIF($F$6:INDEX($F:$F, ROW()-1), $F569)) : INDEX(AB:AB, ROW()-1)
   )
   /SUM(INDEX(AB:AB, ROW()-COUNTIF($F$6:INDEX($F:$F, ROW()-1), $F569)) : INDEX(AB:AB, ROW()-1)),
          AVERAGEIFS(unit_details[Asking Rent],
          unit_details[Active Listing?],TRUE,
          unit_details[Property Name], $F570,
          unit_details[Beds], $L570,
          unit_details[Baths], $M570,
          unit_details[Partial Baths], IF(ISNUMBER($N570),$N570,""),
          unit_details[Sqft],$P570
)),"")</f>
        <v/>
      </c>
      <c r="AF570" s="5" t="str">
        <f>IFERROR(IF(AE570="","",IF($F570="Total",
SUMPRODUCT(
   INDEX(AF:AF, ROW()-COUNTIF($F$6:INDEX($F:$F, ROW()-1), $F569)) : INDEX(AF:AF, ROW()-1),
   INDEX(AB:AB, ROW()-COUNTIF($F$6:INDEX($F:$F, ROW()-1), $F569)) : INDEX(AB:AB, ROW()-1)
   )
   /SUM(INDEX(AB:AB, ROW()-COUNTIF($F$6:INDEX($F:$F, ROW()-1), $F569)) : INDEX(AB:AB, ROW()-1)),
           _xlfn.MAXIFS(unit_details[Asking Rent],
          unit_details[Active Listing?],TRUE,
          unit_details[Property Name], $F570,
          unit_details[Beds], $L570,
          unit_details[Baths], $M570,
          unit_details[Partial Baths], IF(ISNUMBER($N570),$N570,""),
          unit_details[Sqft],$P570
))),"")</f>
        <v/>
      </c>
      <c r="AG570" s="6" t="str">
        <f>IFERROR(IF($F570="Total",
         SUMPRODUCT(
         INDEX(AG:AG, ROW()-COUNTIF($F$6:INDEX($F:$F, ROW()-1), $F569)) : INDEX(AG:AG, ROW()-1),
         INDEX(AB:AB, ROW()-COUNTIF($F$6:INDEX($F:$F, ROW()-1), $F569)) : INDEX(AB:AB, ROW()-1)
         )
         /SUM(INDEX(AB:AB, ROW()-COUNTIF($F$6:INDEX($F:$F, ROW()-1), $F569)) : INDEX(AB:AB, ROW()-1)),
          AVERAGEIFS(unit_details[Asking PSF],
          unit_details[Active Listing?],TRUE,
          unit_details[Property Name], $F570,
          unit_details[Beds], $L570,
          unit_details[Baths], $M570,
          unit_details[Partial Baths], IF(ISNUMBER($N570),$N570,""),
          unit_details[Sqft],$P570
)),"")</f>
        <v/>
      </c>
      <c r="AH570" s="293" t="str">
        <f>IFERROR(IF($F570="Total",
         SUMPRODUCT(
         INDEX(AH:AH, ROW()-COUNTIF($F$6:INDEX($F:$F, ROW()-1), $F569)) : INDEX(AH:AH, ROW()-1),
         INDEX(AB:AB, ROW()-COUNTIF($F$6:INDEX($F:$F, ROW()-1), $F569)) : INDEX(AB:AB, ROW()-1)
         )
         /SUM(INDEX(AB:AB, ROW()-COUNTIF($F$6:INDEX($F:$F, ROW()-1), $F569)) : INDEX(AB:AB, ROW()-1)),
          AVERAGEIFS(unit_details[Effective Rent],
          unit_details[Active Listing?],TRUE,
          unit_details[Property Name], $F570,
          unit_details[Beds], $L570,
          unit_details[Baths], $M570,
          unit_details[Partial Baths], IF(ISNUMBER($N570),$N570,""),
          unit_details[Sqft],$P570
)),"")</f>
        <v/>
      </c>
      <c r="AI570" s="6" t="str">
        <f>IFERROR(IF($F570="Total",
         SUMPRODUCT(
         INDEX(AI:AI, ROW()-COUNTIF($F$6:INDEX($F:$F, ROW()-1), $F569)) : INDEX(AI:AI, ROW()-1),
         INDEX(AB:AB, ROW()-COUNTIF($F$6:INDEX($F:$F, ROW()-1), $F569)) : INDEX(AB:AB, ROW()-1)
         )
         /SUM(INDEX(AB:AB, ROW()-COUNTIF($F$6:INDEX($F:$F, ROW()-1), $F569)) : INDEX(AB:AB, ROW()-1)),
           AVERAGEIFS(unit_details[Effective PSF],
          unit_details[Active Listing?],TRUE,
          unit_details[Property Name], $F570,
          unit_details[Beds], $L570,
          unit_details[Baths], $M570,
          unit_details[Partial Baths], IF(ISNUMBER($N570),$N570,""),
          unit_details[Sqft],$P570
)),"")</f>
        <v/>
      </c>
      <c r="AJ570" s="824" t="str">
        <f t="shared" si="92"/>
        <v/>
      </c>
      <c r="AK570" s="531" t="str">
        <f t="shared" si="93"/>
        <v/>
      </c>
      <c r="AL570" s="714" t="str">
        <f t="shared" si="94"/>
        <v/>
      </c>
      <c r="AM570" s="531" t="str">
        <f t="shared" si="95"/>
        <v/>
      </c>
      <c r="AN570" s="716" t="str">
        <f t="shared" si="96"/>
        <v/>
      </c>
    </row>
    <row r="571" spans="6:40" x14ac:dyDescent="0.2">
      <c r="F571" s="1" t="str">
        <f t="shared" si="89"/>
        <v/>
      </c>
      <c r="G571" s="713" t="str">
        <f t="shared" si="97"/>
        <v/>
      </c>
      <c r="H571" s="17" t="str">
        <f>IFERROR(VLOOKUP($G571,Table1[[Property]:[Exposure %]],4,0),"")</f>
        <v/>
      </c>
      <c r="I571" s="3" t="str">
        <f>IFERROR(VLOOKUP($G571,Table1[[Property]:[Exposure %]],6,0),"")</f>
        <v/>
      </c>
      <c r="J571" s="3" t="str">
        <f>IFERROR(VLOOKUP($G571,Table1[[Property]:[Exposure %]],7,0),"")</f>
        <v/>
      </c>
      <c r="R571" s="4" t="str">
        <f>IFERROR(VLOOKUP(IF(F571="Total",F570,F571),Table1[[Property]:['# Units]],7,0)*S571,"")</f>
        <v/>
      </c>
      <c r="S571" s="27" t="str">
        <f t="shared" si="90"/>
        <v/>
      </c>
      <c r="T571" s="531" t="str">
        <f>IFERROR(
 IF($F571="Total",
   SUMPRODUCT(
   INDEX(T:T, ROW()-COUNTIF($F$6:INDEX($F:$F, ROW()-1), $F570)) : INDEX(T:T, ROW()-1),
   INDEX(W:W, ROW()-COUNTIF($F$6:INDEX($F:$F, ROW()-1), $F570)) : INDEX(W:W, ROW()-1)
   )
   /SUM(INDEX(W:W, ROW()-COUNTIF($F$6:INDEX($F:$F, ROW()-1), $F570)) : INDEX(W:W, ROW()-1)),
   AVERAGEIFS(
     INDEX((unit_details[Asking Rent],unit_details[Asking PSF]),0,1,IF($U$3="Chunk Rent",1,2)),
     unit_details[Leased Date],"&gt;="&amp;($AM$2-T$5),
     unit_details[Leased Date],"&lt;"&amp;$AM$2,
     unit_details[Beds],$L571,
     unit_details[Baths],$M571,
     unit_details[Partial Baths],IF(ISNUMBER($N571),$N571,""),
     unit_details[Sqft],$P571,
     unit_details[Property Name],$F571)
 ),"")</f>
        <v/>
      </c>
      <c r="U571" s="552" t="str">
        <f>IFERROR(
 IF($F571="Total",
   SUMPRODUCT(
   INDEX(U:U, ROW()-COUNTIF($F$6:INDEX($F:$F, ROW()-1), $F570)) : INDEX(U:U, ROW()-1),
   INDEX(W:W, ROW()-COUNTIF($F$6:INDEX($F:$F, ROW()-1), $F570)) : INDEX(W:W, ROW()-1)
   )
   /SUM(INDEX(W:W, ROW()-COUNTIF($F$6:INDEX($F:$F, ROW()-1), $F570)) : INDEX(W:W, ROW()-1)),
   AVERAGEIFS(
     INDEX((unit_details[Effective Rent],unit_details[Effective PSF]),0,1,IF($U$3="Chunk Rent",1,2)),
     unit_details[Leased Date],"&gt;="&amp;($AM$2-T$5),
     unit_details[Leased Date],"&lt;"&amp;$AM$2,
     unit_details[Beds],$L571,
     unit_details[Baths],$M571,
     unit_details[Partial Baths],IF(ISNUMBER($N571),$N571,""),
     unit_details[Sqft],$P571,
     unit_details[Property Name],$F571)
 ),"")</f>
        <v/>
      </c>
      <c r="V571" s="27" t="str">
        <f t="shared" si="98"/>
        <v/>
      </c>
      <c r="W571" s="526">
        <f>IFERROR(
  IF($F571="Total",
    SUM(INDEX(W:W, ROW()-COUNTIF($F$6:INDEX($F:$F, ROW()-1), $F570)) : INDEX(W:W, ROW()-1)),
    COUNTIFS(
      unit_details[Leased Date], "&gt;="&amp;($AM$2-T$5),
      unit_details[Leased Date], "&lt;"&amp;$AM$2,
      unit_details[Beds], $L571,
      unit_details[Baths], $M571,
      unit_details[Partial Baths], IF(ISNUMBER($N571), $N571, ""),
      unit_details[Sqft],$P571,
      unit_details[Property Name], $F571
    )
  ),
"")</f>
        <v>0</v>
      </c>
      <c r="X571" s="531" t="str">
        <f>IFERROR(
 IF($F571="Total",
   SUMPRODUCT(
   INDEX(X:X, ROW()-COUNTIF($F$6:INDEX($F:$F, ROW()-1), $F570)) : INDEX(X:X, ROW()-1),
   INDEX(AA:AA, ROW()-COUNTIF($F$6:INDEX($F:$F, ROW()-1), $F570)) : INDEX(AA:AA, ROW()-1)
   )
   /SUM(INDEX(AA:AA, ROW()-COUNTIF($F$6:INDEX($F:$F, ROW()-1), $F570)) : INDEX(AA:AA, ROW()-1)),
   AVERAGEIFS(
     INDEX((unit_details[Asking Rent],unit_details[Asking PSF]),0,1,IF($U$3="Chunk Rent",1,2)),
     unit_details[Leased Date],"&gt;="&amp;($AM$2-X$5),
     unit_details[Leased Date],"&lt;"&amp;$AM$2,
     unit_details[Beds],$L571,
     unit_details[Baths],$M571,
     unit_details[Partial Baths],IF(ISNUMBER($N571),$N571,""),
     unit_details[Sqft],$P571,
     unit_details[Property Name],$F571)
 ),"")</f>
        <v/>
      </c>
      <c r="Y571" s="552" t="str">
        <f>IFERROR(
 IF($F571="Total",
   SUMPRODUCT(
   INDEX(Y:Y, ROW()-COUNTIF($F$6:INDEX($F:$F, ROW()-1), $F570)) : INDEX(Y:Y, ROW()-1),
   INDEX(AA:AA, ROW()-COUNTIF($F$6:INDEX($F:$F, ROW()-1), $F570)) : INDEX(AA:AA, ROW()-1)
   )
   /SUM(INDEX(AA:AA, ROW()-COUNTIF($F$6:INDEX($F:$F, ROW()-1), $F570)) : INDEX(AA:AA, ROW()-1)),
   AVERAGEIFS(
     INDEX((unit_details[Effective Rent],unit_details[Effective PSF]),0,1,IF($U$3="Chunk Rent",1,2)),
     unit_details[Leased Date],"&gt;="&amp;($AM$2-X$5),
     unit_details[Leased Date],"&lt;"&amp;$AM$2,
     unit_details[Beds],$L571,
     unit_details[Baths],$M571,
     unit_details[Partial Baths],IF(ISNUMBER($N571),$N571,""),
     unit_details[Sqft],$P571,
     unit_details[Property Name],$F571)
 ),"")</f>
        <v/>
      </c>
      <c r="Z571" s="27" t="str">
        <f t="shared" si="99"/>
        <v/>
      </c>
      <c r="AA571" s="526">
        <f>IFERROR(
  IF($F571="Total",
    SUM(INDEX(AA:AA, ROW()-COUNTIF($F$6:INDEX($F:$F, ROW()-1), $F570)) : INDEX(AA:AA, ROW()-1)),
    COUNTIFS(
      unit_details[Leased Date], "&gt;="&amp;($AM$2-X$5),
      unit_details[Leased Date], "&lt;"&amp;$AM$2,
      unit_details[Beds], $L571,
      unit_details[Baths], $M571,
      unit_details[Partial Baths], IF(ISNUMBER($N571), $N571, ""),
      unit_details[Sqft],$P571,
      unit_details[Property Name], $F571
    )
  ),
"")</f>
        <v>0</v>
      </c>
      <c r="AB571" s="290">
        <f>IF($F571="Total",
SUM(INDEX(AB:AB, ROW()-COUNTIF($F$6:INDEX($F:$F, ROW()-1), $F570)) : INDEX(AB:AB, ROW()-1)),
COUNTIFS(unit_details[Active Listing?],TRUE,
          unit_details[Property Name], $F571,
          unit_details[Beds], $L571,
          unit_details[Baths], $M571,
          unit_details[Partial Baths],IF(ISNUMBER($N571),$N571,""),
          unit_details[Sqft],$P571))</f>
        <v>0</v>
      </c>
      <c r="AC571" s="27" t="str">
        <f t="shared" si="91"/>
        <v/>
      </c>
      <c r="AD571" s="293" t="str">
        <f>IFERROR(IF(AE571="","",IF($F571="Total",
SUMPRODUCT(
   INDEX(AD:AD, ROW()-COUNTIF($F$6:INDEX($F:$F, ROW()-1), $F570)) : INDEX(AD:AD, ROW()-1),
   INDEX(AB:AB, ROW()-COUNTIF($F$6:INDEX($F:$F, ROW()-1), $F570)) : INDEX(AB:AB, ROW()-1)
   )
   /SUM(INDEX(AB:AB, ROW()-COUNTIF($F$6:INDEX($F:$F, ROW()-1), $F570)) : INDEX(AB:AB, ROW()-1)),
          _xlfn.MINIFS(unit_details[Asking Rent],
          unit_details[Active Listing?],TRUE,
          unit_details[Property Name], $F571,
          unit_details[Beds], $L571,
          unit_details[Baths], $M571,
          unit_details[Partial Baths], IF(ISNUMBER($N571),$N571,""),
          unit_details[Sqft],$P571
))),"")</f>
        <v/>
      </c>
      <c r="AE571" s="5" t="str">
        <f>IFERROR(IF($F571="Total",
          SUMPRODUCT(
   INDEX(AE:AE, ROW()-COUNTIF($F$6:INDEX($F:$F, ROW()-1), $F570)) : INDEX(AE:AE, ROW()-1),
   INDEX(AB:AB, ROW()-COUNTIF($F$6:INDEX($F:$F, ROW()-1), $F570)) : INDEX(AB:AB, ROW()-1)
   )
   /SUM(INDEX(AB:AB, ROW()-COUNTIF($F$6:INDEX($F:$F, ROW()-1), $F570)) : INDEX(AB:AB, ROW()-1)),
          AVERAGEIFS(unit_details[Asking Rent],
          unit_details[Active Listing?],TRUE,
          unit_details[Property Name], $F571,
          unit_details[Beds], $L571,
          unit_details[Baths], $M571,
          unit_details[Partial Baths], IF(ISNUMBER($N571),$N571,""),
          unit_details[Sqft],$P571
)),"")</f>
        <v/>
      </c>
      <c r="AF571" s="5" t="str">
        <f>IFERROR(IF(AE571="","",IF($F571="Total",
SUMPRODUCT(
   INDEX(AF:AF, ROW()-COUNTIF($F$6:INDEX($F:$F, ROW()-1), $F570)) : INDEX(AF:AF, ROW()-1),
   INDEX(AB:AB, ROW()-COUNTIF($F$6:INDEX($F:$F, ROW()-1), $F570)) : INDEX(AB:AB, ROW()-1)
   )
   /SUM(INDEX(AB:AB, ROW()-COUNTIF($F$6:INDEX($F:$F, ROW()-1), $F570)) : INDEX(AB:AB, ROW()-1)),
           _xlfn.MAXIFS(unit_details[Asking Rent],
          unit_details[Active Listing?],TRUE,
          unit_details[Property Name], $F571,
          unit_details[Beds], $L571,
          unit_details[Baths], $M571,
          unit_details[Partial Baths], IF(ISNUMBER($N571),$N571,""),
          unit_details[Sqft],$P571
))),"")</f>
        <v/>
      </c>
      <c r="AG571" s="6" t="str">
        <f>IFERROR(IF($F571="Total",
         SUMPRODUCT(
         INDEX(AG:AG, ROW()-COUNTIF($F$6:INDEX($F:$F, ROW()-1), $F570)) : INDEX(AG:AG, ROW()-1),
         INDEX(AB:AB, ROW()-COUNTIF($F$6:INDEX($F:$F, ROW()-1), $F570)) : INDEX(AB:AB, ROW()-1)
         )
         /SUM(INDEX(AB:AB, ROW()-COUNTIF($F$6:INDEX($F:$F, ROW()-1), $F570)) : INDEX(AB:AB, ROW()-1)),
          AVERAGEIFS(unit_details[Asking PSF],
          unit_details[Active Listing?],TRUE,
          unit_details[Property Name], $F571,
          unit_details[Beds], $L571,
          unit_details[Baths], $M571,
          unit_details[Partial Baths], IF(ISNUMBER($N571),$N571,""),
          unit_details[Sqft],$P571
)),"")</f>
        <v/>
      </c>
      <c r="AH571" s="293" t="str">
        <f>IFERROR(IF($F571="Total",
         SUMPRODUCT(
         INDEX(AH:AH, ROW()-COUNTIF($F$6:INDEX($F:$F, ROW()-1), $F570)) : INDEX(AH:AH, ROW()-1),
         INDEX(AB:AB, ROW()-COUNTIF($F$6:INDEX($F:$F, ROW()-1), $F570)) : INDEX(AB:AB, ROW()-1)
         )
         /SUM(INDEX(AB:AB, ROW()-COUNTIF($F$6:INDEX($F:$F, ROW()-1), $F570)) : INDEX(AB:AB, ROW()-1)),
          AVERAGEIFS(unit_details[Effective Rent],
          unit_details[Active Listing?],TRUE,
          unit_details[Property Name], $F571,
          unit_details[Beds], $L571,
          unit_details[Baths], $M571,
          unit_details[Partial Baths], IF(ISNUMBER($N571),$N571,""),
          unit_details[Sqft],$P571
)),"")</f>
        <v/>
      </c>
      <c r="AI571" s="6" t="str">
        <f>IFERROR(IF($F571="Total",
         SUMPRODUCT(
         INDEX(AI:AI, ROW()-COUNTIF($F$6:INDEX($F:$F, ROW()-1), $F570)) : INDEX(AI:AI, ROW()-1),
         INDEX(AB:AB, ROW()-COUNTIF($F$6:INDEX($F:$F, ROW()-1), $F570)) : INDEX(AB:AB, ROW()-1)
         )
         /SUM(INDEX(AB:AB, ROW()-COUNTIF($F$6:INDEX($F:$F, ROW()-1), $F570)) : INDEX(AB:AB, ROW()-1)),
           AVERAGEIFS(unit_details[Effective PSF],
          unit_details[Active Listing?],TRUE,
          unit_details[Property Name], $F571,
          unit_details[Beds], $L571,
          unit_details[Baths], $M571,
          unit_details[Partial Baths], IF(ISNUMBER($N571),$N571,""),
          unit_details[Sqft],$P571
)),"")</f>
        <v/>
      </c>
      <c r="AJ571" s="824" t="str">
        <f t="shared" si="92"/>
        <v/>
      </c>
      <c r="AK571" s="531" t="str">
        <f t="shared" si="93"/>
        <v/>
      </c>
      <c r="AL571" s="714" t="str">
        <f t="shared" si="94"/>
        <v/>
      </c>
      <c r="AM571" s="531" t="str">
        <f t="shared" si="95"/>
        <v/>
      </c>
      <c r="AN571" s="716" t="str">
        <f t="shared" si="96"/>
        <v/>
      </c>
    </row>
    <row r="572" spans="6:40" x14ac:dyDescent="0.2">
      <c r="F572" s="1" t="str">
        <f t="shared" si="89"/>
        <v/>
      </c>
      <c r="G572" s="713" t="str">
        <f t="shared" si="97"/>
        <v/>
      </c>
      <c r="H572" s="17" t="str">
        <f>IFERROR(VLOOKUP($G572,Table1[[Property]:[Exposure %]],4,0),"")</f>
        <v/>
      </c>
      <c r="I572" s="3" t="str">
        <f>IFERROR(VLOOKUP($G572,Table1[[Property]:[Exposure %]],6,0),"")</f>
        <v/>
      </c>
      <c r="J572" s="3" t="str">
        <f>IFERROR(VLOOKUP($G572,Table1[[Property]:[Exposure %]],7,0),"")</f>
        <v/>
      </c>
      <c r="R572" s="4" t="str">
        <f>IFERROR(VLOOKUP(IF(F572="Total",F571,F572),Table1[[Property]:['# Units]],7,0)*S572,"")</f>
        <v/>
      </c>
      <c r="S572" s="27" t="str">
        <f t="shared" si="90"/>
        <v/>
      </c>
      <c r="T572" s="531" t="str">
        <f>IFERROR(
 IF($F572="Total",
   SUMPRODUCT(
   INDEX(T:T, ROW()-COUNTIF($F$6:INDEX($F:$F, ROW()-1), $F571)) : INDEX(T:T, ROW()-1),
   INDEX(W:W, ROW()-COUNTIF($F$6:INDEX($F:$F, ROW()-1), $F571)) : INDEX(W:W, ROW()-1)
   )
   /SUM(INDEX(W:W, ROW()-COUNTIF($F$6:INDEX($F:$F, ROW()-1), $F571)) : INDEX(W:W, ROW()-1)),
   AVERAGEIFS(
     INDEX((unit_details[Asking Rent],unit_details[Asking PSF]),0,1,IF($U$3="Chunk Rent",1,2)),
     unit_details[Leased Date],"&gt;="&amp;($AM$2-T$5),
     unit_details[Leased Date],"&lt;"&amp;$AM$2,
     unit_details[Beds],$L572,
     unit_details[Baths],$M572,
     unit_details[Partial Baths],IF(ISNUMBER($N572),$N572,""),
     unit_details[Sqft],$P572,
     unit_details[Property Name],$F572)
 ),"")</f>
        <v/>
      </c>
      <c r="U572" s="552" t="str">
        <f>IFERROR(
 IF($F572="Total",
   SUMPRODUCT(
   INDEX(U:U, ROW()-COUNTIF($F$6:INDEX($F:$F, ROW()-1), $F571)) : INDEX(U:U, ROW()-1),
   INDEX(W:W, ROW()-COUNTIF($F$6:INDEX($F:$F, ROW()-1), $F571)) : INDEX(W:W, ROW()-1)
   )
   /SUM(INDEX(W:W, ROW()-COUNTIF($F$6:INDEX($F:$F, ROW()-1), $F571)) : INDEX(W:W, ROW()-1)),
   AVERAGEIFS(
     INDEX((unit_details[Effective Rent],unit_details[Effective PSF]),0,1,IF($U$3="Chunk Rent",1,2)),
     unit_details[Leased Date],"&gt;="&amp;($AM$2-T$5),
     unit_details[Leased Date],"&lt;"&amp;$AM$2,
     unit_details[Beds],$L572,
     unit_details[Baths],$M572,
     unit_details[Partial Baths],IF(ISNUMBER($N572),$N572,""),
     unit_details[Sqft],$P572,
     unit_details[Property Name],$F572)
 ),"")</f>
        <v/>
      </c>
      <c r="V572" s="27" t="str">
        <f t="shared" si="98"/>
        <v/>
      </c>
      <c r="W572" s="526">
        <f>IFERROR(
  IF($F572="Total",
    SUM(INDEX(W:W, ROW()-COUNTIF($F$6:INDEX($F:$F, ROW()-1), $F571)) : INDEX(W:W, ROW()-1)),
    COUNTIFS(
      unit_details[Leased Date], "&gt;="&amp;($AM$2-T$5),
      unit_details[Leased Date], "&lt;"&amp;$AM$2,
      unit_details[Beds], $L572,
      unit_details[Baths], $M572,
      unit_details[Partial Baths], IF(ISNUMBER($N572), $N572, ""),
      unit_details[Sqft],$P572,
      unit_details[Property Name], $F572
    )
  ),
"")</f>
        <v>0</v>
      </c>
      <c r="X572" s="531" t="str">
        <f>IFERROR(
 IF($F572="Total",
   SUMPRODUCT(
   INDEX(X:X, ROW()-COUNTIF($F$6:INDEX($F:$F, ROW()-1), $F571)) : INDEX(X:X, ROW()-1),
   INDEX(AA:AA, ROW()-COUNTIF($F$6:INDEX($F:$F, ROW()-1), $F571)) : INDEX(AA:AA, ROW()-1)
   )
   /SUM(INDEX(AA:AA, ROW()-COUNTIF($F$6:INDEX($F:$F, ROW()-1), $F571)) : INDEX(AA:AA, ROW()-1)),
   AVERAGEIFS(
     INDEX((unit_details[Asking Rent],unit_details[Asking PSF]),0,1,IF($U$3="Chunk Rent",1,2)),
     unit_details[Leased Date],"&gt;="&amp;($AM$2-X$5),
     unit_details[Leased Date],"&lt;"&amp;$AM$2,
     unit_details[Beds],$L572,
     unit_details[Baths],$M572,
     unit_details[Partial Baths],IF(ISNUMBER($N572),$N572,""),
     unit_details[Sqft],$P572,
     unit_details[Property Name],$F572)
 ),"")</f>
        <v/>
      </c>
      <c r="Y572" s="552" t="str">
        <f>IFERROR(
 IF($F572="Total",
   SUMPRODUCT(
   INDEX(Y:Y, ROW()-COUNTIF($F$6:INDEX($F:$F, ROW()-1), $F571)) : INDEX(Y:Y, ROW()-1),
   INDEX(AA:AA, ROW()-COUNTIF($F$6:INDEX($F:$F, ROW()-1), $F571)) : INDEX(AA:AA, ROW()-1)
   )
   /SUM(INDEX(AA:AA, ROW()-COUNTIF($F$6:INDEX($F:$F, ROW()-1), $F571)) : INDEX(AA:AA, ROW()-1)),
   AVERAGEIFS(
     INDEX((unit_details[Effective Rent],unit_details[Effective PSF]),0,1,IF($U$3="Chunk Rent",1,2)),
     unit_details[Leased Date],"&gt;="&amp;($AM$2-X$5),
     unit_details[Leased Date],"&lt;"&amp;$AM$2,
     unit_details[Beds],$L572,
     unit_details[Baths],$M572,
     unit_details[Partial Baths],IF(ISNUMBER($N572),$N572,""),
     unit_details[Sqft],$P572,
     unit_details[Property Name],$F572)
 ),"")</f>
        <v/>
      </c>
      <c r="Z572" s="27" t="str">
        <f t="shared" si="99"/>
        <v/>
      </c>
      <c r="AA572" s="526">
        <f>IFERROR(
  IF($F572="Total",
    SUM(INDEX(AA:AA, ROW()-COUNTIF($F$6:INDEX($F:$F, ROW()-1), $F571)) : INDEX(AA:AA, ROW()-1)),
    COUNTIFS(
      unit_details[Leased Date], "&gt;="&amp;($AM$2-X$5),
      unit_details[Leased Date], "&lt;"&amp;$AM$2,
      unit_details[Beds], $L572,
      unit_details[Baths], $M572,
      unit_details[Partial Baths], IF(ISNUMBER($N572), $N572, ""),
      unit_details[Sqft],$P572,
      unit_details[Property Name], $F572
    )
  ),
"")</f>
        <v>0</v>
      </c>
      <c r="AB572" s="290">
        <f>IF($F572="Total",
SUM(INDEX(AB:AB, ROW()-COUNTIF($F$6:INDEX($F:$F, ROW()-1), $F571)) : INDEX(AB:AB, ROW()-1)),
COUNTIFS(unit_details[Active Listing?],TRUE,
          unit_details[Property Name], $F572,
          unit_details[Beds], $L572,
          unit_details[Baths], $M572,
          unit_details[Partial Baths],IF(ISNUMBER($N572),$N572,""),
          unit_details[Sqft],$P572))</f>
        <v>0</v>
      </c>
      <c r="AC572" s="27" t="str">
        <f t="shared" si="91"/>
        <v/>
      </c>
      <c r="AD572" s="293" t="str">
        <f>IFERROR(IF(AE572="","",IF($F572="Total",
SUMPRODUCT(
   INDEX(AD:AD, ROW()-COUNTIF($F$6:INDEX($F:$F, ROW()-1), $F571)) : INDEX(AD:AD, ROW()-1),
   INDEX(AB:AB, ROW()-COUNTIF($F$6:INDEX($F:$F, ROW()-1), $F571)) : INDEX(AB:AB, ROW()-1)
   )
   /SUM(INDEX(AB:AB, ROW()-COUNTIF($F$6:INDEX($F:$F, ROW()-1), $F571)) : INDEX(AB:AB, ROW()-1)),
          _xlfn.MINIFS(unit_details[Asking Rent],
          unit_details[Active Listing?],TRUE,
          unit_details[Property Name], $F572,
          unit_details[Beds], $L572,
          unit_details[Baths], $M572,
          unit_details[Partial Baths], IF(ISNUMBER($N572),$N572,""),
          unit_details[Sqft],$P572
))),"")</f>
        <v/>
      </c>
      <c r="AE572" s="5" t="str">
        <f>IFERROR(IF($F572="Total",
          SUMPRODUCT(
   INDEX(AE:AE, ROW()-COUNTIF($F$6:INDEX($F:$F, ROW()-1), $F571)) : INDEX(AE:AE, ROW()-1),
   INDEX(AB:AB, ROW()-COUNTIF($F$6:INDEX($F:$F, ROW()-1), $F571)) : INDEX(AB:AB, ROW()-1)
   )
   /SUM(INDEX(AB:AB, ROW()-COUNTIF($F$6:INDEX($F:$F, ROW()-1), $F571)) : INDEX(AB:AB, ROW()-1)),
          AVERAGEIFS(unit_details[Asking Rent],
          unit_details[Active Listing?],TRUE,
          unit_details[Property Name], $F572,
          unit_details[Beds], $L572,
          unit_details[Baths], $M572,
          unit_details[Partial Baths], IF(ISNUMBER($N572),$N572,""),
          unit_details[Sqft],$P572
)),"")</f>
        <v/>
      </c>
      <c r="AF572" s="5" t="str">
        <f>IFERROR(IF(AE572="","",IF($F572="Total",
SUMPRODUCT(
   INDEX(AF:AF, ROW()-COUNTIF($F$6:INDEX($F:$F, ROW()-1), $F571)) : INDEX(AF:AF, ROW()-1),
   INDEX(AB:AB, ROW()-COUNTIF($F$6:INDEX($F:$F, ROW()-1), $F571)) : INDEX(AB:AB, ROW()-1)
   )
   /SUM(INDEX(AB:AB, ROW()-COUNTIF($F$6:INDEX($F:$F, ROW()-1), $F571)) : INDEX(AB:AB, ROW()-1)),
           _xlfn.MAXIFS(unit_details[Asking Rent],
          unit_details[Active Listing?],TRUE,
          unit_details[Property Name], $F572,
          unit_details[Beds], $L572,
          unit_details[Baths], $M572,
          unit_details[Partial Baths], IF(ISNUMBER($N572),$N572,""),
          unit_details[Sqft],$P572
))),"")</f>
        <v/>
      </c>
      <c r="AG572" s="6" t="str">
        <f>IFERROR(IF($F572="Total",
         SUMPRODUCT(
         INDEX(AG:AG, ROW()-COUNTIF($F$6:INDEX($F:$F, ROW()-1), $F571)) : INDEX(AG:AG, ROW()-1),
         INDEX(AB:AB, ROW()-COUNTIF($F$6:INDEX($F:$F, ROW()-1), $F571)) : INDEX(AB:AB, ROW()-1)
         )
         /SUM(INDEX(AB:AB, ROW()-COUNTIF($F$6:INDEX($F:$F, ROW()-1), $F571)) : INDEX(AB:AB, ROW()-1)),
          AVERAGEIFS(unit_details[Asking PSF],
          unit_details[Active Listing?],TRUE,
          unit_details[Property Name], $F572,
          unit_details[Beds], $L572,
          unit_details[Baths], $M572,
          unit_details[Partial Baths], IF(ISNUMBER($N572),$N572,""),
          unit_details[Sqft],$P572
)),"")</f>
        <v/>
      </c>
      <c r="AH572" s="293" t="str">
        <f>IFERROR(IF($F572="Total",
         SUMPRODUCT(
         INDEX(AH:AH, ROW()-COUNTIF($F$6:INDEX($F:$F, ROW()-1), $F571)) : INDEX(AH:AH, ROW()-1),
         INDEX(AB:AB, ROW()-COUNTIF($F$6:INDEX($F:$F, ROW()-1), $F571)) : INDEX(AB:AB, ROW()-1)
         )
         /SUM(INDEX(AB:AB, ROW()-COUNTIF($F$6:INDEX($F:$F, ROW()-1), $F571)) : INDEX(AB:AB, ROW()-1)),
          AVERAGEIFS(unit_details[Effective Rent],
          unit_details[Active Listing?],TRUE,
          unit_details[Property Name], $F572,
          unit_details[Beds], $L572,
          unit_details[Baths], $M572,
          unit_details[Partial Baths], IF(ISNUMBER($N572),$N572,""),
          unit_details[Sqft],$P572
)),"")</f>
        <v/>
      </c>
      <c r="AI572" s="6" t="str">
        <f>IFERROR(IF($F572="Total",
         SUMPRODUCT(
         INDEX(AI:AI, ROW()-COUNTIF($F$6:INDEX($F:$F, ROW()-1), $F571)) : INDEX(AI:AI, ROW()-1),
         INDEX(AB:AB, ROW()-COUNTIF($F$6:INDEX($F:$F, ROW()-1), $F571)) : INDEX(AB:AB, ROW()-1)
         )
         /SUM(INDEX(AB:AB, ROW()-COUNTIF($F$6:INDEX($F:$F, ROW()-1), $F571)) : INDEX(AB:AB, ROW()-1)),
           AVERAGEIFS(unit_details[Effective PSF],
          unit_details[Active Listing?],TRUE,
          unit_details[Property Name], $F572,
          unit_details[Beds], $L572,
          unit_details[Baths], $M572,
          unit_details[Partial Baths], IF(ISNUMBER($N572),$N572,""),
          unit_details[Sqft],$P572
)),"")</f>
        <v/>
      </c>
      <c r="AJ572" s="824" t="str">
        <f t="shared" si="92"/>
        <v/>
      </c>
      <c r="AK572" s="531" t="str">
        <f t="shared" si="93"/>
        <v/>
      </c>
      <c r="AL572" s="714" t="str">
        <f t="shared" si="94"/>
        <v/>
      </c>
      <c r="AM572" s="531" t="str">
        <f t="shared" si="95"/>
        <v/>
      </c>
      <c r="AN572" s="716" t="str">
        <f t="shared" si="96"/>
        <v/>
      </c>
    </row>
    <row r="573" spans="6:40" x14ac:dyDescent="0.2">
      <c r="F573" s="1" t="str">
        <f t="shared" si="89"/>
        <v/>
      </c>
      <c r="G573" s="713" t="str">
        <f t="shared" si="97"/>
        <v/>
      </c>
      <c r="H573" s="17" t="str">
        <f>IFERROR(VLOOKUP($G573,Table1[[Property]:[Exposure %]],4,0),"")</f>
        <v/>
      </c>
      <c r="I573" s="3" t="str">
        <f>IFERROR(VLOOKUP($G573,Table1[[Property]:[Exposure %]],6,0),"")</f>
        <v/>
      </c>
      <c r="J573" s="3" t="str">
        <f>IFERROR(VLOOKUP($G573,Table1[[Property]:[Exposure %]],7,0),"")</f>
        <v/>
      </c>
      <c r="R573" s="4" t="str">
        <f>IFERROR(VLOOKUP(IF(F573="Total",F572,F573),Table1[[Property]:['# Units]],7,0)*S573,"")</f>
        <v/>
      </c>
      <c r="S573" s="27" t="str">
        <f t="shared" si="90"/>
        <v/>
      </c>
      <c r="T573" s="531" t="str">
        <f>IFERROR(
 IF($F573="Total",
   SUMPRODUCT(
   INDEX(T:T, ROW()-COUNTIF($F$6:INDEX($F:$F, ROW()-1), $F572)) : INDEX(T:T, ROW()-1),
   INDEX(W:W, ROW()-COUNTIF($F$6:INDEX($F:$F, ROW()-1), $F572)) : INDEX(W:W, ROW()-1)
   )
   /SUM(INDEX(W:W, ROW()-COUNTIF($F$6:INDEX($F:$F, ROW()-1), $F572)) : INDEX(W:W, ROW()-1)),
   AVERAGEIFS(
     INDEX((unit_details[Asking Rent],unit_details[Asking PSF]),0,1,IF($U$3="Chunk Rent",1,2)),
     unit_details[Leased Date],"&gt;="&amp;($AM$2-T$5),
     unit_details[Leased Date],"&lt;"&amp;$AM$2,
     unit_details[Beds],$L573,
     unit_details[Baths],$M573,
     unit_details[Partial Baths],IF(ISNUMBER($N573),$N573,""),
     unit_details[Sqft],$P573,
     unit_details[Property Name],$F573)
 ),"")</f>
        <v/>
      </c>
      <c r="U573" s="552" t="str">
        <f>IFERROR(
 IF($F573="Total",
   SUMPRODUCT(
   INDEX(U:U, ROW()-COUNTIF($F$6:INDEX($F:$F, ROW()-1), $F572)) : INDEX(U:U, ROW()-1),
   INDEX(W:W, ROW()-COUNTIF($F$6:INDEX($F:$F, ROW()-1), $F572)) : INDEX(W:W, ROW()-1)
   )
   /SUM(INDEX(W:W, ROW()-COUNTIF($F$6:INDEX($F:$F, ROW()-1), $F572)) : INDEX(W:W, ROW()-1)),
   AVERAGEIFS(
     INDEX((unit_details[Effective Rent],unit_details[Effective PSF]),0,1,IF($U$3="Chunk Rent",1,2)),
     unit_details[Leased Date],"&gt;="&amp;($AM$2-T$5),
     unit_details[Leased Date],"&lt;"&amp;$AM$2,
     unit_details[Beds],$L573,
     unit_details[Baths],$M573,
     unit_details[Partial Baths],IF(ISNUMBER($N573),$N573,""),
     unit_details[Sqft],$P573,
     unit_details[Property Name],$F573)
 ),"")</f>
        <v/>
      </c>
      <c r="V573" s="27" t="str">
        <f t="shared" si="98"/>
        <v/>
      </c>
      <c r="W573" s="526">
        <f>IFERROR(
  IF($F573="Total",
    SUM(INDEX(W:W, ROW()-COUNTIF($F$6:INDEX($F:$F, ROW()-1), $F572)) : INDEX(W:W, ROW()-1)),
    COUNTIFS(
      unit_details[Leased Date], "&gt;="&amp;($AM$2-T$5),
      unit_details[Leased Date], "&lt;"&amp;$AM$2,
      unit_details[Beds], $L573,
      unit_details[Baths], $M573,
      unit_details[Partial Baths], IF(ISNUMBER($N573), $N573, ""),
      unit_details[Sqft],$P573,
      unit_details[Property Name], $F573
    )
  ),
"")</f>
        <v>0</v>
      </c>
      <c r="X573" s="531" t="str">
        <f>IFERROR(
 IF($F573="Total",
   SUMPRODUCT(
   INDEX(X:X, ROW()-COUNTIF($F$6:INDEX($F:$F, ROW()-1), $F572)) : INDEX(X:X, ROW()-1),
   INDEX(AA:AA, ROW()-COUNTIF($F$6:INDEX($F:$F, ROW()-1), $F572)) : INDEX(AA:AA, ROW()-1)
   )
   /SUM(INDEX(AA:AA, ROW()-COUNTIF($F$6:INDEX($F:$F, ROW()-1), $F572)) : INDEX(AA:AA, ROW()-1)),
   AVERAGEIFS(
     INDEX((unit_details[Asking Rent],unit_details[Asking PSF]),0,1,IF($U$3="Chunk Rent",1,2)),
     unit_details[Leased Date],"&gt;="&amp;($AM$2-X$5),
     unit_details[Leased Date],"&lt;"&amp;$AM$2,
     unit_details[Beds],$L573,
     unit_details[Baths],$M573,
     unit_details[Partial Baths],IF(ISNUMBER($N573),$N573,""),
     unit_details[Sqft],$P573,
     unit_details[Property Name],$F573)
 ),"")</f>
        <v/>
      </c>
      <c r="Y573" s="552" t="str">
        <f>IFERROR(
 IF($F573="Total",
   SUMPRODUCT(
   INDEX(Y:Y, ROW()-COUNTIF($F$6:INDEX($F:$F, ROW()-1), $F572)) : INDEX(Y:Y, ROW()-1),
   INDEX(AA:AA, ROW()-COUNTIF($F$6:INDEX($F:$F, ROW()-1), $F572)) : INDEX(AA:AA, ROW()-1)
   )
   /SUM(INDEX(AA:AA, ROW()-COUNTIF($F$6:INDEX($F:$F, ROW()-1), $F572)) : INDEX(AA:AA, ROW()-1)),
   AVERAGEIFS(
     INDEX((unit_details[Effective Rent],unit_details[Effective PSF]),0,1,IF($U$3="Chunk Rent",1,2)),
     unit_details[Leased Date],"&gt;="&amp;($AM$2-X$5),
     unit_details[Leased Date],"&lt;"&amp;$AM$2,
     unit_details[Beds],$L573,
     unit_details[Baths],$M573,
     unit_details[Partial Baths],IF(ISNUMBER($N573),$N573,""),
     unit_details[Sqft],$P573,
     unit_details[Property Name],$F573)
 ),"")</f>
        <v/>
      </c>
      <c r="Z573" s="27" t="str">
        <f t="shared" si="99"/>
        <v/>
      </c>
      <c r="AA573" s="526">
        <f>IFERROR(
  IF($F573="Total",
    SUM(INDEX(AA:AA, ROW()-COUNTIF($F$6:INDEX($F:$F, ROW()-1), $F572)) : INDEX(AA:AA, ROW()-1)),
    COUNTIFS(
      unit_details[Leased Date], "&gt;="&amp;($AM$2-X$5),
      unit_details[Leased Date], "&lt;"&amp;$AM$2,
      unit_details[Beds], $L573,
      unit_details[Baths], $M573,
      unit_details[Partial Baths], IF(ISNUMBER($N573), $N573, ""),
      unit_details[Sqft],$P573,
      unit_details[Property Name], $F573
    )
  ),
"")</f>
        <v>0</v>
      </c>
      <c r="AB573" s="290">
        <f>IF($F573="Total",
SUM(INDEX(AB:AB, ROW()-COUNTIF($F$6:INDEX($F:$F, ROW()-1), $F572)) : INDEX(AB:AB, ROW()-1)),
COUNTIFS(unit_details[Active Listing?],TRUE,
          unit_details[Property Name], $F573,
          unit_details[Beds], $L573,
          unit_details[Baths], $M573,
          unit_details[Partial Baths],IF(ISNUMBER($N573),$N573,""),
          unit_details[Sqft],$P573))</f>
        <v>0</v>
      </c>
      <c r="AC573" s="27" t="str">
        <f t="shared" si="91"/>
        <v/>
      </c>
      <c r="AD573" s="293" t="str">
        <f>IFERROR(IF(AE573="","",IF($F573="Total",
SUMPRODUCT(
   INDEX(AD:AD, ROW()-COUNTIF($F$6:INDEX($F:$F, ROW()-1), $F572)) : INDEX(AD:AD, ROW()-1),
   INDEX(AB:AB, ROW()-COUNTIF($F$6:INDEX($F:$F, ROW()-1), $F572)) : INDEX(AB:AB, ROW()-1)
   )
   /SUM(INDEX(AB:AB, ROW()-COUNTIF($F$6:INDEX($F:$F, ROW()-1), $F572)) : INDEX(AB:AB, ROW()-1)),
          _xlfn.MINIFS(unit_details[Asking Rent],
          unit_details[Active Listing?],TRUE,
          unit_details[Property Name], $F573,
          unit_details[Beds], $L573,
          unit_details[Baths], $M573,
          unit_details[Partial Baths], IF(ISNUMBER($N573),$N573,""),
          unit_details[Sqft],$P573
))),"")</f>
        <v/>
      </c>
      <c r="AE573" s="5" t="str">
        <f>IFERROR(IF($F573="Total",
          SUMPRODUCT(
   INDEX(AE:AE, ROW()-COUNTIF($F$6:INDEX($F:$F, ROW()-1), $F572)) : INDEX(AE:AE, ROW()-1),
   INDEX(AB:AB, ROW()-COUNTIF($F$6:INDEX($F:$F, ROW()-1), $F572)) : INDEX(AB:AB, ROW()-1)
   )
   /SUM(INDEX(AB:AB, ROW()-COUNTIF($F$6:INDEX($F:$F, ROW()-1), $F572)) : INDEX(AB:AB, ROW()-1)),
          AVERAGEIFS(unit_details[Asking Rent],
          unit_details[Active Listing?],TRUE,
          unit_details[Property Name], $F573,
          unit_details[Beds], $L573,
          unit_details[Baths], $M573,
          unit_details[Partial Baths], IF(ISNUMBER($N573),$N573,""),
          unit_details[Sqft],$P573
)),"")</f>
        <v/>
      </c>
      <c r="AF573" s="5" t="str">
        <f>IFERROR(IF(AE573="","",IF($F573="Total",
SUMPRODUCT(
   INDEX(AF:AF, ROW()-COUNTIF($F$6:INDEX($F:$F, ROW()-1), $F572)) : INDEX(AF:AF, ROW()-1),
   INDEX(AB:AB, ROW()-COUNTIF($F$6:INDEX($F:$F, ROW()-1), $F572)) : INDEX(AB:AB, ROW()-1)
   )
   /SUM(INDEX(AB:AB, ROW()-COUNTIF($F$6:INDEX($F:$F, ROW()-1), $F572)) : INDEX(AB:AB, ROW()-1)),
           _xlfn.MAXIFS(unit_details[Asking Rent],
          unit_details[Active Listing?],TRUE,
          unit_details[Property Name], $F573,
          unit_details[Beds], $L573,
          unit_details[Baths], $M573,
          unit_details[Partial Baths], IF(ISNUMBER($N573),$N573,""),
          unit_details[Sqft],$P573
))),"")</f>
        <v/>
      </c>
      <c r="AG573" s="6" t="str">
        <f>IFERROR(IF($F573="Total",
         SUMPRODUCT(
         INDEX(AG:AG, ROW()-COUNTIF($F$6:INDEX($F:$F, ROW()-1), $F572)) : INDEX(AG:AG, ROW()-1),
         INDEX(AB:AB, ROW()-COUNTIF($F$6:INDEX($F:$F, ROW()-1), $F572)) : INDEX(AB:AB, ROW()-1)
         )
         /SUM(INDEX(AB:AB, ROW()-COUNTIF($F$6:INDEX($F:$F, ROW()-1), $F572)) : INDEX(AB:AB, ROW()-1)),
          AVERAGEIFS(unit_details[Asking PSF],
          unit_details[Active Listing?],TRUE,
          unit_details[Property Name], $F573,
          unit_details[Beds], $L573,
          unit_details[Baths], $M573,
          unit_details[Partial Baths], IF(ISNUMBER($N573),$N573,""),
          unit_details[Sqft],$P573
)),"")</f>
        <v/>
      </c>
      <c r="AH573" s="293" t="str">
        <f>IFERROR(IF($F573="Total",
         SUMPRODUCT(
         INDEX(AH:AH, ROW()-COUNTIF($F$6:INDEX($F:$F, ROW()-1), $F572)) : INDEX(AH:AH, ROW()-1),
         INDEX(AB:AB, ROW()-COUNTIF($F$6:INDEX($F:$F, ROW()-1), $F572)) : INDEX(AB:AB, ROW()-1)
         )
         /SUM(INDEX(AB:AB, ROW()-COUNTIF($F$6:INDEX($F:$F, ROW()-1), $F572)) : INDEX(AB:AB, ROW()-1)),
          AVERAGEIFS(unit_details[Effective Rent],
          unit_details[Active Listing?],TRUE,
          unit_details[Property Name], $F573,
          unit_details[Beds], $L573,
          unit_details[Baths], $M573,
          unit_details[Partial Baths], IF(ISNUMBER($N573),$N573,""),
          unit_details[Sqft],$P573
)),"")</f>
        <v/>
      </c>
      <c r="AI573" s="6" t="str">
        <f>IFERROR(IF($F573="Total",
         SUMPRODUCT(
         INDEX(AI:AI, ROW()-COUNTIF($F$6:INDEX($F:$F, ROW()-1), $F572)) : INDEX(AI:AI, ROW()-1),
         INDEX(AB:AB, ROW()-COUNTIF($F$6:INDEX($F:$F, ROW()-1), $F572)) : INDEX(AB:AB, ROW()-1)
         )
         /SUM(INDEX(AB:AB, ROW()-COUNTIF($F$6:INDEX($F:$F, ROW()-1), $F572)) : INDEX(AB:AB, ROW()-1)),
           AVERAGEIFS(unit_details[Effective PSF],
          unit_details[Active Listing?],TRUE,
          unit_details[Property Name], $F573,
          unit_details[Beds], $L573,
          unit_details[Baths], $M573,
          unit_details[Partial Baths], IF(ISNUMBER($N573),$N573,""),
          unit_details[Sqft],$P573
)),"")</f>
        <v/>
      </c>
      <c r="AJ573" s="824" t="str">
        <f t="shared" si="92"/>
        <v/>
      </c>
      <c r="AK573" s="531" t="str">
        <f t="shared" si="93"/>
        <v/>
      </c>
      <c r="AL573" s="714" t="str">
        <f t="shared" si="94"/>
        <v/>
      </c>
      <c r="AM573" s="531" t="str">
        <f t="shared" si="95"/>
        <v/>
      </c>
      <c r="AN573" s="716" t="str">
        <f t="shared" si="96"/>
        <v/>
      </c>
    </row>
    <row r="574" spans="6:40" x14ac:dyDescent="0.2">
      <c r="F574" s="1" t="str">
        <f t="shared" si="89"/>
        <v/>
      </c>
      <c r="G574" s="713" t="str">
        <f t="shared" si="97"/>
        <v/>
      </c>
      <c r="H574" s="17" t="str">
        <f>IFERROR(VLOOKUP($G574,Table1[[Property]:[Exposure %]],4,0),"")</f>
        <v/>
      </c>
      <c r="I574" s="3" t="str">
        <f>IFERROR(VLOOKUP($G574,Table1[[Property]:[Exposure %]],6,0),"")</f>
        <v/>
      </c>
      <c r="J574" s="3" t="str">
        <f>IFERROR(VLOOKUP($G574,Table1[[Property]:[Exposure %]],7,0),"")</f>
        <v/>
      </c>
      <c r="R574" s="4" t="str">
        <f>IFERROR(VLOOKUP(IF(F574="Total",F573,F574),Table1[[Property]:['# Units]],7,0)*S574,"")</f>
        <v/>
      </c>
      <c r="S574" s="27" t="str">
        <f t="shared" si="90"/>
        <v/>
      </c>
      <c r="T574" s="531" t="str">
        <f>IFERROR(
 IF($F574="Total",
   SUMPRODUCT(
   INDEX(T:T, ROW()-COUNTIF($F$6:INDEX($F:$F, ROW()-1), $F573)) : INDEX(T:T, ROW()-1),
   INDEX(W:W, ROW()-COUNTIF($F$6:INDEX($F:$F, ROW()-1), $F573)) : INDEX(W:W, ROW()-1)
   )
   /SUM(INDEX(W:W, ROW()-COUNTIF($F$6:INDEX($F:$F, ROW()-1), $F573)) : INDEX(W:W, ROW()-1)),
   AVERAGEIFS(
     INDEX((unit_details[Asking Rent],unit_details[Asking PSF]),0,1,IF($U$3="Chunk Rent",1,2)),
     unit_details[Leased Date],"&gt;="&amp;($AM$2-T$5),
     unit_details[Leased Date],"&lt;"&amp;$AM$2,
     unit_details[Beds],$L574,
     unit_details[Baths],$M574,
     unit_details[Partial Baths],IF(ISNUMBER($N574),$N574,""),
     unit_details[Sqft],$P574,
     unit_details[Property Name],$F574)
 ),"")</f>
        <v/>
      </c>
      <c r="U574" s="552" t="str">
        <f>IFERROR(
 IF($F574="Total",
   SUMPRODUCT(
   INDEX(U:U, ROW()-COUNTIF($F$6:INDEX($F:$F, ROW()-1), $F573)) : INDEX(U:U, ROW()-1),
   INDEX(W:W, ROW()-COUNTIF($F$6:INDEX($F:$F, ROW()-1), $F573)) : INDEX(W:W, ROW()-1)
   )
   /SUM(INDEX(W:W, ROW()-COUNTIF($F$6:INDEX($F:$F, ROW()-1), $F573)) : INDEX(W:W, ROW()-1)),
   AVERAGEIFS(
     INDEX((unit_details[Effective Rent],unit_details[Effective PSF]),0,1,IF($U$3="Chunk Rent",1,2)),
     unit_details[Leased Date],"&gt;="&amp;($AM$2-T$5),
     unit_details[Leased Date],"&lt;"&amp;$AM$2,
     unit_details[Beds],$L574,
     unit_details[Baths],$M574,
     unit_details[Partial Baths],IF(ISNUMBER($N574),$N574,""),
     unit_details[Sqft],$P574,
     unit_details[Property Name],$F574)
 ),"")</f>
        <v/>
      </c>
      <c r="V574" s="27" t="str">
        <f t="shared" si="98"/>
        <v/>
      </c>
      <c r="W574" s="526">
        <f>IFERROR(
  IF($F574="Total",
    SUM(INDEX(W:W, ROW()-COUNTIF($F$6:INDEX($F:$F, ROW()-1), $F573)) : INDEX(W:W, ROW()-1)),
    COUNTIFS(
      unit_details[Leased Date], "&gt;="&amp;($AM$2-T$5),
      unit_details[Leased Date], "&lt;"&amp;$AM$2,
      unit_details[Beds], $L574,
      unit_details[Baths], $M574,
      unit_details[Partial Baths], IF(ISNUMBER($N574), $N574, ""),
      unit_details[Sqft],$P574,
      unit_details[Property Name], $F574
    )
  ),
"")</f>
        <v>0</v>
      </c>
      <c r="X574" s="531" t="str">
        <f>IFERROR(
 IF($F574="Total",
   SUMPRODUCT(
   INDEX(X:X, ROW()-COUNTIF($F$6:INDEX($F:$F, ROW()-1), $F573)) : INDEX(X:X, ROW()-1),
   INDEX(AA:AA, ROW()-COUNTIF($F$6:INDEX($F:$F, ROW()-1), $F573)) : INDEX(AA:AA, ROW()-1)
   )
   /SUM(INDEX(AA:AA, ROW()-COUNTIF($F$6:INDEX($F:$F, ROW()-1), $F573)) : INDEX(AA:AA, ROW()-1)),
   AVERAGEIFS(
     INDEX((unit_details[Asking Rent],unit_details[Asking PSF]),0,1,IF($U$3="Chunk Rent",1,2)),
     unit_details[Leased Date],"&gt;="&amp;($AM$2-X$5),
     unit_details[Leased Date],"&lt;"&amp;$AM$2,
     unit_details[Beds],$L574,
     unit_details[Baths],$M574,
     unit_details[Partial Baths],IF(ISNUMBER($N574),$N574,""),
     unit_details[Sqft],$P574,
     unit_details[Property Name],$F574)
 ),"")</f>
        <v/>
      </c>
      <c r="Y574" s="552" t="str">
        <f>IFERROR(
 IF($F574="Total",
   SUMPRODUCT(
   INDEX(Y:Y, ROW()-COUNTIF($F$6:INDEX($F:$F, ROW()-1), $F573)) : INDEX(Y:Y, ROW()-1),
   INDEX(AA:AA, ROW()-COUNTIF($F$6:INDEX($F:$F, ROW()-1), $F573)) : INDEX(AA:AA, ROW()-1)
   )
   /SUM(INDEX(AA:AA, ROW()-COUNTIF($F$6:INDEX($F:$F, ROW()-1), $F573)) : INDEX(AA:AA, ROW()-1)),
   AVERAGEIFS(
     INDEX((unit_details[Effective Rent],unit_details[Effective PSF]),0,1,IF($U$3="Chunk Rent",1,2)),
     unit_details[Leased Date],"&gt;="&amp;($AM$2-X$5),
     unit_details[Leased Date],"&lt;"&amp;$AM$2,
     unit_details[Beds],$L574,
     unit_details[Baths],$M574,
     unit_details[Partial Baths],IF(ISNUMBER($N574),$N574,""),
     unit_details[Sqft],$P574,
     unit_details[Property Name],$F574)
 ),"")</f>
        <v/>
      </c>
      <c r="Z574" s="27" t="str">
        <f t="shared" si="99"/>
        <v/>
      </c>
      <c r="AA574" s="526">
        <f>IFERROR(
  IF($F574="Total",
    SUM(INDEX(AA:AA, ROW()-COUNTIF($F$6:INDEX($F:$F, ROW()-1), $F573)) : INDEX(AA:AA, ROW()-1)),
    COUNTIFS(
      unit_details[Leased Date], "&gt;="&amp;($AM$2-X$5),
      unit_details[Leased Date], "&lt;"&amp;$AM$2,
      unit_details[Beds], $L574,
      unit_details[Baths], $M574,
      unit_details[Partial Baths], IF(ISNUMBER($N574), $N574, ""),
      unit_details[Sqft],$P574,
      unit_details[Property Name], $F574
    )
  ),
"")</f>
        <v>0</v>
      </c>
      <c r="AB574" s="290">
        <f>IF($F574="Total",
SUM(INDEX(AB:AB, ROW()-COUNTIF($F$6:INDEX($F:$F, ROW()-1), $F573)) : INDEX(AB:AB, ROW()-1)),
COUNTIFS(unit_details[Active Listing?],TRUE,
          unit_details[Property Name], $F574,
          unit_details[Beds], $L574,
          unit_details[Baths], $M574,
          unit_details[Partial Baths],IF(ISNUMBER($N574),$N574,""),
          unit_details[Sqft],$P574))</f>
        <v>0</v>
      </c>
      <c r="AC574" s="27" t="str">
        <f t="shared" si="91"/>
        <v/>
      </c>
      <c r="AD574" s="293" t="str">
        <f>IFERROR(IF(AE574="","",IF($F574="Total",
SUMPRODUCT(
   INDEX(AD:AD, ROW()-COUNTIF($F$6:INDEX($F:$F, ROW()-1), $F573)) : INDEX(AD:AD, ROW()-1),
   INDEX(AB:AB, ROW()-COUNTIF($F$6:INDEX($F:$F, ROW()-1), $F573)) : INDEX(AB:AB, ROW()-1)
   )
   /SUM(INDEX(AB:AB, ROW()-COUNTIF($F$6:INDEX($F:$F, ROW()-1), $F573)) : INDEX(AB:AB, ROW()-1)),
          _xlfn.MINIFS(unit_details[Asking Rent],
          unit_details[Active Listing?],TRUE,
          unit_details[Property Name], $F574,
          unit_details[Beds], $L574,
          unit_details[Baths], $M574,
          unit_details[Partial Baths], IF(ISNUMBER($N574),$N574,""),
          unit_details[Sqft],$P574
))),"")</f>
        <v/>
      </c>
      <c r="AE574" s="5" t="str">
        <f>IFERROR(IF($F574="Total",
          SUMPRODUCT(
   INDEX(AE:AE, ROW()-COUNTIF($F$6:INDEX($F:$F, ROW()-1), $F573)) : INDEX(AE:AE, ROW()-1),
   INDEX(AB:AB, ROW()-COUNTIF($F$6:INDEX($F:$F, ROW()-1), $F573)) : INDEX(AB:AB, ROW()-1)
   )
   /SUM(INDEX(AB:AB, ROW()-COUNTIF($F$6:INDEX($F:$F, ROW()-1), $F573)) : INDEX(AB:AB, ROW()-1)),
          AVERAGEIFS(unit_details[Asking Rent],
          unit_details[Active Listing?],TRUE,
          unit_details[Property Name], $F574,
          unit_details[Beds], $L574,
          unit_details[Baths], $M574,
          unit_details[Partial Baths], IF(ISNUMBER($N574),$N574,""),
          unit_details[Sqft],$P574
)),"")</f>
        <v/>
      </c>
      <c r="AF574" s="5" t="str">
        <f>IFERROR(IF(AE574="","",IF($F574="Total",
SUMPRODUCT(
   INDEX(AF:AF, ROW()-COUNTIF($F$6:INDEX($F:$F, ROW()-1), $F573)) : INDEX(AF:AF, ROW()-1),
   INDEX(AB:AB, ROW()-COUNTIF($F$6:INDEX($F:$F, ROW()-1), $F573)) : INDEX(AB:AB, ROW()-1)
   )
   /SUM(INDEX(AB:AB, ROW()-COUNTIF($F$6:INDEX($F:$F, ROW()-1), $F573)) : INDEX(AB:AB, ROW()-1)),
           _xlfn.MAXIFS(unit_details[Asking Rent],
          unit_details[Active Listing?],TRUE,
          unit_details[Property Name], $F574,
          unit_details[Beds], $L574,
          unit_details[Baths], $M574,
          unit_details[Partial Baths], IF(ISNUMBER($N574),$N574,""),
          unit_details[Sqft],$P574
))),"")</f>
        <v/>
      </c>
      <c r="AG574" s="6" t="str">
        <f>IFERROR(IF($F574="Total",
         SUMPRODUCT(
         INDEX(AG:AG, ROW()-COUNTIF($F$6:INDEX($F:$F, ROW()-1), $F573)) : INDEX(AG:AG, ROW()-1),
         INDEX(AB:AB, ROW()-COUNTIF($F$6:INDEX($F:$F, ROW()-1), $F573)) : INDEX(AB:AB, ROW()-1)
         )
         /SUM(INDEX(AB:AB, ROW()-COUNTIF($F$6:INDEX($F:$F, ROW()-1), $F573)) : INDEX(AB:AB, ROW()-1)),
          AVERAGEIFS(unit_details[Asking PSF],
          unit_details[Active Listing?],TRUE,
          unit_details[Property Name], $F574,
          unit_details[Beds], $L574,
          unit_details[Baths], $M574,
          unit_details[Partial Baths], IF(ISNUMBER($N574),$N574,""),
          unit_details[Sqft],$P574
)),"")</f>
        <v/>
      </c>
      <c r="AH574" s="293" t="str">
        <f>IFERROR(IF($F574="Total",
         SUMPRODUCT(
         INDEX(AH:AH, ROW()-COUNTIF($F$6:INDEX($F:$F, ROW()-1), $F573)) : INDEX(AH:AH, ROW()-1),
         INDEX(AB:AB, ROW()-COUNTIF($F$6:INDEX($F:$F, ROW()-1), $F573)) : INDEX(AB:AB, ROW()-1)
         )
         /SUM(INDEX(AB:AB, ROW()-COUNTIF($F$6:INDEX($F:$F, ROW()-1), $F573)) : INDEX(AB:AB, ROW()-1)),
          AVERAGEIFS(unit_details[Effective Rent],
          unit_details[Active Listing?],TRUE,
          unit_details[Property Name], $F574,
          unit_details[Beds], $L574,
          unit_details[Baths], $M574,
          unit_details[Partial Baths], IF(ISNUMBER($N574),$N574,""),
          unit_details[Sqft],$P574
)),"")</f>
        <v/>
      </c>
      <c r="AI574" s="6" t="str">
        <f>IFERROR(IF($F574="Total",
         SUMPRODUCT(
         INDEX(AI:AI, ROW()-COUNTIF($F$6:INDEX($F:$F, ROW()-1), $F573)) : INDEX(AI:AI, ROW()-1),
         INDEX(AB:AB, ROW()-COUNTIF($F$6:INDEX($F:$F, ROW()-1), $F573)) : INDEX(AB:AB, ROW()-1)
         )
         /SUM(INDEX(AB:AB, ROW()-COUNTIF($F$6:INDEX($F:$F, ROW()-1), $F573)) : INDEX(AB:AB, ROW()-1)),
           AVERAGEIFS(unit_details[Effective PSF],
          unit_details[Active Listing?],TRUE,
          unit_details[Property Name], $F574,
          unit_details[Beds], $L574,
          unit_details[Baths], $M574,
          unit_details[Partial Baths], IF(ISNUMBER($N574),$N574,""),
          unit_details[Sqft],$P574
)),"")</f>
        <v/>
      </c>
      <c r="AJ574" s="824" t="str">
        <f t="shared" si="92"/>
        <v/>
      </c>
      <c r="AK574" s="531" t="str">
        <f t="shared" si="93"/>
        <v/>
      </c>
      <c r="AL574" s="714" t="str">
        <f t="shared" si="94"/>
        <v/>
      </c>
      <c r="AM574" s="531" t="str">
        <f t="shared" si="95"/>
        <v/>
      </c>
      <c r="AN574" s="716" t="str">
        <f t="shared" si="96"/>
        <v/>
      </c>
    </row>
    <row r="575" spans="6:40" x14ac:dyDescent="0.2">
      <c r="F575" s="1" t="str">
        <f t="shared" si="89"/>
        <v/>
      </c>
      <c r="G575" s="713" t="str">
        <f t="shared" si="97"/>
        <v/>
      </c>
      <c r="H575" s="17" t="str">
        <f>IFERROR(VLOOKUP($G575,Table1[[Property]:[Exposure %]],4,0),"")</f>
        <v/>
      </c>
      <c r="I575" s="3" t="str">
        <f>IFERROR(VLOOKUP($G575,Table1[[Property]:[Exposure %]],6,0),"")</f>
        <v/>
      </c>
      <c r="J575" s="3" t="str">
        <f>IFERROR(VLOOKUP($G575,Table1[[Property]:[Exposure %]],7,0),"")</f>
        <v/>
      </c>
      <c r="R575" s="4" t="str">
        <f>IFERROR(VLOOKUP(IF(F575="Total",F574,F575),Table1[[Property]:['# Units]],7,0)*S575,"")</f>
        <v/>
      </c>
      <c r="S575" s="27" t="str">
        <f t="shared" si="90"/>
        <v/>
      </c>
      <c r="T575" s="531" t="str">
        <f>IFERROR(
 IF($F575="Total",
   SUMPRODUCT(
   INDEX(T:T, ROW()-COUNTIF($F$6:INDEX($F:$F, ROW()-1), $F574)) : INDEX(T:T, ROW()-1),
   INDEX(W:W, ROW()-COUNTIF($F$6:INDEX($F:$F, ROW()-1), $F574)) : INDEX(W:W, ROW()-1)
   )
   /SUM(INDEX(W:W, ROW()-COUNTIF($F$6:INDEX($F:$F, ROW()-1), $F574)) : INDEX(W:W, ROW()-1)),
   AVERAGEIFS(
     INDEX((unit_details[Asking Rent],unit_details[Asking PSF]),0,1,IF($U$3="Chunk Rent",1,2)),
     unit_details[Leased Date],"&gt;="&amp;($AM$2-T$5),
     unit_details[Leased Date],"&lt;"&amp;$AM$2,
     unit_details[Beds],$L575,
     unit_details[Baths],$M575,
     unit_details[Partial Baths],IF(ISNUMBER($N575),$N575,""),
     unit_details[Sqft],$P575,
     unit_details[Property Name],$F575)
 ),"")</f>
        <v/>
      </c>
      <c r="U575" s="552" t="str">
        <f>IFERROR(
 IF($F575="Total",
   SUMPRODUCT(
   INDEX(U:U, ROW()-COUNTIF($F$6:INDEX($F:$F, ROW()-1), $F574)) : INDEX(U:U, ROW()-1),
   INDEX(W:W, ROW()-COUNTIF($F$6:INDEX($F:$F, ROW()-1), $F574)) : INDEX(W:W, ROW()-1)
   )
   /SUM(INDEX(W:W, ROW()-COUNTIF($F$6:INDEX($F:$F, ROW()-1), $F574)) : INDEX(W:W, ROW()-1)),
   AVERAGEIFS(
     INDEX((unit_details[Effective Rent],unit_details[Effective PSF]),0,1,IF($U$3="Chunk Rent",1,2)),
     unit_details[Leased Date],"&gt;="&amp;($AM$2-T$5),
     unit_details[Leased Date],"&lt;"&amp;$AM$2,
     unit_details[Beds],$L575,
     unit_details[Baths],$M575,
     unit_details[Partial Baths],IF(ISNUMBER($N575),$N575,""),
     unit_details[Sqft],$P575,
     unit_details[Property Name],$F575)
 ),"")</f>
        <v/>
      </c>
      <c r="V575" s="27" t="str">
        <f t="shared" si="98"/>
        <v/>
      </c>
      <c r="W575" s="526">
        <f>IFERROR(
  IF($F575="Total",
    SUM(INDEX(W:W, ROW()-COUNTIF($F$6:INDEX($F:$F, ROW()-1), $F574)) : INDEX(W:W, ROW()-1)),
    COUNTIFS(
      unit_details[Leased Date], "&gt;="&amp;($AM$2-T$5),
      unit_details[Leased Date], "&lt;"&amp;$AM$2,
      unit_details[Beds], $L575,
      unit_details[Baths], $M575,
      unit_details[Partial Baths], IF(ISNUMBER($N575), $N575, ""),
      unit_details[Sqft],$P575,
      unit_details[Property Name], $F575
    )
  ),
"")</f>
        <v>0</v>
      </c>
      <c r="X575" s="531" t="str">
        <f>IFERROR(
 IF($F575="Total",
   SUMPRODUCT(
   INDEX(X:X, ROW()-COUNTIF($F$6:INDEX($F:$F, ROW()-1), $F574)) : INDEX(X:X, ROW()-1),
   INDEX(AA:AA, ROW()-COUNTIF($F$6:INDEX($F:$F, ROW()-1), $F574)) : INDEX(AA:AA, ROW()-1)
   )
   /SUM(INDEX(AA:AA, ROW()-COUNTIF($F$6:INDEX($F:$F, ROW()-1), $F574)) : INDEX(AA:AA, ROW()-1)),
   AVERAGEIFS(
     INDEX((unit_details[Asking Rent],unit_details[Asking PSF]),0,1,IF($U$3="Chunk Rent",1,2)),
     unit_details[Leased Date],"&gt;="&amp;($AM$2-X$5),
     unit_details[Leased Date],"&lt;"&amp;$AM$2,
     unit_details[Beds],$L575,
     unit_details[Baths],$M575,
     unit_details[Partial Baths],IF(ISNUMBER($N575),$N575,""),
     unit_details[Sqft],$P575,
     unit_details[Property Name],$F575)
 ),"")</f>
        <v/>
      </c>
      <c r="Y575" s="552" t="str">
        <f>IFERROR(
 IF($F575="Total",
   SUMPRODUCT(
   INDEX(Y:Y, ROW()-COUNTIF($F$6:INDEX($F:$F, ROW()-1), $F574)) : INDEX(Y:Y, ROW()-1),
   INDEX(AA:AA, ROW()-COUNTIF($F$6:INDEX($F:$F, ROW()-1), $F574)) : INDEX(AA:AA, ROW()-1)
   )
   /SUM(INDEX(AA:AA, ROW()-COUNTIF($F$6:INDEX($F:$F, ROW()-1), $F574)) : INDEX(AA:AA, ROW()-1)),
   AVERAGEIFS(
     INDEX((unit_details[Effective Rent],unit_details[Effective PSF]),0,1,IF($U$3="Chunk Rent",1,2)),
     unit_details[Leased Date],"&gt;="&amp;($AM$2-X$5),
     unit_details[Leased Date],"&lt;"&amp;$AM$2,
     unit_details[Beds],$L575,
     unit_details[Baths],$M575,
     unit_details[Partial Baths],IF(ISNUMBER($N575),$N575,""),
     unit_details[Sqft],$P575,
     unit_details[Property Name],$F575)
 ),"")</f>
        <v/>
      </c>
      <c r="Z575" s="27" t="str">
        <f t="shared" si="99"/>
        <v/>
      </c>
      <c r="AA575" s="526">
        <f>IFERROR(
  IF($F575="Total",
    SUM(INDEX(AA:AA, ROW()-COUNTIF($F$6:INDEX($F:$F, ROW()-1), $F574)) : INDEX(AA:AA, ROW()-1)),
    COUNTIFS(
      unit_details[Leased Date], "&gt;="&amp;($AM$2-X$5),
      unit_details[Leased Date], "&lt;"&amp;$AM$2,
      unit_details[Beds], $L575,
      unit_details[Baths], $M575,
      unit_details[Partial Baths], IF(ISNUMBER($N575), $N575, ""),
      unit_details[Sqft],$P575,
      unit_details[Property Name], $F575
    )
  ),
"")</f>
        <v>0</v>
      </c>
      <c r="AB575" s="290">
        <f>IF($F575="Total",
SUM(INDEX(AB:AB, ROW()-COUNTIF($F$6:INDEX($F:$F, ROW()-1), $F574)) : INDEX(AB:AB, ROW()-1)),
COUNTIFS(unit_details[Active Listing?],TRUE,
          unit_details[Property Name], $F575,
          unit_details[Beds], $L575,
          unit_details[Baths], $M575,
          unit_details[Partial Baths],IF(ISNUMBER($N575),$N575,""),
          unit_details[Sqft],$P575))</f>
        <v>0</v>
      </c>
      <c r="AC575" s="27" t="str">
        <f t="shared" si="91"/>
        <v/>
      </c>
      <c r="AD575" s="293" t="str">
        <f>IFERROR(IF(AE575="","",IF($F575="Total",
SUMPRODUCT(
   INDEX(AD:AD, ROW()-COUNTIF($F$6:INDEX($F:$F, ROW()-1), $F574)) : INDEX(AD:AD, ROW()-1),
   INDEX(AB:AB, ROW()-COUNTIF($F$6:INDEX($F:$F, ROW()-1), $F574)) : INDEX(AB:AB, ROW()-1)
   )
   /SUM(INDEX(AB:AB, ROW()-COUNTIF($F$6:INDEX($F:$F, ROW()-1), $F574)) : INDEX(AB:AB, ROW()-1)),
          _xlfn.MINIFS(unit_details[Asking Rent],
          unit_details[Active Listing?],TRUE,
          unit_details[Property Name], $F575,
          unit_details[Beds], $L575,
          unit_details[Baths], $M575,
          unit_details[Partial Baths], IF(ISNUMBER($N575),$N575,""),
          unit_details[Sqft],$P575
))),"")</f>
        <v/>
      </c>
      <c r="AE575" s="5" t="str">
        <f>IFERROR(IF($F575="Total",
          SUMPRODUCT(
   INDEX(AE:AE, ROW()-COUNTIF($F$6:INDEX($F:$F, ROW()-1), $F574)) : INDEX(AE:AE, ROW()-1),
   INDEX(AB:AB, ROW()-COUNTIF($F$6:INDEX($F:$F, ROW()-1), $F574)) : INDEX(AB:AB, ROW()-1)
   )
   /SUM(INDEX(AB:AB, ROW()-COUNTIF($F$6:INDEX($F:$F, ROW()-1), $F574)) : INDEX(AB:AB, ROW()-1)),
          AVERAGEIFS(unit_details[Asking Rent],
          unit_details[Active Listing?],TRUE,
          unit_details[Property Name], $F575,
          unit_details[Beds], $L575,
          unit_details[Baths], $M575,
          unit_details[Partial Baths], IF(ISNUMBER($N575),$N575,""),
          unit_details[Sqft],$P575
)),"")</f>
        <v/>
      </c>
      <c r="AF575" s="5" t="str">
        <f>IFERROR(IF(AE575="","",IF($F575="Total",
SUMPRODUCT(
   INDEX(AF:AF, ROW()-COUNTIF($F$6:INDEX($F:$F, ROW()-1), $F574)) : INDEX(AF:AF, ROW()-1),
   INDEX(AB:AB, ROW()-COUNTIF($F$6:INDEX($F:$F, ROW()-1), $F574)) : INDEX(AB:AB, ROW()-1)
   )
   /SUM(INDEX(AB:AB, ROW()-COUNTIF($F$6:INDEX($F:$F, ROW()-1), $F574)) : INDEX(AB:AB, ROW()-1)),
           _xlfn.MAXIFS(unit_details[Asking Rent],
          unit_details[Active Listing?],TRUE,
          unit_details[Property Name], $F575,
          unit_details[Beds], $L575,
          unit_details[Baths], $M575,
          unit_details[Partial Baths], IF(ISNUMBER($N575),$N575,""),
          unit_details[Sqft],$P575
))),"")</f>
        <v/>
      </c>
      <c r="AG575" s="6" t="str">
        <f>IFERROR(IF($F575="Total",
         SUMPRODUCT(
         INDEX(AG:AG, ROW()-COUNTIF($F$6:INDEX($F:$F, ROW()-1), $F574)) : INDEX(AG:AG, ROW()-1),
         INDEX(AB:AB, ROW()-COUNTIF($F$6:INDEX($F:$F, ROW()-1), $F574)) : INDEX(AB:AB, ROW()-1)
         )
         /SUM(INDEX(AB:AB, ROW()-COUNTIF($F$6:INDEX($F:$F, ROW()-1), $F574)) : INDEX(AB:AB, ROW()-1)),
          AVERAGEIFS(unit_details[Asking PSF],
          unit_details[Active Listing?],TRUE,
          unit_details[Property Name], $F575,
          unit_details[Beds], $L575,
          unit_details[Baths], $M575,
          unit_details[Partial Baths], IF(ISNUMBER($N575),$N575,""),
          unit_details[Sqft],$P575
)),"")</f>
        <v/>
      </c>
      <c r="AH575" s="293" t="str">
        <f>IFERROR(IF($F575="Total",
         SUMPRODUCT(
         INDEX(AH:AH, ROW()-COUNTIF($F$6:INDEX($F:$F, ROW()-1), $F574)) : INDEX(AH:AH, ROW()-1),
         INDEX(AB:AB, ROW()-COUNTIF($F$6:INDEX($F:$F, ROW()-1), $F574)) : INDEX(AB:AB, ROW()-1)
         )
         /SUM(INDEX(AB:AB, ROW()-COUNTIF($F$6:INDEX($F:$F, ROW()-1), $F574)) : INDEX(AB:AB, ROW()-1)),
          AVERAGEIFS(unit_details[Effective Rent],
          unit_details[Active Listing?],TRUE,
          unit_details[Property Name], $F575,
          unit_details[Beds], $L575,
          unit_details[Baths], $M575,
          unit_details[Partial Baths], IF(ISNUMBER($N575),$N575,""),
          unit_details[Sqft],$P575
)),"")</f>
        <v/>
      </c>
      <c r="AI575" s="6" t="str">
        <f>IFERROR(IF($F575="Total",
         SUMPRODUCT(
         INDEX(AI:AI, ROW()-COUNTIF($F$6:INDEX($F:$F, ROW()-1), $F574)) : INDEX(AI:AI, ROW()-1),
         INDEX(AB:AB, ROW()-COUNTIF($F$6:INDEX($F:$F, ROW()-1), $F574)) : INDEX(AB:AB, ROW()-1)
         )
         /SUM(INDEX(AB:AB, ROW()-COUNTIF($F$6:INDEX($F:$F, ROW()-1), $F574)) : INDEX(AB:AB, ROW()-1)),
           AVERAGEIFS(unit_details[Effective PSF],
          unit_details[Active Listing?],TRUE,
          unit_details[Property Name], $F575,
          unit_details[Beds], $L575,
          unit_details[Baths], $M575,
          unit_details[Partial Baths], IF(ISNUMBER($N575),$N575,""),
          unit_details[Sqft],$P575
)),"")</f>
        <v/>
      </c>
      <c r="AJ575" s="824" t="str">
        <f t="shared" si="92"/>
        <v/>
      </c>
      <c r="AK575" s="531" t="str">
        <f t="shared" si="93"/>
        <v/>
      </c>
      <c r="AL575" s="714" t="str">
        <f t="shared" si="94"/>
        <v/>
      </c>
      <c r="AM575" s="531" t="str">
        <f t="shared" si="95"/>
        <v/>
      </c>
      <c r="AN575" s="716" t="str">
        <f t="shared" si="96"/>
        <v/>
      </c>
    </row>
    <row r="576" spans="6:40" x14ac:dyDescent="0.2">
      <c r="F576" s="1" t="str">
        <f t="shared" si="89"/>
        <v/>
      </c>
      <c r="G576" s="713" t="str">
        <f t="shared" si="97"/>
        <v/>
      </c>
      <c r="H576" s="17" t="str">
        <f>IFERROR(VLOOKUP($G576,Table1[[Property]:[Exposure %]],4,0),"")</f>
        <v/>
      </c>
      <c r="I576" s="3" t="str">
        <f>IFERROR(VLOOKUP($G576,Table1[[Property]:[Exposure %]],6,0),"")</f>
        <v/>
      </c>
      <c r="J576" s="3" t="str">
        <f>IFERROR(VLOOKUP($G576,Table1[[Property]:[Exposure %]],7,0),"")</f>
        <v/>
      </c>
      <c r="R576" s="4" t="str">
        <f>IFERROR(VLOOKUP(IF(F576="Total",F575,F576),Table1[[Property]:['# Units]],7,0)*S576,"")</f>
        <v/>
      </c>
      <c r="S576" s="27" t="str">
        <f t="shared" si="90"/>
        <v/>
      </c>
      <c r="T576" s="531" t="str">
        <f>IFERROR(
 IF($F576="Total",
   SUMPRODUCT(
   INDEX(T:T, ROW()-COUNTIF($F$6:INDEX($F:$F, ROW()-1), $F575)) : INDEX(T:T, ROW()-1),
   INDEX(W:W, ROW()-COUNTIF($F$6:INDEX($F:$F, ROW()-1), $F575)) : INDEX(W:W, ROW()-1)
   )
   /SUM(INDEX(W:W, ROW()-COUNTIF($F$6:INDEX($F:$F, ROW()-1), $F575)) : INDEX(W:W, ROW()-1)),
   AVERAGEIFS(
     INDEX((unit_details[Asking Rent],unit_details[Asking PSF]),0,1,IF($U$3="Chunk Rent",1,2)),
     unit_details[Leased Date],"&gt;="&amp;($AM$2-T$5),
     unit_details[Leased Date],"&lt;"&amp;$AM$2,
     unit_details[Beds],$L576,
     unit_details[Baths],$M576,
     unit_details[Partial Baths],IF(ISNUMBER($N576),$N576,""),
     unit_details[Sqft],$P576,
     unit_details[Property Name],$F576)
 ),"")</f>
        <v/>
      </c>
      <c r="U576" s="552" t="str">
        <f>IFERROR(
 IF($F576="Total",
   SUMPRODUCT(
   INDEX(U:U, ROW()-COUNTIF($F$6:INDEX($F:$F, ROW()-1), $F575)) : INDEX(U:U, ROW()-1),
   INDEX(W:W, ROW()-COUNTIF($F$6:INDEX($F:$F, ROW()-1), $F575)) : INDEX(W:W, ROW()-1)
   )
   /SUM(INDEX(W:W, ROW()-COUNTIF($F$6:INDEX($F:$F, ROW()-1), $F575)) : INDEX(W:W, ROW()-1)),
   AVERAGEIFS(
     INDEX((unit_details[Effective Rent],unit_details[Effective PSF]),0,1,IF($U$3="Chunk Rent",1,2)),
     unit_details[Leased Date],"&gt;="&amp;($AM$2-T$5),
     unit_details[Leased Date],"&lt;"&amp;$AM$2,
     unit_details[Beds],$L576,
     unit_details[Baths],$M576,
     unit_details[Partial Baths],IF(ISNUMBER($N576),$N576,""),
     unit_details[Sqft],$P576,
     unit_details[Property Name],$F576)
 ),"")</f>
        <v/>
      </c>
      <c r="V576" s="27" t="str">
        <f t="shared" si="98"/>
        <v/>
      </c>
      <c r="W576" s="526">
        <f>IFERROR(
  IF($F576="Total",
    SUM(INDEX(W:W, ROW()-COUNTIF($F$6:INDEX($F:$F, ROW()-1), $F575)) : INDEX(W:W, ROW()-1)),
    COUNTIFS(
      unit_details[Leased Date], "&gt;="&amp;($AM$2-T$5),
      unit_details[Leased Date], "&lt;"&amp;$AM$2,
      unit_details[Beds], $L576,
      unit_details[Baths], $M576,
      unit_details[Partial Baths], IF(ISNUMBER($N576), $N576, ""),
      unit_details[Sqft],$P576,
      unit_details[Property Name], $F576
    )
  ),
"")</f>
        <v>0</v>
      </c>
      <c r="X576" s="531" t="str">
        <f>IFERROR(
 IF($F576="Total",
   SUMPRODUCT(
   INDEX(X:X, ROW()-COUNTIF($F$6:INDEX($F:$F, ROW()-1), $F575)) : INDEX(X:X, ROW()-1),
   INDEX(AA:AA, ROW()-COUNTIF($F$6:INDEX($F:$F, ROW()-1), $F575)) : INDEX(AA:AA, ROW()-1)
   )
   /SUM(INDEX(AA:AA, ROW()-COUNTIF($F$6:INDEX($F:$F, ROW()-1), $F575)) : INDEX(AA:AA, ROW()-1)),
   AVERAGEIFS(
     INDEX((unit_details[Asking Rent],unit_details[Asking PSF]),0,1,IF($U$3="Chunk Rent",1,2)),
     unit_details[Leased Date],"&gt;="&amp;($AM$2-X$5),
     unit_details[Leased Date],"&lt;"&amp;$AM$2,
     unit_details[Beds],$L576,
     unit_details[Baths],$M576,
     unit_details[Partial Baths],IF(ISNUMBER($N576),$N576,""),
     unit_details[Sqft],$P576,
     unit_details[Property Name],$F576)
 ),"")</f>
        <v/>
      </c>
      <c r="Y576" s="552" t="str">
        <f>IFERROR(
 IF($F576="Total",
   SUMPRODUCT(
   INDEX(Y:Y, ROW()-COUNTIF($F$6:INDEX($F:$F, ROW()-1), $F575)) : INDEX(Y:Y, ROW()-1),
   INDEX(AA:AA, ROW()-COUNTIF($F$6:INDEX($F:$F, ROW()-1), $F575)) : INDEX(AA:AA, ROW()-1)
   )
   /SUM(INDEX(AA:AA, ROW()-COUNTIF($F$6:INDEX($F:$F, ROW()-1), $F575)) : INDEX(AA:AA, ROW()-1)),
   AVERAGEIFS(
     INDEX((unit_details[Effective Rent],unit_details[Effective PSF]),0,1,IF($U$3="Chunk Rent",1,2)),
     unit_details[Leased Date],"&gt;="&amp;($AM$2-X$5),
     unit_details[Leased Date],"&lt;"&amp;$AM$2,
     unit_details[Beds],$L576,
     unit_details[Baths],$M576,
     unit_details[Partial Baths],IF(ISNUMBER($N576),$N576,""),
     unit_details[Sqft],$P576,
     unit_details[Property Name],$F576)
 ),"")</f>
        <v/>
      </c>
      <c r="Z576" s="27" t="str">
        <f t="shared" si="99"/>
        <v/>
      </c>
      <c r="AA576" s="526">
        <f>IFERROR(
  IF($F576="Total",
    SUM(INDEX(AA:AA, ROW()-COUNTIF($F$6:INDEX($F:$F, ROW()-1), $F575)) : INDEX(AA:AA, ROW()-1)),
    COUNTIFS(
      unit_details[Leased Date], "&gt;="&amp;($AM$2-X$5),
      unit_details[Leased Date], "&lt;"&amp;$AM$2,
      unit_details[Beds], $L576,
      unit_details[Baths], $M576,
      unit_details[Partial Baths], IF(ISNUMBER($N576), $N576, ""),
      unit_details[Sqft],$P576,
      unit_details[Property Name], $F576
    )
  ),
"")</f>
        <v>0</v>
      </c>
      <c r="AB576" s="290">
        <f>IF($F576="Total",
SUM(INDEX(AB:AB, ROW()-COUNTIF($F$6:INDEX($F:$F, ROW()-1), $F575)) : INDEX(AB:AB, ROW()-1)),
COUNTIFS(unit_details[Active Listing?],TRUE,
          unit_details[Property Name], $F576,
          unit_details[Beds], $L576,
          unit_details[Baths], $M576,
          unit_details[Partial Baths],IF(ISNUMBER($N576),$N576,""),
          unit_details[Sqft],$P576))</f>
        <v>0</v>
      </c>
      <c r="AC576" s="27" t="str">
        <f t="shared" si="91"/>
        <v/>
      </c>
      <c r="AD576" s="293" t="str">
        <f>IFERROR(IF(AE576="","",IF($F576="Total",
SUMPRODUCT(
   INDEX(AD:AD, ROW()-COUNTIF($F$6:INDEX($F:$F, ROW()-1), $F575)) : INDEX(AD:AD, ROW()-1),
   INDEX(AB:AB, ROW()-COUNTIF($F$6:INDEX($F:$F, ROW()-1), $F575)) : INDEX(AB:AB, ROW()-1)
   )
   /SUM(INDEX(AB:AB, ROW()-COUNTIF($F$6:INDEX($F:$F, ROW()-1), $F575)) : INDEX(AB:AB, ROW()-1)),
          _xlfn.MINIFS(unit_details[Asking Rent],
          unit_details[Active Listing?],TRUE,
          unit_details[Property Name], $F576,
          unit_details[Beds], $L576,
          unit_details[Baths], $M576,
          unit_details[Partial Baths], IF(ISNUMBER($N576),$N576,""),
          unit_details[Sqft],$P576
))),"")</f>
        <v/>
      </c>
      <c r="AE576" s="5" t="str">
        <f>IFERROR(IF($F576="Total",
          SUMPRODUCT(
   INDEX(AE:AE, ROW()-COUNTIF($F$6:INDEX($F:$F, ROW()-1), $F575)) : INDEX(AE:AE, ROW()-1),
   INDEX(AB:AB, ROW()-COUNTIF($F$6:INDEX($F:$F, ROW()-1), $F575)) : INDEX(AB:AB, ROW()-1)
   )
   /SUM(INDEX(AB:AB, ROW()-COUNTIF($F$6:INDEX($F:$F, ROW()-1), $F575)) : INDEX(AB:AB, ROW()-1)),
          AVERAGEIFS(unit_details[Asking Rent],
          unit_details[Active Listing?],TRUE,
          unit_details[Property Name], $F576,
          unit_details[Beds], $L576,
          unit_details[Baths], $M576,
          unit_details[Partial Baths], IF(ISNUMBER($N576),$N576,""),
          unit_details[Sqft],$P576
)),"")</f>
        <v/>
      </c>
      <c r="AF576" s="5" t="str">
        <f>IFERROR(IF(AE576="","",IF($F576="Total",
SUMPRODUCT(
   INDEX(AF:AF, ROW()-COUNTIF($F$6:INDEX($F:$F, ROW()-1), $F575)) : INDEX(AF:AF, ROW()-1),
   INDEX(AB:AB, ROW()-COUNTIF($F$6:INDEX($F:$F, ROW()-1), $F575)) : INDEX(AB:AB, ROW()-1)
   )
   /SUM(INDEX(AB:AB, ROW()-COUNTIF($F$6:INDEX($F:$F, ROW()-1), $F575)) : INDEX(AB:AB, ROW()-1)),
           _xlfn.MAXIFS(unit_details[Asking Rent],
          unit_details[Active Listing?],TRUE,
          unit_details[Property Name], $F576,
          unit_details[Beds], $L576,
          unit_details[Baths], $M576,
          unit_details[Partial Baths], IF(ISNUMBER($N576),$N576,""),
          unit_details[Sqft],$P576
))),"")</f>
        <v/>
      </c>
      <c r="AG576" s="6" t="str">
        <f>IFERROR(IF($F576="Total",
         SUMPRODUCT(
         INDEX(AG:AG, ROW()-COUNTIF($F$6:INDEX($F:$F, ROW()-1), $F575)) : INDEX(AG:AG, ROW()-1),
         INDEX(AB:AB, ROW()-COUNTIF($F$6:INDEX($F:$F, ROW()-1), $F575)) : INDEX(AB:AB, ROW()-1)
         )
         /SUM(INDEX(AB:AB, ROW()-COUNTIF($F$6:INDEX($F:$F, ROW()-1), $F575)) : INDEX(AB:AB, ROW()-1)),
          AVERAGEIFS(unit_details[Asking PSF],
          unit_details[Active Listing?],TRUE,
          unit_details[Property Name], $F576,
          unit_details[Beds], $L576,
          unit_details[Baths], $M576,
          unit_details[Partial Baths], IF(ISNUMBER($N576),$N576,""),
          unit_details[Sqft],$P576
)),"")</f>
        <v/>
      </c>
      <c r="AH576" s="293" t="str">
        <f>IFERROR(IF($F576="Total",
         SUMPRODUCT(
         INDEX(AH:AH, ROW()-COUNTIF($F$6:INDEX($F:$F, ROW()-1), $F575)) : INDEX(AH:AH, ROW()-1),
         INDEX(AB:AB, ROW()-COUNTIF($F$6:INDEX($F:$F, ROW()-1), $F575)) : INDEX(AB:AB, ROW()-1)
         )
         /SUM(INDEX(AB:AB, ROW()-COUNTIF($F$6:INDEX($F:$F, ROW()-1), $F575)) : INDEX(AB:AB, ROW()-1)),
          AVERAGEIFS(unit_details[Effective Rent],
          unit_details[Active Listing?],TRUE,
          unit_details[Property Name], $F576,
          unit_details[Beds], $L576,
          unit_details[Baths], $M576,
          unit_details[Partial Baths], IF(ISNUMBER($N576),$N576,""),
          unit_details[Sqft],$P576
)),"")</f>
        <v/>
      </c>
      <c r="AI576" s="6" t="str">
        <f>IFERROR(IF($F576="Total",
         SUMPRODUCT(
         INDEX(AI:AI, ROW()-COUNTIF($F$6:INDEX($F:$F, ROW()-1), $F575)) : INDEX(AI:AI, ROW()-1),
         INDEX(AB:AB, ROW()-COUNTIF($F$6:INDEX($F:$F, ROW()-1), $F575)) : INDEX(AB:AB, ROW()-1)
         )
         /SUM(INDEX(AB:AB, ROW()-COUNTIF($F$6:INDEX($F:$F, ROW()-1), $F575)) : INDEX(AB:AB, ROW()-1)),
           AVERAGEIFS(unit_details[Effective PSF],
          unit_details[Active Listing?],TRUE,
          unit_details[Property Name], $F576,
          unit_details[Beds], $L576,
          unit_details[Baths], $M576,
          unit_details[Partial Baths], IF(ISNUMBER($N576),$N576,""),
          unit_details[Sqft],$P576
)),"")</f>
        <v/>
      </c>
      <c r="AJ576" s="824" t="str">
        <f t="shared" si="92"/>
        <v/>
      </c>
      <c r="AK576" s="531" t="str">
        <f t="shared" si="93"/>
        <v/>
      </c>
      <c r="AL576" s="714" t="str">
        <f t="shared" si="94"/>
        <v/>
      </c>
      <c r="AM576" s="531" t="str">
        <f t="shared" si="95"/>
        <v/>
      </c>
      <c r="AN576" s="716" t="str">
        <f t="shared" si="96"/>
        <v/>
      </c>
    </row>
    <row r="577" spans="6:40" x14ac:dyDescent="0.2">
      <c r="F577" s="1" t="str">
        <f t="shared" si="89"/>
        <v/>
      </c>
      <c r="G577" s="713" t="str">
        <f t="shared" si="97"/>
        <v/>
      </c>
      <c r="H577" s="17" t="str">
        <f>IFERROR(VLOOKUP($G577,Table1[[Property]:[Exposure %]],4,0),"")</f>
        <v/>
      </c>
      <c r="I577" s="3" t="str">
        <f>IFERROR(VLOOKUP($G577,Table1[[Property]:[Exposure %]],6,0),"")</f>
        <v/>
      </c>
      <c r="J577" s="3" t="str">
        <f>IFERROR(VLOOKUP($G577,Table1[[Property]:[Exposure %]],7,0),"")</f>
        <v/>
      </c>
      <c r="R577" s="4" t="str">
        <f>IFERROR(VLOOKUP(IF(F577="Total",F576,F577),Table1[[Property]:['# Units]],7,0)*S577,"")</f>
        <v/>
      </c>
      <c r="S577" s="27" t="str">
        <f t="shared" si="90"/>
        <v/>
      </c>
      <c r="T577" s="531" t="str">
        <f>IFERROR(
 IF($F577="Total",
   SUMPRODUCT(
   INDEX(T:T, ROW()-COUNTIF($F$6:INDEX($F:$F, ROW()-1), $F576)) : INDEX(T:T, ROW()-1),
   INDEX(W:W, ROW()-COUNTIF($F$6:INDEX($F:$F, ROW()-1), $F576)) : INDEX(W:W, ROW()-1)
   )
   /SUM(INDEX(W:W, ROW()-COUNTIF($F$6:INDEX($F:$F, ROW()-1), $F576)) : INDEX(W:W, ROW()-1)),
   AVERAGEIFS(
     INDEX((unit_details[Asking Rent],unit_details[Asking PSF]),0,1,IF($U$3="Chunk Rent",1,2)),
     unit_details[Leased Date],"&gt;="&amp;($AM$2-T$5),
     unit_details[Leased Date],"&lt;"&amp;$AM$2,
     unit_details[Beds],$L577,
     unit_details[Baths],$M577,
     unit_details[Partial Baths],IF(ISNUMBER($N577),$N577,""),
     unit_details[Sqft],$P577,
     unit_details[Property Name],$F577)
 ),"")</f>
        <v/>
      </c>
      <c r="U577" s="552" t="str">
        <f>IFERROR(
 IF($F577="Total",
   SUMPRODUCT(
   INDEX(U:U, ROW()-COUNTIF($F$6:INDEX($F:$F, ROW()-1), $F576)) : INDEX(U:U, ROW()-1),
   INDEX(W:W, ROW()-COUNTIF($F$6:INDEX($F:$F, ROW()-1), $F576)) : INDEX(W:W, ROW()-1)
   )
   /SUM(INDEX(W:W, ROW()-COUNTIF($F$6:INDEX($F:$F, ROW()-1), $F576)) : INDEX(W:W, ROW()-1)),
   AVERAGEIFS(
     INDEX((unit_details[Effective Rent],unit_details[Effective PSF]),0,1,IF($U$3="Chunk Rent",1,2)),
     unit_details[Leased Date],"&gt;="&amp;($AM$2-T$5),
     unit_details[Leased Date],"&lt;"&amp;$AM$2,
     unit_details[Beds],$L577,
     unit_details[Baths],$M577,
     unit_details[Partial Baths],IF(ISNUMBER($N577),$N577,""),
     unit_details[Sqft],$P577,
     unit_details[Property Name],$F577)
 ),"")</f>
        <v/>
      </c>
      <c r="V577" s="27" t="str">
        <f t="shared" si="98"/>
        <v/>
      </c>
      <c r="W577" s="526">
        <f>IFERROR(
  IF($F577="Total",
    SUM(INDEX(W:W, ROW()-COUNTIF($F$6:INDEX($F:$F, ROW()-1), $F576)) : INDEX(W:W, ROW()-1)),
    COUNTIFS(
      unit_details[Leased Date], "&gt;="&amp;($AM$2-T$5),
      unit_details[Leased Date], "&lt;"&amp;$AM$2,
      unit_details[Beds], $L577,
      unit_details[Baths], $M577,
      unit_details[Partial Baths], IF(ISNUMBER($N577), $N577, ""),
      unit_details[Sqft],$P577,
      unit_details[Property Name], $F577
    )
  ),
"")</f>
        <v>0</v>
      </c>
      <c r="X577" s="531" t="str">
        <f>IFERROR(
 IF($F577="Total",
   SUMPRODUCT(
   INDEX(X:X, ROW()-COUNTIF($F$6:INDEX($F:$F, ROW()-1), $F576)) : INDEX(X:X, ROW()-1),
   INDEX(AA:AA, ROW()-COUNTIF($F$6:INDEX($F:$F, ROW()-1), $F576)) : INDEX(AA:AA, ROW()-1)
   )
   /SUM(INDEX(AA:AA, ROW()-COUNTIF($F$6:INDEX($F:$F, ROW()-1), $F576)) : INDEX(AA:AA, ROW()-1)),
   AVERAGEIFS(
     INDEX((unit_details[Asking Rent],unit_details[Asking PSF]),0,1,IF($U$3="Chunk Rent",1,2)),
     unit_details[Leased Date],"&gt;="&amp;($AM$2-X$5),
     unit_details[Leased Date],"&lt;"&amp;$AM$2,
     unit_details[Beds],$L577,
     unit_details[Baths],$M577,
     unit_details[Partial Baths],IF(ISNUMBER($N577),$N577,""),
     unit_details[Sqft],$P577,
     unit_details[Property Name],$F577)
 ),"")</f>
        <v/>
      </c>
      <c r="Y577" s="552" t="str">
        <f>IFERROR(
 IF($F577="Total",
   SUMPRODUCT(
   INDEX(Y:Y, ROW()-COUNTIF($F$6:INDEX($F:$F, ROW()-1), $F576)) : INDEX(Y:Y, ROW()-1),
   INDEX(AA:AA, ROW()-COUNTIF($F$6:INDEX($F:$F, ROW()-1), $F576)) : INDEX(AA:AA, ROW()-1)
   )
   /SUM(INDEX(AA:AA, ROW()-COUNTIF($F$6:INDEX($F:$F, ROW()-1), $F576)) : INDEX(AA:AA, ROW()-1)),
   AVERAGEIFS(
     INDEX((unit_details[Effective Rent],unit_details[Effective PSF]),0,1,IF($U$3="Chunk Rent",1,2)),
     unit_details[Leased Date],"&gt;="&amp;($AM$2-X$5),
     unit_details[Leased Date],"&lt;"&amp;$AM$2,
     unit_details[Beds],$L577,
     unit_details[Baths],$M577,
     unit_details[Partial Baths],IF(ISNUMBER($N577),$N577,""),
     unit_details[Sqft],$P577,
     unit_details[Property Name],$F577)
 ),"")</f>
        <v/>
      </c>
      <c r="Z577" s="27" t="str">
        <f t="shared" si="99"/>
        <v/>
      </c>
      <c r="AA577" s="526">
        <f>IFERROR(
  IF($F577="Total",
    SUM(INDEX(AA:AA, ROW()-COUNTIF($F$6:INDEX($F:$F, ROW()-1), $F576)) : INDEX(AA:AA, ROW()-1)),
    COUNTIFS(
      unit_details[Leased Date], "&gt;="&amp;($AM$2-X$5),
      unit_details[Leased Date], "&lt;"&amp;$AM$2,
      unit_details[Beds], $L577,
      unit_details[Baths], $M577,
      unit_details[Partial Baths], IF(ISNUMBER($N577), $N577, ""),
      unit_details[Sqft],$P577,
      unit_details[Property Name], $F577
    )
  ),
"")</f>
        <v>0</v>
      </c>
      <c r="AB577" s="290">
        <f>IF($F577="Total",
SUM(INDEX(AB:AB, ROW()-COUNTIF($F$6:INDEX($F:$F, ROW()-1), $F576)) : INDEX(AB:AB, ROW()-1)),
COUNTIFS(unit_details[Active Listing?],TRUE,
          unit_details[Property Name], $F577,
          unit_details[Beds], $L577,
          unit_details[Baths], $M577,
          unit_details[Partial Baths],IF(ISNUMBER($N577),$N577,""),
          unit_details[Sqft],$P577))</f>
        <v>0</v>
      </c>
      <c r="AC577" s="27" t="str">
        <f t="shared" si="91"/>
        <v/>
      </c>
      <c r="AD577" s="293" t="str">
        <f>IFERROR(IF(AE577="","",IF($F577="Total",
SUMPRODUCT(
   INDEX(AD:AD, ROW()-COUNTIF($F$6:INDEX($F:$F, ROW()-1), $F576)) : INDEX(AD:AD, ROW()-1),
   INDEX(AB:AB, ROW()-COUNTIF($F$6:INDEX($F:$F, ROW()-1), $F576)) : INDEX(AB:AB, ROW()-1)
   )
   /SUM(INDEX(AB:AB, ROW()-COUNTIF($F$6:INDEX($F:$F, ROW()-1), $F576)) : INDEX(AB:AB, ROW()-1)),
          _xlfn.MINIFS(unit_details[Asking Rent],
          unit_details[Active Listing?],TRUE,
          unit_details[Property Name], $F577,
          unit_details[Beds], $L577,
          unit_details[Baths], $M577,
          unit_details[Partial Baths], IF(ISNUMBER($N577),$N577,""),
          unit_details[Sqft],$P577
))),"")</f>
        <v/>
      </c>
      <c r="AE577" s="5" t="str">
        <f>IFERROR(IF($F577="Total",
          SUMPRODUCT(
   INDEX(AE:AE, ROW()-COUNTIF($F$6:INDEX($F:$F, ROW()-1), $F576)) : INDEX(AE:AE, ROW()-1),
   INDEX(AB:AB, ROW()-COUNTIF($F$6:INDEX($F:$F, ROW()-1), $F576)) : INDEX(AB:AB, ROW()-1)
   )
   /SUM(INDEX(AB:AB, ROW()-COUNTIF($F$6:INDEX($F:$F, ROW()-1), $F576)) : INDEX(AB:AB, ROW()-1)),
          AVERAGEIFS(unit_details[Asking Rent],
          unit_details[Active Listing?],TRUE,
          unit_details[Property Name], $F577,
          unit_details[Beds], $L577,
          unit_details[Baths], $M577,
          unit_details[Partial Baths], IF(ISNUMBER($N577),$N577,""),
          unit_details[Sqft],$P577
)),"")</f>
        <v/>
      </c>
      <c r="AF577" s="5" t="str">
        <f>IFERROR(IF(AE577="","",IF($F577="Total",
SUMPRODUCT(
   INDEX(AF:AF, ROW()-COUNTIF($F$6:INDEX($F:$F, ROW()-1), $F576)) : INDEX(AF:AF, ROW()-1),
   INDEX(AB:AB, ROW()-COUNTIF($F$6:INDEX($F:$F, ROW()-1), $F576)) : INDEX(AB:AB, ROW()-1)
   )
   /SUM(INDEX(AB:AB, ROW()-COUNTIF($F$6:INDEX($F:$F, ROW()-1), $F576)) : INDEX(AB:AB, ROW()-1)),
           _xlfn.MAXIFS(unit_details[Asking Rent],
          unit_details[Active Listing?],TRUE,
          unit_details[Property Name], $F577,
          unit_details[Beds], $L577,
          unit_details[Baths], $M577,
          unit_details[Partial Baths], IF(ISNUMBER($N577),$N577,""),
          unit_details[Sqft],$P577
))),"")</f>
        <v/>
      </c>
      <c r="AG577" s="6" t="str">
        <f>IFERROR(IF($F577="Total",
         SUMPRODUCT(
         INDEX(AG:AG, ROW()-COUNTIF($F$6:INDEX($F:$F, ROW()-1), $F576)) : INDEX(AG:AG, ROW()-1),
         INDEX(AB:AB, ROW()-COUNTIF($F$6:INDEX($F:$F, ROW()-1), $F576)) : INDEX(AB:AB, ROW()-1)
         )
         /SUM(INDEX(AB:AB, ROW()-COUNTIF($F$6:INDEX($F:$F, ROW()-1), $F576)) : INDEX(AB:AB, ROW()-1)),
          AVERAGEIFS(unit_details[Asking PSF],
          unit_details[Active Listing?],TRUE,
          unit_details[Property Name], $F577,
          unit_details[Beds], $L577,
          unit_details[Baths], $M577,
          unit_details[Partial Baths], IF(ISNUMBER($N577),$N577,""),
          unit_details[Sqft],$P577
)),"")</f>
        <v/>
      </c>
      <c r="AH577" s="293" t="str">
        <f>IFERROR(IF($F577="Total",
         SUMPRODUCT(
         INDEX(AH:AH, ROW()-COUNTIF($F$6:INDEX($F:$F, ROW()-1), $F576)) : INDEX(AH:AH, ROW()-1),
         INDEX(AB:AB, ROW()-COUNTIF($F$6:INDEX($F:$F, ROW()-1), $F576)) : INDEX(AB:AB, ROW()-1)
         )
         /SUM(INDEX(AB:AB, ROW()-COUNTIF($F$6:INDEX($F:$F, ROW()-1), $F576)) : INDEX(AB:AB, ROW()-1)),
          AVERAGEIFS(unit_details[Effective Rent],
          unit_details[Active Listing?],TRUE,
          unit_details[Property Name], $F577,
          unit_details[Beds], $L577,
          unit_details[Baths], $M577,
          unit_details[Partial Baths], IF(ISNUMBER($N577),$N577,""),
          unit_details[Sqft],$P577
)),"")</f>
        <v/>
      </c>
      <c r="AI577" s="6" t="str">
        <f>IFERROR(IF($F577="Total",
         SUMPRODUCT(
         INDEX(AI:AI, ROW()-COUNTIF($F$6:INDEX($F:$F, ROW()-1), $F576)) : INDEX(AI:AI, ROW()-1),
         INDEX(AB:AB, ROW()-COUNTIF($F$6:INDEX($F:$F, ROW()-1), $F576)) : INDEX(AB:AB, ROW()-1)
         )
         /SUM(INDEX(AB:AB, ROW()-COUNTIF($F$6:INDEX($F:$F, ROW()-1), $F576)) : INDEX(AB:AB, ROW()-1)),
           AVERAGEIFS(unit_details[Effective PSF],
          unit_details[Active Listing?],TRUE,
          unit_details[Property Name], $F577,
          unit_details[Beds], $L577,
          unit_details[Baths], $M577,
          unit_details[Partial Baths], IF(ISNUMBER($N577),$N577,""),
          unit_details[Sqft],$P577
)),"")</f>
        <v/>
      </c>
      <c r="AJ577" s="824" t="str">
        <f t="shared" si="92"/>
        <v/>
      </c>
      <c r="AK577" s="531" t="str">
        <f t="shared" si="93"/>
        <v/>
      </c>
      <c r="AL577" s="714" t="str">
        <f t="shared" si="94"/>
        <v/>
      </c>
      <c r="AM577" s="531" t="str">
        <f t="shared" si="95"/>
        <v/>
      </c>
      <c r="AN577" s="716" t="str">
        <f t="shared" si="96"/>
        <v/>
      </c>
    </row>
    <row r="578" spans="6:40" x14ac:dyDescent="0.2">
      <c r="F578" s="1" t="str">
        <f t="shared" si="89"/>
        <v/>
      </c>
      <c r="G578" s="713" t="str">
        <f t="shared" si="97"/>
        <v/>
      </c>
      <c r="H578" s="17" t="str">
        <f>IFERROR(VLOOKUP($G578,Table1[[Property]:[Exposure %]],4,0),"")</f>
        <v/>
      </c>
      <c r="I578" s="3" t="str">
        <f>IFERROR(VLOOKUP($G578,Table1[[Property]:[Exposure %]],6,0),"")</f>
        <v/>
      </c>
      <c r="J578" s="3" t="str">
        <f>IFERROR(VLOOKUP($G578,Table1[[Property]:[Exposure %]],7,0),"")</f>
        <v/>
      </c>
      <c r="R578" s="4" t="str">
        <f>IFERROR(VLOOKUP(IF(F578="Total",F577,F578),Table1[[Property]:['# Units]],7,0)*S578,"")</f>
        <v/>
      </c>
      <c r="S578" s="27" t="str">
        <f t="shared" si="90"/>
        <v/>
      </c>
      <c r="T578" s="531" t="str">
        <f>IFERROR(
 IF($F578="Total",
   SUMPRODUCT(
   INDEX(T:T, ROW()-COUNTIF($F$6:INDEX($F:$F, ROW()-1), $F577)) : INDEX(T:T, ROW()-1),
   INDEX(W:W, ROW()-COUNTIF($F$6:INDEX($F:$F, ROW()-1), $F577)) : INDEX(W:W, ROW()-1)
   )
   /SUM(INDEX(W:W, ROW()-COUNTIF($F$6:INDEX($F:$F, ROW()-1), $F577)) : INDEX(W:W, ROW()-1)),
   AVERAGEIFS(
     INDEX((unit_details[Asking Rent],unit_details[Asking PSF]),0,1,IF($U$3="Chunk Rent",1,2)),
     unit_details[Leased Date],"&gt;="&amp;($AM$2-T$5),
     unit_details[Leased Date],"&lt;"&amp;$AM$2,
     unit_details[Beds],$L578,
     unit_details[Baths],$M578,
     unit_details[Partial Baths],IF(ISNUMBER($N578),$N578,""),
     unit_details[Sqft],$P578,
     unit_details[Property Name],$F578)
 ),"")</f>
        <v/>
      </c>
      <c r="U578" s="552" t="str">
        <f>IFERROR(
 IF($F578="Total",
   SUMPRODUCT(
   INDEX(U:U, ROW()-COUNTIF($F$6:INDEX($F:$F, ROW()-1), $F577)) : INDEX(U:U, ROW()-1),
   INDEX(W:W, ROW()-COUNTIF($F$6:INDEX($F:$F, ROW()-1), $F577)) : INDEX(W:W, ROW()-1)
   )
   /SUM(INDEX(W:W, ROW()-COUNTIF($F$6:INDEX($F:$F, ROW()-1), $F577)) : INDEX(W:W, ROW()-1)),
   AVERAGEIFS(
     INDEX((unit_details[Effective Rent],unit_details[Effective PSF]),0,1,IF($U$3="Chunk Rent",1,2)),
     unit_details[Leased Date],"&gt;="&amp;($AM$2-T$5),
     unit_details[Leased Date],"&lt;"&amp;$AM$2,
     unit_details[Beds],$L578,
     unit_details[Baths],$M578,
     unit_details[Partial Baths],IF(ISNUMBER($N578),$N578,""),
     unit_details[Sqft],$P578,
     unit_details[Property Name],$F578)
 ),"")</f>
        <v/>
      </c>
      <c r="V578" s="27" t="str">
        <f t="shared" si="98"/>
        <v/>
      </c>
      <c r="W578" s="526">
        <f>IFERROR(
  IF($F578="Total",
    SUM(INDEX(W:W, ROW()-COUNTIF($F$6:INDEX($F:$F, ROW()-1), $F577)) : INDEX(W:W, ROW()-1)),
    COUNTIFS(
      unit_details[Leased Date], "&gt;="&amp;($AM$2-T$5),
      unit_details[Leased Date], "&lt;"&amp;$AM$2,
      unit_details[Beds], $L578,
      unit_details[Baths], $M578,
      unit_details[Partial Baths], IF(ISNUMBER($N578), $N578, ""),
      unit_details[Sqft],$P578,
      unit_details[Property Name], $F578
    )
  ),
"")</f>
        <v>0</v>
      </c>
      <c r="X578" s="531" t="str">
        <f>IFERROR(
 IF($F578="Total",
   SUMPRODUCT(
   INDEX(X:X, ROW()-COUNTIF($F$6:INDEX($F:$F, ROW()-1), $F577)) : INDEX(X:X, ROW()-1),
   INDEX(AA:AA, ROW()-COUNTIF($F$6:INDEX($F:$F, ROW()-1), $F577)) : INDEX(AA:AA, ROW()-1)
   )
   /SUM(INDEX(AA:AA, ROW()-COUNTIF($F$6:INDEX($F:$F, ROW()-1), $F577)) : INDEX(AA:AA, ROW()-1)),
   AVERAGEIFS(
     INDEX((unit_details[Asking Rent],unit_details[Asking PSF]),0,1,IF($U$3="Chunk Rent",1,2)),
     unit_details[Leased Date],"&gt;="&amp;($AM$2-X$5),
     unit_details[Leased Date],"&lt;"&amp;$AM$2,
     unit_details[Beds],$L578,
     unit_details[Baths],$M578,
     unit_details[Partial Baths],IF(ISNUMBER($N578),$N578,""),
     unit_details[Sqft],$P578,
     unit_details[Property Name],$F578)
 ),"")</f>
        <v/>
      </c>
      <c r="Y578" s="552" t="str">
        <f>IFERROR(
 IF($F578="Total",
   SUMPRODUCT(
   INDEX(Y:Y, ROW()-COUNTIF($F$6:INDEX($F:$F, ROW()-1), $F577)) : INDEX(Y:Y, ROW()-1),
   INDEX(AA:AA, ROW()-COUNTIF($F$6:INDEX($F:$F, ROW()-1), $F577)) : INDEX(AA:AA, ROW()-1)
   )
   /SUM(INDEX(AA:AA, ROW()-COUNTIF($F$6:INDEX($F:$F, ROW()-1), $F577)) : INDEX(AA:AA, ROW()-1)),
   AVERAGEIFS(
     INDEX((unit_details[Effective Rent],unit_details[Effective PSF]),0,1,IF($U$3="Chunk Rent",1,2)),
     unit_details[Leased Date],"&gt;="&amp;($AM$2-X$5),
     unit_details[Leased Date],"&lt;"&amp;$AM$2,
     unit_details[Beds],$L578,
     unit_details[Baths],$M578,
     unit_details[Partial Baths],IF(ISNUMBER($N578),$N578,""),
     unit_details[Sqft],$P578,
     unit_details[Property Name],$F578)
 ),"")</f>
        <v/>
      </c>
      <c r="Z578" s="27" t="str">
        <f t="shared" si="99"/>
        <v/>
      </c>
      <c r="AA578" s="526">
        <f>IFERROR(
  IF($F578="Total",
    SUM(INDEX(AA:AA, ROW()-COUNTIF($F$6:INDEX($F:$F, ROW()-1), $F577)) : INDEX(AA:AA, ROW()-1)),
    COUNTIFS(
      unit_details[Leased Date], "&gt;="&amp;($AM$2-X$5),
      unit_details[Leased Date], "&lt;"&amp;$AM$2,
      unit_details[Beds], $L578,
      unit_details[Baths], $M578,
      unit_details[Partial Baths], IF(ISNUMBER($N578), $N578, ""),
      unit_details[Sqft],$P578,
      unit_details[Property Name], $F578
    )
  ),
"")</f>
        <v>0</v>
      </c>
      <c r="AB578" s="290">
        <f>IF($F578="Total",
SUM(INDEX(AB:AB, ROW()-COUNTIF($F$6:INDEX($F:$F, ROW()-1), $F577)) : INDEX(AB:AB, ROW()-1)),
COUNTIFS(unit_details[Active Listing?],TRUE,
          unit_details[Property Name], $F578,
          unit_details[Beds], $L578,
          unit_details[Baths], $M578,
          unit_details[Partial Baths],IF(ISNUMBER($N578),$N578,""),
          unit_details[Sqft],$P578))</f>
        <v>0</v>
      </c>
      <c r="AC578" s="27" t="str">
        <f t="shared" si="91"/>
        <v/>
      </c>
      <c r="AD578" s="293" t="str">
        <f>IFERROR(IF(AE578="","",IF($F578="Total",
SUMPRODUCT(
   INDEX(AD:AD, ROW()-COUNTIF($F$6:INDEX($F:$F, ROW()-1), $F577)) : INDEX(AD:AD, ROW()-1),
   INDEX(AB:AB, ROW()-COUNTIF($F$6:INDEX($F:$F, ROW()-1), $F577)) : INDEX(AB:AB, ROW()-1)
   )
   /SUM(INDEX(AB:AB, ROW()-COUNTIF($F$6:INDEX($F:$F, ROW()-1), $F577)) : INDEX(AB:AB, ROW()-1)),
          _xlfn.MINIFS(unit_details[Asking Rent],
          unit_details[Active Listing?],TRUE,
          unit_details[Property Name], $F578,
          unit_details[Beds], $L578,
          unit_details[Baths], $M578,
          unit_details[Partial Baths], IF(ISNUMBER($N578),$N578,""),
          unit_details[Sqft],$P578
))),"")</f>
        <v/>
      </c>
      <c r="AE578" s="5" t="str">
        <f>IFERROR(IF($F578="Total",
          SUMPRODUCT(
   INDEX(AE:AE, ROW()-COUNTIF($F$6:INDEX($F:$F, ROW()-1), $F577)) : INDEX(AE:AE, ROW()-1),
   INDEX(AB:AB, ROW()-COUNTIF($F$6:INDEX($F:$F, ROW()-1), $F577)) : INDEX(AB:AB, ROW()-1)
   )
   /SUM(INDEX(AB:AB, ROW()-COUNTIF($F$6:INDEX($F:$F, ROW()-1), $F577)) : INDEX(AB:AB, ROW()-1)),
          AVERAGEIFS(unit_details[Asking Rent],
          unit_details[Active Listing?],TRUE,
          unit_details[Property Name], $F578,
          unit_details[Beds], $L578,
          unit_details[Baths], $M578,
          unit_details[Partial Baths], IF(ISNUMBER($N578),$N578,""),
          unit_details[Sqft],$P578
)),"")</f>
        <v/>
      </c>
      <c r="AF578" s="5" t="str">
        <f>IFERROR(IF(AE578="","",IF($F578="Total",
SUMPRODUCT(
   INDEX(AF:AF, ROW()-COUNTIF($F$6:INDEX($F:$F, ROW()-1), $F577)) : INDEX(AF:AF, ROW()-1),
   INDEX(AB:AB, ROW()-COUNTIF($F$6:INDEX($F:$F, ROW()-1), $F577)) : INDEX(AB:AB, ROW()-1)
   )
   /SUM(INDEX(AB:AB, ROW()-COUNTIF($F$6:INDEX($F:$F, ROW()-1), $F577)) : INDEX(AB:AB, ROW()-1)),
           _xlfn.MAXIFS(unit_details[Asking Rent],
          unit_details[Active Listing?],TRUE,
          unit_details[Property Name], $F578,
          unit_details[Beds], $L578,
          unit_details[Baths], $M578,
          unit_details[Partial Baths], IF(ISNUMBER($N578),$N578,""),
          unit_details[Sqft],$P578
))),"")</f>
        <v/>
      </c>
      <c r="AG578" s="6" t="str">
        <f>IFERROR(IF($F578="Total",
         SUMPRODUCT(
         INDEX(AG:AG, ROW()-COUNTIF($F$6:INDEX($F:$F, ROW()-1), $F577)) : INDEX(AG:AG, ROW()-1),
         INDEX(AB:AB, ROW()-COUNTIF($F$6:INDEX($F:$F, ROW()-1), $F577)) : INDEX(AB:AB, ROW()-1)
         )
         /SUM(INDEX(AB:AB, ROW()-COUNTIF($F$6:INDEX($F:$F, ROW()-1), $F577)) : INDEX(AB:AB, ROW()-1)),
          AVERAGEIFS(unit_details[Asking PSF],
          unit_details[Active Listing?],TRUE,
          unit_details[Property Name], $F578,
          unit_details[Beds], $L578,
          unit_details[Baths], $M578,
          unit_details[Partial Baths], IF(ISNUMBER($N578),$N578,""),
          unit_details[Sqft],$P578
)),"")</f>
        <v/>
      </c>
      <c r="AH578" s="293" t="str">
        <f>IFERROR(IF($F578="Total",
         SUMPRODUCT(
         INDEX(AH:AH, ROW()-COUNTIF($F$6:INDEX($F:$F, ROW()-1), $F577)) : INDEX(AH:AH, ROW()-1),
         INDEX(AB:AB, ROW()-COUNTIF($F$6:INDEX($F:$F, ROW()-1), $F577)) : INDEX(AB:AB, ROW()-1)
         )
         /SUM(INDEX(AB:AB, ROW()-COUNTIF($F$6:INDEX($F:$F, ROW()-1), $F577)) : INDEX(AB:AB, ROW()-1)),
          AVERAGEIFS(unit_details[Effective Rent],
          unit_details[Active Listing?],TRUE,
          unit_details[Property Name], $F578,
          unit_details[Beds], $L578,
          unit_details[Baths], $M578,
          unit_details[Partial Baths], IF(ISNUMBER($N578),$N578,""),
          unit_details[Sqft],$P578
)),"")</f>
        <v/>
      </c>
      <c r="AI578" s="6" t="str">
        <f>IFERROR(IF($F578="Total",
         SUMPRODUCT(
         INDEX(AI:AI, ROW()-COUNTIF($F$6:INDEX($F:$F, ROW()-1), $F577)) : INDEX(AI:AI, ROW()-1),
         INDEX(AB:AB, ROW()-COUNTIF($F$6:INDEX($F:$F, ROW()-1), $F577)) : INDEX(AB:AB, ROW()-1)
         )
         /SUM(INDEX(AB:AB, ROW()-COUNTIF($F$6:INDEX($F:$F, ROW()-1), $F577)) : INDEX(AB:AB, ROW()-1)),
           AVERAGEIFS(unit_details[Effective PSF],
          unit_details[Active Listing?],TRUE,
          unit_details[Property Name], $F578,
          unit_details[Beds], $L578,
          unit_details[Baths], $M578,
          unit_details[Partial Baths], IF(ISNUMBER($N578),$N578,""),
          unit_details[Sqft],$P578
)),"")</f>
        <v/>
      </c>
      <c r="AJ578" s="824" t="str">
        <f t="shared" si="92"/>
        <v/>
      </c>
      <c r="AK578" s="531" t="str">
        <f t="shared" si="93"/>
        <v/>
      </c>
      <c r="AL578" s="714" t="str">
        <f t="shared" si="94"/>
        <v/>
      </c>
      <c r="AM578" s="531" t="str">
        <f t="shared" si="95"/>
        <v/>
      </c>
      <c r="AN578" s="716" t="str">
        <f t="shared" si="96"/>
        <v/>
      </c>
    </row>
    <row r="579" spans="6:40" x14ac:dyDescent="0.2">
      <c r="F579" s="1" t="str">
        <f t="shared" si="89"/>
        <v/>
      </c>
      <c r="G579" s="713" t="str">
        <f t="shared" si="97"/>
        <v/>
      </c>
      <c r="H579" s="17" t="str">
        <f>IFERROR(VLOOKUP($G579,Table1[[Property]:[Exposure %]],4,0),"")</f>
        <v/>
      </c>
      <c r="I579" s="3" t="str">
        <f>IFERROR(VLOOKUP($G579,Table1[[Property]:[Exposure %]],6,0),"")</f>
        <v/>
      </c>
      <c r="J579" s="3" t="str">
        <f>IFERROR(VLOOKUP($G579,Table1[[Property]:[Exposure %]],7,0),"")</f>
        <v/>
      </c>
      <c r="R579" s="4" t="str">
        <f>IFERROR(VLOOKUP(IF(F579="Total",F578,F579),Table1[[Property]:['# Units]],7,0)*S579,"")</f>
        <v/>
      </c>
      <c r="S579" s="27" t="str">
        <f t="shared" si="90"/>
        <v/>
      </c>
      <c r="T579" s="531" t="str">
        <f>IFERROR(
 IF($F579="Total",
   SUMPRODUCT(
   INDEX(T:T, ROW()-COUNTIF($F$6:INDEX($F:$F, ROW()-1), $F578)) : INDEX(T:T, ROW()-1),
   INDEX(W:W, ROW()-COUNTIF($F$6:INDEX($F:$F, ROW()-1), $F578)) : INDEX(W:W, ROW()-1)
   )
   /SUM(INDEX(W:W, ROW()-COUNTIF($F$6:INDEX($F:$F, ROW()-1), $F578)) : INDEX(W:W, ROW()-1)),
   AVERAGEIFS(
     INDEX((unit_details[Asking Rent],unit_details[Asking PSF]),0,1,IF($U$3="Chunk Rent",1,2)),
     unit_details[Leased Date],"&gt;="&amp;($AM$2-T$5),
     unit_details[Leased Date],"&lt;"&amp;$AM$2,
     unit_details[Beds],$L579,
     unit_details[Baths],$M579,
     unit_details[Partial Baths],IF(ISNUMBER($N579),$N579,""),
     unit_details[Sqft],$P579,
     unit_details[Property Name],$F579)
 ),"")</f>
        <v/>
      </c>
      <c r="U579" s="552" t="str">
        <f>IFERROR(
 IF($F579="Total",
   SUMPRODUCT(
   INDEX(U:U, ROW()-COUNTIF($F$6:INDEX($F:$F, ROW()-1), $F578)) : INDEX(U:U, ROW()-1),
   INDEX(W:W, ROW()-COUNTIF($F$6:INDEX($F:$F, ROW()-1), $F578)) : INDEX(W:W, ROW()-1)
   )
   /SUM(INDEX(W:W, ROW()-COUNTIF($F$6:INDEX($F:$F, ROW()-1), $F578)) : INDEX(W:W, ROW()-1)),
   AVERAGEIFS(
     INDEX((unit_details[Effective Rent],unit_details[Effective PSF]),0,1,IF($U$3="Chunk Rent",1,2)),
     unit_details[Leased Date],"&gt;="&amp;($AM$2-T$5),
     unit_details[Leased Date],"&lt;"&amp;$AM$2,
     unit_details[Beds],$L579,
     unit_details[Baths],$M579,
     unit_details[Partial Baths],IF(ISNUMBER($N579),$N579,""),
     unit_details[Sqft],$P579,
     unit_details[Property Name],$F579)
 ),"")</f>
        <v/>
      </c>
      <c r="V579" s="27" t="str">
        <f t="shared" si="98"/>
        <v/>
      </c>
      <c r="W579" s="526">
        <f>IFERROR(
  IF($F579="Total",
    SUM(INDEX(W:W, ROW()-COUNTIF($F$6:INDEX($F:$F, ROW()-1), $F578)) : INDEX(W:W, ROW()-1)),
    COUNTIFS(
      unit_details[Leased Date], "&gt;="&amp;($AM$2-T$5),
      unit_details[Leased Date], "&lt;"&amp;$AM$2,
      unit_details[Beds], $L579,
      unit_details[Baths], $M579,
      unit_details[Partial Baths], IF(ISNUMBER($N579), $N579, ""),
      unit_details[Sqft],$P579,
      unit_details[Property Name], $F579
    )
  ),
"")</f>
        <v>0</v>
      </c>
      <c r="X579" s="531" t="str">
        <f>IFERROR(
 IF($F579="Total",
   SUMPRODUCT(
   INDEX(X:X, ROW()-COUNTIF($F$6:INDEX($F:$F, ROW()-1), $F578)) : INDEX(X:X, ROW()-1),
   INDEX(AA:AA, ROW()-COUNTIF($F$6:INDEX($F:$F, ROW()-1), $F578)) : INDEX(AA:AA, ROW()-1)
   )
   /SUM(INDEX(AA:AA, ROW()-COUNTIF($F$6:INDEX($F:$F, ROW()-1), $F578)) : INDEX(AA:AA, ROW()-1)),
   AVERAGEIFS(
     INDEX((unit_details[Asking Rent],unit_details[Asking PSF]),0,1,IF($U$3="Chunk Rent",1,2)),
     unit_details[Leased Date],"&gt;="&amp;($AM$2-X$5),
     unit_details[Leased Date],"&lt;"&amp;$AM$2,
     unit_details[Beds],$L579,
     unit_details[Baths],$M579,
     unit_details[Partial Baths],IF(ISNUMBER($N579),$N579,""),
     unit_details[Sqft],$P579,
     unit_details[Property Name],$F579)
 ),"")</f>
        <v/>
      </c>
      <c r="Y579" s="552" t="str">
        <f>IFERROR(
 IF($F579="Total",
   SUMPRODUCT(
   INDEX(Y:Y, ROW()-COUNTIF($F$6:INDEX($F:$F, ROW()-1), $F578)) : INDEX(Y:Y, ROW()-1),
   INDEX(AA:AA, ROW()-COUNTIF($F$6:INDEX($F:$F, ROW()-1), $F578)) : INDEX(AA:AA, ROW()-1)
   )
   /SUM(INDEX(AA:AA, ROW()-COUNTIF($F$6:INDEX($F:$F, ROW()-1), $F578)) : INDEX(AA:AA, ROW()-1)),
   AVERAGEIFS(
     INDEX((unit_details[Effective Rent],unit_details[Effective PSF]),0,1,IF($U$3="Chunk Rent",1,2)),
     unit_details[Leased Date],"&gt;="&amp;($AM$2-X$5),
     unit_details[Leased Date],"&lt;"&amp;$AM$2,
     unit_details[Beds],$L579,
     unit_details[Baths],$M579,
     unit_details[Partial Baths],IF(ISNUMBER($N579),$N579,""),
     unit_details[Sqft],$P579,
     unit_details[Property Name],$F579)
 ),"")</f>
        <v/>
      </c>
      <c r="Z579" s="27" t="str">
        <f t="shared" si="99"/>
        <v/>
      </c>
      <c r="AA579" s="526">
        <f>IFERROR(
  IF($F579="Total",
    SUM(INDEX(AA:AA, ROW()-COUNTIF($F$6:INDEX($F:$F, ROW()-1), $F578)) : INDEX(AA:AA, ROW()-1)),
    COUNTIFS(
      unit_details[Leased Date], "&gt;="&amp;($AM$2-X$5),
      unit_details[Leased Date], "&lt;"&amp;$AM$2,
      unit_details[Beds], $L579,
      unit_details[Baths], $M579,
      unit_details[Partial Baths], IF(ISNUMBER($N579), $N579, ""),
      unit_details[Sqft],$P579,
      unit_details[Property Name], $F579
    )
  ),
"")</f>
        <v>0</v>
      </c>
      <c r="AB579" s="290">
        <f>IF($F579="Total",
SUM(INDEX(AB:AB, ROW()-COUNTIF($F$6:INDEX($F:$F, ROW()-1), $F578)) : INDEX(AB:AB, ROW()-1)),
COUNTIFS(unit_details[Active Listing?],TRUE,
          unit_details[Property Name], $F579,
          unit_details[Beds], $L579,
          unit_details[Baths], $M579,
          unit_details[Partial Baths],IF(ISNUMBER($N579),$N579,""),
          unit_details[Sqft],$P579))</f>
        <v>0</v>
      </c>
      <c r="AC579" s="27" t="str">
        <f t="shared" si="91"/>
        <v/>
      </c>
      <c r="AD579" s="293" t="str">
        <f>IFERROR(IF(AE579="","",IF($F579="Total",
SUMPRODUCT(
   INDEX(AD:AD, ROW()-COUNTIF($F$6:INDEX($F:$F, ROW()-1), $F578)) : INDEX(AD:AD, ROW()-1),
   INDEX(AB:AB, ROW()-COUNTIF($F$6:INDEX($F:$F, ROW()-1), $F578)) : INDEX(AB:AB, ROW()-1)
   )
   /SUM(INDEX(AB:AB, ROW()-COUNTIF($F$6:INDEX($F:$F, ROW()-1), $F578)) : INDEX(AB:AB, ROW()-1)),
          _xlfn.MINIFS(unit_details[Asking Rent],
          unit_details[Active Listing?],TRUE,
          unit_details[Property Name], $F579,
          unit_details[Beds], $L579,
          unit_details[Baths], $M579,
          unit_details[Partial Baths], IF(ISNUMBER($N579),$N579,""),
          unit_details[Sqft],$P579
))),"")</f>
        <v/>
      </c>
      <c r="AE579" s="5" t="str">
        <f>IFERROR(IF($F579="Total",
          SUMPRODUCT(
   INDEX(AE:AE, ROW()-COUNTIF($F$6:INDEX($F:$F, ROW()-1), $F578)) : INDEX(AE:AE, ROW()-1),
   INDEX(AB:AB, ROW()-COUNTIF($F$6:INDEX($F:$F, ROW()-1), $F578)) : INDEX(AB:AB, ROW()-1)
   )
   /SUM(INDEX(AB:AB, ROW()-COUNTIF($F$6:INDEX($F:$F, ROW()-1), $F578)) : INDEX(AB:AB, ROW()-1)),
          AVERAGEIFS(unit_details[Asking Rent],
          unit_details[Active Listing?],TRUE,
          unit_details[Property Name], $F579,
          unit_details[Beds], $L579,
          unit_details[Baths], $M579,
          unit_details[Partial Baths], IF(ISNUMBER($N579),$N579,""),
          unit_details[Sqft],$P579
)),"")</f>
        <v/>
      </c>
      <c r="AF579" s="5" t="str">
        <f>IFERROR(IF(AE579="","",IF($F579="Total",
SUMPRODUCT(
   INDEX(AF:AF, ROW()-COUNTIF($F$6:INDEX($F:$F, ROW()-1), $F578)) : INDEX(AF:AF, ROW()-1),
   INDEX(AB:AB, ROW()-COUNTIF($F$6:INDEX($F:$F, ROW()-1), $F578)) : INDEX(AB:AB, ROW()-1)
   )
   /SUM(INDEX(AB:AB, ROW()-COUNTIF($F$6:INDEX($F:$F, ROW()-1), $F578)) : INDEX(AB:AB, ROW()-1)),
           _xlfn.MAXIFS(unit_details[Asking Rent],
          unit_details[Active Listing?],TRUE,
          unit_details[Property Name], $F579,
          unit_details[Beds], $L579,
          unit_details[Baths], $M579,
          unit_details[Partial Baths], IF(ISNUMBER($N579),$N579,""),
          unit_details[Sqft],$P579
))),"")</f>
        <v/>
      </c>
      <c r="AG579" s="6" t="str">
        <f>IFERROR(IF($F579="Total",
         SUMPRODUCT(
         INDEX(AG:AG, ROW()-COUNTIF($F$6:INDEX($F:$F, ROW()-1), $F578)) : INDEX(AG:AG, ROW()-1),
         INDEX(AB:AB, ROW()-COUNTIF($F$6:INDEX($F:$F, ROW()-1), $F578)) : INDEX(AB:AB, ROW()-1)
         )
         /SUM(INDEX(AB:AB, ROW()-COUNTIF($F$6:INDEX($F:$F, ROW()-1), $F578)) : INDEX(AB:AB, ROW()-1)),
          AVERAGEIFS(unit_details[Asking PSF],
          unit_details[Active Listing?],TRUE,
          unit_details[Property Name], $F579,
          unit_details[Beds], $L579,
          unit_details[Baths], $M579,
          unit_details[Partial Baths], IF(ISNUMBER($N579),$N579,""),
          unit_details[Sqft],$P579
)),"")</f>
        <v/>
      </c>
      <c r="AH579" s="293" t="str">
        <f>IFERROR(IF($F579="Total",
         SUMPRODUCT(
         INDEX(AH:AH, ROW()-COUNTIF($F$6:INDEX($F:$F, ROW()-1), $F578)) : INDEX(AH:AH, ROW()-1),
         INDEX(AB:AB, ROW()-COUNTIF($F$6:INDEX($F:$F, ROW()-1), $F578)) : INDEX(AB:AB, ROW()-1)
         )
         /SUM(INDEX(AB:AB, ROW()-COUNTIF($F$6:INDEX($F:$F, ROW()-1), $F578)) : INDEX(AB:AB, ROW()-1)),
          AVERAGEIFS(unit_details[Effective Rent],
          unit_details[Active Listing?],TRUE,
          unit_details[Property Name], $F579,
          unit_details[Beds], $L579,
          unit_details[Baths], $M579,
          unit_details[Partial Baths], IF(ISNUMBER($N579),$N579,""),
          unit_details[Sqft],$P579
)),"")</f>
        <v/>
      </c>
      <c r="AI579" s="6" t="str">
        <f>IFERROR(IF($F579="Total",
         SUMPRODUCT(
         INDEX(AI:AI, ROW()-COUNTIF($F$6:INDEX($F:$F, ROW()-1), $F578)) : INDEX(AI:AI, ROW()-1),
         INDEX(AB:AB, ROW()-COUNTIF($F$6:INDEX($F:$F, ROW()-1), $F578)) : INDEX(AB:AB, ROW()-1)
         )
         /SUM(INDEX(AB:AB, ROW()-COUNTIF($F$6:INDEX($F:$F, ROW()-1), $F578)) : INDEX(AB:AB, ROW()-1)),
           AVERAGEIFS(unit_details[Effective PSF],
          unit_details[Active Listing?],TRUE,
          unit_details[Property Name], $F579,
          unit_details[Beds], $L579,
          unit_details[Baths], $M579,
          unit_details[Partial Baths], IF(ISNUMBER($N579),$N579,""),
          unit_details[Sqft],$P579
)),"")</f>
        <v/>
      </c>
      <c r="AJ579" s="824" t="str">
        <f t="shared" si="92"/>
        <v/>
      </c>
      <c r="AK579" s="531" t="str">
        <f t="shared" si="93"/>
        <v/>
      </c>
      <c r="AL579" s="714" t="str">
        <f t="shared" si="94"/>
        <v/>
      </c>
      <c r="AM579" s="531" t="str">
        <f t="shared" si="95"/>
        <v/>
      </c>
      <c r="AN579" s="716" t="str">
        <f t="shared" si="96"/>
        <v/>
      </c>
    </row>
    <row r="580" spans="6:40" x14ac:dyDescent="0.2">
      <c r="F580" s="1" t="str">
        <f t="shared" si="89"/>
        <v/>
      </c>
      <c r="G580" s="713" t="str">
        <f t="shared" si="97"/>
        <v/>
      </c>
      <c r="H580" s="17" t="str">
        <f>IFERROR(VLOOKUP($G580,Table1[[Property]:[Exposure %]],4,0),"")</f>
        <v/>
      </c>
      <c r="I580" s="3" t="str">
        <f>IFERROR(VLOOKUP($G580,Table1[[Property]:[Exposure %]],6,0),"")</f>
        <v/>
      </c>
      <c r="J580" s="3" t="str">
        <f>IFERROR(VLOOKUP($G580,Table1[[Property]:[Exposure %]],7,0),"")</f>
        <v/>
      </c>
      <c r="R580" s="4" t="str">
        <f>IFERROR(VLOOKUP(IF(F580="Total",F579,F580),Table1[[Property]:['# Units]],7,0)*S580,"")</f>
        <v/>
      </c>
      <c r="S580" s="27" t="str">
        <f t="shared" si="90"/>
        <v/>
      </c>
      <c r="T580" s="531" t="str">
        <f>IFERROR(
 IF($F580="Total",
   SUMPRODUCT(
   INDEX(T:T, ROW()-COUNTIF($F$6:INDEX($F:$F, ROW()-1), $F579)) : INDEX(T:T, ROW()-1),
   INDEX(W:W, ROW()-COUNTIF($F$6:INDEX($F:$F, ROW()-1), $F579)) : INDEX(W:W, ROW()-1)
   )
   /SUM(INDEX(W:W, ROW()-COUNTIF($F$6:INDEX($F:$F, ROW()-1), $F579)) : INDEX(W:W, ROW()-1)),
   AVERAGEIFS(
     INDEX((unit_details[Asking Rent],unit_details[Asking PSF]),0,1,IF($U$3="Chunk Rent",1,2)),
     unit_details[Leased Date],"&gt;="&amp;($AM$2-T$5),
     unit_details[Leased Date],"&lt;"&amp;$AM$2,
     unit_details[Beds],$L580,
     unit_details[Baths],$M580,
     unit_details[Partial Baths],IF(ISNUMBER($N580),$N580,""),
     unit_details[Sqft],$P580,
     unit_details[Property Name],$F580)
 ),"")</f>
        <v/>
      </c>
      <c r="U580" s="552" t="str">
        <f>IFERROR(
 IF($F580="Total",
   SUMPRODUCT(
   INDEX(U:U, ROW()-COUNTIF($F$6:INDEX($F:$F, ROW()-1), $F579)) : INDEX(U:U, ROW()-1),
   INDEX(W:W, ROW()-COUNTIF($F$6:INDEX($F:$F, ROW()-1), $F579)) : INDEX(W:W, ROW()-1)
   )
   /SUM(INDEX(W:W, ROW()-COUNTIF($F$6:INDEX($F:$F, ROW()-1), $F579)) : INDEX(W:W, ROW()-1)),
   AVERAGEIFS(
     INDEX((unit_details[Effective Rent],unit_details[Effective PSF]),0,1,IF($U$3="Chunk Rent",1,2)),
     unit_details[Leased Date],"&gt;="&amp;($AM$2-T$5),
     unit_details[Leased Date],"&lt;"&amp;$AM$2,
     unit_details[Beds],$L580,
     unit_details[Baths],$M580,
     unit_details[Partial Baths],IF(ISNUMBER($N580),$N580,""),
     unit_details[Sqft],$P580,
     unit_details[Property Name],$F580)
 ),"")</f>
        <v/>
      </c>
      <c r="V580" s="27" t="str">
        <f t="shared" si="98"/>
        <v/>
      </c>
      <c r="W580" s="526">
        <f>IFERROR(
  IF($F580="Total",
    SUM(INDEX(W:W, ROW()-COUNTIF($F$6:INDEX($F:$F, ROW()-1), $F579)) : INDEX(W:W, ROW()-1)),
    COUNTIFS(
      unit_details[Leased Date], "&gt;="&amp;($AM$2-T$5),
      unit_details[Leased Date], "&lt;"&amp;$AM$2,
      unit_details[Beds], $L580,
      unit_details[Baths], $M580,
      unit_details[Partial Baths], IF(ISNUMBER($N580), $N580, ""),
      unit_details[Sqft],$P580,
      unit_details[Property Name], $F580
    )
  ),
"")</f>
        <v>0</v>
      </c>
      <c r="X580" s="531" t="str">
        <f>IFERROR(
 IF($F580="Total",
   SUMPRODUCT(
   INDEX(X:X, ROW()-COUNTIF($F$6:INDEX($F:$F, ROW()-1), $F579)) : INDEX(X:X, ROW()-1),
   INDEX(AA:AA, ROW()-COUNTIF($F$6:INDEX($F:$F, ROW()-1), $F579)) : INDEX(AA:AA, ROW()-1)
   )
   /SUM(INDEX(AA:AA, ROW()-COUNTIF($F$6:INDEX($F:$F, ROW()-1), $F579)) : INDEX(AA:AA, ROW()-1)),
   AVERAGEIFS(
     INDEX((unit_details[Asking Rent],unit_details[Asking PSF]),0,1,IF($U$3="Chunk Rent",1,2)),
     unit_details[Leased Date],"&gt;="&amp;($AM$2-X$5),
     unit_details[Leased Date],"&lt;"&amp;$AM$2,
     unit_details[Beds],$L580,
     unit_details[Baths],$M580,
     unit_details[Partial Baths],IF(ISNUMBER($N580),$N580,""),
     unit_details[Sqft],$P580,
     unit_details[Property Name],$F580)
 ),"")</f>
        <v/>
      </c>
      <c r="Y580" s="552" t="str">
        <f>IFERROR(
 IF($F580="Total",
   SUMPRODUCT(
   INDEX(Y:Y, ROW()-COUNTIF($F$6:INDEX($F:$F, ROW()-1), $F579)) : INDEX(Y:Y, ROW()-1),
   INDEX(AA:AA, ROW()-COUNTIF($F$6:INDEX($F:$F, ROW()-1), $F579)) : INDEX(AA:AA, ROW()-1)
   )
   /SUM(INDEX(AA:AA, ROW()-COUNTIF($F$6:INDEX($F:$F, ROW()-1), $F579)) : INDEX(AA:AA, ROW()-1)),
   AVERAGEIFS(
     INDEX((unit_details[Effective Rent],unit_details[Effective PSF]),0,1,IF($U$3="Chunk Rent",1,2)),
     unit_details[Leased Date],"&gt;="&amp;($AM$2-X$5),
     unit_details[Leased Date],"&lt;"&amp;$AM$2,
     unit_details[Beds],$L580,
     unit_details[Baths],$M580,
     unit_details[Partial Baths],IF(ISNUMBER($N580),$N580,""),
     unit_details[Sqft],$P580,
     unit_details[Property Name],$F580)
 ),"")</f>
        <v/>
      </c>
      <c r="Z580" s="27" t="str">
        <f t="shared" si="99"/>
        <v/>
      </c>
      <c r="AA580" s="526">
        <f>IFERROR(
  IF($F580="Total",
    SUM(INDEX(AA:AA, ROW()-COUNTIF($F$6:INDEX($F:$F, ROW()-1), $F579)) : INDEX(AA:AA, ROW()-1)),
    COUNTIFS(
      unit_details[Leased Date], "&gt;="&amp;($AM$2-X$5),
      unit_details[Leased Date], "&lt;"&amp;$AM$2,
      unit_details[Beds], $L580,
      unit_details[Baths], $M580,
      unit_details[Partial Baths], IF(ISNUMBER($N580), $N580, ""),
      unit_details[Sqft],$P580,
      unit_details[Property Name], $F580
    )
  ),
"")</f>
        <v>0</v>
      </c>
      <c r="AB580" s="290">
        <f>IF($F580="Total",
SUM(INDEX(AB:AB, ROW()-COUNTIF($F$6:INDEX($F:$F, ROW()-1), $F579)) : INDEX(AB:AB, ROW()-1)),
COUNTIFS(unit_details[Active Listing?],TRUE,
          unit_details[Property Name], $F580,
          unit_details[Beds], $L580,
          unit_details[Baths], $M580,
          unit_details[Partial Baths],IF(ISNUMBER($N580),$N580,""),
          unit_details[Sqft],$P580))</f>
        <v>0</v>
      </c>
      <c r="AC580" s="27" t="str">
        <f t="shared" si="91"/>
        <v/>
      </c>
      <c r="AD580" s="293" t="str">
        <f>IFERROR(IF(AE580="","",IF($F580="Total",
SUMPRODUCT(
   INDEX(AD:AD, ROW()-COUNTIF($F$6:INDEX($F:$F, ROW()-1), $F579)) : INDEX(AD:AD, ROW()-1),
   INDEX(AB:AB, ROW()-COUNTIF($F$6:INDEX($F:$F, ROW()-1), $F579)) : INDEX(AB:AB, ROW()-1)
   )
   /SUM(INDEX(AB:AB, ROW()-COUNTIF($F$6:INDEX($F:$F, ROW()-1), $F579)) : INDEX(AB:AB, ROW()-1)),
          _xlfn.MINIFS(unit_details[Asking Rent],
          unit_details[Active Listing?],TRUE,
          unit_details[Property Name], $F580,
          unit_details[Beds], $L580,
          unit_details[Baths], $M580,
          unit_details[Partial Baths], IF(ISNUMBER($N580),$N580,""),
          unit_details[Sqft],$P580
))),"")</f>
        <v/>
      </c>
      <c r="AE580" s="5" t="str">
        <f>IFERROR(IF($F580="Total",
          SUMPRODUCT(
   INDEX(AE:AE, ROW()-COUNTIF($F$6:INDEX($F:$F, ROW()-1), $F579)) : INDEX(AE:AE, ROW()-1),
   INDEX(AB:AB, ROW()-COUNTIF($F$6:INDEX($F:$F, ROW()-1), $F579)) : INDEX(AB:AB, ROW()-1)
   )
   /SUM(INDEX(AB:AB, ROW()-COUNTIF($F$6:INDEX($F:$F, ROW()-1), $F579)) : INDEX(AB:AB, ROW()-1)),
          AVERAGEIFS(unit_details[Asking Rent],
          unit_details[Active Listing?],TRUE,
          unit_details[Property Name], $F580,
          unit_details[Beds], $L580,
          unit_details[Baths], $M580,
          unit_details[Partial Baths], IF(ISNUMBER($N580),$N580,""),
          unit_details[Sqft],$P580
)),"")</f>
        <v/>
      </c>
      <c r="AF580" s="5" t="str">
        <f>IFERROR(IF(AE580="","",IF($F580="Total",
SUMPRODUCT(
   INDEX(AF:AF, ROW()-COUNTIF($F$6:INDEX($F:$F, ROW()-1), $F579)) : INDEX(AF:AF, ROW()-1),
   INDEX(AB:AB, ROW()-COUNTIF($F$6:INDEX($F:$F, ROW()-1), $F579)) : INDEX(AB:AB, ROW()-1)
   )
   /SUM(INDEX(AB:AB, ROW()-COUNTIF($F$6:INDEX($F:$F, ROW()-1), $F579)) : INDEX(AB:AB, ROW()-1)),
           _xlfn.MAXIFS(unit_details[Asking Rent],
          unit_details[Active Listing?],TRUE,
          unit_details[Property Name], $F580,
          unit_details[Beds], $L580,
          unit_details[Baths], $M580,
          unit_details[Partial Baths], IF(ISNUMBER($N580),$N580,""),
          unit_details[Sqft],$P580
))),"")</f>
        <v/>
      </c>
      <c r="AG580" s="6" t="str">
        <f>IFERROR(IF($F580="Total",
         SUMPRODUCT(
         INDEX(AG:AG, ROW()-COUNTIF($F$6:INDEX($F:$F, ROW()-1), $F579)) : INDEX(AG:AG, ROW()-1),
         INDEX(AB:AB, ROW()-COUNTIF($F$6:INDEX($F:$F, ROW()-1), $F579)) : INDEX(AB:AB, ROW()-1)
         )
         /SUM(INDEX(AB:AB, ROW()-COUNTIF($F$6:INDEX($F:$F, ROW()-1), $F579)) : INDEX(AB:AB, ROW()-1)),
          AVERAGEIFS(unit_details[Asking PSF],
          unit_details[Active Listing?],TRUE,
          unit_details[Property Name], $F580,
          unit_details[Beds], $L580,
          unit_details[Baths], $M580,
          unit_details[Partial Baths], IF(ISNUMBER($N580),$N580,""),
          unit_details[Sqft],$P580
)),"")</f>
        <v/>
      </c>
      <c r="AH580" s="293" t="str">
        <f>IFERROR(IF($F580="Total",
         SUMPRODUCT(
         INDEX(AH:AH, ROW()-COUNTIF($F$6:INDEX($F:$F, ROW()-1), $F579)) : INDEX(AH:AH, ROW()-1),
         INDEX(AB:AB, ROW()-COUNTIF($F$6:INDEX($F:$F, ROW()-1), $F579)) : INDEX(AB:AB, ROW()-1)
         )
         /SUM(INDEX(AB:AB, ROW()-COUNTIF($F$6:INDEX($F:$F, ROW()-1), $F579)) : INDEX(AB:AB, ROW()-1)),
          AVERAGEIFS(unit_details[Effective Rent],
          unit_details[Active Listing?],TRUE,
          unit_details[Property Name], $F580,
          unit_details[Beds], $L580,
          unit_details[Baths], $M580,
          unit_details[Partial Baths], IF(ISNUMBER($N580),$N580,""),
          unit_details[Sqft],$P580
)),"")</f>
        <v/>
      </c>
      <c r="AI580" s="6" t="str">
        <f>IFERROR(IF($F580="Total",
         SUMPRODUCT(
         INDEX(AI:AI, ROW()-COUNTIF($F$6:INDEX($F:$F, ROW()-1), $F579)) : INDEX(AI:AI, ROW()-1),
         INDEX(AB:AB, ROW()-COUNTIF($F$6:INDEX($F:$F, ROW()-1), $F579)) : INDEX(AB:AB, ROW()-1)
         )
         /SUM(INDEX(AB:AB, ROW()-COUNTIF($F$6:INDEX($F:$F, ROW()-1), $F579)) : INDEX(AB:AB, ROW()-1)),
           AVERAGEIFS(unit_details[Effective PSF],
          unit_details[Active Listing?],TRUE,
          unit_details[Property Name], $F580,
          unit_details[Beds], $L580,
          unit_details[Baths], $M580,
          unit_details[Partial Baths], IF(ISNUMBER($N580),$N580,""),
          unit_details[Sqft],$P580
)),"")</f>
        <v/>
      </c>
      <c r="AJ580" s="824" t="str">
        <f t="shared" si="92"/>
        <v/>
      </c>
      <c r="AK580" s="531" t="str">
        <f t="shared" si="93"/>
        <v/>
      </c>
      <c r="AL580" s="714" t="str">
        <f t="shared" si="94"/>
        <v/>
      </c>
      <c r="AM580" s="531" t="str">
        <f t="shared" si="95"/>
        <v/>
      </c>
      <c r="AN580" s="716" t="str">
        <f t="shared" si="96"/>
        <v/>
      </c>
    </row>
    <row r="581" spans="6:40" x14ac:dyDescent="0.2">
      <c r="F581" s="1" t="str">
        <f t="shared" si="89"/>
        <v/>
      </c>
      <c r="G581" s="713" t="str">
        <f t="shared" si="97"/>
        <v/>
      </c>
      <c r="H581" s="17" t="str">
        <f>IFERROR(VLOOKUP($G581,Table1[[Property]:[Exposure %]],4,0),"")</f>
        <v/>
      </c>
      <c r="I581" s="3" t="str">
        <f>IFERROR(VLOOKUP($G581,Table1[[Property]:[Exposure %]],6,0),"")</f>
        <v/>
      </c>
      <c r="J581" s="3" t="str">
        <f>IFERROR(VLOOKUP($G581,Table1[[Property]:[Exposure %]],7,0),"")</f>
        <v/>
      </c>
      <c r="R581" s="4" t="str">
        <f>IFERROR(VLOOKUP(IF(F581="Total",F580,F581),Table1[[Property]:['# Units]],7,0)*S581,"")</f>
        <v/>
      </c>
      <c r="S581" s="27" t="str">
        <f t="shared" si="90"/>
        <v/>
      </c>
      <c r="T581" s="531" t="str">
        <f>IFERROR(
 IF($F581="Total",
   SUMPRODUCT(
   INDEX(T:T, ROW()-COUNTIF($F$6:INDEX($F:$F, ROW()-1), $F580)) : INDEX(T:T, ROW()-1),
   INDEX(W:W, ROW()-COUNTIF($F$6:INDEX($F:$F, ROW()-1), $F580)) : INDEX(W:W, ROW()-1)
   )
   /SUM(INDEX(W:W, ROW()-COUNTIF($F$6:INDEX($F:$F, ROW()-1), $F580)) : INDEX(W:W, ROW()-1)),
   AVERAGEIFS(
     INDEX((unit_details[Asking Rent],unit_details[Asking PSF]),0,1,IF($U$3="Chunk Rent",1,2)),
     unit_details[Leased Date],"&gt;="&amp;($AM$2-T$5),
     unit_details[Leased Date],"&lt;"&amp;$AM$2,
     unit_details[Beds],$L581,
     unit_details[Baths],$M581,
     unit_details[Partial Baths],IF(ISNUMBER($N581),$N581,""),
     unit_details[Sqft],$P581,
     unit_details[Property Name],$F581)
 ),"")</f>
        <v/>
      </c>
      <c r="U581" s="552" t="str">
        <f>IFERROR(
 IF($F581="Total",
   SUMPRODUCT(
   INDEX(U:U, ROW()-COUNTIF($F$6:INDEX($F:$F, ROW()-1), $F580)) : INDEX(U:U, ROW()-1),
   INDEX(W:W, ROW()-COUNTIF($F$6:INDEX($F:$F, ROW()-1), $F580)) : INDEX(W:W, ROW()-1)
   )
   /SUM(INDEX(W:W, ROW()-COUNTIF($F$6:INDEX($F:$F, ROW()-1), $F580)) : INDEX(W:W, ROW()-1)),
   AVERAGEIFS(
     INDEX((unit_details[Effective Rent],unit_details[Effective PSF]),0,1,IF($U$3="Chunk Rent",1,2)),
     unit_details[Leased Date],"&gt;="&amp;($AM$2-T$5),
     unit_details[Leased Date],"&lt;"&amp;$AM$2,
     unit_details[Beds],$L581,
     unit_details[Baths],$M581,
     unit_details[Partial Baths],IF(ISNUMBER($N581),$N581,""),
     unit_details[Sqft],$P581,
     unit_details[Property Name],$F581)
 ),"")</f>
        <v/>
      </c>
      <c r="V581" s="27" t="str">
        <f t="shared" si="98"/>
        <v/>
      </c>
      <c r="W581" s="526">
        <f>IFERROR(
  IF($F581="Total",
    SUM(INDEX(W:W, ROW()-COUNTIF($F$6:INDEX($F:$F, ROW()-1), $F580)) : INDEX(W:W, ROW()-1)),
    COUNTIFS(
      unit_details[Leased Date], "&gt;="&amp;($AM$2-T$5),
      unit_details[Leased Date], "&lt;"&amp;$AM$2,
      unit_details[Beds], $L581,
      unit_details[Baths], $M581,
      unit_details[Partial Baths], IF(ISNUMBER($N581), $N581, ""),
      unit_details[Sqft],$P581,
      unit_details[Property Name], $F581
    )
  ),
"")</f>
        <v>0</v>
      </c>
      <c r="X581" s="531" t="str">
        <f>IFERROR(
 IF($F581="Total",
   SUMPRODUCT(
   INDEX(X:X, ROW()-COUNTIF($F$6:INDEX($F:$F, ROW()-1), $F580)) : INDEX(X:X, ROW()-1),
   INDEX(AA:AA, ROW()-COUNTIF($F$6:INDEX($F:$F, ROW()-1), $F580)) : INDEX(AA:AA, ROW()-1)
   )
   /SUM(INDEX(AA:AA, ROW()-COUNTIF($F$6:INDEX($F:$F, ROW()-1), $F580)) : INDEX(AA:AA, ROW()-1)),
   AVERAGEIFS(
     INDEX((unit_details[Asking Rent],unit_details[Asking PSF]),0,1,IF($U$3="Chunk Rent",1,2)),
     unit_details[Leased Date],"&gt;="&amp;($AM$2-X$5),
     unit_details[Leased Date],"&lt;"&amp;$AM$2,
     unit_details[Beds],$L581,
     unit_details[Baths],$M581,
     unit_details[Partial Baths],IF(ISNUMBER($N581),$N581,""),
     unit_details[Sqft],$P581,
     unit_details[Property Name],$F581)
 ),"")</f>
        <v/>
      </c>
      <c r="Y581" s="552" t="str">
        <f>IFERROR(
 IF($F581="Total",
   SUMPRODUCT(
   INDEX(Y:Y, ROW()-COUNTIF($F$6:INDEX($F:$F, ROW()-1), $F580)) : INDEX(Y:Y, ROW()-1),
   INDEX(AA:AA, ROW()-COUNTIF($F$6:INDEX($F:$F, ROW()-1), $F580)) : INDEX(AA:AA, ROW()-1)
   )
   /SUM(INDEX(AA:AA, ROW()-COUNTIF($F$6:INDEX($F:$F, ROW()-1), $F580)) : INDEX(AA:AA, ROW()-1)),
   AVERAGEIFS(
     INDEX((unit_details[Effective Rent],unit_details[Effective PSF]),0,1,IF($U$3="Chunk Rent",1,2)),
     unit_details[Leased Date],"&gt;="&amp;($AM$2-X$5),
     unit_details[Leased Date],"&lt;"&amp;$AM$2,
     unit_details[Beds],$L581,
     unit_details[Baths],$M581,
     unit_details[Partial Baths],IF(ISNUMBER($N581),$N581,""),
     unit_details[Sqft],$P581,
     unit_details[Property Name],$F581)
 ),"")</f>
        <v/>
      </c>
      <c r="Z581" s="27" t="str">
        <f t="shared" si="99"/>
        <v/>
      </c>
      <c r="AA581" s="526">
        <f>IFERROR(
  IF($F581="Total",
    SUM(INDEX(AA:AA, ROW()-COUNTIF($F$6:INDEX($F:$F, ROW()-1), $F580)) : INDEX(AA:AA, ROW()-1)),
    COUNTIFS(
      unit_details[Leased Date], "&gt;="&amp;($AM$2-X$5),
      unit_details[Leased Date], "&lt;"&amp;$AM$2,
      unit_details[Beds], $L581,
      unit_details[Baths], $M581,
      unit_details[Partial Baths], IF(ISNUMBER($N581), $N581, ""),
      unit_details[Sqft],$P581,
      unit_details[Property Name], $F581
    )
  ),
"")</f>
        <v>0</v>
      </c>
      <c r="AB581" s="290">
        <f>IF($F581="Total",
SUM(INDEX(AB:AB, ROW()-COUNTIF($F$6:INDEX($F:$F, ROW()-1), $F580)) : INDEX(AB:AB, ROW()-1)),
COUNTIFS(unit_details[Active Listing?],TRUE,
          unit_details[Property Name], $F581,
          unit_details[Beds], $L581,
          unit_details[Baths], $M581,
          unit_details[Partial Baths],IF(ISNUMBER($N581),$N581,""),
          unit_details[Sqft],$P581))</f>
        <v>0</v>
      </c>
      <c r="AC581" s="27" t="str">
        <f t="shared" si="91"/>
        <v/>
      </c>
      <c r="AD581" s="293" t="str">
        <f>IFERROR(IF(AE581="","",IF($F581="Total",
SUMPRODUCT(
   INDEX(AD:AD, ROW()-COUNTIF($F$6:INDEX($F:$F, ROW()-1), $F580)) : INDEX(AD:AD, ROW()-1),
   INDEX(AB:AB, ROW()-COUNTIF($F$6:INDEX($F:$F, ROW()-1), $F580)) : INDEX(AB:AB, ROW()-1)
   )
   /SUM(INDEX(AB:AB, ROW()-COUNTIF($F$6:INDEX($F:$F, ROW()-1), $F580)) : INDEX(AB:AB, ROW()-1)),
          _xlfn.MINIFS(unit_details[Asking Rent],
          unit_details[Active Listing?],TRUE,
          unit_details[Property Name], $F581,
          unit_details[Beds], $L581,
          unit_details[Baths], $M581,
          unit_details[Partial Baths], IF(ISNUMBER($N581),$N581,""),
          unit_details[Sqft],$P581
))),"")</f>
        <v/>
      </c>
      <c r="AE581" s="5" t="str">
        <f>IFERROR(IF($F581="Total",
          SUMPRODUCT(
   INDEX(AE:AE, ROW()-COUNTIF($F$6:INDEX($F:$F, ROW()-1), $F580)) : INDEX(AE:AE, ROW()-1),
   INDEX(AB:AB, ROW()-COUNTIF($F$6:INDEX($F:$F, ROW()-1), $F580)) : INDEX(AB:AB, ROW()-1)
   )
   /SUM(INDEX(AB:AB, ROW()-COUNTIF($F$6:INDEX($F:$F, ROW()-1), $F580)) : INDEX(AB:AB, ROW()-1)),
          AVERAGEIFS(unit_details[Asking Rent],
          unit_details[Active Listing?],TRUE,
          unit_details[Property Name], $F581,
          unit_details[Beds], $L581,
          unit_details[Baths], $M581,
          unit_details[Partial Baths], IF(ISNUMBER($N581),$N581,""),
          unit_details[Sqft],$P581
)),"")</f>
        <v/>
      </c>
      <c r="AF581" s="5" t="str">
        <f>IFERROR(IF(AE581="","",IF($F581="Total",
SUMPRODUCT(
   INDEX(AF:AF, ROW()-COUNTIF($F$6:INDEX($F:$F, ROW()-1), $F580)) : INDEX(AF:AF, ROW()-1),
   INDEX(AB:AB, ROW()-COUNTIF($F$6:INDEX($F:$F, ROW()-1), $F580)) : INDEX(AB:AB, ROW()-1)
   )
   /SUM(INDEX(AB:AB, ROW()-COUNTIF($F$6:INDEX($F:$F, ROW()-1), $F580)) : INDEX(AB:AB, ROW()-1)),
           _xlfn.MAXIFS(unit_details[Asking Rent],
          unit_details[Active Listing?],TRUE,
          unit_details[Property Name], $F581,
          unit_details[Beds], $L581,
          unit_details[Baths], $M581,
          unit_details[Partial Baths], IF(ISNUMBER($N581),$N581,""),
          unit_details[Sqft],$P581
))),"")</f>
        <v/>
      </c>
      <c r="AG581" s="6" t="str">
        <f>IFERROR(IF($F581="Total",
         SUMPRODUCT(
         INDEX(AG:AG, ROW()-COUNTIF($F$6:INDEX($F:$F, ROW()-1), $F580)) : INDEX(AG:AG, ROW()-1),
         INDEX(AB:AB, ROW()-COUNTIF($F$6:INDEX($F:$F, ROW()-1), $F580)) : INDEX(AB:AB, ROW()-1)
         )
         /SUM(INDEX(AB:AB, ROW()-COUNTIF($F$6:INDEX($F:$F, ROW()-1), $F580)) : INDEX(AB:AB, ROW()-1)),
          AVERAGEIFS(unit_details[Asking PSF],
          unit_details[Active Listing?],TRUE,
          unit_details[Property Name], $F581,
          unit_details[Beds], $L581,
          unit_details[Baths], $M581,
          unit_details[Partial Baths], IF(ISNUMBER($N581),$N581,""),
          unit_details[Sqft],$P581
)),"")</f>
        <v/>
      </c>
      <c r="AH581" s="293" t="str">
        <f>IFERROR(IF($F581="Total",
         SUMPRODUCT(
         INDEX(AH:AH, ROW()-COUNTIF($F$6:INDEX($F:$F, ROW()-1), $F580)) : INDEX(AH:AH, ROW()-1),
         INDEX(AB:AB, ROW()-COUNTIF($F$6:INDEX($F:$F, ROW()-1), $F580)) : INDEX(AB:AB, ROW()-1)
         )
         /SUM(INDEX(AB:AB, ROW()-COUNTIF($F$6:INDEX($F:$F, ROW()-1), $F580)) : INDEX(AB:AB, ROW()-1)),
          AVERAGEIFS(unit_details[Effective Rent],
          unit_details[Active Listing?],TRUE,
          unit_details[Property Name], $F581,
          unit_details[Beds], $L581,
          unit_details[Baths], $M581,
          unit_details[Partial Baths], IF(ISNUMBER($N581),$N581,""),
          unit_details[Sqft],$P581
)),"")</f>
        <v/>
      </c>
      <c r="AI581" s="6" t="str">
        <f>IFERROR(IF($F581="Total",
         SUMPRODUCT(
         INDEX(AI:AI, ROW()-COUNTIF($F$6:INDEX($F:$F, ROW()-1), $F580)) : INDEX(AI:AI, ROW()-1),
         INDEX(AB:AB, ROW()-COUNTIF($F$6:INDEX($F:$F, ROW()-1), $F580)) : INDEX(AB:AB, ROW()-1)
         )
         /SUM(INDEX(AB:AB, ROW()-COUNTIF($F$6:INDEX($F:$F, ROW()-1), $F580)) : INDEX(AB:AB, ROW()-1)),
           AVERAGEIFS(unit_details[Effective PSF],
          unit_details[Active Listing?],TRUE,
          unit_details[Property Name], $F581,
          unit_details[Beds], $L581,
          unit_details[Baths], $M581,
          unit_details[Partial Baths], IF(ISNUMBER($N581),$N581,""),
          unit_details[Sqft],$P581
)),"")</f>
        <v/>
      </c>
      <c r="AJ581" s="824" t="str">
        <f t="shared" si="92"/>
        <v/>
      </c>
      <c r="AK581" s="531" t="str">
        <f t="shared" si="93"/>
        <v/>
      </c>
      <c r="AL581" s="714" t="str">
        <f t="shared" si="94"/>
        <v/>
      </c>
      <c r="AM581" s="531" t="str">
        <f t="shared" si="95"/>
        <v/>
      </c>
      <c r="AN581" s="716" t="str">
        <f t="shared" si="96"/>
        <v/>
      </c>
    </row>
    <row r="582" spans="6:40" x14ac:dyDescent="0.2">
      <c r="F582" s="1" t="str">
        <f t="shared" si="89"/>
        <v/>
      </c>
      <c r="G582" s="713" t="str">
        <f t="shared" si="97"/>
        <v/>
      </c>
      <c r="H582" s="17" t="str">
        <f>IFERROR(VLOOKUP($G582,Table1[[Property]:[Exposure %]],4,0),"")</f>
        <v/>
      </c>
      <c r="I582" s="3" t="str">
        <f>IFERROR(VLOOKUP($G582,Table1[[Property]:[Exposure %]],6,0),"")</f>
        <v/>
      </c>
      <c r="J582" s="3" t="str">
        <f>IFERROR(VLOOKUP($G582,Table1[[Property]:[Exposure %]],7,0),"")</f>
        <v/>
      </c>
      <c r="R582" s="4" t="str">
        <f>IFERROR(VLOOKUP(IF(F582="Total",F581,F582),Table1[[Property]:['# Units]],7,0)*S582,"")</f>
        <v/>
      </c>
      <c r="S582" s="27" t="str">
        <f t="shared" si="90"/>
        <v/>
      </c>
      <c r="T582" s="531" t="str">
        <f>IFERROR(
 IF($F582="Total",
   SUMPRODUCT(
   INDEX(T:T, ROW()-COUNTIF($F$6:INDEX($F:$F, ROW()-1), $F581)) : INDEX(T:T, ROW()-1),
   INDEX(W:W, ROW()-COUNTIF($F$6:INDEX($F:$F, ROW()-1), $F581)) : INDEX(W:W, ROW()-1)
   )
   /SUM(INDEX(W:W, ROW()-COUNTIF($F$6:INDEX($F:$F, ROW()-1), $F581)) : INDEX(W:W, ROW()-1)),
   AVERAGEIFS(
     INDEX((unit_details[Asking Rent],unit_details[Asking PSF]),0,1,IF($U$3="Chunk Rent",1,2)),
     unit_details[Leased Date],"&gt;="&amp;($AM$2-T$5),
     unit_details[Leased Date],"&lt;"&amp;$AM$2,
     unit_details[Beds],$L582,
     unit_details[Baths],$M582,
     unit_details[Partial Baths],IF(ISNUMBER($N582),$N582,""),
     unit_details[Sqft],$P582,
     unit_details[Property Name],$F582)
 ),"")</f>
        <v/>
      </c>
      <c r="U582" s="552" t="str">
        <f>IFERROR(
 IF($F582="Total",
   SUMPRODUCT(
   INDEX(U:U, ROW()-COUNTIF($F$6:INDEX($F:$F, ROW()-1), $F581)) : INDEX(U:U, ROW()-1),
   INDEX(W:W, ROW()-COUNTIF($F$6:INDEX($F:$F, ROW()-1), $F581)) : INDEX(W:W, ROW()-1)
   )
   /SUM(INDEX(W:W, ROW()-COUNTIF($F$6:INDEX($F:$F, ROW()-1), $F581)) : INDEX(W:W, ROW()-1)),
   AVERAGEIFS(
     INDEX((unit_details[Effective Rent],unit_details[Effective PSF]),0,1,IF($U$3="Chunk Rent",1,2)),
     unit_details[Leased Date],"&gt;="&amp;($AM$2-T$5),
     unit_details[Leased Date],"&lt;"&amp;$AM$2,
     unit_details[Beds],$L582,
     unit_details[Baths],$M582,
     unit_details[Partial Baths],IF(ISNUMBER($N582),$N582,""),
     unit_details[Sqft],$P582,
     unit_details[Property Name],$F582)
 ),"")</f>
        <v/>
      </c>
      <c r="V582" s="27" t="str">
        <f t="shared" si="98"/>
        <v/>
      </c>
      <c r="W582" s="526">
        <f>IFERROR(
  IF($F582="Total",
    SUM(INDEX(W:W, ROW()-COUNTIF($F$6:INDEX($F:$F, ROW()-1), $F581)) : INDEX(W:W, ROW()-1)),
    COUNTIFS(
      unit_details[Leased Date], "&gt;="&amp;($AM$2-T$5),
      unit_details[Leased Date], "&lt;"&amp;$AM$2,
      unit_details[Beds], $L582,
      unit_details[Baths], $M582,
      unit_details[Partial Baths], IF(ISNUMBER($N582), $N582, ""),
      unit_details[Sqft],$P582,
      unit_details[Property Name], $F582
    )
  ),
"")</f>
        <v>0</v>
      </c>
      <c r="X582" s="531" t="str">
        <f>IFERROR(
 IF($F582="Total",
   SUMPRODUCT(
   INDEX(X:X, ROW()-COUNTIF($F$6:INDEX($F:$F, ROW()-1), $F581)) : INDEX(X:X, ROW()-1),
   INDEX(AA:AA, ROW()-COUNTIF($F$6:INDEX($F:$F, ROW()-1), $F581)) : INDEX(AA:AA, ROW()-1)
   )
   /SUM(INDEX(AA:AA, ROW()-COUNTIF($F$6:INDEX($F:$F, ROW()-1), $F581)) : INDEX(AA:AA, ROW()-1)),
   AVERAGEIFS(
     INDEX((unit_details[Asking Rent],unit_details[Asking PSF]),0,1,IF($U$3="Chunk Rent",1,2)),
     unit_details[Leased Date],"&gt;="&amp;($AM$2-X$5),
     unit_details[Leased Date],"&lt;"&amp;$AM$2,
     unit_details[Beds],$L582,
     unit_details[Baths],$M582,
     unit_details[Partial Baths],IF(ISNUMBER($N582),$N582,""),
     unit_details[Sqft],$P582,
     unit_details[Property Name],$F582)
 ),"")</f>
        <v/>
      </c>
      <c r="Y582" s="552" t="str">
        <f>IFERROR(
 IF($F582="Total",
   SUMPRODUCT(
   INDEX(Y:Y, ROW()-COUNTIF($F$6:INDEX($F:$F, ROW()-1), $F581)) : INDEX(Y:Y, ROW()-1),
   INDEX(AA:AA, ROW()-COUNTIF($F$6:INDEX($F:$F, ROW()-1), $F581)) : INDEX(AA:AA, ROW()-1)
   )
   /SUM(INDEX(AA:AA, ROW()-COUNTIF($F$6:INDEX($F:$F, ROW()-1), $F581)) : INDEX(AA:AA, ROW()-1)),
   AVERAGEIFS(
     INDEX((unit_details[Effective Rent],unit_details[Effective PSF]),0,1,IF($U$3="Chunk Rent",1,2)),
     unit_details[Leased Date],"&gt;="&amp;($AM$2-X$5),
     unit_details[Leased Date],"&lt;"&amp;$AM$2,
     unit_details[Beds],$L582,
     unit_details[Baths],$M582,
     unit_details[Partial Baths],IF(ISNUMBER($N582),$N582,""),
     unit_details[Sqft],$P582,
     unit_details[Property Name],$F582)
 ),"")</f>
        <v/>
      </c>
      <c r="Z582" s="27" t="str">
        <f t="shared" si="99"/>
        <v/>
      </c>
      <c r="AA582" s="526">
        <f>IFERROR(
  IF($F582="Total",
    SUM(INDEX(AA:AA, ROW()-COUNTIF($F$6:INDEX($F:$F, ROW()-1), $F581)) : INDEX(AA:AA, ROW()-1)),
    COUNTIFS(
      unit_details[Leased Date], "&gt;="&amp;($AM$2-X$5),
      unit_details[Leased Date], "&lt;"&amp;$AM$2,
      unit_details[Beds], $L582,
      unit_details[Baths], $M582,
      unit_details[Partial Baths], IF(ISNUMBER($N582), $N582, ""),
      unit_details[Sqft],$P582,
      unit_details[Property Name], $F582
    )
  ),
"")</f>
        <v>0</v>
      </c>
      <c r="AB582" s="290">
        <f>IF($F582="Total",
SUM(INDEX(AB:AB, ROW()-COUNTIF($F$6:INDEX($F:$F, ROW()-1), $F581)) : INDEX(AB:AB, ROW()-1)),
COUNTIFS(unit_details[Active Listing?],TRUE,
          unit_details[Property Name], $F582,
          unit_details[Beds], $L582,
          unit_details[Baths], $M582,
          unit_details[Partial Baths],IF(ISNUMBER($N582),$N582,""),
          unit_details[Sqft],$P582))</f>
        <v>0</v>
      </c>
      <c r="AC582" s="27" t="str">
        <f t="shared" si="91"/>
        <v/>
      </c>
      <c r="AD582" s="293" t="str">
        <f>IFERROR(IF(AE582="","",IF($F582="Total",
SUMPRODUCT(
   INDEX(AD:AD, ROW()-COUNTIF($F$6:INDEX($F:$F, ROW()-1), $F581)) : INDEX(AD:AD, ROW()-1),
   INDEX(AB:AB, ROW()-COUNTIF($F$6:INDEX($F:$F, ROW()-1), $F581)) : INDEX(AB:AB, ROW()-1)
   )
   /SUM(INDEX(AB:AB, ROW()-COUNTIF($F$6:INDEX($F:$F, ROW()-1), $F581)) : INDEX(AB:AB, ROW()-1)),
          _xlfn.MINIFS(unit_details[Asking Rent],
          unit_details[Active Listing?],TRUE,
          unit_details[Property Name], $F582,
          unit_details[Beds], $L582,
          unit_details[Baths], $M582,
          unit_details[Partial Baths], IF(ISNUMBER($N582),$N582,""),
          unit_details[Sqft],$P582
))),"")</f>
        <v/>
      </c>
      <c r="AE582" s="5" t="str">
        <f>IFERROR(IF($F582="Total",
          SUMPRODUCT(
   INDEX(AE:AE, ROW()-COUNTIF($F$6:INDEX($F:$F, ROW()-1), $F581)) : INDEX(AE:AE, ROW()-1),
   INDEX(AB:AB, ROW()-COUNTIF($F$6:INDEX($F:$F, ROW()-1), $F581)) : INDEX(AB:AB, ROW()-1)
   )
   /SUM(INDEX(AB:AB, ROW()-COUNTIF($F$6:INDEX($F:$F, ROW()-1), $F581)) : INDEX(AB:AB, ROW()-1)),
          AVERAGEIFS(unit_details[Asking Rent],
          unit_details[Active Listing?],TRUE,
          unit_details[Property Name], $F582,
          unit_details[Beds], $L582,
          unit_details[Baths], $M582,
          unit_details[Partial Baths], IF(ISNUMBER($N582),$N582,""),
          unit_details[Sqft],$P582
)),"")</f>
        <v/>
      </c>
      <c r="AF582" s="5" t="str">
        <f>IFERROR(IF(AE582="","",IF($F582="Total",
SUMPRODUCT(
   INDEX(AF:AF, ROW()-COUNTIF($F$6:INDEX($F:$F, ROW()-1), $F581)) : INDEX(AF:AF, ROW()-1),
   INDEX(AB:AB, ROW()-COUNTIF($F$6:INDEX($F:$F, ROW()-1), $F581)) : INDEX(AB:AB, ROW()-1)
   )
   /SUM(INDEX(AB:AB, ROW()-COUNTIF($F$6:INDEX($F:$F, ROW()-1), $F581)) : INDEX(AB:AB, ROW()-1)),
           _xlfn.MAXIFS(unit_details[Asking Rent],
          unit_details[Active Listing?],TRUE,
          unit_details[Property Name], $F582,
          unit_details[Beds], $L582,
          unit_details[Baths], $M582,
          unit_details[Partial Baths], IF(ISNUMBER($N582),$N582,""),
          unit_details[Sqft],$P582
))),"")</f>
        <v/>
      </c>
      <c r="AG582" s="6" t="str">
        <f>IFERROR(IF($F582="Total",
         SUMPRODUCT(
         INDEX(AG:AG, ROW()-COUNTIF($F$6:INDEX($F:$F, ROW()-1), $F581)) : INDEX(AG:AG, ROW()-1),
         INDEX(AB:AB, ROW()-COUNTIF($F$6:INDEX($F:$F, ROW()-1), $F581)) : INDEX(AB:AB, ROW()-1)
         )
         /SUM(INDEX(AB:AB, ROW()-COUNTIF($F$6:INDEX($F:$F, ROW()-1), $F581)) : INDEX(AB:AB, ROW()-1)),
          AVERAGEIFS(unit_details[Asking PSF],
          unit_details[Active Listing?],TRUE,
          unit_details[Property Name], $F582,
          unit_details[Beds], $L582,
          unit_details[Baths], $M582,
          unit_details[Partial Baths], IF(ISNUMBER($N582),$N582,""),
          unit_details[Sqft],$P582
)),"")</f>
        <v/>
      </c>
      <c r="AH582" s="293" t="str">
        <f>IFERROR(IF($F582="Total",
         SUMPRODUCT(
         INDEX(AH:AH, ROW()-COUNTIF($F$6:INDEX($F:$F, ROW()-1), $F581)) : INDEX(AH:AH, ROW()-1),
         INDEX(AB:AB, ROW()-COUNTIF($F$6:INDEX($F:$F, ROW()-1), $F581)) : INDEX(AB:AB, ROW()-1)
         )
         /SUM(INDEX(AB:AB, ROW()-COUNTIF($F$6:INDEX($F:$F, ROW()-1), $F581)) : INDEX(AB:AB, ROW()-1)),
          AVERAGEIFS(unit_details[Effective Rent],
          unit_details[Active Listing?],TRUE,
          unit_details[Property Name], $F582,
          unit_details[Beds], $L582,
          unit_details[Baths], $M582,
          unit_details[Partial Baths], IF(ISNUMBER($N582),$N582,""),
          unit_details[Sqft],$P582
)),"")</f>
        <v/>
      </c>
      <c r="AI582" s="6" t="str">
        <f>IFERROR(IF($F582="Total",
         SUMPRODUCT(
         INDEX(AI:AI, ROW()-COUNTIF($F$6:INDEX($F:$F, ROW()-1), $F581)) : INDEX(AI:AI, ROW()-1),
         INDEX(AB:AB, ROW()-COUNTIF($F$6:INDEX($F:$F, ROW()-1), $F581)) : INDEX(AB:AB, ROW()-1)
         )
         /SUM(INDEX(AB:AB, ROW()-COUNTIF($F$6:INDEX($F:$F, ROW()-1), $F581)) : INDEX(AB:AB, ROW()-1)),
           AVERAGEIFS(unit_details[Effective PSF],
          unit_details[Active Listing?],TRUE,
          unit_details[Property Name], $F582,
          unit_details[Beds], $L582,
          unit_details[Baths], $M582,
          unit_details[Partial Baths], IF(ISNUMBER($N582),$N582,""),
          unit_details[Sqft],$P582
)),"")</f>
        <v/>
      </c>
      <c r="AJ582" s="824" t="str">
        <f t="shared" si="92"/>
        <v/>
      </c>
      <c r="AK582" s="531" t="str">
        <f t="shared" si="93"/>
        <v/>
      </c>
      <c r="AL582" s="714" t="str">
        <f t="shared" si="94"/>
        <v/>
      </c>
      <c r="AM582" s="531" t="str">
        <f t="shared" si="95"/>
        <v/>
      </c>
      <c r="AN582" s="716" t="str">
        <f t="shared" si="96"/>
        <v/>
      </c>
    </row>
    <row r="583" spans="6:40" x14ac:dyDescent="0.2">
      <c r="F583" s="1" t="str">
        <f t="shared" ref="F583:F646" si="100">IF(RIGHT(K583,5)="Total","Total",IF(ISTEXT(K583),K583,IF(F582="Total","",F582)))</f>
        <v/>
      </c>
      <c r="G583" s="713" t="str">
        <f t="shared" si="97"/>
        <v/>
      </c>
      <c r="H583" s="17" t="str">
        <f>IFERROR(VLOOKUP($G583,Table1[[Property]:[Exposure %]],4,0),"")</f>
        <v/>
      </c>
      <c r="I583" s="3" t="str">
        <f>IFERROR(VLOOKUP($G583,Table1[[Property]:[Exposure %]],6,0),"")</f>
        <v/>
      </c>
      <c r="J583" s="3" t="str">
        <f>IFERROR(VLOOKUP($G583,Table1[[Property]:[Exposure %]],7,0),"")</f>
        <v/>
      </c>
      <c r="R583" s="4" t="str">
        <f>IFERROR(VLOOKUP(IF(F583="Total",F582,F583),Table1[[Property]:['# Units]],7,0)*S583,"")</f>
        <v/>
      </c>
      <c r="S583" s="27" t="str">
        <f t="shared" ref="S583:S646" si="101">IF(Q583=0,"",Q583)</f>
        <v/>
      </c>
      <c r="T583" s="531" t="str">
        <f>IFERROR(
 IF($F583="Total",
   SUMPRODUCT(
   INDEX(T:T, ROW()-COUNTIF($F$6:INDEX($F:$F, ROW()-1), $F582)) : INDEX(T:T, ROW()-1),
   INDEX(W:W, ROW()-COUNTIF($F$6:INDEX($F:$F, ROW()-1), $F582)) : INDEX(W:W, ROW()-1)
   )
   /SUM(INDEX(W:W, ROW()-COUNTIF($F$6:INDEX($F:$F, ROW()-1), $F582)) : INDEX(W:W, ROW()-1)),
   AVERAGEIFS(
     INDEX((unit_details[Asking Rent],unit_details[Asking PSF]),0,1,IF($U$3="Chunk Rent",1,2)),
     unit_details[Leased Date],"&gt;="&amp;($AM$2-T$5),
     unit_details[Leased Date],"&lt;"&amp;$AM$2,
     unit_details[Beds],$L583,
     unit_details[Baths],$M583,
     unit_details[Partial Baths],IF(ISNUMBER($N583),$N583,""),
     unit_details[Sqft],$P583,
     unit_details[Property Name],$F583)
 ),"")</f>
        <v/>
      </c>
      <c r="U583" s="552" t="str">
        <f>IFERROR(
 IF($F583="Total",
   SUMPRODUCT(
   INDEX(U:U, ROW()-COUNTIF($F$6:INDEX($F:$F, ROW()-1), $F582)) : INDEX(U:U, ROW()-1),
   INDEX(W:W, ROW()-COUNTIF($F$6:INDEX($F:$F, ROW()-1), $F582)) : INDEX(W:W, ROW()-1)
   )
   /SUM(INDEX(W:W, ROW()-COUNTIF($F$6:INDEX($F:$F, ROW()-1), $F582)) : INDEX(W:W, ROW()-1)),
   AVERAGEIFS(
     INDEX((unit_details[Effective Rent],unit_details[Effective PSF]),0,1,IF($U$3="Chunk Rent",1,2)),
     unit_details[Leased Date],"&gt;="&amp;($AM$2-T$5),
     unit_details[Leased Date],"&lt;"&amp;$AM$2,
     unit_details[Beds],$L583,
     unit_details[Baths],$M583,
     unit_details[Partial Baths],IF(ISNUMBER($N583),$N583,""),
     unit_details[Sqft],$P583,
     unit_details[Property Name],$F583)
 ),"")</f>
        <v/>
      </c>
      <c r="V583" s="27" t="str">
        <f t="shared" si="98"/>
        <v/>
      </c>
      <c r="W583" s="526">
        <f>IFERROR(
  IF($F583="Total",
    SUM(INDEX(W:W, ROW()-COUNTIF($F$6:INDEX($F:$F, ROW()-1), $F582)) : INDEX(W:W, ROW()-1)),
    COUNTIFS(
      unit_details[Leased Date], "&gt;="&amp;($AM$2-T$5),
      unit_details[Leased Date], "&lt;"&amp;$AM$2,
      unit_details[Beds], $L583,
      unit_details[Baths], $M583,
      unit_details[Partial Baths], IF(ISNUMBER($N583), $N583, ""),
      unit_details[Sqft],$P583,
      unit_details[Property Name], $F583
    )
  ),
"")</f>
        <v>0</v>
      </c>
      <c r="X583" s="531" t="str">
        <f>IFERROR(
 IF($F583="Total",
   SUMPRODUCT(
   INDEX(X:X, ROW()-COUNTIF($F$6:INDEX($F:$F, ROW()-1), $F582)) : INDEX(X:X, ROW()-1),
   INDEX(AA:AA, ROW()-COUNTIF($F$6:INDEX($F:$F, ROW()-1), $F582)) : INDEX(AA:AA, ROW()-1)
   )
   /SUM(INDEX(AA:AA, ROW()-COUNTIF($F$6:INDEX($F:$F, ROW()-1), $F582)) : INDEX(AA:AA, ROW()-1)),
   AVERAGEIFS(
     INDEX((unit_details[Asking Rent],unit_details[Asking PSF]),0,1,IF($U$3="Chunk Rent",1,2)),
     unit_details[Leased Date],"&gt;="&amp;($AM$2-X$5),
     unit_details[Leased Date],"&lt;"&amp;$AM$2,
     unit_details[Beds],$L583,
     unit_details[Baths],$M583,
     unit_details[Partial Baths],IF(ISNUMBER($N583),$N583,""),
     unit_details[Sqft],$P583,
     unit_details[Property Name],$F583)
 ),"")</f>
        <v/>
      </c>
      <c r="Y583" s="552" t="str">
        <f>IFERROR(
 IF($F583="Total",
   SUMPRODUCT(
   INDEX(Y:Y, ROW()-COUNTIF($F$6:INDEX($F:$F, ROW()-1), $F582)) : INDEX(Y:Y, ROW()-1),
   INDEX(AA:AA, ROW()-COUNTIF($F$6:INDEX($F:$F, ROW()-1), $F582)) : INDEX(AA:AA, ROW()-1)
   )
   /SUM(INDEX(AA:AA, ROW()-COUNTIF($F$6:INDEX($F:$F, ROW()-1), $F582)) : INDEX(AA:AA, ROW()-1)),
   AVERAGEIFS(
     INDEX((unit_details[Effective Rent],unit_details[Effective PSF]),0,1,IF($U$3="Chunk Rent",1,2)),
     unit_details[Leased Date],"&gt;="&amp;($AM$2-X$5),
     unit_details[Leased Date],"&lt;"&amp;$AM$2,
     unit_details[Beds],$L583,
     unit_details[Baths],$M583,
     unit_details[Partial Baths],IF(ISNUMBER($N583),$N583,""),
     unit_details[Sqft],$P583,
     unit_details[Property Name],$F583)
 ),"")</f>
        <v/>
      </c>
      <c r="Z583" s="27" t="str">
        <f t="shared" si="99"/>
        <v/>
      </c>
      <c r="AA583" s="526">
        <f>IFERROR(
  IF($F583="Total",
    SUM(INDEX(AA:AA, ROW()-COUNTIF($F$6:INDEX($F:$F, ROW()-1), $F582)) : INDEX(AA:AA, ROW()-1)),
    COUNTIFS(
      unit_details[Leased Date], "&gt;="&amp;($AM$2-X$5),
      unit_details[Leased Date], "&lt;"&amp;$AM$2,
      unit_details[Beds], $L583,
      unit_details[Baths], $M583,
      unit_details[Partial Baths], IF(ISNUMBER($N583), $N583, ""),
      unit_details[Sqft],$P583,
      unit_details[Property Name], $F583
    )
  ),
"")</f>
        <v>0</v>
      </c>
      <c r="AB583" s="290">
        <f>IF($F583="Total",
SUM(INDEX(AB:AB, ROW()-COUNTIF($F$6:INDEX($F:$F, ROW()-1), $F582)) : INDEX(AB:AB, ROW()-1)),
COUNTIFS(unit_details[Active Listing?],TRUE,
          unit_details[Property Name], $F583,
          unit_details[Beds], $L583,
          unit_details[Baths], $M583,
          unit_details[Partial Baths],IF(ISNUMBER($N583),$N583,""),
          unit_details[Sqft],$P583))</f>
        <v>0</v>
      </c>
      <c r="AC583" s="27" t="str">
        <f t="shared" ref="AC583:AC646" si="102">IFERROR(AB583/R583,"")</f>
        <v/>
      </c>
      <c r="AD583" s="293" t="str">
        <f>IFERROR(IF(AE583="","",IF($F583="Total",
SUMPRODUCT(
   INDEX(AD:AD, ROW()-COUNTIF($F$6:INDEX($F:$F, ROW()-1), $F582)) : INDEX(AD:AD, ROW()-1),
   INDEX(AB:AB, ROW()-COUNTIF($F$6:INDEX($F:$F, ROW()-1), $F582)) : INDEX(AB:AB, ROW()-1)
   )
   /SUM(INDEX(AB:AB, ROW()-COUNTIF($F$6:INDEX($F:$F, ROW()-1), $F582)) : INDEX(AB:AB, ROW()-1)),
          _xlfn.MINIFS(unit_details[Asking Rent],
          unit_details[Active Listing?],TRUE,
          unit_details[Property Name], $F583,
          unit_details[Beds], $L583,
          unit_details[Baths], $M583,
          unit_details[Partial Baths], IF(ISNUMBER($N583),$N583,""),
          unit_details[Sqft],$P583
))),"")</f>
        <v/>
      </c>
      <c r="AE583" s="5" t="str">
        <f>IFERROR(IF($F583="Total",
          SUMPRODUCT(
   INDEX(AE:AE, ROW()-COUNTIF($F$6:INDEX($F:$F, ROW()-1), $F582)) : INDEX(AE:AE, ROW()-1),
   INDEX(AB:AB, ROW()-COUNTIF($F$6:INDEX($F:$F, ROW()-1), $F582)) : INDEX(AB:AB, ROW()-1)
   )
   /SUM(INDEX(AB:AB, ROW()-COUNTIF($F$6:INDEX($F:$F, ROW()-1), $F582)) : INDEX(AB:AB, ROW()-1)),
          AVERAGEIFS(unit_details[Asking Rent],
          unit_details[Active Listing?],TRUE,
          unit_details[Property Name], $F583,
          unit_details[Beds], $L583,
          unit_details[Baths], $M583,
          unit_details[Partial Baths], IF(ISNUMBER($N583),$N583,""),
          unit_details[Sqft],$P583
)),"")</f>
        <v/>
      </c>
      <c r="AF583" s="5" t="str">
        <f>IFERROR(IF(AE583="","",IF($F583="Total",
SUMPRODUCT(
   INDEX(AF:AF, ROW()-COUNTIF($F$6:INDEX($F:$F, ROW()-1), $F582)) : INDEX(AF:AF, ROW()-1),
   INDEX(AB:AB, ROW()-COUNTIF($F$6:INDEX($F:$F, ROW()-1), $F582)) : INDEX(AB:AB, ROW()-1)
   )
   /SUM(INDEX(AB:AB, ROW()-COUNTIF($F$6:INDEX($F:$F, ROW()-1), $F582)) : INDEX(AB:AB, ROW()-1)),
           _xlfn.MAXIFS(unit_details[Asking Rent],
          unit_details[Active Listing?],TRUE,
          unit_details[Property Name], $F583,
          unit_details[Beds], $L583,
          unit_details[Baths], $M583,
          unit_details[Partial Baths], IF(ISNUMBER($N583),$N583,""),
          unit_details[Sqft],$P583
))),"")</f>
        <v/>
      </c>
      <c r="AG583" s="6" t="str">
        <f>IFERROR(IF($F583="Total",
         SUMPRODUCT(
         INDEX(AG:AG, ROW()-COUNTIF($F$6:INDEX($F:$F, ROW()-1), $F582)) : INDEX(AG:AG, ROW()-1),
         INDEX(AB:AB, ROW()-COUNTIF($F$6:INDEX($F:$F, ROW()-1), $F582)) : INDEX(AB:AB, ROW()-1)
         )
         /SUM(INDEX(AB:AB, ROW()-COUNTIF($F$6:INDEX($F:$F, ROW()-1), $F582)) : INDEX(AB:AB, ROW()-1)),
          AVERAGEIFS(unit_details[Asking PSF],
          unit_details[Active Listing?],TRUE,
          unit_details[Property Name], $F583,
          unit_details[Beds], $L583,
          unit_details[Baths], $M583,
          unit_details[Partial Baths], IF(ISNUMBER($N583),$N583,""),
          unit_details[Sqft],$P583
)),"")</f>
        <v/>
      </c>
      <c r="AH583" s="293" t="str">
        <f>IFERROR(IF($F583="Total",
         SUMPRODUCT(
         INDEX(AH:AH, ROW()-COUNTIF($F$6:INDEX($F:$F, ROW()-1), $F582)) : INDEX(AH:AH, ROW()-1),
         INDEX(AB:AB, ROW()-COUNTIF($F$6:INDEX($F:$F, ROW()-1), $F582)) : INDEX(AB:AB, ROW()-1)
         )
         /SUM(INDEX(AB:AB, ROW()-COUNTIF($F$6:INDEX($F:$F, ROW()-1), $F582)) : INDEX(AB:AB, ROW()-1)),
          AVERAGEIFS(unit_details[Effective Rent],
          unit_details[Active Listing?],TRUE,
          unit_details[Property Name], $F583,
          unit_details[Beds], $L583,
          unit_details[Baths], $M583,
          unit_details[Partial Baths], IF(ISNUMBER($N583),$N583,""),
          unit_details[Sqft],$P583
)),"")</f>
        <v/>
      </c>
      <c r="AI583" s="6" t="str">
        <f>IFERROR(IF($F583="Total",
         SUMPRODUCT(
         INDEX(AI:AI, ROW()-COUNTIF($F$6:INDEX($F:$F, ROW()-1), $F582)) : INDEX(AI:AI, ROW()-1),
         INDEX(AB:AB, ROW()-COUNTIF($F$6:INDEX($F:$F, ROW()-1), $F582)) : INDEX(AB:AB, ROW()-1)
         )
         /SUM(INDEX(AB:AB, ROW()-COUNTIF($F$6:INDEX($F:$F, ROW()-1), $F582)) : INDEX(AB:AB, ROW()-1)),
           AVERAGEIFS(unit_details[Effective PSF],
          unit_details[Active Listing?],TRUE,
          unit_details[Property Name], $F583,
          unit_details[Beds], $L583,
          unit_details[Baths], $M583,
          unit_details[Partial Baths], IF(ISNUMBER($N583),$N583,""),
          unit_details[Sqft],$P583
)),"")</f>
        <v/>
      </c>
      <c r="AJ583" s="824" t="str">
        <f t="shared" ref="AJ583:AJ646" si="103">IFERROR((AE583-AH583)/AE583,"")</f>
        <v/>
      </c>
      <c r="AK583" s="531" t="str">
        <f t="shared" ref="AK583:AK646" si="104">IFERROR(
IF(AND($AM$3="Asking Rent",$U$3="Chunk Rent"),$AE583-$T583,
IF(AND($AM$3="Effective Rent",$U$3="Chunk Rent"),$AH583-$U583,
IF(AND($AM$3="Asking Rent",$U$3="Rent PSF"),$AG583-$T583,$AI583-$U583))),"")</f>
        <v/>
      </c>
      <c r="AL583" s="714" t="str">
        <f t="shared" ref="AL583:AL646" si="105">IFERROR(AK583/(IF($AM$3="Asking Rent",T583,U583)),"")</f>
        <v/>
      </c>
      <c r="AM583" s="531" t="str">
        <f t="shared" ref="AM583:AM646" si="106">IFERROR(
IF(AND($AM$3="Asking Rent",$U$3="Chunk Rent"),$AE583-$X583,
IF(AND($AM$3="Effective Rent",$U$3="Chunk Rent"),$AH583-$Y583,
IF(AND($AM$3="Asking Rent",$U$3="Rent PSF"),$AG583-$X583,$AI583-$Y583))),"")</f>
        <v/>
      </c>
      <c r="AN583" s="716" t="str">
        <f t="shared" ref="AN583:AN646" si="107">IFERROR(AM583/(IF($AM$3="Asking Rent",X583,Y583)),"")</f>
        <v/>
      </c>
    </row>
    <row r="584" spans="6:40" x14ac:dyDescent="0.2">
      <c r="F584" s="1" t="str">
        <f t="shared" si="100"/>
        <v/>
      </c>
      <c r="G584" s="713" t="str">
        <f t="shared" ref="G584:G647" si="108">IF(F584=F583,"",F584)</f>
        <v/>
      </c>
      <c r="H584" s="17" t="str">
        <f>IFERROR(VLOOKUP($G584,Table1[[Property]:[Exposure %]],4,0),"")</f>
        <v/>
      </c>
      <c r="I584" s="3" t="str">
        <f>IFERROR(VLOOKUP($G584,Table1[[Property]:[Exposure %]],6,0),"")</f>
        <v/>
      </c>
      <c r="J584" s="3" t="str">
        <f>IFERROR(VLOOKUP($G584,Table1[[Property]:[Exposure %]],7,0),"")</f>
        <v/>
      </c>
      <c r="R584" s="4" t="str">
        <f>IFERROR(VLOOKUP(IF(F584="Total",F583,F584),Table1[[Property]:['# Units]],7,0)*S584,"")</f>
        <v/>
      </c>
      <c r="S584" s="27" t="str">
        <f t="shared" si="101"/>
        <v/>
      </c>
      <c r="T584" s="531" t="str">
        <f>IFERROR(
 IF($F584="Total",
   SUMPRODUCT(
   INDEX(T:T, ROW()-COUNTIF($F$6:INDEX($F:$F, ROW()-1), $F583)) : INDEX(T:T, ROW()-1),
   INDEX(W:W, ROW()-COUNTIF($F$6:INDEX($F:$F, ROW()-1), $F583)) : INDEX(W:W, ROW()-1)
   )
   /SUM(INDEX(W:W, ROW()-COUNTIF($F$6:INDEX($F:$F, ROW()-1), $F583)) : INDEX(W:W, ROW()-1)),
   AVERAGEIFS(
     INDEX((unit_details[Asking Rent],unit_details[Asking PSF]),0,1,IF($U$3="Chunk Rent",1,2)),
     unit_details[Leased Date],"&gt;="&amp;($AM$2-T$5),
     unit_details[Leased Date],"&lt;"&amp;$AM$2,
     unit_details[Beds],$L584,
     unit_details[Baths],$M584,
     unit_details[Partial Baths],IF(ISNUMBER($N584),$N584,""),
     unit_details[Sqft],$P584,
     unit_details[Property Name],$F584)
 ),"")</f>
        <v/>
      </c>
      <c r="U584" s="552" t="str">
        <f>IFERROR(
 IF($F584="Total",
   SUMPRODUCT(
   INDEX(U:U, ROW()-COUNTIF($F$6:INDEX($F:$F, ROW()-1), $F583)) : INDEX(U:U, ROW()-1),
   INDEX(W:W, ROW()-COUNTIF($F$6:INDEX($F:$F, ROW()-1), $F583)) : INDEX(W:W, ROW()-1)
   )
   /SUM(INDEX(W:W, ROW()-COUNTIF($F$6:INDEX($F:$F, ROW()-1), $F583)) : INDEX(W:W, ROW()-1)),
   AVERAGEIFS(
     INDEX((unit_details[Effective Rent],unit_details[Effective PSF]),0,1,IF($U$3="Chunk Rent",1,2)),
     unit_details[Leased Date],"&gt;="&amp;($AM$2-T$5),
     unit_details[Leased Date],"&lt;"&amp;$AM$2,
     unit_details[Beds],$L584,
     unit_details[Baths],$M584,
     unit_details[Partial Baths],IF(ISNUMBER($N584),$N584,""),
     unit_details[Sqft],$P584,
     unit_details[Property Name],$F584)
 ),"")</f>
        <v/>
      </c>
      <c r="V584" s="27" t="str">
        <f t="shared" ref="V584:V647" si="109">IFERROR(IF((T584-U584)/T584=0,"",(T584-U584)/T584),"")</f>
        <v/>
      </c>
      <c r="W584" s="526">
        <f>IFERROR(
  IF($F584="Total",
    SUM(INDEX(W:W, ROW()-COUNTIF($F$6:INDEX($F:$F, ROW()-1), $F583)) : INDEX(W:W, ROW()-1)),
    COUNTIFS(
      unit_details[Leased Date], "&gt;="&amp;($AM$2-T$5),
      unit_details[Leased Date], "&lt;"&amp;$AM$2,
      unit_details[Beds], $L584,
      unit_details[Baths], $M584,
      unit_details[Partial Baths], IF(ISNUMBER($N584), $N584, ""),
      unit_details[Sqft],$P584,
      unit_details[Property Name], $F584
    )
  ),
"")</f>
        <v>0</v>
      </c>
      <c r="X584" s="531" t="str">
        <f>IFERROR(
 IF($F584="Total",
   SUMPRODUCT(
   INDEX(X:X, ROW()-COUNTIF($F$6:INDEX($F:$F, ROW()-1), $F583)) : INDEX(X:X, ROW()-1),
   INDEX(AA:AA, ROW()-COUNTIF($F$6:INDEX($F:$F, ROW()-1), $F583)) : INDEX(AA:AA, ROW()-1)
   )
   /SUM(INDEX(AA:AA, ROW()-COUNTIF($F$6:INDEX($F:$F, ROW()-1), $F583)) : INDEX(AA:AA, ROW()-1)),
   AVERAGEIFS(
     INDEX((unit_details[Asking Rent],unit_details[Asking PSF]),0,1,IF($U$3="Chunk Rent",1,2)),
     unit_details[Leased Date],"&gt;="&amp;($AM$2-X$5),
     unit_details[Leased Date],"&lt;"&amp;$AM$2,
     unit_details[Beds],$L584,
     unit_details[Baths],$M584,
     unit_details[Partial Baths],IF(ISNUMBER($N584),$N584,""),
     unit_details[Sqft],$P584,
     unit_details[Property Name],$F584)
 ),"")</f>
        <v/>
      </c>
      <c r="Y584" s="552" t="str">
        <f>IFERROR(
 IF($F584="Total",
   SUMPRODUCT(
   INDEX(Y:Y, ROW()-COUNTIF($F$6:INDEX($F:$F, ROW()-1), $F583)) : INDEX(Y:Y, ROW()-1),
   INDEX(AA:AA, ROW()-COUNTIF($F$6:INDEX($F:$F, ROW()-1), $F583)) : INDEX(AA:AA, ROW()-1)
   )
   /SUM(INDEX(AA:AA, ROW()-COUNTIF($F$6:INDEX($F:$F, ROW()-1), $F583)) : INDEX(AA:AA, ROW()-1)),
   AVERAGEIFS(
     INDEX((unit_details[Effective Rent],unit_details[Effective PSF]),0,1,IF($U$3="Chunk Rent",1,2)),
     unit_details[Leased Date],"&gt;="&amp;($AM$2-X$5),
     unit_details[Leased Date],"&lt;"&amp;$AM$2,
     unit_details[Beds],$L584,
     unit_details[Baths],$M584,
     unit_details[Partial Baths],IF(ISNUMBER($N584),$N584,""),
     unit_details[Sqft],$P584,
     unit_details[Property Name],$F584)
 ),"")</f>
        <v/>
      </c>
      <c r="Z584" s="27" t="str">
        <f t="shared" ref="Z584:Z647" si="110">IFERROR(IF((X584-Y584)/X584=0,"",(X584-Y584)/X584),"")</f>
        <v/>
      </c>
      <c r="AA584" s="526">
        <f>IFERROR(
  IF($F584="Total",
    SUM(INDEX(AA:AA, ROW()-COUNTIF($F$6:INDEX($F:$F, ROW()-1), $F583)) : INDEX(AA:AA, ROW()-1)),
    COUNTIFS(
      unit_details[Leased Date], "&gt;="&amp;($AM$2-X$5),
      unit_details[Leased Date], "&lt;"&amp;$AM$2,
      unit_details[Beds], $L584,
      unit_details[Baths], $M584,
      unit_details[Partial Baths], IF(ISNUMBER($N584), $N584, ""),
      unit_details[Sqft],$P584,
      unit_details[Property Name], $F584
    )
  ),
"")</f>
        <v>0</v>
      </c>
      <c r="AB584" s="290">
        <f>IF($F584="Total",
SUM(INDEX(AB:AB, ROW()-COUNTIF($F$6:INDEX($F:$F, ROW()-1), $F583)) : INDEX(AB:AB, ROW()-1)),
COUNTIFS(unit_details[Active Listing?],TRUE,
          unit_details[Property Name], $F584,
          unit_details[Beds], $L584,
          unit_details[Baths], $M584,
          unit_details[Partial Baths],IF(ISNUMBER($N584),$N584,""),
          unit_details[Sqft],$P584))</f>
        <v>0</v>
      </c>
      <c r="AC584" s="27" t="str">
        <f t="shared" si="102"/>
        <v/>
      </c>
      <c r="AD584" s="293" t="str">
        <f>IFERROR(IF(AE584="","",IF($F584="Total",
SUMPRODUCT(
   INDEX(AD:AD, ROW()-COUNTIF($F$6:INDEX($F:$F, ROW()-1), $F583)) : INDEX(AD:AD, ROW()-1),
   INDEX(AB:AB, ROW()-COUNTIF($F$6:INDEX($F:$F, ROW()-1), $F583)) : INDEX(AB:AB, ROW()-1)
   )
   /SUM(INDEX(AB:AB, ROW()-COUNTIF($F$6:INDEX($F:$F, ROW()-1), $F583)) : INDEX(AB:AB, ROW()-1)),
          _xlfn.MINIFS(unit_details[Asking Rent],
          unit_details[Active Listing?],TRUE,
          unit_details[Property Name], $F584,
          unit_details[Beds], $L584,
          unit_details[Baths], $M584,
          unit_details[Partial Baths], IF(ISNUMBER($N584),$N584,""),
          unit_details[Sqft],$P584
))),"")</f>
        <v/>
      </c>
      <c r="AE584" s="5" t="str">
        <f>IFERROR(IF($F584="Total",
          SUMPRODUCT(
   INDEX(AE:AE, ROW()-COUNTIF($F$6:INDEX($F:$F, ROW()-1), $F583)) : INDEX(AE:AE, ROW()-1),
   INDEX(AB:AB, ROW()-COUNTIF($F$6:INDEX($F:$F, ROW()-1), $F583)) : INDEX(AB:AB, ROW()-1)
   )
   /SUM(INDEX(AB:AB, ROW()-COUNTIF($F$6:INDEX($F:$F, ROW()-1), $F583)) : INDEX(AB:AB, ROW()-1)),
          AVERAGEIFS(unit_details[Asking Rent],
          unit_details[Active Listing?],TRUE,
          unit_details[Property Name], $F584,
          unit_details[Beds], $L584,
          unit_details[Baths], $M584,
          unit_details[Partial Baths], IF(ISNUMBER($N584),$N584,""),
          unit_details[Sqft],$P584
)),"")</f>
        <v/>
      </c>
      <c r="AF584" s="5" t="str">
        <f>IFERROR(IF(AE584="","",IF($F584="Total",
SUMPRODUCT(
   INDEX(AF:AF, ROW()-COUNTIF($F$6:INDEX($F:$F, ROW()-1), $F583)) : INDEX(AF:AF, ROW()-1),
   INDEX(AB:AB, ROW()-COUNTIF($F$6:INDEX($F:$F, ROW()-1), $F583)) : INDEX(AB:AB, ROW()-1)
   )
   /SUM(INDEX(AB:AB, ROW()-COUNTIF($F$6:INDEX($F:$F, ROW()-1), $F583)) : INDEX(AB:AB, ROW()-1)),
           _xlfn.MAXIFS(unit_details[Asking Rent],
          unit_details[Active Listing?],TRUE,
          unit_details[Property Name], $F584,
          unit_details[Beds], $L584,
          unit_details[Baths], $M584,
          unit_details[Partial Baths], IF(ISNUMBER($N584),$N584,""),
          unit_details[Sqft],$P584
))),"")</f>
        <v/>
      </c>
      <c r="AG584" s="6" t="str">
        <f>IFERROR(IF($F584="Total",
         SUMPRODUCT(
         INDEX(AG:AG, ROW()-COUNTIF($F$6:INDEX($F:$F, ROW()-1), $F583)) : INDEX(AG:AG, ROW()-1),
         INDEX(AB:AB, ROW()-COUNTIF($F$6:INDEX($F:$F, ROW()-1), $F583)) : INDEX(AB:AB, ROW()-1)
         )
         /SUM(INDEX(AB:AB, ROW()-COUNTIF($F$6:INDEX($F:$F, ROW()-1), $F583)) : INDEX(AB:AB, ROW()-1)),
          AVERAGEIFS(unit_details[Asking PSF],
          unit_details[Active Listing?],TRUE,
          unit_details[Property Name], $F584,
          unit_details[Beds], $L584,
          unit_details[Baths], $M584,
          unit_details[Partial Baths], IF(ISNUMBER($N584),$N584,""),
          unit_details[Sqft],$P584
)),"")</f>
        <v/>
      </c>
      <c r="AH584" s="293" t="str">
        <f>IFERROR(IF($F584="Total",
         SUMPRODUCT(
         INDEX(AH:AH, ROW()-COUNTIF($F$6:INDEX($F:$F, ROW()-1), $F583)) : INDEX(AH:AH, ROW()-1),
         INDEX(AB:AB, ROW()-COUNTIF($F$6:INDEX($F:$F, ROW()-1), $F583)) : INDEX(AB:AB, ROW()-1)
         )
         /SUM(INDEX(AB:AB, ROW()-COUNTIF($F$6:INDEX($F:$F, ROW()-1), $F583)) : INDEX(AB:AB, ROW()-1)),
          AVERAGEIFS(unit_details[Effective Rent],
          unit_details[Active Listing?],TRUE,
          unit_details[Property Name], $F584,
          unit_details[Beds], $L584,
          unit_details[Baths], $M584,
          unit_details[Partial Baths], IF(ISNUMBER($N584),$N584,""),
          unit_details[Sqft],$P584
)),"")</f>
        <v/>
      </c>
      <c r="AI584" s="6" t="str">
        <f>IFERROR(IF($F584="Total",
         SUMPRODUCT(
         INDEX(AI:AI, ROW()-COUNTIF($F$6:INDEX($F:$F, ROW()-1), $F583)) : INDEX(AI:AI, ROW()-1),
         INDEX(AB:AB, ROW()-COUNTIF($F$6:INDEX($F:$F, ROW()-1), $F583)) : INDEX(AB:AB, ROW()-1)
         )
         /SUM(INDEX(AB:AB, ROW()-COUNTIF($F$6:INDEX($F:$F, ROW()-1), $F583)) : INDEX(AB:AB, ROW()-1)),
           AVERAGEIFS(unit_details[Effective PSF],
          unit_details[Active Listing?],TRUE,
          unit_details[Property Name], $F584,
          unit_details[Beds], $L584,
          unit_details[Baths], $M584,
          unit_details[Partial Baths], IF(ISNUMBER($N584),$N584,""),
          unit_details[Sqft],$P584
)),"")</f>
        <v/>
      </c>
      <c r="AJ584" s="824" t="str">
        <f t="shared" si="103"/>
        <v/>
      </c>
      <c r="AK584" s="531" t="str">
        <f t="shared" si="104"/>
        <v/>
      </c>
      <c r="AL584" s="714" t="str">
        <f t="shared" si="105"/>
        <v/>
      </c>
      <c r="AM584" s="531" t="str">
        <f t="shared" si="106"/>
        <v/>
      </c>
      <c r="AN584" s="716" t="str">
        <f t="shared" si="107"/>
        <v/>
      </c>
    </row>
    <row r="585" spans="6:40" x14ac:dyDescent="0.2">
      <c r="F585" s="1" t="str">
        <f t="shared" si="100"/>
        <v/>
      </c>
      <c r="G585" s="713" t="str">
        <f t="shared" si="108"/>
        <v/>
      </c>
      <c r="H585" s="17" t="str">
        <f>IFERROR(VLOOKUP($G585,Table1[[Property]:[Exposure %]],4,0),"")</f>
        <v/>
      </c>
      <c r="I585" s="3" t="str">
        <f>IFERROR(VLOOKUP($G585,Table1[[Property]:[Exposure %]],6,0),"")</f>
        <v/>
      </c>
      <c r="J585" s="3" t="str">
        <f>IFERROR(VLOOKUP($G585,Table1[[Property]:[Exposure %]],7,0),"")</f>
        <v/>
      </c>
      <c r="R585" s="4" t="str">
        <f>IFERROR(VLOOKUP(IF(F585="Total",F584,F585),Table1[[Property]:['# Units]],7,0)*S585,"")</f>
        <v/>
      </c>
      <c r="S585" s="27" t="str">
        <f t="shared" si="101"/>
        <v/>
      </c>
      <c r="T585" s="531" t="str">
        <f>IFERROR(
 IF($F585="Total",
   SUMPRODUCT(
   INDEX(T:T, ROW()-COUNTIF($F$6:INDEX($F:$F, ROW()-1), $F584)) : INDEX(T:T, ROW()-1),
   INDEX(W:W, ROW()-COUNTIF($F$6:INDEX($F:$F, ROW()-1), $F584)) : INDEX(W:W, ROW()-1)
   )
   /SUM(INDEX(W:W, ROW()-COUNTIF($F$6:INDEX($F:$F, ROW()-1), $F584)) : INDEX(W:W, ROW()-1)),
   AVERAGEIFS(
     INDEX((unit_details[Asking Rent],unit_details[Asking PSF]),0,1,IF($U$3="Chunk Rent",1,2)),
     unit_details[Leased Date],"&gt;="&amp;($AM$2-T$5),
     unit_details[Leased Date],"&lt;"&amp;$AM$2,
     unit_details[Beds],$L585,
     unit_details[Baths],$M585,
     unit_details[Partial Baths],IF(ISNUMBER($N585),$N585,""),
     unit_details[Sqft],$P585,
     unit_details[Property Name],$F585)
 ),"")</f>
        <v/>
      </c>
      <c r="U585" s="552" t="str">
        <f>IFERROR(
 IF($F585="Total",
   SUMPRODUCT(
   INDEX(U:U, ROW()-COUNTIF($F$6:INDEX($F:$F, ROW()-1), $F584)) : INDEX(U:U, ROW()-1),
   INDEX(W:W, ROW()-COUNTIF($F$6:INDEX($F:$F, ROW()-1), $F584)) : INDEX(W:W, ROW()-1)
   )
   /SUM(INDEX(W:W, ROW()-COUNTIF($F$6:INDEX($F:$F, ROW()-1), $F584)) : INDEX(W:W, ROW()-1)),
   AVERAGEIFS(
     INDEX((unit_details[Effective Rent],unit_details[Effective PSF]),0,1,IF($U$3="Chunk Rent",1,2)),
     unit_details[Leased Date],"&gt;="&amp;($AM$2-T$5),
     unit_details[Leased Date],"&lt;"&amp;$AM$2,
     unit_details[Beds],$L585,
     unit_details[Baths],$M585,
     unit_details[Partial Baths],IF(ISNUMBER($N585),$N585,""),
     unit_details[Sqft],$P585,
     unit_details[Property Name],$F585)
 ),"")</f>
        <v/>
      </c>
      <c r="V585" s="27" t="str">
        <f t="shared" si="109"/>
        <v/>
      </c>
      <c r="W585" s="526">
        <f>IFERROR(
  IF($F585="Total",
    SUM(INDEX(W:W, ROW()-COUNTIF($F$6:INDEX($F:$F, ROW()-1), $F584)) : INDEX(W:W, ROW()-1)),
    COUNTIFS(
      unit_details[Leased Date], "&gt;="&amp;($AM$2-T$5),
      unit_details[Leased Date], "&lt;"&amp;$AM$2,
      unit_details[Beds], $L585,
      unit_details[Baths], $M585,
      unit_details[Partial Baths], IF(ISNUMBER($N585), $N585, ""),
      unit_details[Sqft],$P585,
      unit_details[Property Name], $F585
    )
  ),
"")</f>
        <v>0</v>
      </c>
      <c r="X585" s="531" t="str">
        <f>IFERROR(
 IF($F585="Total",
   SUMPRODUCT(
   INDEX(X:X, ROW()-COUNTIF($F$6:INDEX($F:$F, ROW()-1), $F584)) : INDEX(X:X, ROW()-1),
   INDEX(AA:AA, ROW()-COUNTIF($F$6:INDEX($F:$F, ROW()-1), $F584)) : INDEX(AA:AA, ROW()-1)
   )
   /SUM(INDEX(AA:AA, ROW()-COUNTIF($F$6:INDEX($F:$F, ROW()-1), $F584)) : INDEX(AA:AA, ROW()-1)),
   AVERAGEIFS(
     INDEX((unit_details[Asking Rent],unit_details[Asking PSF]),0,1,IF($U$3="Chunk Rent",1,2)),
     unit_details[Leased Date],"&gt;="&amp;($AM$2-X$5),
     unit_details[Leased Date],"&lt;"&amp;$AM$2,
     unit_details[Beds],$L585,
     unit_details[Baths],$M585,
     unit_details[Partial Baths],IF(ISNUMBER($N585),$N585,""),
     unit_details[Sqft],$P585,
     unit_details[Property Name],$F585)
 ),"")</f>
        <v/>
      </c>
      <c r="Y585" s="552" t="str">
        <f>IFERROR(
 IF($F585="Total",
   SUMPRODUCT(
   INDEX(Y:Y, ROW()-COUNTIF($F$6:INDEX($F:$F, ROW()-1), $F584)) : INDEX(Y:Y, ROW()-1),
   INDEX(AA:AA, ROW()-COUNTIF($F$6:INDEX($F:$F, ROW()-1), $F584)) : INDEX(AA:AA, ROW()-1)
   )
   /SUM(INDEX(AA:AA, ROW()-COUNTIF($F$6:INDEX($F:$F, ROW()-1), $F584)) : INDEX(AA:AA, ROW()-1)),
   AVERAGEIFS(
     INDEX((unit_details[Effective Rent],unit_details[Effective PSF]),0,1,IF($U$3="Chunk Rent",1,2)),
     unit_details[Leased Date],"&gt;="&amp;($AM$2-X$5),
     unit_details[Leased Date],"&lt;"&amp;$AM$2,
     unit_details[Beds],$L585,
     unit_details[Baths],$M585,
     unit_details[Partial Baths],IF(ISNUMBER($N585),$N585,""),
     unit_details[Sqft],$P585,
     unit_details[Property Name],$F585)
 ),"")</f>
        <v/>
      </c>
      <c r="Z585" s="27" t="str">
        <f t="shared" si="110"/>
        <v/>
      </c>
      <c r="AA585" s="526">
        <f>IFERROR(
  IF($F585="Total",
    SUM(INDEX(AA:AA, ROW()-COUNTIF($F$6:INDEX($F:$F, ROW()-1), $F584)) : INDEX(AA:AA, ROW()-1)),
    COUNTIFS(
      unit_details[Leased Date], "&gt;="&amp;($AM$2-X$5),
      unit_details[Leased Date], "&lt;"&amp;$AM$2,
      unit_details[Beds], $L585,
      unit_details[Baths], $M585,
      unit_details[Partial Baths], IF(ISNUMBER($N585), $N585, ""),
      unit_details[Sqft],$P585,
      unit_details[Property Name], $F585
    )
  ),
"")</f>
        <v>0</v>
      </c>
      <c r="AB585" s="290">
        <f>IF($F585="Total",
SUM(INDEX(AB:AB, ROW()-COUNTIF($F$6:INDEX($F:$F, ROW()-1), $F584)) : INDEX(AB:AB, ROW()-1)),
COUNTIFS(unit_details[Active Listing?],TRUE,
          unit_details[Property Name], $F585,
          unit_details[Beds], $L585,
          unit_details[Baths], $M585,
          unit_details[Partial Baths],IF(ISNUMBER($N585),$N585,""),
          unit_details[Sqft],$P585))</f>
        <v>0</v>
      </c>
      <c r="AC585" s="27" t="str">
        <f t="shared" si="102"/>
        <v/>
      </c>
      <c r="AD585" s="293" t="str">
        <f>IFERROR(IF(AE585="","",IF($F585="Total",
SUMPRODUCT(
   INDEX(AD:AD, ROW()-COUNTIF($F$6:INDEX($F:$F, ROW()-1), $F584)) : INDEX(AD:AD, ROW()-1),
   INDEX(AB:AB, ROW()-COUNTIF($F$6:INDEX($F:$F, ROW()-1), $F584)) : INDEX(AB:AB, ROW()-1)
   )
   /SUM(INDEX(AB:AB, ROW()-COUNTIF($F$6:INDEX($F:$F, ROW()-1), $F584)) : INDEX(AB:AB, ROW()-1)),
          _xlfn.MINIFS(unit_details[Asking Rent],
          unit_details[Active Listing?],TRUE,
          unit_details[Property Name], $F585,
          unit_details[Beds], $L585,
          unit_details[Baths], $M585,
          unit_details[Partial Baths], IF(ISNUMBER($N585),$N585,""),
          unit_details[Sqft],$P585
))),"")</f>
        <v/>
      </c>
      <c r="AE585" s="5" t="str">
        <f>IFERROR(IF($F585="Total",
          SUMPRODUCT(
   INDEX(AE:AE, ROW()-COUNTIF($F$6:INDEX($F:$F, ROW()-1), $F584)) : INDEX(AE:AE, ROW()-1),
   INDEX(AB:AB, ROW()-COUNTIF($F$6:INDEX($F:$F, ROW()-1), $F584)) : INDEX(AB:AB, ROW()-1)
   )
   /SUM(INDEX(AB:AB, ROW()-COUNTIF($F$6:INDEX($F:$F, ROW()-1), $F584)) : INDEX(AB:AB, ROW()-1)),
          AVERAGEIFS(unit_details[Asking Rent],
          unit_details[Active Listing?],TRUE,
          unit_details[Property Name], $F585,
          unit_details[Beds], $L585,
          unit_details[Baths], $M585,
          unit_details[Partial Baths], IF(ISNUMBER($N585),$N585,""),
          unit_details[Sqft],$P585
)),"")</f>
        <v/>
      </c>
      <c r="AF585" s="5" t="str">
        <f>IFERROR(IF(AE585="","",IF($F585="Total",
SUMPRODUCT(
   INDEX(AF:AF, ROW()-COUNTIF($F$6:INDEX($F:$F, ROW()-1), $F584)) : INDEX(AF:AF, ROW()-1),
   INDEX(AB:AB, ROW()-COUNTIF($F$6:INDEX($F:$F, ROW()-1), $F584)) : INDEX(AB:AB, ROW()-1)
   )
   /SUM(INDEX(AB:AB, ROW()-COUNTIF($F$6:INDEX($F:$F, ROW()-1), $F584)) : INDEX(AB:AB, ROW()-1)),
           _xlfn.MAXIFS(unit_details[Asking Rent],
          unit_details[Active Listing?],TRUE,
          unit_details[Property Name], $F585,
          unit_details[Beds], $L585,
          unit_details[Baths], $M585,
          unit_details[Partial Baths], IF(ISNUMBER($N585),$N585,""),
          unit_details[Sqft],$P585
))),"")</f>
        <v/>
      </c>
      <c r="AG585" s="6" t="str">
        <f>IFERROR(IF($F585="Total",
         SUMPRODUCT(
         INDEX(AG:AG, ROW()-COUNTIF($F$6:INDEX($F:$F, ROW()-1), $F584)) : INDEX(AG:AG, ROW()-1),
         INDEX(AB:AB, ROW()-COUNTIF($F$6:INDEX($F:$F, ROW()-1), $F584)) : INDEX(AB:AB, ROW()-1)
         )
         /SUM(INDEX(AB:AB, ROW()-COUNTIF($F$6:INDEX($F:$F, ROW()-1), $F584)) : INDEX(AB:AB, ROW()-1)),
          AVERAGEIFS(unit_details[Asking PSF],
          unit_details[Active Listing?],TRUE,
          unit_details[Property Name], $F585,
          unit_details[Beds], $L585,
          unit_details[Baths], $M585,
          unit_details[Partial Baths], IF(ISNUMBER($N585),$N585,""),
          unit_details[Sqft],$P585
)),"")</f>
        <v/>
      </c>
      <c r="AH585" s="293" t="str">
        <f>IFERROR(IF($F585="Total",
         SUMPRODUCT(
         INDEX(AH:AH, ROW()-COUNTIF($F$6:INDEX($F:$F, ROW()-1), $F584)) : INDEX(AH:AH, ROW()-1),
         INDEX(AB:AB, ROW()-COUNTIF($F$6:INDEX($F:$F, ROW()-1), $F584)) : INDEX(AB:AB, ROW()-1)
         )
         /SUM(INDEX(AB:AB, ROW()-COUNTIF($F$6:INDEX($F:$F, ROW()-1), $F584)) : INDEX(AB:AB, ROW()-1)),
          AVERAGEIFS(unit_details[Effective Rent],
          unit_details[Active Listing?],TRUE,
          unit_details[Property Name], $F585,
          unit_details[Beds], $L585,
          unit_details[Baths], $M585,
          unit_details[Partial Baths], IF(ISNUMBER($N585),$N585,""),
          unit_details[Sqft],$P585
)),"")</f>
        <v/>
      </c>
      <c r="AI585" s="6" t="str">
        <f>IFERROR(IF($F585="Total",
         SUMPRODUCT(
         INDEX(AI:AI, ROW()-COUNTIF($F$6:INDEX($F:$F, ROW()-1), $F584)) : INDEX(AI:AI, ROW()-1),
         INDEX(AB:AB, ROW()-COUNTIF($F$6:INDEX($F:$F, ROW()-1), $F584)) : INDEX(AB:AB, ROW()-1)
         )
         /SUM(INDEX(AB:AB, ROW()-COUNTIF($F$6:INDEX($F:$F, ROW()-1), $F584)) : INDEX(AB:AB, ROW()-1)),
           AVERAGEIFS(unit_details[Effective PSF],
          unit_details[Active Listing?],TRUE,
          unit_details[Property Name], $F585,
          unit_details[Beds], $L585,
          unit_details[Baths], $M585,
          unit_details[Partial Baths], IF(ISNUMBER($N585),$N585,""),
          unit_details[Sqft],$P585
)),"")</f>
        <v/>
      </c>
      <c r="AJ585" s="824" t="str">
        <f t="shared" si="103"/>
        <v/>
      </c>
      <c r="AK585" s="531" t="str">
        <f t="shared" si="104"/>
        <v/>
      </c>
      <c r="AL585" s="714" t="str">
        <f t="shared" si="105"/>
        <v/>
      </c>
      <c r="AM585" s="531" t="str">
        <f t="shared" si="106"/>
        <v/>
      </c>
      <c r="AN585" s="716" t="str">
        <f t="shared" si="107"/>
        <v/>
      </c>
    </row>
    <row r="586" spans="6:40" x14ac:dyDescent="0.2">
      <c r="F586" s="1" t="str">
        <f t="shared" si="100"/>
        <v/>
      </c>
      <c r="G586" s="713" t="str">
        <f t="shared" si="108"/>
        <v/>
      </c>
      <c r="H586" s="17" t="str">
        <f>IFERROR(VLOOKUP($G586,Table1[[Property]:[Exposure %]],4,0),"")</f>
        <v/>
      </c>
      <c r="I586" s="3" t="str">
        <f>IFERROR(VLOOKUP($G586,Table1[[Property]:[Exposure %]],6,0),"")</f>
        <v/>
      </c>
      <c r="J586" s="3" t="str">
        <f>IFERROR(VLOOKUP($G586,Table1[[Property]:[Exposure %]],7,0),"")</f>
        <v/>
      </c>
      <c r="R586" s="4" t="str">
        <f>IFERROR(VLOOKUP(IF(F586="Total",F585,F586),Table1[[Property]:['# Units]],7,0)*S586,"")</f>
        <v/>
      </c>
      <c r="S586" s="27" t="str">
        <f t="shared" si="101"/>
        <v/>
      </c>
      <c r="T586" s="531" t="str">
        <f>IFERROR(
 IF($F586="Total",
   SUMPRODUCT(
   INDEX(T:T, ROW()-COUNTIF($F$6:INDEX($F:$F, ROW()-1), $F585)) : INDEX(T:T, ROW()-1),
   INDEX(W:W, ROW()-COUNTIF($F$6:INDEX($F:$F, ROW()-1), $F585)) : INDEX(W:W, ROW()-1)
   )
   /SUM(INDEX(W:W, ROW()-COUNTIF($F$6:INDEX($F:$F, ROW()-1), $F585)) : INDEX(W:W, ROW()-1)),
   AVERAGEIFS(
     INDEX((unit_details[Asking Rent],unit_details[Asking PSF]),0,1,IF($U$3="Chunk Rent",1,2)),
     unit_details[Leased Date],"&gt;="&amp;($AM$2-T$5),
     unit_details[Leased Date],"&lt;"&amp;$AM$2,
     unit_details[Beds],$L586,
     unit_details[Baths],$M586,
     unit_details[Partial Baths],IF(ISNUMBER($N586),$N586,""),
     unit_details[Sqft],$P586,
     unit_details[Property Name],$F586)
 ),"")</f>
        <v/>
      </c>
      <c r="U586" s="552" t="str">
        <f>IFERROR(
 IF($F586="Total",
   SUMPRODUCT(
   INDEX(U:U, ROW()-COUNTIF($F$6:INDEX($F:$F, ROW()-1), $F585)) : INDEX(U:U, ROW()-1),
   INDEX(W:W, ROW()-COUNTIF($F$6:INDEX($F:$F, ROW()-1), $F585)) : INDEX(W:W, ROW()-1)
   )
   /SUM(INDEX(W:W, ROW()-COUNTIF($F$6:INDEX($F:$F, ROW()-1), $F585)) : INDEX(W:W, ROW()-1)),
   AVERAGEIFS(
     INDEX((unit_details[Effective Rent],unit_details[Effective PSF]),0,1,IF($U$3="Chunk Rent",1,2)),
     unit_details[Leased Date],"&gt;="&amp;($AM$2-T$5),
     unit_details[Leased Date],"&lt;"&amp;$AM$2,
     unit_details[Beds],$L586,
     unit_details[Baths],$M586,
     unit_details[Partial Baths],IF(ISNUMBER($N586),$N586,""),
     unit_details[Sqft],$P586,
     unit_details[Property Name],$F586)
 ),"")</f>
        <v/>
      </c>
      <c r="V586" s="27" t="str">
        <f t="shared" si="109"/>
        <v/>
      </c>
      <c r="W586" s="526">
        <f>IFERROR(
  IF($F586="Total",
    SUM(INDEX(W:W, ROW()-COUNTIF($F$6:INDEX($F:$F, ROW()-1), $F585)) : INDEX(W:W, ROW()-1)),
    COUNTIFS(
      unit_details[Leased Date], "&gt;="&amp;($AM$2-T$5),
      unit_details[Leased Date], "&lt;"&amp;$AM$2,
      unit_details[Beds], $L586,
      unit_details[Baths], $M586,
      unit_details[Partial Baths], IF(ISNUMBER($N586), $N586, ""),
      unit_details[Sqft],$P586,
      unit_details[Property Name], $F586
    )
  ),
"")</f>
        <v>0</v>
      </c>
      <c r="X586" s="531" t="str">
        <f>IFERROR(
 IF($F586="Total",
   SUMPRODUCT(
   INDEX(X:X, ROW()-COUNTIF($F$6:INDEX($F:$F, ROW()-1), $F585)) : INDEX(X:X, ROW()-1),
   INDEX(AA:AA, ROW()-COUNTIF($F$6:INDEX($F:$F, ROW()-1), $F585)) : INDEX(AA:AA, ROW()-1)
   )
   /SUM(INDEX(AA:AA, ROW()-COUNTIF($F$6:INDEX($F:$F, ROW()-1), $F585)) : INDEX(AA:AA, ROW()-1)),
   AVERAGEIFS(
     INDEX((unit_details[Asking Rent],unit_details[Asking PSF]),0,1,IF($U$3="Chunk Rent",1,2)),
     unit_details[Leased Date],"&gt;="&amp;($AM$2-X$5),
     unit_details[Leased Date],"&lt;"&amp;$AM$2,
     unit_details[Beds],$L586,
     unit_details[Baths],$M586,
     unit_details[Partial Baths],IF(ISNUMBER($N586),$N586,""),
     unit_details[Sqft],$P586,
     unit_details[Property Name],$F586)
 ),"")</f>
        <v/>
      </c>
      <c r="Y586" s="552" t="str">
        <f>IFERROR(
 IF($F586="Total",
   SUMPRODUCT(
   INDEX(Y:Y, ROW()-COUNTIF($F$6:INDEX($F:$F, ROW()-1), $F585)) : INDEX(Y:Y, ROW()-1),
   INDEX(AA:AA, ROW()-COUNTIF($F$6:INDEX($F:$F, ROW()-1), $F585)) : INDEX(AA:AA, ROW()-1)
   )
   /SUM(INDEX(AA:AA, ROW()-COUNTIF($F$6:INDEX($F:$F, ROW()-1), $F585)) : INDEX(AA:AA, ROW()-1)),
   AVERAGEIFS(
     INDEX((unit_details[Effective Rent],unit_details[Effective PSF]),0,1,IF($U$3="Chunk Rent",1,2)),
     unit_details[Leased Date],"&gt;="&amp;($AM$2-X$5),
     unit_details[Leased Date],"&lt;"&amp;$AM$2,
     unit_details[Beds],$L586,
     unit_details[Baths],$M586,
     unit_details[Partial Baths],IF(ISNUMBER($N586),$N586,""),
     unit_details[Sqft],$P586,
     unit_details[Property Name],$F586)
 ),"")</f>
        <v/>
      </c>
      <c r="Z586" s="27" t="str">
        <f t="shared" si="110"/>
        <v/>
      </c>
      <c r="AA586" s="526">
        <f>IFERROR(
  IF($F586="Total",
    SUM(INDEX(AA:AA, ROW()-COUNTIF($F$6:INDEX($F:$F, ROW()-1), $F585)) : INDEX(AA:AA, ROW()-1)),
    COUNTIFS(
      unit_details[Leased Date], "&gt;="&amp;($AM$2-X$5),
      unit_details[Leased Date], "&lt;"&amp;$AM$2,
      unit_details[Beds], $L586,
      unit_details[Baths], $M586,
      unit_details[Partial Baths], IF(ISNUMBER($N586), $N586, ""),
      unit_details[Sqft],$P586,
      unit_details[Property Name], $F586
    )
  ),
"")</f>
        <v>0</v>
      </c>
      <c r="AB586" s="290">
        <f>IF($F586="Total",
SUM(INDEX(AB:AB, ROW()-COUNTIF($F$6:INDEX($F:$F, ROW()-1), $F585)) : INDEX(AB:AB, ROW()-1)),
COUNTIFS(unit_details[Active Listing?],TRUE,
          unit_details[Property Name], $F586,
          unit_details[Beds], $L586,
          unit_details[Baths], $M586,
          unit_details[Partial Baths],IF(ISNUMBER($N586),$N586,""),
          unit_details[Sqft],$P586))</f>
        <v>0</v>
      </c>
      <c r="AC586" s="27" t="str">
        <f t="shared" si="102"/>
        <v/>
      </c>
      <c r="AD586" s="293" t="str">
        <f>IFERROR(IF(AE586="","",IF($F586="Total",
SUMPRODUCT(
   INDEX(AD:AD, ROW()-COUNTIF($F$6:INDEX($F:$F, ROW()-1), $F585)) : INDEX(AD:AD, ROW()-1),
   INDEX(AB:AB, ROW()-COUNTIF($F$6:INDEX($F:$F, ROW()-1), $F585)) : INDEX(AB:AB, ROW()-1)
   )
   /SUM(INDEX(AB:AB, ROW()-COUNTIF($F$6:INDEX($F:$F, ROW()-1), $F585)) : INDEX(AB:AB, ROW()-1)),
          _xlfn.MINIFS(unit_details[Asking Rent],
          unit_details[Active Listing?],TRUE,
          unit_details[Property Name], $F586,
          unit_details[Beds], $L586,
          unit_details[Baths], $M586,
          unit_details[Partial Baths], IF(ISNUMBER($N586),$N586,""),
          unit_details[Sqft],$P586
))),"")</f>
        <v/>
      </c>
      <c r="AE586" s="5" t="str">
        <f>IFERROR(IF($F586="Total",
          SUMPRODUCT(
   INDEX(AE:AE, ROW()-COUNTIF($F$6:INDEX($F:$F, ROW()-1), $F585)) : INDEX(AE:AE, ROW()-1),
   INDEX(AB:AB, ROW()-COUNTIF($F$6:INDEX($F:$F, ROW()-1), $F585)) : INDEX(AB:AB, ROW()-1)
   )
   /SUM(INDEX(AB:AB, ROW()-COUNTIF($F$6:INDEX($F:$F, ROW()-1), $F585)) : INDEX(AB:AB, ROW()-1)),
          AVERAGEIFS(unit_details[Asking Rent],
          unit_details[Active Listing?],TRUE,
          unit_details[Property Name], $F586,
          unit_details[Beds], $L586,
          unit_details[Baths], $M586,
          unit_details[Partial Baths], IF(ISNUMBER($N586),$N586,""),
          unit_details[Sqft],$P586
)),"")</f>
        <v/>
      </c>
      <c r="AF586" s="5" t="str">
        <f>IFERROR(IF(AE586="","",IF($F586="Total",
SUMPRODUCT(
   INDEX(AF:AF, ROW()-COUNTIF($F$6:INDEX($F:$F, ROW()-1), $F585)) : INDEX(AF:AF, ROW()-1),
   INDEX(AB:AB, ROW()-COUNTIF($F$6:INDEX($F:$F, ROW()-1), $F585)) : INDEX(AB:AB, ROW()-1)
   )
   /SUM(INDEX(AB:AB, ROW()-COUNTIF($F$6:INDEX($F:$F, ROW()-1), $F585)) : INDEX(AB:AB, ROW()-1)),
           _xlfn.MAXIFS(unit_details[Asking Rent],
          unit_details[Active Listing?],TRUE,
          unit_details[Property Name], $F586,
          unit_details[Beds], $L586,
          unit_details[Baths], $M586,
          unit_details[Partial Baths], IF(ISNUMBER($N586),$N586,""),
          unit_details[Sqft],$P586
))),"")</f>
        <v/>
      </c>
      <c r="AG586" s="6" t="str">
        <f>IFERROR(IF($F586="Total",
         SUMPRODUCT(
         INDEX(AG:AG, ROW()-COUNTIF($F$6:INDEX($F:$F, ROW()-1), $F585)) : INDEX(AG:AG, ROW()-1),
         INDEX(AB:AB, ROW()-COUNTIF($F$6:INDEX($F:$F, ROW()-1), $F585)) : INDEX(AB:AB, ROW()-1)
         )
         /SUM(INDEX(AB:AB, ROW()-COUNTIF($F$6:INDEX($F:$F, ROW()-1), $F585)) : INDEX(AB:AB, ROW()-1)),
          AVERAGEIFS(unit_details[Asking PSF],
          unit_details[Active Listing?],TRUE,
          unit_details[Property Name], $F586,
          unit_details[Beds], $L586,
          unit_details[Baths], $M586,
          unit_details[Partial Baths], IF(ISNUMBER($N586),$N586,""),
          unit_details[Sqft],$P586
)),"")</f>
        <v/>
      </c>
      <c r="AH586" s="293" t="str">
        <f>IFERROR(IF($F586="Total",
         SUMPRODUCT(
         INDEX(AH:AH, ROW()-COUNTIF($F$6:INDEX($F:$F, ROW()-1), $F585)) : INDEX(AH:AH, ROW()-1),
         INDEX(AB:AB, ROW()-COUNTIF($F$6:INDEX($F:$F, ROW()-1), $F585)) : INDEX(AB:AB, ROW()-1)
         )
         /SUM(INDEX(AB:AB, ROW()-COUNTIF($F$6:INDEX($F:$F, ROW()-1), $F585)) : INDEX(AB:AB, ROW()-1)),
          AVERAGEIFS(unit_details[Effective Rent],
          unit_details[Active Listing?],TRUE,
          unit_details[Property Name], $F586,
          unit_details[Beds], $L586,
          unit_details[Baths], $M586,
          unit_details[Partial Baths], IF(ISNUMBER($N586),$N586,""),
          unit_details[Sqft],$P586
)),"")</f>
        <v/>
      </c>
      <c r="AI586" s="6" t="str">
        <f>IFERROR(IF($F586="Total",
         SUMPRODUCT(
         INDEX(AI:AI, ROW()-COUNTIF($F$6:INDEX($F:$F, ROW()-1), $F585)) : INDEX(AI:AI, ROW()-1),
         INDEX(AB:AB, ROW()-COUNTIF($F$6:INDEX($F:$F, ROW()-1), $F585)) : INDEX(AB:AB, ROW()-1)
         )
         /SUM(INDEX(AB:AB, ROW()-COUNTIF($F$6:INDEX($F:$F, ROW()-1), $F585)) : INDEX(AB:AB, ROW()-1)),
           AVERAGEIFS(unit_details[Effective PSF],
          unit_details[Active Listing?],TRUE,
          unit_details[Property Name], $F586,
          unit_details[Beds], $L586,
          unit_details[Baths], $M586,
          unit_details[Partial Baths], IF(ISNUMBER($N586),$N586,""),
          unit_details[Sqft],$P586
)),"")</f>
        <v/>
      </c>
      <c r="AJ586" s="824" t="str">
        <f t="shared" si="103"/>
        <v/>
      </c>
      <c r="AK586" s="531" t="str">
        <f t="shared" si="104"/>
        <v/>
      </c>
      <c r="AL586" s="714" t="str">
        <f t="shared" si="105"/>
        <v/>
      </c>
      <c r="AM586" s="531" t="str">
        <f t="shared" si="106"/>
        <v/>
      </c>
      <c r="AN586" s="716" t="str">
        <f t="shared" si="107"/>
        <v/>
      </c>
    </row>
    <row r="587" spans="6:40" x14ac:dyDescent="0.2">
      <c r="F587" s="1" t="str">
        <f t="shared" si="100"/>
        <v/>
      </c>
      <c r="G587" s="713" t="str">
        <f t="shared" si="108"/>
        <v/>
      </c>
      <c r="H587" s="17" t="str">
        <f>IFERROR(VLOOKUP($G587,Table1[[Property]:[Exposure %]],4,0),"")</f>
        <v/>
      </c>
      <c r="I587" s="3" t="str">
        <f>IFERROR(VLOOKUP($G587,Table1[[Property]:[Exposure %]],6,0),"")</f>
        <v/>
      </c>
      <c r="J587" s="3" t="str">
        <f>IFERROR(VLOOKUP($G587,Table1[[Property]:[Exposure %]],7,0),"")</f>
        <v/>
      </c>
      <c r="R587" s="4" t="str">
        <f>IFERROR(VLOOKUP(IF(F587="Total",F586,F587),Table1[[Property]:['# Units]],7,0)*S587,"")</f>
        <v/>
      </c>
      <c r="S587" s="27" t="str">
        <f t="shared" si="101"/>
        <v/>
      </c>
      <c r="T587" s="531" t="str">
        <f>IFERROR(
 IF($F587="Total",
   SUMPRODUCT(
   INDEX(T:T, ROW()-COUNTIF($F$6:INDEX($F:$F, ROW()-1), $F586)) : INDEX(T:T, ROW()-1),
   INDEX(W:W, ROW()-COUNTIF($F$6:INDEX($F:$F, ROW()-1), $F586)) : INDEX(W:W, ROW()-1)
   )
   /SUM(INDEX(W:W, ROW()-COUNTIF($F$6:INDEX($F:$F, ROW()-1), $F586)) : INDEX(W:W, ROW()-1)),
   AVERAGEIFS(
     INDEX((unit_details[Asking Rent],unit_details[Asking PSF]),0,1,IF($U$3="Chunk Rent",1,2)),
     unit_details[Leased Date],"&gt;="&amp;($AM$2-T$5),
     unit_details[Leased Date],"&lt;"&amp;$AM$2,
     unit_details[Beds],$L587,
     unit_details[Baths],$M587,
     unit_details[Partial Baths],IF(ISNUMBER($N587),$N587,""),
     unit_details[Sqft],$P587,
     unit_details[Property Name],$F587)
 ),"")</f>
        <v/>
      </c>
      <c r="U587" s="552" t="str">
        <f>IFERROR(
 IF($F587="Total",
   SUMPRODUCT(
   INDEX(U:U, ROW()-COUNTIF($F$6:INDEX($F:$F, ROW()-1), $F586)) : INDEX(U:U, ROW()-1),
   INDEX(W:W, ROW()-COUNTIF($F$6:INDEX($F:$F, ROW()-1), $F586)) : INDEX(W:W, ROW()-1)
   )
   /SUM(INDEX(W:W, ROW()-COUNTIF($F$6:INDEX($F:$F, ROW()-1), $F586)) : INDEX(W:W, ROW()-1)),
   AVERAGEIFS(
     INDEX((unit_details[Effective Rent],unit_details[Effective PSF]),0,1,IF($U$3="Chunk Rent",1,2)),
     unit_details[Leased Date],"&gt;="&amp;($AM$2-T$5),
     unit_details[Leased Date],"&lt;"&amp;$AM$2,
     unit_details[Beds],$L587,
     unit_details[Baths],$M587,
     unit_details[Partial Baths],IF(ISNUMBER($N587),$N587,""),
     unit_details[Sqft],$P587,
     unit_details[Property Name],$F587)
 ),"")</f>
        <v/>
      </c>
      <c r="V587" s="27" t="str">
        <f t="shared" si="109"/>
        <v/>
      </c>
      <c r="W587" s="526">
        <f>IFERROR(
  IF($F587="Total",
    SUM(INDEX(W:W, ROW()-COUNTIF($F$6:INDEX($F:$F, ROW()-1), $F586)) : INDEX(W:W, ROW()-1)),
    COUNTIFS(
      unit_details[Leased Date], "&gt;="&amp;($AM$2-T$5),
      unit_details[Leased Date], "&lt;"&amp;$AM$2,
      unit_details[Beds], $L587,
      unit_details[Baths], $M587,
      unit_details[Partial Baths], IF(ISNUMBER($N587), $N587, ""),
      unit_details[Sqft],$P587,
      unit_details[Property Name], $F587
    )
  ),
"")</f>
        <v>0</v>
      </c>
      <c r="X587" s="531" t="str">
        <f>IFERROR(
 IF($F587="Total",
   SUMPRODUCT(
   INDEX(X:X, ROW()-COUNTIF($F$6:INDEX($F:$F, ROW()-1), $F586)) : INDEX(X:X, ROW()-1),
   INDEX(AA:AA, ROW()-COUNTIF($F$6:INDEX($F:$F, ROW()-1), $F586)) : INDEX(AA:AA, ROW()-1)
   )
   /SUM(INDEX(AA:AA, ROW()-COUNTIF($F$6:INDEX($F:$F, ROW()-1), $F586)) : INDEX(AA:AA, ROW()-1)),
   AVERAGEIFS(
     INDEX((unit_details[Asking Rent],unit_details[Asking PSF]),0,1,IF($U$3="Chunk Rent",1,2)),
     unit_details[Leased Date],"&gt;="&amp;($AM$2-X$5),
     unit_details[Leased Date],"&lt;"&amp;$AM$2,
     unit_details[Beds],$L587,
     unit_details[Baths],$M587,
     unit_details[Partial Baths],IF(ISNUMBER($N587),$N587,""),
     unit_details[Sqft],$P587,
     unit_details[Property Name],$F587)
 ),"")</f>
        <v/>
      </c>
      <c r="Y587" s="552" t="str">
        <f>IFERROR(
 IF($F587="Total",
   SUMPRODUCT(
   INDEX(Y:Y, ROW()-COUNTIF($F$6:INDEX($F:$F, ROW()-1), $F586)) : INDEX(Y:Y, ROW()-1),
   INDEX(AA:AA, ROW()-COUNTIF($F$6:INDEX($F:$F, ROW()-1), $F586)) : INDEX(AA:AA, ROW()-1)
   )
   /SUM(INDEX(AA:AA, ROW()-COUNTIF($F$6:INDEX($F:$F, ROW()-1), $F586)) : INDEX(AA:AA, ROW()-1)),
   AVERAGEIFS(
     INDEX((unit_details[Effective Rent],unit_details[Effective PSF]),0,1,IF($U$3="Chunk Rent",1,2)),
     unit_details[Leased Date],"&gt;="&amp;($AM$2-X$5),
     unit_details[Leased Date],"&lt;"&amp;$AM$2,
     unit_details[Beds],$L587,
     unit_details[Baths],$M587,
     unit_details[Partial Baths],IF(ISNUMBER($N587),$N587,""),
     unit_details[Sqft],$P587,
     unit_details[Property Name],$F587)
 ),"")</f>
        <v/>
      </c>
      <c r="Z587" s="27" t="str">
        <f t="shared" si="110"/>
        <v/>
      </c>
      <c r="AA587" s="526">
        <f>IFERROR(
  IF($F587="Total",
    SUM(INDEX(AA:AA, ROW()-COUNTIF($F$6:INDEX($F:$F, ROW()-1), $F586)) : INDEX(AA:AA, ROW()-1)),
    COUNTIFS(
      unit_details[Leased Date], "&gt;="&amp;($AM$2-X$5),
      unit_details[Leased Date], "&lt;"&amp;$AM$2,
      unit_details[Beds], $L587,
      unit_details[Baths], $M587,
      unit_details[Partial Baths], IF(ISNUMBER($N587), $N587, ""),
      unit_details[Sqft],$P587,
      unit_details[Property Name], $F587
    )
  ),
"")</f>
        <v>0</v>
      </c>
      <c r="AB587" s="290">
        <f>IF($F587="Total",
SUM(INDEX(AB:AB, ROW()-COUNTIF($F$6:INDEX($F:$F, ROW()-1), $F586)) : INDEX(AB:AB, ROW()-1)),
COUNTIFS(unit_details[Active Listing?],TRUE,
          unit_details[Property Name], $F587,
          unit_details[Beds], $L587,
          unit_details[Baths], $M587,
          unit_details[Partial Baths],IF(ISNUMBER($N587),$N587,""),
          unit_details[Sqft],$P587))</f>
        <v>0</v>
      </c>
      <c r="AC587" s="27" t="str">
        <f t="shared" si="102"/>
        <v/>
      </c>
      <c r="AD587" s="293" t="str">
        <f>IFERROR(IF(AE587="","",IF($F587="Total",
SUMPRODUCT(
   INDEX(AD:AD, ROW()-COUNTIF($F$6:INDEX($F:$F, ROW()-1), $F586)) : INDEX(AD:AD, ROW()-1),
   INDEX(AB:AB, ROW()-COUNTIF($F$6:INDEX($F:$F, ROW()-1), $F586)) : INDEX(AB:AB, ROW()-1)
   )
   /SUM(INDEX(AB:AB, ROW()-COUNTIF($F$6:INDEX($F:$F, ROW()-1), $F586)) : INDEX(AB:AB, ROW()-1)),
          _xlfn.MINIFS(unit_details[Asking Rent],
          unit_details[Active Listing?],TRUE,
          unit_details[Property Name], $F587,
          unit_details[Beds], $L587,
          unit_details[Baths], $M587,
          unit_details[Partial Baths], IF(ISNUMBER($N587),$N587,""),
          unit_details[Sqft],$P587
))),"")</f>
        <v/>
      </c>
      <c r="AE587" s="5" t="str">
        <f>IFERROR(IF($F587="Total",
          SUMPRODUCT(
   INDEX(AE:AE, ROW()-COUNTIF($F$6:INDEX($F:$F, ROW()-1), $F586)) : INDEX(AE:AE, ROW()-1),
   INDEX(AB:AB, ROW()-COUNTIF($F$6:INDEX($F:$F, ROW()-1), $F586)) : INDEX(AB:AB, ROW()-1)
   )
   /SUM(INDEX(AB:AB, ROW()-COUNTIF($F$6:INDEX($F:$F, ROW()-1), $F586)) : INDEX(AB:AB, ROW()-1)),
          AVERAGEIFS(unit_details[Asking Rent],
          unit_details[Active Listing?],TRUE,
          unit_details[Property Name], $F587,
          unit_details[Beds], $L587,
          unit_details[Baths], $M587,
          unit_details[Partial Baths], IF(ISNUMBER($N587),$N587,""),
          unit_details[Sqft],$P587
)),"")</f>
        <v/>
      </c>
      <c r="AF587" s="5" t="str">
        <f>IFERROR(IF(AE587="","",IF($F587="Total",
SUMPRODUCT(
   INDEX(AF:AF, ROW()-COUNTIF($F$6:INDEX($F:$F, ROW()-1), $F586)) : INDEX(AF:AF, ROW()-1),
   INDEX(AB:AB, ROW()-COUNTIF($F$6:INDEX($F:$F, ROW()-1), $F586)) : INDEX(AB:AB, ROW()-1)
   )
   /SUM(INDEX(AB:AB, ROW()-COUNTIF($F$6:INDEX($F:$F, ROW()-1), $F586)) : INDEX(AB:AB, ROW()-1)),
           _xlfn.MAXIFS(unit_details[Asking Rent],
          unit_details[Active Listing?],TRUE,
          unit_details[Property Name], $F587,
          unit_details[Beds], $L587,
          unit_details[Baths], $M587,
          unit_details[Partial Baths], IF(ISNUMBER($N587),$N587,""),
          unit_details[Sqft],$P587
))),"")</f>
        <v/>
      </c>
      <c r="AG587" s="6" t="str">
        <f>IFERROR(IF($F587="Total",
         SUMPRODUCT(
         INDEX(AG:AG, ROW()-COUNTIF($F$6:INDEX($F:$F, ROW()-1), $F586)) : INDEX(AG:AG, ROW()-1),
         INDEX(AB:AB, ROW()-COUNTIF($F$6:INDEX($F:$F, ROW()-1), $F586)) : INDEX(AB:AB, ROW()-1)
         )
         /SUM(INDEX(AB:AB, ROW()-COUNTIF($F$6:INDEX($F:$F, ROW()-1), $F586)) : INDEX(AB:AB, ROW()-1)),
          AVERAGEIFS(unit_details[Asking PSF],
          unit_details[Active Listing?],TRUE,
          unit_details[Property Name], $F587,
          unit_details[Beds], $L587,
          unit_details[Baths], $M587,
          unit_details[Partial Baths], IF(ISNUMBER($N587),$N587,""),
          unit_details[Sqft],$P587
)),"")</f>
        <v/>
      </c>
      <c r="AH587" s="293" t="str">
        <f>IFERROR(IF($F587="Total",
         SUMPRODUCT(
         INDEX(AH:AH, ROW()-COUNTIF($F$6:INDEX($F:$F, ROW()-1), $F586)) : INDEX(AH:AH, ROW()-1),
         INDEX(AB:AB, ROW()-COUNTIF($F$6:INDEX($F:$F, ROW()-1), $F586)) : INDEX(AB:AB, ROW()-1)
         )
         /SUM(INDEX(AB:AB, ROW()-COUNTIF($F$6:INDEX($F:$F, ROW()-1), $F586)) : INDEX(AB:AB, ROW()-1)),
          AVERAGEIFS(unit_details[Effective Rent],
          unit_details[Active Listing?],TRUE,
          unit_details[Property Name], $F587,
          unit_details[Beds], $L587,
          unit_details[Baths], $M587,
          unit_details[Partial Baths], IF(ISNUMBER($N587),$N587,""),
          unit_details[Sqft],$P587
)),"")</f>
        <v/>
      </c>
      <c r="AI587" s="6" t="str">
        <f>IFERROR(IF($F587="Total",
         SUMPRODUCT(
         INDEX(AI:AI, ROW()-COUNTIF($F$6:INDEX($F:$F, ROW()-1), $F586)) : INDEX(AI:AI, ROW()-1),
         INDEX(AB:AB, ROW()-COUNTIF($F$6:INDEX($F:$F, ROW()-1), $F586)) : INDEX(AB:AB, ROW()-1)
         )
         /SUM(INDEX(AB:AB, ROW()-COUNTIF($F$6:INDEX($F:$F, ROW()-1), $F586)) : INDEX(AB:AB, ROW()-1)),
           AVERAGEIFS(unit_details[Effective PSF],
          unit_details[Active Listing?],TRUE,
          unit_details[Property Name], $F587,
          unit_details[Beds], $L587,
          unit_details[Baths], $M587,
          unit_details[Partial Baths], IF(ISNUMBER($N587),$N587,""),
          unit_details[Sqft],$P587
)),"")</f>
        <v/>
      </c>
      <c r="AJ587" s="824" t="str">
        <f t="shared" si="103"/>
        <v/>
      </c>
      <c r="AK587" s="531" t="str">
        <f t="shared" si="104"/>
        <v/>
      </c>
      <c r="AL587" s="714" t="str">
        <f t="shared" si="105"/>
        <v/>
      </c>
      <c r="AM587" s="531" t="str">
        <f t="shared" si="106"/>
        <v/>
      </c>
      <c r="AN587" s="716" t="str">
        <f t="shared" si="107"/>
        <v/>
      </c>
    </row>
    <row r="588" spans="6:40" x14ac:dyDescent="0.2">
      <c r="F588" s="1" t="str">
        <f t="shared" si="100"/>
        <v/>
      </c>
      <c r="G588" s="713" t="str">
        <f t="shared" si="108"/>
        <v/>
      </c>
      <c r="H588" s="17" t="str">
        <f>IFERROR(VLOOKUP($G588,Table1[[Property]:[Exposure %]],4,0),"")</f>
        <v/>
      </c>
      <c r="I588" s="3" t="str">
        <f>IFERROR(VLOOKUP($G588,Table1[[Property]:[Exposure %]],6,0),"")</f>
        <v/>
      </c>
      <c r="J588" s="3" t="str">
        <f>IFERROR(VLOOKUP($G588,Table1[[Property]:[Exposure %]],7,0),"")</f>
        <v/>
      </c>
      <c r="R588" s="4" t="str">
        <f>IFERROR(VLOOKUP(IF(F588="Total",F587,F588),Table1[[Property]:['# Units]],7,0)*S588,"")</f>
        <v/>
      </c>
      <c r="S588" s="27" t="str">
        <f t="shared" si="101"/>
        <v/>
      </c>
      <c r="T588" s="531" t="str">
        <f>IFERROR(
 IF($F588="Total",
   SUMPRODUCT(
   INDEX(T:T, ROW()-COUNTIF($F$6:INDEX($F:$F, ROW()-1), $F587)) : INDEX(T:T, ROW()-1),
   INDEX(W:W, ROW()-COUNTIF($F$6:INDEX($F:$F, ROW()-1), $F587)) : INDEX(W:W, ROW()-1)
   )
   /SUM(INDEX(W:W, ROW()-COUNTIF($F$6:INDEX($F:$F, ROW()-1), $F587)) : INDEX(W:W, ROW()-1)),
   AVERAGEIFS(
     INDEX((unit_details[Asking Rent],unit_details[Asking PSF]),0,1,IF($U$3="Chunk Rent",1,2)),
     unit_details[Leased Date],"&gt;="&amp;($AM$2-T$5),
     unit_details[Leased Date],"&lt;"&amp;$AM$2,
     unit_details[Beds],$L588,
     unit_details[Baths],$M588,
     unit_details[Partial Baths],IF(ISNUMBER($N588),$N588,""),
     unit_details[Sqft],$P588,
     unit_details[Property Name],$F588)
 ),"")</f>
        <v/>
      </c>
      <c r="U588" s="552" t="str">
        <f>IFERROR(
 IF($F588="Total",
   SUMPRODUCT(
   INDEX(U:U, ROW()-COUNTIF($F$6:INDEX($F:$F, ROW()-1), $F587)) : INDEX(U:U, ROW()-1),
   INDEX(W:W, ROW()-COUNTIF($F$6:INDEX($F:$F, ROW()-1), $F587)) : INDEX(W:W, ROW()-1)
   )
   /SUM(INDEX(W:W, ROW()-COUNTIF($F$6:INDEX($F:$F, ROW()-1), $F587)) : INDEX(W:W, ROW()-1)),
   AVERAGEIFS(
     INDEX((unit_details[Effective Rent],unit_details[Effective PSF]),0,1,IF($U$3="Chunk Rent",1,2)),
     unit_details[Leased Date],"&gt;="&amp;($AM$2-T$5),
     unit_details[Leased Date],"&lt;"&amp;$AM$2,
     unit_details[Beds],$L588,
     unit_details[Baths],$M588,
     unit_details[Partial Baths],IF(ISNUMBER($N588),$N588,""),
     unit_details[Sqft],$P588,
     unit_details[Property Name],$F588)
 ),"")</f>
        <v/>
      </c>
      <c r="V588" s="27" t="str">
        <f t="shared" si="109"/>
        <v/>
      </c>
      <c r="W588" s="526">
        <f>IFERROR(
  IF($F588="Total",
    SUM(INDEX(W:W, ROW()-COUNTIF($F$6:INDEX($F:$F, ROW()-1), $F587)) : INDEX(W:W, ROW()-1)),
    COUNTIFS(
      unit_details[Leased Date], "&gt;="&amp;($AM$2-T$5),
      unit_details[Leased Date], "&lt;"&amp;$AM$2,
      unit_details[Beds], $L588,
      unit_details[Baths], $M588,
      unit_details[Partial Baths], IF(ISNUMBER($N588), $N588, ""),
      unit_details[Sqft],$P588,
      unit_details[Property Name], $F588
    )
  ),
"")</f>
        <v>0</v>
      </c>
      <c r="X588" s="531" t="str">
        <f>IFERROR(
 IF($F588="Total",
   SUMPRODUCT(
   INDEX(X:X, ROW()-COUNTIF($F$6:INDEX($F:$F, ROW()-1), $F587)) : INDEX(X:X, ROW()-1),
   INDEX(AA:AA, ROW()-COUNTIF($F$6:INDEX($F:$F, ROW()-1), $F587)) : INDEX(AA:AA, ROW()-1)
   )
   /SUM(INDEX(AA:AA, ROW()-COUNTIF($F$6:INDEX($F:$F, ROW()-1), $F587)) : INDEX(AA:AA, ROW()-1)),
   AVERAGEIFS(
     INDEX((unit_details[Asking Rent],unit_details[Asking PSF]),0,1,IF($U$3="Chunk Rent",1,2)),
     unit_details[Leased Date],"&gt;="&amp;($AM$2-X$5),
     unit_details[Leased Date],"&lt;"&amp;$AM$2,
     unit_details[Beds],$L588,
     unit_details[Baths],$M588,
     unit_details[Partial Baths],IF(ISNUMBER($N588),$N588,""),
     unit_details[Sqft],$P588,
     unit_details[Property Name],$F588)
 ),"")</f>
        <v/>
      </c>
      <c r="Y588" s="552" t="str">
        <f>IFERROR(
 IF($F588="Total",
   SUMPRODUCT(
   INDEX(Y:Y, ROW()-COUNTIF($F$6:INDEX($F:$F, ROW()-1), $F587)) : INDEX(Y:Y, ROW()-1),
   INDEX(AA:AA, ROW()-COUNTIF($F$6:INDEX($F:$F, ROW()-1), $F587)) : INDEX(AA:AA, ROW()-1)
   )
   /SUM(INDEX(AA:AA, ROW()-COUNTIF($F$6:INDEX($F:$F, ROW()-1), $F587)) : INDEX(AA:AA, ROW()-1)),
   AVERAGEIFS(
     INDEX((unit_details[Effective Rent],unit_details[Effective PSF]),0,1,IF($U$3="Chunk Rent",1,2)),
     unit_details[Leased Date],"&gt;="&amp;($AM$2-X$5),
     unit_details[Leased Date],"&lt;"&amp;$AM$2,
     unit_details[Beds],$L588,
     unit_details[Baths],$M588,
     unit_details[Partial Baths],IF(ISNUMBER($N588),$N588,""),
     unit_details[Sqft],$P588,
     unit_details[Property Name],$F588)
 ),"")</f>
        <v/>
      </c>
      <c r="Z588" s="27" t="str">
        <f t="shared" si="110"/>
        <v/>
      </c>
      <c r="AA588" s="526">
        <f>IFERROR(
  IF($F588="Total",
    SUM(INDEX(AA:AA, ROW()-COUNTIF($F$6:INDEX($F:$F, ROW()-1), $F587)) : INDEX(AA:AA, ROW()-1)),
    COUNTIFS(
      unit_details[Leased Date], "&gt;="&amp;($AM$2-X$5),
      unit_details[Leased Date], "&lt;"&amp;$AM$2,
      unit_details[Beds], $L588,
      unit_details[Baths], $M588,
      unit_details[Partial Baths], IF(ISNUMBER($N588), $N588, ""),
      unit_details[Sqft],$P588,
      unit_details[Property Name], $F588
    )
  ),
"")</f>
        <v>0</v>
      </c>
      <c r="AB588" s="290">
        <f>IF($F588="Total",
SUM(INDEX(AB:AB, ROW()-COUNTIF($F$6:INDEX($F:$F, ROW()-1), $F587)) : INDEX(AB:AB, ROW()-1)),
COUNTIFS(unit_details[Active Listing?],TRUE,
          unit_details[Property Name], $F588,
          unit_details[Beds], $L588,
          unit_details[Baths], $M588,
          unit_details[Partial Baths],IF(ISNUMBER($N588),$N588,""),
          unit_details[Sqft],$P588))</f>
        <v>0</v>
      </c>
      <c r="AC588" s="27" t="str">
        <f t="shared" si="102"/>
        <v/>
      </c>
      <c r="AD588" s="293" t="str">
        <f>IFERROR(IF(AE588="","",IF($F588="Total",
SUMPRODUCT(
   INDEX(AD:AD, ROW()-COUNTIF($F$6:INDEX($F:$F, ROW()-1), $F587)) : INDEX(AD:AD, ROW()-1),
   INDEX(AB:AB, ROW()-COUNTIF($F$6:INDEX($F:$F, ROW()-1), $F587)) : INDEX(AB:AB, ROW()-1)
   )
   /SUM(INDEX(AB:AB, ROW()-COUNTIF($F$6:INDEX($F:$F, ROW()-1), $F587)) : INDEX(AB:AB, ROW()-1)),
          _xlfn.MINIFS(unit_details[Asking Rent],
          unit_details[Active Listing?],TRUE,
          unit_details[Property Name], $F588,
          unit_details[Beds], $L588,
          unit_details[Baths], $M588,
          unit_details[Partial Baths], IF(ISNUMBER($N588),$N588,""),
          unit_details[Sqft],$P588
))),"")</f>
        <v/>
      </c>
      <c r="AE588" s="5" t="str">
        <f>IFERROR(IF($F588="Total",
          SUMPRODUCT(
   INDEX(AE:AE, ROW()-COUNTIF($F$6:INDEX($F:$F, ROW()-1), $F587)) : INDEX(AE:AE, ROW()-1),
   INDEX(AB:AB, ROW()-COUNTIF($F$6:INDEX($F:$F, ROW()-1), $F587)) : INDEX(AB:AB, ROW()-1)
   )
   /SUM(INDEX(AB:AB, ROW()-COUNTIF($F$6:INDEX($F:$F, ROW()-1), $F587)) : INDEX(AB:AB, ROW()-1)),
          AVERAGEIFS(unit_details[Asking Rent],
          unit_details[Active Listing?],TRUE,
          unit_details[Property Name], $F588,
          unit_details[Beds], $L588,
          unit_details[Baths], $M588,
          unit_details[Partial Baths], IF(ISNUMBER($N588),$N588,""),
          unit_details[Sqft],$P588
)),"")</f>
        <v/>
      </c>
      <c r="AF588" s="5" t="str">
        <f>IFERROR(IF(AE588="","",IF($F588="Total",
SUMPRODUCT(
   INDEX(AF:AF, ROW()-COUNTIF($F$6:INDEX($F:$F, ROW()-1), $F587)) : INDEX(AF:AF, ROW()-1),
   INDEX(AB:AB, ROW()-COUNTIF($F$6:INDEX($F:$F, ROW()-1), $F587)) : INDEX(AB:AB, ROW()-1)
   )
   /SUM(INDEX(AB:AB, ROW()-COUNTIF($F$6:INDEX($F:$F, ROW()-1), $F587)) : INDEX(AB:AB, ROW()-1)),
           _xlfn.MAXIFS(unit_details[Asking Rent],
          unit_details[Active Listing?],TRUE,
          unit_details[Property Name], $F588,
          unit_details[Beds], $L588,
          unit_details[Baths], $M588,
          unit_details[Partial Baths], IF(ISNUMBER($N588),$N588,""),
          unit_details[Sqft],$P588
))),"")</f>
        <v/>
      </c>
      <c r="AG588" s="6" t="str">
        <f>IFERROR(IF($F588="Total",
         SUMPRODUCT(
         INDEX(AG:AG, ROW()-COUNTIF($F$6:INDEX($F:$F, ROW()-1), $F587)) : INDEX(AG:AG, ROW()-1),
         INDEX(AB:AB, ROW()-COUNTIF($F$6:INDEX($F:$F, ROW()-1), $F587)) : INDEX(AB:AB, ROW()-1)
         )
         /SUM(INDEX(AB:AB, ROW()-COUNTIF($F$6:INDEX($F:$F, ROW()-1), $F587)) : INDEX(AB:AB, ROW()-1)),
          AVERAGEIFS(unit_details[Asking PSF],
          unit_details[Active Listing?],TRUE,
          unit_details[Property Name], $F588,
          unit_details[Beds], $L588,
          unit_details[Baths], $M588,
          unit_details[Partial Baths], IF(ISNUMBER($N588),$N588,""),
          unit_details[Sqft],$P588
)),"")</f>
        <v/>
      </c>
      <c r="AH588" s="293" t="str">
        <f>IFERROR(IF($F588="Total",
         SUMPRODUCT(
         INDEX(AH:AH, ROW()-COUNTIF($F$6:INDEX($F:$F, ROW()-1), $F587)) : INDEX(AH:AH, ROW()-1),
         INDEX(AB:AB, ROW()-COUNTIF($F$6:INDEX($F:$F, ROW()-1), $F587)) : INDEX(AB:AB, ROW()-1)
         )
         /SUM(INDEX(AB:AB, ROW()-COUNTIF($F$6:INDEX($F:$F, ROW()-1), $F587)) : INDEX(AB:AB, ROW()-1)),
          AVERAGEIFS(unit_details[Effective Rent],
          unit_details[Active Listing?],TRUE,
          unit_details[Property Name], $F588,
          unit_details[Beds], $L588,
          unit_details[Baths], $M588,
          unit_details[Partial Baths], IF(ISNUMBER($N588),$N588,""),
          unit_details[Sqft],$P588
)),"")</f>
        <v/>
      </c>
      <c r="AI588" s="6" t="str">
        <f>IFERROR(IF($F588="Total",
         SUMPRODUCT(
         INDEX(AI:AI, ROW()-COUNTIF($F$6:INDEX($F:$F, ROW()-1), $F587)) : INDEX(AI:AI, ROW()-1),
         INDEX(AB:AB, ROW()-COUNTIF($F$6:INDEX($F:$F, ROW()-1), $F587)) : INDEX(AB:AB, ROW()-1)
         )
         /SUM(INDEX(AB:AB, ROW()-COUNTIF($F$6:INDEX($F:$F, ROW()-1), $F587)) : INDEX(AB:AB, ROW()-1)),
           AVERAGEIFS(unit_details[Effective PSF],
          unit_details[Active Listing?],TRUE,
          unit_details[Property Name], $F588,
          unit_details[Beds], $L588,
          unit_details[Baths], $M588,
          unit_details[Partial Baths], IF(ISNUMBER($N588),$N588,""),
          unit_details[Sqft],$P588
)),"")</f>
        <v/>
      </c>
      <c r="AJ588" s="824" t="str">
        <f t="shared" si="103"/>
        <v/>
      </c>
      <c r="AK588" s="531" t="str">
        <f t="shared" si="104"/>
        <v/>
      </c>
      <c r="AL588" s="714" t="str">
        <f t="shared" si="105"/>
        <v/>
      </c>
      <c r="AM588" s="531" t="str">
        <f t="shared" si="106"/>
        <v/>
      </c>
      <c r="AN588" s="716" t="str">
        <f t="shared" si="107"/>
        <v/>
      </c>
    </row>
    <row r="589" spans="6:40" x14ac:dyDescent="0.2">
      <c r="F589" s="1" t="str">
        <f t="shared" si="100"/>
        <v/>
      </c>
      <c r="G589" s="713" t="str">
        <f t="shared" si="108"/>
        <v/>
      </c>
      <c r="H589" s="17" t="str">
        <f>IFERROR(VLOOKUP($G589,Table1[[Property]:[Exposure %]],4,0),"")</f>
        <v/>
      </c>
      <c r="I589" s="3" t="str">
        <f>IFERROR(VLOOKUP($G589,Table1[[Property]:[Exposure %]],6,0),"")</f>
        <v/>
      </c>
      <c r="J589" s="3" t="str">
        <f>IFERROR(VLOOKUP($G589,Table1[[Property]:[Exposure %]],7,0),"")</f>
        <v/>
      </c>
      <c r="R589" s="4" t="str">
        <f>IFERROR(VLOOKUP(IF(F589="Total",F588,F589),Table1[[Property]:['# Units]],7,0)*S589,"")</f>
        <v/>
      </c>
      <c r="S589" s="27" t="str">
        <f t="shared" si="101"/>
        <v/>
      </c>
      <c r="T589" s="531" t="str">
        <f>IFERROR(
 IF($F589="Total",
   SUMPRODUCT(
   INDEX(T:T, ROW()-COUNTIF($F$6:INDEX($F:$F, ROW()-1), $F588)) : INDEX(T:T, ROW()-1),
   INDEX(W:W, ROW()-COUNTIF($F$6:INDEX($F:$F, ROW()-1), $F588)) : INDEX(W:W, ROW()-1)
   )
   /SUM(INDEX(W:W, ROW()-COUNTIF($F$6:INDEX($F:$F, ROW()-1), $F588)) : INDEX(W:W, ROW()-1)),
   AVERAGEIFS(
     INDEX((unit_details[Asking Rent],unit_details[Asking PSF]),0,1,IF($U$3="Chunk Rent",1,2)),
     unit_details[Leased Date],"&gt;="&amp;($AM$2-T$5),
     unit_details[Leased Date],"&lt;"&amp;$AM$2,
     unit_details[Beds],$L589,
     unit_details[Baths],$M589,
     unit_details[Partial Baths],IF(ISNUMBER($N589),$N589,""),
     unit_details[Sqft],$P589,
     unit_details[Property Name],$F589)
 ),"")</f>
        <v/>
      </c>
      <c r="U589" s="552" t="str">
        <f>IFERROR(
 IF($F589="Total",
   SUMPRODUCT(
   INDEX(U:U, ROW()-COUNTIF($F$6:INDEX($F:$F, ROW()-1), $F588)) : INDEX(U:U, ROW()-1),
   INDEX(W:W, ROW()-COUNTIF($F$6:INDEX($F:$F, ROW()-1), $F588)) : INDEX(W:W, ROW()-1)
   )
   /SUM(INDEX(W:W, ROW()-COUNTIF($F$6:INDEX($F:$F, ROW()-1), $F588)) : INDEX(W:W, ROW()-1)),
   AVERAGEIFS(
     INDEX((unit_details[Effective Rent],unit_details[Effective PSF]),0,1,IF($U$3="Chunk Rent",1,2)),
     unit_details[Leased Date],"&gt;="&amp;($AM$2-T$5),
     unit_details[Leased Date],"&lt;"&amp;$AM$2,
     unit_details[Beds],$L589,
     unit_details[Baths],$M589,
     unit_details[Partial Baths],IF(ISNUMBER($N589),$N589,""),
     unit_details[Sqft],$P589,
     unit_details[Property Name],$F589)
 ),"")</f>
        <v/>
      </c>
      <c r="V589" s="27" t="str">
        <f t="shared" si="109"/>
        <v/>
      </c>
      <c r="W589" s="526">
        <f>IFERROR(
  IF($F589="Total",
    SUM(INDEX(W:W, ROW()-COUNTIF($F$6:INDEX($F:$F, ROW()-1), $F588)) : INDEX(W:W, ROW()-1)),
    COUNTIFS(
      unit_details[Leased Date], "&gt;="&amp;($AM$2-T$5),
      unit_details[Leased Date], "&lt;"&amp;$AM$2,
      unit_details[Beds], $L589,
      unit_details[Baths], $M589,
      unit_details[Partial Baths], IF(ISNUMBER($N589), $N589, ""),
      unit_details[Sqft],$P589,
      unit_details[Property Name], $F589
    )
  ),
"")</f>
        <v>0</v>
      </c>
      <c r="X589" s="531" t="str">
        <f>IFERROR(
 IF($F589="Total",
   SUMPRODUCT(
   INDEX(X:X, ROW()-COUNTIF($F$6:INDEX($F:$F, ROW()-1), $F588)) : INDEX(X:X, ROW()-1),
   INDEX(AA:AA, ROW()-COUNTIF($F$6:INDEX($F:$F, ROW()-1), $F588)) : INDEX(AA:AA, ROW()-1)
   )
   /SUM(INDEX(AA:AA, ROW()-COUNTIF($F$6:INDEX($F:$F, ROW()-1), $F588)) : INDEX(AA:AA, ROW()-1)),
   AVERAGEIFS(
     INDEX((unit_details[Asking Rent],unit_details[Asking PSF]),0,1,IF($U$3="Chunk Rent",1,2)),
     unit_details[Leased Date],"&gt;="&amp;($AM$2-X$5),
     unit_details[Leased Date],"&lt;"&amp;$AM$2,
     unit_details[Beds],$L589,
     unit_details[Baths],$M589,
     unit_details[Partial Baths],IF(ISNUMBER($N589),$N589,""),
     unit_details[Sqft],$P589,
     unit_details[Property Name],$F589)
 ),"")</f>
        <v/>
      </c>
      <c r="Y589" s="552" t="str">
        <f>IFERROR(
 IF($F589="Total",
   SUMPRODUCT(
   INDEX(Y:Y, ROW()-COUNTIF($F$6:INDEX($F:$F, ROW()-1), $F588)) : INDEX(Y:Y, ROW()-1),
   INDEX(AA:AA, ROW()-COUNTIF($F$6:INDEX($F:$F, ROW()-1), $F588)) : INDEX(AA:AA, ROW()-1)
   )
   /SUM(INDEX(AA:AA, ROW()-COUNTIF($F$6:INDEX($F:$F, ROW()-1), $F588)) : INDEX(AA:AA, ROW()-1)),
   AVERAGEIFS(
     INDEX((unit_details[Effective Rent],unit_details[Effective PSF]),0,1,IF($U$3="Chunk Rent",1,2)),
     unit_details[Leased Date],"&gt;="&amp;($AM$2-X$5),
     unit_details[Leased Date],"&lt;"&amp;$AM$2,
     unit_details[Beds],$L589,
     unit_details[Baths],$M589,
     unit_details[Partial Baths],IF(ISNUMBER($N589),$N589,""),
     unit_details[Sqft],$P589,
     unit_details[Property Name],$F589)
 ),"")</f>
        <v/>
      </c>
      <c r="Z589" s="27" t="str">
        <f t="shared" si="110"/>
        <v/>
      </c>
      <c r="AA589" s="526">
        <f>IFERROR(
  IF($F589="Total",
    SUM(INDEX(AA:AA, ROW()-COUNTIF($F$6:INDEX($F:$F, ROW()-1), $F588)) : INDEX(AA:AA, ROW()-1)),
    COUNTIFS(
      unit_details[Leased Date], "&gt;="&amp;($AM$2-X$5),
      unit_details[Leased Date], "&lt;"&amp;$AM$2,
      unit_details[Beds], $L589,
      unit_details[Baths], $M589,
      unit_details[Partial Baths], IF(ISNUMBER($N589), $N589, ""),
      unit_details[Sqft],$P589,
      unit_details[Property Name], $F589
    )
  ),
"")</f>
        <v>0</v>
      </c>
      <c r="AB589" s="290">
        <f>IF($F589="Total",
SUM(INDEX(AB:AB, ROW()-COUNTIF($F$6:INDEX($F:$F, ROW()-1), $F588)) : INDEX(AB:AB, ROW()-1)),
COUNTIFS(unit_details[Active Listing?],TRUE,
          unit_details[Property Name], $F589,
          unit_details[Beds], $L589,
          unit_details[Baths], $M589,
          unit_details[Partial Baths],IF(ISNUMBER($N589),$N589,""),
          unit_details[Sqft],$P589))</f>
        <v>0</v>
      </c>
      <c r="AC589" s="27" t="str">
        <f t="shared" si="102"/>
        <v/>
      </c>
      <c r="AD589" s="293" t="str">
        <f>IFERROR(IF(AE589="","",IF($F589="Total",
SUMPRODUCT(
   INDEX(AD:AD, ROW()-COUNTIF($F$6:INDEX($F:$F, ROW()-1), $F588)) : INDEX(AD:AD, ROW()-1),
   INDEX(AB:AB, ROW()-COUNTIF($F$6:INDEX($F:$F, ROW()-1), $F588)) : INDEX(AB:AB, ROW()-1)
   )
   /SUM(INDEX(AB:AB, ROW()-COUNTIF($F$6:INDEX($F:$F, ROW()-1), $F588)) : INDEX(AB:AB, ROW()-1)),
          _xlfn.MINIFS(unit_details[Asking Rent],
          unit_details[Active Listing?],TRUE,
          unit_details[Property Name], $F589,
          unit_details[Beds], $L589,
          unit_details[Baths], $M589,
          unit_details[Partial Baths], IF(ISNUMBER($N589),$N589,""),
          unit_details[Sqft],$P589
))),"")</f>
        <v/>
      </c>
      <c r="AE589" s="5" t="str">
        <f>IFERROR(IF($F589="Total",
          SUMPRODUCT(
   INDEX(AE:AE, ROW()-COUNTIF($F$6:INDEX($F:$F, ROW()-1), $F588)) : INDEX(AE:AE, ROW()-1),
   INDEX(AB:AB, ROW()-COUNTIF($F$6:INDEX($F:$F, ROW()-1), $F588)) : INDEX(AB:AB, ROW()-1)
   )
   /SUM(INDEX(AB:AB, ROW()-COUNTIF($F$6:INDEX($F:$F, ROW()-1), $F588)) : INDEX(AB:AB, ROW()-1)),
          AVERAGEIFS(unit_details[Asking Rent],
          unit_details[Active Listing?],TRUE,
          unit_details[Property Name], $F589,
          unit_details[Beds], $L589,
          unit_details[Baths], $M589,
          unit_details[Partial Baths], IF(ISNUMBER($N589),$N589,""),
          unit_details[Sqft],$P589
)),"")</f>
        <v/>
      </c>
      <c r="AF589" s="5" t="str">
        <f>IFERROR(IF(AE589="","",IF($F589="Total",
SUMPRODUCT(
   INDEX(AF:AF, ROW()-COUNTIF($F$6:INDEX($F:$F, ROW()-1), $F588)) : INDEX(AF:AF, ROW()-1),
   INDEX(AB:AB, ROW()-COUNTIF($F$6:INDEX($F:$F, ROW()-1), $F588)) : INDEX(AB:AB, ROW()-1)
   )
   /SUM(INDEX(AB:AB, ROW()-COUNTIF($F$6:INDEX($F:$F, ROW()-1), $F588)) : INDEX(AB:AB, ROW()-1)),
           _xlfn.MAXIFS(unit_details[Asking Rent],
          unit_details[Active Listing?],TRUE,
          unit_details[Property Name], $F589,
          unit_details[Beds], $L589,
          unit_details[Baths], $M589,
          unit_details[Partial Baths], IF(ISNUMBER($N589),$N589,""),
          unit_details[Sqft],$P589
))),"")</f>
        <v/>
      </c>
      <c r="AG589" s="6" t="str">
        <f>IFERROR(IF($F589="Total",
         SUMPRODUCT(
         INDEX(AG:AG, ROW()-COUNTIF($F$6:INDEX($F:$F, ROW()-1), $F588)) : INDEX(AG:AG, ROW()-1),
         INDEX(AB:AB, ROW()-COUNTIF($F$6:INDEX($F:$F, ROW()-1), $F588)) : INDEX(AB:AB, ROW()-1)
         )
         /SUM(INDEX(AB:AB, ROW()-COUNTIF($F$6:INDEX($F:$F, ROW()-1), $F588)) : INDEX(AB:AB, ROW()-1)),
          AVERAGEIFS(unit_details[Asking PSF],
          unit_details[Active Listing?],TRUE,
          unit_details[Property Name], $F589,
          unit_details[Beds], $L589,
          unit_details[Baths], $M589,
          unit_details[Partial Baths], IF(ISNUMBER($N589),$N589,""),
          unit_details[Sqft],$P589
)),"")</f>
        <v/>
      </c>
      <c r="AH589" s="293" t="str">
        <f>IFERROR(IF($F589="Total",
         SUMPRODUCT(
         INDEX(AH:AH, ROW()-COUNTIF($F$6:INDEX($F:$F, ROW()-1), $F588)) : INDEX(AH:AH, ROW()-1),
         INDEX(AB:AB, ROW()-COUNTIF($F$6:INDEX($F:$F, ROW()-1), $F588)) : INDEX(AB:AB, ROW()-1)
         )
         /SUM(INDEX(AB:AB, ROW()-COUNTIF($F$6:INDEX($F:$F, ROW()-1), $F588)) : INDEX(AB:AB, ROW()-1)),
          AVERAGEIFS(unit_details[Effective Rent],
          unit_details[Active Listing?],TRUE,
          unit_details[Property Name], $F589,
          unit_details[Beds], $L589,
          unit_details[Baths], $M589,
          unit_details[Partial Baths], IF(ISNUMBER($N589),$N589,""),
          unit_details[Sqft],$P589
)),"")</f>
        <v/>
      </c>
      <c r="AI589" s="6" t="str">
        <f>IFERROR(IF($F589="Total",
         SUMPRODUCT(
         INDEX(AI:AI, ROW()-COUNTIF($F$6:INDEX($F:$F, ROW()-1), $F588)) : INDEX(AI:AI, ROW()-1),
         INDEX(AB:AB, ROW()-COUNTIF($F$6:INDEX($F:$F, ROW()-1), $F588)) : INDEX(AB:AB, ROW()-1)
         )
         /SUM(INDEX(AB:AB, ROW()-COUNTIF($F$6:INDEX($F:$F, ROW()-1), $F588)) : INDEX(AB:AB, ROW()-1)),
           AVERAGEIFS(unit_details[Effective PSF],
          unit_details[Active Listing?],TRUE,
          unit_details[Property Name], $F589,
          unit_details[Beds], $L589,
          unit_details[Baths], $M589,
          unit_details[Partial Baths], IF(ISNUMBER($N589),$N589,""),
          unit_details[Sqft],$P589
)),"")</f>
        <v/>
      </c>
      <c r="AJ589" s="824" t="str">
        <f t="shared" si="103"/>
        <v/>
      </c>
      <c r="AK589" s="531" t="str">
        <f t="shared" si="104"/>
        <v/>
      </c>
      <c r="AL589" s="714" t="str">
        <f t="shared" si="105"/>
        <v/>
      </c>
      <c r="AM589" s="531" t="str">
        <f t="shared" si="106"/>
        <v/>
      </c>
      <c r="AN589" s="716" t="str">
        <f t="shared" si="107"/>
        <v/>
      </c>
    </row>
    <row r="590" spans="6:40" x14ac:dyDescent="0.2">
      <c r="F590" s="1" t="str">
        <f t="shared" si="100"/>
        <v/>
      </c>
      <c r="G590" s="713" t="str">
        <f t="shared" si="108"/>
        <v/>
      </c>
      <c r="H590" s="17" t="str">
        <f>IFERROR(VLOOKUP($G590,Table1[[Property]:[Exposure %]],4,0),"")</f>
        <v/>
      </c>
      <c r="I590" s="3" t="str">
        <f>IFERROR(VLOOKUP($G590,Table1[[Property]:[Exposure %]],6,0),"")</f>
        <v/>
      </c>
      <c r="J590" s="3" t="str">
        <f>IFERROR(VLOOKUP($G590,Table1[[Property]:[Exposure %]],7,0),"")</f>
        <v/>
      </c>
      <c r="R590" s="4" t="str">
        <f>IFERROR(VLOOKUP(IF(F590="Total",F589,F590),Table1[[Property]:['# Units]],7,0)*S590,"")</f>
        <v/>
      </c>
      <c r="S590" s="27" t="str">
        <f t="shared" si="101"/>
        <v/>
      </c>
      <c r="T590" s="531" t="str">
        <f>IFERROR(
 IF($F590="Total",
   SUMPRODUCT(
   INDEX(T:T, ROW()-COUNTIF($F$6:INDEX($F:$F, ROW()-1), $F589)) : INDEX(T:T, ROW()-1),
   INDEX(W:W, ROW()-COUNTIF($F$6:INDEX($F:$F, ROW()-1), $F589)) : INDEX(W:W, ROW()-1)
   )
   /SUM(INDEX(W:W, ROW()-COUNTIF($F$6:INDEX($F:$F, ROW()-1), $F589)) : INDEX(W:W, ROW()-1)),
   AVERAGEIFS(
     INDEX((unit_details[Asking Rent],unit_details[Asking PSF]),0,1,IF($U$3="Chunk Rent",1,2)),
     unit_details[Leased Date],"&gt;="&amp;($AM$2-T$5),
     unit_details[Leased Date],"&lt;"&amp;$AM$2,
     unit_details[Beds],$L590,
     unit_details[Baths],$M590,
     unit_details[Partial Baths],IF(ISNUMBER($N590),$N590,""),
     unit_details[Sqft],$P590,
     unit_details[Property Name],$F590)
 ),"")</f>
        <v/>
      </c>
      <c r="U590" s="552" t="str">
        <f>IFERROR(
 IF($F590="Total",
   SUMPRODUCT(
   INDEX(U:U, ROW()-COUNTIF($F$6:INDEX($F:$F, ROW()-1), $F589)) : INDEX(U:U, ROW()-1),
   INDEX(W:W, ROW()-COUNTIF($F$6:INDEX($F:$F, ROW()-1), $F589)) : INDEX(W:W, ROW()-1)
   )
   /SUM(INDEX(W:W, ROW()-COUNTIF($F$6:INDEX($F:$F, ROW()-1), $F589)) : INDEX(W:W, ROW()-1)),
   AVERAGEIFS(
     INDEX((unit_details[Effective Rent],unit_details[Effective PSF]),0,1,IF($U$3="Chunk Rent",1,2)),
     unit_details[Leased Date],"&gt;="&amp;($AM$2-T$5),
     unit_details[Leased Date],"&lt;"&amp;$AM$2,
     unit_details[Beds],$L590,
     unit_details[Baths],$M590,
     unit_details[Partial Baths],IF(ISNUMBER($N590),$N590,""),
     unit_details[Sqft],$P590,
     unit_details[Property Name],$F590)
 ),"")</f>
        <v/>
      </c>
      <c r="V590" s="27" t="str">
        <f t="shared" si="109"/>
        <v/>
      </c>
      <c r="W590" s="526">
        <f>IFERROR(
  IF($F590="Total",
    SUM(INDEX(W:W, ROW()-COUNTIF($F$6:INDEX($F:$F, ROW()-1), $F589)) : INDEX(W:W, ROW()-1)),
    COUNTIFS(
      unit_details[Leased Date], "&gt;="&amp;($AM$2-T$5),
      unit_details[Leased Date], "&lt;"&amp;$AM$2,
      unit_details[Beds], $L590,
      unit_details[Baths], $M590,
      unit_details[Partial Baths], IF(ISNUMBER($N590), $N590, ""),
      unit_details[Sqft],$P590,
      unit_details[Property Name], $F590
    )
  ),
"")</f>
        <v>0</v>
      </c>
      <c r="X590" s="531" t="str">
        <f>IFERROR(
 IF($F590="Total",
   SUMPRODUCT(
   INDEX(X:X, ROW()-COUNTIF($F$6:INDEX($F:$F, ROW()-1), $F589)) : INDEX(X:X, ROW()-1),
   INDEX(AA:AA, ROW()-COUNTIF($F$6:INDEX($F:$F, ROW()-1), $F589)) : INDEX(AA:AA, ROW()-1)
   )
   /SUM(INDEX(AA:AA, ROW()-COUNTIF($F$6:INDEX($F:$F, ROW()-1), $F589)) : INDEX(AA:AA, ROW()-1)),
   AVERAGEIFS(
     INDEX((unit_details[Asking Rent],unit_details[Asking PSF]),0,1,IF($U$3="Chunk Rent",1,2)),
     unit_details[Leased Date],"&gt;="&amp;($AM$2-X$5),
     unit_details[Leased Date],"&lt;"&amp;$AM$2,
     unit_details[Beds],$L590,
     unit_details[Baths],$M590,
     unit_details[Partial Baths],IF(ISNUMBER($N590),$N590,""),
     unit_details[Sqft],$P590,
     unit_details[Property Name],$F590)
 ),"")</f>
        <v/>
      </c>
      <c r="Y590" s="552" t="str">
        <f>IFERROR(
 IF($F590="Total",
   SUMPRODUCT(
   INDEX(Y:Y, ROW()-COUNTIF($F$6:INDEX($F:$F, ROW()-1), $F589)) : INDEX(Y:Y, ROW()-1),
   INDEX(AA:AA, ROW()-COUNTIF($F$6:INDEX($F:$F, ROW()-1), $F589)) : INDEX(AA:AA, ROW()-1)
   )
   /SUM(INDEX(AA:AA, ROW()-COUNTIF($F$6:INDEX($F:$F, ROW()-1), $F589)) : INDEX(AA:AA, ROW()-1)),
   AVERAGEIFS(
     INDEX((unit_details[Effective Rent],unit_details[Effective PSF]),0,1,IF($U$3="Chunk Rent",1,2)),
     unit_details[Leased Date],"&gt;="&amp;($AM$2-X$5),
     unit_details[Leased Date],"&lt;"&amp;$AM$2,
     unit_details[Beds],$L590,
     unit_details[Baths],$M590,
     unit_details[Partial Baths],IF(ISNUMBER($N590),$N590,""),
     unit_details[Sqft],$P590,
     unit_details[Property Name],$F590)
 ),"")</f>
        <v/>
      </c>
      <c r="Z590" s="27" t="str">
        <f t="shared" si="110"/>
        <v/>
      </c>
      <c r="AA590" s="526">
        <f>IFERROR(
  IF($F590="Total",
    SUM(INDEX(AA:AA, ROW()-COUNTIF($F$6:INDEX($F:$F, ROW()-1), $F589)) : INDEX(AA:AA, ROW()-1)),
    COUNTIFS(
      unit_details[Leased Date], "&gt;="&amp;($AM$2-X$5),
      unit_details[Leased Date], "&lt;"&amp;$AM$2,
      unit_details[Beds], $L590,
      unit_details[Baths], $M590,
      unit_details[Partial Baths], IF(ISNUMBER($N590), $N590, ""),
      unit_details[Sqft],$P590,
      unit_details[Property Name], $F590
    )
  ),
"")</f>
        <v>0</v>
      </c>
      <c r="AB590" s="290">
        <f>IF($F590="Total",
SUM(INDEX(AB:AB, ROW()-COUNTIF($F$6:INDEX($F:$F, ROW()-1), $F589)) : INDEX(AB:AB, ROW()-1)),
COUNTIFS(unit_details[Active Listing?],TRUE,
          unit_details[Property Name], $F590,
          unit_details[Beds], $L590,
          unit_details[Baths], $M590,
          unit_details[Partial Baths],IF(ISNUMBER($N590),$N590,""),
          unit_details[Sqft],$P590))</f>
        <v>0</v>
      </c>
      <c r="AC590" s="27" t="str">
        <f t="shared" si="102"/>
        <v/>
      </c>
      <c r="AD590" s="293" t="str">
        <f>IFERROR(IF(AE590="","",IF($F590="Total",
SUMPRODUCT(
   INDEX(AD:AD, ROW()-COUNTIF($F$6:INDEX($F:$F, ROW()-1), $F589)) : INDEX(AD:AD, ROW()-1),
   INDEX(AB:AB, ROW()-COUNTIF($F$6:INDEX($F:$F, ROW()-1), $F589)) : INDEX(AB:AB, ROW()-1)
   )
   /SUM(INDEX(AB:AB, ROW()-COUNTIF($F$6:INDEX($F:$F, ROW()-1), $F589)) : INDEX(AB:AB, ROW()-1)),
          _xlfn.MINIFS(unit_details[Asking Rent],
          unit_details[Active Listing?],TRUE,
          unit_details[Property Name], $F590,
          unit_details[Beds], $L590,
          unit_details[Baths], $M590,
          unit_details[Partial Baths], IF(ISNUMBER($N590),$N590,""),
          unit_details[Sqft],$P590
))),"")</f>
        <v/>
      </c>
      <c r="AE590" s="5" t="str">
        <f>IFERROR(IF($F590="Total",
          SUMPRODUCT(
   INDEX(AE:AE, ROW()-COUNTIF($F$6:INDEX($F:$F, ROW()-1), $F589)) : INDEX(AE:AE, ROW()-1),
   INDEX(AB:AB, ROW()-COUNTIF($F$6:INDEX($F:$F, ROW()-1), $F589)) : INDEX(AB:AB, ROW()-1)
   )
   /SUM(INDEX(AB:AB, ROW()-COUNTIF($F$6:INDEX($F:$F, ROW()-1), $F589)) : INDEX(AB:AB, ROW()-1)),
          AVERAGEIFS(unit_details[Asking Rent],
          unit_details[Active Listing?],TRUE,
          unit_details[Property Name], $F590,
          unit_details[Beds], $L590,
          unit_details[Baths], $M590,
          unit_details[Partial Baths], IF(ISNUMBER($N590),$N590,""),
          unit_details[Sqft],$P590
)),"")</f>
        <v/>
      </c>
      <c r="AF590" s="5" t="str">
        <f>IFERROR(IF(AE590="","",IF($F590="Total",
SUMPRODUCT(
   INDEX(AF:AF, ROW()-COUNTIF($F$6:INDEX($F:$F, ROW()-1), $F589)) : INDEX(AF:AF, ROW()-1),
   INDEX(AB:AB, ROW()-COUNTIF($F$6:INDEX($F:$F, ROW()-1), $F589)) : INDEX(AB:AB, ROW()-1)
   )
   /SUM(INDEX(AB:AB, ROW()-COUNTIF($F$6:INDEX($F:$F, ROW()-1), $F589)) : INDEX(AB:AB, ROW()-1)),
           _xlfn.MAXIFS(unit_details[Asking Rent],
          unit_details[Active Listing?],TRUE,
          unit_details[Property Name], $F590,
          unit_details[Beds], $L590,
          unit_details[Baths], $M590,
          unit_details[Partial Baths], IF(ISNUMBER($N590),$N590,""),
          unit_details[Sqft],$P590
))),"")</f>
        <v/>
      </c>
      <c r="AG590" s="6" t="str">
        <f>IFERROR(IF($F590="Total",
         SUMPRODUCT(
         INDEX(AG:AG, ROW()-COUNTIF($F$6:INDEX($F:$F, ROW()-1), $F589)) : INDEX(AG:AG, ROW()-1),
         INDEX(AB:AB, ROW()-COUNTIF($F$6:INDEX($F:$F, ROW()-1), $F589)) : INDEX(AB:AB, ROW()-1)
         )
         /SUM(INDEX(AB:AB, ROW()-COUNTIF($F$6:INDEX($F:$F, ROW()-1), $F589)) : INDEX(AB:AB, ROW()-1)),
          AVERAGEIFS(unit_details[Asking PSF],
          unit_details[Active Listing?],TRUE,
          unit_details[Property Name], $F590,
          unit_details[Beds], $L590,
          unit_details[Baths], $M590,
          unit_details[Partial Baths], IF(ISNUMBER($N590),$N590,""),
          unit_details[Sqft],$P590
)),"")</f>
        <v/>
      </c>
      <c r="AH590" s="293" t="str">
        <f>IFERROR(IF($F590="Total",
         SUMPRODUCT(
         INDEX(AH:AH, ROW()-COUNTIF($F$6:INDEX($F:$F, ROW()-1), $F589)) : INDEX(AH:AH, ROW()-1),
         INDEX(AB:AB, ROW()-COUNTIF($F$6:INDEX($F:$F, ROW()-1), $F589)) : INDEX(AB:AB, ROW()-1)
         )
         /SUM(INDEX(AB:AB, ROW()-COUNTIF($F$6:INDEX($F:$F, ROW()-1), $F589)) : INDEX(AB:AB, ROW()-1)),
          AVERAGEIFS(unit_details[Effective Rent],
          unit_details[Active Listing?],TRUE,
          unit_details[Property Name], $F590,
          unit_details[Beds], $L590,
          unit_details[Baths], $M590,
          unit_details[Partial Baths], IF(ISNUMBER($N590),$N590,""),
          unit_details[Sqft],$P590
)),"")</f>
        <v/>
      </c>
      <c r="AI590" s="6" t="str">
        <f>IFERROR(IF($F590="Total",
         SUMPRODUCT(
         INDEX(AI:AI, ROW()-COUNTIF($F$6:INDEX($F:$F, ROW()-1), $F589)) : INDEX(AI:AI, ROW()-1),
         INDEX(AB:AB, ROW()-COUNTIF($F$6:INDEX($F:$F, ROW()-1), $F589)) : INDEX(AB:AB, ROW()-1)
         )
         /SUM(INDEX(AB:AB, ROW()-COUNTIF($F$6:INDEX($F:$F, ROW()-1), $F589)) : INDEX(AB:AB, ROW()-1)),
           AVERAGEIFS(unit_details[Effective PSF],
          unit_details[Active Listing?],TRUE,
          unit_details[Property Name], $F590,
          unit_details[Beds], $L590,
          unit_details[Baths], $M590,
          unit_details[Partial Baths], IF(ISNUMBER($N590),$N590,""),
          unit_details[Sqft],$P590
)),"")</f>
        <v/>
      </c>
      <c r="AJ590" s="824" t="str">
        <f t="shared" si="103"/>
        <v/>
      </c>
      <c r="AK590" s="531" t="str">
        <f t="shared" si="104"/>
        <v/>
      </c>
      <c r="AL590" s="714" t="str">
        <f t="shared" si="105"/>
        <v/>
      </c>
      <c r="AM590" s="531" t="str">
        <f t="shared" si="106"/>
        <v/>
      </c>
      <c r="AN590" s="716" t="str">
        <f t="shared" si="107"/>
        <v/>
      </c>
    </row>
    <row r="591" spans="6:40" x14ac:dyDescent="0.2">
      <c r="F591" s="1" t="str">
        <f t="shared" si="100"/>
        <v/>
      </c>
      <c r="G591" s="713" t="str">
        <f t="shared" si="108"/>
        <v/>
      </c>
      <c r="H591" s="17" t="str">
        <f>IFERROR(VLOOKUP($G591,Table1[[Property]:[Exposure %]],4,0),"")</f>
        <v/>
      </c>
      <c r="I591" s="3" t="str">
        <f>IFERROR(VLOOKUP($G591,Table1[[Property]:[Exposure %]],6,0),"")</f>
        <v/>
      </c>
      <c r="J591" s="3" t="str">
        <f>IFERROR(VLOOKUP($G591,Table1[[Property]:[Exposure %]],7,0),"")</f>
        <v/>
      </c>
      <c r="R591" s="4" t="str">
        <f>IFERROR(VLOOKUP(IF(F591="Total",F590,F591),Table1[[Property]:['# Units]],7,0)*S591,"")</f>
        <v/>
      </c>
      <c r="S591" s="27" t="str">
        <f t="shared" si="101"/>
        <v/>
      </c>
      <c r="T591" s="531" t="str">
        <f>IFERROR(
 IF($F591="Total",
   SUMPRODUCT(
   INDEX(T:T, ROW()-COUNTIF($F$6:INDEX($F:$F, ROW()-1), $F590)) : INDEX(T:T, ROW()-1),
   INDEX(W:W, ROW()-COUNTIF($F$6:INDEX($F:$F, ROW()-1), $F590)) : INDEX(W:W, ROW()-1)
   )
   /SUM(INDEX(W:W, ROW()-COUNTIF($F$6:INDEX($F:$F, ROW()-1), $F590)) : INDEX(W:W, ROW()-1)),
   AVERAGEIFS(
     INDEX((unit_details[Asking Rent],unit_details[Asking PSF]),0,1,IF($U$3="Chunk Rent",1,2)),
     unit_details[Leased Date],"&gt;="&amp;($AM$2-T$5),
     unit_details[Leased Date],"&lt;"&amp;$AM$2,
     unit_details[Beds],$L591,
     unit_details[Baths],$M591,
     unit_details[Partial Baths],IF(ISNUMBER($N591),$N591,""),
     unit_details[Sqft],$P591,
     unit_details[Property Name],$F591)
 ),"")</f>
        <v/>
      </c>
      <c r="U591" s="552" t="str">
        <f>IFERROR(
 IF($F591="Total",
   SUMPRODUCT(
   INDEX(U:U, ROW()-COUNTIF($F$6:INDEX($F:$F, ROW()-1), $F590)) : INDEX(U:U, ROW()-1),
   INDEX(W:W, ROW()-COUNTIF($F$6:INDEX($F:$F, ROW()-1), $F590)) : INDEX(W:W, ROW()-1)
   )
   /SUM(INDEX(W:W, ROW()-COUNTIF($F$6:INDEX($F:$F, ROW()-1), $F590)) : INDEX(W:W, ROW()-1)),
   AVERAGEIFS(
     INDEX((unit_details[Effective Rent],unit_details[Effective PSF]),0,1,IF($U$3="Chunk Rent",1,2)),
     unit_details[Leased Date],"&gt;="&amp;($AM$2-T$5),
     unit_details[Leased Date],"&lt;"&amp;$AM$2,
     unit_details[Beds],$L591,
     unit_details[Baths],$M591,
     unit_details[Partial Baths],IF(ISNUMBER($N591),$N591,""),
     unit_details[Sqft],$P591,
     unit_details[Property Name],$F591)
 ),"")</f>
        <v/>
      </c>
      <c r="V591" s="27" t="str">
        <f t="shared" si="109"/>
        <v/>
      </c>
      <c r="W591" s="526">
        <f>IFERROR(
  IF($F591="Total",
    SUM(INDEX(W:W, ROW()-COUNTIF($F$6:INDEX($F:$F, ROW()-1), $F590)) : INDEX(W:W, ROW()-1)),
    COUNTIFS(
      unit_details[Leased Date], "&gt;="&amp;($AM$2-T$5),
      unit_details[Leased Date], "&lt;"&amp;$AM$2,
      unit_details[Beds], $L591,
      unit_details[Baths], $M591,
      unit_details[Partial Baths], IF(ISNUMBER($N591), $N591, ""),
      unit_details[Sqft],$P591,
      unit_details[Property Name], $F591
    )
  ),
"")</f>
        <v>0</v>
      </c>
      <c r="X591" s="531" t="str">
        <f>IFERROR(
 IF($F591="Total",
   SUMPRODUCT(
   INDEX(X:X, ROW()-COUNTIF($F$6:INDEX($F:$F, ROW()-1), $F590)) : INDEX(X:X, ROW()-1),
   INDEX(AA:AA, ROW()-COUNTIF($F$6:INDEX($F:$F, ROW()-1), $F590)) : INDEX(AA:AA, ROW()-1)
   )
   /SUM(INDEX(AA:AA, ROW()-COUNTIF($F$6:INDEX($F:$F, ROW()-1), $F590)) : INDEX(AA:AA, ROW()-1)),
   AVERAGEIFS(
     INDEX((unit_details[Asking Rent],unit_details[Asking PSF]),0,1,IF($U$3="Chunk Rent",1,2)),
     unit_details[Leased Date],"&gt;="&amp;($AM$2-X$5),
     unit_details[Leased Date],"&lt;"&amp;$AM$2,
     unit_details[Beds],$L591,
     unit_details[Baths],$M591,
     unit_details[Partial Baths],IF(ISNUMBER($N591),$N591,""),
     unit_details[Sqft],$P591,
     unit_details[Property Name],$F591)
 ),"")</f>
        <v/>
      </c>
      <c r="Y591" s="552" t="str">
        <f>IFERROR(
 IF($F591="Total",
   SUMPRODUCT(
   INDEX(Y:Y, ROW()-COUNTIF($F$6:INDEX($F:$F, ROW()-1), $F590)) : INDEX(Y:Y, ROW()-1),
   INDEX(AA:AA, ROW()-COUNTIF($F$6:INDEX($F:$F, ROW()-1), $F590)) : INDEX(AA:AA, ROW()-1)
   )
   /SUM(INDEX(AA:AA, ROW()-COUNTIF($F$6:INDEX($F:$F, ROW()-1), $F590)) : INDEX(AA:AA, ROW()-1)),
   AVERAGEIFS(
     INDEX((unit_details[Effective Rent],unit_details[Effective PSF]),0,1,IF($U$3="Chunk Rent",1,2)),
     unit_details[Leased Date],"&gt;="&amp;($AM$2-X$5),
     unit_details[Leased Date],"&lt;"&amp;$AM$2,
     unit_details[Beds],$L591,
     unit_details[Baths],$M591,
     unit_details[Partial Baths],IF(ISNUMBER($N591),$N591,""),
     unit_details[Sqft],$P591,
     unit_details[Property Name],$F591)
 ),"")</f>
        <v/>
      </c>
      <c r="Z591" s="27" t="str">
        <f t="shared" si="110"/>
        <v/>
      </c>
      <c r="AA591" s="526">
        <f>IFERROR(
  IF($F591="Total",
    SUM(INDEX(AA:AA, ROW()-COUNTIF($F$6:INDEX($F:$F, ROW()-1), $F590)) : INDEX(AA:AA, ROW()-1)),
    COUNTIFS(
      unit_details[Leased Date], "&gt;="&amp;($AM$2-X$5),
      unit_details[Leased Date], "&lt;"&amp;$AM$2,
      unit_details[Beds], $L591,
      unit_details[Baths], $M591,
      unit_details[Partial Baths], IF(ISNUMBER($N591), $N591, ""),
      unit_details[Sqft],$P591,
      unit_details[Property Name], $F591
    )
  ),
"")</f>
        <v>0</v>
      </c>
      <c r="AB591" s="290">
        <f>IF($F591="Total",
SUM(INDEX(AB:AB, ROW()-COUNTIF($F$6:INDEX($F:$F, ROW()-1), $F590)) : INDEX(AB:AB, ROW()-1)),
COUNTIFS(unit_details[Active Listing?],TRUE,
          unit_details[Property Name], $F591,
          unit_details[Beds], $L591,
          unit_details[Baths], $M591,
          unit_details[Partial Baths],IF(ISNUMBER($N591),$N591,""),
          unit_details[Sqft],$P591))</f>
        <v>0</v>
      </c>
      <c r="AC591" s="27" t="str">
        <f t="shared" si="102"/>
        <v/>
      </c>
      <c r="AD591" s="293" t="str">
        <f>IFERROR(IF(AE591="","",IF($F591="Total",
SUMPRODUCT(
   INDEX(AD:AD, ROW()-COUNTIF($F$6:INDEX($F:$F, ROW()-1), $F590)) : INDEX(AD:AD, ROW()-1),
   INDEX(AB:AB, ROW()-COUNTIF($F$6:INDEX($F:$F, ROW()-1), $F590)) : INDEX(AB:AB, ROW()-1)
   )
   /SUM(INDEX(AB:AB, ROW()-COUNTIF($F$6:INDEX($F:$F, ROW()-1), $F590)) : INDEX(AB:AB, ROW()-1)),
          _xlfn.MINIFS(unit_details[Asking Rent],
          unit_details[Active Listing?],TRUE,
          unit_details[Property Name], $F591,
          unit_details[Beds], $L591,
          unit_details[Baths], $M591,
          unit_details[Partial Baths], IF(ISNUMBER($N591),$N591,""),
          unit_details[Sqft],$P591
))),"")</f>
        <v/>
      </c>
      <c r="AE591" s="5" t="str">
        <f>IFERROR(IF($F591="Total",
          SUMPRODUCT(
   INDEX(AE:AE, ROW()-COUNTIF($F$6:INDEX($F:$F, ROW()-1), $F590)) : INDEX(AE:AE, ROW()-1),
   INDEX(AB:AB, ROW()-COUNTIF($F$6:INDEX($F:$F, ROW()-1), $F590)) : INDEX(AB:AB, ROW()-1)
   )
   /SUM(INDEX(AB:AB, ROW()-COUNTIF($F$6:INDEX($F:$F, ROW()-1), $F590)) : INDEX(AB:AB, ROW()-1)),
          AVERAGEIFS(unit_details[Asking Rent],
          unit_details[Active Listing?],TRUE,
          unit_details[Property Name], $F591,
          unit_details[Beds], $L591,
          unit_details[Baths], $M591,
          unit_details[Partial Baths], IF(ISNUMBER($N591),$N591,""),
          unit_details[Sqft],$P591
)),"")</f>
        <v/>
      </c>
      <c r="AF591" s="5" t="str">
        <f>IFERROR(IF(AE591="","",IF($F591="Total",
SUMPRODUCT(
   INDEX(AF:AF, ROW()-COUNTIF($F$6:INDEX($F:$F, ROW()-1), $F590)) : INDEX(AF:AF, ROW()-1),
   INDEX(AB:AB, ROW()-COUNTIF($F$6:INDEX($F:$F, ROW()-1), $F590)) : INDEX(AB:AB, ROW()-1)
   )
   /SUM(INDEX(AB:AB, ROW()-COUNTIF($F$6:INDEX($F:$F, ROW()-1), $F590)) : INDEX(AB:AB, ROW()-1)),
           _xlfn.MAXIFS(unit_details[Asking Rent],
          unit_details[Active Listing?],TRUE,
          unit_details[Property Name], $F591,
          unit_details[Beds], $L591,
          unit_details[Baths], $M591,
          unit_details[Partial Baths], IF(ISNUMBER($N591),$N591,""),
          unit_details[Sqft],$P591
))),"")</f>
        <v/>
      </c>
      <c r="AG591" s="6" t="str">
        <f>IFERROR(IF($F591="Total",
         SUMPRODUCT(
         INDEX(AG:AG, ROW()-COUNTIF($F$6:INDEX($F:$F, ROW()-1), $F590)) : INDEX(AG:AG, ROW()-1),
         INDEX(AB:AB, ROW()-COUNTIF($F$6:INDEX($F:$F, ROW()-1), $F590)) : INDEX(AB:AB, ROW()-1)
         )
         /SUM(INDEX(AB:AB, ROW()-COUNTIF($F$6:INDEX($F:$F, ROW()-1), $F590)) : INDEX(AB:AB, ROW()-1)),
          AVERAGEIFS(unit_details[Asking PSF],
          unit_details[Active Listing?],TRUE,
          unit_details[Property Name], $F591,
          unit_details[Beds], $L591,
          unit_details[Baths], $M591,
          unit_details[Partial Baths], IF(ISNUMBER($N591),$N591,""),
          unit_details[Sqft],$P591
)),"")</f>
        <v/>
      </c>
      <c r="AH591" s="293" t="str">
        <f>IFERROR(IF($F591="Total",
         SUMPRODUCT(
         INDEX(AH:AH, ROW()-COUNTIF($F$6:INDEX($F:$F, ROW()-1), $F590)) : INDEX(AH:AH, ROW()-1),
         INDEX(AB:AB, ROW()-COUNTIF($F$6:INDEX($F:$F, ROW()-1), $F590)) : INDEX(AB:AB, ROW()-1)
         )
         /SUM(INDEX(AB:AB, ROW()-COUNTIF($F$6:INDEX($F:$F, ROW()-1), $F590)) : INDEX(AB:AB, ROW()-1)),
          AVERAGEIFS(unit_details[Effective Rent],
          unit_details[Active Listing?],TRUE,
          unit_details[Property Name], $F591,
          unit_details[Beds], $L591,
          unit_details[Baths], $M591,
          unit_details[Partial Baths], IF(ISNUMBER($N591),$N591,""),
          unit_details[Sqft],$P591
)),"")</f>
        <v/>
      </c>
      <c r="AI591" s="6" t="str">
        <f>IFERROR(IF($F591="Total",
         SUMPRODUCT(
         INDEX(AI:AI, ROW()-COUNTIF($F$6:INDEX($F:$F, ROW()-1), $F590)) : INDEX(AI:AI, ROW()-1),
         INDEX(AB:AB, ROW()-COUNTIF($F$6:INDEX($F:$F, ROW()-1), $F590)) : INDEX(AB:AB, ROW()-1)
         )
         /SUM(INDEX(AB:AB, ROW()-COUNTIF($F$6:INDEX($F:$F, ROW()-1), $F590)) : INDEX(AB:AB, ROW()-1)),
           AVERAGEIFS(unit_details[Effective PSF],
          unit_details[Active Listing?],TRUE,
          unit_details[Property Name], $F591,
          unit_details[Beds], $L591,
          unit_details[Baths], $M591,
          unit_details[Partial Baths], IF(ISNUMBER($N591),$N591,""),
          unit_details[Sqft],$P591
)),"")</f>
        <v/>
      </c>
      <c r="AJ591" s="824" t="str">
        <f t="shared" si="103"/>
        <v/>
      </c>
      <c r="AK591" s="531" t="str">
        <f t="shared" si="104"/>
        <v/>
      </c>
      <c r="AL591" s="714" t="str">
        <f t="shared" si="105"/>
        <v/>
      </c>
      <c r="AM591" s="531" t="str">
        <f t="shared" si="106"/>
        <v/>
      </c>
      <c r="AN591" s="716" t="str">
        <f t="shared" si="107"/>
        <v/>
      </c>
    </row>
    <row r="592" spans="6:40" x14ac:dyDescent="0.2">
      <c r="F592" s="1" t="str">
        <f t="shared" si="100"/>
        <v/>
      </c>
      <c r="G592" s="713" t="str">
        <f t="shared" si="108"/>
        <v/>
      </c>
      <c r="H592" s="17" t="str">
        <f>IFERROR(VLOOKUP($G592,Table1[[Property]:[Exposure %]],4,0),"")</f>
        <v/>
      </c>
      <c r="I592" s="3" t="str">
        <f>IFERROR(VLOOKUP($G592,Table1[[Property]:[Exposure %]],6,0),"")</f>
        <v/>
      </c>
      <c r="J592" s="3" t="str">
        <f>IFERROR(VLOOKUP($G592,Table1[[Property]:[Exposure %]],7,0),"")</f>
        <v/>
      </c>
      <c r="R592" s="4" t="str">
        <f>IFERROR(VLOOKUP(IF(F592="Total",F591,F592),Table1[[Property]:['# Units]],7,0)*S592,"")</f>
        <v/>
      </c>
      <c r="S592" s="27" t="str">
        <f t="shared" si="101"/>
        <v/>
      </c>
      <c r="T592" s="531" t="str">
        <f>IFERROR(
 IF($F592="Total",
   SUMPRODUCT(
   INDEX(T:T, ROW()-COUNTIF($F$6:INDEX($F:$F, ROW()-1), $F591)) : INDEX(T:T, ROW()-1),
   INDEX(W:W, ROW()-COUNTIF($F$6:INDEX($F:$F, ROW()-1), $F591)) : INDEX(W:W, ROW()-1)
   )
   /SUM(INDEX(W:W, ROW()-COUNTIF($F$6:INDEX($F:$F, ROW()-1), $F591)) : INDEX(W:W, ROW()-1)),
   AVERAGEIFS(
     INDEX((unit_details[Asking Rent],unit_details[Asking PSF]),0,1,IF($U$3="Chunk Rent",1,2)),
     unit_details[Leased Date],"&gt;="&amp;($AM$2-T$5),
     unit_details[Leased Date],"&lt;"&amp;$AM$2,
     unit_details[Beds],$L592,
     unit_details[Baths],$M592,
     unit_details[Partial Baths],IF(ISNUMBER($N592),$N592,""),
     unit_details[Sqft],$P592,
     unit_details[Property Name],$F592)
 ),"")</f>
        <v/>
      </c>
      <c r="U592" s="552" t="str">
        <f>IFERROR(
 IF($F592="Total",
   SUMPRODUCT(
   INDEX(U:U, ROW()-COUNTIF($F$6:INDEX($F:$F, ROW()-1), $F591)) : INDEX(U:U, ROW()-1),
   INDEX(W:W, ROW()-COUNTIF($F$6:INDEX($F:$F, ROW()-1), $F591)) : INDEX(W:W, ROW()-1)
   )
   /SUM(INDEX(W:W, ROW()-COUNTIF($F$6:INDEX($F:$F, ROW()-1), $F591)) : INDEX(W:W, ROW()-1)),
   AVERAGEIFS(
     INDEX((unit_details[Effective Rent],unit_details[Effective PSF]),0,1,IF($U$3="Chunk Rent",1,2)),
     unit_details[Leased Date],"&gt;="&amp;($AM$2-T$5),
     unit_details[Leased Date],"&lt;"&amp;$AM$2,
     unit_details[Beds],$L592,
     unit_details[Baths],$M592,
     unit_details[Partial Baths],IF(ISNUMBER($N592),$N592,""),
     unit_details[Sqft],$P592,
     unit_details[Property Name],$F592)
 ),"")</f>
        <v/>
      </c>
      <c r="V592" s="27" t="str">
        <f t="shared" si="109"/>
        <v/>
      </c>
      <c r="W592" s="526">
        <f>IFERROR(
  IF($F592="Total",
    SUM(INDEX(W:W, ROW()-COUNTIF($F$6:INDEX($F:$F, ROW()-1), $F591)) : INDEX(W:W, ROW()-1)),
    COUNTIFS(
      unit_details[Leased Date], "&gt;="&amp;($AM$2-T$5),
      unit_details[Leased Date], "&lt;"&amp;$AM$2,
      unit_details[Beds], $L592,
      unit_details[Baths], $M592,
      unit_details[Partial Baths], IF(ISNUMBER($N592), $N592, ""),
      unit_details[Sqft],$P592,
      unit_details[Property Name], $F592
    )
  ),
"")</f>
        <v>0</v>
      </c>
      <c r="X592" s="531" t="str">
        <f>IFERROR(
 IF($F592="Total",
   SUMPRODUCT(
   INDEX(X:X, ROW()-COUNTIF($F$6:INDEX($F:$F, ROW()-1), $F591)) : INDEX(X:X, ROW()-1),
   INDEX(AA:AA, ROW()-COUNTIF($F$6:INDEX($F:$F, ROW()-1), $F591)) : INDEX(AA:AA, ROW()-1)
   )
   /SUM(INDEX(AA:AA, ROW()-COUNTIF($F$6:INDEX($F:$F, ROW()-1), $F591)) : INDEX(AA:AA, ROW()-1)),
   AVERAGEIFS(
     INDEX((unit_details[Asking Rent],unit_details[Asking PSF]),0,1,IF($U$3="Chunk Rent",1,2)),
     unit_details[Leased Date],"&gt;="&amp;($AM$2-X$5),
     unit_details[Leased Date],"&lt;"&amp;$AM$2,
     unit_details[Beds],$L592,
     unit_details[Baths],$M592,
     unit_details[Partial Baths],IF(ISNUMBER($N592),$N592,""),
     unit_details[Sqft],$P592,
     unit_details[Property Name],$F592)
 ),"")</f>
        <v/>
      </c>
      <c r="Y592" s="552" t="str">
        <f>IFERROR(
 IF($F592="Total",
   SUMPRODUCT(
   INDEX(Y:Y, ROW()-COUNTIF($F$6:INDEX($F:$F, ROW()-1), $F591)) : INDEX(Y:Y, ROW()-1),
   INDEX(AA:AA, ROW()-COUNTIF($F$6:INDEX($F:$F, ROW()-1), $F591)) : INDEX(AA:AA, ROW()-1)
   )
   /SUM(INDEX(AA:AA, ROW()-COUNTIF($F$6:INDEX($F:$F, ROW()-1), $F591)) : INDEX(AA:AA, ROW()-1)),
   AVERAGEIFS(
     INDEX((unit_details[Effective Rent],unit_details[Effective PSF]),0,1,IF($U$3="Chunk Rent",1,2)),
     unit_details[Leased Date],"&gt;="&amp;($AM$2-X$5),
     unit_details[Leased Date],"&lt;"&amp;$AM$2,
     unit_details[Beds],$L592,
     unit_details[Baths],$M592,
     unit_details[Partial Baths],IF(ISNUMBER($N592),$N592,""),
     unit_details[Sqft],$P592,
     unit_details[Property Name],$F592)
 ),"")</f>
        <v/>
      </c>
      <c r="Z592" s="27" t="str">
        <f t="shared" si="110"/>
        <v/>
      </c>
      <c r="AA592" s="526">
        <f>IFERROR(
  IF($F592="Total",
    SUM(INDEX(AA:AA, ROW()-COUNTIF($F$6:INDEX($F:$F, ROW()-1), $F591)) : INDEX(AA:AA, ROW()-1)),
    COUNTIFS(
      unit_details[Leased Date], "&gt;="&amp;($AM$2-X$5),
      unit_details[Leased Date], "&lt;"&amp;$AM$2,
      unit_details[Beds], $L592,
      unit_details[Baths], $M592,
      unit_details[Partial Baths], IF(ISNUMBER($N592), $N592, ""),
      unit_details[Sqft],$P592,
      unit_details[Property Name], $F592
    )
  ),
"")</f>
        <v>0</v>
      </c>
      <c r="AB592" s="290">
        <f>IF($F592="Total",
SUM(INDEX(AB:AB, ROW()-COUNTIF($F$6:INDEX($F:$F, ROW()-1), $F591)) : INDEX(AB:AB, ROW()-1)),
COUNTIFS(unit_details[Active Listing?],TRUE,
          unit_details[Property Name], $F592,
          unit_details[Beds], $L592,
          unit_details[Baths], $M592,
          unit_details[Partial Baths],IF(ISNUMBER($N592),$N592,""),
          unit_details[Sqft],$P592))</f>
        <v>0</v>
      </c>
      <c r="AC592" s="27" t="str">
        <f t="shared" si="102"/>
        <v/>
      </c>
      <c r="AD592" s="293" t="str">
        <f>IFERROR(IF(AE592="","",IF($F592="Total",
SUMPRODUCT(
   INDEX(AD:AD, ROW()-COUNTIF($F$6:INDEX($F:$F, ROW()-1), $F591)) : INDEX(AD:AD, ROW()-1),
   INDEX(AB:AB, ROW()-COUNTIF($F$6:INDEX($F:$F, ROW()-1), $F591)) : INDEX(AB:AB, ROW()-1)
   )
   /SUM(INDEX(AB:AB, ROW()-COUNTIF($F$6:INDEX($F:$F, ROW()-1), $F591)) : INDEX(AB:AB, ROW()-1)),
          _xlfn.MINIFS(unit_details[Asking Rent],
          unit_details[Active Listing?],TRUE,
          unit_details[Property Name], $F592,
          unit_details[Beds], $L592,
          unit_details[Baths], $M592,
          unit_details[Partial Baths], IF(ISNUMBER($N592),$N592,""),
          unit_details[Sqft],$P592
))),"")</f>
        <v/>
      </c>
      <c r="AE592" s="5" t="str">
        <f>IFERROR(IF($F592="Total",
          SUMPRODUCT(
   INDEX(AE:AE, ROW()-COUNTIF($F$6:INDEX($F:$F, ROW()-1), $F591)) : INDEX(AE:AE, ROW()-1),
   INDEX(AB:AB, ROW()-COUNTIF($F$6:INDEX($F:$F, ROW()-1), $F591)) : INDEX(AB:AB, ROW()-1)
   )
   /SUM(INDEX(AB:AB, ROW()-COUNTIF($F$6:INDEX($F:$F, ROW()-1), $F591)) : INDEX(AB:AB, ROW()-1)),
          AVERAGEIFS(unit_details[Asking Rent],
          unit_details[Active Listing?],TRUE,
          unit_details[Property Name], $F592,
          unit_details[Beds], $L592,
          unit_details[Baths], $M592,
          unit_details[Partial Baths], IF(ISNUMBER($N592),$N592,""),
          unit_details[Sqft],$P592
)),"")</f>
        <v/>
      </c>
      <c r="AF592" s="5" t="str">
        <f>IFERROR(IF(AE592="","",IF($F592="Total",
SUMPRODUCT(
   INDEX(AF:AF, ROW()-COUNTIF($F$6:INDEX($F:$F, ROW()-1), $F591)) : INDEX(AF:AF, ROW()-1),
   INDEX(AB:AB, ROW()-COUNTIF($F$6:INDEX($F:$F, ROW()-1), $F591)) : INDEX(AB:AB, ROW()-1)
   )
   /SUM(INDEX(AB:AB, ROW()-COUNTIF($F$6:INDEX($F:$F, ROW()-1), $F591)) : INDEX(AB:AB, ROW()-1)),
           _xlfn.MAXIFS(unit_details[Asking Rent],
          unit_details[Active Listing?],TRUE,
          unit_details[Property Name], $F592,
          unit_details[Beds], $L592,
          unit_details[Baths], $M592,
          unit_details[Partial Baths], IF(ISNUMBER($N592),$N592,""),
          unit_details[Sqft],$P592
))),"")</f>
        <v/>
      </c>
      <c r="AG592" s="6" t="str">
        <f>IFERROR(IF($F592="Total",
         SUMPRODUCT(
         INDEX(AG:AG, ROW()-COUNTIF($F$6:INDEX($F:$F, ROW()-1), $F591)) : INDEX(AG:AG, ROW()-1),
         INDEX(AB:AB, ROW()-COUNTIF($F$6:INDEX($F:$F, ROW()-1), $F591)) : INDEX(AB:AB, ROW()-1)
         )
         /SUM(INDEX(AB:AB, ROW()-COUNTIF($F$6:INDEX($F:$F, ROW()-1), $F591)) : INDEX(AB:AB, ROW()-1)),
          AVERAGEIFS(unit_details[Asking PSF],
          unit_details[Active Listing?],TRUE,
          unit_details[Property Name], $F592,
          unit_details[Beds], $L592,
          unit_details[Baths], $M592,
          unit_details[Partial Baths], IF(ISNUMBER($N592),$N592,""),
          unit_details[Sqft],$P592
)),"")</f>
        <v/>
      </c>
      <c r="AH592" s="293" t="str">
        <f>IFERROR(IF($F592="Total",
         SUMPRODUCT(
         INDEX(AH:AH, ROW()-COUNTIF($F$6:INDEX($F:$F, ROW()-1), $F591)) : INDEX(AH:AH, ROW()-1),
         INDEX(AB:AB, ROW()-COUNTIF($F$6:INDEX($F:$F, ROW()-1), $F591)) : INDEX(AB:AB, ROW()-1)
         )
         /SUM(INDEX(AB:AB, ROW()-COUNTIF($F$6:INDEX($F:$F, ROW()-1), $F591)) : INDEX(AB:AB, ROW()-1)),
          AVERAGEIFS(unit_details[Effective Rent],
          unit_details[Active Listing?],TRUE,
          unit_details[Property Name], $F592,
          unit_details[Beds], $L592,
          unit_details[Baths], $M592,
          unit_details[Partial Baths], IF(ISNUMBER($N592),$N592,""),
          unit_details[Sqft],$P592
)),"")</f>
        <v/>
      </c>
      <c r="AI592" s="6" t="str">
        <f>IFERROR(IF($F592="Total",
         SUMPRODUCT(
         INDEX(AI:AI, ROW()-COUNTIF($F$6:INDEX($F:$F, ROW()-1), $F591)) : INDEX(AI:AI, ROW()-1),
         INDEX(AB:AB, ROW()-COUNTIF($F$6:INDEX($F:$F, ROW()-1), $F591)) : INDEX(AB:AB, ROW()-1)
         )
         /SUM(INDEX(AB:AB, ROW()-COUNTIF($F$6:INDEX($F:$F, ROW()-1), $F591)) : INDEX(AB:AB, ROW()-1)),
           AVERAGEIFS(unit_details[Effective PSF],
          unit_details[Active Listing?],TRUE,
          unit_details[Property Name], $F592,
          unit_details[Beds], $L592,
          unit_details[Baths], $M592,
          unit_details[Partial Baths], IF(ISNUMBER($N592),$N592,""),
          unit_details[Sqft],$P592
)),"")</f>
        <v/>
      </c>
      <c r="AJ592" s="824" t="str">
        <f t="shared" si="103"/>
        <v/>
      </c>
      <c r="AK592" s="531" t="str">
        <f t="shared" si="104"/>
        <v/>
      </c>
      <c r="AL592" s="714" t="str">
        <f t="shared" si="105"/>
        <v/>
      </c>
      <c r="AM592" s="531" t="str">
        <f t="shared" si="106"/>
        <v/>
      </c>
      <c r="AN592" s="716" t="str">
        <f t="shared" si="107"/>
        <v/>
      </c>
    </row>
    <row r="593" spans="6:40" x14ac:dyDescent="0.2">
      <c r="F593" s="1" t="str">
        <f t="shared" si="100"/>
        <v/>
      </c>
      <c r="G593" s="713" t="str">
        <f t="shared" si="108"/>
        <v/>
      </c>
      <c r="H593" s="17" t="str">
        <f>IFERROR(VLOOKUP($G593,Table1[[Property]:[Exposure %]],4,0),"")</f>
        <v/>
      </c>
      <c r="I593" s="3" t="str">
        <f>IFERROR(VLOOKUP($G593,Table1[[Property]:[Exposure %]],6,0),"")</f>
        <v/>
      </c>
      <c r="J593" s="3" t="str">
        <f>IFERROR(VLOOKUP($G593,Table1[[Property]:[Exposure %]],7,0),"")</f>
        <v/>
      </c>
      <c r="R593" s="4" t="str">
        <f>IFERROR(VLOOKUP(IF(F593="Total",F592,F593),Table1[[Property]:['# Units]],7,0)*S593,"")</f>
        <v/>
      </c>
      <c r="S593" s="27" t="str">
        <f t="shared" si="101"/>
        <v/>
      </c>
      <c r="T593" s="531" t="str">
        <f>IFERROR(
 IF($F593="Total",
   SUMPRODUCT(
   INDEX(T:T, ROW()-COUNTIF($F$6:INDEX($F:$F, ROW()-1), $F592)) : INDEX(T:T, ROW()-1),
   INDEX(W:W, ROW()-COUNTIF($F$6:INDEX($F:$F, ROW()-1), $F592)) : INDEX(W:W, ROW()-1)
   )
   /SUM(INDEX(W:W, ROW()-COUNTIF($F$6:INDEX($F:$F, ROW()-1), $F592)) : INDEX(W:W, ROW()-1)),
   AVERAGEIFS(
     INDEX((unit_details[Asking Rent],unit_details[Asking PSF]),0,1,IF($U$3="Chunk Rent",1,2)),
     unit_details[Leased Date],"&gt;="&amp;($AM$2-T$5),
     unit_details[Leased Date],"&lt;"&amp;$AM$2,
     unit_details[Beds],$L593,
     unit_details[Baths],$M593,
     unit_details[Partial Baths],IF(ISNUMBER($N593),$N593,""),
     unit_details[Sqft],$P593,
     unit_details[Property Name],$F593)
 ),"")</f>
        <v/>
      </c>
      <c r="U593" s="552" t="str">
        <f>IFERROR(
 IF($F593="Total",
   SUMPRODUCT(
   INDEX(U:U, ROW()-COUNTIF($F$6:INDEX($F:$F, ROW()-1), $F592)) : INDEX(U:U, ROW()-1),
   INDEX(W:W, ROW()-COUNTIF($F$6:INDEX($F:$F, ROW()-1), $F592)) : INDEX(W:W, ROW()-1)
   )
   /SUM(INDEX(W:W, ROW()-COUNTIF($F$6:INDEX($F:$F, ROW()-1), $F592)) : INDEX(W:W, ROW()-1)),
   AVERAGEIFS(
     INDEX((unit_details[Effective Rent],unit_details[Effective PSF]),0,1,IF($U$3="Chunk Rent",1,2)),
     unit_details[Leased Date],"&gt;="&amp;($AM$2-T$5),
     unit_details[Leased Date],"&lt;"&amp;$AM$2,
     unit_details[Beds],$L593,
     unit_details[Baths],$M593,
     unit_details[Partial Baths],IF(ISNUMBER($N593),$N593,""),
     unit_details[Sqft],$P593,
     unit_details[Property Name],$F593)
 ),"")</f>
        <v/>
      </c>
      <c r="V593" s="27" t="str">
        <f t="shared" si="109"/>
        <v/>
      </c>
      <c r="W593" s="526">
        <f>IFERROR(
  IF($F593="Total",
    SUM(INDEX(W:W, ROW()-COUNTIF($F$6:INDEX($F:$F, ROW()-1), $F592)) : INDEX(W:W, ROW()-1)),
    COUNTIFS(
      unit_details[Leased Date], "&gt;="&amp;($AM$2-T$5),
      unit_details[Leased Date], "&lt;"&amp;$AM$2,
      unit_details[Beds], $L593,
      unit_details[Baths], $M593,
      unit_details[Partial Baths], IF(ISNUMBER($N593), $N593, ""),
      unit_details[Sqft],$P593,
      unit_details[Property Name], $F593
    )
  ),
"")</f>
        <v>0</v>
      </c>
      <c r="X593" s="531" t="str">
        <f>IFERROR(
 IF($F593="Total",
   SUMPRODUCT(
   INDEX(X:X, ROW()-COUNTIF($F$6:INDEX($F:$F, ROW()-1), $F592)) : INDEX(X:X, ROW()-1),
   INDEX(AA:AA, ROW()-COUNTIF($F$6:INDEX($F:$F, ROW()-1), $F592)) : INDEX(AA:AA, ROW()-1)
   )
   /SUM(INDEX(AA:AA, ROW()-COUNTIF($F$6:INDEX($F:$F, ROW()-1), $F592)) : INDEX(AA:AA, ROW()-1)),
   AVERAGEIFS(
     INDEX((unit_details[Asking Rent],unit_details[Asking PSF]),0,1,IF($U$3="Chunk Rent",1,2)),
     unit_details[Leased Date],"&gt;="&amp;($AM$2-X$5),
     unit_details[Leased Date],"&lt;"&amp;$AM$2,
     unit_details[Beds],$L593,
     unit_details[Baths],$M593,
     unit_details[Partial Baths],IF(ISNUMBER($N593),$N593,""),
     unit_details[Sqft],$P593,
     unit_details[Property Name],$F593)
 ),"")</f>
        <v/>
      </c>
      <c r="Y593" s="552" t="str">
        <f>IFERROR(
 IF($F593="Total",
   SUMPRODUCT(
   INDEX(Y:Y, ROW()-COUNTIF($F$6:INDEX($F:$F, ROW()-1), $F592)) : INDEX(Y:Y, ROW()-1),
   INDEX(AA:AA, ROW()-COUNTIF($F$6:INDEX($F:$F, ROW()-1), $F592)) : INDEX(AA:AA, ROW()-1)
   )
   /SUM(INDEX(AA:AA, ROW()-COUNTIF($F$6:INDEX($F:$F, ROW()-1), $F592)) : INDEX(AA:AA, ROW()-1)),
   AVERAGEIFS(
     INDEX((unit_details[Effective Rent],unit_details[Effective PSF]),0,1,IF($U$3="Chunk Rent",1,2)),
     unit_details[Leased Date],"&gt;="&amp;($AM$2-X$5),
     unit_details[Leased Date],"&lt;"&amp;$AM$2,
     unit_details[Beds],$L593,
     unit_details[Baths],$M593,
     unit_details[Partial Baths],IF(ISNUMBER($N593),$N593,""),
     unit_details[Sqft],$P593,
     unit_details[Property Name],$F593)
 ),"")</f>
        <v/>
      </c>
      <c r="Z593" s="27" t="str">
        <f t="shared" si="110"/>
        <v/>
      </c>
      <c r="AA593" s="526">
        <f>IFERROR(
  IF($F593="Total",
    SUM(INDEX(AA:AA, ROW()-COUNTIF($F$6:INDEX($F:$F, ROW()-1), $F592)) : INDEX(AA:AA, ROW()-1)),
    COUNTIFS(
      unit_details[Leased Date], "&gt;="&amp;($AM$2-X$5),
      unit_details[Leased Date], "&lt;"&amp;$AM$2,
      unit_details[Beds], $L593,
      unit_details[Baths], $M593,
      unit_details[Partial Baths], IF(ISNUMBER($N593), $N593, ""),
      unit_details[Sqft],$P593,
      unit_details[Property Name], $F593
    )
  ),
"")</f>
        <v>0</v>
      </c>
      <c r="AB593" s="290">
        <f>IF($F593="Total",
SUM(INDEX(AB:AB, ROW()-COUNTIF($F$6:INDEX($F:$F, ROW()-1), $F592)) : INDEX(AB:AB, ROW()-1)),
COUNTIFS(unit_details[Active Listing?],TRUE,
          unit_details[Property Name], $F593,
          unit_details[Beds], $L593,
          unit_details[Baths], $M593,
          unit_details[Partial Baths],IF(ISNUMBER($N593),$N593,""),
          unit_details[Sqft],$P593))</f>
        <v>0</v>
      </c>
      <c r="AC593" s="27" t="str">
        <f t="shared" si="102"/>
        <v/>
      </c>
      <c r="AD593" s="293" t="str">
        <f>IFERROR(IF(AE593="","",IF($F593="Total",
SUMPRODUCT(
   INDEX(AD:AD, ROW()-COUNTIF($F$6:INDEX($F:$F, ROW()-1), $F592)) : INDEX(AD:AD, ROW()-1),
   INDEX(AB:AB, ROW()-COUNTIF($F$6:INDEX($F:$F, ROW()-1), $F592)) : INDEX(AB:AB, ROW()-1)
   )
   /SUM(INDEX(AB:AB, ROW()-COUNTIF($F$6:INDEX($F:$F, ROW()-1), $F592)) : INDEX(AB:AB, ROW()-1)),
          _xlfn.MINIFS(unit_details[Asking Rent],
          unit_details[Active Listing?],TRUE,
          unit_details[Property Name], $F593,
          unit_details[Beds], $L593,
          unit_details[Baths], $M593,
          unit_details[Partial Baths], IF(ISNUMBER($N593),$N593,""),
          unit_details[Sqft],$P593
))),"")</f>
        <v/>
      </c>
      <c r="AE593" s="5" t="str">
        <f>IFERROR(IF($F593="Total",
          SUMPRODUCT(
   INDEX(AE:AE, ROW()-COUNTIF($F$6:INDEX($F:$F, ROW()-1), $F592)) : INDEX(AE:AE, ROW()-1),
   INDEX(AB:AB, ROW()-COUNTIF($F$6:INDEX($F:$F, ROW()-1), $F592)) : INDEX(AB:AB, ROW()-1)
   )
   /SUM(INDEX(AB:AB, ROW()-COUNTIF($F$6:INDEX($F:$F, ROW()-1), $F592)) : INDEX(AB:AB, ROW()-1)),
          AVERAGEIFS(unit_details[Asking Rent],
          unit_details[Active Listing?],TRUE,
          unit_details[Property Name], $F593,
          unit_details[Beds], $L593,
          unit_details[Baths], $M593,
          unit_details[Partial Baths], IF(ISNUMBER($N593),$N593,""),
          unit_details[Sqft],$P593
)),"")</f>
        <v/>
      </c>
      <c r="AF593" s="5" t="str">
        <f>IFERROR(IF(AE593="","",IF($F593="Total",
SUMPRODUCT(
   INDEX(AF:AF, ROW()-COUNTIF($F$6:INDEX($F:$F, ROW()-1), $F592)) : INDEX(AF:AF, ROW()-1),
   INDEX(AB:AB, ROW()-COUNTIF($F$6:INDEX($F:$F, ROW()-1), $F592)) : INDEX(AB:AB, ROW()-1)
   )
   /SUM(INDEX(AB:AB, ROW()-COUNTIF($F$6:INDEX($F:$F, ROW()-1), $F592)) : INDEX(AB:AB, ROW()-1)),
           _xlfn.MAXIFS(unit_details[Asking Rent],
          unit_details[Active Listing?],TRUE,
          unit_details[Property Name], $F593,
          unit_details[Beds], $L593,
          unit_details[Baths], $M593,
          unit_details[Partial Baths], IF(ISNUMBER($N593),$N593,""),
          unit_details[Sqft],$P593
))),"")</f>
        <v/>
      </c>
      <c r="AG593" s="6" t="str">
        <f>IFERROR(IF($F593="Total",
         SUMPRODUCT(
         INDEX(AG:AG, ROW()-COUNTIF($F$6:INDEX($F:$F, ROW()-1), $F592)) : INDEX(AG:AG, ROW()-1),
         INDEX(AB:AB, ROW()-COUNTIF($F$6:INDEX($F:$F, ROW()-1), $F592)) : INDEX(AB:AB, ROW()-1)
         )
         /SUM(INDEX(AB:AB, ROW()-COUNTIF($F$6:INDEX($F:$F, ROW()-1), $F592)) : INDEX(AB:AB, ROW()-1)),
          AVERAGEIFS(unit_details[Asking PSF],
          unit_details[Active Listing?],TRUE,
          unit_details[Property Name], $F593,
          unit_details[Beds], $L593,
          unit_details[Baths], $M593,
          unit_details[Partial Baths], IF(ISNUMBER($N593),$N593,""),
          unit_details[Sqft],$P593
)),"")</f>
        <v/>
      </c>
      <c r="AH593" s="293" t="str">
        <f>IFERROR(IF($F593="Total",
         SUMPRODUCT(
         INDEX(AH:AH, ROW()-COUNTIF($F$6:INDEX($F:$F, ROW()-1), $F592)) : INDEX(AH:AH, ROW()-1),
         INDEX(AB:AB, ROW()-COUNTIF($F$6:INDEX($F:$F, ROW()-1), $F592)) : INDEX(AB:AB, ROW()-1)
         )
         /SUM(INDEX(AB:AB, ROW()-COUNTIF($F$6:INDEX($F:$F, ROW()-1), $F592)) : INDEX(AB:AB, ROW()-1)),
          AVERAGEIFS(unit_details[Effective Rent],
          unit_details[Active Listing?],TRUE,
          unit_details[Property Name], $F593,
          unit_details[Beds], $L593,
          unit_details[Baths], $M593,
          unit_details[Partial Baths], IF(ISNUMBER($N593),$N593,""),
          unit_details[Sqft],$P593
)),"")</f>
        <v/>
      </c>
      <c r="AI593" s="6" t="str">
        <f>IFERROR(IF($F593="Total",
         SUMPRODUCT(
         INDEX(AI:AI, ROW()-COUNTIF($F$6:INDEX($F:$F, ROW()-1), $F592)) : INDEX(AI:AI, ROW()-1),
         INDEX(AB:AB, ROW()-COUNTIF($F$6:INDEX($F:$F, ROW()-1), $F592)) : INDEX(AB:AB, ROW()-1)
         )
         /SUM(INDEX(AB:AB, ROW()-COUNTIF($F$6:INDEX($F:$F, ROW()-1), $F592)) : INDEX(AB:AB, ROW()-1)),
           AVERAGEIFS(unit_details[Effective PSF],
          unit_details[Active Listing?],TRUE,
          unit_details[Property Name], $F593,
          unit_details[Beds], $L593,
          unit_details[Baths], $M593,
          unit_details[Partial Baths], IF(ISNUMBER($N593),$N593,""),
          unit_details[Sqft],$P593
)),"")</f>
        <v/>
      </c>
      <c r="AJ593" s="824" t="str">
        <f t="shared" si="103"/>
        <v/>
      </c>
      <c r="AK593" s="531" t="str">
        <f t="shared" si="104"/>
        <v/>
      </c>
      <c r="AL593" s="714" t="str">
        <f t="shared" si="105"/>
        <v/>
      </c>
      <c r="AM593" s="531" t="str">
        <f t="shared" si="106"/>
        <v/>
      </c>
      <c r="AN593" s="716" t="str">
        <f t="shared" si="107"/>
        <v/>
      </c>
    </row>
    <row r="594" spans="6:40" x14ac:dyDescent="0.2">
      <c r="F594" s="1" t="str">
        <f t="shared" si="100"/>
        <v/>
      </c>
      <c r="G594" s="713" t="str">
        <f t="shared" si="108"/>
        <v/>
      </c>
      <c r="H594" s="17" t="str">
        <f>IFERROR(VLOOKUP($G594,Table1[[Property]:[Exposure %]],4,0),"")</f>
        <v/>
      </c>
      <c r="I594" s="3" t="str">
        <f>IFERROR(VLOOKUP($G594,Table1[[Property]:[Exposure %]],6,0),"")</f>
        <v/>
      </c>
      <c r="J594" s="3" t="str">
        <f>IFERROR(VLOOKUP($G594,Table1[[Property]:[Exposure %]],7,0),"")</f>
        <v/>
      </c>
      <c r="R594" s="4" t="str">
        <f>IFERROR(VLOOKUP(IF(F594="Total",F593,F594),Table1[[Property]:['# Units]],7,0)*S594,"")</f>
        <v/>
      </c>
      <c r="S594" s="27" t="str">
        <f t="shared" si="101"/>
        <v/>
      </c>
      <c r="T594" s="531" t="str">
        <f>IFERROR(
 IF($F594="Total",
   SUMPRODUCT(
   INDEX(T:T, ROW()-COUNTIF($F$6:INDEX($F:$F, ROW()-1), $F593)) : INDEX(T:T, ROW()-1),
   INDEX(W:W, ROW()-COUNTIF($F$6:INDEX($F:$F, ROW()-1), $F593)) : INDEX(W:W, ROW()-1)
   )
   /SUM(INDEX(W:W, ROW()-COUNTIF($F$6:INDEX($F:$F, ROW()-1), $F593)) : INDEX(W:W, ROW()-1)),
   AVERAGEIFS(
     INDEX((unit_details[Asking Rent],unit_details[Asking PSF]),0,1,IF($U$3="Chunk Rent",1,2)),
     unit_details[Leased Date],"&gt;="&amp;($AM$2-T$5),
     unit_details[Leased Date],"&lt;"&amp;$AM$2,
     unit_details[Beds],$L594,
     unit_details[Baths],$M594,
     unit_details[Partial Baths],IF(ISNUMBER($N594),$N594,""),
     unit_details[Sqft],$P594,
     unit_details[Property Name],$F594)
 ),"")</f>
        <v/>
      </c>
      <c r="U594" s="552" t="str">
        <f>IFERROR(
 IF($F594="Total",
   SUMPRODUCT(
   INDEX(U:U, ROW()-COUNTIF($F$6:INDEX($F:$F, ROW()-1), $F593)) : INDEX(U:U, ROW()-1),
   INDEX(W:W, ROW()-COUNTIF($F$6:INDEX($F:$F, ROW()-1), $F593)) : INDEX(W:W, ROW()-1)
   )
   /SUM(INDEX(W:W, ROW()-COUNTIF($F$6:INDEX($F:$F, ROW()-1), $F593)) : INDEX(W:W, ROW()-1)),
   AVERAGEIFS(
     INDEX((unit_details[Effective Rent],unit_details[Effective PSF]),0,1,IF($U$3="Chunk Rent",1,2)),
     unit_details[Leased Date],"&gt;="&amp;($AM$2-T$5),
     unit_details[Leased Date],"&lt;"&amp;$AM$2,
     unit_details[Beds],$L594,
     unit_details[Baths],$M594,
     unit_details[Partial Baths],IF(ISNUMBER($N594),$N594,""),
     unit_details[Sqft],$P594,
     unit_details[Property Name],$F594)
 ),"")</f>
        <v/>
      </c>
      <c r="V594" s="27" t="str">
        <f t="shared" si="109"/>
        <v/>
      </c>
      <c r="W594" s="526">
        <f>IFERROR(
  IF($F594="Total",
    SUM(INDEX(W:W, ROW()-COUNTIF($F$6:INDEX($F:$F, ROW()-1), $F593)) : INDEX(W:W, ROW()-1)),
    COUNTIFS(
      unit_details[Leased Date], "&gt;="&amp;($AM$2-T$5),
      unit_details[Leased Date], "&lt;"&amp;$AM$2,
      unit_details[Beds], $L594,
      unit_details[Baths], $M594,
      unit_details[Partial Baths], IF(ISNUMBER($N594), $N594, ""),
      unit_details[Sqft],$P594,
      unit_details[Property Name], $F594
    )
  ),
"")</f>
        <v>0</v>
      </c>
      <c r="X594" s="531" t="str">
        <f>IFERROR(
 IF($F594="Total",
   SUMPRODUCT(
   INDEX(X:X, ROW()-COUNTIF($F$6:INDEX($F:$F, ROW()-1), $F593)) : INDEX(X:X, ROW()-1),
   INDEX(AA:AA, ROW()-COUNTIF($F$6:INDEX($F:$F, ROW()-1), $F593)) : INDEX(AA:AA, ROW()-1)
   )
   /SUM(INDEX(AA:AA, ROW()-COUNTIF($F$6:INDEX($F:$F, ROW()-1), $F593)) : INDEX(AA:AA, ROW()-1)),
   AVERAGEIFS(
     INDEX((unit_details[Asking Rent],unit_details[Asking PSF]),0,1,IF($U$3="Chunk Rent",1,2)),
     unit_details[Leased Date],"&gt;="&amp;($AM$2-X$5),
     unit_details[Leased Date],"&lt;"&amp;$AM$2,
     unit_details[Beds],$L594,
     unit_details[Baths],$M594,
     unit_details[Partial Baths],IF(ISNUMBER($N594),$N594,""),
     unit_details[Sqft],$P594,
     unit_details[Property Name],$F594)
 ),"")</f>
        <v/>
      </c>
      <c r="Y594" s="552" t="str">
        <f>IFERROR(
 IF($F594="Total",
   SUMPRODUCT(
   INDEX(Y:Y, ROW()-COUNTIF($F$6:INDEX($F:$F, ROW()-1), $F593)) : INDEX(Y:Y, ROW()-1),
   INDEX(AA:AA, ROW()-COUNTIF($F$6:INDEX($F:$F, ROW()-1), $F593)) : INDEX(AA:AA, ROW()-1)
   )
   /SUM(INDEX(AA:AA, ROW()-COUNTIF($F$6:INDEX($F:$F, ROW()-1), $F593)) : INDEX(AA:AA, ROW()-1)),
   AVERAGEIFS(
     INDEX((unit_details[Effective Rent],unit_details[Effective PSF]),0,1,IF($U$3="Chunk Rent",1,2)),
     unit_details[Leased Date],"&gt;="&amp;($AM$2-X$5),
     unit_details[Leased Date],"&lt;"&amp;$AM$2,
     unit_details[Beds],$L594,
     unit_details[Baths],$M594,
     unit_details[Partial Baths],IF(ISNUMBER($N594),$N594,""),
     unit_details[Sqft],$P594,
     unit_details[Property Name],$F594)
 ),"")</f>
        <v/>
      </c>
      <c r="Z594" s="27" t="str">
        <f t="shared" si="110"/>
        <v/>
      </c>
      <c r="AA594" s="526">
        <f>IFERROR(
  IF($F594="Total",
    SUM(INDEX(AA:AA, ROW()-COUNTIF($F$6:INDEX($F:$F, ROW()-1), $F593)) : INDEX(AA:AA, ROW()-1)),
    COUNTIFS(
      unit_details[Leased Date], "&gt;="&amp;($AM$2-X$5),
      unit_details[Leased Date], "&lt;"&amp;$AM$2,
      unit_details[Beds], $L594,
      unit_details[Baths], $M594,
      unit_details[Partial Baths], IF(ISNUMBER($N594), $N594, ""),
      unit_details[Sqft],$P594,
      unit_details[Property Name], $F594
    )
  ),
"")</f>
        <v>0</v>
      </c>
      <c r="AB594" s="290">
        <f>IF($F594="Total",
SUM(INDEX(AB:AB, ROW()-COUNTIF($F$6:INDEX($F:$F, ROW()-1), $F593)) : INDEX(AB:AB, ROW()-1)),
COUNTIFS(unit_details[Active Listing?],TRUE,
          unit_details[Property Name], $F594,
          unit_details[Beds], $L594,
          unit_details[Baths], $M594,
          unit_details[Partial Baths],IF(ISNUMBER($N594),$N594,""),
          unit_details[Sqft],$P594))</f>
        <v>0</v>
      </c>
      <c r="AC594" s="27" t="str">
        <f t="shared" si="102"/>
        <v/>
      </c>
      <c r="AD594" s="293" t="str">
        <f>IFERROR(IF(AE594="","",IF($F594="Total",
SUMPRODUCT(
   INDEX(AD:AD, ROW()-COUNTIF($F$6:INDEX($F:$F, ROW()-1), $F593)) : INDEX(AD:AD, ROW()-1),
   INDEX(AB:AB, ROW()-COUNTIF($F$6:INDEX($F:$F, ROW()-1), $F593)) : INDEX(AB:AB, ROW()-1)
   )
   /SUM(INDEX(AB:AB, ROW()-COUNTIF($F$6:INDEX($F:$F, ROW()-1), $F593)) : INDEX(AB:AB, ROW()-1)),
          _xlfn.MINIFS(unit_details[Asking Rent],
          unit_details[Active Listing?],TRUE,
          unit_details[Property Name], $F594,
          unit_details[Beds], $L594,
          unit_details[Baths], $M594,
          unit_details[Partial Baths], IF(ISNUMBER($N594),$N594,""),
          unit_details[Sqft],$P594
))),"")</f>
        <v/>
      </c>
      <c r="AE594" s="5" t="str">
        <f>IFERROR(IF($F594="Total",
          SUMPRODUCT(
   INDEX(AE:AE, ROW()-COUNTIF($F$6:INDEX($F:$F, ROW()-1), $F593)) : INDEX(AE:AE, ROW()-1),
   INDEX(AB:AB, ROW()-COUNTIF($F$6:INDEX($F:$F, ROW()-1), $F593)) : INDEX(AB:AB, ROW()-1)
   )
   /SUM(INDEX(AB:AB, ROW()-COUNTIF($F$6:INDEX($F:$F, ROW()-1), $F593)) : INDEX(AB:AB, ROW()-1)),
          AVERAGEIFS(unit_details[Asking Rent],
          unit_details[Active Listing?],TRUE,
          unit_details[Property Name], $F594,
          unit_details[Beds], $L594,
          unit_details[Baths], $M594,
          unit_details[Partial Baths], IF(ISNUMBER($N594),$N594,""),
          unit_details[Sqft],$P594
)),"")</f>
        <v/>
      </c>
      <c r="AF594" s="5" t="str">
        <f>IFERROR(IF(AE594="","",IF($F594="Total",
SUMPRODUCT(
   INDEX(AF:AF, ROW()-COUNTIF($F$6:INDEX($F:$F, ROW()-1), $F593)) : INDEX(AF:AF, ROW()-1),
   INDEX(AB:AB, ROW()-COUNTIF($F$6:INDEX($F:$F, ROW()-1), $F593)) : INDEX(AB:AB, ROW()-1)
   )
   /SUM(INDEX(AB:AB, ROW()-COUNTIF($F$6:INDEX($F:$F, ROW()-1), $F593)) : INDEX(AB:AB, ROW()-1)),
           _xlfn.MAXIFS(unit_details[Asking Rent],
          unit_details[Active Listing?],TRUE,
          unit_details[Property Name], $F594,
          unit_details[Beds], $L594,
          unit_details[Baths], $M594,
          unit_details[Partial Baths], IF(ISNUMBER($N594),$N594,""),
          unit_details[Sqft],$P594
))),"")</f>
        <v/>
      </c>
      <c r="AG594" s="6" t="str">
        <f>IFERROR(IF($F594="Total",
         SUMPRODUCT(
         INDEX(AG:AG, ROW()-COUNTIF($F$6:INDEX($F:$F, ROW()-1), $F593)) : INDEX(AG:AG, ROW()-1),
         INDEX(AB:AB, ROW()-COUNTIF($F$6:INDEX($F:$F, ROW()-1), $F593)) : INDEX(AB:AB, ROW()-1)
         )
         /SUM(INDEX(AB:AB, ROW()-COUNTIF($F$6:INDEX($F:$F, ROW()-1), $F593)) : INDEX(AB:AB, ROW()-1)),
          AVERAGEIFS(unit_details[Asking PSF],
          unit_details[Active Listing?],TRUE,
          unit_details[Property Name], $F594,
          unit_details[Beds], $L594,
          unit_details[Baths], $M594,
          unit_details[Partial Baths], IF(ISNUMBER($N594),$N594,""),
          unit_details[Sqft],$P594
)),"")</f>
        <v/>
      </c>
      <c r="AH594" s="293" t="str">
        <f>IFERROR(IF($F594="Total",
         SUMPRODUCT(
         INDEX(AH:AH, ROW()-COUNTIF($F$6:INDEX($F:$F, ROW()-1), $F593)) : INDEX(AH:AH, ROW()-1),
         INDEX(AB:AB, ROW()-COUNTIF($F$6:INDEX($F:$F, ROW()-1), $F593)) : INDEX(AB:AB, ROW()-1)
         )
         /SUM(INDEX(AB:AB, ROW()-COUNTIF($F$6:INDEX($F:$F, ROW()-1), $F593)) : INDEX(AB:AB, ROW()-1)),
          AVERAGEIFS(unit_details[Effective Rent],
          unit_details[Active Listing?],TRUE,
          unit_details[Property Name], $F594,
          unit_details[Beds], $L594,
          unit_details[Baths], $M594,
          unit_details[Partial Baths], IF(ISNUMBER($N594),$N594,""),
          unit_details[Sqft],$P594
)),"")</f>
        <v/>
      </c>
      <c r="AI594" s="6" t="str">
        <f>IFERROR(IF($F594="Total",
         SUMPRODUCT(
         INDEX(AI:AI, ROW()-COUNTIF($F$6:INDEX($F:$F, ROW()-1), $F593)) : INDEX(AI:AI, ROW()-1),
         INDEX(AB:AB, ROW()-COUNTIF($F$6:INDEX($F:$F, ROW()-1), $F593)) : INDEX(AB:AB, ROW()-1)
         )
         /SUM(INDEX(AB:AB, ROW()-COUNTIF($F$6:INDEX($F:$F, ROW()-1), $F593)) : INDEX(AB:AB, ROW()-1)),
           AVERAGEIFS(unit_details[Effective PSF],
          unit_details[Active Listing?],TRUE,
          unit_details[Property Name], $F594,
          unit_details[Beds], $L594,
          unit_details[Baths], $M594,
          unit_details[Partial Baths], IF(ISNUMBER($N594),$N594,""),
          unit_details[Sqft],$P594
)),"")</f>
        <v/>
      </c>
      <c r="AJ594" s="824" t="str">
        <f t="shared" si="103"/>
        <v/>
      </c>
      <c r="AK594" s="531" t="str">
        <f t="shared" si="104"/>
        <v/>
      </c>
      <c r="AL594" s="714" t="str">
        <f t="shared" si="105"/>
        <v/>
      </c>
      <c r="AM594" s="531" t="str">
        <f t="shared" si="106"/>
        <v/>
      </c>
      <c r="AN594" s="716" t="str">
        <f t="shared" si="107"/>
        <v/>
      </c>
    </row>
    <row r="595" spans="6:40" x14ac:dyDescent="0.2">
      <c r="F595" s="1" t="str">
        <f t="shared" si="100"/>
        <v/>
      </c>
      <c r="G595" s="713" t="str">
        <f t="shared" si="108"/>
        <v/>
      </c>
      <c r="H595" s="17" t="str">
        <f>IFERROR(VLOOKUP($G595,Table1[[Property]:[Exposure %]],4,0),"")</f>
        <v/>
      </c>
      <c r="I595" s="3" t="str">
        <f>IFERROR(VLOOKUP($G595,Table1[[Property]:[Exposure %]],6,0),"")</f>
        <v/>
      </c>
      <c r="J595" s="3" t="str">
        <f>IFERROR(VLOOKUP($G595,Table1[[Property]:[Exposure %]],7,0),"")</f>
        <v/>
      </c>
      <c r="R595" s="4" t="str">
        <f>IFERROR(VLOOKUP(IF(F595="Total",F594,F595),Table1[[Property]:['# Units]],7,0)*S595,"")</f>
        <v/>
      </c>
      <c r="S595" s="27" t="str">
        <f t="shared" si="101"/>
        <v/>
      </c>
      <c r="T595" s="531" t="str">
        <f>IFERROR(
 IF($F595="Total",
   SUMPRODUCT(
   INDEX(T:T, ROW()-COUNTIF($F$6:INDEX($F:$F, ROW()-1), $F594)) : INDEX(T:T, ROW()-1),
   INDEX(W:W, ROW()-COUNTIF($F$6:INDEX($F:$F, ROW()-1), $F594)) : INDEX(W:W, ROW()-1)
   )
   /SUM(INDEX(W:W, ROW()-COUNTIF($F$6:INDEX($F:$F, ROW()-1), $F594)) : INDEX(W:W, ROW()-1)),
   AVERAGEIFS(
     INDEX((unit_details[Asking Rent],unit_details[Asking PSF]),0,1,IF($U$3="Chunk Rent",1,2)),
     unit_details[Leased Date],"&gt;="&amp;($AM$2-T$5),
     unit_details[Leased Date],"&lt;"&amp;$AM$2,
     unit_details[Beds],$L595,
     unit_details[Baths],$M595,
     unit_details[Partial Baths],IF(ISNUMBER($N595),$N595,""),
     unit_details[Sqft],$P595,
     unit_details[Property Name],$F595)
 ),"")</f>
        <v/>
      </c>
      <c r="U595" s="552" t="str">
        <f>IFERROR(
 IF($F595="Total",
   SUMPRODUCT(
   INDEX(U:U, ROW()-COUNTIF($F$6:INDEX($F:$F, ROW()-1), $F594)) : INDEX(U:U, ROW()-1),
   INDEX(W:W, ROW()-COUNTIF($F$6:INDEX($F:$F, ROW()-1), $F594)) : INDEX(W:W, ROW()-1)
   )
   /SUM(INDEX(W:W, ROW()-COUNTIF($F$6:INDEX($F:$F, ROW()-1), $F594)) : INDEX(W:W, ROW()-1)),
   AVERAGEIFS(
     INDEX((unit_details[Effective Rent],unit_details[Effective PSF]),0,1,IF($U$3="Chunk Rent",1,2)),
     unit_details[Leased Date],"&gt;="&amp;($AM$2-T$5),
     unit_details[Leased Date],"&lt;"&amp;$AM$2,
     unit_details[Beds],$L595,
     unit_details[Baths],$M595,
     unit_details[Partial Baths],IF(ISNUMBER($N595),$N595,""),
     unit_details[Sqft],$P595,
     unit_details[Property Name],$F595)
 ),"")</f>
        <v/>
      </c>
      <c r="V595" s="27" t="str">
        <f t="shared" si="109"/>
        <v/>
      </c>
      <c r="W595" s="526">
        <f>IFERROR(
  IF($F595="Total",
    SUM(INDEX(W:W, ROW()-COUNTIF($F$6:INDEX($F:$F, ROW()-1), $F594)) : INDEX(W:W, ROW()-1)),
    COUNTIFS(
      unit_details[Leased Date], "&gt;="&amp;($AM$2-T$5),
      unit_details[Leased Date], "&lt;"&amp;$AM$2,
      unit_details[Beds], $L595,
      unit_details[Baths], $M595,
      unit_details[Partial Baths], IF(ISNUMBER($N595), $N595, ""),
      unit_details[Sqft],$P595,
      unit_details[Property Name], $F595
    )
  ),
"")</f>
        <v>0</v>
      </c>
      <c r="X595" s="531" t="str">
        <f>IFERROR(
 IF($F595="Total",
   SUMPRODUCT(
   INDEX(X:X, ROW()-COUNTIF($F$6:INDEX($F:$F, ROW()-1), $F594)) : INDEX(X:X, ROW()-1),
   INDEX(AA:AA, ROW()-COUNTIF($F$6:INDEX($F:$F, ROW()-1), $F594)) : INDEX(AA:AA, ROW()-1)
   )
   /SUM(INDEX(AA:AA, ROW()-COUNTIF($F$6:INDEX($F:$F, ROW()-1), $F594)) : INDEX(AA:AA, ROW()-1)),
   AVERAGEIFS(
     INDEX((unit_details[Asking Rent],unit_details[Asking PSF]),0,1,IF($U$3="Chunk Rent",1,2)),
     unit_details[Leased Date],"&gt;="&amp;($AM$2-X$5),
     unit_details[Leased Date],"&lt;"&amp;$AM$2,
     unit_details[Beds],$L595,
     unit_details[Baths],$M595,
     unit_details[Partial Baths],IF(ISNUMBER($N595),$N595,""),
     unit_details[Sqft],$P595,
     unit_details[Property Name],$F595)
 ),"")</f>
        <v/>
      </c>
      <c r="Y595" s="552" t="str">
        <f>IFERROR(
 IF($F595="Total",
   SUMPRODUCT(
   INDEX(Y:Y, ROW()-COUNTIF($F$6:INDEX($F:$F, ROW()-1), $F594)) : INDEX(Y:Y, ROW()-1),
   INDEX(AA:AA, ROW()-COUNTIF($F$6:INDEX($F:$F, ROW()-1), $F594)) : INDEX(AA:AA, ROW()-1)
   )
   /SUM(INDEX(AA:AA, ROW()-COUNTIF($F$6:INDEX($F:$F, ROW()-1), $F594)) : INDEX(AA:AA, ROW()-1)),
   AVERAGEIFS(
     INDEX((unit_details[Effective Rent],unit_details[Effective PSF]),0,1,IF($U$3="Chunk Rent",1,2)),
     unit_details[Leased Date],"&gt;="&amp;($AM$2-X$5),
     unit_details[Leased Date],"&lt;"&amp;$AM$2,
     unit_details[Beds],$L595,
     unit_details[Baths],$M595,
     unit_details[Partial Baths],IF(ISNUMBER($N595),$N595,""),
     unit_details[Sqft],$P595,
     unit_details[Property Name],$F595)
 ),"")</f>
        <v/>
      </c>
      <c r="Z595" s="27" t="str">
        <f t="shared" si="110"/>
        <v/>
      </c>
      <c r="AA595" s="526">
        <f>IFERROR(
  IF($F595="Total",
    SUM(INDEX(AA:AA, ROW()-COUNTIF($F$6:INDEX($F:$F, ROW()-1), $F594)) : INDEX(AA:AA, ROW()-1)),
    COUNTIFS(
      unit_details[Leased Date], "&gt;="&amp;($AM$2-X$5),
      unit_details[Leased Date], "&lt;"&amp;$AM$2,
      unit_details[Beds], $L595,
      unit_details[Baths], $M595,
      unit_details[Partial Baths], IF(ISNUMBER($N595), $N595, ""),
      unit_details[Sqft],$P595,
      unit_details[Property Name], $F595
    )
  ),
"")</f>
        <v>0</v>
      </c>
      <c r="AB595" s="290">
        <f>IF($F595="Total",
SUM(INDEX(AB:AB, ROW()-COUNTIF($F$6:INDEX($F:$F, ROW()-1), $F594)) : INDEX(AB:AB, ROW()-1)),
COUNTIFS(unit_details[Active Listing?],TRUE,
          unit_details[Property Name], $F595,
          unit_details[Beds], $L595,
          unit_details[Baths], $M595,
          unit_details[Partial Baths],IF(ISNUMBER($N595),$N595,""),
          unit_details[Sqft],$P595))</f>
        <v>0</v>
      </c>
      <c r="AC595" s="27" t="str">
        <f t="shared" si="102"/>
        <v/>
      </c>
      <c r="AD595" s="293" t="str">
        <f>IFERROR(IF(AE595="","",IF($F595="Total",
SUMPRODUCT(
   INDEX(AD:AD, ROW()-COUNTIF($F$6:INDEX($F:$F, ROW()-1), $F594)) : INDEX(AD:AD, ROW()-1),
   INDEX(AB:AB, ROW()-COUNTIF($F$6:INDEX($F:$F, ROW()-1), $F594)) : INDEX(AB:AB, ROW()-1)
   )
   /SUM(INDEX(AB:AB, ROW()-COUNTIF($F$6:INDEX($F:$F, ROW()-1), $F594)) : INDEX(AB:AB, ROW()-1)),
          _xlfn.MINIFS(unit_details[Asking Rent],
          unit_details[Active Listing?],TRUE,
          unit_details[Property Name], $F595,
          unit_details[Beds], $L595,
          unit_details[Baths], $M595,
          unit_details[Partial Baths], IF(ISNUMBER($N595),$N595,""),
          unit_details[Sqft],$P595
))),"")</f>
        <v/>
      </c>
      <c r="AE595" s="5" t="str">
        <f>IFERROR(IF($F595="Total",
          SUMPRODUCT(
   INDEX(AE:AE, ROW()-COUNTIF($F$6:INDEX($F:$F, ROW()-1), $F594)) : INDEX(AE:AE, ROW()-1),
   INDEX(AB:AB, ROW()-COUNTIF($F$6:INDEX($F:$F, ROW()-1), $F594)) : INDEX(AB:AB, ROW()-1)
   )
   /SUM(INDEX(AB:AB, ROW()-COUNTIF($F$6:INDEX($F:$F, ROW()-1), $F594)) : INDEX(AB:AB, ROW()-1)),
          AVERAGEIFS(unit_details[Asking Rent],
          unit_details[Active Listing?],TRUE,
          unit_details[Property Name], $F595,
          unit_details[Beds], $L595,
          unit_details[Baths], $M595,
          unit_details[Partial Baths], IF(ISNUMBER($N595),$N595,""),
          unit_details[Sqft],$P595
)),"")</f>
        <v/>
      </c>
      <c r="AF595" s="5" t="str">
        <f>IFERROR(IF(AE595="","",IF($F595="Total",
SUMPRODUCT(
   INDEX(AF:AF, ROW()-COUNTIF($F$6:INDEX($F:$F, ROW()-1), $F594)) : INDEX(AF:AF, ROW()-1),
   INDEX(AB:AB, ROW()-COUNTIF($F$6:INDEX($F:$F, ROW()-1), $F594)) : INDEX(AB:AB, ROW()-1)
   )
   /SUM(INDEX(AB:AB, ROW()-COUNTIF($F$6:INDEX($F:$F, ROW()-1), $F594)) : INDEX(AB:AB, ROW()-1)),
           _xlfn.MAXIFS(unit_details[Asking Rent],
          unit_details[Active Listing?],TRUE,
          unit_details[Property Name], $F595,
          unit_details[Beds], $L595,
          unit_details[Baths], $M595,
          unit_details[Partial Baths], IF(ISNUMBER($N595),$N595,""),
          unit_details[Sqft],$P595
))),"")</f>
        <v/>
      </c>
      <c r="AG595" s="6" t="str">
        <f>IFERROR(IF($F595="Total",
         SUMPRODUCT(
         INDEX(AG:AG, ROW()-COUNTIF($F$6:INDEX($F:$F, ROW()-1), $F594)) : INDEX(AG:AG, ROW()-1),
         INDEX(AB:AB, ROW()-COUNTIF($F$6:INDEX($F:$F, ROW()-1), $F594)) : INDEX(AB:AB, ROW()-1)
         )
         /SUM(INDEX(AB:AB, ROW()-COUNTIF($F$6:INDEX($F:$F, ROW()-1), $F594)) : INDEX(AB:AB, ROW()-1)),
          AVERAGEIFS(unit_details[Asking PSF],
          unit_details[Active Listing?],TRUE,
          unit_details[Property Name], $F595,
          unit_details[Beds], $L595,
          unit_details[Baths], $M595,
          unit_details[Partial Baths], IF(ISNUMBER($N595),$N595,""),
          unit_details[Sqft],$P595
)),"")</f>
        <v/>
      </c>
      <c r="AH595" s="293" t="str">
        <f>IFERROR(IF($F595="Total",
         SUMPRODUCT(
         INDEX(AH:AH, ROW()-COUNTIF($F$6:INDEX($F:$F, ROW()-1), $F594)) : INDEX(AH:AH, ROW()-1),
         INDEX(AB:AB, ROW()-COUNTIF($F$6:INDEX($F:$F, ROW()-1), $F594)) : INDEX(AB:AB, ROW()-1)
         )
         /SUM(INDEX(AB:AB, ROW()-COUNTIF($F$6:INDEX($F:$F, ROW()-1), $F594)) : INDEX(AB:AB, ROW()-1)),
          AVERAGEIFS(unit_details[Effective Rent],
          unit_details[Active Listing?],TRUE,
          unit_details[Property Name], $F595,
          unit_details[Beds], $L595,
          unit_details[Baths], $M595,
          unit_details[Partial Baths], IF(ISNUMBER($N595),$N595,""),
          unit_details[Sqft],$P595
)),"")</f>
        <v/>
      </c>
      <c r="AI595" s="6" t="str">
        <f>IFERROR(IF($F595="Total",
         SUMPRODUCT(
         INDEX(AI:AI, ROW()-COUNTIF($F$6:INDEX($F:$F, ROW()-1), $F594)) : INDEX(AI:AI, ROW()-1),
         INDEX(AB:AB, ROW()-COUNTIF($F$6:INDEX($F:$F, ROW()-1), $F594)) : INDEX(AB:AB, ROW()-1)
         )
         /SUM(INDEX(AB:AB, ROW()-COUNTIF($F$6:INDEX($F:$F, ROW()-1), $F594)) : INDEX(AB:AB, ROW()-1)),
           AVERAGEIFS(unit_details[Effective PSF],
          unit_details[Active Listing?],TRUE,
          unit_details[Property Name], $F595,
          unit_details[Beds], $L595,
          unit_details[Baths], $M595,
          unit_details[Partial Baths], IF(ISNUMBER($N595),$N595,""),
          unit_details[Sqft],$P595
)),"")</f>
        <v/>
      </c>
      <c r="AJ595" s="824" t="str">
        <f t="shared" si="103"/>
        <v/>
      </c>
      <c r="AK595" s="531" t="str">
        <f t="shared" si="104"/>
        <v/>
      </c>
      <c r="AL595" s="714" t="str">
        <f t="shared" si="105"/>
        <v/>
      </c>
      <c r="AM595" s="531" t="str">
        <f t="shared" si="106"/>
        <v/>
      </c>
      <c r="AN595" s="716" t="str">
        <f t="shared" si="107"/>
        <v/>
      </c>
    </row>
    <row r="596" spans="6:40" x14ac:dyDescent="0.2">
      <c r="F596" s="1" t="str">
        <f t="shared" si="100"/>
        <v/>
      </c>
      <c r="G596" s="713" t="str">
        <f t="shared" si="108"/>
        <v/>
      </c>
      <c r="H596" s="17" t="str">
        <f>IFERROR(VLOOKUP($G596,Table1[[Property]:[Exposure %]],4,0),"")</f>
        <v/>
      </c>
      <c r="I596" s="3" t="str">
        <f>IFERROR(VLOOKUP($G596,Table1[[Property]:[Exposure %]],6,0),"")</f>
        <v/>
      </c>
      <c r="J596" s="3" t="str">
        <f>IFERROR(VLOOKUP($G596,Table1[[Property]:[Exposure %]],7,0),"")</f>
        <v/>
      </c>
      <c r="R596" s="4" t="str">
        <f>IFERROR(VLOOKUP(IF(F596="Total",F595,F596),Table1[[Property]:['# Units]],7,0)*S596,"")</f>
        <v/>
      </c>
      <c r="S596" s="27" t="str">
        <f t="shared" si="101"/>
        <v/>
      </c>
      <c r="T596" s="531" t="str">
        <f>IFERROR(
 IF($F596="Total",
   SUMPRODUCT(
   INDEX(T:T, ROW()-COUNTIF($F$6:INDEX($F:$F, ROW()-1), $F595)) : INDEX(T:T, ROW()-1),
   INDEX(W:W, ROW()-COUNTIF($F$6:INDEX($F:$F, ROW()-1), $F595)) : INDEX(W:W, ROW()-1)
   )
   /SUM(INDEX(W:W, ROW()-COUNTIF($F$6:INDEX($F:$F, ROW()-1), $F595)) : INDEX(W:W, ROW()-1)),
   AVERAGEIFS(
     INDEX((unit_details[Asking Rent],unit_details[Asking PSF]),0,1,IF($U$3="Chunk Rent",1,2)),
     unit_details[Leased Date],"&gt;="&amp;($AM$2-T$5),
     unit_details[Leased Date],"&lt;"&amp;$AM$2,
     unit_details[Beds],$L596,
     unit_details[Baths],$M596,
     unit_details[Partial Baths],IF(ISNUMBER($N596),$N596,""),
     unit_details[Sqft],$P596,
     unit_details[Property Name],$F596)
 ),"")</f>
        <v/>
      </c>
      <c r="U596" s="552" t="str">
        <f>IFERROR(
 IF($F596="Total",
   SUMPRODUCT(
   INDEX(U:U, ROW()-COUNTIF($F$6:INDEX($F:$F, ROW()-1), $F595)) : INDEX(U:U, ROW()-1),
   INDEX(W:W, ROW()-COUNTIF($F$6:INDEX($F:$F, ROW()-1), $F595)) : INDEX(W:W, ROW()-1)
   )
   /SUM(INDEX(W:W, ROW()-COUNTIF($F$6:INDEX($F:$F, ROW()-1), $F595)) : INDEX(W:W, ROW()-1)),
   AVERAGEIFS(
     INDEX((unit_details[Effective Rent],unit_details[Effective PSF]),0,1,IF($U$3="Chunk Rent",1,2)),
     unit_details[Leased Date],"&gt;="&amp;($AM$2-T$5),
     unit_details[Leased Date],"&lt;"&amp;$AM$2,
     unit_details[Beds],$L596,
     unit_details[Baths],$M596,
     unit_details[Partial Baths],IF(ISNUMBER($N596),$N596,""),
     unit_details[Sqft],$P596,
     unit_details[Property Name],$F596)
 ),"")</f>
        <v/>
      </c>
      <c r="V596" s="27" t="str">
        <f t="shared" si="109"/>
        <v/>
      </c>
      <c r="W596" s="526">
        <f>IFERROR(
  IF($F596="Total",
    SUM(INDEX(W:W, ROW()-COUNTIF($F$6:INDEX($F:$F, ROW()-1), $F595)) : INDEX(W:W, ROW()-1)),
    COUNTIFS(
      unit_details[Leased Date], "&gt;="&amp;($AM$2-T$5),
      unit_details[Leased Date], "&lt;"&amp;$AM$2,
      unit_details[Beds], $L596,
      unit_details[Baths], $M596,
      unit_details[Partial Baths], IF(ISNUMBER($N596), $N596, ""),
      unit_details[Sqft],$P596,
      unit_details[Property Name], $F596
    )
  ),
"")</f>
        <v>0</v>
      </c>
      <c r="X596" s="531" t="str">
        <f>IFERROR(
 IF($F596="Total",
   SUMPRODUCT(
   INDEX(X:X, ROW()-COUNTIF($F$6:INDEX($F:$F, ROW()-1), $F595)) : INDEX(X:X, ROW()-1),
   INDEX(AA:AA, ROW()-COUNTIF($F$6:INDEX($F:$F, ROW()-1), $F595)) : INDEX(AA:AA, ROW()-1)
   )
   /SUM(INDEX(AA:AA, ROW()-COUNTIF($F$6:INDEX($F:$F, ROW()-1), $F595)) : INDEX(AA:AA, ROW()-1)),
   AVERAGEIFS(
     INDEX((unit_details[Asking Rent],unit_details[Asking PSF]),0,1,IF($U$3="Chunk Rent",1,2)),
     unit_details[Leased Date],"&gt;="&amp;($AM$2-X$5),
     unit_details[Leased Date],"&lt;"&amp;$AM$2,
     unit_details[Beds],$L596,
     unit_details[Baths],$M596,
     unit_details[Partial Baths],IF(ISNUMBER($N596),$N596,""),
     unit_details[Sqft],$P596,
     unit_details[Property Name],$F596)
 ),"")</f>
        <v/>
      </c>
      <c r="Y596" s="552" t="str">
        <f>IFERROR(
 IF($F596="Total",
   SUMPRODUCT(
   INDEX(Y:Y, ROW()-COUNTIF($F$6:INDEX($F:$F, ROW()-1), $F595)) : INDEX(Y:Y, ROW()-1),
   INDEX(AA:AA, ROW()-COUNTIF($F$6:INDEX($F:$F, ROW()-1), $F595)) : INDEX(AA:AA, ROW()-1)
   )
   /SUM(INDEX(AA:AA, ROW()-COUNTIF($F$6:INDEX($F:$F, ROW()-1), $F595)) : INDEX(AA:AA, ROW()-1)),
   AVERAGEIFS(
     INDEX((unit_details[Effective Rent],unit_details[Effective PSF]),0,1,IF($U$3="Chunk Rent",1,2)),
     unit_details[Leased Date],"&gt;="&amp;($AM$2-X$5),
     unit_details[Leased Date],"&lt;"&amp;$AM$2,
     unit_details[Beds],$L596,
     unit_details[Baths],$M596,
     unit_details[Partial Baths],IF(ISNUMBER($N596),$N596,""),
     unit_details[Sqft],$P596,
     unit_details[Property Name],$F596)
 ),"")</f>
        <v/>
      </c>
      <c r="Z596" s="27" t="str">
        <f t="shared" si="110"/>
        <v/>
      </c>
      <c r="AA596" s="526">
        <f>IFERROR(
  IF($F596="Total",
    SUM(INDEX(AA:AA, ROW()-COUNTIF($F$6:INDEX($F:$F, ROW()-1), $F595)) : INDEX(AA:AA, ROW()-1)),
    COUNTIFS(
      unit_details[Leased Date], "&gt;="&amp;($AM$2-X$5),
      unit_details[Leased Date], "&lt;"&amp;$AM$2,
      unit_details[Beds], $L596,
      unit_details[Baths], $M596,
      unit_details[Partial Baths], IF(ISNUMBER($N596), $N596, ""),
      unit_details[Sqft],$P596,
      unit_details[Property Name], $F596
    )
  ),
"")</f>
        <v>0</v>
      </c>
      <c r="AB596" s="290">
        <f>IF($F596="Total",
SUM(INDEX(AB:AB, ROW()-COUNTIF($F$6:INDEX($F:$F, ROW()-1), $F595)) : INDEX(AB:AB, ROW()-1)),
COUNTIFS(unit_details[Active Listing?],TRUE,
          unit_details[Property Name], $F596,
          unit_details[Beds], $L596,
          unit_details[Baths], $M596,
          unit_details[Partial Baths],IF(ISNUMBER($N596),$N596,""),
          unit_details[Sqft],$P596))</f>
        <v>0</v>
      </c>
      <c r="AC596" s="27" t="str">
        <f t="shared" si="102"/>
        <v/>
      </c>
      <c r="AD596" s="293" t="str">
        <f>IFERROR(IF(AE596="","",IF($F596="Total",
SUMPRODUCT(
   INDEX(AD:AD, ROW()-COUNTIF($F$6:INDEX($F:$F, ROW()-1), $F595)) : INDEX(AD:AD, ROW()-1),
   INDEX(AB:AB, ROW()-COUNTIF($F$6:INDEX($F:$F, ROW()-1), $F595)) : INDEX(AB:AB, ROW()-1)
   )
   /SUM(INDEX(AB:AB, ROW()-COUNTIF($F$6:INDEX($F:$F, ROW()-1), $F595)) : INDEX(AB:AB, ROW()-1)),
          _xlfn.MINIFS(unit_details[Asking Rent],
          unit_details[Active Listing?],TRUE,
          unit_details[Property Name], $F596,
          unit_details[Beds], $L596,
          unit_details[Baths], $M596,
          unit_details[Partial Baths], IF(ISNUMBER($N596),$N596,""),
          unit_details[Sqft],$P596
))),"")</f>
        <v/>
      </c>
      <c r="AE596" s="5" t="str">
        <f>IFERROR(IF($F596="Total",
          SUMPRODUCT(
   INDEX(AE:AE, ROW()-COUNTIF($F$6:INDEX($F:$F, ROW()-1), $F595)) : INDEX(AE:AE, ROW()-1),
   INDEX(AB:AB, ROW()-COUNTIF($F$6:INDEX($F:$F, ROW()-1), $F595)) : INDEX(AB:AB, ROW()-1)
   )
   /SUM(INDEX(AB:AB, ROW()-COUNTIF($F$6:INDEX($F:$F, ROW()-1), $F595)) : INDEX(AB:AB, ROW()-1)),
          AVERAGEIFS(unit_details[Asking Rent],
          unit_details[Active Listing?],TRUE,
          unit_details[Property Name], $F596,
          unit_details[Beds], $L596,
          unit_details[Baths], $M596,
          unit_details[Partial Baths], IF(ISNUMBER($N596),$N596,""),
          unit_details[Sqft],$P596
)),"")</f>
        <v/>
      </c>
      <c r="AF596" s="5" t="str">
        <f>IFERROR(IF(AE596="","",IF($F596="Total",
SUMPRODUCT(
   INDEX(AF:AF, ROW()-COUNTIF($F$6:INDEX($F:$F, ROW()-1), $F595)) : INDEX(AF:AF, ROW()-1),
   INDEX(AB:AB, ROW()-COUNTIF($F$6:INDEX($F:$F, ROW()-1), $F595)) : INDEX(AB:AB, ROW()-1)
   )
   /SUM(INDEX(AB:AB, ROW()-COUNTIF($F$6:INDEX($F:$F, ROW()-1), $F595)) : INDEX(AB:AB, ROW()-1)),
           _xlfn.MAXIFS(unit_details[Asking Rent],
          unit_details[Active Listing?],TRUE,
          unit_details[Property Name], $F596,
          unit_details[Beds], $L596,
          unit_details[Baths], $M596,
          unit_details[Partial Baths], IF(ISNUMBER($N596),$N596,""),
          unit_details[Sqft],$P596
))),"")</f>
        <v/>
      </c>
      <c r="AG596" s="6" t="str">
        <f>IFERROR(IF($F596="Total",
         SUMPRODUCT(
         INDEX(AG:AG, ROW()-COUNTIF($F$6:INDEX($F:$F, ROW()-1), $F595)) : INDEX(AG:AG, ROW()-1),
         INDEX(AB:AB, ROW()-COUNTIF($F$6:INDEX($F:$F, ROW()-1), $F595)) : INDEX(AB:AB, ROW()-1)
         )
         /SUM(INDEX(AB:AB, ROW()-COUNTIF($F$6:INDEX($F:$F, ROW()-1), $F595)) : INDEX(AB:AB, ROW()-1)),
          AVERAGEIFS(unit_details[Asking PSF],
          unit_details[Active Listing?],TRUE,
          unit_details[Property Name], $F596,
          unit_details[Beds], $L596,
          unit_details[Baths], $M596,
          unit_details[Partial Baths], IF(ISNUMBER($N596),$N596,""),
          unit_details[Sqft],$P596
)),"")</f>
        <v/>
      </c>
      <c r="AH596" s="293" t="str">
        <f>IFERROR(IF($F596="Total",
         SUMPRODUCT(
         INDEX(AH:AH, ROW()-COUNTIF($F$6:INDEX($F:$F, ROW()-1), $F595)) : INDEX(AH:AH, ROW()-1),
         INDEX(AB:AB, ROW()-COUNTIF($F$6:INDEX($F:$F, ROW()-1), $F595)) : INDEX(AB:AB, ROW()-1)
         )
         /SUM(INDEX(AB:AB, ROW()-COUNTIF($F$6:INDEX($F:$F, ROW()-1), $F595)) : INDEX(AB:AB, ROW()-1)),
          AVERAGEIFS(unit_details[Effective Rent],
          unit_details[Active Listing?],TRUE,
          unit_details[Property Name], $F596,
          unit_details[Beds], $L596,
          unit_details[Baths], $M596,
          unit_details[Partial Baths], IF(ISNUMBER($N596),$N596,""),
          unit_details[Sqft],$P596
)),"")</f>
        <v/>
      </c>
      <c r="AI596" s="6" t="str">
        <f>IFERROR(IF($F596="Total",
         SUMPRODUCT(
         INDEX(AI:AI, ROW()-COUNTIF($F$6:INDEX($F:$F, ROW()-1), $F595)) : INDEX(AI:AI, ROW()-1),
         INDEX(AB:AB, ROW()-COUNTIF($F$6:INDEX($F:$F, ROW()-1), $F595)) : INDEX(AB:AB, ROW()-1)
         )
         /SUM(INDEX(AB:AB, ROW()-COUNTIF($F$6:INDEX($F:$F, ROW()-1), $F595)) : INDEX(AB:AB, ROW()-1)),
           AVERAGEIFS(unit_details[Effective PSF],
          unit_details[Active Listing?],TRUE,
          unit_details[Property Name], $F596,
          unit_details[Beds], $L596,
          unit_details[Baths], $M596,
          unit_details[Partial Baths], IF(ISNUMBER($N596),$N596,""),
          unit_details[Sqft],$P596
)),"")</f>
        <v/>
      </c>
      <c r="AJ596" s="824" t="str">
        <f t="shared" si="103"/>
        <v/>
      </c>
      <c r="AK596" s="531" t="str">
        <f t="shared" si="104"/>
        <v/>
      </c>
      <c r="AL596" s="714" t="str">
        <f t="shared" si="105"/>
        <v/>
      </c>
      <c r="AM596" s="531" t="str">
        <f t="shared" si="106"/>
        <v/>
      </c>
      <c r="AN596" s="716" t="str">
        <f t="shared" si="107"/>
        <v/>
      </c>
    </row>
    <row r="597" spans="6:40" x14ac:dyDescent="0.2">
      <c r="F597" s="1" t="str">
        <f t="shared" si="100"/>
        <v/>
      </c>
      <c r="G597" s="713" t="str">
        <f t="shared" si="108"/>
        <v/>
      </c>
      <c r="H597" s="17" t="str">
        <f>IFERROR(VLOOKUP($G597,Table1[[Property]:[Exposure %]],4,0),"")</f>
        <v/>
      </c>
      <c r="I597" s="3" t="str">
        <f>IFERROR(VLOOKUP($G597,Table1[[Property]:[Exposure %]],6,0),"")</f>
        <v/>
      </c>
      <c r="J597" s="3" t="str">
        <f>IFERROR(VLOOKUP($G597,Table1[[Property]:[Exposure %]],7,0),"")</f>
        <v/>
      </c>
      <c r="R597" s="4" t="str">
        <f>IFERROR(VLOOKUP(IF(F597="Total",F596,F597),Table1[[Property]:['# Units]],7,0)*S597,"")</f>
        <v/>
      </c>
      <c r="S597" s="27" t="str">
        <f t="shared" si="101"/>
        <v/>
      </c>
      <c r="T597" s="531" t="str">
        <f>IFERROR(
 IF($F597="Total",
   SUMPRODUCT(
   INDEX(T:T, ROW()-COUNTIF($F$6:INDEX($F:$F, ROW()-1), $F596)) : INDEX(T:T, ROW()-1),
   INDEX(W:W, ROW()-COUNTIF($F$6:INDEX($F:$F, ROW()-1), $F596)) : INDEX(W:W, ROW()-1)
   )
   /SUM(INDEX(W:W, ROW()-COUNTIF($F$6:INDEX($F:$F, ROW()-1), $F596)) : INDEX(W:W, ROW()-1)),
   AVERAGEIFS(
     INDEX((unit_details[Asking Rent],unit_details[Asking PSF]),0,1,IF($U$3="Chunk Rent",1,2)),
     unit_details[Leased Date],"&gt;="&amp;($AM$2-T$5),
     unit_details[Leased Date],"&lt;"&amp;$AM$2,
     unit_details[Beds],$L597,
     unit_details[Baths],$M597,
     unit_details[Partial Baths],IF(ISNUMBER($N597),$N597,""),
     unit_details[Sqft],$P597,
     unit_details[Property Name],$F597)
 ),"")</f>
        <v/>
      </c>
      <c r="U597" s="552" t="str">
        <f>IFERROR(
 IF($F597="Total",
   SUMPRODUCT(
   INDEX(U:U, ROW()-COUNTIF($F$6:INDEX($F:$F, ROW()-1), $F596)) : INDEX(U:U, ROW()-1),
   INDEX(W:W, ROW()-COUNTIF($F$6:INDEX($F:$F, ROW()-1), $F596)) : INDEX(W:W, ROW()-1)
   )
   /SUM(INDEX(W:W, ROW()-COUNTIF($F$6:INDEX($F:$F, ROW()-1), $F596)) : INDEX(W:W, ROW()-1)),
   AVERAGEIFS(
     INDEX((unit_details[Effective Rent],unit_details[Effective PSF]),0,1,IF($U$3="Chunk Rent",1,2)),
     unit_details[Leased Date],"&gt;="&amp;($AM$2-T$5),
     unit_details[Leased Date],"&lt;"&amp;$AM$2,
     unit_details[Beds],$L597,
     unit_details[Baths],$M597,
     unit_details[Partial Baths],IF(ISNUMBER($N597),$N597,""),
     unit_details[Sqft],$P597,
     unit_details[Property Name],$F597)
 ),"")</f>
        <v/>
      </c>
      <c r="V597" s="27" t="str">
        <f t="shared" si="109"/>
        <v/>
      </c>
      <c r="W597" s="526">
        <f>IFERROR(
  IF($F597="Total",
    SUM(INDEX(W:W, ROW()-COUNTIF($F$6:INDEX($F:$F, ROW()-1), $F596)) : INDEX(W:W, ROW()-1)),
    COUNTIFS(
      unit_details[Leased Date], "&gt;="&amp;($AM$2-T$5),
      unit_details[Leased Date], "&lt;"&amp;$AM$2,
      unit_details[Beds], $L597,
      unit_details[Baths], $M597,
      unit_details[Partial Baths], IF(ISNUMBER($N597), $N597, ""),
      unit_details[Sqft],$P597,
      unit_details[Property Name], $F597
    )
  ),
"")</f>
        <v>0</v>
      </c>
      <c r="X597" s="531" t="str">
        <f>IFERROR(
 IF($F597="Total",
   SUMPRODUCT(
   INDEX(X:X, ROW()-COUNTIF($F$6:INDEX($F:$F, ROW()-1), $F596)) : INDEX(X:X, ROW()-1),
   INDEX(AA:AA, ROW()-COUNTIF($F$6:INDEX($F:$F, ROW()-1), $F596)) : INDEX(AA:AA, ROW()-1)
   )
   /SUM(INDEX(AA:AA, ROW()-COUNTIF($F$6:INDEX($F:$F, ROW()-1), $F596)) : INDEX(AA:AA, ROW()-1)),
   AVERAGEIFS(
     INDEX((unit_details[Asking Rent],unit_details[Asking PSF]),0,1,IF($U$3="Chunk Rent",1,2)),
     unit_details[Leased Date],"&gt;="&amp;($AM$2-X$5),
     unit_details[Leased Date],"&lt;"&amp;$AM$2,
     unit_details[Beds],$L597,
     unit_details[Baths],$M597,
     unit_details[Partial Baths],IF(ISNUMBER($N597),$N597,""),
     unit_details[Sqft],$P597,
     unit_details[Property Name],$F597)
 ),"")</f>
        <v/>
      </c>
      <c r="Y597" s="552" t="str">
        <f>IFERROR(
 IF($F597="Total",
   SUMPRODUCT(
   INDEX(Y:Y, ROW()-COUNTIF($F$6:INDEX($F:$F, ROW()-1), $F596)) : INDEX(Y:Y, ROW()-1),
   INDEX(AA:AA, ROW()-COUNTIF($F$6:INDEX($F:$F, ROW()-1), $F596)) : INDEX(AA:AA, ROW()-1)
   )
   /SUM(INDEX(AA:AA, ROW()-COUNTIF($F$6:INDEX($F:$F, ROW()-1), $F596)) : INDEX(AA:AA, ROW()-1)),
   AVERAGEIFS(
     INDEX((unit_details[Effective Rent],unit_details[Effective PSF]),0,1,IF($U$3="Chunk Rent",1,2)),
     unit_details[Leased Date],"&gt;="&amp;($AM$2-X$5),
     unit_details[Leased Date],"&lt;"&amp;$AM$2,
     unit_details[Beds],$L597,
     unit_details[Baths],$M597,
     unit_details[Partial Baths],IF(ISNUMBER($N597),$N597,""),
     unit_details[Sqft],$P597,
     unit_details[Property Name],$F597)
 ),"")</f>
        <v/>
      </c>
      <c r="Z597" s="27" t="str">
        <f t="shared" si="110"/>
        <v/>
      </c>
      <c r="AA597" s="526">
        <f>IFERROR(
  IF($F597="Total",
    SUM(INDEX(AA:AA, ROW()-COUNTIF($F$6:INDEX($F:$F, ROW()-1), $F596)) : INDEX(AA:AA, ROW()-1)),
    COUNTIFS(
      unit_details[Leased Date], "&gt;="&amp;($AM$2-X$5),
      unit_details[Leased Date], "&lt;"&amp;$AM$2,
      unit_details[Beds], $L597,
      unit_details[Baths], $M597,
      unit_details[Partial Baths], IF(ISNUMBER($N597), $N597, ""),
      unit_details[Sqft],$P597,
      unit_details[Property Name], $F597
    )
  ),
"")</f>
        <v>0</v>
      </c>
      <c r="AB597" s="290">
        <f>IF($F597="Total",
SUM(INDEX(AB:AB, ROW()-COUNTIF($F$6:INDEX($F:$F, ROW()-1), $F596)) : INDEX(AB:AB, ROW()-1)),
COUNTIFS(unit_details[Active Listing?],TRUE,
          unit_details[Property Name], $F597,
          unit_details[Beds], $L597,
          unit_details[Baths], $M597,
          unit_details[Partial Baths],IF(ISNUMBER($N597),$N597,""),
          unit_details[Sqft],$P597))</f>
        <v>0</v>
      </c>
      <c r="AC597" s="27" t="str">
        <f t="shared" si="102"/>
        <v/>
      </c>
      <c r="AD597" s="293" t="str">
        <f>IFERROR(IF(AE597="","",IF($F597="Total",
SUMPRODUCT(
   INDEX(AD:AD, ROW()-COUNTIF($F$6:INDEX($F:$F, ROW()-1), $F596)) : INDEX(AD:AD, ROW()-1),
   INDEX(AB:AB, ROW()-COUNTIF($F$6:INDEX($F:$F, ROW()-1), $F596)) : INDEX(AB:AB, ROW()-1)
   )
   /SUM(INDEX(AB:AB, ROW()-COUNTIF($F$6:INDEX($F:$F, ROW()-1), $F596)) : INDEX(AB:AB, ROW()-1)),
          _xlfn.MINIFS(unit_details[Asking Rent],
          unit_details[Active Listing?],TRUE,
          unit_details[Property Name], $F597,
          unit_details[Beds], $L597,
          unit_details[Baths], $M597,
          unit_details[Partial Baths], IF(ISNUMBER($N597),$N597,""),
          unit_details[Sqft],$P597
))),"")</f>
        <v/>
      </c>
      <c r="AE597" s="5" t="str">
        <f>IFERROR(IF($F597="Total",
          SUMPRODUCT(
   INDEX(AE:AE, ROW()-COUNTIF($F$6:INDEX($F:$F, ROW()-1), $F596)) : INDEX(AE:AE, ROW()-1),
   INDEX(AB:AB, ROW()-COUNTIF($F$6:INDEX($F:$F, ROW()-1), $F596)) : INDEX(AB:AB, ROW()-1)
   )
   /SUM(INDEX(AB:AB, ROW()-COUNTIF($F$6:INDEX($F:$F, ROW()-1), $F596)) : INDEX(AB:AB, ROW()-1)),
          AVERAGEIFS(unit_details[Asking Rent],
          unit_details[Active Listing?],TRUE,
          unit_details[Property Name], $F597,
          unit_details[Beds], $L597,
          unit_details[Baths], $M597,
          unit_details[Partial Baths], IF(ISNUMBER($N597),$N597,""),
          unit_details[Sqft],$P597
)),"")</f>
        <v/>
      </c>
      <c r="AF597" s="5" t="str">
        <f>IFERROR(IF(AE597="","",IF($F597="Total",
SUMPRODUCT(
   INDEX(AF:AF, ROW()-COUNTIF($F$6:INDEX($F:$F, ROW()-1), $F596)) : INDEX(AF:AF, ROW()-1),
   INDEX(AB:AB, ROW()-COUNTIF($F$6:INDEX($F:$F, ROW()-1), $F596)) : INDEX(AB:AB, ROW()-1)
   )
   /SUM(INDEX(AB:AB, ROW()-COUNTIF($F$6:INDEX($F:$F, ROW()-1), $F596)) : INDEX(AB:AB, ROW()-1)),
           _xlfn.MAXIFS(unit_details[Asking Rent],
          unit_details[Active Listing?],TRUE,
          unit_details[Property Name], $F597,
          unit_details[Beds], $L597,
          unit_details[Baths], $M597,
          unit_details[Partial Baths], IF(ISNUMBER($N597),$N597,""),
          unit_details[Sqft],$P597
))),"")</f>
        <v/>
      </c>
      <c r="AG597" s="6" t="str">
        <f>IFERROR(IF($F597="Total",
         SUMPRODUCT(
         INDEX(AG:AG, ROW()-COUNTIF($F$6:INDEX($F:$F, ROW()-1), $F596)) : INDEX(AG:AG, ROW()-1),
         INDEX(AB:AB, ROW()-COUNTIF($F$6:INDEX($F:$F, ROW()-1), $F596)) : INDEX(AB:AB, ROW()-1)
         )
         /SUM(INDEX(AB:AB, ROW()-COUNTIF($F$6:INDEX($F:$F, ROW()-1), $F596)) : INDEX(AB:AB, ROW()-1)),
          AVERAGEIFS(unit_details[Asking PSF],
          unit_details[Active Listing?],TRUE,
          unit_details[Property Name], $F597,
          unit_details[Beds], $L597,
          unit_details[Baths], $M597,
          unit_details[Partial Baths], IF(ISNUMBER($N597),$N597,""),
          unit_details[Sqft],$P597
)),"")</f>
        <v/>
      </c>
      <c r="AH597" s="293" t="str">
        <f>IFERROR(IF($F597="Total",
         SUMPRODUCT(
         INDEX(AH:AH, ROW()-COUNTIF($F$6:INDEX($F:$F, ROW()-1), $F596)) : INDEX(AH:AH, ROW()-1),
         INDEX(AB:AB, ROW()-COUNTIF($F$6:INDEX($F:$F, ROW()-1), $F596)) : INDEX(AB:AB, ROW()-1)
         )
         /SUM(INDEX(AB:AB, ROW()-COUNTIF($F$6:INDEX($F:$F, ROW()-1), $F596)) : INDEX(AB:AB, ROW()-1)),
          AVERAGEIFS(unit_details[Effective Rent],
          unit_details[Active Listing?],TRUE,
          unit_details[Property Name], $F597,
          unit_details[Beds], $L597,
          unit_details[Baths], $M597,
          unit_details[Partial Baths], IF(ISNUMBER($N597),$N597,""),
          unit_details[Sqft],$P597
)),"")</f>
        <v/>
      </c>
      <c r="AI597" s="6" t="str">
        <f>IFERROR(IF($F597="Total",
         SUMPRODUCT(
         INDEX(AI:AI, ROW()-COUNTIF($F$6:INDEX($F:$F, ROW()-1), $F596)) : INDEX(AI:AI, ROW()-1),
         INDEX(AB:AB, ROW()-COUNTIF($F$6:INDEX($F:$F, ROW()-1), $F596)) : INDEX(AB:AB, ROW()-1)
         )
         /SUM(INDEX(AB:AB, ROW()-COUNTIF($F$6:INDEX($F:$F, ROW()-1), $F596)) : INDEX(AB:AB, ROW()-1)),
           AVERAGEIFS(unit_details[Effective PSF],
          unit_details[Active Listing?],TRUE,
          unit_details[Property Name], $F597,
          unit_details[Beds], $L597,
          unit_details[Baths], $M597,
          unit_details[Partial Baths], IF(ISNUMBER($N597),$N597,""),
          unit_details[Sqft],$P597
)),"")</f>
        <v/>
      </c>
      <c r="AJ597" s="824" t="str">
        <f t="shared" si="103"/>
        <v/>
      </c>
      <c r="AK597" s="531" t="str">
        <f t="shared" si="104"/>
        <v/>
      </c>
      <c r="AL597" s="714" t="str">
        <f t="shared" si="105"/>
        <v/>
      </c>
      <c r="AM597" s="531" t="str">
        <f t="shared" si="106"/>
        <v/>
      </c>
      <c r="AN597" s="716" t="str">
        <f t="shared" si="107"/>
        <v/>
      </c>
    </row>
    <row r="598" spans="6:40" x14ac:dyDescent="0.2">
      <c r="F598" s="1" t="str">
        <f t="shared" si="100"/>
        <v/>
      </c>
      <c r="G598" s="713" t="str">
        <f t="shared" si="108"/>
        <v/>
      </c>
      <c r="H598" s="17" t="str">
        <f>IFERROR(VLOOKUP($G598,Table1[[Property]:[Exposure %]],4,0),"")</f>
        <v/>
      </c>
      <c r="I598" s="3" t="str">
        <f>IFERROR(VLOOKUP($G598,Table1[[Property]:[Exposure %]],6,0),"")</f>
        <v/>
      </c>
      <c r="J598" s="3" t="str">
        <f>IFERROR(VLOOKUP($G598,Table1[[Property]:[Exposure %]],7,0),"")</f>
        <v/>
      </c>
      <c r="R598" s="4" t="str">
        <f>IFERROR(VLOOKUP(IF(F598="Total",F597,F598),Table1[[Property]:['# Units]],7,0)*S598,"")</f>
        <v/>
      </c>
      <c r="S598" s="27" t="str">
        <f t="shared" si="101"/>
        <v/>
      </c>
      <c r="T598" s="531" t="str">
        <f>IFERROR(
 IF($F598="Total",
   SUMPRODUCT(
   INDEX(T:T, ROW()-COUNTIF($F$6:INDEX($F:$F, ROW()-1), $F597)) : INDEX(T:T, ROW()-1),
   INDEX(W:W, ROW()-COUNTIF($F$6:INDEX($F:$F, ROW()-1), $F597)) : INDEX(W:W, ROW()-1)
   )
   /SUM(INDEX(W:W, ROW()-COUNTIF($F$6:INDEX($F:$F, ROW()-1), $F597)) : INDEX(W:W, ROW()-1)),
   AVERAGEIFS(
     INDEX((unit_details[Asking Rent],unit_details[Asking PSF]),0,1,IF($U$3="Chunk Rent",1,2)),
     unit_details[Leased Date],"&gt;="&amp;($AM$2-T$5),
     unit_details[Leased Date],"&lt;"&amp;$AM$2,
     unit_details[Beds],$L598,
     unit_details[Baths],$M598,
     unit_details[Partial Baths],IF(ISNUMBER($N598),$N598,""),
     unit_details[Sqft],$P598,
     unit_details[Property Name],$F598)
 ),"")</f>
        <v/>
      </c>
      <c r="U598" s="552" t="str">
        <f>IFERROR(
 IF($F598="Total",
   SUMPRODUCT(
   INDEX(U:U, ROW()-COUNTIF($F$6:INDEX($F:$F, ROW()-1), $F597)) : INDEX(U:U, ROW()-1),
   INDEX(W:W, ROW()-COUNTIF($F$6:INDEX($F:$F, ROW()-1), $F597)) : INDEX(W:W, ROW()-1)
   )
   /SUM(INDEX(W:W, ROW()-COUNTIF($F$6:INDEX($F:$F, ROW()-1), $F597)) : INDEX(W:W, ROW()-1)),
   AVERAGEIFS(
     INDEX((unit_details[Effective Rent],unit_details[Effective PSF]),0,1,IF($U$3="Chunk Rent",1,2)),
     unit_details[Leased Date],"&gt;="&amp;($AM$2-T$5),
     unit_details[Leased Date],"&lt;"&amp;$AM$2,
     unit_details[Beds],$L598,
     unit_details[Baths],$M598,
     unit_details[Partial Baths],IF(ISNUMBER($N598),$N598,""),
     unit_details[Sqft],$P598,
     unit_details[Property Name],$F598)
 ),"")</f>
        <v/>
      </c>
      <c r="V598" s="27" t="str">
        <f t="shared" si="109"/>
        <v/>
      </c>
      <c r="W598" s="526">
        <f>IFERROR(
  IF($F598="Total",
    SUM(INDEX(W:W, ROW()-COUNTIF($F$6:INDEX($F:$F, ROW()-1), $F597)) : INDEX(W:W, ROW()-1)),
    COUNTIFS(
      unit_details[Leased Date], "&gt;="&amp;($AM$2-T$5),
      unit_details[Leased Date], "&lt;"&amp;$AM$2,
      unit_details[Beds], $L598,
      unit_details[Baths], $M598,
      unit_details[Partial Baths], IF(ISNUMBER($N598), $N598, ""),
      unit_details[Sqft],$P598,
      unit_details[Property Name], $F598
    )
  ),
"")</f>
        <v>0</v>
      </c>
      <c r="X598" s="531" t="str">
        <f>IFERROR(
 IF($F598="Total",
   SUMPRODUCT(
   INDEX(X:X, ROW()-COUNTIF($F$6:INDEX($F:$F, ROW()-1), $F597)) : INDEX(X:X, ROW()-1),
   INDEX(AA:AA, ROW()-COUNTIF($F$6:INDEX($F:$F, ROW()-1), $F597)) : INDEX(AA:AA, ROW()-1)
   )
   /SUM(INDEX(AA:AA, ROW()-COUNTIF($F$6:INDEX($F:$F, ROW()-1), $F597)) : INDEX(AA:AA, ROW()-1)),
   AVERAGEIFS(
     INDEX((unit_details[Asking Rent],unit_details[Asking PSF]),0,1,IF($U$3="Chunk Rent",1,2)),
     unit_details[Leased Date],"&gt;="&amp;($AM$2-X$5),
     unit_details[Leased Date],"&lt;"&amp;$AM$2,
     unit_details[Beds],$L598,
     unit_details[Baths],$M598,
     unit_details[Partial Baths],IF(ISNUMBER($N598),$N598,""),
     unit_details[Sqft],$P598,
     unit_details[Property Name],$F598)
 ),"")</f>
        <v/>
      </c>
      <c r="Y598" s="552" t="str">
        <f>IFERROR(
 IF($F598="Total",
   SUMPRODUCT(
   INDEX(Y:Y, ROW()-COUNTIF($F$6:INDEX($F:$F, ROW()-1), $F597)) : INDEX(Y:Y, ROW()-1),
   INDEX(AA:AA, ROW()-COUNTIF($F$6:INDEX($F:$F, ROW()-1), $F597)) : INDEX(AA:AA, ROW()-1)
   )
   /SUM(INDEX(AA:AA, ROW()-COUNTIF($F$6:INDEX($F:$F, ROW()-1), $F597)) : INDEX(AA:AA, ROW()-1)),
   AVERAGEIFS(
     INDEX((unit_details[Effective Rent],unit_details[Effective PSF]),0,1,IF($U$3="Chunk Rent",1,2)),
     unit_details[Leased Date],"&gt;="&amp;($AM$2-X$5),
     unit_details[Leased Date],"&lt;"&amp;$AM$2,
     unit_details[Beds],$L598,
     unit_details[Baths],$M598,
     unit_details[Partial Baths],IF(ISNUMBER($N598),$N598,""),
     unit_details[Sqft],$P598,
     unit_details[Property Name],$F598)
 ),"")</f>
        <v/>
      </c>
      <c r="Z598" s="27" t="str">
        <f t="shared" si="110"/>
        <v/>
      </c>
      <c r="AA598" s="526">
        <f>IFERROR(
  IF($F598="Total",
    SUM(INDEX(AA:AA, ROW()-COUNTIF($F$6:INDEX($F:$F, ROW()-1), $F597)) : INDEX(AA:AA, ROW()-1)),
    COUNTIFS(
      unit_details[Leased Date], "&gt;="&amp;($AM$2-X$5),
      unit_details[Leased Date], "&lt;"&amp;$AM$2,
      unit_details[Beds], $L598,
      unit_details[Baths], $M598,
      unit_details[Partial Baths], IF(ISNUMBER($N598), $N598, ""),
      unit_details[Sqft],$P598,
      unit_details[Property Name], $F598
    )
  ),
"")</f>
        <v>0</v>
      </c>
      <c r="AB598" s="290">
        <f>IF($F598="Total",
SUM(INDEX(AB:AB, ROW()-COUNTIF($F$6:INDEX($F:$F, ROW()-1), $F597)) : INDEX(AB:AB, ROW()-1)),
COUNTIFS(unit_details[Active Listing?],TRUE,
          unit_details[Property Name], $F598,
          unit_details[Beds], $L598,
          unit_details[Baths], $M598,
          unit_details[Partial Baths],IF(ISNUMBER($N598),$N598,""),
          unit_details[Sqft],$P598))</f>
        <v>0</v>
      </c>
      <c r="AC598" s="27" t="str">
        <f t="shared" si="102"/>
        <v/>
      </c>
      <c r="AD598" s="293" t="str">
        <f>IFERROR(IF(AE598="","",IF($F598="Total",
SUMPRODUCT(
   INDEX(AD:AD, ROW()-COUNTIF($F$6:INDEX($F:$F, ROW()-1), $F597)) : INDEX(AD:AD, ROW()-1),
   INDEX(AB:AB, ROW()-COUNTIF($F$6:INDEX($F:$F, ROW()-1), $F597)) : INDEX(AB:AB, ROW()-1)
   )
   /SUM(INDEX(AB:AB, ROW()-COUNTIF($F$6:INDEX($F:$F, ROW()-1), $F597)) : INDEX(AB:AB, ROW()-1)),
          _xlfn.MINIFS(unit_details[Asking Rent],
          unit_details[Active Listing?],TRUE,
          unit_details[Property Name], $F598,
          unit_details[Beds], $L598,
          unit_details[Baths], $M598,
          unit_details[Partial Baths], IF(ISNUMBER($N598),$N598,""),
          unit_details[Sqft],$P598
))),"")</f>
        <v/>
      </c>
      <c r="AE598" s="5" t="str">
        <f>IFERROR(IF($F598="Total",
          SUMPRODUCT(
   INDEX(AE:AE, ROW()-COUNTIF($F$6:INDEX($F:$F, ROW()-1), $F597)) : INDEX(AE:AE, ROW()-1),
   INDEX(AB:AB, ROW()-COUNTIF($F$6:INDEX($F:$F, ROW()-1), $F597)) : INDEX(AB:AB, ROW()-1)
   )
   /SUM(INDEX(AB:AB, ROW()-COUNTIF($F$6:INDEX($F:$F, ROW()-1), $F597)) : INDEX(AB:AB, ROW()-1)),
          AVERAGEIFS(unit_details[Asking Rent],
          unit_details[Active Listing?],TRUE,
          unit_details[Property Name], $F598,
          unit_details[Beds], $L598,
          unit_details[Baths], $M598,
          unit_details[Partial Baths], IF(ISNUMBER($N598),$N598,""),
          unit_details[Sqft],$P598
)),"")</f>
        <v/>
      </c>
      <c r="AF598" s="5" t="str">
        <f>IFERROR(IF(AE598="","",IF($F598="Total",
SUMPRODUCT(
   INDEX(AF:AF, ROW()-COUNTIF($F$6:INDEX($F:$F, ROW()-1), $F597)) : INDEX(AF:AF, ROW()-1),
   INDEX(AB:AB, ROW()-COUNTIF($F$6:INDEX($F:$F, ROW()-1), $F597)) : INDEX(AB:AB, ROW()-1)
   )
   /SUM(INDEX(AB:AB, ROW()-COUNTIF($F$6:INDEX($F:$F, ROW()-1), $F597)) : INDEX(AB:AB, ROW()-1)),
           _xlfn.MAXIFS(unit_details[Asking Rent],
          unit_details[Active Listing?],TRUE,
          unit_details[Property Name], $F598,
          unit_details[Beds], $L598,
          unit_details[Baths], $M598,
          unit_details[Partial Baths], IF(ISNUMBER($N598),$N598,""),
          unit_details[Sqft],$P598
))),"")</f>
        <v/>
      </c>
      <c r="AG598" s="6" t="str">
        <f>IFERROR(IF($F598="Total",
         SUMPRODUCT(
         INDEX(AG:AG, ROW()-COUNTIF($F$6:INDEX($F:$F, ROW()-1), $F597)) : INDEX(AG:AG, ROW()-1),
         INDEX(AB:AB, ROW()-COUNTIF($F$6:INDEX($F:$F, ROW()-1), $F597)) : INDEX(AB:AB, ROW()-1)
         )
         /SUM(INDEX(AB:AB, ROW()-COUNTIF($F$6:INDEX($F:$F, ROW()-1), $F597)) : INDEX(AB:AB, ROW()-1)),
          AVERAGEIFS(unit_details[Asking PSF],
          unit_details[Active Listing?],TRUE,
          unit_details[Property Name], $F598,
          unit_details[Beds], $L598,
          unit_details[Baths], $M598,
          unit_details[Partial Baths], IF(ISNUMBER($N598),$N598,""),
          unit_details[Sqft],$P598
)),"")</f>
        <v/>
      </c>
      <c r="AH598" s="293" t="str">
        <f>IFERROR(IF($F598="Total",
         SUMPRODUCT(
         INDEX(AH:AH, ROW()-COUNTIF($F$6:INDEX($F:$F, ROW()-1), $F597)) : INDEX(AH:AH, ROW()-1),
         INDEX(AB:AB, ROW()-COUNTIF($F$6:INDEX($F:$F, ROW()-1), $F597)) : INDEX(AB:AB, ROW()-1)
         )
         /SUM(INDEX(AB:AB, ROW()-COUNTIF($F$6:INDEX($F:$F, ROW()-1), $F597)) : INDEX(AB:AB, ROW()-1)),
          AVERAGEIFS(unit_details[Effective Rent],
          unit_details[Active Listing?],TRUE,
          unit_details[Property Name], $F598,
          unit_details[Beds], $L598,
          unit_details[Baths], $M598,
          unit_details[Partial Baths], IF(ISNUMBER($N598),$N598,""),
          unit_details[Sqft],$P598
)),"")</f>
        <v/>
      </c>
      <c r="AI598" s="6" t="str">
        <f>IFERROR(IF($F598="Total",
         SUMPRODUCT(
         INDEX(AI:AI, ROW()-COUNTIF($F$6:INDEX($F:$F, ROW()-1), $F597)) : INDEX(AI:AI, ROW()-1),
         INDEX(AB:AB, ROW()-COUNTIF($F$6:INDEX($F:$F, ROW()-1), $F597)) : INDEX(AB:AB, ROW()-1)
         )
         /SUM(INDEX(AB:AB, ROW()-COUNTIF($F$6:INDEX($F:$F, ROW()-1), $F597)) : INDEX(AB:AB, ROW()-1)),
           AVERAGEIFS(unit_details[Effective PSF],
          unit_details[Active Listing?],TRUE,
          unit_details[Property Name], $F598,
          unit_details[Beds], $L598,
          unit_details[Baths], $M598,
          unit_details[Partial Baths], IF(ISNUMBER($N598),$N598,""),
          unit_details[Sqft],$P598
)),"")</f>
        <v/>
      </c>
      <c r="AJ598" s="824" t="str">
        <f t="shared" si="103"/>
        <v/>
      </c>
      <c r="AK598" s="531" t="str">
        <f t="shared" si="104"/>
        <v/>
      </c>
      <c r="AL598" s="714" t="str">
        <f t="shared" si="105"/>
        <v/>
      </c>
      <c r="AM598" s="531" t="str">
        <f t="shared" si="106"/>
        <v/>
      </c>
      <c r="AN598" s="716" t="str">
        <f t="shared" si="107"/>
        <v/>
      </c>
    </row>
    <row r="599" spans="6:40" x14ac:dyDescent="0.2">
      <c r="F599" s="1" t="str">
        <f t="shared" si="100"/>
        <v/>
      </c>
      <c r="G599" s="713" t="str">
        <f t="shared" si="108"/>
        <v/>
      </c>
      <c r="H599" s="17" t="str">
        <f>IFERROR(VLOOKUP($G599,Table1[[Property]:[Exposure %]],4,0),"")</f>
        <v/>
      </c>
      <c r="I599" s="3" t="str">
        <f>IFERROR(VLOOKUP($G599,Table1[[Property]:[Exposure %]],6,0),"")</f>
        <v/>
      </c>
      <c r="J599" s="3" t="str">
        <f>IFERROR(VLOOKUP($G599,Table1[[Property]:[Exposure %]],7,0),"")</f>
        <v/>
      </c>
      <c r="R599" s="4" t="str">
        <f>IFERROR(VLOOKUP(IF(F599="Total",F598,F599),Table1[[Property]:['# Units]],7,0)*S599,"")</f>
        <v/>
      </c>
      <c r="S599" s="27" t="str">
        <f t="shared" si="101"/>
        <v/>
      </c>
      <c r="T599" s="531" t="str">
        <f>IFERROR(
 IF($F599="Total",
   SUMPRODUCT(
   INDEX(T:T, ROW()-COUNTIF($F$6:INDEX($F:$F, ROW()-1), $F598)) : INDEX(T:T, ROW()-1),
   INDEX(W:W, ROW()-COUNTIF($F$6:INDEX($F:$F, ROW()-1), $F598)) : INDEX(W:W, ROW()-1)
   )
   /SUM(INDEX(W:W, ROW()-COUNTIF($F$6:INDEX($F:$F, ROW()-1), $F598)) : INDEX(W:W, ROW()-1)),
   AVERAGEIFS(
     INDEX((unit_details[Asking Rent],unit_details[Asking PSF]),0,1,IF($U$3="Chunk Rent",1,2)),
     unit_details[Leased Date],"&gt;="&amp;($AM$2-T$5),
     unit_details[Leased Date],"&lt;"&amp;$AM$2,
     unit_details[Beds],$L599,
     unit_details[Baths],$M599,
     unit_details[Partial Baths],IF(ISNUMBER($N599),$N599,""),
     unit_details[Sqft],$P599,
     unit_details[Property Name],$F599)
 ),"")</f>
        <v/>
      </c>
      <c r="U599" s="552" t="str">
        <f>IFERROR(
 IF($F599="Total",
   SUMPRODUCT(
   INDEX(U:U, ROW()-COUNTIF($F$6:INDEX($F:$F, ROW()-1), $F598)) : INDEX(U:U, ROW()-1),
   INDEX(W:W, ROW()-COUNTIF($F$6:INDEX($F:$F, ROW()-1), $F598)) : INDEX(W:W, ROW()-1)
   )
   /SUM(INDEX(W:W, ROW()-COUNTIF($F$6:INDEX($F:$F, ROW()-1), $F598)) : INDEX(W:W, ROW()-1)),
   AVERAGEIFS(
     INDEX((unit_details[Effective Rent],unit_details[Effective PSF]),0,1,IF($U$3="Chunk Rent",1,2)),
     unit_details[Leased Date],"&gt;="&amp;($AM$2-T$5),
     unit_details[Leased Date],"&lt;"&amp;$AM$2,
     unit_details[Beds],$L599,
     unit_details[Baths],$M599,
     unit_details[Partial Baths],IF(ISNUMBER($N599),$N599,""),
     unit_details[Sqft],$P599,
     unit_details[Property Name],$F599)
 ),"")</f>
        <v/>
      </c>
      <c r="V599" s="27" t="str">
        <f t="shared" si="109"/>
        <v/>
      </c>
      <c r="W599" s="526">
        <f>IFERROR(
  IF($F599="Total",
    SUM(INDEX(W:W, ROW()-COUNTIF($F$6:INDEX($F:$F, ROW()-1), $F598)) : INDEX(W:W, ROW()-1)),
    COUNTIFS(
      unit_details[Leased Date], "&gt;="&amp;($AM$2-T$5),
      unit_details[Leased Date], "&lt;"&amp;$AM$2,
      unit_details[Beds], $L599,
      unit_details[Baths], $M599,
      unit_details[Partial Baths], IF(ISNUMBER($N599), $N599, ""),
      unit_details[Sqft],$P599,
      unit_details[Property Name], $F599
    )
  ),
"")</f>
        <v>0</v>
      </c>
      <c r="X599" s="531" t="str">
        <f>IFERROR(
 IF($F599="Total",
   SUMPRODUCT(
   INDEX(X:X, ROW()-COUNTIF($F$6:INDEX($F:$F, ROW()-1), $F598)) : INDEX(X:X, ROW()-1),
   INDEX(AA:AA, ROW()-COUNTIF($F$6:INDEX($F:$F, ROW()-1), $F598)) : INDEX(AA:AA, ROW()-1)
   )
   /SUM(INDEX(AA:AA, ROW()-COUNTIF($F$6:INDEX($F:$F, ROW()-1), $F598)) : INDEX(AA:AA, ROW()-1)),
   AVERAGEIFS(
     INDEX((unit_details[Asking Rent],unit_details[Asking PSF]),0,1,IF($U$3="Chunk Rent",1,2)),
     unit_details[Leased Date],"&gt;="&amp;($AM$2-X$5),
     unit_details[Leased Date],"&lt;"&amp;$AM$2,
     unit_details[Beds],$L599,
     unit_details[Baths],$M599,
     unit_details[Partial Baths],IF(ISNUMBER($N599),$N599,""),
     unit_details[Sqft],$P599,
     unit_details[Property Name],$F599)
 ),"")</f>
        <v/>
      </c>
      <c r="Y599" s="552" t="str">
        <f>IFERROR(
 IF($F599="Total",
   SUMPRODUCT(
   INDEX(Y:Y, ROW()-COUNTIF($F$6:INDEX($F:$F, ROW()-1), $F598)) : INDEX(Y:Y, ROW()-1),
   INDEX(AA:AA, ROW()-COUNTIF($F$6:INDEX($F:$F, ROW()-1), $F598)) : INDEX(AA:AA, ROW()-1)
   )
   /SUM(INDEX(AA:AA, ROW()-COUNTIF($F$6:INDEX($F:$F, ROW()-1), $F598)) : INDEX(AA:AA, ROW()-1)),
   AVERAGEIFS(
     INDEX((unit_details[Effective Rent],unit_details[Effective PSF]),0,1,IF($U$3="Chunk Rent",1,2)),
     unit_details[Leased Date],"&gt;="&amp;($AM$2-X$5),
     unit_details[Leased Date],"&lt;"&amp;$AM$2,
     unit_details[Beds],$L599,
     unit_details[Baths],$M599,
     unit_details[Partial Baths],IF(ISNUMBER($N599),$N599,""),
     unit_details[Sqft],$P599,
     unit_details[Property Name],$F599)
 ),"")</f>
        <v/>
      </c>
      <c r="Z599" s="27" t="str">
        <f t="shared" si="110"/>
        <v/>
      </c>
      <c r="AA599" s="526">
        <f>IFERROR(
  IF($F599="Total",
    SUM(INDEX(AA:AA, ROW()-COUNTIF($F$6:INDEX($F:$F, ROW()-1), $F598)) : INDEX(AA:AA, ROW()-1)),
    COUNTIFS(
      unit_details[Leased Date], "&gt;="&amp;($AM$2-X$5),
      unit_details[Leased Date], "&lt;"&amp;$AM$2,
      unit_details[Beds], $L599,
      unit_details[Baths], $M599,
      unit_details[Partial Baths], IF(ISNUMBER($N599), $N599, ""),
      unit_details[Sqft],$P599,
      unit_details[Property Name], $F599
    )
  ),
"")</f>
        <v>0</v>
      </c>
      <c r="AB599" s="290">
        <f>IF($F599="Total",
SUM(INDEX(AB:AB, ROW()-COUNTIF($F$6:INDEX($F:$F, ROW()-1), $F598)) : INDEX(AB:AB, ROW()-1)),
COUNTIFS(unit_details[Active Listing?],TRUE,
          unit_details[Property Name], $F599,
          unit_details[Beds], $L599,
          unit_details[Baths], $M599,
          unit_details[Partial Baths],IF(ISNUMBER($N599),$N599,""),
          unit_details[Sqft],$P599))</f>
        <v>0</v>
      </c>
      <c r="AC599" s="27" t="str">
        <f t="shared" si="102"/>
        <v/>
      </c>
      <c r="AD599" s="293" t="str">
        <f>IFERROR(IF(AE599="","",IF($F599="Total",
SUMPRODUCT(
   INDEX(AD:AD, ROW()-COUNTIF($F$6:INDEX($F:$F, ROW()-1), $F598)) : INDEX(AD:AD, ROW()-1),
   INDEX(AB:AB, ROW()-COUNTIF($F$6:INDEX($F:$F, ROW()-1), $F598)) : INDEX(AB:AB, ROW()-1)
   )
   /SUM(INDEX(AB:AB, ROW()-COUNTIF($F$6:INDEX($F:$F, ROW()-1), $F598)) : INDEX(AB:AB, ROW()-1)),
          _xlfn.MINIFS(unit_details[Asking Rent],
          unit_details[Active Listing?],TRUE,
          unit_details[Property Name], $F599,
          unit_details[Beds], $L599,
          unit_details[Baths], $M599,
          unit_details[Partial Baths], IF(ISNUMBER($N599),$N599,""),
          unit_details[Sqft],$P599
))),"")</f>
        <v/>
      </c>
      <c r="AE599" s="5" t="str">
        <f>IFERROR(IF($F599="Total",
          SUMPRODUCT(
   INDEX(AE:AE, ROW()-COUNTIF($F$6:INDEX($F:$F, ROW()-1), $F598)) : INDEX(AE:AE, ROW()-1),
   INDEX(AB:AB, ROW()-COUNTIF($F$6:INDEX($F:$F, ROW()-1), $F598)) : INDEX(AB:AB, ROW()-1)
   )
   /SUM(INDEX(AB:AB, ROW()-COUNTIF($F$6:INDEX($F:$F, ROW()-1), $F598)) : INDEX(AB:AB, ROW()-1)),
          AVERAGEIFS(unit_details[Asking Rent],
          unit_details[Active Listing?],TRUE,
          unit_details[Property Name], $F599,
          unit_details[Beds], $L599,
          unit_details[Baths], $M599,
          unit_details[Partial Baths], IF(ISNUMBER($N599),$N599,""),
          unit_details[Sqft],$P599
)),"")</f>
        <v/>
      </c>
      <c r="AF599" s="5" t="str">
        <f>IFERROR(IF(AE599="","",IF($F599="Total",
SUMPRODUCT(
   INDEX(AF:AF, ROW()-COUNTIF($F$6:INDEX($F:$F, ROW()-1), $F598)) : INDEX(AF:AF, ROW()-1),
   INDEX(AB:AB, ROW()-COUNTIF($F$6:INDEX($F:$F, ROW()-1), $F598)) : INDEX(AB:AB, ROW()-1)
   )
   /SUM(INDEX(AB:AB, ROW()-COUNTIF($F$6:INDEX($F:$F, ROW()-1), $F598)) : INDEX(AB:AB, ROW()-1)),
           _xlfn.MAXIFS(unit_details[Asking Rent],
          unit_details[Active Listing?],TRUE,
          unit_details[Property Name], $F599,
          unit_details[Beds], $L599,
          unit_details[Baths], $M599,
          unit_details[Partial Baths], IF(ISNUMBER($N599),$N599,""),
          unit_details[Sqft],$P599
))),"")</f>
        <v/>
      </c>
      <c r="AG599" s="6" t="str">
        <f>IFERROR(IF($F599="Total",
         SUMPRODUCT(
         INDEX(AG:AG, ROW()-COUNTIF($F$6:INDEX($F:$F, ROW()-1), $F598)) : INDEX(AG:AG, ROW()-1),
         INDEX(AB:AB, ROW()-COUNTIF($F$6:INDEX($F:$F, ROW()-1), $F598)) : INDEX(AB:AB, ROW()-1)
         )
         /SUM(INDEX(AB:AB, ROW()-COUNTIF($F$6:INDEX($F:$F, ROW()-1), $F598)) : INDEX(AB:AB, ROW()-1)),
          AVERAGEIFS(unit_details[Asking PSF],
          unit_details[Active Listing?],TRUE,
          unit_details[Property Name], $F599,
          unit_details[Beds], $L599,
          unit_details[Baths], $M599,
          unit_details[Partial Baths], IF(ISNUMBER($N599),$N599,""),
          unit_details[Sqft],$P599
)),"")</f>
        <v/>
      </c>
      <c r="AH599" s="293" t="str">
        <f>IFERROR(IF($F599="Total",
         SUMPRODUCT(
         INDEX(AH:AH, ROW()-COUNTIF($F$6:INDEX($F:$F, ROW()-1), $F598)) : INDEX(AH:AH, ROW()-1),
         INDEX(AB:AB, ROW()-COUNTIF($F$6:INDEX($F:$F, ROW()-1), $F598)) : INDEX(AB:AB, ROW()-1)
         )
         /SUM(INDEX(AB:AB, ROW()-COUNTIF($F$6:INDEX($F:$F, ROW()-1), $F598)) : INDEX(AB:AB, ROW()-1)),
          AVERAGEIFS(unit_details[Effective Rent],
          unit_details[Active Listing?],TRUE,
          unit_details[Property Name], $F599,
          unit_details[Beds], $L599,
          unit_details[Baths], $M599,
          unit_details[Partial Baths], IF(ISNUMBER($N599),$N599,""),
          unit_details[Sqft],$P599
)),"")</f>
        <v/>
      </c>
      <c r="AI599" s="6" t="str">
        <f>IFERROR(IF($F599="Total",
         SUMPRODUCT(
         INDEX(AI:AI, ROW()-COUNTIF($F$6:INDEX($F:$F, ROW()-1), $F598)) : INDEX(AI:AI, ROW()-1),
         INDEX(AB:AB, ROW()-COUNTIF($F$6:INDEX($F:$F, ROW()-1), $F598)) : INDEX(AB:AB, ROW()-1)
         )
         /SUM(INDEX(AB:AB, ROW()-COUNTIF($F$6:INDEX($F:$F, ROW()-1), $F598)) : INDEX(AB:AB, ROW()-1)),
           AVERAGEIFS(unit_details[Effective PSF],
          unit_details[Active Listing?],TRUE,
          unit_details[Property Name], $F599,
          unit_details[Beds], $L599,
          unit_details[Baths], $M599,
          unit_details[Partial Baths], IF(ISNUMBER($N599),$N599,""),
          unit_details[Sqft],$P599
)),"")</f>
        <v/>
      </c>
      <c r="AJ599" s="824" t="str">
        <f t="shared" si="103"/>
        <v/>
      </c>
      <c r="AK599" s="531" t="str">
        <f t="shared" si="104"/>
        <v/>
      </c>
      <c r="AL599" s="714" t="str">
        <f t="shared" si="105"/>
        <v/>
      </c>
      <c r="AM599" s="531" t="str">
        <f t="shared" si="106"/>
        <v/>
      </c>
      <c r="AN599" s="716" t="str">
        <f t="shared" si="107"/>
        <v/>
      </c>
    </row>
    <row r="600" spans="6:40" x14ac:dyDescent="0.2">
      <c r="F600" s="1" t="str">
        <f t="shared" si="100"/>
        <v/>
      </c>
      <c r="G600" s="713" t="str">
        <f t="shared" si="108"/>
        <v/>
      </c>
      <c r="H600" s="17" t="str">
        <f>IFERROR(VLOOKUP($G600,Table1[[Property]:[Exposure %]],4,0),"")</f>
        <v/>
      </c>
      <c r="I600" s="3" t="str">
        <f>IFERROR(VLOOKUP($G600,Table1[[Property]:[Exposure %]],6,0),"")</f>
        <v/>
      </c>
      <c r="J600" s="3" t="str">
        <f>IFERROR(VLOOKUP($G600,Table1[[Property]:[Exposure %]],7,0),"")</f>
        <v/>
      </c>
      <c r="R600" s="4" t="str">
        <f>IFERROR(VLOOKUP(IF(F600="Total",F599,F600),Table1[[Property]:['# Units]],7,0)*S600,"")</f>
        <v/>
      </c>
      <c r="S600" s="27" t="str">
        <f t="shared" si="101"/>
        <v/>
      </c>
      <c r="T600" s="531" t="str">
        <f>IFERROR(
 IF($F600="Total",
   SUMPRODUCT(
   INDEX(T:T, ROW()-COUNTIF($F$6:INDEX($F:$F, ROW()-1), $F599)) : INDEX(T:T, ROW()-1),
   INDEX(W:W, ROW()-COUNTIF($F$6:INDEX($F:$F, ROW()-1), $F599)) : INDEX(W:W, ROW()-1)
   )
   /SUM(INDEX(W:W, ROW()-COUNTIF($F$6:INDEX($F:$F, ROW()-1), $F599)) : INDEX(W:W, ROW()-1)),
   AVERAGEIFS(
     INDEX((unit_details[Asking Rent],unit_details[Asking PSF]),0,1,IF($U$3="Chunk Rent",1,2)),
     unit_details[Leased Date],"&gt;="&amp;($AM$2-T$5),
     unit_details[Leased Date],"&lt;"&amp;$AM$2,
     unit_details[Beds],$L600,
     unit_details[Baths],$M600,
     unit_details[Partial Baths],IF(ISNUMBER($N600),$N600,""),
     unit_details[Sqft],$P600,
     unit_details[Property Name],$F600)
 ),"")</f>
        <v/>
      </c>
      <c r="U600" s="552" t="str">
        <f>IFERROR(
 IF($F600="Total",
   SUMPRODUCT(
   INDEX(U:U, ROW()-COUNTIF($F$6:INDEX($F:$F, ROW()-1), $F599)) : INDEX(U:U, ROW()-1),
   INDEX(W:W, ROW()-COUNTIF($F$6:INDEX($F:$F, ROW()-1), $F599)) : INDEX(W:W, ROW()-1)
   )
   /SUM(INDEX(W:W, ROW()-COUNTIF($F$6:INDEX($F:$F, ROW()-1), $F599)) : INDEX(W:W, ROW()-1)),
   AVERAGEIFS(
     INDEX((unit_details[Effective Rent],unit_details[Effective PSF]),0,1,IF($U$3="Chunk Rent",1,2)),
     unit_details[Leased Date],"&gt;="&amp;($AM$2-T$5),
     unit_details[Leased Date],"&lt;"&amp;$AM$2,
     unit_details[Beds],$L600,
     unit_details[Baths],$M600,
     unit_details[Partial Baths],IF(ISNUMBER($N600),$N600,""),
     unit_details[Sqft],$P600,
     unit_details[Property Name],$F600)
 ),"")</f>
        <v/>
      </c>
      <c r="V600" s="27" t="str">
        <f t="shared" si="109"/>
        <v/>
      </c>
      <c r="W600" s="526">
        <f>IFERROR(
  IF($F600="Total",
    SUM(INDEX(W:W, ROW()-COUNTIF($F$6:INDEX($F:$F, ROW()-1), $F599)) : INDEX(W:W, ROW()-1)),
    COUNTIFS(
      unit_details[Leased Date], "&gt;="&amp;($AM$2-T$5),
      unit_details[Leased Date], "&lt;"&amp;$AM$2,
      unit_details[Beds], $L600,
      unit_details[Baths], $M600,
      unit_details[Partial Baths], IF(ISNUMBER($N600), $N600, ""),
      unit_details[Sqft],$P600,
      unit_details[Property Name], $F600
    )
  ),
"")</f>
        <v>0</v>
      </c>
      <c r="X600" s="531" t="str">
        <f>IFERROR(
 IF($F600="Total",
   SUMPRODUCT(
   INDEX(X:X, ROW()-COUNTIF($F$6:INDEX($F:$F, ROW()-1), $F599)) : INDEX(X:X, ROW()-1),
   INDEX(AA:AA, ROW()-COUNTIF($F$6:INDEX($F:$F, ROW()-1), $F599)) : INDEX(AA:AA, ROW()-1)
   )
   /SUM(INDEX(AA:AA, ROW()-COUNTIF($F$6:INDEX($F:$F, ROW()-1), $F599)) : INDEX(AA:AA, ROW()-1)),
   AVERAGEIFS(
     INDEX((unit_details[Asking Rent],unit_details[Asking PSF]),0,1,IF($U$3="Chunk Rent",1,2)),
     unit_details[Leased Date],"&gt;="&amp;($AM$2-X$5),
     unit_details[Leased Date],"&lt;"&amp;$AM$2,
     unit_details[Beds],$L600,
     unit_details[Baths],$M600,
     unit_details[Partial Baths],IF(ISNUMBER($N600),$N600,""),
     unit_details[Sqft],$P600,
     unit_details[Property Name],$F600)
 ),"")</f>
        <v/>
      </c>
      <c r="Y600" s="552" t="str">
        <f>IFERROR(
 IF($F600="Total",
   SUMPRODUCT(
   INDEX(Y:Y, ROW()-COUNTIF($F$6:INDEX($F:$F, ROW()-1), $F599)) : INDEX(Y:Y, ROW()-1),
   INDEX(AA:AA, ROW()-COUNTIF($F$6:INDEX($F:$F, ROW()-1), $F599)) : INDEX(AA:AA, ROW()-1)
   )
   /SUM(INDEX(AA:AA, ROW()-COUNTIF($F$6:INDEX($F:$F, ROW()-1), $F599)) : INDEX(AA:AA, ROW()-1)),
   AVERAGEIFS(
     INDEX((unit_details[Effective Rent],unit_details[Effective PSF]),0,1,IF($U$3="Chunk Rent",1,2)),
     unit_details[Leased Date],"&gt;="&amp;($AM$2-X$5),
     unit_details[Leased Date],"&lt;"&amp;$AM$2,
     unit_details[Beds],$L600,
     unit_details[Baths],$M600,
     unit_details[Partial Baths],IF(ISNUMBER($N600),$N600,""),
     unit_details[Sqft],$P600,
     unit_details[Property Name],$F600)
 ),"")</f>
        <v/>
      </c>
      <c r="Z600" s="27" t="str">
        <f t="shared" si="110"/>
        <v/>
      </c>
      <c r="AA600" s="526">
        <f>IFERROR(
  IF($F600="Total",
    SUM(INDEX(AA:AA, ROW()-COUNTIF($F$6:INDEX($F:$F, ROW()-1), $F599)) : INDEX(AA:AA, ROW()-1)),
    COUNTIFS(
      unit_details[Leased Date], "&gt;="&amp;($AM$2-X$5),
      unit_details[Leased Date], "&lt;"&amp;$AM$2,
      unit_details[Beds], $L600,
      unit_details[Baths], $M600,
      unit_details[Partial Baths], IF(ISNUMBER($N600), $N600, ""),
      unit_details[Sqft],$P600,
      unit_details[Property Name], $F600
    )
  ),
"")</f>
        <v>0</v>
      </c>
      <c r="AB600" s="290">
        <f>IF($F600="Total",
SUM(INDEX(AB:AB, ROW()-COUNTIF($F$6:INDEX($F:$F, ROW()-1), $F599)) : INDEX(AB:AB, ROW()-1)),
COUNTIFS(unit_details[Active Listing?],TRUE,
          unit_details[Property Name], $F600,
          unit_details[Beds], $L600,
          unit_details[Baths], $M600,
          unit_details[Partial Baths],IF(ISNUMBER($N600),$N600,""),
          unit_details[Sqft],$P600))</f>
        <v>0</v>
      </c>
      <c r="AC600" s="27" t="str">
        <f t="shared" si="102"/>
        <v/>
      </c>
      <c r="AD600" s="293" t="str">
        <f>IFERROR(IF(AE600="","",IF($F600="Total",
SUMPRODUCT(
   INDEX(AD:AD, ROW()-COUNTIF($F$6:INDEX($F:$F, ROW()-1), $F599)) : INDEX(AD:AD, ROW()-1),
   INDEX(AB:AB, ROW()-COUNTIF($F$6:INDEX($F:$F, ROW()-1), $F599)) : INDEX(AB:AB, ROW()-1)
   )
   /SUM(INDEX(AB:AB, ROW()-COUNTIF($F$6:INDEX($F:$F, ROW()-1), $F599)) : INDEX(AB:AB, ROW()-1)),
          _xlfn.MINIFS(unit_details[Asking Rent],
          unit_details[Active Listing?],TRUE,
          unit_details[Property Name], $F600,
          unit_details[Beds], $L600,
          unit_details[Baths], $M600,
          unit_details[Partial Baths], IF(ISNUMBER($N600),$N600,""),
          unit_details[Sqft],$P600
))),"")</f>
        <v/>
      </c>
      <c r="AE600" s="5" t="str">
        <f>IFERROR(IF($F600="Total",
          SUMPRODUCT(
   INDEX(AE:AE, ROW()-COUNTIF($F$6:INDEX($F:$F, ROW()-1), $F599)) : INDEX(AE:AE, ROW()-1),
   INDEX(AB:AB, ROW()-COUNTIF($F$6:INDEX($F:$F, ROW()-1), $F599)) : INDEX(AB:AB, ROW()-1)
   )
   /SUM(INDEX(AB:AB, ROW()-COUNTIF($F$6:INDEX($F:$F, ROW()-1), $F599)) : INDEX(AB:AB, ROW()-1)),
          AVERAGEIFS(unit_details[Asking Rent],
          unit_details[Active Listing?],TRUE,
          unit_details[Property Name], $F600,
          unit_details[Beds], $L600,
          unit_details[Baths], $M600,
          unit_details[Partial Baths], IF(ISNUMBER($N600),$N600,""),
          unit_details[Sqft],$P600
)),"")</f>
        <v/>
      </c>
      <c r="AF600" s="5" t="str">
        <f>IFERROR(IF(AE600="","",IF($F600="Total",
SUMPRODUCT(
   INDEX(AF:AF, ROW()-COUNTIF($F$6:INDEX($F:$F, ROW()-1), $F599)) : INDEX(AF:AF, ROW()-1),
   INDEX(AB:AB, ROW()-COUNTIF($F$6:INDEX($F:$F, ROW()-1), $F599)) : INDEX(AB:AB, ROW()-1)
   )
   /SUM(INDEX(AB:AB, ROW()-COUNTIF($F$6:INDEX($F:$F, ROW()-1), $F599)) : INDEX(AB:AB, ROW()-1)),
           _xlfn.MAXIFS(unit_details[Asking Rent],
          unit_details[Active Listing?],TRUE,
          unit_details[Property Name], $F600,
          unit_details[Beds], $L600,
          unit_details[Baths], $M600,
          unit_details[Partial Baths], IF(ISNUMBER($N600),$N600,""),
          unit_details[Sqft],$P600
))),"")</f>
        <v/>
      </c>
      <c r="AG600" s="6" t="str">
        <f>IFERROR(IF($F600="Total",
         SUMPRODUCT(
         INDEX(AG:AG, ROW()-COUNTIF($F$6:INDEX($F:$F, ROW()-1), $F599)) : INDEX(AG:AG, ROW()-1),
         INDEX(AB:AB, ROW()-COUNTIF($F$6:INDEX($F:$F, ROW()-1), $F599)) : INDEX(AB:AB, ROW()-1)
         )
         /SUM(INDEX(AB:AB, ROW()-COUNTIF($F$6:INDEX($F:$F, ROW()-1), $F599)) : INDEX(AB:AB, ROW()-1)),
          AVERAGEIFS(unit_details[Asking PSF],
          unit_details[Active Listing?],TRUE,
          unit_details[Property Name], $F600,
          unit_details[Beds], $L600,
          unit_details[Baths], $M600,
          unit_details[Partial Baths], IF(ISNUMBER($N600),$N600,""),
          unit_details[Sqft],$P600
)),"")</f>
        <v/>
      </c>
      <c r="AH600" s="293" t="str">
        <f>IFERROR(IF($F600="Total",
         SUMPRODUCT(
         INDEX(AH:AH, ROW()-COUNTIF($F$6:INDEX($F:$F, ROW()-1), $F599)) : INDEX(AH:AH, ROW()-1),
         INDEX(AB:AB, ROW()-COUNTIF($F$6:INDEX($F:$F, ROW()-1), $F599)) : INDEX(AB:AB, ROW()-1)
         )
         /SUM(INDEX(AB:AB, ROW()-COUNTIF($F$6:INDEX($F:$F, ROW()-1), $F599)) : INDEX(AB:AB, ROW()-1)),
          AVERAGEIFS(unit_details[Effective Rent],
          unit_details[Active Listing?],TRUE,
          unit_details[Property Name], $F600,
          unit_details[Beds], $L600,
          unit_details[Baths], $M600,
          unit_details[Partial Baths], IF(ISNUMBER($N600),$N600,""),
          unit_details[Sqft],$P600
)),"")</f>
        <v/>
      </c>
      <c r="AI600" s="6" t="str">
        <f>IFERROR(IF($F600="Total",
         SUMPRODUCT(
         INDEX(AI:AI, ROW()-COUNTIF($F$6:INDEX($F:$F, ROW()-1), $F599)) : INDEX(AI:AI, ROW()-1),
         INDEX(AB:AB, ROW()-COUNTIF($F$6:INDEX($F:$F, ROW()-1), $F599)) : INDEX(AB:AB, ROW()-1)
         )
         /SUM(INDEX(AB:AB, ROW()-COUNTIF($F$6:INDEX($F:$F, ROW()-1), $F599)) : INDEX(AB:AB, ROW()-1)),
           AVERAGEIFS(unit_details[Effective PSF],
          unit_details[Active Listing?],TRUE,
          unit_details[Property Name], $F600,
          unit_details[Beds], $L600,
          unit_details[Baths], $M600,
          unit_details[Partial Baths], IF(ISNUMBER($N600),$N600,""),
          unit_details[Sqft],$P600
)),"")</f>
        <v/>
      </c>
      <c r="AJ600" s="824" t="str">
        <f t="shared" si="103"/>
        <v/>
      </c>
      <c r="AK600" s="531" t="str">
        <f t="shared" si="104"/>
        <v/>
      </c>
      <c r="AL600" s="714" t="str">
        <f t="shared" si="105"/>
        <v/>
      </c>
      <c r="AM600" s="531" t="str">
        <f t="shared" si="106"/>
        <v/>
      </c>
      <c r="AN600" s="716" t="str">
        <f t="shared" si="107"/>
        <v/>
      </c>
    </row>
    <row r="601" spans="6:40" x14ac:dyDescent="0.2">
      <c r="F601" s="1" t="str">
        <f t="shared" si="100"/>
        <v/>
      </c>
      <c r="G601" s="713" t="str">
        <f t="shared" si="108"/>
        <v/>
      </c>
      <c r="H601" s="17" t="str">
        <f>IFERROR(VLOOKUP($G601,Table1[[Property]:[Exposure %]],4,0),"")</f>
        <v/>
      </c>
      <c r="I601" s="3" t="str">
        <f>IFERROR(VLOOKUP($G601,Table1[[Property]:[Exposure %]],6,0),"")</f>
        <v/>
      </c>
      <c r="J601" s="3" t="str">
        <f>IFERROR(VLOOKUP($G601,Table1[[Property]:[Exposure %]],7,0),"")</f>
        <v/>
      </c>
      <c r="R601" s="4" t="str">
        <f>IFERROR(VLOOKUP(IF(F601="Total",F600,F601),Table1[[Property]:['# Units]],7,0)*S601,"")</f>
        <v/>
      </c>
      <c r="S601" s="27" t="str">
        <f t="shared" si="101"/>
        <v/>
      </c>
      <c r="T601" s="531" t="str">
        <f>IFERROR(
 IF($F601="Total",
   SUMPRODUCT(
   INDEX(T:T, ROW()-COUNTIF($F$6:INDEX($F:$F, ROW()-1), $F600)) : INDEX(T:T, ROW()-1),
   INDEX(W:W, ROW()-COUNTIF($F$6:INDEX($F:$F, ROW()-1), $F600)) : INDEX(W:W, ROW()-1)
   )
   /SUM(INDEX(W:W, ROW()-COUNTIF($F$6:INDEX($F:$F, ROW()-1), $F600)) : INDEX(W:W, ROW()-1)),
   AVERAGEIFS(
     INDEX((unit_details[Asking Rent],unit_details[Asking PSF]),0,1,IF($U$3="Chunk Rent",1,2)),
     unit_details[Leased Date],"&gt;="&amp;($AM$2-T$5),
     unit_details[Leased Date],"&lt;"&amp;$AM$2,
     unit_details[Beds],$L601,
     unit_details[Baths],$M601,
     unit_details[Partial Baths],IF(ISNUMBER($N601),$N601,""),
     unit_details[Sqft],$P601,
     unit_details[Property Name],$F601)
 ),"")</f>
        <v/>
      </c>
      <c r="U601" s="552" t="str">
        <f>IFERROR(
 IF($F601="Total",
   SUMPRODUCT(
   INDEX(U:U, ROW()-COUNTIF($F$6:INDEX($F:$F, ROW()-1), $F600)) : INDEX(U:U, ROW()-1),
   INDEX(W:W, ROW()-COUNTIF($F$6:INDEX($F:$F, ROW()-1), $F600)) : INDEX(W:W, ROW()-1)
   )
   /SUM(INDEX(W:W, ROW()-COUNTIF($F$6:INDEX($F:$F, ROW()-1), $F600)) : INDEX(W:W, ROW()-1)),
   AVERAGEIFS(
     INDEX((unit_details[Effective Rent],unit_details[Effective PSF]),0,1,IF($U$3="Chunk Rent",1,2)),
     unit_details[Leased Date],"&gt;="&amp;($AM$2-T$5),
     unit_details[Leased Date],"&lt;"&amp;$AM$2,
     unit_details[Beds],$L601,
     unit_details[Baths],$M601,
     unit_details[Partial Baths],IF(ISNUMBER($N601),$N601,""),
     unit_details[Sqft],$P601,
     unit_details[Property Name],$F601)
 ),"")</f>
        <v/>
      </c>
      <c r="V601" s="27" t="str">
        <f t="shared" si="109"/>
        <v/>
      </c>
      <c r="W601" s="526">
        <f>IFERROR(
  IF($F601="Total",
    SUM(INDEX(W:W, ROW()-COUNTIF($F$6:INDEX($F:$F, ROW()-1), $F600)) : INDEX(W:W, ROW()-1)),
    COUNTIFS(
      unit_details[Leased Date], "&gt;="&amp;($AM$2-T$5),
      unit_details[Leased Date], "&lt;"&amp;$AM$2,
      unit_details[Beds], $L601,
      unit_details[Baths], $M601,
      unit_details[Partial Baths], IF(ISNUMBER($N601), $N601, ""),
      unit_details[Sqft],$P601,
      unit_details[Property Name], $F601
    )
  ),
"")</f>
        <v>0</v>
      </c>
      <c r="X601" s="531" t="str">
        <f>IFERROR(
 IF($F601="Total",
   SUMPRODUCT(
   INDEX(X:X, ROW()-COUNTIF($F$6:INDEX($F:$F, ROW()-1), $F600)) : INDEX(X:X, ROW()-1),
   INDEX(AA:AA, ROW()-COUNTIF($F$6:INDEX($F:$F, ROW()-1), $F600)) : INDEX(AA:AA, ROW()-1)
   )
   /SUM(INDEX(AA:AA, ROW()-COUNTIF($F$6:INDEX($F:$F, ROW()-1), $F600)) : INDEX(AA:AA, ROW()-1)),
   AVERAGEIFS(
     INDEX((unit_details[Asking Rent],unit_details[Asking PSF]),0,1,IF($U$3="Chunk Rent",1,2)),
     unit_details[Leased Date],"&gt;="&amp;($AM$2-X$5),
     unit_details[Leased Date],"&lt;"&amp;$AM$2,
     unit_details[Beds],$L601,
     unit_details[Baths],$M601,
     unit_details[Partial Baths],IF(ISNUMBER($N601),$N601,""),
     unit_details[Sqft],$P601,
     unit_details[Property Name],$F601)
 ),"")</f>
        <v/>
      </c>
      <c r="Y601" s="552" t="str">
        <f>IFERROR(
 IF($F601="Total",
   SUMPRODUCT(
   INDEX(Y:Y, ROW()-COUNTIF($F$6:INDEX($F:$F, ROW()-1), $F600)) : INDEX(Y:Y, ROW()-1),
   INDEX(AA:AA, ROW()-COUNTIF($F$6:INDEX($F:$F, ROW()-1), $F600)) : INDEX(AA:AA, ROW()-1)
   )
   /SUM(INDEX(AA:AA, ROW()-COUNTIF($F$6:INDEX($F:$F, ROW()-1), $F600)) : INDEX(AA:AA, ROW()-1)),
   AVERAGEIFS(
     INDEX((unit_details[Effective Rent],unit_details[Effective PSF]),0,1,IF($U$3="Chunk Rent",1,2)),
     unit_details[Leased Date],"&gt;="&amp;($AM$2-X$5),
     unit_details[Leased Date],"&lt;"&amp;$AM$2,
     unit_details[Beds],$L601,
     unit_details[Baths],$M601,
     unit_details[Partial Baths],IF(ISNUMBER($N601),$N601,""),
     unit_details[Sqft],$P601,
     unit_details[Property Name],$F601)
 ),"")</f>
        <v/>
      </c>
      <c r="Z601" s="27" t="str">
        <f t="shared" si="110"/>
        <v/>
      </c>
      <c r="AA601" s="526">
        <f>IFERROR(
  IF($F601="Total",
    SUM(INDEX(AA:AA, ROW()-COUNTIF($F$6:INDEX($F:$F, ROW()-1), $F600)) : INDEX(AA:AA, ROW()-1)),
    COUNTIFS(
      unit_details[Leased Date], "&gt;="&amp;($AM$2-X$5),
      unit_details[Leased Date], "&lt;"&amp;$AM$2,
      unit_details[Beds], $L601,
      unit_details[Baths], $M601,
      unit_details[Partial Baths], IF(ISNUMBER($N601), $N601, ""),
      unit_details[Sqft],$P601,
      unit_details[Property Name], $F601
    )
  ),
"")</f>
        <v>0</v>
      </c>
      <c r="AB601" s="290">
        <f>IF($F601="Total",
SUM(INDEX(AB:AB, ROW()-COUNTIF($F$6:INDEX($F:$F, ROW()-1), $F600)) : INDEX(AB:AB, ROW()-1)),
COUNTIFS(unit_details[Active Listing?],TRUE,
          unit_details[Property Name], $F601,
          unit_details[Beds], $L601,
          unit_details[Baths], $M601,
          unit_details[Partial Baths],IF(ISNUMBER($N601),$N601,""),
          unit_details[Sqft],$P601))</f>
        <v>0</v>
      </c>
      <c r="AC601" s="27" t="str">
        <f t="shared" si="102"/>
        <v/>
      </c>
      <c r="AD601" s="293" t="str">
        <f>IFERROR(IF(AE601="","",IF($F601="Total",
SUMPRODUCT(
   INDEX(AD:AD, ROW()-COUNTIF($F$6:INDEX($F:$F, ROW()-1), $F600)) : INDEX(AD:AD, ROW()-1),
   INDEX(AB:AB, ROW()-COUNTIF($F$6:INDEX($F:$F, ROW()-1), $F600)) : INDEX(AB:AB, ROW()-1)
   )
   /SUM(INDEX(AB:AB, ROW()-COUNTIF($F$6:INDEX($F:$F, ROW()-1), $F600)) : INDEX(AB:AB, ROW()-1)),
          _xlfn.MINIFS(unit_details[Asking Rent],
          unit_details[Active Listing?],TRUE,
          unit_details[Property Name], $F601,
          unit_details[Beds], $L601,
          unit_details[Baths], $M601,
          unit_details[Partial Baths], IF(ISNUMBER($N601),$N601,""),
          unit_details[Sqft],$P601
))),"")</f>
        <v/>
      </c>
      <c r="AE601" s="5" t="str">
        <f>IFERROR(IF($F601="Total",
          SUMPRODUCT(
   INDEX(AE:AE, ROW()-COUNTIF($F$6:INDEX($F:$F, ROW()-1), $F600)) : INDEX(AE:AE, ROW()-1),
   INDEX(AB:AB, ROW()-COUNTIF($F$6:INDEX($F:$F, ROW()-1), $F600)) : INDEX(AB:AB, ROW()-1)
   )
   /SUM(INDEX(AB:AB, ROW()-COUNTIF($F$6:INDEX($F:$F, ROW()-1), $F600)) : INDEX(AB:AB, ROW()-1)),
          AVERAGEIFS(unit_details[Asking Rent],
          unit_details[Active Listing?],TRUE,
          unit_details[Property Name], $F601,
          unit_details[Beds], $L601,
          unit_details[Baths], $M601,
          unit_details[Partial Baths], IF(ISNUMBER($N601),$N601,""),
          unit_details[Sqft],$P601
)),"")</f>
        <v/>
      </c>
      <c r="AF601" s="5" t="str">
        <f>IFERROR(IF(AE601="","",IF($F601="Total",
SUMPRODUCT(
   INDEX(AF:AF, ROW()-COUNTIF($F$6:INDEX($F:$F, ROW()-1), $F600)) : INDEX(AF:AF, ROW()-1),
   INDEX(AB:AB, ROW()-COUNTIF($F$6:INDEX($F:$F, ROW()-1), $F600)) : INDEX(AB:AB, ROW()-1)
   )
   /SUM(INDEX(AB:AB, ROW()-COUNTIF($F$6:INDEX($F:$F, ROW()-1), $F600)) : INDEX(AB:AB, ROW()-1)),
           _xlfn.MAXIFS(unit_details[Asking Rent],
          unit_details[Active Listing?],TRUE,
          unit_details[Property Name], $F601,
          unit_details[Beds], $L601,
          unit_details[Baths], $M601,
          unit_details[Partial Baths], IF(ISNUMBER($N601),$N601,""),
          unit_details[Sqft],$P601
))),"")</f>
        <v/>
      </c>
      <c r="AG601" s="6" t="str">
        <f>IFERROR(IF($F601="Total",
         SUMPRODUCT(
         INDEX(AG:AG, ROW()-COUNTIF($F$6:INDEX($F:$F, ROW()-1), $F600)) : INDEX(AG:AG, ROW()-1),
         INDEX(AB:AB, ROW()-COUNTIF($F$6:INDEX($F:$F, ROW()-1), $F600)) : INDEX(AB:AB, ROW()-1)
         )
         /SUM(INDEX(AB:AB, ROW()-COUNTIF($F$6:INDEX($F:$F, ROW()-1), $F600)) : INDEX(AB:AB, ROW()-1)),
          AVERAGEIFS(unit_details[Asking PSF],
          unit_details[Active Listing?],TRUE,
          unit_details[Property Name], $F601,
          unit_details[Beds], $L601,
          unit_details[Baths], $M601,
          unit_details[Partial Baths], IF(ISNUMBER($N601),$N601,""),
          unit_details[Sqft],$P601
)),"")</f>
        <v/>
      </c>
      <c r="AH601" s="293" t="str">
        <f>IFERROR(IF($F601="Total",
         SUMPRODUCT(
         INDEX(AH:AH, ROW()-COUNTIF($F$6:INDEX($F:$F, ROW()-1), $F600)) : INDEX(AH:AH, ROW()-1),
         INDEX(AB:AB, ROW()-COUNTIF($F$6:INDEX($F:$F, ROW()-1), $F600)) : INDEX(AB:AB, ROW()-1)
         )
         /SUM(INDEX(AB:AB, ROW()-COUNTIF($F$6:INDEX($F:$F, ROW()-1), $F600)) : INDEX(AB:AB, ROW()-1)),
          AVERAGEIFS(unit_details[Effective Rent],
          unit_details[Active Listing?],TRUE,
          unit_details[Property Name], $F601,
          unit_details[Beds], $L601,
          unit_details[Baths], $M601,
          unit_details[Partial Baths], IF(ISNUMBER($N601),$N601,""),
          unit_details[Sqft],$P601
)),"")</f>
        <v/>
      </c>
      <c r="AI601" s="6" t="str">
        <f>IFERROR(IF($F601="Total",
         SUMPRODUCT(
         INDEX(AI:AI, ROW()-COUNTIF($F$6:INDEX($F:$F, ROW()-1), $F600)) : INDEX(AI:AI, ROW()-1),
         INDEX(AB:AB, ROW()-COUNTIF($F$6:INDEX($F:$F, ROW()-1), $F600)) : INDEX(AB:AB, ROW()-1)
         )
         /SUM(INDEX(AB:AB, ROW()-COUNTIF($F$6:INDEX($F:$F, ROW()-1), $F600)) : INDEX(AB:AB, ROW()-1)),
           AVERAGEIFS(unit_details[Effective PSF],
          unit_details[Active Listing?],TRUE,
          unit_details[Property Name], $F601,
          unit_details[Beds], $L601,
          unit_details[Baths], $M601,
          unit_details[Partial Baths], IF(ISNUMBER($N601),$N601,""),
          unit_details[Sqft],$P601
)),"")</f>
        <v/>
      </c>
      <c r="AJ601" s="824" t="str">
        <f t="shared" si="103"/>
        <v/>
      </c>
      <c r="AK601" s="531" t="str">
        <f t="shared" si="104"/>
        <v/>
      </c>
      <c r="AL601" s="714" t="str">
        <f t="shared" si="105"/>
        <v/>
      </c>
      <c r="AM601" s="531" t="str">
        <f t="shared" si="106"/>
        <v/>
      </c>
      <c r="AN601" s="716" t="str">
        <f t="shared" si="107"/>
        <v/>
      </c>
    </row>
    <row r="602" spans="6:40" x14ac:dyDescent="0.2">
      <c r="F602" s="1" t="str">
        <f t="shared" si="100"/>
        <v/>
      </c>
      <c r="G602" s="713" t="str">
        <f t="shared" si="108"/>
        <v/>
      </c>
      <c r="H602" s="17" t="str">
        <f>IFERROR(VLOOKUP($G602,Table1[[Property]:[Exposure %]],4,0),"")</f>
        <v/>
      </c>
      <c r="I602" s="3" t="str">
        <f>IFERROR(VLOOKUP($G602,Table1[[Property]:[Exposure %]],6,0),"")</f>
        <v/>
      </c>
      <c r="J602" s="3" t="str">
        <f>IFERROR(VLOOKUP($G602,Table1[[Property]:[Exposure %]],7,0),"")</f>
        <v/>
      </c>
      <c r="R602" s="4" t="str">
        <f>IFERROR(VLOOKUP(IF(F602="Total",F601,F602),Table1[[Property]:['# Units]],7,0)*S602,"")</f>
        <v/>
      </c>
      <c r="S602" s="27" t="str">
        <f t="shared" si="101"/>
        <v/>
      </c>
      <c r="T602" s="531" t="str">
        <f>IFERROR(
 IF($F602="Total",
   SUMPRODUCT(
   INDEX(T:T, ROW()-COUNTIF($F$6:INDEX($F:$F, ROW()-1), $F601)) : INDEX(T:T, ROW()-1),
   INDEX(W:W, ROW()-COUNTIF($F$6:INDEX($F:$F, ROW()-1), $F601)) : INDEX(W:W, ROW()-1)
   )
   /SUM(INDEX(W:W, ROW()-COUNTIF($F$6:INDEX($F:$F, ROW()-1), $F601)) : INDEX(W:W, ROW()-1)),
   AVERAGEIFS(
     INDEX((unit_details[Asking Rent],unit_details[Asking PSF]),0,1,IF($U$3="Chunk Rent",1,2)),
     unit_details[Leased Date],"&gt;="&amp;($AM$2-T$5),
     unit_details[Leased Date],"&lt;"&amp;$AM$2,
     unit_details[Beds],$L602,
     unit_details[Baths],$M602,
     unit_details[Partial Baths],IF(ISNUMBER($N602),$N602,""),
     unit_details[Sqft],$P602,
     unit_details[Property Name],$F602)
 ),"")</f>
        <v/>
      </c>
      <c r="U602" s="552" t="str">
        <f>IFERROR(
 IF($F602="Total",
   SUMPRODUCT(
   INDEX(U:U, ROW()-COUNTIF($F$6:INDEX($F:$F, ROW()-1), $F601)) : INDEX(U:U, ROW()-1),
   INDEX(W:W, ROW()-COUNTIF($F$6:INDEX($F:$F, ROW()-1), $F601)) : INDEX(W:W, ROW()-1)
   )
   /SUM(INDEX(W:W, ROW()-COUNTIF($F$6:INDEX($F:$F, ROW()-1), $F601)) : INDEX(W:W, ROW()-1)),
   AVERAGEIFS(
     INDEX((unit_details[Effective Rent],unit_details[Effective PSF]),0,1,IF($U$3="Chunk Rent",1,2)),
     unit_details[Leased Date],"&gt;="&amp;($AM$2-T$5),
     unit_details[Leased Date],"&lt;"&amp;$AM$2,
     unit_details[Beds],$L602,
     unit_details[Baths],$M602,
     unit_details[Partial Baths],IF(ISNUMBER($N602),$N602,""),
     unit_details[Sqft],$P602,
     unit_details[Property Name],$F602)
 ),"")</f>
        <v/>
      </c>
      <c r="V602" s="27" t="str">
        <f t="shared" si="109"/>
        <v/>
      </c>
      <c r="W602" s="526">
        <f>IFERROR(
  IF($F602="Total",
    SUM(INDEX(W:W, ROW()-COUNTIF($F$6:INDEX($F:$F, ROW()-1), $F601)) : INDEX(W:W, ROW()-1)),
    COUNTIFS(
      unit_details[Leased Date], "&gt;="&amp;($AM$2-T$5),
      unit_details[Leased Date], "&lt;"&amp;$AM$2,
      unit_details[Beds], $L602,
      unit_details[Baths], $M602,
      unit_details[Partial Baths], IF(ISNUMBER($N602), $N602, ""),
      unit_details[Sqft],$P602,
      unit_details[Property Name], $F602
    )
  ),
"")</f>
        <v>0</v>
      </c>
      <c r="X602" s="531" t="str">
        <f>IFERROR(
 IF($F602="Total",
   SUMPRODUCT(
   INDEX(X:X, ROW()-COUNTIF($F$6:INDEX($F:$F, ROW()-1), $F601)) : INDEX(X:X, ROW()-1),
   INDEX(AA:AA, ROW()-COUNTIF($F$6:INDEX($F:$F, ROW()-1), $F601)) : INDEX(AA:AA, ROW()-1)
   )
   /SUM(INDEX(AA:AA, ROW()-COUNTIF($F$6:INDEX($F:$F, ROW()-1), $F601)) : INDEX(AA:AA, ROW()-1)),
   AVERAGEIFS(
     INDEX((unit_details[Asking Rent],unit_details[Asking PSF]),0,1,IF($U$3="Chunk Rent",1,2)),
     unit_details[Leased Date],"&gt;="&amp;($AM$2-X$5),
     unit_details[Leased Date],"&lt;"&amp;$AM$2,
     unit_details[Beds],$L602,
     unit_details[Baths],$M602,
     unit_details[Partial Baths],IF(ISNUMBER($N602),$N602,""),
     unit_details[Sqft],$P602,
     unit_details[Property Name],$F602)
 ),"")</f>
        <v/>
      </c>
      <c r="Y602" s="552" t="str">
        <f>IFERROR(
 IF($F602="Total",
   SUMPRODUCT(
   INDEX(Y:Y, ROW()-COUNTIF($F$6:INDEX($F:$F, ROW()-1), $F601)) : INDEX(Y:Y, ROW()-1),
   INDEX(AA:AA, ROW()-COUNTIF($F$6:INDEX($F:$F, ROW()-1), $F601)) : INDEX(AA:AA, ROW()-1)
   )
   /SUM(INDEX(AA:AA, ROW()-COUNTIF($F$6:INDEX($F:$F, ROW()-1), $F601)) : INDEX(AA:AA, ROW()-1)),
   AVERAGEIFS(
     INDEX((unit_details[Effective Rent],unit_details[Effective PSF]),0,1,IF($U$3="Chunk Rent",1,2)),
     unit_details[Leased Date],"&gt;="&amp;($AM$2-X$5),
     unit_details[Leased Date],"&lt;"&amp;$AM$2,
     unit_details[Beds],$L602,
     unit_details[Baths],$M602,
     unit_details[Partial Baths],IF(ISNUMBER($N602),$N602,""),
     unit_details[Sqft],$P602,
     unit_details[Property Name],$F602)
 ),"")</f>
        <v/>
      </c>
      <c r="Z602" s="27" t="str">
        <f t="shared" si="110"/>
        <v/>
      </c>
      <c r="AA602" s="526">
        <f>IFERROR(
  IF($F602="Total",
    SUM(INDEX(AA:AA, ROW()-COUNTIF($F$6:INDEX($F:$F, ROW()-1), $F601)) : INDEX(AA:AA, ROW()-1)),
    COUNTIFS(
      unit_details[Leased Date], "&gt;="&amp;($AM$2-X$5),
      unit_details[Leased Date], "&lt;"&amp;$AM$2,
      unit_details[Beds], $L602,
      unit_details[Baths], $M602,
      unit_details[Partial Baths], IF(ISNUMBER($N602), $N602, ""),
      unit_details[Sqft],$P602,
      unit_details[Property Name], $F602
    )
  ),
"")</f>
        <v>0</v>
      </c>
      <c r="AB602" s="290">
        <f>IF($F602="Total",
SUM(INDEX(AB:AB, ROW()-COUNTIF($F$6:INDEX($F:$F, ROW()-1), $F601)) : INDEX(AB:AB, ROW()-1)),
COUNTIFS(unit_details[Active Listing?],TRUE,
          unit_details[Property Name], $F602,
          unit_details[Beds], $L602,
          unit_details[Baths], $M602,
          unit_details[Partial Baths],IF(ISNUMBER($N602),$N602,""),
          unit_details[Sqft],$P602))</f>
        <v>0</v>
      </c>
      <c r="AC602" s="27" t="str">
        <f t="shared" si="102"/>
        <v/>
      </c>
      <c r="AD602" s="293" t="str">
        <f>IFERROR(IF(AE602="","",IF($F602="Total",
SUMPRODUCT(
   INDEX(AD:AD, ROW()-COUNTIF($F$6:INDEX($F:$F, ROW()-1), $F601)) : INDEX(AD:AD, ROW()-1),
   INDEX(AB:AB, ROW()-COUNTIF($F$6:INDEX($F:$F, ROW()-1), $F601)) : INDEX(AB:AB, ROW()-1)
   )
   /SUM(INDEX(AB:AB, ROW()-COUNTIF($F$6:INDEX($F:$F, ROW()-1), $F601)) : INDEX(AB:AB, ROW()-1)),
          _xlfn.MINIFS(unit_details[Asking Rent],
          unit_details[Active Listing?],TRUE,
          unit_details[Property Name], $F602,
          unit_details[Beds], $L602,
          unit_details[Baths], $M602,
          unit_details[Partial Baths], IF(ISNUMBER($N602),$N602,""),
          unit_details[Sqft],$P602
))),"")</f>
        <v/>
      </c>
      <c r="AE602" s="5" t="str">
        <f>IFERROR(IF($F602="Total",
          SUMPRODUCT(
   INDEX(AE:AE, ROW()-COUNTIF($F$6:INDEX($F:$F, ROW()-1), $F601)) : INDEX(AE:AE, ROW()-1),
   INDEX(AB:AB, ROW()-COUNTIF($F$6:INDEX($F:$F, ROW()-1), $F601)) : INDEX(AB:AB, ROW()-1)
   )
   /SUM(INDEX(AB:AB, ROW()-COUNTIF($F$6:INDEX($F:$F, ROW()-1), $F601)) : INDEX(AB:AB, ROW()-1)),
          AVERAGEIFS(unit_details[Asking Rent],
          unit_details[Active Listing?],TRUE,
          unit_details[Property Name], $F602,
          unit_details[Beds], $L602,
          unit_details[Baths], $M602,
          unit_details[Partial Baths], IF(ISNUMBER($N602),$N602,""),
          unit_details[Sqft],$P602
)),"")</f>
        <v/>
      </c>
      <c r="AF602" s="5" t="str">
        <f>IFERROR(IF(AE602="","",IF($F602="Total",
SUMPRODUCT(
   INDEX(AF:AF, ROW()-COUNTIF($F$6:INDEX($F:$F, ROW()-1), $F601)) : INDEX(AF:AF, ROW()-1),
   INDEX(AB:AB, ROW()-COUNTIF($F$6:INDEX($F:$F, ROW()-1), $F601)) : INDEX(AB:AB, ROW()-1)
   )
   /SUM(INDEX(AB:AB, ROW()-COUNTIF($F$6:INDEX($F:$F, ROW()-1), $F601)) : INDEX(AB:AB, ROW()-1)),
           _xlfn.MAXIFS(unit_details[Asking Rent],
          unit_details[Active Listing?],TRUE,
          unit_details[Property Name], $F602,
          unit_details[Beds], $L602,
          unit_details[Baths], $M602,
          unit_details[Partial Baths], IF(ISNUMBER($N602),$N602,""),
          unit_details[Sqft],$P602
))),"")</f>
        <v/>
      </c>
      <c r="AG602" s="6" t="str">
        <f>IFERROR(IF($F602="Total",
         SUMPRODUCT(
         INDEX(AG:AG, ROW()-COUNTIF($F$6:INDEX($F:$F, ROW()-1), $F601)) : INDEX(AG:AG, ROW()-1),
         INDEX(AB:AB, ROW()-COUNTIF($F$6:INDEX($F:$F, ROW()-1), $F601)) : INDEX(AB:AB, ROW()-1)
         )
         /SUM(INDEX(AB:AB, ROW()-COUNTIF($F$6:INDEX($F:$F, ROW()-1), $F601)) : INDEX(AB:AB, ROW()-1)),
          AVERAGEIFS(unit_details[Asking PSF],
          unit_details[Active Listing?],TRUE,
          unit_details[Property Name], $F602,
          unit_details[Beds], $L602,
          unit_details[Baths], $M602,
          unit_details[Partial Baths], IF(ISNUMBER($N602),$N602,""),
          unit_details[Sqft],$P602
)),"")</f>
        <v/>
      </c>
      <c r="AH602" s="293" t="str">
        <f>IFERROR(IF($F602="Total",
         SUMPRODUCT(
         INDEX(AH:AH, ROW()-COUNTIF($F$6:INDEX($F:$F, ROW()-1), $F601)) : INDEX(AH:AH, ROW()-1),
         INDEX(AB:AB, ROW()-COUNTIF($F$6:INDEX($F:$F, ROW()-1), $F601)) : INDEX(AB:AB, ROW()-1)
         )
         /SUM(INDEX(AB:AB, ROW()-COUNTIF($F$6:INDEX($F:$F, ROW()-1), $F601)) : INDEX(AB:AB, ROW()-1)),
          AVERAGEIFS(unit_details[Effective Rent],
          unit_details[Active Listing?],TRUE,
          unit_details[Property Name], $F602,
          unit_details[Beds], $L602,
          unit_details[Baths], $M602,
          unit_details[Partial Baths], IF(ISNUMBER($N602),$N602,""),
          unit_details[Sqft],$P602
)),"")</f>
        <v/>
      </c>
      <c r="AI602" s="6" t="str">
        <f>IFERROR(IF($F602="Total",
         SUMPRODUCT(
         INDEX(AI:AI, ROW()-COUNTIF($F$6:INDEX($F:$F, ROW()-1), $F601)) : INDEX(AI:AI, ROW()-1),
         INDEX(AB:AB, ROW()-COUNTIF($F$6:INDEX($F:$F, ROW()-1), $F601)) : INDEX(AB:AB, ROW()-1)
         )
         /SUM(INDEX(AB:AB, ROW()-COUNTIF($F$6:INDEX($F:$F, ROW()-1), $F601)) : INDEX(AB:AB, ROW()-1)),
           AVERAGEIFS(unit_details[Effective PSF],
          unit_details[Active Listing?],TRUE,
          unit_details[Property Name], $F602,
          unit_details[Beds], $L602,
          unit_details[Baths], $M602,
          unit_details[Partial Baths], IF(ISNUMBER($N602),$N602,""),
          unit_details[Sqft],$P602
)),"")</f>
        <v/>
      </c>
      <c r="AJ602" s="824" t="str">
        <f t="shared" si="103"/>
        <v/>
      </c>
      <c r="AK602" s="531" t="str">
        <f t="shared" si="104"/>
        <v/>
      </c>
      <c r="AL602" s="714" t="str">
        <f t="shared" si="105"/>
        <v/>
      </c>
      <c r="AM602" s="531" t="str">
        <f t="shared" si="106"/>
        <v/>
      </c>
      <c r="AN602" s="716" t="str">
        <f t="shared" si="107"/>
        <v/>
      </c>
    </row>
    <row r="603" spans="6:40" x14ac:dyDescent="0.2">
      <c r="F603" s="1" t="str">
        <f t="shared" si="100"/>
        <v/>
      </c>
      <c r="G603" s="713" t="str">
        <f t="shared" si="108"/>
        <v/>
      </c>
      <c r="H603" s="17" t="str">
        <f>IFERROR(VLOOKUP($G603,Table1[[Property]:[Exposure %]],4,0),"")</f>
        <v/>
      </c>
      <c r="I603" s="3" t="str">
        <f>IFERROR(VLOOKUP($G603,Table1[[Property]:[Exposure %]],6,0),"")</f>
        <v/>
      </c>
      <c r="J603" s="3" t="str">
        <f>IFERROR(VLOOKUP($G603,Table1[[Property]:[Exposure %]],7,0),"")</f>
        <v/>
      </c>
      <c r="R603" s="4" t="str">
        <f>IFERROR(VLOOKUP(IF(F603="Total",F602,F603),Table1[[Property]:['# Units]],7,0)*S603,"")</f>
        <v/>
      </c>
      <c r="S603" s="27" t="str">
        <f t="shared" si="101"/>
        <v/>
      </c>
      <c r="T603" s="531" t="str">
        <f>IFERROR(
 IF($F603="Total",
   SUMPRODUCT(
   INDEX(T:T, ROW()-COUNTIF($F$6:INDEX($F:$F, ROW()-1), $F602)) : INDEX(T:T, ROW()-1),
   INDEX(W:W, ROW()-COUNTIF($F$6:INDEX($F:$F, ROW()-1), $F602)) : INDEX(W:W, ROW()-1)
   )
   /SUM(INDEX(W:W, ROW()-COUNTIF($F$6:INDEX($F:$F, ROW()-1), $F602)) : INDEX(W:W, ROW()-1)),
   AVERAGEIFS(
     INDEX((unit_details[Asking Rent],unit_details[Asking PSF]),0,1,IF($U$3="Chunk Rent",1,2)),
     unit_details[Leased Date],"&gt;="&amp;($AM$2-T$5),
     unit_details[Leased Date],"&lt;"&amp;$AM$2,
     unit_details[Beds],$L603,
     unit_details[Baths],$M603,
     unit_details[Partial Baths],IF(ISNUMBER($N603),$N603,""),
     unit_details[Sqft],$P603,
     unit_details[Property Name],$F603)
 ),"")</f>
        <v/>
      </c>
      <c r="U603" s="552" t="str">
        <f>IFERROR(
 IF($F603="Total",
   SUMPRODUCT(
   INDEX(U:U, ROW()-COUNTIF($F$6:INDEX($F:$F, ROW()-1), $F602)) : INDEX(U:U, ROW()-1),
   INDEX(W:W, ROW()-COUNTIF($F$6:INDEX($F:$F, ROW()-1), $F602)) : INDEX(W:W, ROW()-1)
   )
   /SUM(INDEX(W:W, ROW()-COUNTIF($F$6:INDEX($F:$F, ROW()-1), $F602)) : INDEX(W:W, ROW()-1)),
   AVERAGEIFS(
     INDEX((unit_details[Effective Rent],unit_details[Effective PSF]),0,1,IF($U$3="Chunk Rent",1,2)),
     unit_details[Leased Date],"&gt;="&amp;($AM$2-T$5),
     unit_details[Leased Date],"&lt;"&amp;$AM$2,
     unit_details[Beds],$L603,
     unit_details[Baths],$M603,
     unit_details[Partial Baths],IF(ISNUMBER($N603),$N603,""),
     unit_details[Sqft],$P603,
     unit_details[Property Name],$F603)
 ),"")</f>
        <v/>
      </c>
      <c r="V603" s="27" t="str">
        <f t="shared" si="109"/>
        <v/>
      </c>
      <c r="W603" s="526">
        <f>IFERROR(
  IF($F603="Total",
    SUM(INDEX(W:W, ROW()-COUNTIF($F$6:INDEX($F:$F, ROW()-1), $F602)) : INDEX(W:W, ROW()-1)),
    COUNTIFS(
      unit_details[Leased Date], "&gt;="&amp;($AM$2-T$5),
      unit_details[Leased Date], "&lt;"&amp;$AM$2,
      unit_details[Beds], $L603,
      unit_details[Baths], $M603,
      unit_details[Partial Baths], IF(ISNUMBER($N603), $N603, ""),
      unit_details[Sqft],$P603,
      unit_details[Property Name], $F603
    )
  ),
"")</f>
        <v>0</v>
      </c>
      <c r="X603" s="531" t="str">
        <f>IFERROR(
 IF($F603="Total",
   SUMPRODUCT(
   INDEX(X:X, ROW()-COUNTIF($F$6:INDEX($F:$F, ROW()-1), $F602)) : INDEX(X:X, ROW()-1),
   INDEX(AA:AA, ROW()-COUNTIF($F$6:INDEX($F:$F, ROW()-1), $F602)) : INDEX(AA:AA, ROW()-1)
   )
   /SUM(INDEX(AA:AA, ROW()-COUNTIF($F$6:INDEX($F:$F, ROW()-1), $F602)) : INDEX(AA:AA, ROW()-1)),
   AVERAGEIFS(
     INDEX((unit_details[Asking Rent],unit_details[Asking PSF]),0,1,IF($U$3="Chunk Rent",1,2)),
     unit_details[Leased Date],"&gt;="&amp;($AM$2-X$5),
     unit_details[Leased Date],"&lt;"&amp;$AM$2,
     unit_details[Beds],$L603,
     unit_details[Baths],$M603,
     unit_details[Partial Baths],IF(ISNUMBER($N603),$N603,""),
     unit_details[Sqft],$P603,
     unit_details[Property Name],$F603)
 ),"")</f>
        <v/>
      </c>
      <c r="Y603" s="552" t="str">
        <f>IFERROR(
 IF($F603="Total",
   SUMPRODUCT(
   INDEX(Y:Y, ROW()-COUNTIF($F$6:INDEX($F:$F, ROW()-1), $F602)) : INDEX(Y:Y, ROW()-1),
   INDEX(AA:AA, ROW()-COUNTIF($F$6:INDEX($F:$F, ROW()-1), $F602)) : INDEX(AA:AA, ROW()-1)
   )
   /SUM(INDEX(AA:AA, ROW()-COUNTIF($F$6:INDEX($F:$F, ROW()-1), $F602)) : INDEX(AA:AA, ROW()-1)),
   AVERAGEIFS(
     INDEX((unit_details[Effective Rent],unit_details[Effective PSF]),0,1,IF($U$3="Chunk Rent",1,2)),
     unit_details[Leased Date],"&gt;="&amp;($AM$2-X$5),
     unit_details[Leased Date],"&lt;"&amp;$AM$2,
     unit_details[Beds],$L603,
     unit_details[Baths],$M603,
     unit_details[Partial Baths],IF(ISNUMBER($N603),$N603,""),
     unit_details[Sqft],$P603,
     unit_details[Property Name],$F603)
 ),"")</f>
        <v/>
      </c>
      <c r="Z603" s="27" t="str">
        <f t="shared" si="110"/>
        <v/>
      </c>
      <c r="AA603" s="526">
        <f>IFERROR(
  IF($F603="Total",
    SUM(INDEX(AA:AA, ROW()-COUNTIF($F$6:INDEX($F:$F, ROW()-1), $F602)) : INDEX(AA:AA, ROW()-1)),
    COUNTIFS(
      unit_details[Leased Date], "&gt;="&amp;($AM$2-X$5),
      unit_details[Leased Date], "&lt;"&amp;$AM$2,
      unit_details[Beds], $L603,
      unit_details[Baths], $M603,
      unit_details[Partial Baths], IF(ISNUMBER($N603), $N603, ""),
      unit_details[Sqft],$P603,
      unit_details[Property Name], $F603
    )
  ),
"")</f>
        <v>0</v>
      </c>
      <c r="AB603" s="290">
        <f>IF($F603="Total",
SUM(INDEX(AB:AB, ROW()-COUNTIF($F$6:INDEX($F:$F, ROW()-1), $F602)) : INDEX(AB:AB, ROW()-1)),
COUNTIFS(unit_details[Active Listing?],TRUE,
          unit_details[Property Name], $F603,
          unit_details[Beds], $L603,
          unit_details[Baths], $M603,
          unit_details[Partial Baths],IF(ISNUMBER($N603),$N603,""),
          unit_details[Sqft],$P603))</f>
        <v>0</v>
      </c>
      <c r="AC603" s="27" t="str">
        <f t="shared" si="102"/>
        <v/>
      </c>
      <c r="AD603" s="293" t="str">
        <f>IFERROR(IF(AE603="","",IF($F603="Total",
SUMPRODUCT(
   INDEX(AD:AD, ROW()-COUNTIF($F$6:INDEX($F:$F, ROW()-1), $F602)) : INDEX(AD:AD, ROW()-1),
   INDEX(AB:AB, ROW()-COUNTIF($F$6:INDEX($F:$F, ROW()-1), $F602)) : INDEX(AB:AB, ROW()-1)
   )
   /SUM(INDEX(AB:AB, ROW()-COUNTIF($F$6:INDEX($F:$F, ROW()-1), $F602)) : INDEX(AB:AB, ROW()-1)),
          _xlfn.MINIFS(unit_details[Asking Rent],
          unit_details[Active Listing?],TRUE,
          unit_details[Property Name], $F603,
          unit_details[Beds], $L603,
          unit_details[Baths], $M603,
          unit_details[Partial Baths], IF(ISNUMBER($N603),$N603,""),
          unit_details[Sqft],$P603
))),"")</f>
        <v/>
      </c>
      <c r="AE603" s="5" t="str">
        <f>IFERROR(IF($F603="Total",
          SUMPRODUCT(
   INDEX(AE:AE, ROW()-COUNTIF($F$6:INDEX($F:$F, ROW()-1), $F602)) : INDEX(AE:AE, ROW()-1),
   INDEX(AB:AB, ROW()-COUNTIF($F$6:INDEX($F:$F, ROW()-1), $F602)) : INDEX(AB:AB, ROW()-1)
   )
   /SUM(INDEX(AB:AB, ROW()-COUNTIF($F$6:INDEX($F:$F, ROW()-1), $F602)) : INDEX(AB:AB, ROW()-1)),
          AVERAGEIFS(unit_details[Asking Rent],
          unit_details[Active Listing?],TRUE,
          unit_details[Property Name], $F603,
          unit_details[Beds], $L603,
          unit_details[Baths], $M603,
          unit_details[Partial Baths], IF(ISNUMBER($N603),$N603,""),
          unit_details[Sqft],$P603
)),"")</f>
        <v/>
      </c>
      <c r="AF603" s="5" t="str">
        <f>IFERROR(IF(AE603="","",IF($F603="Total",
SUMPRODUCT(
   INDEX(AF:AF, ROW()-COUNTIF($F$6:INDEX($F:$F, ROW()-1), $F602)) : INDEX(AF:AF, ROW()-1),
   INDEX(AB:AB, ROW()-COUNTIF($F$6:INDEX($F:$F, ROW()-1), $F602)) : INDEX(AB:AB, ROW()-1)
   )
   /SUM(INDEX(AB:AB, ROW()-COUNTIF($F$6:INDEX($F:$F, ROW()-1), $F602)) : INDEX(AB:AB, ROW()-1)),
           _xlfn.MAXIFS(unit_details[Asking Rent],
          unit_details[Active Listing?],TRUE,
          unit_details[Property Name], $F603,
          unit_details[Beds], $L603,
          unit_details[Baths], $M603,
          unit_details[Partial Baths], IF(ISNUMBER($N603),$N603,""),
          unit_details[Sqft],$P603
))),"")</f>
        <v/>
      </c>
      <c r="AG603" s="6" t="str">
        <f>IFERROR(IF($F603="Total",
         SUMPRODUCT(
         INDEX(AG:AG, ROW()-COUNTIF($F$6:INDEX($F:$F, ROW()-1), $F602)) : INDEX(AG:AG, ROW()-1),
         INDEX(AB:AB, ROW()-COUNTIF($F$6:INDEX($F:$F, ROW()-1), $F602)) : INDEX(AB:AB, ROW()-1)
         )
         /SUM(INDEX(AB:AB, ROW()-COUNTIF($F$6:INDEX($F:$F, ROW()-1), $F602)) : INDEX(AB:AB, ROW()-1)),
          AVERAGEIFS(unit_details[Asking PSF],
          unit_details[Active Listing?],TRUE,
          unit_details[Property Name], $F603,
          unit_details[Beds], $L603,
          unit_details[Baths], $M603,
          unit_details[Partial Baths], IF(ISNUMBER($N603),$N603,""),
          unit_details[Sqft],$P603
)),"")</f>
        <v/>
      </c>
      <c r="AH603" s="293" t="str">
        <f>IFERROR(IF($F603="Total",
         SUMPRODUCT(
         INDEX(AH:AH, ROW()-COUNTIF($F$6:INDEX($F:$F, ROW()-1), $F602)) : INDEX(AH:AH, ROW()-1),
         INDEX(AB:AB, ROW()-COUNTIF($F$6:INDEX($F:$F, ROW()-1), $F602)) : INDEX(AB:AB, ROW()-1)
         )
         /SUM(INDEX(AB:AB, ROW()-COUNTIF($F$6:INDEX($F:$F, ROW()-1), $F602)) : INDEX(AB:AB, ROW()-1)),
          AVERAGEIFS(unit_details[Effective Rent],
          unit_details[Active Listing?],TRUE,
          unit_details[Property Name], $F603,
          unit_details[Beds], $L603,
          unit_details[Baths], $M603,
          unit_details[Partial Baths], IF(ISNUMBER($N603),$N603,""),
          unit_details[Sqft],$P603
)),"")</f>
        <v/>
      </c>
      <c r="AI603" s="6" t="str">
        <f>IFERROR(IF($F603="Total",
         SUMPRODUCT(
         INDEX(AI:AI, ROW()-COUNTIF($F$6:INDEX($F:$F, ROW()-1), $F602)) : INDEX(AI:AI, ROW()-1),
         INDEX(AB:AB, ROW()-COUNTIF($F$6:INDEX($F:$F, ROW()-1), $F602)) : INDEX(AB:AB, ROW()-1)
         )
         /SUM(INDEX(AB:AB, ROW()-COUNTIF($F$6:INDEX($F:$F, ROW()-1), $F602)) : INDEX(AB:AB, ROW()-1)),
           AVERAGEIFS(unit_details[Effective PSF],
          unit_details[Active Listing?],TRUE,
          unit_details[Property Name], $F603,
          unit_details[Beds], $L603,
          unit_details[Baths], $M603,
          unit_details[Partial Baths], IF(ISNUMBER($N603),$N603,""),
          unit_details[Sqft],$P603
)),"")</f>
        <v/>
      </c>
      <c r="AJ603" s="824" t="str">
        <f t="shared" si="103"/>
        <v/>
      </c>
      <c r="AK603" s="531" t="str">
        <f t="shared" si="104"/>
        <v/>
      </c>
      <c r="AL603" s="714" t="str">
        <f t="shared" si="105"/>
        <v/>
      </c>
      <c r="AM603" s="531" t="str">
        <f t="shared" si="106"/>
        <v/>
      </c>
      <c r="AN603" s="716" t="str">
        <f t="shared" si="107"/>
        <v/>
      </c>
    </row>
    <row r="604" spans="6:40" x14ac:dyDescent="0.2">
      <c r="F604" s="1" t="str">
        <f t="shared" si="100"/>
        <v/>
      </c>
      <c r="G604" s="713" t="str">
        <f t="shared" si="108"/>
        <v/>
      </c>
      <c r="H604" s="17" t="str">
        <f>IFERROR(VLOOKUP($G604,Table1[[Property]:[Exposure %]],4,0),"")</f>
        <v/>
      </c>
      <c r="I604" s="3" t="str">
        <f>IFERROR(VLOOKUP($G604,Table1[[Property]:[Exposure %]],6,0),"")</f>
        <v/>
      </c>
      <c r="J604" s="3" t="str">
        <f>IFERROR(VLOOKUP($G604,Table1[[Property]:[Exposure %]],7,0),"")</f>
        <v/>
      </c>
      <c r="R604" s="4" t="str">
        <f>IFERROR(VLOOKUP(IF(F604="Total",F603,F604),Table1[[Property]:['# Units]],7,0)*S604,"")</f>
        <v/>
      </c>
      <c r="S604" s="27" t="str">
        <f t="shared" si="101"/>
        <v/>
      </c>
      <c r="T604" s="531" t="str">
        <f>IFERROR(
 IF($F604="Total",
   SUMPRODUCT(
   INDEX(T:T, ROW()-COUNTIF($F$6:INDEX($F:$F, ROW()-1), $F603)) : INDEX(T:T, ROW()-1),
   INDEX(W:W, ROW()-COUNTIF($F$6:INDEX($F:$F, ROW()-1), $F603)) : INDEX(W:W, ROW()-1)
   )
   /SUM(INDEX(W:W, ROW()-COUNTIF($F$6:INDEX($F:$F, ROW()-1), $F603)) : INDEX(W:W, ROW()-1)),
   AVERAGEIFS(
     INDEX((unit_details[Asking Rent],unit_details[Asking PSF]),0,1,IF($U$3="Chunk Rent",1,2)),
     unit_details[Leased Date],"&gt;="&amp;($AM$2-T$5),
     unit_details[Leased Date],"&lt;"&amp;$AM$2,
     unit_details[Beds],$L604,
     unit_details[Baths],$M604,
     unit_details[Partial Baths],IF(ISNUMBER($N604),$N604,""),
     unit_details[Sqft],$P604,
     unit_details[Property Name],$F604)
 ),"")</f>
        <v/>
      </c>
      <c r="U604" s="552" t="str">
        <f>IFERROR(
 IF($F604="Total",
   SUMPRODUCT(
   INDEX(U:U, ROW()-COUNTIF($F$6:INDEX($F:$F, ROW()-1), $F603)) : INDEX(U:U, ROW()-1),
   INDEX(W:W, ROW()-COUNTIF($F$6:INDEX($F:$F, ROW()-1), $F603)) : INDEX(W:W, ROW()-1)
   )
   /SUM(INDEX(W:W, ROW()-COUNTIF($F$6:INDEX($F:$F, ROW()-1), $F603)) : INDEX(W:W, ROW()-1)),
   AVERAGEIFS(
     INDEX((unit_details[Effective Rent],unit_details[Effective PSF]),0,1,IF($U$3="Chunk Rent",1,2)),
     unit_details[Leased Date],"&gt;="&amp;($AM$2-T$5),
     unit_details[Leased Date],"&lt;"&amp;$AM$2,
     unit_details[Beds],$L604,
     unit_details[Baths],$M604,
     unit_details[Partial Baths],IF(ISNUMBER($N604),$N604,""),
     unit_details[Sqft],$P604,
     unit_details[Property Name],$F604)
 ),"")</f>
        <v/>
      </c>
      <c r="V604" s="27" t="str">
        <f t="shared" si="109"/>
        <v/>
      </c>
      <c r="W604" s="526">
        <f>IFERROR(
  IF($F604="Total",
    SUM(INDEX(W:W, ROW()-COUNTIF($F$6:INDEX($F:$F, ROW()-1), $F603)) : INDEX(W:W, ROW()-1)),
    COUNTIFS(
      unit_details[Leased Date], "&gt;="&amp;($AM$2-T$5),
      unit_details[Leased Date], "&lt;"&amp;$AM$2,
      unit_details[Beds], $L604,
      unit_details[Baths], $M604,
      unit_details[Partial Baths], IF(ISNUMBER($N604), $N604, ""),
      unit_details[Sqft],$P604,
      unit_details[Property Name], $F604
    )
  ),
"")</f>
        <v>0</v>
      </c>
      <c r="X604" s="531" t="str">
        <f>IFERROR(
 IF($F604="Total",
   SUMPRODUCT(
   INDEX(X:X, ROW()-COUNTIF($F$6:INDEX($F:$F, ROW()-1), $F603)) : INDEX(X:X, ROW()-1),
   INDEX(AA:AA, ROW()-COUNTIF($F$6:INDEX($F:$F, ROW()-1), $F603)) : INDEX(AA:AA, ROW()-1)
   )
   /SUM(INDEX(AA:AA, ROW()-COUNTIF($F$6:INDEX($F:$F, ROW()-1), $F603)) : INDEX(AA:AA, ROW()-1)),
   AVERAGEIFS(
     INDEX((unit_details[Asking Rent],unit_details[Asking PSF]),0,1,IF($U$3="Chunk Rent",1,2)),
     unit_details[Leased Date],"&gt;="&amp;($AM$2-X$5),
     unit_details[Leased Date],"&lt;"&amp;$AM$2,
     unit_details[Beds],$L604,
     unit_details[Baths],$M604,
     unit_details[Partial Baths],IF(ISNUMBER($N604),$N604,""),
     unit_details[Sqft],$P604,
     unit_details[Property Name],$F604)
 ),"")</f>
        <v/>
      </c>
      <c r="Y604" s="552" t="str">
        <f>IFERROR(
 IF($F604="Total",
   SUMPRODUCT(
   INDEX(Y:Y, ROW()-COUNTIF($F$6:INDEX($F:$F, ROW()-1), $F603)) : INDEX(Y:Y, ROW()-1),
   INDEX(AA:AA, ROW()-COUNTIF($F$6:INDEX($F:$F, ROW()-1), $F603)) : INDEX(AA:AA, ROW()-1)
   )
   /SUM(INDEX(AA:AA, ROW()-COUNTIF($F$6:INDEX($F:$F, ROW()-1), $F603)) : INDEX(AA:AA, ROW()-1)),
   AVERAGEIFS(
     INDEX((unit_details[Effective Rent],unit_details[Effective PSF]),0,1,IF($U$3="Chunk Rent",1,2)),
     unit_details[Leased Date],"&gt;="&amp;($AM$2-X$5),
     unit_details[Leased Date],"&lt;"&amp;$AM$2,
     unit_details[Beds],$L604,
     unit_details[Baths],$M604,
     unit_details[Partial Baths],IF(ISNUMBER($N604),$N604,""),
     unit_details[Sqft],$P604,
     unit_details[Property Name],$F604)
 ),"")</f>
        <v/>
      </c>
      <c r="Z604" s="27" t="str">
        <f t="shared" si="110"/>
        <v/>
      </c>
      <c r="AA604" s="526">
        <f>IFERROR(
  IF($F604="Total",
    SUM(INDEX(AA:AA, ROW()-COUNTIF($F$6:INDEX($F:$F, ROW()-1), $F603)) : INDEX(AA:AA, ROW()-1)),
    COUNTIFS(
      unit_details[Leased Date], "&gt;="&amp;($AM$2-X$5),
      unit_details[Leased Date], "&lt;"&amp;$AM$2,
      unit_details[Beds], $L604,
      unit_details[Baths], $M604,
      unit_details[Partial Baths], IF(ISNUMBER($N604), $N604, ""),
      unit_details[Sqft],$P604,
      unit_details[Property Name], $F604
    )
  ),
"")</f>
        <v>0</v>
      </c>
      <c r="AB604" s="290">
        <f>IF($F604="Total",
SUM(INDEX(AB:AB, ROW()-COUNTIF($F$6:INDEX($F:$F, ROW()-1), $F603)) : INDEX(AB:AB, ROW()-1)),
COUNTIFS(unit_details[Active Listing?],TRUE,
          unit_details[Property Name], $F604,
          unit_details[Beds], $L604,
          unit_details[Baths], $M604,
          unit_details[Partial Baths],IF(ISNUMBER($N604),$N604,""),
          unit_details[Sqft],$P604))</f>
        <v>0</v>
      </c>
      <c r="AC604" s="27" t="str">
        <f t="shared" si="102"/>
        <v/>
      </c>
      <c r="AD604" s="293" t="str">
        <f>IFERROR(IF(AE604="","",IF($F604="Total",
SUMPRODUCT(
   INDEX(AD:AD, ROW()-COUNTIF($F$6:INDEX($F:$F, ROW()-1), $F603)) : INDEX(AD:AD, ROW()-1),
   INDEX(AB:AB, ROW()-COUNTIF($F$6:INDEX($F:$F, ROW()-1), $F603)) : INDEX(AB:AB, ROW()-1)
   )
   /SUM(INDEX(AB:AB, ROW()-COUNTIF($F$6:INDEX($F:$F, ROW()-1), $F603)) : INDEX(AB:AB, ROW()-1)),
          _xlfn.MINIFS(unit_details[Asking Rent],
          unit_details[Active Listing?],TRUE,
          unit_details[Property Name], $F604,
          unit_details[Beds], $L604,
          unit_details[Baths], $M604,
          unit_details[Partial Baths], IF(ISNUMBER($N604),$N604,""),
          unit_details[Sqft],$P604
))),"")</f>
        <v/>
      </c>
      <c r="AE604" s="5" t="str">
        <f>IFERROR(IF($F604="Total",
          SUMPRODUCT(
   INDEX(AE:AE, ROW()-COUNTIF($F$6:INDEX($F:$F, ROW()-1), $F603)) : INDEX(AE:AE, ROW()-1),
   INDEX(AB:AB, ROW()-COUNTIF($F$6:INDEX($F:$F, ROW()-1), $F603)) : INDEX(AB:AB, ROW()-1)
   )
   /SUM(INDEX(AB:AB, ROW()-COUNTIF($F$6:INDEX($F:$F, ROW()-1), $F603)) : INDEX(AB:AB, ROW()-1)),
          AVERAGEIFS(unit_details[Asking Rent],
          unit_details[Active Listing?],TRUE,
          unit_details[Property Name], $F604,
          unit_details[Beds], $L604,
          unit_details[Baths], $M604,
          unit_details[Partial Baths], IF(ISNUMBER($N604),$N604,""),
          unit_details[Sqft],$P604
)),"")</f>
        <v/>
      </c>
      <c r="AF604" s="5" t="str">
        <f>IFERROR(IF(AE604="","",IF($F604="Total",
SUMPRODUCT(
   INDEX(AF:AF, ROW()-COUNTIF($F$6:INDEX($F:$F, ROW()-1), $F603)) : INDEX(AF:AF, ROW()-1),
   INDEX(AB:AB, ROW()-COUNTIF($F$6:INDEX($F:$F, ROW()-1), $F603)) : INDEX(AB:AB, ROW()-1)
   )
   /SUM(INDEX(AB:AB, ROW()-COUNTIF($F$6:INDEX($F:$F, ROW()-1), $F603)) : INDEX(AB:AB, ROW()-1)),
           _xlfn.MAXIFS(unit_details[Asking Rent],
          unit_details[Active Listing?],TRUE,
          unit_details[Property Name], $F604,
          unit_details[Beds], $L604,
          unit_details[Baths], $M604,
          unit_details[Partial Baths], IF(ISNUMBER($N604),$N604,""),
          unit_details[Sqft],$P604
))),"")</f>
        <v/>
      </c>
      <c r="AG604" s="6" t="str">
        <f>IFERROR(IF($F604="Total",
         SUMPRODUCT(
         INDEX(AG:AG, ROW()-COUNTIF($F$6:INDEX($F:$F, ROW()-1), $F603)) : INDEX(AG:AG, ROW()-1),
         INDEX(AB:AB, ROW()-COUNTIF($F$6:INDEX($F:$F, ROW()-1), $F603)) : INDEX(AB:AB, ROW()-1)
         )
         /SUM(INDEX(AB:AB, ROW()-COUNTIF($F$6:INDEX($F:$F, ROW()-1), $F603)) : INDEX(AB:AB, ROW()-1)),
          AVERAGEIFS(unit_details[Asking PSF],
          unit_details[Active Listing?],TRUE,
          unit_details[Property Name], $F604,
          unit_details[Beds], $L604,
          unit_details[Baths], $M604,
          unit_details[Partial Baths], IF(ISNUMBER($N604),$N604,""),
          unit_details[Sqft],$P604
)),"")</f>
        <v/>
      </c>
      <c r="AH604" s="293" t="str">
        <f>IFERROR(IF($F604="Total",
         SUMPRODUCT(
         INDEX(AH:AH, ROW()-COUNTIF($F$6:INDEX($F:$F, ROW()-1), $F603)) : INDEX(AH:AH, ROW()-1),
         INDEX(AB:AB, ROW()-COUNTIF($F$6:INDEX($F:$F, ROW()-1), $F603)) : INDEX(AB:AB, ROW()-1)
         )
         /SUM(INDEX(AB:AB, ROW()-COUNTIF($F$6:INDEX($F:$F, ROW()-1), $F603)) : INDEX(AB:AB, ROW()-1)),
          AVERAGEIFS(unit_details[Effective Rent],
          unit_details[Active Listing?],TRUE,
          unit_details[Property Name], $F604,
          unit_details[Beds], $L604,
          unit_details[Baths], $M604,
          unit_details[Partial Baths], IF(ISNUMBER($N604),$N604,""),
          unit_details[Sqft],$P604
)),"")</f>
        <v/>
      </c>
      <c r="AI604" s="6" t="str">
        <f>IFERROR(IF($F604="Total",
         SUMPRODUCT(
         INDEX(AI:AI, ROW()-COUNTIF($F$6:INDEX($F:$F, ROW()-1), $F603)) : INDEX(AI:AI, ROW()-1),
         INDEX(AB:AB, ROW()-COUNTIF($F$6:INDEX($F:$F, ROW()-1), $F603)) : INDEX(AB:AB, ROW()-1)
         )
         /SUM(INDEX(AB:AB, ROW()-COUNTIF($F$6:INDEX($F:$F, ROW()-1), $F603)) : INDEX(AB:AB, ROW()-1)),
           AVERAGEIFS(unit_details[Effective PSF],
          unit_details[Active Listing?],TRUE,
          unit_details[Property Name], $F604,
          unit_details[Beds], $L604,
          unit_details[Baths], $M604,
          unit_details[Partial Baths], IF(ISNUMBER($N604),$N604,""),
          unit_details[Sqft],$P604
)),"")</f>
        <v/>
      </c>
      <c r="AJ604" s="824" t="str">
        <f t="shared" si="103"/>
        <v/>
      </c>
      <c r="AK604" s="531" t="str">
        <f t="shared" si="104"/>
        <v/>
      </c>
      <c r="AL604" s="714" t="str">
        <f t="shared" si="105"/>
        <v/>
      </c>
      <c r="AM604" s="531" t="str">
        <f t="shared" si="106"/>
        <v/>
      </c>
      <c r="AN604" s="716" t="str">
        <f t="shared" si="107"/>
        <v/>
      </c>
    </row>
    <row r="605" spans="6:40" x14ac:dyDescent="0.2">
      <c r="F605" s="1" t="str">
        <f t="shared" si="100"/>
        <v/>
      </c>
      <c r="G605" s="713" t="str">
        <f t="shared" si="108"/>
        <v/>
      </c>
      <c r="H605" s="17" t="str">
        <f>IFERROR(VLOOKUP($G605,Table1[[Property]:[Exposure %]],4,0),"")</f>
        <v/>
      </c>
      <c r="I605" s="3" t="str">
        <f>IFERROR(VLOOKUP($G605,Table1[[Property]:[Exposure %]],6,0),"")</f>
        <v/>
      </c>
      <c r="J605" s="3" t="str">
        <f>IFERROR(VLOOKUP($G605,Table1[[Property]:[Exposure %]],7,0),"")</f>
        <v/>
      </c>
      <c r="R605" s="4" t="str">
        <f>IFERROR(VLOOKUP(IF(F605="Total",F604,F605),Table1[[Property]:['# Units]],7,0)*S605,"")</f>
        <v/>
      </c>
      <c r="S605" s="27" t="str">
        <f t="shared" si="101"/>
        <v/>
      </c>
      <c r="T605" s="531" t="str">
        <f>IFERROR(
 IF($F605="Total",
   SUMPRODUCT(
   INDEX(T:T, ROW()-COUNTIF($F$6:INDEX($F:$F, ROW()-1), $F604)) : INDEX(T:T, ROW()-1),
   INDEX(W:W, ROW()-COUNTIF($F$6:INDEX($F:$F, ROW()-1), $F604)) : INDEX(W:W, ROW()-1)
   )
   /SUM(INDEX(W:W, ROW()-COUNTIF($F$6:INDEX($F:$F, ROW()-1), $F604)) : INDEX(W:W, ROW()-1)),
   AVERAGEIFS(
     INDEX((unit_details[Asking Rent],unit_details[Asking PSF]),0,1,IF($U$3="Chunk Rent",1,2)),
     unit_details[Leased Date],"&gt;="&amp;($AM$2-T$5),
     unit_details[Leased Date],"&lt;"&amp;$AM$2,
     unit_details[Beds],$L605,
     unit_details[Baths],$M605,
     unit_details[Partial Baths],IF(ISNUMBER($N605),$N605,""),
     unit_details[Sqft],$P605,
     unit_details[Property Name],$F605)
 ),"")</f>
        <v/>
      </c>
      <c r="U605" s="552" t="str">
        <f>IFERROR(
 IF($F605="Total",
   SUMPRODUCT(
   INDEX(U:U, ROW()-COUNTIF($F$6:INDEX($F:$F, ROW()-1), $F604)) : INDEX(U:U, ROW()-1),
   INDEX(W:W, ROW()-COUNTIF($F$6:INDEX($F:$F, ROW()-1), $F604)) : INDEX(W:W, ROW()-1)
   )
   /SUM(INDEX(W:W, ROW()-COUNTIF($F$6:INDEX($F:$F, ROW()-1), $F604)) : INDEX(W:W, ROW()-1)),
   AVERAGEIFS(
     INDEX((unit_details[Effective Rent],unit_details[Effective PSF]),0,1,IF($U$3="Chunk Rent",1,2)),
     unit_details[Leased Date],"&gt;="&amp;($AM$2-T$5),
     unit_details[Leased Date],"&lt;"&amp;$AM$2,
     unit_details[Beds],$L605,
     unit_details[Baths],$M605,
     unit_details[Partial Baths],IF(ISNUMBER($N605),$N605,""),
     unit_details[Sqft],$P605,
     unit_details[Property Name],$F605)
 ),"")</f>
        <v/>
      </c>
      <c r="V605" s="27" t="str">
        <f t="shared" si="109"/>
        <v/>
      </c>
      <c r="W605" s="526">
        <f>IFERROR(
  IF($F605="Total",
    SUM(INDEX(W:W, ROW()-COUNTIF($F$6:INDEX($F:$F, ROW()-1), $F604)) : INDEX(W:W, ROW()-1)),
    COUNTIFS(
      unit_details[Leased Date], "&gt;="&amp;($AM$2-T$5),
      unit_details[Leased Date], "&lt;"&amp;$AM$2,
      unit_details[Beds], $L605,
      unit_details[Baths], $M605,
      unit_details[Partial Baths], IF(ISNUMBER($N605), $N605, ""),
      unit_details[Sqft],$P605,
      unit_details[Property Name], $F605
    )
  ),
"")</f>
        <v>0</v>
      </c>
      <c r="X605" s="531" t="str">
        <f>IFERROR(
 IF($F605="Total",
   SUMPRODUCT(
   INDEX(X:X, ROW()-COUNTIF($F$6:INDEX($F:$F, ROW()-1), $F604)) : INDEX(X:X, ROW()-1),
   INDEX(AA:AA, ROW()-COUNTIF($F$6:INDEX($F:$F, ROW()-1), $F604)) : INDEX(AA:AA, ROW()-1)
   )
   /SUM(INDEX(AA:AA, ROW()-COUNTIF($F$6:INDEX($F:$F, ROW()-1), $F604)) : INDEX(AA:AA, ROW()-1)),
   AVERAGEIFS(
     INDEX((unit_details[Asking Rent],unit_details[Asking PSF]),0,1,IF($U$3="Chunk Rent",1,2)),
     unit_details[Leased Date],"&gt;="&amp;($AM$2-X$5),
     unit_details[Leased Date],"&lt;"&amp;$AM$2,
     unit_details[Beds],$L605,
     unit_details[Baths],$M605,
     unit_details[Partial Baths],IF(ISNUMBER($N605),$N605,""),
     unit_details[Sqft],$P605,
     unit_details[Property Name],$F605)
 ),"")</f>
        <v/>
      </c>
      <c r="Y605" s="552" t="str">
        <f>IFERROR(
 IF($F605="Total",
   SUMPRODUCT(
   INDEX(Y:Y, ROW()-COUNTIF($F$6:INDEX($F:$F, ROW()-1), $F604)) : INDEX(Y:Y, ROW()-1),
   INDEX(AA:AA, ROW()-COUNTIF($F$6:INDEX($F:$F, ROW()-1), $F604)) : INDEX(AA:AA, ROW()-1)
   )
   /SUM(INDEX(AA:AA, ROW()-COUNTIF($F$6:INDEX($F:$F, ROW()-1), $F604)) : INDEX(AA:AA, ROW()-1)),
   AVERAGEIFS(
     INDEX((unit_details[Effective Rent],unit_details[Effective PSF]),0,1,IF($U$3="Chunk Rent",1,2)),
     unit_details[Leased Date],"&gt;="&amp;($AM$2-X$5),
     unit_details[Leased Date],"&lt;"&amp;$AM$2,
     unit_details[Beds],$L605,
     unit_details[Baths],$M605,
     unit_details[Partial Baths],IF(ISNUMBER($N605),$N605,""),
     unit_details[Sqft],$P605,
     unit_details[Property Name],$F605)
 ),"")</f>
        <v/>
      </c>
      <c r="Z605" s="27" t="str">
        <f t="shared" si="110"/>
        <v/>
      </c>
      <c r="AA605" s="526">
        <f>IFERROR(
  IF($F605="Total",
    SUM(INDEX(AA:AA, ROW()-COUNTIF($F$6:INDEX($F:$F, ROW()-1), $F604)) : INDEX(AA:AA, ROW()-1)),
    COUNTIFS(
      unit_details[Leased Date], "&gt;="&amp;($AM$2-X$5),
      unit_details[Leased Date], "&lt;"&amp;$AM$2,
      unit_details[Beds], $L605,
      unit_details[Baths], $M605,
      unit_details[Partial Baths], IF(ISNUMBER($N605), $N605, ""),
      unit_details[Sqft],$P605,
      unit_details[Property Name], $F605
    )
  ),
"")</f>
        <v>0</v>
      </c>
      <c r="AB605" s="290">
        <f>IF($F605="Total",
SUM(INDEX(AB:AB, ROW()-COUNTIF($F$6:INDEX($F:$F, ROW()-1), $F604)) : INDEX(AB:AB, ROW()-1)),
COUNTIFS(unit_details[Active Listing?],TRUE,
          unit_details[Property Name], $F605,
          unit_details[Beds], $L605,
          unit_details[Baths], $M605,
          unit_details[Partial Baths],IF(ISNUMBER($N605),$N605,""),
          unit_details[Sqft],$P605))</f>
        <v>0</v>
      </c>
      <c r="AC605" s="27" t="str">
        <f t="shared" si="102"/>
        <v/>
      </c>
      <c r="AD605" s="293" t="str">
        <f>IFERROR(IF(AE605="","",IF($F605="Total",
SUMPRODUCT(
   INDEX(AD:AD, ROW()-COUNTIF($F$6:INDEX($F:$F, ROW()-1), $F604)) : INDEX(AD:AD, ROW()-1),
   INDEX(AB:AB, ROW()-COUNTIF($F$6:INDEX($F:$F, ROW()-1), $F604)) : INDEX(AB:AB, ROW()-1)
   )
   /SUM(INDEX(AB:AB, ROW()-COUNTIF($F$6:INDEX($F:$F, ROW()-1), $F604)) : INDEX(AB:AB, ROW()-1)),
          _xlfn.MINIFS(unit_details[Asking Rent],
          unit_details[Active Listing?],TRUE,
          unit_details[Property Name], $F605,
          unit_details[Beds], $L605,
          unit_details[Baths], $M605,
          unit_details[Partial Baths], IF(ISNUMBER($N605),$N605,""),
          unit_details[Sqft],$P605
))),"")</f>
        <v/>
      </c>
      <c r="AE605" s="5" t="str">
        <f>IFERROR(IF($F605="Total",
          SUMPRODUCT(
   INDEX(AE:AE, ROW()-COUNTIF($F$6:INDEX($F:$F, ROW()-1), $F604)) : INDEX(AE:AE, ROW()-1),
   INDEX(AB:AB, ROW()-COUNTIF($F$6:INDEX($F:$F, ROW()-1), $F604)) : INDEX(AB:AB, ROW()-1)
   )
   /SUM(INDEX(AB:AB, ROW()-COUNTIF($F$6:INDEX($F:$F, ROW()-1), $F604)) : INDEX(AB:AB, ROW()-1)),
          AVERAGEIFS(unit_details[Asking Rent],
          unit_details[Active Listing?],TRUE,
          unit_details[Property Name], $F605,
          unit_details[Beds], $L605,
          unit_details[Baths], $M605,
          unit_details[Partial Baths], IF(ISNUMBER($N605),$N605,""),
          unit_details[Sqft],$P605
)),"")</f>
        <v/>
      </c>
      <c r="AF605" s="5" t="str">
        <f>IFERROR(IF(AE605="","",IF($F605="Total",
SUMPRODUCT(
   INDEX(AF:AF, ROW()-COUNTIF($F$6:INDEX($F:$F, ROW()-1), $F604)) : INDEX(AF:AF, ROW()-1),
   INDEX(AB:AB, ROW()-COUNTIF($F$6:INDEX($F:$F, ROW()-1), $F604)) : INDEX(AB:AB, ROW()-1)
   )
   /SUM(INDEX(AB:AB, ROW()-COUNTIF($F$6:INDEX($F:$F, ROW()-1), $F604)) : INDEX(AB:AB, ROW()-1)),
           _xlfn.MAXIFS(unit_details[Asking Rent],
          unit_details[Active Listing?],TRUE,
          unit_details[Property Name], $F605,
          unit_details[Beds], $L605,
          unit_details[Baths], $M605,
          unit_details[Partial Baths], IF(ISNUMBER($N605),$N605,""),
          unit_details[Sqft],$P605
))),"")</f>
        <v/>
      </c>
      <c r="AG605" s="6" t="str">
        <f>IFERROR(IF($F605="Total",
         SUMPRODUCT(
         INDEX(AG:AG, ROW()-COUNTIF($F$6:INDEX($F:$F, ROW()-1), $F604)) : INDEX(AG:AG, ROW()-1),
         INDEX(AB:AB, ROW()-COUNTIF($F$6:INDEX($F:$F, ROW()-1), $F604)) : INDEX(AB:AB, ROW()-1)
         )
         /SUM(INDEX(AB:AB, ROW()-COUNTIF($F$6:INDEX($F:$F, ROW()-1), $F604)) : INDEX(AB:AB, ROW()-1)),
          AVERAGEIFS(unit_details[Asking PSF],
          unit_details[Active Listing?],TRUE,
          unit_details[Property Name], $F605,
          unit_details[Beds], $L605,
          unit_details[Baths], $M605,
          unit_details[Partial Baths], IF(ISNUMBER($N605),$N605,""),
          unit_details[Sqft],$P605
)),"")</f>
        <v/>
      </c>
      <c r="AH605" s="293" t="str">
        <f>IFERROR(IF($F605="Total",
         SUMPRODUCT(
         INDEX(AH:AH, ROW()-COUNTIF($F$6:INDEX($F:$F, ROW()-1), $F604)) : INDEX(AH:AH, ROW()-1),
         INDEX(AB:AB, ROW()-COUNTIF($F$6:INDEX($F:$F, ROW()-1), $F604)) : INDEX(AB:AB, ROW()-1)
         )
         /SUM(INDEX(AB:AB, ROW()-COUNTIF($F$6:INDEX($F:$F, ROW()-1), $F604)) : INDEX(AB:AB, ROW()-1)),
          AVERAGEIFS(unit_details[Effective Rent],
          unit_details[Active Listing?],TRUE,
          unit_details[Property Name], $F605,
          unit_details[Beds], $L605,
          unit_details[Baths], $M605,
          unit_details[Partial Baths], IF(ISNUMBER($N605),$N605,""),
          unit_details[Sqft],$P605
)),"")</f>
        <v/>
      </c>
      <c r="AI605" s="6" t="str">
        <f>IFERROR(IF($F605="Total",
         SUMPRODUCT(
         INDEX(AI:AI, ROW()-COUNTIF($F$6:INDEX($F:$F, ROW()-1), $F604)) : INDEX(AI:AI, ROW()-1),
         INDEX(AB:AB, ROW()-COUNTIF($F$6:INDEX($F:$F, ROW()-1), $F604)) : INDEX(AB:AB, ROW()-1)
         )
         /SUM(INDEX(AB:AB, ROW()-COUNTIF($F$6:INDEX($F:$F, ROW()-1), $F604)) : INDEX(AB:AB, ROW()-1)),
           AVERAGEIFS(unit_details[Effective PSF],
          unit_details[Active Listing?],TRUE,
          unit_details[Property Name], $F605,
          unit_details[Beds], $L605,
          unit_details[Baths], $M605,
          unit_details[Partial Baths], IF(ISNUMBER($N605),$N605,""),
          unit_details[Sqft],$P605
)),"")</f>
        <v/>
      </c>
      <c r="AJ605" s="824" t="str">
        <f t="shared" si="103"/>
        <v/>
      </c>
      <c r="AK605" s="531" t="str">
        <f t="shared" si="104"/>
        <v/>
      </c>
      <c r="AL605" s="714" t="str">
        <f t="shared" si="105"/>
        <v/>
      </c>
      <c r="AM605" s="531" t="str">
        <f t="shared" si="106"/>
        <v/>
      </c>
      <c r="AN605" s="716" t="str">
        <f t="shared" si="107"/>
        <v/>
      </c>
    </row>
    <row r="606" spans="6:40" x14ac:dyDescent="0.2">
      <c r="F606" s="1" t="str">
        <f t="shared" si="100"/>
        <v/>
      </c>
      <c r="G606" s="713" t="str">
        <f t="shared" si="108"/>
        <v/>
      </c>
      <c r="H606" s="17" t="str">
        <f>IFERROR(VLOOKUP($G606,Table1[[Property]:[Exposure %]],4,0),"")</f>
        <v/>
      </c>
      <c r="I606" s="3" t="str">
        <f>IFERROR(VLOOKUP($G606,Table1[[Property]:[Exposure %]],6,0),"")</f>
        <v/>
      </c>
      <c r="J606" s="3" t="str">
        <f>IFERROR(VLOOKUP($G606,Table1[[Property]:[Exposure %]],7,0),"")</f>
        <v/>
      </c>
      <c r="R606" s="4" t="str">
        <f>IFERROR(VLOOKUP(IF(F606="Total",F605,F606),Table1[[Property]:['# Units]],7,0)*S606,"")</f>
        <v/>
      </c>
      <c r="S606" s="27" t="str">
        <f t="shared" si="101"/>
        <v/>
      </c>
      <c r="T606" s="531" t="str">
        <f>IFERROR(
 IF($F606="Total",
   SUMPRODUCT(
   INDEX(T:T, ROW()-COUNTIF($F$6:INDEX($F:$F, ROW()-1), $F605)) : INDEX(T:T, ROW()-1),
   INDEX(W:W, ROW()-COUNTIF($F$6:INDEX($F:$F, ROW()-1), $F605)) : INDEX(W:W, ROW()-1)
   )
   /SUM(INDEX(W:W, ROW()-COUNTIF($F$6:INDEX($F:$F, ROW()-1), $F605)) : INDEX(W:W, ROW()-1)),
   AVERAGEIFS(
     INDEX((unit_details[Asking Rent],unit_details[Asking PSF]),0,1,IF($U$3="Chunk Rent",1,2)),
     unit_details[Leased Date],"&gt;="&amp;($AM$2-T$5),
     unit_details[Leased Date],"&lt;"&amp;$AM$2,
     unit_details[Beds],$L606,
     unit_details[Baths],$M606,
     unit_details[Partial Baths],IF(ISNUMBER($N606),$N606,""),
     unit_details[Sqft],$P606,
     unit_details[Property Name],$F606)
 ),"")</f>
        <v/>
      </c>
      <c r="U606" s="552" t="str">
        <f>IFERROR(
 IF($F606="Total",
   SUMPRODUCT(
   INDEX(U:U, ROW()-COUNTIF($F$6:INDEX($F:$F, ROW()-1), $F605)) : INDEX(U:U, ROW()-1),
   INDEX(W:W, ROW()-COUNTIF($F$6:INDEX($F:$F, ROW()-1), $F605)) : INDEX(W:W, ROW()-1)
   )
   /SUM(INDEX(W:W, ROW()-COUNTIF($F$6:INDEX($F:$F, ROW()-1), $F605)) : INDEX(W:W, ROW()-1)),
   AVERAGEIFS(
     INDEX((unit_details[Effective Rent],unit_details[Effective PSF]),0,1,IF($U$3="Chunk Rent",1,2)),
     unit_details[Leased Date],"&gt;="&amp;($AM$2-T$5),
     unit_details[Leased Date],"&lt;"&amp;$AM$2,
     unit_details[Beds],$L606,
     unit_details[Baths],$M606,
     unit_details[Partial Baths],IF(ISNUMBER($N606),$N606,""),
     unit_details[Sqft],$P606,
     unit_details[Property Name],$F606)
 ),"")</f>
        <v/>
      </c>
      <c r="V606" s="27" t="str">
        <f t="shared" si="109"/>
        <v/>
      </c>
      <c r="W606" s="526">
        <f>IFERROR(
  IF($F606="Total",
    SUM(INDEX(W:W, ROW()-COUNTIF($F$6:INDEX($F:$F, ROW()-1), $F605)) : INDEX(W:W, ROW()-1)),
    COUNTIFS(
      unit_details[Leased Date], "&gt;="&amp;($AM$2-T$5),
      unit_details[Leased Date], "&lt;"&amp;$AM$2,
      unit_details[Beds], $L606,
      unit_details[Baths], $M606,
      unit_details[Partial Baths], IF(ISNUMBER($N606), $N606, ""),
      unit_details[Sqft],$P606,
      unit_details[Property Name], $F606
    )
  ),
"")</f>
        <v>0</v>
      </c>
      <c r="X606" s="531" t="str">
        <f>IFERROR(
 IF($F606="Total",
   SUMPRODUCT(
   INDEX(X:X, ROW()-COUNTIF($F$6:INDEX($F:$F, ROW()-1), $F605)) : INDEX(X:X, ROW()-1),
   INDEX(AA:AA, ROW()-COUNTIF($F$6:INDEX($F:$F, ROW()-1), $F605)) : INDEX(AA:AA, ROW()-1)
   )
   /SUM(INDEX(AA:AA, ROW()-COUNTIF($F$6:INDEX($F:$F, ROW()-1), $F605)) : INDEX(AA:AA, ROW()-1)),
   AVERAGEIFS(
     INDEX((unit_details[Asking Rent],unit_details[Asking PSF]),0,1,IF($U$3="Chunk Rent",1,2)),
     unit_details[Leased Date],"&gt;="&amp;($AM$2-X$5),
     unit_details[Leased Date],"&lt;"&amp;$AM$2,
     unit_details[Beds],$L606,
     unit_details[Baths],$M606,
     unit_details[Partial Baths],IF(ISNUMBER($N606),$N606,""),
     unit_details[Sqft],$P606,
     unit_details[Property Name],$F606)
 ),"")</f>
        <v/>
      </c>
      <c r="Y606" s="552" t="str">
        <f>IFERROR(
 IF($F606="Total",
   SUMPRODUCT(
   INDEX(Y:Y, ROW()-COUNTIF($F$6:INDEX($F:$F, ROW()-1), $F605)) : INDEX(Y:Y, ROW()-1),
   INDEX(AA:AA, ROW()-COUNTIF($F$6:INDEX($F:$F, ROW()-1), $F605)) : INDEX(AA:AA, ROW()-1)
   )
   /SUM(INDEX(AA:AA, ROW()-COUNTIF($F$6:INDEX($F:$F, ROW()-1), $F605)) : INDEX(AA:AA, ROW()-1)),
   AVERAGEIFS(
     INDEX((unit_details[Effective Rent],unit_details[Effective PSF]),0,1,IF($U$3="Chunk Rent",1,2)),
     unit_details[Leased Date],"&gt;="&amp;($AM$2-X$5),
     unit_details[Leased Date],"&lt;"&amp;$AM$2,
     unit_details[Beds],$L606,
     unit_details[Baths],$M606,
     unit_details[Partial Baths],IF(ISNUMBER($N606),$N606,""),
     unit_details[Sqft],$P606,
     unit_details[Property Name],$F606)
 ),"")</f>
        <v/>
      </c>
      <c r="Z606" s="27" t="str">
        <f t="shared" si="110"/>
        <v/>
      </c>
      <c r="AA606" s="526">
        <f>IFERROR(
  IF($F606="Total",
    SUM(INDEX(AA:AA, ROW()-COUNTIF($F$6:INDEX($F:$F, ROW()-1), $F605)) : INDEX(AA:AA, ROW()-1)),
    COUNTIFS(
      unit_details[Leased Date], "&gt;="&amp;($AM$2-X$5),
      unit_details[Leased Date], "&lt;"&amp;$AM$2,
      unit_details[Beds], $L606,
      unit_details[Baths], $M606,
      unit_details[Partial Baths], IF(ISNUMBER($N606), $N606, ""),
      unit_details[Sqft],$P606,
      unit_details[Property Name], $F606
    )
  ),
"")</f>
        <v>0</v>
      </c>
      <c r="AB606" s="290">
        <f>IF($F606="Total",
SUM(INDEX(AB:AB, ROW()-COUNTIF($F$6:INDEX($F:$F, ROW()-1), $F605)) : INDEX(AB:AB, ROW()-1)),
COUNTIFS(unit_details[Active Listing?],TRUE,
          unit_details[Property Name], $F606,
          unit_details[Beds], $L606,
          unit_details[Baths], $M606,
          unit_details[Partial Baths],IF(ISNUMBER($N606),$N606,""),
          unit_details[Sqft],$P606))</f>
        <v>0</v>
      </c>
      <c r="AC606" s="27" t="str">
        <f t="shared" si="102"/>
        <v/>
      </c>
      <c r="AD606" s="293" t="str">
        <f>IFERROR(IF(AE606="","",IF($F606="Total",
SUMPRODUCT(
   INDEX(AD:AD, ROW()-COUNTIF($F$6:INDEX($F:$F, ROW()-1), $F605)) : INDEX(AD:AD, ROW()-1),
   INDEX(AB:AB, ROW()-COUNTIF($F$6:INDEX($F:$F, ROW()-1), $F605)) : INDEX(AB:AB, ROW()-1)
   )
   /SUM(INDEX(AB:AB, ROW()-COUNTIF($F$6:INDEX($F:$F, ROW()-1), $F605)) : INDEX(AB:AB, ROW()-1)),
          _xlfn.MINIFS(unit_details[Asking Rent],
          unit_details[Active Listing?],TRUE,
          unit_details[Property Name], $F606,
          unit_details[Beds], $L606,
          unit_details[Baths], $M606,
          unit_details[Partial Baths], IF(ISNUMBER($N606),$N606,""),
          unit_details[Sqft],$P606
))),"")</f>
        <v/>
      </c>
      <c r="AE606" s="5" t="str">
        <f>IFERROR(IF($F606="Total",
          SUMPRODUCT(
   INDEX(AE:AE, ROW()-COUNTIF($F$6:INDEX($F:$F, ROW()-1), $F605)) : INDEX(AE:AE, ROW()-1),
   INDEX(AB:AB, ROW()-COUNTIF($F$6:INDEX($F:$F, ROW()-1), $F605)) : INDEX(AB:AB, ROW()-1)
   )
   /SUM(INDEX(AB:AB, ROW()-COUNTIF($F$6:INDEX($F:$F, ROW()-1), $F605)) : INDEX(AB:AB, ROW()-1)),
          AVERAGEIFS(unit_details[Asking Rent],
          unit_details[Active Listing?],TRUE,
          unit_details[Property Name], $F606,
          unit_details[Beds], $L606,
          unit_details[Baths], $M606,
          unit_details[Partial Baths], IF(ISNUMBER($N606),$N606,""),
          unit_details[Sqft],$P606
)),"")</f>
        <v/>
      </c>
      <c r="AF606" s="5" t="str">
        <f>IFERROR(IF(AE606="","",IF($F606="Total",
SUMPRODUCT(
   INDEX(AF:AF, ROW()-COUNTIF($F$6:INDEX($F:$F, ROW()-1), $F605)) : INDEX(AF:AF, ROW()-1),
   INDEX(AB:AB, ROW()-COUNTIF($F$6:INDEX($F:$F, ROW()-1), $F605)) : INDEX(AB:AB, ROW()-1)
   )
   /SUM(INDEX(AB:AB, ROW()-COUNTIF($F$6:INDEX($F:$F, ROW()-1), $F605)) : INDEX(AB:AB, ROW()-1)),
           _xlfn.MAXIFS(unit_details[Asking Rent],
          unit_details[Active Listing?],TRUE,
          unit_details[Property Name], $F606,
          unit_details[Beds], $L606,
          unit_details[Baths], $M606,
          unit_details[Partial Baths], IF(ISNUMBER($N606),$N606,""),
          unit_details[Sqft],$P606
))),"")</f>
        <v/>
      </c>
      <c r="AG606" s="6" t="str">
        <f>IFERROR(IF($F606="Total",
         SUMPRODUCT(
         INDEX(AG:AG, ROW()-COUNTIF($F$6:INDEX($F:$F, ROW()-1), $F605)) : INDEX(AG:AG, ROW()-1),
         INDEX(AB:AB, ROW()-COUNTIF($F$6:INDEX($F:$F, ROW()-1), $F605)) : INDEX(AB:AB, ROW()-1)
         )
         /SUM(INDEX(AB:AB, ROW()-COUNTIF($F$6:INDEX($F:$F, ROW()-1), $F605)) : INDEX(AB:AB, ROW()-1)),
          AVERAGEIFS(unit_details[Asking PSF],
          unit_details[Active Listing?],TRUE,
          unit_details[Property Name], $F606,
          unit_details[Beds], $L606,
          unit_details[Baths], $M606,
          unit_details[Partial Baths], IF(ISNUMBER($N606),$N606,""),
          unit_details[Sqft],$P606
)),"")</f>
        <v/>
      </c>
      <c r="AH606" s="293" t="str">
        <f>IFERROR(IF($F606="Total",
         SUMPRODUCT(
         INDEX(AH:AH, ROW()-COUNTIF($F$6:INDEX($F:$F, ROW()-1), $F605)) : INDEX(AH:AH, ROW()-1),
         INDEX(AB:AB, ROW()-COUNTIF($F$6:INDEX($F:$F, ROW()-1), $F605)) : INDEX(AB:AB, ROW()-1)
         )
         /SUM(INDEX(AB:AB, ROW()-COUNTIF($F$6:INDEX($F:$F, ROW()-1), $F605)) : INDEX(AB:AB, ROW()-1)),
          AVERAGEIFS(unit_details[Effective Rent],
          unit_details[Active Listing?],TRUE,
          unit_details[Property Name], $F606,
          unit_details[Beds], $L606,
          unit_details[Baths], $M606,
          unit_details[Partial Baths], IF(ISNUMBER($N606),$N606,""),
          unit_details[Sqft],$P606
)),"")</f>
        <v/>
      </c>
      <c r="AI606" s="6" t="str">
        <f>IFERROR(IF($F606="Total",
         SUMPRODUCT(
         INDEX(AI:AI, ROW()-COUNTIF($F$6:INDEX($F:$F, ROW()-1), $F605)) : INDEX(AI:AI, ROW()-1),
         INDEX(AB:AB, ROW()-COUNTIF($F$6:INDEX($F:$F, ROW()-1), $F605)) : INDEX(AB:AB, ROW()-1)
         )
         /SUM(INDEX(AB:AB, ROW()-COUNTIF($F$6:INDEX($F:$F, ROW()-1), $F605)) : INDEX(AB:AB, ROW()-1)),
           AVERAGEIFS(unit_details[Effective PSF],
          unit_details[Active Listing?],TRUE,
          unit_details[Property Name], $F606,
          unit_details[Beds], $L606,
          unit_details[Baths], $M606,
          unit_details[Partial Baths], IF(ISNUMBER($N606),$N606,""),
          unit_details[Sqft],$P606
)),"")</f>
        <v/>
      </c>
      <c r="AJ606" s="824" t="str">
        <f t="shared" si="103"/>
        <v/>
      </c>
      <c r="AK606" s="531" t="str">
        <f t="shared" si="104"/>
        <v/>
      </c>
      <c r="AL606" s="714" t="str">
        <f t="shared" si="105"/>
        <v/>
      </c>
      <c r="AM606" s="531" t="str">
        <f t="shared" si="106"/>
        <v/>
      </c>
      <c r="AN606" s="716" t="str">
        <f t="shared" si="107"/>
        <v/>
      </c>
    </row>
    <row r="607" spans="6:40" x14ac:dyDescent="0.2">
      <c r="F607" s="1" t="str">
        <f t="shared" si="100"/>
        <v/>
      </c>
      <c r="G607" s="713" t="str">
        <f t="shared" si="108"/>
        <v/>
      </c>
      <c r="H607" s="17" t="str">
        <f>IFERROR(VLOOKUP($G607,Table1[[Property]:[Exposure %]],4,0),"")</f>
        <v/>
      </c>
      <c r="I607" s="3" t="str">
        <f>IFERROR(VLOOKUP($G607,Table1[[Property]:[Exposure %]],6,0),"")</f>
        <v/>
      </c>
      <c r="J607" s="3" t="str">
        <f>IFERROR(VLOOKUP($G607,Table1[[Property]:[Exposure %]],7,0),"")</f>
        <v/>
      </c>
      <c r="R607" s="4" t="str">
        <f>IFERROR(VLOOKUP(IF(F607="Total",F606,F607),Table1[[Property]:['# Units]],7,0)*S607,"")</f>
        <v/>
      </c>
      <c r="S607" s="27" t="str">
        <f t="shared" si="101"/>
        <v/>
      </c>
      <c r="T607" s="531" t="str">
        <f>IFERROR(
 IF($F607="Total",
   SUMPRODUCT(
   INDEX(T:T, ROW()-COUNTIF($F$6:INDEX($F:$F, ROW()-1), $F606)) : INDEX(T:T, ROW()-1),
   INDEX(W:W, ROW()-COUNTIF($F$6:INDEX($F:$F, ROW()-1), $F606)) : INDEX(W:W, ROW()-1)
   )
   /SUM(INDEX(W:W, ROW()-COUNTIF($F$6:INDEX($F:$F, ROW()-1), $F606)) : INDEX(W:W, ROW()-1)),
   AVERAGEIFS(
     INDEX((unit_details[Asking Rent],unit_details[Asking PSF]),0,1,IF($U$3="Chunk Rent",1,2)),
     unit_details[Leased Date],"&gt;="&amp;($AM$2-T$5),
     unit_details[Leased Date],"&lt;"&amp;$AM$2,
     unit_details[Beds],$L607,
     unit_details[Baths],$M607,
     unit_details[Partial Baths],IF(ISNUMBER($N607),$N607,""),
     unit_details[Sqft],$P607,
     unit_details[Property Name],$F607)
 ),"")</f>
        <v/>
      </c>
      <c r="U607" s="552" t="str">
        <f>IFERROR(
 IF($F607="Total",
   SUMPRODUCT(
   INDEX(U:U, ROW()-COUNTIF($F$6:INDEX($F:$F, ROW()-1), $F606)) : INDEX(U:U, ROW()-1),
   INDEX(W:W, ROW()-COUNTIF($F$6:INDEX($F:$F, ROW()-1), $F606)) : INDEX(W:W, ROW()-1)
   )
   /SUM(INDEX(W:W, ROW()-COUNTIF($F$6:INDEX($F:$F, ROW()-1), $F606)) : INDEX(W:W, ROW()-1)),
   AVERAGEIFS(
     INDEX((unit_details[Effective Rent],unit_details[Effective PSF]),0,1,IF($U$3="Chunk Rent",1,2)),
     unit_details[Leased Date],"&gt;="&amp;($AM$2-T$5),
     unit_details[Leased Date],"&lt;"&amp;$AM$2,
     unit_details[Beds],$L607,
     unit_details[Baths],$M607,
     unit_details[Partial Baths],IF(ISNUMBER($N607),$N607,""),
     unit_details[Sqft],$P607,
     unit_details[Property Name],$F607)
 ),"")</f>
        <v/>
      </c>
      <c r="V607" s="27" t="str">
        <f t="shared" si="109"/>
        <v/>
      </c>
      <c r="W607" s="526">
        <f>IFERROR(
  IF($F607="Total",
    SUM(INDEX(W:W, ROW()-COUNTIF($F$6:INDEX($F:$F, ROW()-1), $F606)) : INDEX(W:W, ROW()-1)),
    COUNTIFS(
      unit_details[Leased Date], "&gt;="&amp;($AM$2-T$5),
      unit_details[Leased Date], "&lt;"&amp;$AM$2,
      unit_details[Beds], $L607,
      unit_details[Baths], $M607,
      unit_details[Partial Baths], IF(ISNUMBER($N607), $N607, ""),
      unit_details[Sqft],$P607,
      unit_details[Property Name], $F607
    )
  ),
"")</f>
        <v>0</v>
      </c>
      <c r="X607" s="531" t="str">
        <f>IFERROR(
 IF($F607="Total",
   SUMPRODUCT(
   INDEX(X:X, ROW()-COUNTIF($F$6:INDEX($F:$F, ROW()-1), $F606)) : INDEX(X:X, ROW()-1),
   INDEX(AA:AA, ROW()-COUNTIF($F$6:INDEX($F:$F, ROW()-1), $F606)) : INDEX(AA:AA, ROW()-1)
   )
   /SUM(INDEX(AA:AA, ROW()-COUNTIF($F$6:INDEX($F:$F, ROW()-1), $F606)) : INDEX(AA:AA, ROW()-1)),
   AVERAGEIFS(
     INDEX((unit_details[Asking Rent],unit_details[Asking PSF]),0,1,IF($U$3="Chunk Rent",1,2)),
     unit_details[Leased Date],"&gt;="&amp;($AM$2-X$5),
     unit_details[Leased Date],"&lt;"&amp;$AM$2,
     unit_details[Beds],$L607,
     unit_details[Baths],$M607,
     unit_details[Partial Baths],IF(ISNUMBER($N607),$N607,""),
     unit_details[Sqft],$P607,
     unit_details[Property Name],$F607)
 ),"")</f>
        <v/>
      </c>
      <c r="Y607" s="552" t="str">
        <f>IFERROR(
 IF($F607="Total",
   SUMPRODUCT(
   INDEX(Y:Y, ROW()-COUNTIF($F$6:INDEX($F:$F, ROW()-1), $F606)) : INDEX(Y:Y, ROW()-1),
   INDEX(AA:AA, ROW()-COUNTIF($F$6:INDEX($F:$F, ROW()-1), $F606)) : INDEX(AA:AA, ROW()-1)
   )
   /SUM(INDEX(AA:AA, ROW()-COUNTIF($F$6:INDEX($F:$F, ROW()-1), $F606)) : INDEX(AA:AA, ROW()-1)),
   AVERAGEIFS(
     INDEX((unit_details[Effective Rent],unit_details[Effective PSF]),0,1,IF($U$3="Chunk Rent",1,2)),
     unit_details[Leased Date],"&gt;="&amp;($AM$2-X$5),
     unit_details[Leased Date],"&lt;"&amp;$AM$2,
     unit_details[Beds],$L607,
     unit_details[Baths],$M607,
     unit_details[Partial Baths],IF(ISNUMBER($N607),$N607,""),
     unit_details[Sqft],$P607,
     unit_details[Property Name],$F607)
 ),"")</f>
        <v/>
      </c>
      <c r="Z607" s="27" t="str">
        <f t="shared" si="110"/>
        <v/>
      </c>
      <c r="AA607" s="526">
        <f>IFERROR(
  IF($F607="Total",
    SUM(INDEX(AA:AA, ROW()-COUNTIF($F$6:INDEX($F:$F, ROW()-1), $F606)) : INDEX(AA:AA, ROW()-1)),
    COUNTIFS(
      unit_details[Leased Date], "&gt;="&amp;($AM$2-X$5),
      unit_details[Leased Date], "&lt;"&amp;$AM$2,
      unit_details[Beds], $L607,
      unit_details[Baths], $M607,
      unit_details[Partial Baths], IF(ISNUMBER($N607), $N607, ""),
      unit_details[Sqft],$P607,
      unit_details[Property Name], $F607
    )
  ),
"")</f>
        <v>0</v>
      </c>
      <c r="AB607" s="290">
        <f>IF($F607="Total",
SUM(INDEX(AB:AB, ROW()-COUNTIF($F$6:INDEX($F:$F, ROW()-1), $F606)) : INDEX(AB:AB, ROW()-1)),
COUNTIFS(unit_details[Active Listing?],TRUE,
          unit_details[Property Name], $F607,
          unit_details[Beds], $L607,
          unit_details[Baths], $M607,
          unit_details[Partial Baths],IF(ISNUMBER($N607),$N607,""),
          unit_details[Sqft],$P607))</f>
        <v>0</v>
      </c>
      <c r="AC607" s="27" t="str">
        <f t="shared" si="102"/>
        <v/>
      </c>
      <c r="AD607" s="293" t="str">
        <f>IFERROR(IF(AE607="","",IF($F607="Total",
SUMPRODUCT(
   INDEX(AD:AD, ROW()-COUNTIF($F$6:INDEX($F:$F, ROW()-1), $F606)) : INDEX(AD:AD, ROW()-1),
   INDEX(AB:AB, ROW()-COUNTIF($F$6:INDEX($F:$F, ROW()-1), $F606)) : INDEX(AB:AB, ROW()-1)
   )
   /SUM(INDEX(AB:AB, ROW()-COUNTIF($F$6:INDEX($F:$F, ROW()-1), $F606)) : INDEX(AB:AB, ROW()-1)),
          _xlfn.MINIFS(unit_details[Asking Rent],
          unit_details[Active Listing?],TRUE,
          unit_details[Property Name], $F607,
          unit_details[Beds], $L607,
          unit_details[Baths], $M607,
          unit_details[Partial Baths], IF(ISNUMBER($N607),$N607,""),
          unit_details[Sqft],$P607
))),"")</f>
        <v/>
      </c>
      <c r="AE607" s="5" t="str">
        <f>IFERROR(IF($F607="Total",
          SUMPRODUCT(
   INDEX(AE:AE, ROW()-COUNTIF($F$6:INDEX($F:$F, ROW()-1), $F606)) : INDEX(AE:AE, ROW()-1),
   INDEX(AB:AB, ROW()-COUNTIF($F$6:INDEX($F:$F, ROW()-1), $F606)) : INDEX(AB:AB, ROW()-1)
   )
   /SUM(INDEX(AB:AB, ROW()-COUNTIF($F$6:INDEX($F:$F, ROW()-1), $F606)) : INDEX(AB:AB, ROW()-1)),
          AVERAGEIFS(unit_details[Asking Rent],
          unit_details[Active Listing?],TRUE,
          unit_details[Property Name], $F607,
          unit_details[Beds], $L607,
          unit_details[Baths], $M607,
          unit_details[Partial Baths], IF(ISNUMBER($N607),$N607,""),
          unit_details[Sqft],$P607
)),"")</f>
        <v/>
      </c>
      <c r="AF607" s="5" t="str">
        <f>IFERROR(IF(AE607="","",IF($F607="Total",
SUMPRODUCT(
   INDEX(AF:AF, ROW()-COUNTIF($F$6:INDEX($F:$F, ROW()-1), $F606)) : INDEX(AF:AF, ROW()-1),
   INDEX(AB:AB, ROW()-COUNTIF($F$6:INDEX($F:$F, ROW()-1), $F606)) : INDEX(AB:AB, ROW()-1)
   )
   /SUM(INDEX(AB:AB, ROW()-COUNTIF($F$6:INDEX($F:$F, ROW()-1), $F606)) : INDEX(AB:AB, ROW()-1)),
           _xlfn.MAXIFS(unit_details[Asking Rent],
          unit_details[Active Listing?],TRUE,
          unit_details[Property Name], $F607,
          unit_details[Beds], $L607,
          unit_details[Baths], $M607,
          unit_details[Partial Baths], IF(ISNUMBER($N607),$N607,""),
          unit_details[Sqft],$P607
))),"")</f>
        <v/>
      </c>
      <c r="AG607" s="6" t="str">
        <f>IFERROR(IF($F607="Total",
         SUMPRODUCT(
         INDEX(AG:AG, ROW()-COUNTIF($F$6:INDEX($F:$F, ROW()-1), $F606)) : INDEX(AG:AG, ROW()-1),
         INDEX(AB:AB, ROW()-COUNTIF($F$6:INDEX($F:$F, ROW()-1), $F606)) : INDEX(AB:AB, ROW()-1)
         )
         /SUM(INDEX(AB:AB, ROW()-COUNTIF($F$6:INDEX($F:$F, ROW()-1), $F606)) : INDEX(AB:AB, ROW()-1)),
          AVERAGEIFS(unit_details[Asking PSF],
          unit_details[Active Listing?],TRUE,
          unit_details[Property Name], $F607,
          unit_details[Beds], $L607,
          unit_details[Baths], $M607,
          unit_details[Partial Baths], IF(ISNUMBER($N607),$N607,""),
          unit_details[Sqft],$P607
)),"")</f>
        <v/>
      </c>
      <c r="AH607" s="293" t="str">
        <f>IFERROR(IF($F607="Total",
         SUMPRODUCT(
         INDEX(AH:AH, ROW()-COUNTIF($F$6:INDEX($F:$F, ROW()-1), $F606)) : INDEX(AH:AH, ROW()-1),
         INDEX(AB:AB, ROW()-COUNTIF($F$6:INDEX($F:$F, ROW()-1), $F606)) : INDEX(AB:AB, ROW()-1)
         )
         /SUM(INDEX(AB:AB, ROW()-COUNTIF($F$6:INDEX($F:$F, ROW()-1), $F606)) : INDEX(AB:AB, ROW()-1)),
          AVERAGEIFS(unit_details[Effective Rent],
          unit_details[Active Listing?],TRUE,
          unit_details[Property Name], $F607,
          unit_details[Beds], $L607,
          unit_details[Baths], $M607,
          unit_details[Partial Baths], IF(ISNUMBER($N607),$N607,""),
          unit_details[Sqft],$P607
)),"")</f>
        <v/>
      </c>
      <c r="AI607" s="6" t="str">
        <f>IFERROR(IF($F607="Total",
         SUMPRODUCT(
         INDEX(AI:AI, ROW()-COUNTIF($F$6:INDEX($F:$F, ROW()-1), $F606)) : INDEX(AI:AI, ROW()-1),
         INDEX(AB:AB, ROW()-COUNTIF($F$6:INDEX($F:$F, ROW()-1), $F606)) : INDEX(AB:AB, ROW()-1)
         )
         /SUM(INDEX(AB:AB, ROW()-COUNTIF($F$6:INDEX($F:$F, ROW()-1), $F606)) : INDEX(AB:AB, ROW()-1)),
           AVERAGEIFS(unit_details[Effective PSF],
          unit_details[Active Listing?],TRUE,
          unit_details[Property Name], $F607,
          unit_details[Beds], $L607,
          unit_details[Baths], $M607,
          unit_details[Partial Baths], IF(ISNUMBER($N607),$N607,""),
          unit_details[Sqft],$P607
)),"")</f>
        <v/>
      </c>
      <c r="AJ607" s="824" t="str">
        <f t="shared" si="103"/>
        <v/>
      </c>
      <c r="AK607" s="531" t="str">
        <f t="shared" si="104"/>
        <v/>
      </c>
      <c r="AL607" s="714" t="str">
        <f t="shared" si="105"/>
        <v/>
      </c>
      <c r="AM607" s="531" t="str">
        <f t="shared" si="106"/>
        <v/>
      </c>
      <c r="AN607" s="716" t="str">
        <f t="shared" si="107"/>
        <v/>
      </c>
    </row>
    <row r="608" spans="6:40" x14ac:dyDescent="0.2">
      <c r="F608" s="1" t="str">
        <f t="shared" si="100"/>
        <v/>
      </c>
      <c r="G608" s="713" t="str">
        <f t="shared" si="108"/>
        <v/>
      </c>
      <c r="H608" s="17" t="str">
        <f>IFERROR(VLOOKUP($G608,Table1[[Property]:[Exposure %]],4,0),"")</f>
        <v/>
      </c>
      <c r="I608" s="3" t="str">
        <f>IFERROR(VLOOKUP($G608,Table1[[Property]:[Exposure %]],6,0),"")</f>
        <v/>
      </c>
      <c r="J608" s="3" t="str">
        <f>IFERROR(VLOOKUP($G608,Table1[[Property]:[Exposure %]],7,0),"")</f>
        <v/>
      </c>
      <c r="R608" s="4" t="str">
        <f>IFERROR(VLOOKUP(IF(F608="Total",F607,F608),Table1[[Property]:['# Units]],7,0)*S608,"")</f>
        <v/>
      </c>
      <c r="S608" s="27" t="str">
        <f t="shared" si="101"/>
        <v/>
      </c>
      <c r="T608" s="531" t="str">
        <f>IFERROR(
 IF($F608="Total",
   SUMPRODUCT(
   INDEX(T:T, ROW()-COUNTIF($F$6:INDEX($F:$F, ROW()-1), $F607)) : INDEX(T:T, ROW()-1),
   INDEX(W:W, ROW()-COUNTIF($F$6:INDEX($F:$F, ROW()-1), $F607)) : INDEX(W:W, ROW()-1)
   )
   /SUM(INDEX(W:W, ROW()-COUNTIF($F$6:INDEX($F:$F, ROW()-1), $F607)) : INDEX(W:W, ROW()-1)),
   AVERAGEIFS(
     INDEX((unit_details[Asking Rent],unit_details[Asking PSF]),0,1,IF($U$3="Chunk Rent",1,2)),
     unit_details[Leased Date],"&gt;="&amp;($AM$2-T$5),
     unit_details[Leased Date],"&lt;"&amp;$AM$2,
     unit_details[Beds],$L608,
     unit_details[Baths],$M608,
     unit_details[Partial Baths],IF(ISNUMBER($N608),$N608,""),
     unit_details[Sqft],$P608,
     unit_details[Property Name],$F608)
 ),"")</f>
        <v/>
      </c>
      <c r="U608" s="552" t="str">
        <f>IFERROR(
 IF($F608="Total",
   SUMPRODUCT(
   INDEX(U:U, ROW()-COUNTIF($F$6:INDEX($F:$F, ROW()-1), $F607)) : INDEX(U:U, ROW()-1),
   INDEX(W:W, ROW()-COUNTIF($F$6:INDEX($F:$F, ROW()-1), $F607)) : INDEX(W:W, ROW()-1)
   )
   /SUM(INDEX(W:W, ROW()-COUNTIF($F$6:INDEX($F:$F, ROW()-1), $F607)) : INDEX(W:W, ROW()-1)),
   AVERAGEIFS(
     INDEX((unit_details[Effective Rent],unit_details[Effective PSF]),0,1,IF($U$3="Chunk Rent",1,2)),
     unit_details[Leased Date],"&gt;="&amp;($AM$2-T$5),
     unit_details[Leased Date],"&lt;"&amp;$AM$2,
     unit_details[Beds],$L608,
     unit_details[Baths],$M608,
     unit_details[Partial Baths],IF(ISNUMBER($N608),$N608,""),
     unit_details[Sqft],$P608,
     unit_details[Property Name],$F608)
 ),"")</f>
        <v/>
      </c>
      <c r="V608" s="27" t="str">
        <f t="shared" si="109"/>
        <v/>
      </c>
      <c r="W608" s="526">
        <f>IFERROR(
  IF($F608="Total",
    SUM(INDEX(W:W, ROW()-COUNTIF($F$6:INDEX($F:$F, ROW()-1), $F607)) : INDEX(W:W, ROW()-1)),
    COUNTIFS(
      unit_details[Leased Date], "&gt;="&amp;($AM$2-T$5),
      unit_details[Leased Date], "&lt;"&amp;$AM$2,
      unit_details[Beds], $L608,
      unit_details[Baths], $M608,
      unit_details[Partial Baths], IF(ISNUMBER($N608), $N608, ""),
      unit_details[Sqft],$P608,
      unit_details[Property Name], $F608
    )
  ),
"")</f>
        <v>0</v>
      </c>
      <c r="X608" s="531" t="str">
        <f>IFERROR(
 IF($F608="Total",
   SUMPRODUCT(
   INDEX(X:X, ROW()-COUNTIF($F$6:INDEX($F:$F, ROW()-1), $F607)) : INDEX(X:X, ROW()-1),
   INDEX(AA:AA, ROW()-COUNTIF($F$6:INDEX($F:$F, ROW()-1), $F607)) : INDEX(AA:AA, ROW()-1)
   )
   /SUM(INDEX(AA:AA, ROW()-COUNTIF($F$6:INDEX($F:$F, ROW()-1), $F607)) : INDEX(AA:AA, ROW()-1)),
   AVERAGEIFS(
     INDEX((unit_details[Asking Rent],unit_details[Asking PSF]),0,1,IF($U$3="Chunk Rent",1,2)),
     unit_details[Leased Date],"&gt;="&amp;($AM$2-X$5),
     unit_details[Leased Date],"&lt;"&amp;$AM$2,
     unit_details[Beds],$L608,
     unit_details[Baths],$M608,
     unit_details[Partial Baths],IF(ISNUMBER($N608),$N608,""),
     unit_details[Sqft],$P608,
     unit_details[Property Name],$F608)
 ),"")</f>
        <v/>
      </c>
      <c r="Y608" s="552" t="str">
        <f>IFERROR(
 IF($F608="Total",
   SUMPRODUCT(
   INDEX(Y:Y, ROW()-COUNTIF($F$6:INDEX($F:$F, ROW()-1), $F607)) : INDEX(Y:Y, ROW()-1),
   INDEX(AA:AA, ROW()-COUNTIF($F$6:INDEX($F:$F, ROW()-1), $F607)) : INDEX(AA:AA, ROW()-1)
   )
   /SUM(INDEX(AA:AA, ROW()-COUNTIF($F$6:INDEX($F:$F, ROW()-1), $F607)) : INDEX(AA:AA, ROW()-1)),
   AVERAGEIFS(
     INDEX((unit_details[Effective Rent],unit_details[Effective PSF]),0,1,IF($U$3="Chunk Rent",1,2)),
     unit_details[Leased Date],"&gt;="&amp;($AM$2-X$5),
     unit_details[Leased Date],"&lt;"&amp;$AM$2,
     unit_details[Beds],$L608,
     unit_details[Baths],$M608,
     unit_details[Partial Baths],IF(ISNUMBER($N608),$N608,""),
     unit_details[Sqft],$P608,
     unit_details[Property Name],$F608)
 ),"")</f>
        <v/>
      </c>
      <c r="Z608" s="27" t="str">
        <f t="shared" si="110"/>
        <v/>
      </c>
      <c r="AA608" s="526">
        <f>IFERROR(
  IF($F608="Total",
    SUM(INDEX(AA:AA, ROW()-COUNTIF($F$6:INDEX($F:$F, ROW()-1), $F607)) : INDEX(AA:AA, ROW()-1)),
    COUNTIFS(
      unit_details[Leased Date], "&gt;="&amp;($AM$2-X$5),
      unit_details[Leased Date], "&lt;"&amp;$AM$2,
      unit_details[Beds], $L608,
      unit_details[Baths], $M608,
      unit_details[Partial Baths], IF(ISNUMBER($N608), $N608, ""),
      unit_details[Sqft],$P608,
      unit_details[Property Name], $F608
    )
  ),
"")</f>
        <v>0</v>
      </c>
      <c r="AB608" s="290">
        <f>IF($F608="Total",
SUM(INDEX(AB:AB, ROW()-COUNTIF($F$6:INDEX($F:$F, ROW()-1), $F607)) : INDEX(AB:AB, ROW()-1)),
COUNTIFS(unit_details[Active Listing?],TRUE,
          unit_details[Property Name], $F608,
          unit_details[Beds], $L608,
          unit_details[Baths], $M608,
          unit_details[Partial Baths],IF(ISNUMBER($N608),$N608,""),
          unit_details[Sqft],$P608))</f>
        <v>0</v>
      </c>
      <c r="AC608" s="27" t="str">
        <f t="shared" si="102"/>
        <v/>
      </c>
      <c r="AD608" s="293" t="str">
        <f>IFERROR(IF(AE608="","",IF($F608="Total",
SUMPRODUCT(
   INDEX(AD:AD, ROW()-COUNTIF($F$6:INDEX($F:$F, ROW()-1), $F607)) : INDEX(AD:AD, ROW()-1),
   INDEX(AB:AB, ROW()-COUNTIF($F$6:INDEX($F:$F, ROW()-1), $F607)) : INDEX(AB:AB, ROW()-1)
   )
   /SUM(INDEX(AB:AB, ROW()-COUNTIF($F$6:INDEX($F:$F, ROW()-1), $F607)) : INDEX(AB:AB, ROW()-1)),
          _xlfn.MINIFS(unit_details[Asking Rent],
          unit_details[Active Listing?],TRUE,
          unit_details[Property Name], $F608,
          unit_details[Beds], $L608,
          unit_details[Baths], $M608,
          unit_details[Partial Baths], IF(ISNUMBER($N608),$N608,""),
          unit_details[Sqft],$P608
))),"")</f>
        <v/>
      </c>
      <c r="AE608" s="5" t="str">
        <f>IFERROR(IF($F608="Total",
          SUMPRODUCT(
   INDEX(AE:AE, ROW()-COUNTIF($F$6:INDEX($F:$F, ROW()-1), $F607)) : INDEX(AE:AE, ROW()-1),
   INDEX(AB:AB, ROW()-COUNTIF($F$6:INDEX($F:$F, ROW()-1), $F607)) : INDEX(AB:AB, ROW()-1)
   )
   /SUM(INDEX(AB:AB, ROW()-COUNTIF($F$6:INDEX($F:$F, ROW()-1), $F607)) : INDEX(AB:AB, ROW()-1)),
          AVERAGEIFS(unit_details[Asking Rent],
          unit_details[Active Listing?],TRUE,
          unit_details[Property Name], $F608,
          unit_details[Beds], $L608,
          unit_details[Baths], $M608,
          unit_details[Partial Baths], IF(ISNUMBER($N608),$N608,""),
          unit_details[Sqft],$P608
)),"")</f>
        <v/>
      </c>
      <c r="AF608" s="5" t="str">
        <f>IFERROR(IF(AE608="","",IF($F608="Total",
SUMPRODUCT(
   INDEX(AF:AF, ROW()-COUNTIF($F$6:INDEX($F:$F, ROW()-1), $F607)) : INDEX(AF:AF, ROW()-1),
   INDEX(AB:AB, ROW()-COUNTIF($F$6:INDEX($F:$F, ROW()-1), $F607)) : INDEX(AB:AB, ROW()-1)
   )
   /SUM(INDEX(AB:AB, ROW()-COUNTIF($F$6:INDEX($F:$F, ROW()-1), $F607)) : INDEX(AB:AB, ROW()-1)),
           _xlfn.MAXIFS(unit_details[Asking Rent],
          unit_details[Active Listing?],TRUE,
          unit_details[Property Name], $F608,
          unit_details[Beds], $L608,
          unit_details[Baths], $M608,
          unit_details[Partial Baths], IF(ISNUMBER($N608),$N608,""),
          unit_details[Sqft],$P608
))),"")</f>
        <v/>
      </c>
      <c r="AG608" s="6" t="str">
        <f>IFERROR(IF($F608="Total",
         SUMPRODUCT(
         INDEX(AG:AG, ROW()-COUNTIF($F$6:INDEX($F:$F, ROW()-1), $F607)) : INDEX(AG:AG, ROW()-1),
         INDEX(AB:AB, ROW()-COUNTIF($F$6:INDEX($F:$F, ROW()-1), $F607)) : INDEX(AB:AB, ROW()-1)
         )
         /SUM(INDEX(AB:AB, ROW()-COUNTIF($F$6:INDEX($F:$F, ROW()-1), $F607)) : INDEX(AB:AB, ROW()-1)),
          AVERAGEIFS(unit_details[Asking PSF],
          unit_details[Active Listing?],TRUE,
          unit_details[Property Name], $F608,
          unit_details[Beds], $L608,
          unit_details[Baths], $M608,
          unit_details[Partial Baths], IF(ISNUMBER($N608),$N608,""),
          unit_details[Sqft],$P608
)),"")</f>
        <v/>
      </c>
      <c r="AH608" s="293" t="str">
        <f>IFERROR(IF($F608="Total",
         SUMPRODUCT(
         INDEX(AH:AH, ROW()-COUNTIF($F$6:INDEX($F:$F, ROW()-1), $F607)) : INDEX(AH:AH, ROW()-1),
         INDEX(AB:AB, ROW()-COUNTIF($F$6:INDEX($F:$F, ROW()-1), $F607)) : INDEX(AB:AB, ROW()-1)
         )
         /SUM(INDEX(AB:AB, ROW()-COUNTIF($F$6:INDEX($F:$F, ROW()-1), $F607)) : INDEX(AB:AB, ROW()-1)),
          AVERAGEIFS(unit_details[Effective Rent],
          unit_details[Active Listing?],TRUE,
          unit_details[Property Name], $F608,
          unit_details[Beds], $L608,
          unit_details[Baths], $M608,
          unit_details[Partial Baths], IF(ISNUMBER($N608),$N608,""),
          unit_details[Sqft],$P608
)),"")</f>
        <v/>
      </c>
      <c r="AI608" s="6" t="str">
        <f>IFERROR(IF($F608="Total",
         SUMPRODUCT(
         INDEX(AI:AI, ROW()-COUNTIF($F$6:INDEX($F:$F, ROW()-1), $F607)) : INDEX(AI:AI, ROW()-1),
         INDEX(AB:AB, ROW()-COUNTIF($F$6:INDEX($F:$F, ROW()-1), $F607)) : INDEX(AB:AB, ROW()-1)
         )
         /SUM(INDEX(AB:AB, ROW()-COUNTIF($F$6:INDEX($F:$F, ROW()-1), $F607)) : INDEX(AB:AB, ROW()-1)),
           AVERAGEIFS(unit_details[Effective PSF],
          unit_details[Active Listing?],TRUE,
          unit_details[Property Name], $F608,
          unit_details[Beds], $L608,
          unit_details[Baths], $M608,
          unit_details[Partial Baths], IF(ISNUMBER($N608),$N608,""),
          unit_details[Sqft],$P608
)),"")</f>
        <v/>
      </c>
      <c r="AJ608" s="824" t="str">
        <f t="shared" si="103"/>
        <v/>
      </c>
      <c r="AK608" s="531" t="str">
        <f t="shared" si="104"/>
        <v/>
      </c>
      <c r="AL608" s="714" t="str">
        <f t="shared" si="105"/>
        <v/>
      </c>
      <c r="AM608" s="531" t="str">
        <f t="shared" si="106"/>
        <v/>
      </c>
      <c r="AN608" s="716" t="str">
        <f t="shared" si="107"/>
        <v/>
      </c>
    </row>
    <row r="609" spans="6:40" x14ac:dyDescent="0.2">
      <c r="F609" s="1" t="str">
        <f t="shared" si="100"/>
        <v/>
      </c>
      <c r="G609" s="713" t="str">
        <f t="shared" si="108"/>
        <v/>
      </c>
      <c r="H609" s="17" t="str">
        <f>IFERROR(VLOOKUP($G609,Table1[[Property]:[Exposure %]],4,0),"")</f>
        <v/>
      </c>
      <c r="I609" s="3" t="str">
        <f>IFERROR(VLOOKUP($G609,Table1[[Property]:[Exposure %]],6,0),"")</f>
        <v/>
      </c>
      <c r="J609" s="3" t="str">
        <f>IFERROR(VLOOKUP($G609,Table1[[Property]:[Exposure %]],7,0),"")</f>
        <v/>
      </c>
      <c r="R609" s="4" t="str">
        <f>IFERROR(VLOOKUP(IF(F609="Total",F608,F609),Table1[[Property]:['# Units]],7,0)*S609,"")</f>
        <v/>
      </c>
      <c r="S609" s="27" t="str">
        <f t="shared" si="101"/>
        <v/>
      </c>
      <c r="T609" s="531" t="str">
        <f>IFERROR(
 IF($F609="Total",
   SUMPRODUCT(
   INDEX(T:T, ROW()-COUNTIF($F$6:INDEX($F:$F, ROW()-1), $F608)) : INDEX(T:T, ROW()-1),
   INDEX(W:W, ROW()-COUNTIF($F$6:INDEX($F:$F, ROW()-1), $F608)) : INDEX(W:W, ROW()-1)
   )
   /SUM(INDEX(W:W, ROW()-COUNTIF($F$6:INDEX($F:$F, ROW()-1), $F608)) : INDEX(W:W, ROW()-1)),
   AVERAGEIFS(
     INDEX((unit_details[Asking Rent],unit_details[Asking PSF]),0,1,IF($U$3="Chunk Rent",1,2)),
     unit_details[Leased Date],"&gt;="&amp;($AM$2-T$5),
     unit_details[Leased Date],"&lt;"&amp;$AM$2,
     unit_details[Beds],$L609,
     unit_details[Baths],$M609,
     unit_details[Partial Baths],IF(ISNUMBER($N609),$N609,""),
     unit_details[Sqft],$P609,
     unit_details[Property Name],$F609)
 ),"")</f>
        <v/>
      </c>
      <c r="U609" s="552" t="str">
        <f>IFERROR(
 IF($F609="Total",
   SUMPRODUCT(
   INDEX(U:U, ROW()-COUNTIF($F$6:INDEX($F:$F, ROW()-1), $F608)) : INDEX(U:U, ROW()-1),
   INDEX(W:W, ROW()-COUNTIF($F$6:INDEX($F:$F, ROW()-1), $F608)) : INDEX(W:W, ROW()-1)
   )
   /SUM(INDEX(W:W, ROW()-COUNTIF($F$6:INDEX($F:$F, ROW()-1), $F608)) : INDEX(W:W, ROW()-1)),
   AVERAGEIFS(
     INDEX((unit_details[Effective Rent],unit_details[Effective PSF]),0,1,IF($U$3="Chunk Rent",1,2)),
     unit_details[Leased Date],"&gt;="&amp;($AM$2-T$5),
     unit_details[Leased Date],"&lt;"&amp;$AM$2,
     unit_details[Beds],$L609,
     unit_details[Baths],$M609,
     unit_details[Partial Baths],IF(ISNUMBER($N609),$N609,""),
     unit_details[Sqft],$P609,
     unit_details[Property Name],$F609)
 ),"")</f>
        <v/>
      </c>
      <c r="V609" s="27" t="str">
        <f t="shared" si="109"/>
        <v/>
      </c>
      <c r="W609" s="526">
        <f>IFERROR(
  IF($F609="Total",
    SUM(INDEX(W:W, ROW()-COUNTIF($F$6:INDEX($F:$F, ROW()-1), $F608)) : INDEX(W:W, ROW()-1)),
    COUNTIFS(
      unit_details[Leased Date], "&gt;="&amp;($AM$2-T$5),
      unit_details[Leased Date], "&lt;"&amp;$AM$2,
      unit_details[Beds], $L609,
      unit_details[Baths], $M609,
      unit_details[Partial Baths], IF(ISNUMBER($N609), $N609, ""),
      unit_details[Sqft],$P609,
      unit_details[Property Name], $F609
    )
  ),
"")</f>
        <v>0</v>
      </c>
      <c r="X609" s="531" t="str">
        <f>IFERROR(
 IF($F609="Total",
   SUMPRODUCT(
   INDEX(X:X, ROW()-COUNTIF($F$6:INDEX($F:$F, ROW()-1), $F608)) : INDEX(X:X, ROW()-1),
   INDEX(AA:AA, ROW()-COUNTIF($F$6:INDEX($F:$F, ROW()-1), $F608)) : INDEX(AA:AA, ROW()-1)
   )
   /SUM(INDEX(AA:AA, ROW()-COUNTIF($F$6:INDEX($F:$F, ROW()-1), $F608)) : INDEX(AA:AA, ROW()-1)),
   AVERAGEIFS(
     INDEX((unit_details[Asking Rent],unit_details[Asking PSF]),0,1,IF($U$3="Chunk Rent",1,2)),
     unit_details[Leased Date],"&gt;="&amp;($AM$2-X$5),
     unit_details[Leased Date],"&lt;"&amp;$AM$2,
     unit_details[Beds],$L609,
     unit_details[Baths],$M609,
     unit_details[Partial Baths],IF(ISNUMBER($N609),$N609,""),
     unit_details[Sqft],$P609,
     unit_details[Property Name],$F609)
 ),"")</f>
        <v/>
      </c>
      <c r="Y609" s="552" t="str">
        <f>IFERROR(
 IF($F609="Total",
   SUMPRODUCT(
   INDEX(Y:Y, ROW()-COUNTIF($F$6:INDEX($F:$F, ROW()-1), $F608)) : INDEX(Y:Y, ROW()-1),
   INDEX(AA:AA, ROW()-COUNTIF($F$6:INDEX($F:$F, ROW()-1), $F608)) : INDEX(AA:AA, ROW()-1)
   )
   /SUM(INDEX(AA:AA, ROW()-COUNTIF($F$6:INDEX($F:$F, ROW()-1), $F608)) : INDEX(AA:AA, ROW()-1)),
   AVERAGEIFS(
     INDEX((unit_details[Effective Rent],unit_details[Effective PSF]),0,1,IF($U$3="Chunk Rent",1,2)),
     unit_details[Leased Date],"&gt;="&amp;($AM$2-X$5),
     unit_details[Leased Date],"&lt;"&amp;$AM$2,
     unit_details[Beds],$L609,
     unit_details[Baths],$M609,
     unit_details[Partial Baths],IF(ISNUMBER($N609),$N609,""),
     unit_details[Sqft],$P609,
     unit_details[Property Name],$F609)
 ),"")</f>
        <v/>
      </c>
      <c r="Z609" s="27" t="str">
        <f t="shared" si="110"/>
        <v/>
      </c>
      <c r="AA609" s="526">
        <f>IFERROR(
  IF($F609="Total",
    SUM(INDEX(AA:AA, ROW()-COUNTIF($F$6:INDEX($F:$F, ROW()-1), $F608)) : INDEX(AA:AA, ROW()-1)),
    COUNTIFS(
      unit_details[Leased Date], "&gt;="&amp;($AM$2-X$5),
      unit_details[Leased Date], "&lt;"&amp;$AM$2,
      unit_details[Beds], $L609,
      unit_details[Baths], $M609,
      unit_details[Partial Baths], IF(ISNUMBER($N609), $N609, ""),
      unit_details[Sqft],$P609,
      unit_details[Property Name], $F609
    )
  ),
"")</f>
        <v>0</v>
      </c>
      <c r="AB609" s="290">
        <f>IF($F609="Total",
SUM(INDEX(AB:AB, ROW()-COUNTIF($F$6:INDEX($F:$F, ROW()-1), $F608)) : INDEX(AB:AB, ROW()-1)),
COUNTIFS(unit_details[Active Listing?],TRUE,
          unit_details[Property Name], $F609,
          unit_details[Beds], $L609,
          unit_details[Baths], $M609,
          unit_details[Partial Baths],IF(ISNUMBER($N609),$N609,""),
          unit_details[Sqft],$P609))</f>
        <v>0</v>
      </c>
      <c r="AC609" s="27" t="str">
        <f t="shared" si="102"/>
        <v/>
      </c>
      <c r="AD609" s="293" t="str">
        <f>IFERROR(IF(AE609="","",IF($F609="Total",
SUMPRODUCT(
   INDEX(AD:AD, ROW()-COUNTIF($F$6:INDEX($F:$F, ROW()-1), $F608)) : INDEX(AD:AD, ROW()-1),
   INDEX(AB:AB, ROW()-COUNTIF($F$6:INDEX($F:$F, ROW()-1), $F608)) : INDEX(AB:AB, ROW()-1)
   )
   /SUM(INDEX(AB:AB, ROW()-COUNTIF($F$6:INDEX($F:$F, ROW()-1), $F608)) : INDEX(AB:AB, ROW()-1)),
          _xlfn.MINIFS(unit_details[Asking Rent],
          unit_details[Active Listing?],TRUE,
          unit_details[Property Name], $F609,
          unit_details[Beds], $L609,
          unit_details[Baths], $M609,
          unit_details[Partial Baths], IF(ISNUMBER($N609),$N609,""),
          unit_details[Sqft],$P609
))),"")</f>
        <v/>
      </c>
      <c r="AE609" s="5" t="str">
        <f>IFERROR(IF($F609="Total",
          SUMPRODUCT(
   INDEX(AE:AE, ROW()-COUNTIF($F$6:INDEX($F:$F, ROW()-1), $F608)) : INDEX(AE:AE, ROW()-1),
   INDEX(AB:AB, ROW()-COUNTIF($F$6:INDEX($F:$F, ROW()-1), $F608)) : INDEX(AB:AB, ROW()-1)
   )
   /SUM(INDEX(AB:AB, ROW()-COUNTIF($F$6:INDEX($F:$F, ROW()-1), $F608)) : INDEX(AB:AB, ROW()-1)),
          AVERAGEIFS(unit_details[Asking Rent],
          unit_details[Active Listing?],TRUE,
          unit_details[Property Name], $F609,
          unit_details[Beds], $L609,
          unit_details[Baths], $M609,
          unit_details[Partial Baths], IF(ISNUMBER($N609),$N609,""),
          unit_details[Sqft],$P609
)),"")</f>
        <v/>
      </c>
      <c r="AF609" s="5" t="str">
        <f>IFERROR(IF(AE609="","",IF($F609="Total",
SUMPRODUCT(
   INDEX(AF:AF, ROW()-COUNTIF($F$6:INDEX($F:$F, ROW()-1), $F608)) : INDEX(AF:AF, ROW()-1),
   INDEX(AB:AB, ROW()-COUNTIF($F$6:INDEX($F:$F, ROW()-1), $F608)) : INDEX(AB:AB, ROW()-1)
   )
   /SUM(INDEX(AB:AB, ROW()-COUNTIF($F$6:INDEX($F:$F, ROW()-1), $F608)) : INDEX(AB:AB, ROW()-1)),
           _xlfn.MAXIFS(unit_details[Asking Rent],
          unit_details[Active Listing?],TRUE,
          unit_details[Property Name], $F609,
          unit_details[Beds], $L609,
          unit_details[Baths], $M609,
          unit_details[Partial Baths], IF(ISNUMBER($N609),$N609,""),
          unit_details[Sqft],$P609
))),"")</f>
        <v/>
      </c>
      <c r="AG609" s="6" t="str">
        <f>IFERROR(IF($F609="Total",
         SUMPRODUCT(
         INDEX(AG:AG, ROW()-COUNTIF($F$6:INDEX($F:$F, ROW()-1), $F608)) : INDEX(AG:AG, ROW()-1),
         INDEX(AB:AB, ROW()-COUNTIF($F$6:INDEX($F:$F, ROW()-1), $F608)) : INDEX(AB:AB, ROW()-1)
         )
         /SUM(INDEX(AB:AB, ROW()-COUNTIF($F$6:INDEX($F:$F, ROW()-1), $F608)) : INDEX(AB:AB, ROW()-1)),
          AVERAGEIFS(unit_details[Asking PSF],
          unit_details[Active Listing?],TRUE,
          unit_details[Property Name], $F609,
          unit_details[Beds], $L609,
          unit_details[Baths], $M609,
          unit_details[Partial Baths], IF(ISNUMBER($N609),$N609,""),
          unit_details[Sqft],$P609
)),"")</f>
        <v/>
      </c>
      <c r="AH609" s="293" t="str">
        <f>IFERROR(IF($F609="Total",
         SUMPRODUCT(
         INDEX(AH:AH, ROW()-COUNTIF($F$6:INDEX($F:$F, ROW()-1), $F608)) : INDEX(AH:AH, ROW()-1),
         INDEX(AB:AB, ROW()-COUNTIF($F$6:INDEX($F:$F, ROW()-1), $F608)) : INDEX(AB:AB, ROW()-1)
         )
         /SUM(INDEX(AB:AB, ROW()-COUNTIF($F$6:INDEX($F:$F, ROW()-1), $F608)) : INDEX(AB:AB, ROW()-1)),
          AVERAGEIFS(unit_details[Effective Rent],
          unit_details[Active Listing?],TRUE,
          unit_details[Property Name], $F609,
          unit_details[Beds], $L609,
          unit_details[Baths], $M609,
          unit_details[Partial Baths], IF(ISNUMBER($N609),$N609,""),
          unit_details[Sqft],$P609
)),"")</f>
        <v/>
      </c>
      <c r="AI609" s="6" t="str">
        <f>IFERROR(IF($F609="Total",
         SUMPRODUCT(
         INDEX(AI:AI, ROW()-COUNTIF($F$6:INDEX($F:$F, ROW()-1), $F608)) : INDEX(AI:AI, ROW()-1),
         INDEX(AB:AB, ROW()-COUNTIF($F$6:INDEX($F:$F, ROW()-1), $F608)) : INDEX(AB:AB, ROW()-1)
         )
         /SUM(INDEX(AB:AB, ROW()-COUNTIF($F$6:INDEX($F:$F, ROW()-1), $F608)) : INDEX(AB:AB, ROW()-1)),
           AVERAGEIFS(unit_details[Effective PSF],
          unit_details[Active Listing?],TRUE,
          unit_details[Property Name], $F609,
          unit_details[Beds], $L609,
          unit_details[Baths], $M609,
          unit_details[Partial Baths], IF(ISNUMBER($N609),$N609,""),
          unit_details[Sqft],$P609
)),"")</f>
        <v/>
      </c>
      <c r="AJ609" s="824" t="str">
        <f t="shared" si="103"/>
        <v/>
      </c>
      <c r="AK609" s="531" t="str">
        <f t="shared" si="104"/>
        <v/>
      </c>
      <c r="AL609" s="714" t="str">
        <f t="shared" si="105"/>
        <v/>
      </c>
      <c r="AM609" s="531" t="str">
        <f t="shared" si="106"/>
        <v/>
      </c>
      <c r="AN609" s="716" t="str">
        <f t="shared" si="107"/>
        <v/>
      </c>
    </row>
    <row r="610" spans="6:40" x14ac:dyDescent="0.2">
      <c r="F610" s="1" t="str">
        <f t="shared" si="100"/>
        <v/>
      </c>
      <c r="G610" s="713" t="str">
        <f t="shared" si="108"/>
        <v/>
      </c>
      <c r="H610" s="17" t="str">
        <f>IFERROR(VLOOKUP($G610,Table1[[Property]:[Exposure %]],4,0),"")</f>
        <v/>
      </c>
      <c r="I610" s="3" t="str">
        <f>IFERROR(VLOOKUP($G610,Table1[[Property]:[Exposure %]],6,0),"")</f>
        <v/>
      </c>
      <c r="J610" s="3" t="str">
        <f>IFERROR(VLOOKUP($G610,Table1[[Property]:[Exposure %]],7,0),"")</f>
        <v/>
      </c>
      <c r="R610" s="4" t="str">
        <f>IFERROR(VLOOKUP(IF(F610="Total",F609,F610),Table1[[Property]:['# Units]],7,0)*S610,"")</f>
        <v/>
      </c>
      <c r="S610" s="27" t="str">
        <f t="shared" si="101"/>
        <v/>
      </c>
      <c r="T610" s="531" t="str">
        <f>IFERROR(
 IF($F610="Total",
   SUMPRODUCT(
   INDEX(T:T, ROW()-COUNTIF($F$6:INDEX($F:$F, ROW()-1), $F609)) : INDEX(T:T, ROW()-1),
   INDEX(W:W, ROW()-COUNTIF($F$6:INDEX($F:$F, ROW()-1), $F609)) : INDEX(W:W, ROW()-1)
   )
   /SUM(INDEX(W:W, ROW()-COUNTIF($F$6:INDEX($F:$F, ROW()-1), $F609)) : INDEX(W:W, ROW()-1)),
   AVERAGEIFS(
     INDEX((unit_details[Asking Rent],unit_details[Asking PSF]),0,1,IF($U$3="Chunk Rent",1,2)),
     unit_details[Leased Date],"&gt;="&amp;($AM$2-T$5),
     unit_details[Leased Date],"&lt;"&amp;$AM$2,
     unit_details[Beds],$L610,
     unit_details[Baths],$M610,
     unit_details[Partial Baths],IF(ISNUMBER($N610),$N610,""),
     unit_details[Sqft],$P610,
     unit_details[Property Name],$F610)
 ),"")</f>
        <v/>
      </c>
      <c r="U610" s="552" t="str">
        <f>IFERROR(
 IF($F610="Total",
   SUMPRODUCT(
   INDEX(U:U, ROW()-COUNTIF($F$6:INDEX($F:$F, ROW()-1), $F609)) : INDEX(U:U, ROW()-1),
   INDEX(W:W, ROW()-COUNTIF($F$6:INDEX($F:$F, ROW()-1), $F609)) : INDEX(W:W, ROW()-1)
   )
   /SUM(INDEX(W:W, ROW()-COUNTIF($F$6:INDEX($F:$F, ROW()-1), $F609)) : INDEX(W:W, ROW()-1)),
   AVERAGEIFS(
     INDEX((unit_details[Effective Rent],unit_details[Effective PSF]),0,1,IF($U$3="Chunk Rent",1,2)),
     unit_details[Leased Date],"&gt;="&amp;($AM$2-T$5),
     unit_details[Leased Date],"&lt;"&amp;$AM$2,
     unit_details[Beds],$L610,
     unit_details[Baths],$M610,
     unit_details[Partial Baths],IF(ISNUMBER($N610),$N610,""),
     unit_details[Sqft],$P610,
     unit_details[Property Name],$F610)
 ),"")</f>
        <v/>
      </c>
      <c r="V610" s="27" t="str">
        <f t="shared" si="109"/>
        <v/>
      </c>
      <c r="W610" s="526">
        <f>IFERROR(
  IF($F610="Total",
    SUM(INDEX(W:W, ROW()-COUNTIF($F$6:INDEX($F:$F, ROW()-1), $F609)) : INDEX(W:W, ROW()-1)),
    COUNTIFS(
      unit_details[Leased Date], "&gt;="&amp;($AM$2-T$5),
      unit_details[Leased Date], "&lt;"&amp;$AM$2,
      unit_details[Beds], $L610,
      unit_details[Baths], $M610,
      unit_details[Partial Baths], IF(ISNUMBER($N610), $N610, ""),
      unit_details[Sqft],$P610,
      unit_details[Property Name], $F610
    )
  ),
"")</f>
        <v>0</v>
      </c>
      <c r="X610" s="531" t="str">
        <f>IFERROR(
 IF($F610="Total",
   SUMPRODUCT(
   INDEX(X:X, ROW()-COUNTIF($F$6:INDEX($F:$F, ROW()-1), $F609)) : INDEX(X:X, ROW()-1),
   INDEX(AA:AA, ROW()-COUNTIF($F$6:INDEX($F:$F, ROW()-1), $F609)) : INDEX(AA:AA, ROW()-1)
   )
   /SUM(INDEX(AA:AA, ROW()-COUNTIF($F$6:INDEX($F:$F, ROW()-1), $F609)) : INDEX(AA:AA, ROW()-1)),
   AVERAGEIFS(
     INDEX((unit_details[Asking Rent],unit_details[Asking PSF]),0,1,IF($U$3="Chunk Rent",1,2)),
     unit_details[Leased Date],"&gt;="&amp;($AM$2-X$5),
     unit_details[Leased Date],"&lt;"&amp;$AM$2,
     unit_details[Beds],$L610,
     unit_details[Baths],$M610,
     unit_details[Partial Baths],IF(ISNUMBER($N610),$N610,""),
     unit_details[Sqft],$P610,
     unit_details[Property Name],$F610)
 ),"")</f>
        <v/>
      </c>
      <c r="Y610" s="552" t="str">
        <f>IFERROR(
 IF($F610="Total",
   SUMPRODUCT(
   INDEX(Y:Y, ROW()-COUNTIF($F$6:INDEX($F:$F, ROW()-1), $F609)) : INDEX(Y:Y, ROW()-1),
   INDEX(AA:AA, ROW()-COUNTIF($F$6:INDEX($F:$F, ROW()-1), $F609)) : INDEX(AA:AA, ROW()-1)
   )
   /SUM(INDEX(AA:AA, ROW()-COUNTIF($F$6:INDEX($F:$F, ROW()-1), $F609)) : INDEX(AA:AA, ROW()-1)),
   AVERAGEIFS(
     INDEX((unit_details[Effective Rent],unit_details[Effective PSF]),0,1,IF($U$3="Chunk Rent",1,2)),
     unit_details[Leased Date],"&gt;="&amp;($AM$2-X$5),
     unit_details[Leased Date],"&lt;"&amp;$AM$2,
     unit_details[Beds],$L610,
     unit_details[Baths],$M610,
     unit_details[Partial Baths],IF(ISNUMBER($N610),$N610,""),
     unit_details[Sqft],$P610,
     unit_details[Property Name],$F610)
 ),"")</f>
        <v/>
      </c>
      <c r="Z610" s="27" t="str">
        <f t="shared" si="110"/>
        <v/>
      </c>
      <c r="AA610" s="526">
        <f>IFERROR(
  IF($F610="Total",
    SUM(INDEX(AA:AA, ROW()-COUNTIF($F$6:INDEX($F:$F, ROW()-1), $F609)) : INDEX(AA:AA, ROW()-1)),
    COUNTIFS(
      unit_details[Leased Date], "&gt;="&amp;($AM$2-X$5),
      unit_details[Leased Date], "&lt;"&amp;$AM$2,
      unit_details[Beds], $L610,
      unit_details[Baths], $M610,
      unit_details[Partial Baths], IF(ISNUMBER($N610), $N610, ""),
      unit_details[Sqft],$P610,
      unit_details[Property Name], $F610
    )
  ),
"")</f>
        <v>0</v>
      </c>
      <c r="AB610" s="290">
        <f>IF($F610="Total",
SUM(INDEX(AB:AB, ROW()-COUNTIF($F$6:INDEX($F:$F, ROW()-1), $F609)) : INDEX(AB:AB, ROW()-1)),
COUNTIFS(unit_details[Active Listing?],TRUE,
          unit_details[Property Name], $F610,
          unit_details[Beds], $L610,
          unit_details[Baths], $M610,
          unit_details[Partial Baths],IF(ISNUMBER($N610),$N610,""),
          unit_details[Sqft],$P610))</f>
        <v>0</v>
      </c>
      <c r="AC610" s="27" t="str">
        <f t="shared" si="102"/>
        <v/>
      </c>
      <c r="AD610" s="293" t="str">
        <f>IFERROR(IF(AE610="","",IF($F610="Total",
SUMPRODUCT(
   INDEX(AD:AD, ROW()-COUNTIF($F$6:INDEX($F:$F, ROW()-1), $F609)) : INDEX(AD:AD, ROW()-1),
   INDEX(AB:AB, ROW()-COUNTIF($F$6:INDEX($F:$F, ROW()-1), $F609)) : INDEX(AB:AB, ROW()-1)
   )
   /SUM(INDEX(AB:AB, ROW()-COUNTIF($F$6:INDEX($F:$F, ROW()-1), $F609)) : INDEX(AB:AB, ROW()-1)),
          _xlfn.MINIFS(unit_details[Asking Rent],
          unit_details[Active Listing?],TRUE,
          unit_details[Property Name], $F610,
          unit_details[Beds], $L610,
          unit_details[Baths], $M610,
          unit_details[Partial Baths], IF(ISNUMBER($N610),$N610,""),
          unit_details[Sqft],$P610
))),"")</f>
        <v/>
      </c>
      <c r="AE610" s="5" t="str">
        <f>IFERROR(IF($F610="Total",
          SUMPRODUCT(
   INDEX(AE:AE, ROW()-COUNTIF($F$6:INDEX($F:$F, ROW()-1), $F609)) : INDEX(AE:AE, ROW()-1),
   INDEX(AB:AB, ROW()-COUNTIF($F$6:INDEX($F:$F, ROW()-1), $F609)) : INDEX(AB:AB, ROW()-1)
   )
   /SUM(INDEX(AB:AB, ROW()-COUNTIF($F$6:INDEX($F:$F, ROW()-1), $F609)) : INDEX(AB:AB, ROW()-1)),
          AVERAGEIFS(unit_details[Asking Rent],
          unit_details[Active Listing?],TRUE,
          unit_details[Property Name], $F610,
          unit_details[Beds], $L610,
          unit_details[Baths], $M610,
          unit_details[Partial Baths], IF(ISNUMBER($N610),$N610,""),
          unit_details[Sqft],$P610
)),"")</f>
        <v/>
      </c>
      <c r="AF610" s="5" t="str">
        <f>IFERROR(IF(AE610="","",IF($F610="Total",
SUMPRODUCT(
   INDEX(AF:AF, ROW()-COUNTIF($F$6:INDEX($F:$F, ROW()-1), $F609)) : INDEX(AF:AF, ROW()-1),
   INDEX(AB:AB, ROW()-COUNTIF($F$6:INDEX($F:$F, ROW()-1), $F609)) : INDEX(AB:AB, ROW()-1)
   )
   /SUM(INDEX(AB:AB, ROW()-COUNTIF($F$6:INDEX($F:$F, ROW()-1), $F609)) : INDEX(AB:AB, ROW()-1)),
           _xlfn.MAXIFS(unit_details[Asking Rent],
          unit_details[Active Listing?],TRUE,
          unit_details[Property Name], $F610,
          unit_details[Beds], $L610,
          unit_details[Baths], $M610,
          unit_details[Partial Baths], IF(ISNUMBER($N610),$N610,""),
          unit_details[Sqft],$P610
))),"")</f>
        <v/>
      </c>
      <c r="AG610" s="6" t="str">
        <f>IFERROR(IF($F610="Total",
         SUMPRODUCT(
         INDEX(AG:AG, ROW()-COUNTIF($F$6:INDEX($F:$F, ROW()-1), $F609)) : INDEX(AG:AG, ROW()-1),
         INDEX(AB:AB, ROW()-COUNTIF($F$6:INDEX($F:$F, ROW()-1), $F609)) : INDEX(AB:AB, ROW()-1)
         )
         /SUM(INDEX(AB:AB, ROW()-COUNTIF($F$6:INDEX($F:$F, ROW()-1), $F609)) : INDEX(AB:AB, ROW()-1)),
          AVERAGEIFS(unit_details[Asking PSF],
          unit_details[Active Listing?],TRUE,
          unit_details[Property Name], $F610,
          unit_details[Beds], $L610,
          unit_details[Baths], $M610,
          unit_details[Partial Baths], IF(ISNUMBER($N610),$N610,""),
          unit_details[Sqft],$P610
)),"")</f>
        <v/>
      </c>
      <c r="AH610" s="293" t="str">
        <f>IFERROR(IF($F610="Total",
         SUMPRODUCT(
         INDEX(AH:AH, ROW()-COUNTIF($F$6:INDEX($F:$F, ROW()-1), $F609)) : INDEX(AH:AH, ROW()-1),
         INDEX(AB:AB, ROW()-COUNTIF($F$6:INDEX($F:$F, ROW()-1), $F609)) : INDEX(AB:AB, ROW()-1)
         )
         /SUM(INDEX(AB:AB, ROW()-COUNTIF($F$6:INDEX($F:$F, ROW()-1), $F609)) : INDEX(AB:AB, ROW()-1)),
          AVERAGEIFS(unit_details[Effective Rent],
          unit_details[Active Listing?],TRUE,
          unit_details[Property Name], $F610,
          unit_details[Beds], $L610,
          unit_details[Baths], $M610,
          unit_details[Partial Baths], IF(ISNUMBER($N610),$N610,""),
          unit_details[Sqft],$P610
)),"")</f>
        <v/>
      </c>
      <c r="AI610" s="6" t="str">
        <f>IFERROR(IF($F610="Total",
         SUMPRODUCT(
         INDEX(AI:AI, ROW()-COUNTIF($F$6:INDEX($F:$F, ROW()-1), $F609)) : INDEX(AI:AI, ROW()-1),
         INDEX(AB:AB, ROW()-COUNTIF($F$6:INDEX($F:$F, ROW()-1), $F609)) : INDEX(AB:AB, ROW()-1)
         )
         /SUM(INDEX(AB:AB, ROW()-COUNTIF($F$6:INDEX($F:$F, ROW()-1), $F609)) : INDEX(AB:AB, ROW()-1)),
           AVERAGEIFS(unit_details[Effective PSF],
          unit_details[Active Listing?],TRUE,
          unit_details[Property Name], $F610,
          unit_details[Beds], $L610,
          unit_details[Baths], $M610,
          unit_details[Partial Baths], IF(ISNUMBER($N610),$N610,""),
          unit_details[Sqft],$P610
)),"")</f>
        <v/>
      </c>
      <c r="AJ610" s="824" t="str">
        <f t="shared" si="103"/>
        <v/>
      </c>
      <c r="AK610" s="531" t="str">
        <f t="shared" si="104"/>
        <v/>
      </c>
      <c r="AL610" s="714" t="str">
        <f t="shared" si="105"/>
        <v/>
      </c>
      <c r="AM610" s="531" t="str">
        <f t="shared" si="106"/>
        <v/>
      </c>
      <c r="AN610" s="716" t="str">
        <f t="shared" si="107"/>
        <v/>
      </c>
    </row>
    <row r="611" spans="6:40" x14ac:dyDescent="0.2">
      <c r="F611" s="1" t="str">
        <f t="shared" si="100"/>
        <v/>
      </c>
      <c r="G611" s="713" t="str">
        <f t="shared" si="108"/>
        <v/>
      </c>
      <c r="H611" s="17" t="str">
        <f>IFERROR(VLOOKUP($G611,Table1[[Property]:[Exposure %]],4,0),"")</f>
        <v/>
      </c>
      <c r="I611" s="3" t="str">
        <f>IFERROR(VLOOKUP($G611,Table1[[Property]:[Exposure %]],6,0),"")</f>
        <v/>
      </c>
      <c r="J611" s="3" t="str">
        <f>IFERROR(VLOOKUP($G611,Table1[[Property]:[Exposure %]],7,0),"")</f>
        <v/>
      </c>
      <c r="R611" s="4" t="str">
        <f>IFERROR(VLOOKUP(IF(F611="Total",F610,F611),Table1[[Property]:['# Units]],7,0)*S611,"")</f>
        <v/>
      </c>
      <c r="S611" s="27" t="str">
        <f t="shared" si="101"/>
        <v/>
      </c>
      <c r="T611" s="531" t="str">
        <f>IFERROR(
 IF($F611="Total",
   SUMPRODUCT(
   INDEX(T:T, ROW()-COUNTIF($F$6:INDEX($F:$F, ROW()-1), $F610)) : INDEX(T:T, ROW()-1),
   INDEX(W:W, ROW()-COUNTIF($F$6:INDEX($F:$F, ROW()-1), $F610)) : INDEX(W:W, ROW()-1)
   )
   /SUM(INDEX(W:W, ROW()-COUNTIF($F$6:INDEX($F:$F, ROW()-1), $F610)) : INDEX(W:W, ROW()-1)),
   AVERAGEIFS(
     INDEX((unit_details[Asking Rent],unit_details[Asking PSF]),0,1,IF($U$3="Chunk Rent",1,2)),
     unit_details[Leased Date],"&gt;="&amp;($AM$2-T$5),
     unit_details[Leased Date],"&lt;"&amp;$AM$2,
     unit_details[Beds],$L611,
     unit_details[Baths],$M611,
     unit_details[Partial Baths],IF(ISNUMBER($N611),$N611,""),
     unit_details[Sqft],$P611,
     unit_details[Property Name],$F611)
 ),"")</f>
        <v/>
      </c>
      <c r="U611" s="552" t="str">
        <f>IFERROR(
 IF($F611="Total",
   SUMPRODUCT(
   INDEX(U:U, ROW()-COUNTIF($F$6:INDEX($F:$F, ROW()-1), $F610)) : INDEX(U:U, ROW()-1),
   INDEX(W:W, ROW()-COUNTIF($F$6:INDEX($F:$F, ROW()-1), $F610)) : INDEX(W:W, ROW()-1)
   )
   /SUM(INDEX(W:W, ROW()-COUNTIF($F$6:INDEX($F:$F, ROW()-1), $F610)) : INDEX(W:W, ROW()-1)),
   AVERAGEIFS(
     INDEX((unit_details[Effective Rent],unit_details[Effective PSF]),0,1,IF($U$3="Chunk Rent",1,2)),
     unit_details[Leased Date],"&gt;="&amp;($AM$2-T$5),
     unit_details[Leased Date],"&lt;"&amp;$AM$2,
     unit_details[Beds],$L611,
     unit_details[Baths],$M611,
     unit_details[Partial Baths],IF(ISNUMBER($N611),$N611,""),
     unit_details[Sqft],$P611,
     unit_details[Property Name],$F611)
 ),"")</f>
        <v/>
      </c>
      <c r="V611" s="27" t="str">
        <f t="shared" si="109"/>
        <v/>
      </c>
      <c r="W611" s="526">
        <f>IFERROR(
  IF($F611="Total",
    SUM(INDEX(W:W, ROW()-COUNTIF($F$6:INDEX($F:$F, ROW()-1), $F610)) : INDEX(W:W, ROW()-1)),
    COUNTIFS(
      unit_details[Leased Date], "&gt;="&amp;($AM$2-T$5),
      unit_details[Leased Date], "&lt;"&amp;$AM$2,
      unit_details[Beds], $L611,
      unit_details[Baths], $M611,
      unit_details[Partial Baths], IF(ISNUMBER($N611), $N611, ""),
      unit_details[Sqft],$P611,
      unit_details[Property Name], $F611
    )
  ),
"")</f>
        <v>0</v>
      </c>
      <c r="X611" s="531" t="str">
        <f>IFERROR(
 IF($F611="Total",
   SUMPRODUCT(
   INDEX(X:X, ROW()-COUNTIF($F$6:INDEX($F:$F, ROW()-1), $F610)) : INDEX(X:X, ROW()-1),
   INDEX(AA:AA, ROW()-COUNTIF($F$6:INDEX($F:$F, ROW()-1), $F610)) : INDEX(AA:AA, ROW()-1)
   )
   /SUM(INDEX(AA:AA, ROW()-COUNTIF($F$6:INDEX($F:$F, ROW()-1), $F610)) : INDEX(AA:AA, ROW()-1)),
   AVERAGEIFS(
     INDEX((unit_details[Asking Rent],unit_details[Asking PSF]),0,1,IF($U$3="Chunk Rent",1,2)),
     unit_details[Leased Date],"&gt;="&amp;($AM$2-X$5),
     unit_details[Leased Date],"&lt;"&amp;$AM$2,
     unit_details[Beds],$L611,
     unit_details[Baths],$M611,
     unit_details[Partial Baths],IF(ISNUMBER($N611),$N611,""),
     unit_details[Sqft],$P611,
     unit_details[Property Name],$F611)
 ),"")</f>
        <v/>
      </c>
      <c r="Y611" s="552" t="str">
        <f>IFERROR(
 IF($F611="Total",
   SUMPRODUCT(
   INDEX(Y:Y, ROW()-COUNTIF($F$6:INDEX($F:$F, ROW()-1), $F610)) : INDEX(Y:Y, ROW()-1),
   INDEX(AA:AA, ROW()-COUNTIF($F$6:INDEX($F:$F, ROW()-1), $F610)) : INDEX(AA:AA, ROW()-1)
   )
   /SUM(INDEX(AA:AA, ROW()-COUNTIF($F$6:INDEX($F:$F, ROW()-1), $F610)) : INDEX(AA:AA, ROW()-1)),
   AVERAGEIFS(
     INDEX((unit_details[Effective Rent],unit_details[Effective PSF]),0,1,IF($U$3="Chunk Rent",1,2)),
     unit_details[Leased Date],"&gt;="&amp;($AM$2-X$5),
     unit_details[Leased Date],"&lt;"&amp;$AM$2,
     unit_details[Beds],$L611,
     unit_details[Baths],$M611,
     unit_details[Partial Baths],IF(ISNUMBER($N611),$N611,""),
     unit_details[Sqft],$P611,
     unit_details[Property Name],$F611)
 ),"")</f>
        <v/>
      </c>
      <c r="Z611" s="27" t="str">
        <f t="shared" si="110"/>
        <v/>
      </c>
      <c r="AA611" s="526">
        <f>IFERROR(
  IF($F611="Total",
    SUM(INDEX(AA:AA, ROW()-COUNTIF($F$6:INDEX($F:$F, ROW()-1), $F610)) : INDEX(AA:AA, ROW()-1)),
    COUNTIFS(
      unit_details[Leased Date], "&gt;="&amp;($AM$2-X$5),
      unit_details[Leased Date], "&lt;"&amp;$AM$2,
      unit_details[Beds], $L611,
      unit_details[Baths], $M611,
      unit_details[Partial Baths], IF(ISNUMBER($N611), $N611, ""),
      unit_details[Sqft],$P611,
      unit_details[Property Name], $F611
    )
  ),
"")</f>
        <v>0</v>
      </c>
      <c r="AB611" s="290">
        <f>IF($F611="Total",
SUM(INDEX(AB:AB, ROW()-COUNTIF($F$6:INDEX($F:$F, ROW()-1), $F610)) : INDEX(AB:AB, ROW()-1)),
COUNTIFS(unit_details[Active Listing?],TRUE,
          unit_details[Property Name], $F611,
          unit_details[Beds], $L611,
          unit_details[Baths], $M611,
          unit_details[Partial Baths],IF(ISNUMBER($N611),$N611,""),
          unit_details[Sqft],$P611))</f>
        <v>0</v>
      </c>
      <c r="AC611" s="27" t="str">
        <f t="shared" si="102"/>
        <v/>
      </c>
      <c r="AD611" s="293" t="str">
        <f>IFERROR(IF(AE611="","",IF($F611="Total",
SUMPRODUCT(
   INDEX(AD:AD, ROW()-COUNTIF($F$6:INDEX($F:$F, ROW()-1), $F610)) : INDEX(AD:AD, ROW()-1),
   INDEX(AB:AB, ROW()-COUNTIF($F$6:INDEX($F:$F, ROW()-1), $F610)) : INDEX(AB:AB, ROW()-1)
   )
   /SUM(INDEX(AB:AB, ROW()-COUNTIF($F$6:INDEX($F:$F, ROW()-1), $F610)) : INDEX(AB:AB, ROW()-1)),
          _xlfn.MINIFS(unit_details[Asking Rent],
          unit_details[Active Listing?],TRUE,
          unit_details[Property Name], $F611,
          unit_details[Beds], $L611,
          unit_details[Baths], $M611,
          unit_details[Partial Baths], IF(ISNUMBER($N611),$N611,""),
          unit_details[Sqft],$P611
))),"")</f>
        <v/>
      </c>
      <c r="AE611" s="5" t="str">
        <f>IFERROR(IF($F611="Total",
          SUMPRODUCT(
   INDEX(AE:AE, ROW()-COUNTIF($F$6:INDEX($F:$F, ROW()-1), $F610)) : INDEX(AE:AE, ROW()-1),
   INDEX(AB:AB, ROW()-COUNTIF($F$6:INDEX($F:$F, ROW()-1), $F610)) : INDEX(AB:AB, ROW()-1)
   )
   /SUM(INDEX(AB:AB, ROW()-COUNTIF($F$6:INDEX($F:$F, ROW()-1), $F610)) : INDEX(AB:AB, ROW()-1)),
          AVERAGEIFS(unit_details[Asking Rent],
          unit_details[Active Listing?],TRUE,
          unit_details[Property Name], $F611,
          unit_details[Beds], $L611,
          unit_details[Baths], $M611,
          unit_details[Partial Baths], IF(ISNUMBER($N611),$N611,""),
          unit_details[Sqft],$P611
)),"")</f>
        <v/>
      </c>
      <c r="AF611" s="5" t="str">
        <f>IFERROR(IF(AE611="","",IF($F611="Total",
SUMPRODUCT(
   INDEX(AF:AF, ROW()-COUNTIF($F$6:INDEX($F:$F, ROW()-1), $F610)) : INDEX(AF:AF, ROW()-1),
   INDEX(AB:AB, ROW()-COUNTIF($F$6:INDEX($F:$F, ROW()-1), $F610)) : INDEX(AB:AB, ROW()-1)
   )
   /SUM(INDEX(AB:AB, ROW()-COUNTIF($F$6:INDEX($F:$F, ROW()-1), $F610)) : INDEX(AB:AB, ROW()-1)),
           _xlfn.MAXIFS(unit_details[Asking Rent],
          unit_details[Active Listing?],TRUE,
          unit_details[Property Name], $F611,
          unit_details[Beds], $L611,
          unit_details[Baths], $M611,
          unit_details[Partial Baths], IF(ISNUMBER($N611),$N611,""),
          unit_details[Sqft],$P611
))),"")</f>
        <v/>
      </c>
      <c r="AG611" s="6" t="str">
        <f>IFERROR(IF($F611="Total",
         SUMPRODUCT(
         INDEX(AG:AG, ROW()-COUNTIF($F$6:INDEX($F:$F, ROW()-1), $F610)) : INDEX(AG:AG, ROW()-1),
         INDEX(AB:AB, ROW()-COUNTIF($F$6:INDEX($F:$F, ROW()-1), $F610)) : INDEX(AB:AB, ROW()-1)
         )
         /SUM(INDEX(AB:AB, ROW()-COUNTIF($F$6:INDEX($F:$F, ROW()-1), $F610)) : INDEX(AB:AB, ROW()-1)),
          AVERAGEIFS(unit_details[Asking PSF],
          unit_details[Active Listing?],TRUE,
          unit_details[Property Name], $F611,
          unit_details[Beds], $L611,
          unit_details[Baths], $M611,
          unit_details[Partial Baths], IF(ISNUMBER($N611),$N611,""),
          unit_details[Sqft],$P611
)),"")</f>
        <v/>
      </c>
      <c r="AH611" s="293" t="str">
        <f>IFERROR(IF($F611="Total",
         SUMPRODUCT(
         INDEX(AH:AH, ROW()-COUNTIF($F$6:INDEX($F:$F, ROW()-1), $F610)) : INDEX(AH:AH, ROW()-1),
         INDEX(AB:AB, ROW()-COUNTIF($F$6:INDEX($F:$F, ROW()-1), $F610)) : INDEX(AB:AB, ROW()-1)
         )
         /SUM(INDEX(AB:AB, ROW()-COUNTIF($F$6:INDEX($F:$F, ROW()-1), $F610)) : INDEX(AB:AB, ROW()-1)),
          AVERAGEIFS(unit_details[Effective Rent],
          unit_details[Active Listing?],TRUE,
          unit_details[Property Name], $F611,
          unit_details[Beds], $L611,
          unit_details[Baths], $M611,
          unit_details[Partial Baths], IF(ISNUMBER($N611),$N611,""),
          unit_details[Sqft],$P611
)),"")</f>
        <v/>
      </c>
      <c r="AI611" s="6" t="str">
        <f>IFERROR(IF($F611="Total",
         SUMPRODUCT(
         INDEX(AI:AI, ROW()-COUNTIF($F$6:INDEX($F:$F, ROW()-1), $F610)) : INDEX(AI:AI, ROW()-1),
         INDEX(AB:AB, ROW()-COUNTIF($F$6:INDEX($F:$F, ROW()-1), $F610)) : INDEX(AB:AB, ROW()-1)
         )
         /SUM(INDEX(AB:AB, ROW()-COUNTIF($F$6:INDEX($F:$F, ROW()-1), $F610)) : INDEX(AB:AB, ROW()-1)),
           AVERAGEIFS(unit_details[Effective PSF],
          unit_details[Active Listing?],TRUE,
          unit_details[Property Name], $F611,
          unit_details[Beds], $L611,
          unit_details[Baths], $M611,
          unit_details[Partial Baths], IF(ISNUMBER($N611),$N611,""),
          unit_details[Sqft],$P611
)),"")</f>
        <v/>
      </c>
      <c r="AJ611" s="824" t="str">
        <f t="shared" si="103"/>
        <v/>
      </c>
      <c r="AK611" s="531" t="str">
        <f t="shared" si="104"/>
        <v/>
      </c>
      <c r="AL611" s="714" t="str">
        <f t="shared" si="105"/>
        <v/>
      </c>
      <c r="AM611" s="531" t="str">
        <f t="shared" si="106"/>
        <v/>
      </c>
      <c r="AN611" s="716" t="str">
        <f t="shared" si="107"/>
        <v/>
      </c>
    </row>
    <row r="612" spans="6:40" x14ac:dyDescent="0.2">
      <c r="F612" s="1" t="str">
        <f t="shared" si="100"/>
        <v/>
      </c>
      <c r="G612" s="713" t="str">
        <f t="shared" si="108"/>
        <v/>
      </c>
      <c r="H612" s="17" t="str">
        <f>IFERROR(VLOOKUP($G612,Table1[[Property]:[Exposure %]],4,0),"")</f>
        <v/>
      </c>
      <c r="I612" s="3" t="str">
        <f>IFERROR(VLOOKUP($G612,Table1[[Property]:[Exposure %]],6,0),"")</f>
        <v/>
      </c>
      <c r="J612" s="3" t="str">
        <f>IFERROR(VLOOKUP($G612,Table1[[Property]:[Exposure %]],7,0),"")</f>
        <v/>
      </c>
      <c r="R612" s="4" t="str">
        <f>IFERROR(VLOOKUP(IF(F612="Total",F611,F612),Table1[[Property]:['# Units]],7,0)*S612,"")</f>
        <v/>
      </c>
      <c r="S612" s="27" t="str">
        <f t="shared" si="101"/>
        <v/>
      </c>
      <c r="T612" s="531" t="str">
        <f>IFERROR(
 IF($F612="Total",
   SUMPRODUCT(
   INDEX(T:T, ROW()-COUNTIF($F$6:INDEX($F:$F, ROW()-1), $F611)) : INDEX(T:T, ROW()-1),
   INDEX(W:W, ROW()-COUNTIF($F$6:INDEX($F:$F, ROW()-1), $F611)) : INDEX(W:W, ROW()-1)
   )
   /SUM(INDEX(W:W, ROW()-COUNTIF($F$6:INDEX($F:$F, ROW()-1), $F611)) : INDEX(W:W, ROW()-1)),
   AVERAGEIFS(
     INDEX((unit_details[Asking Rent],unit_details[Asking PSF]),0,1,IF($U$3="Chunk Rent",1,2)),
     unit_details[Leased Date],"&gt;="&amp;($AM$2-T$5),
     unit_details[Leased Date],"&lt;"&amp;$AM$2,
     unit_details[Beds],$L612,
     unit_details[Baths],$M612,
     unit_details[Partial Baths],IF(ISNUMBER($N612),$N612,""),
     unit_details[Sqft],$P612,
     unit_details[Property Name],$F612)
 ),"")</f>
        <v/>
      </c>
      <c r="U612" s="552" t="str">
        <f>IFERROR(
 IF($F612="Total",
   SUMPRODUCT(
   INDEX(U:U, ROW()-COUNTIF($F$6:INDEX($F:$F, ROW()-1), $F611)) : INDEX(U:U, ROW()-1),
   INDEX(W:W, ROW()-COUNTIF($F$6:INDEX($F:$F, ROW()-1), $F611)) : INDEX(W:W, ROW()-1)
   )
   /SUM(INDEX(W:W, ROW()-COUNTIF($F$6:INDEX($F:$F, ROW()-1), $F611)) : INDEX(W:W, ROW()-1)),
   AVERAGEIFS(
     INDEX((unit_details[Effective Rent],unit_details[Effective PSF]),0,1,IF($U$3="Chunk Rent",1,2)),
     unit_details[Leased Date],"&gt;="&amp;($AM$2-T$5),
     unit_details[Leased Date],"&lt;"&amp;$AM$2,
     unit_details[Beds],$L612,
     unit_details[Baths],$M612,
     unit_details[Partial Baths],IF(ISNUMBER($N612),$N612,""),
     unit_details[Sqft],$P612,
     unit_details[Property Name],$F612)
 ),"")</f>
        <v/>
      </c>
      <c r="V612" s="27" t="str">
        <f t="shared" si="109"/>
        <v/>
      </c>
      <c r="W612" s="526">
        <f>IFERROR(
  IF($F612="Total",
    SUM(INDEX(W:W, ROW()-COUNTIF($F$6:INDEX($F:$F, ROW()-1), $F611)) : INDEX(W:W, ROW()-1)),
    COUNTIFS(
      unit_details[Leased Date], "&gt;="&amp;($AM$2-T$5),
      unit_details[Leased Date], "&lt;"&amp;$AM$2,
      unit_details[Beds], $L612,
      unit_details[Baths], $M612,
      unit_details[Partial Baths], IF(ISNUMBER($N612), $N612, ""),
      unit_details[Sqft],$P612,
      unit_details[Property Name], $F612
    )
  ),
"")</f>
        <v>0</v>
      </c>
      <c r="X612" s="531" t="str">
        <f>IFERROR(
 IF($F612="Total",
   SUMPRODUCT(
   INDEX(X:X, ROW()-COUNTIF($F$6:INDEX($F:$F, ROW()-1), $F611)) : INDEX(X:X, ROW()-1),
   INDEX(AA:AA, ROW()-COUNTIF($F$6:INDEX($F:$F, ROW()-1), $F611)) : INDEX(AA:AA, ROW()-1)
   )
   /SUM(INDEX(AA:AA, ROW()-COUNTIF($F$6:INDEX($F:$F, ROW()-1), $F611)) : INDEX(AA:AA, ROW()-1)),
   AVERAGEIFS(
     INDEX((unit_details[Asking Rent],unit_details[Asking PSF]),0,1,IF($U$3="Chunk Rent",1,2)),
     unit_details[Leased Date],"&gt;="&amp;($AM$2-X$5),
     unit_details[Leased Date],"&lt;"&amp;$AM$2,
     unit_details[Beds],$L612,
     unit_details[Baths],$M612,
     unit_details[Partial Baths],IF(ISNUMBER($N612),$N612,""),
     unit_details[Sqft],$P612,
     unit_details[Property Name],$F612)
 ),"")</f>
        <v/>
      </c>
      <c r="Y612" s="552" t="str">
        <f>IFERROR(
 IF($F612="Total",
   SUMPRODUCT(
   INDEX(Y:Y, ROW()-COUNTIF($F$6:INDEX($F:$F, ROW()-1), $F611)) : INDEX(Y:Y, ROW()-1),
   INDEX(AA:AA, ROW()-COUNTIF($F$6:INDEX($F:$F, ROW()-1), $F611)) : INDEX(AA:AA, ROW()-1)
   )
   /SUM(INDEX(AA:AA, ROW()-COUNTIF($F$6:INDEX($F:$F, ROW()-1), $F611)) : INDEX(AA:AA, ROW()-1)),
   AVERAGEIFS(
     INDEX((unit_details[Effective Rent],unit_details[Effective PSF]),0,1,IF($U$3="Chunk Rent",1,2)),
     unit_details[Leased Date],"&gt;="&amp;($AM$2-X$5),
     unit_details[Leased Date],"&lt;"&amp;$AM$2,
     unit_details[Beds],$L612,
     unit_details[Baths],$M612,
     unit_details[Partial Baths],IF(ISNUMBER($N612),$N612,""),
     unit_details[Sqft],$P612,
     unit_details[Property Name],$F612)
 ),"")</f>
        <v/>
      </c>
      <c r="Z612" s="27" t="str">
        <f t="shared" si="110"/>
        <v/>
      </c>
      <c r="AA612" s="526">
        <f>IFERROR(
  IF($F612="Total",
    SUM(INDEX(AA:AA, ROW()-COUNTIF($F$6:INDEX($F:$F, ROW()-1), $F611)) : INDEX(AA:AA, ROW()-1)),
    COUNTIFS(
      unit_details[Leased Date], "&gt;="&amp;($AM$2-X$5),
      unit_details[Leased Date], "&lt;"&amp;$AM$2,
      unit_details[Beds], $L612,
      unit_details[Baths], $M612,
      unit_details[Partial Baths], IF(ISNUMBER($N612), $N612, ""),
      unit_details[Sqft],$P612,
      unit_details[Property Name], $F612
    )
  ),
"")</f>
        <v>0</v>
      </c>
      <c r="AB612" s="290">
        <f>IF($F612="Total",
SUM(INDEX(AB:AB, ROW()-COUNTIF($F$6:INDEX($F:$F, ROW()-1), $F611)) : INDEX(AB:AB, ROW()-1)),
COUNTIFS(unit_details[Active Listing?],TRUE,
          unit_details[Property Name], $F612,
          unit_details[Beds], $L612,
          unit_details[Baths], $M612,
          unit_details[Partial Baths],IF(ISNUMBER($N612),$N612,""),
          unit_details[Sqft],$P612))</f>
        <v>0</v>
      </c>
      <c r="AC612" s="27" t="str">
        <f t="shared" si="102"/>
        <v/>
      </c>
      <c r="AD612" s="293" t="str">
        <f>IFERROR(IF(AE612="","",IF($F612="Total",
SUMPRODUCT(
   INDEX(AD:AD, ROW()-COUNTIF($F$6:INDEX($F:$F, ROW()-1), $F611)) : INDEX(AD:AD, ROW()-1),
   INDEX(AB:AB, ROW()-COUNTIF($F$6:INDEX($F:$F, ROW()-1), $F611)) : INDEX(AB:AB, ROW()-1)
   )
   /SUM(INDEX(AB:AB, ROW()-COUNTIF($F$6:INDEX($F:$F, ROW()-1), $F611)) : INDEX(AB:AB, ROW()-1)),
          _xlfn.MINIFS(unit_details[Asking Rent],
          unit_details[Active Listing?],TRUE,
          unit_details[Property Name], $F612,
          unit_details[Beds], $L612,
          unit_details[Baths], $M612,
          unit_details[Partial Baths], IF(ISNUMBER($N612),$N612,""),
          unit_details[Sqft],$P612
))),"")</f>
        <v/>
      </c>
      <c r="AE612" s="5" t="str">
        <f>IFERROR(IF($F612="Total",
          SUMPRODUCT(
   INDEX(AE:AE, ROW()-COUNTIF($F$6:INDEX($F:$F, ROW()-1), $F611)) : INDEX(AE:AE, ROW()-1),
   INDEX(AB:AB, ROW()-COUNTIF($F$6:INDEX($F:$F, ROW()-1), $F611)) : INDEX(AB:AB, ROW()-1)
   )
   /SUM(INDEX(AB:AB, ROW()-COUNTIF($F$6:INDEX($F:$F, ROW()-1), $F611)) : INDEX(AB:AB, ROW()-1)),
          AVERAGEIFS(unit_details[Asking Rent],
          unit_details[Active Listing?],TRUE,
          unit_details[Property Name], $F612,
          unit_details[Beds], $L612,
          unit_details[Baths], $M612,
          unit_details[Partial Baths], IF(ISNUMBER($N612),$N612,""),
          unit_details[Sqft],$P612
)),"")</f>
        <v/>
      </c>
      <c r="AF612" s="5" t="str">
        <f>IFERROR(IF(AE612="","",IF($F612="Total",
SUMPRODUCT(
   INDEX(AF:AF, ROW()-COUNTIF($F$6:INDEX($F:$F, ROW()-1), $F611)) : INDEX(AF:AF, ROW()-1),
   INDEX(AB:AB, ROW()-COUNTIF($F$6:INDEX($F:$F, ROW()-1), $F611)) : INDEX(AB:AB, ROW()-1)
   )
   /SUM(INDEX(AB:AB, ROW()-COUNTIF($F$6:INDEX($F:$F, ROW()-1), $F611)) : INDEX(AB:AB, ROW()-1)),
           _xlfn.MAXIFS(unit_details[Asking Rent],
          unit_details[Active Listing?],TRUE,
          unit_details[Property Name], $F612,
          unit_details[Beds], $L612,
          unit_details[Baths], $M612,
          unit_details[Partial Baths], IF(ISNUMBER($N612),$N612,""),
          unit_details[Sqft],$P612
))),"")</f>
        <v/>
      </c>
      <c r="AG612" s="6" t="str">
        <f>IFERROR(IF($F612="Total",
         SUMPRODUCT(
         INDEX(AG:AG, ROW()-COUNTIF($F$6:INDEX($F:$F, ROW()-1), $F611)) : INDEX(AG:AG, ROW()-1),
         INDEX(AB:AB, ROW()-COUNTIF($F$6:INDEX($F:$F, ROW()-1), $F611)) : INDEX(AB:AB, ROW()-1)
         )
         /SUM(INDEX(AB:AB, ROW()-COUNTIF($F$6:INDEX($F:$F, ROW()-1), $F611)) : INDEX(AB:AB, ROW()-1)),
          AVERAGEIFS(unit_details[Asking PSF],
          unit_details[Active Listing?],TRUE,
          unit_details[Property Name], $F612,
          unit_details[Beds], $L612,
          unit_details[Baths], $M612,
          unit_details[Partial Baths], IF(ISNUMBER($N612),$N612,""),
          unit_details[Sqft],$P612
)),"")</f>
        <v/>
      </c>
      <c r="AH612" s="293" t="str">
        <f>IFERROR(IF($F612="Total",
         SUMPRODUCT(
         INDEX(AH:AH, ROW()-COUNTIF($F$6:INDEX($F:$F, ROW()-1), $F611)) : INDEX(AH:AH, ROW()-1),
         INDEX(AB:AB, ROW()-COUNTIF($F$6:INDEX($F:$F, ROW()-1), $F611)) : INDEX(AB:AB, ROW()-1)
         )
         /SUM(INDEX(AB:AB, ROW()-COUNTIF($F$6:INDEX($F:$F, ROW()-1), $F611)) : INDEX(AB:AB, ROW()-1)),
          AVERAGEIFS(unit_details[Effective Rent],
          unit_details[Active Listing?],TRUE,
          unit_details[Property Name], $F612,
          unit_details[Beds], $L612,
          unit_details[Baths], $M612,
          unit_details[Partial Baths], IF(ISNUMBER($N612),$N612,""),
          unit_details[Sqft],$P612
)),"")</f>
        <v/>
      </c>
      <c r="AI612" s="6" t="str">
        <f>IFERROR(IF($F612="Total",
         SUMPRODUCT(
         INDEX(AI:AI, ROW()-COUNTIF($F$6:INDEX($F:$F, ROW()-1), $F611)) : INDEX(AI:AI, ROW()-1),
         INDEX(AB:AB, ROW()-COUNTIF($F$6:INDEX($F:$F, ROW()-1), $F611)) : INDEX(AB:AB, ROW()-1)
         )
         /SUM(INDEX(AB:AB, ROW()-COUNTIF($F$6:INDEX($F:$F, ROW()-1), $F611)) : INDEX(AB:AB, ROW()-1)),
           AVERAGEIFS(unit_details[Effective PSF],
          unit_details[Active Listing?],TRUE,
          unit_details[Property Name], $F612,
          unit_details[Beds], $L612,
          unit_details[Baths], $M612,
          unit_details[Partial Baths], IF(ISNUMBER($N612),$N612,""),
          unit_details[Sqft],$P612
)),"")</f>
        <v/>
      </c>
      <c r="AJ612" s="824" t="str">
        <f t="shared" si="103"/>
        <v/>
      </c>
      <c r="AK612" s="531" t="str">
        <f t="shared" si="104"/>
        <v/>
      </c>
      <c r="AL612" s="714" t="str">
        <f t="shared" si="105"/>
        <v/>
      </c>
      <c r="AM612" s="531" t="str">
        <f t="shared" si="106"/>
        <v/>
      </c>
      <c r="AN612" s="716" t="str">
        <f t="shared" si="107"/>
        <v/>
      </c>
    </row>
    <row r="613" spans="6:40" x14ac:dyDescent="0.2">
      <c r="F613" s="1" t="str">
        <f t="shared" si="100"/>
        <v/>
      </c>
      <c r="G613" s="713" t="str">
        <f t="shared" si="108"/>
        <v/>
      </c>
      <c r="H613" s="17" t="str">
        <f>IFERROR(VLOOKUP($G613,Table1[[Property]:[Exposure %]],4,0),"")</f>
        <v/>
      </c>
      <c r="I613" s="3" t="str">
        <f>IFERROR(VLOOKUP($G613,Table1[[Property]:[Exposure %]],6,0),"")</f>
        <v/>
      </c>
      <c r="J613" s="3" t="str">
        <f>IFERROR(VLOOKUP($G613,Table1[[Property]:[Exposure %]],7,0),"")</f>
        <v/>
      </c>
      <c r="R613" s="4" t="str">
        <f>IFERROR(VLOOKUP(IF(F613="Total",F612,F613),Table1[[Property]:['# Units]],7,0)*S613,"")</f>
        <v/>
      </c>
      <c r="S613" s="27" t="str">
        <f t="shared" si="101"/>
        <v/>
      </c>
      <c r="T613" s="531" t="str">
        <f>IFERROR(
 IF($F613="Total",
   SUMPRODUCT(
   INDEX(T:T, ROW()-COUNTIF($F$6:INDEX($F:$F, ROW()-1), $F612)) : INDEX(T:T, ROW()-1),
   INDEX(W:W, ROW()-COUNTIF($F$6:INDEX($F:$F, ROW()-1), $F612)) : INDEX(W:W, ROW()-1)
   )
   /SUM(INDEX(W:W, ROW()-COUNTIF($F$6:INDEX($F:$F, ROW()-1), $F612)) : INDEX(W:W, ROW()-1)),
   AVERAGEIFS(
     INDEX((unit_details[Asking Rent],unit_details[Asking PSF]),0,1,IF($U$3="Chunk Rent",1,2)),
     unit_details[Leased Date],"&gt;="&amp;($AM$2-T$5),
     unit_details[Leased Date],"&lt;"&amp;$AM$2,
     unit_details[Beds],$L613,
     unit_details[Baths],$M613,
     unit_details[Partial Baths],IF(ISNUMBER($N613),$N613,""),
     unit_details[Sqft],$P613,
     unit_details[Property Name],$F613)
 ),"")</f>
        <v/>
      </c>
      <c r="U613" s="552" t="str">
        <f>IFERROR(
 IF($F613="Total",
   SUMPRODUCT(
   INDEX(U:U, ROW()-COUNTIF($F$6:INDEX($F:$F, ROW()-1), $F612)) : INDEX(U:U, ROW()-1),
   INDEX(W:W, ROW()-COUNTIF($F$6:INDEX($F:$F, ROW()-1), $F612)) : INDEX(W:W, ROW()-1)
   )
   /SUM(INDEX(W:W, ROW()-COUNTIF($F$6:INDEX($F:$F, ROW()-1), $F612)) : INDEX(W:W, ROW()-1)),
   AVERAGEIFS(
     INDEX((unit_details[Effective Rent],unit_details[Effective PSF]),0,1,IF($U$3="Chunk Rent",1,2)),
     unit_details[Leased Date],"&gt;="&amp;($AM$2-T$5),
     unit_details[Leased Date],"&lt;"&amp;$AM$2,
     unit_details[Beds],$L613,
     unit_details[Baths],$M613,
     unit_details[Partial Baths],IF(ISNUMBER($N613),$N613,""),
     unit_details[Sqft],$P613,
     unit_details[Property Name],$F613)
 ),"")</f>
        <v/>
      </c>
      <c r="V613" s="27" t="str">
        <f t="shared" si="109"/>
        <v/>
      </c>
      <c r="W613" s="526">
        <f>IFERROR(
  IF($F613="Total",
    SUM(INDEX(W:W, ROW()-COUNTIF($F$6:INDEX($F:$F, ROW()-1), $F612)) : INDEX(W:W, ROW()-1)),
    COUNTIFS(
      unit_details[Leased Date], "&gt;="&amp;($AM$2-T$5),
      unit_details[Leased Date], "&lt;"&amp;$AM$2,
      unit_details[Beds], $L613,
      unit_details[Baths], $M613,
      unit_details[Partial Baths], IF(ISNUMBER($N613), $N613, ""),
      unit_details[Sqft],$P613,
      unit_details[Property Name], $F613
    )
  ),
"")</f>
        <v>0</v>
      </c>
      <c r="X613" s="531" t="str">
        <f>IFERROR(
 IF($F613="Total",
   SUMPRODUCT(
   INDEX(X:X, ROW()-COUNTIF($F$6:INDEX($F:$F, ROW()-1), $F612)) : INDEX(X:X, ROW()-1),
   INDEX(AA:AA, ROW()-COUNTIF($F$6:INDEX($F:$F, ROW()-1), $F612)) : INDEX(AA:AA, ROW()-1)
   )
   /SUM(INDEX(AA:AA, ROW()-COUNTIF($F$6:INDEX($F:$F, ROW()-1), $F612)) : INDEX(AA:AA, ROW()-1)),
   AVERAGEIFS(
     INDEX((unit_details[Asking Rent],unit_details[Asking PSF]),0,1,IF($U$3="Chunk Rent",1,2)),
     unit_details[Leased Date],"&gt;="&amp;($AM$2-X$5),
     unit_details[Leased Date],"&lt;"&amp;$AM$2,
     unit_details[Beds],$L613,
     unit_details[Baths],$M613,
     unit_details[Partial Baths],IF(ISNUMBER($N613),$N613,""),
     unit_details[Sqft],$P613,
     unit_details[Property Name],$F613)
 ),"")</f>
        <v/>
      </c>
      <c r="Y613" s="552" t="str">
        <f>IFERROR(
 IF($F613="Total",
   SUMPRODUCT(
   INDEX(Y:Y, ROW()-COUNTIF($F$6:INDEX($F:$F, ROW()-1), $F612)) : INDEX(Y:Y, ROW()-1),
   INDEX(AA:AA, ROW()-COUNTIF($F$6:INDEX($F:$F, ROW()-1), $F612)) : INDEX(AA:AA, ROW()-1)
   )
   /SUM(INDEX(AA:AA, ROW()-COUNTIF($F$6:INDEX($F:$F, ROW()-1), $F612)) : INDEX(AA:AA, ROW()-1)),
   AVERAGEIFS(
     INDEX((unit_details[Effective Rent],unit_details[Effective PSF]),0,1,IF($U$3="Chunk Rent",1,2)),
     unit_details[Leased Date],"&gt;="&amp;($AM$2-X$5),
     unit_details[Leased Date],"&lt;"&amp;$AM$2,
     unit_details[Beds],$L613,
     unit_details[Baths],$M613,
     unit_details[Partial Baths],IF(ISNUMBER($N613),$N613,""),
     unit_details[Sqft],$P613,
     unit_details[Property Name],$F613)
 ),"")</f>
        <v/>
      </c>
      <c r="Z613" s="27" t="str">
        <f t="shared" si="110"/>
        <v/>
      </c>
      <c r="AA613" s="526">
        <f>IFERROR(
  IF($F613="Total",
    SUM(INDEX(AA:AA, ROW()-COUNTIF($F$6:INDEX($F:$F, ROW()-1), $F612)) : INDEX(AA:AA, ROW()-1)),
    COUNTIFS(
      unit_details[Leased Date], "&gt;="&amp;($AM$2-X$5),
      unit_details[Leased Date], "&lt;"&amp;$AM$2,
      unit_details[Beds], $L613,
      unit_details[Baths], $M613,
      unit_details[Partial Baths], IF(ISNUMBER($N613), $N613, ""),
      unit_details[Sqft],$P613,
      unit_details[Property Name], $F613
    )
  ),
"")</f>
        <v>0</v>
      </c>
      <c r="AB613" s="290">
        <f>IF($F613="Total",
SUM(INDEX(AB:AB, ROW()-COUNTIF($F$6:INDEX($F:$F, ROW()-1), $F612)) : INDEX(AB:AB, ROW()-1)),
COUNTIFS(unit_details[Active Listing?],TRUE,
          unit_details[Property Name], $F613,
          unit_details[Beds], $L613,
          unit_details[Baths], $M613,
          unit_details[Partial Baths],IF(ISNUMBER($N613),$N613,""),
          unit_details[Sqft],$P613))</f>
        <v>0</v>
      </c>
      <c r="AC613" s="27" t="str">
        <f t="shared" si="102"/>
        <v/>
      </c>
      <c r="AD613" s="293" t="str">
        <f>IFERROR(IF(AE613="","",IF($F613="Total",
SUMPRODUCT(
   INDEX(AD:AD, ROW()-COUNTIF($F$6:INDEX($F:$F, ROW()-1), $F612)) : INDEX(AD:AD, ROW()-1),
   INDEX(AB:AB, ROW()-COUNTIF($F$6:INDEX($F:$F, ROW()-1), $F612)) : INDEX(AB:AB, ROW()-1)
   )
   /SUM(INDEX(AB:AB, ROW()-COUNTIF($F$6:INDEX($F:$F, ROW()-1), $F612)) : INDEX(AB:AB, ROW()-1)),
          _xlfn.MINIFS(unit_details[Asking Rent],
          unit_details[Active Listing?],TRUE,
          unit_details[Property Name], $F613,
          unit_details[Beds], $L613,
          unit_details[Baths], $M613,
          unit_details[Partial Baths], IF(ISNUMBER($N613),$N613,""),
          unit_details[Sqft],$P613
))),"")</f>
        <v/>
      </c>
      <c r="AE613" s="5" t="str">
        <f>IFERROR(IF($F613="Total",
          SUMPRODUCT(
   INDEX(AE:AE, ROW()-COUNTIF($F$6:INDEX($F:$F, ROW()-1), $F612)) : INDEX(AE:AE, ROW()-1),
   INDEX(AB:AB, ROW()-COUNTIF($F$6:INDEX($F:$F, ROW()-1), $F612)) : INDEX(AB:AB, ROW()-1)
   )
   /SUM(INDEX(AB:AB, ROW()-COUNTIF($F$6:INDEX($F:$F, ROW()-1), $F612)) : INDEX(AB:AB, ROW()-1)),
          AVERAGEIFS(unit_details[Asking Rent],
          unit_details[Active Listing?],TRUE,
          unit_details[Property Name], $F613,
          unit_details[Beds], $L613,
          unit_details[Baths], $M613,
          unit_details[Partial Baths], IF(ISNUMBER($N613),$N613,""),
          unit_details[Sqft],$P613
)),"")</f>
        <v/>
      </c>
      <c r="AF613" s="5" t="str">
        <f>IFERROR(IF(AE613="","",IF($F613="Total",
SUMPRODUCT(
   INDEX(AF:AF, ROW()-COUNTIF($F$6:INDEX($F:$F, ROW()-1), $F612)) : INDEX(AF:AF, ROW()-1),
   INDEX(AB:AB, ROW()-COUNTIF($F$6:INDEX($F:$F, ROW()-1), $F612)) : INDEX(AB:AB, ROW()-1)
   )
   /SUM(INDEX(AB:AB, ROW()-COUNTIF($F$6:INDEX($F:$F, ROW()-1), $F612)) : INDEX(AB:AB, ROW()-1)),
           _xlfn.MAXIFS(unit_details[Asking Rent],
          unit_details[Active Listing?],TRUE,
          unit_details[Property Name], $F613,
          unit_details[Beds], $L613,
          unit_details[Baths], $M613,
          unit_details[Partial Baths], IF(ISNUMBER($N613),$N613,""),
          unit_details[Sqft],$P613
))),"")</f>
        <v/>
      </c>
      <c r="AG613" s="6" t="str">
        <f>IFERROR(IF($F613="Total",
         SUMPRODUCT(
         INDEX(AG:AG, ROW()-COUNTIF($F$6:INDEX($F:$F, ROW()-1), $F612)) : INDEX(AG:AG, ROW()-1),
         INDEX(AB:AB, ROW()-COUNTIF($F$6:INDEX($F:$F, ROW()-1), $F612)) : INDEX(AB:AB, ROW()-1)
         )
         /SUM(INDEX(AB:AB, ROW()-COUNTIF($F$6:INDEX($F:$F, ROW()-1), $F612)) : INDEX(AB:AB, ROW()-1)),
          AVERAGEIFS(unit_details[Asking PSF],
          unit_details[Active Listing?],TRUE,
          unit_details[Property Name], $F613,
          unit_details[Beds], $L613,
          unit_details[Baths], $M613,
          unit_details[Partial Baths], IF(ISNUMBER($N613),$N613,""),
          unit_details[Sqft],$P613
)),"")</f>
        <v/>
      </c>
      <c r="AH613" s="293" t="str">
        <f>IFERROR(IF($F613="Total",
         SUMPRODUCT(
         INDEX(AH:AH, ROW()-COUNTIF($F$6:INDEX($F:$F, ROW()-1), $F612)) : INDEX(AH:AH, ROW()-1),
         INDEX(AB:AB, ROW()-COUNTIF($F$6:INDEX($F:$F, ROW()-1), $F612)) : INDEX(AB:AB, ROW()-1)
         )
         /SUM(INDEX(AB:AB, ROW()-COUNTIF($F$6:INDEX($F:$F, ROW()-1), $F612)) : INDEX(AB:AB, ROW()-1)),
          AVERAGEIFS(unit_details[Effective Rent],
          unit_details[Active Listing?],TRUE,
          unit_details[Property Name], $F613,
          unit_details[Beds], $L613,
          unit_details[Baths], $M613,
          unit_details[Partial Baths], IF(ISNUMBER($N613),$N613,""),
          unit_details[Sqft],$P613
)),"")</f>
        <v/>
      </c>
      <c r="AI613" s="6" t="str">
        <f>IFERROR(IF($F613="Total",
         SUMPRODUCT(
         INDEX(AI:AI, ROW()-COUNTIF($F$6:INDEX($F:$F, ROW()-1), $F612)) : INDEX(AI:AI, ROW()-1),
         INDEX(AB:AB, ROW()-COUNTIF($F$6:INDEX($F:$F, ROW()-1), $F612)) : INDEX(AB:AB, ROW()-1)
         )
         /SUM(INDEX(AB:AB, ROW()-COUNTIF($F$6:INDEX($F:$F, ROW()-1), $F612)) : INDEX(AB:AB, ROW()-1)),
           AVERAGEIFS(unit_details[Effective PSF],
          unit_details[Active Listing?],TRUE,
          unit_details[Property Name], $F613,
          unit_details[Beds], $L613,
          unit_details[Baths], $M613,
          unit_details[Partial Baths], IF(ISNUMBER($N613),$N613,""),
          unit_details[Sqft],$P613
)),"")</f>
        <v/>
      </c>
      <c r="AJ613" s="824" t="str">
        <f t="shared" si="103"/>
        <v/>
      </c>
      <c r="AK613" s="531" t="str">
        <f t="shared" si="104"/>
        <v/>
      </c>
      <c r="AL613" s="714" t="str">
        <f t="shared" si="105"/>
        <v/>
      </c>
      <c r="AM613" s="531" t="str">
        <f t="shared" si="106"/>
        <v/>
      </c>
      <c r="AN613" s="716" t="str">
        <f t="shared" si="107"/>
        <v/>
      </c>
    </row>
    <row r="614" spans="6:40" x14ac:dyDescent="0.2">
      <c r="F614" s="1" t="str">
        <f t="shared" si="100"/>
        <v/>
      </c>
      <c r="G614" s="713" t="str">
        <f t="shared" si="108"/>
        <v/>
      </c>
      <c r="H614" s="17" t="str">
        <f>IFERROR(VLOOKUP($G614,Table1[[Property]:[Exposure %]],4,0),"")</f>
        <v/>
      </c>
      <c r="I614" s="3" t="str">
        <f>IFERROR(VLOOKUP($G614,Table1[[Property]:[Exposure %]],6,0),"")</f>
        <v/>
      </c>
      <c r="J614" s="3" t="str">
        <f>IFERROR(VLOOKUP($G614,Table1[[Property]:[Exposure %]],7,0),"")</f>
        <v/>
      </c>
      <c r="R614" s="4" t="str">
        <f>IFERROR(VLOOKUP(IF(F614="Total",F613,F614),Table1[[Property]:['# Units]],7,0)*S614,"")</f>
        <v/>
      </c>
      <c r="S614" s="27" t="str">
        <f t="shared" si="101"/>
        <v/>
      </c>
      <c r="T614" s="531" t="str">
        <f>IFERROR(
 IF($F614="Total",
   SUMPRODUCT(
   INDEX(T:T, ROW()-COUNTIF($F$6:INDEX($F:$F, ROW()-1), $F613)) : INDEX(T:T, ROW()-1),
   INDEX(W:W, ROW()-COUNTIF($F$6:INDEX($F:$F, ROW()-1), $F613)) : INDEX(W:W, ROW()-1)
   )
   /SUM(INDEX(W:W, ROW()-COUNTIF($F$6:INDEX($F:$F, ROW()-1), $F613)) : INDEX(W:W, ROW()-1)),
   AVERAGEIFS(
     INDEX((unit_details[Asking Rent],unit_details[Asking PSF]),0,1,IF($U$3="Chunk Rent",1,2)),
     unit_details[Leased Date],"&gt;="&amp;($AM$2-T$5),
     unit_details[Leased Date],"&lt;"&amp;$AM$2,
     unit_details[Beds],$L614,
     unit_details[Baths],$M614,
     unit_details[Partial Baths],IF(ISNUMBER($N614),$N614,""),
     unit_details[Sqft],$P614,
     unit_details[Property Name],$F614)
 ),"")</f>
        <v/>
      </c>
      <c r="U614" s="552" t="str">
        <f>IFERROR(
 IF($F614="Total",
   SUMPRODUCT(
   INDEX(U:U, ROW()-COUNTIF($F$6:INDEX($F:$F, ROW()-1), $F613)) : INDEX(U:U, ROW()-1),
   INDEX(W:W, ROW()-COUNTIF($F$6:INDEX($F:$F, ROW()-1), $F613)) : INDEX(W:W, ROW()-1)
   )
   /SUM(INDEX(W:W, ROW()-COUNTIF($F$6:INDEX($F:$F, ROW()-1), $F613)) : INDEX(W:W, ROW()-1)),
   AVERAGEIFS(
     INDEX((unit_details[Effective Rent],unit_details[Effective PSF]),0,1,IF($U$3="Chunk Rent",1,2)),
     unit_details[Leased Date],"&gt;="&amp;($AM$2-T$5),
     unit_details[Leased Date],"&lt;"&amp;$AM$2,
     unit_details[Beds],$L614,
     unit_details[Baths],$M614,
     unit_details[Partial Baths],IF(ISNUMBER($N614),$N614,""),
     unit_details[Sqft],$P614,
     unit_details[Property Name],$F614)
 ),"")</f>
        <v/>
      </c>
      <c r="V614" s="27" t="str">
        <f t="shared" si="109"/>
        <v/>
      </c>
      <c r="W614" s="526">
        <f>IFERROR(
  IF($F614="Total",
    SUM(INDEX(W:W, ROW()-COUNTIF($F$6:INDEX($F:$F, ROW()-1), $F613)) : INDEX(W:W, ROW()-1)),
    COUNTIFS(
      unit_details[Leased Date], "&gt;="&amp;($AM$2-T$5),
      unit_details[Leased Date], "&lt;"&amp;$AM$2,
      unit_details[Beds], $L614,
      unit_details[Baths], $M614,
      unit_details[Partial Baths], IF(ISNUMBER($N614), $N614, ""),
      unit_details[Sqft],$P614,
      unit_details[Property Name], $F614
    )
  ),
"")</f>
        <v>0</v>
      </c>
      <c r="X614" s="531" t="str">
        <f>IFERROR(
 IF($F614="Total",
   SUMPRODUCT(
   INDEX(X:X, ROW()-COUNTIF($F$6:INDEX($F:$F, ROW()-1), $F613)) : INDEX(X:X, ROW()-1),
   INDEX(AA:AA, ROW()-COUNTIF($F$6:INDEX($F:$F, ROW()-1), $F613)) : INDEX(AA:AA, ROW()-1)
   )
   /SUM(INDEX(AA:AA, ROW()-COUNTIF($F$6:INDEX($F:$F, ROW()-1), $F613)) : INDEX(AA:AA, ROW()-1)),
   AVERAGEIFS(
     INDEX((unit_details[Asking Rent],unit_details[Asking PSF]),0,1,IF($U$3="Chunk Rent",1,2)),
     unit_details[Leased Date],"&gt;="&amp;($AM$2-X$5),
     unit_details[Leased Date],"&lt;"&amp;$AM$2,
     unit_details[Beds],$L614,
     unit_details[Baths],$M614,
     unit_details[Partial Baths],IF(ISNUMBER($N614),$N614,""),
     unit_details[Sqft],$P614,
     unit_details[Property Name],$F614)
 ),"")</f>
        <v/>
      </c>
      <c r="Y614" s="552" t="str">
        <f>IFERROR(
 IF($F614="Total",
   SUMPRODUCT(
   INDEX(Y:Y, ROW()-COUNTIF($F$6:INDEX($F:$F, ROW()-1), $F613)) : INDEX(Y:Y, ROW()-1),
   INDEX(AA:AA, ROW()-COUNTIF($F$6:INDEX($F:$F, ROW()-1), $F613)) : INDEX(AA:AA, ROW()-1)
   )
   /SUM(INDEX(AA:AA, ROW()-COUNTIF($F$6:INDEX($F:$F, ROW()-1), $F613)) : INDEX(AA:AA, ROW()-1)),
   AVERAGEIFS(
     INDEX((unit_details[Effective Rent],unit_details[Effective PSF]),0,1,IF($U$3="Chunk Rent",1,2)),
     unit_details[Leased Date],"&gt;="&amp;($AM$2-X$5),
     unit_details[Leased Date],"&lt;"&amp;$AM$2,
     unit_details[Beds],$L614,
     unit_details[Baths],$M614,
     unit_details[Partial Baths],IF(ISNUMBER($N614),$N614,""),
     unit_details[Sqft],$P614,
     unit_details[Property Name],$F614)
 ),"")</f>
        <v/>
      </c>
      <c r="Z614" s="27" t="str">
        <f t="shared" si="110"/>
        <v/>
      </c>
      <c r="AA614" s="526">
        <f>IFERROR(
  IF($F614="Total",
    SUM(INDEX(AA:AA, ROW()-COUNTIF($F$6:INDEX($F:$F, ROW()-1), $F613)) : INDEX(AA:AA, ROW()-1)),
    COUNTIFS(
      unit_details[Leased Date], "&gt;="&amp;($AM$2-X$5),
      unit_details[Leased Date], "&lt;"&amp;$AM$2,
      unit_details[Beds], $L614,
      unit_details[Baths], $M614,
      unit_details[Partial Baths], IF(ISNUMBER($N614), $N614, ""),
      unit_details[Sqft],$P614,
      unit_details[Property Name], $F614
    )
  ),
"")</f>
        <v>0</v>
      </c>
      <c r="AB614" s="290">
        <f>IF($F614="Total",
SUM(INDEX(AB:AB, ROW()-COUNTIF($F$6:INDEX($F:$F, ROW()-1), $F613)) : INDEX(AB:AB, ROW()-1)),
COUNTIFS(unit_details[Active Listing?],TRUE,
          unit_details[Property Name], $F614,
          unit_details[Beds], $L614,
          unit_details[Baths], $M614,
          unit_details[Partial Baths],IF(ISNUMBER($N614),$N614,""),
          unit_details[Sqft],$P614))</f>
        <v>0</v>
      </c>
      <c r="AC614" s="27" t="str">
        <f t="shared" si="102"/>
        <v/>
      </c>
      <c r="AD614" s="293" t="str">
        <f>IFERROR(IF(AE614="","",IF($F614="Total",
SUMPRODUCT(
   INDEX(AD:AD, ROW()-COUNTIF($F$6:INDEX($F:$F, ROW()-1), $F613)) : INDEX(AD:AD, ROW()-1),
   INDEX(AB:AB, ROW()-COUNTIF($F$6:INDEX($F:$F, ROW()-1), $F613)) : INDEX(AB:AB, ROW()-1)
   )
   /SUM(INDEX(AB:AB, ROW()-COUNTIF($F$6:INDEX($F:$F, ROW()-1), $F613)) : INDEX(AB:AB, ROW()-1)),
          _xlfn.MINIFS(unit_details[Asking Rent],
          unit_details[Active Listing?],TRUE,
          unit_details[Property Name], $F614,
          unit_details[Beds], $L614,
          unit_details[Baths], $M614,
          unit_details[Partial Baths], IF(ISNUMBER($N614),$N614,""),
          unit_details[Sqft],$P614
))),"")</f>
        <v/>
      </c>
      <c r="AE614" s="5" t="str">
        <f>IFERROR(IF($F614="Total",
          SUMPRODUCT(
   INDEX(AE:AE, ROW()-COUNTIF($F$6:INDEX($F:$F, ROW()-1), $F613)) : INDEX(AE:AE, ROW()-1),
   INDEX(AB:AB, ROW()-COUNTIF($F$6:INDEX($F:$F, ROW()-1), $F613)) : INDEX(AB:AB, ROW()-1)
   )
   /SUM(INDEX(AB:AB, ROW()-COUNTIF($F$6:INDEX($F:$F, ROW()-1), $F613)) : INDEX(AB:AB, ROW()-1)),
          AVERAGEIFS(unit_details[Asking Rent],
          unit_details[Active Listing?],TRUE,
          unit_details[Property Name], $F614,
          unit_details[Beds], $L614,
          unit_details[Baths], $M614,
          unit_details[Partial Baths], IF(ISNUMBER($N614),$N614,""),
          unit_details[Sqft],$P614
)),"")</f>
        <v/>
      </c>
      <c r="AF614" s="5" t="str">
        <f>IFERROR(IF(AE614="","",IF($F614="Total",
SUMPRODUCT(
   INDEX(AF:AF, ROW()-COUNTIF($F$6:INDEX($F:$F, ROW()-1), $F613)) : INDEX(AF:AF, ROW()-1),
   INDEX(AB:AB, ROW()-COUNTIF($F$6:INDEX($F:$F, ROW()-1), $F613)) : INDEX(AB:AB, ROW()-1)
   )
   /SUM(INDEX(AB:AB, ROW()-COUNTIF($F$6:INDEX($F:$F, ROW()-1), $F613)) : INDEX(AB:AB, ROW()-1)),
           _xlfn.MAXIFS(unit_details[Asking Rent],
          unit_details[Active Listing?],TRUE,
          unit_details[Property Name], $F614,
          unit_details[Beds], $L614,
          unit_details[Baths], $M614,
          unit_details[Partial Baths], IF(ISNUMBER($N614),$N614,""),
          unit_details[Sqft],$P614
))),"")</f>
        <v/>
      </c>
      <c r="AG614" s="6" t="str">
        <f>IFERROR(IF($F614="Total",
         SUMPRODUCT(
         INDEX(AG:AG, ROW()-COUNTIF($F$6:INDEX($F:$F, ROW()-1), $F613)) : INDEX(AG:AG, ROW()-1),
         INDEX(AB:AB, ROW()-COUNTIF($F$6:INDEX($F:$F, ROW()-1), $F613)) : INDEX(AB:AB, ROW()-1)
         )
         /SUM(INDEX(AB:AB, ROW()-COUNTIF($F$6:INDEX($F:$F, ROW()-1), $F613)) : INDEX(AB:AB, ROW()-1)),
          AVERAGEIFS(unit_details[Asking PSF],
          unit_details[Active Listing?],TRUE,
          unit_details[Property Name], $F614,
          unit_details[Beds], $L614,
          unit_details[Baths], $M614,
          unit_details[Partial Baths], IF(ISNUMBER($N614),$N614,""),
          unit_details[Sqft],$P614
)),"")</f>
        <v/>
      </c>
      <c r="AH614" s="293" t="str">
        <f>IFERROR(IF($F614="Total",
         SUMPRODUCT(
         INDEX(AH:AH, ROW()-COUNTIF($F$6:INDEX($F:$F, ROW()-1), $F613)) : INDEX(AH:AH, ROW()-1),
         INDEX(AB:AB, ROW()-COUNTIF($F$6:INDEX($F:$F, ROW()-1), $F613)) : INDEX(AB:AB, ROW()-1)
         )
         /SUM(INDEX(AB:AB, ROW()-COUNTIF($F$6:INDEX($F:$F, ROW()-1), $F613)) : INDEX(AB:AB, ROW()-1)),
          AVERAGEIFS(unit_details[Effective Rent],
          unit_details[Active Listing?],TRUE,
          unit_details[Property Name], $F614,
          unit_details[Beds], $L614,
          unit_details[Baths], $M614,
          unit_details[Partial Baths], IF(ISNUMBER($N614),$N614,""),
          unit_details[Sqft],$P614
)),"")</f>
        <v/>
      </c>
      <c r="AI614" s="6" t="str">
        <f>IFERROR(IF($F614="Total",
         SUMPRODUCT(
         INDEX(AI:AI, ROW()-COUNTIF($F$6:INDEX($F:$F, ROW()-1), $F613)) : INDEX(AI:AI, ROW()-1),
         INDEX(AB:AB, ROW()-COUNTIF($F$6:INDEX($F:$F, ROW()-1), $F613)) : INDEX(AB:AB, ROW()-1)
         )
         /SUM(INDEX(AB:AB, ROW()-COUNTIF($F$6:INDEX($F:$F, ROW()-1), $F613)) : INDEX(AB:AB, ROW()-1)),
           AVERAGEIFS(unit_details[Effective PSF],
          unit_details[Active Listing?],TRUE,
          unit_details[Property Name], $F614,
          unit_details[Beds], $L614,
          unit_details[Baths], $M614,
          unit_details[Partial Baths], IF(ISNUMBER($N614),$N614,""),
          unit_details[Sqft],$P614
)),"")</f>
        <v/>
      </c>
      <c r="AJ614" s="824" t="str">
        <f t="shared" si="103"/>
        <v/>
      </c>
      <c r="AK614" s="531" t="str">
        <f t="shared" si="104"/>
        <v/>
      </c>
      <c r="AL614" s="714" t="str">
        <f t="shared" si="105"/>
        <v/>
      </c>
      <c r="AM614" s="531" t="str">
        <f t="shared" si="106"/>
        <v/>
      </c>
      <c r="AN614" s="716" t="str">
        <f t="shared" si="107"/>
        <v/>
      </c>
    </row>
    <row r="615" spans="6:40" x14ac:dyDescent="0.2">
      <c r="F615" s="1" t="str">
        <f t="shared" si="100"/>
        <v/>
      </c>
      <c r="G615" s="713" t="str">
        <f t="shared" si="108"/>
        <v/>
      </c>
      <c r="H615" s="17" t="str">
        <f>IFERROR(VLOOKUP($G615,Table1[[Property]:[Exposure %]],4,0),"")</f>
        <v/>
      </c>
      <c r="I615" s="3" t="str">
        <f>IFERROR(VLOOKUP($G615,Table1[[Property]:[Exposure %]],6,0),"")</f>
        <v/>
      </c>
      <c r="J615" s="3" t="str">
        <f>IFERROR(VLOOKUP($G615,Table1[[Property]:[Exposure %]],7,0),"")</f>
        <v/>
      </c>
      <c r="R615" s="4" t="str">
        <f>IFERROR(VLOOKUP(IF(F615="Total",F614,F615),Table1[[Property]:['# Units]],7,0)*S615,"")</f>
        <v/>
      </c>
      <c r="S615" s="27" t="str">
        <f t="shared" si="101"/>
        <v/>
      </c>
      <c r="T615" s="531" t="str">
        <f>IFERROR(
 IF($F615="Total",
   SUMPRODUCT(
   INDEX(T:T, ROW()-COUNTIF($F$6:INDEX($F:$F, ROW()-1), $F614)) : INDEX(T:T, ROW()-1),
   INDEX(W:W, ROW()-COUNTIF($F$6:INDEX($F:$F, ROW()-1), $F614)) : INDEX(W:W, ROW()-1)
   )
   /SUM(INDEX(W:W, ROW()-COUNTIF($F$6:INDEX($F:$F, ROW()-1), $F614)) : INDEX(W:W, ROW()-1)),
   AVERAGEIFS(
     INDEX((unit_details[Asking Rent],unit_details[Asking PSF]),0,1,IF($U$3="Chunk Rent",1,2)),
     unit_details[Leased Date],"&gt;="&amp;($AM$2-T$5),
     unit_details[Leased Date],"&lt;"&amp;$AM$2,
     unit_details[Beds],$L615,
     unit_details[Baths],$M615,
     unit_details[Partial Baths],IF(ISNUMBER($N615),$N615,""),
     unit_details[Sqft],$P615,
     unit_details[Property Name],$F615)
 ),"")</f>
        <v/>
      </c>
      <c r="U615" s="552" t="str">
        <f>IFERROR(
 IF($F615="Total",
   SUMPRODUCT(
   INDEX(U:U, ROW()-COUNTIF($F$6:INDEX($F:$F, ROW()-1), $F614)) : INDEX(U:U, ROW()-1),
   INDEX(W:W, ROW()-COUNTIF($F$6:INDEX($F:$F, ROW()-1), $F614)) : INDEX(W:W, ROW()-1)
   )
   /SUM(INDEX(W:W, ROW()-COUNTIF($F$6:INDEX($F:$F, ROW()-1), $F614)) : INDEX(W:W, ROW()-1)),
   AVERAGEIFS(
     INDEX((unit_details[Effective Rent],unit_details[Effective PSF]),0,1,IF($U$3="Chunk Rent",1,2)),
     unit_details[Leased Date],"&gt;="&amp;($AM$2-T$5),
     unit_details[Leased Date],"&lt;"&amp;$AM$2,
     unit_details[Beds],$L615,
     unit_details[Baths],$M615,
     unit_details[Partial Baths],IF(ISNUMBER($N615),$N615,""),
     unit_details[Sqft],$P615,
     unit_details[Property Name],$F615)
 ),"")</f>
        <v/>
      </c>
      <c r="V615" s="27" t="str">
        <f t="shared" si="109"/>
        <v/>
      </c>
      <c r="W615" s="526">
        <f>IFERROR(
  IF($F615="Total",
    SUM(INDEX(W:W, ROW()-COUNTIF($F$6:INDEX($F:$F, ROW()-1), $F614)) : INDEX(W:W, ROW()-1)),
    COUNTIFS(
      unit_details[Leased Date], "&gt;="&amp;($AM$2-T$5),
      unit_details[Leased Date], "&lt;"&amp;$AM$2,
      unit_details[Beds], $L615,
      unit_details[Baths], $M615,
      unit_details[Partial Baths], IF(ISNUMBER($N615), $N615, ""),
      unit_details[Sqft],$P615,
      unit_details[Property Name], $F615
    )
  ),
"")</f>
        <v>0</v>
      </c>
      <c r="X615" s="531" t="str">
        <f>IFERROR(
 IF($F615="Total",
   SUMPRODUCT(
   INDEX(X:X, ROW()-COUNTIF($F$6:INDEX($F:$F, ROW()-1), $F614)) : INDEX(X:X, ROW()-1),
   INDEX(AA:AA, ROW()-COUNTIF($F$6:INDEX($F:$F, ROW()-1), $F614)) : INDEX(AA:AA, ROW()-1)
   )
   /SUM(INDEX(AA:AA, ROW()-COUNTIF($F$6:INDEX($F:$F, ROW()-1), $F614)) : INDEX(AA:AA, ROW()-1)),
   AVERAGEIFS(
     INDEX((unit_details[Asking Rent],unit_details[Asking PSF]),0,1,IF($U$3="Chunk Rent",1,2)),
     unit_details[Leased Date],"&gt;="&amp;($AM$2-X$5),
     unit_details[Leased Date],"&lt;"&amp;$AM$2,
     unit_details[Beds],$L615,
     unit_details[Baths],$M615,
     unit_details[Partial Baths],IF(ISNUMBER($N615),$N615,""),
     unit_details[Sqft],$P615,
     unit_details[Property Name],$F615)
 ),"")</f>
        <v/>
      </c>
      <c r="Y615" s="552" t="str">
        <f>IFERROR(
 IF($F615="Total",
   SUMPRODUCT(
   INDEX(Y:Y, ROW()-COUNTIF($F$6:INDEX($F:$F, ROW()-1), $F614)) : INDEX(Y:Y, ROW()-1),
   INDEX(AA:AA, ROW()-COUNTIF($F$6:INDEX($F:$F, ROW()-1), $F614)) : INDEX(AA:AA, ROW()-1)
   )
   /SUM(INDEX(AA:AA, ROW()-COUNTIF($F$6:INDEX($F:$F, ROW()-1), $F614)) : INDEX(AA:AA, ROW()-1)),
   AVERAGEIFS(
     INDEX((unit_details[Effective Rent],unit_details[Effective PSF]),0,1,IF($U$3="Chunk Rent",1,2)),
     unit_details[Leased Date],"&gt;="&amp;($AM$2-X$5),
     unit_details[Leased Date],"&lt;"&amp;$AM$2,
     unit_details[Beds],$L615,
     unit_details[Baths],$M615,
     unit_details[Partial Baths],IF(ISNUMBER($N615),$N615,""),
     unit_details[Sqft],$P615,
     unit_details[Property Name],$F615)
 ),"")</f>
        <v/>
      </c>
      <c r="Z615" s="27" t="str">
        <f t="shared" si="110"/>
        <v/>
      </c>
      <c r="AA615" s="526">
        <f>IFERROR(
  IF($F615="Total",
    SUM(INDEX(AA:AA, ROW()-COUNTIF($F$6:INDEX($F:$F, ROW()-1), $F614)) : INDEX(AA:AA, ROW()-1)),
    COUNTIFS(
      unit_details[Leased Date], "&gt;="&amp;($AM$2-X$5),
      unit_details[Leased Date], "&lt;"&amp;$AM$2,
      unit_details[Beds], $L615,
      unit_details[Baths], $M615,
      unit_details[Partial Baths], IF(ISNUMBER($N615), $N615, ""),
      unit_details[Sqft],$P615,
      unit_details[Property Name], $F615
    )
  ),
"")</f>
        <v>0</v>
      </c>
      <c r="AB615" s="290">
        <f>IF($F615="Total",
SUM(INDEX(AB:AB, ROW()-COUNTIF($F$6:INDEX($F:$F, ROW()-1), $F614)) : INDEX(AB:AB, ROW()-1)),
COUNTIFS(unit_details[Active Listing?],TRUE,
          unit_details[Property Name], $F615,
          unit_details[Beds], $L615,
          unit_details[Baths], $M615,
          unit_details[Partial Baths],IF(ISNUMBER($N615),$N615,""),
          unit_details[Sqft],$P615))</f>
        <v>0</v>
      </c>
      <c r="AC615" s="27" t="str">
        <f t="shared" si="102"/>
        <v/>
      </c>
      <c r="AD615" s="293" t="str">
        <f>IFERROR(IF(AE615="","",IF($F615="Total",
SUMPRODUCT(
   INDEX(AD:AD, ROW()-COUNTIF($F$6:INDEX($F:$F, ROW()-1), $F614)) : INDEX(AD:AD, ROW()-1),
   INDEX(AB:AB, ROW()-COUNTIF($F$6:INDEX($F:$F, ROW()-1), $F614)) : INDEX(AB:AB, ROW()-1)
   )
   /SUM(INDEX(AB:AB, ROW()-COUNTIF($F$6:INDEX($F:$F, ROW()-1), $F614)) : INDEX(AB:AB, ROW()-1)),
          _xlfn.MINIFS(unit_details[Asking Rent],
          unit_details[Active Listing?],TRUE,
          unit_details[Property Name], $F615,
          unit_details[Beds], $L615,
          unit_details[Baths], $M615,
          unit_details[Partial Baths], IF(ISNUMBER($N615),$N615,""),
          unit_details[Sqft],$P615
))),"")</f>
        <v/>
      </c>
      <c r="AE615" s="5" t="str">
        <f>IFERROR(IF($F615="Total",
          SUMPRODUCT(
   INDEX(AE:AE, ROW()-COUNTIF($F$6:INDEX($F:$F, ROW()-1), $F614)) : INDEX(AE:AE, ROW()-1),
   INDEX(AB:AB, ROW()-COUNTIF($F$6:INDEX($F:$F, ROW()-1), $F614)) : INDEX(AB:AB, ROW()-1)
   )
   /SUM(INDEX(AB:AB, ROW()-COUNTIF($F$6:INDEX($F:$F, ROW()-1), $F614)) : INDEX(AB:AB, ROW()-1)),
          AVERAGEIFS(unit_details[Asking Rent],
          unit_details[Active Listing?],TRUE,
          unit_details[Property Name], $F615,
          unit_details[Beds], $L615,
          unit_details[Baths], $M615,
          unit_details[Partial Baths], IF(ISNUMBER($N615),$N615,""),
          unit_details[Sqft],$P615
)),"")</f>
        <v/>
      </c>
      <c r="AF615" s="5" t="str">
        <f>IFERROR(IF(AE615="","",IF($F615="Total",
SUMPRODUCT(
   INDEX(AF:AF, ROW()-COUNTIF($F$6:INDEX($F:$F, ROW()-1), $F614)) : INDEX(AF:AF, ROW()-1),
   INDEX(AB:AB, ROW()-COUNTIF($F$6:INDEX($F:$F, ROW()-1), $F614)) : INDEX(AB:AB, ROW()-1)
   )
   /SUM(INDEX(AB:AB, ROW()-COUNTIF($F$6:INDEX($F:$F, ROW()-1), $F614)) : INDEX(AB:AB, ROW()-1)),
           _xlfn.MAXIFS(unit_details[Asking Rent],
          unit_details[Active Listing?],TRUE,
          unit_details[Property Name], $F615,
          unit_details[Beds], $L615,
          unit_details[Baths], $M615,
          unit_details[Partial Baths], IF(ISNUMBER($N615),$N615,""),
          unit_details[Sqft],$P615
))),"")</f>
        <v/>
      </c>
      <c r="AG615" s="6" t="str">
        <f>IFERROR(IF($F615="Total",
         SUMPRODUCT(
         INDEX(AG:AG, ROW()-COUNTIF($F$6:INDEX($F:$F, ROW()-1), $F614)) : INDEX(AG:AG, ROW()-1),
         INDEX(AB:AB, ROW()-COUNTIF($F$6:INDEX($F:$F, ROW()-1), $F614)) : INDEX(AB:AB, ROW()-1)
         )
         /SUM(INDEX(AB:AB, ROW()-COUNTIF($F$6:INDEX($F:$F, ROW()-1), $F614)) : INDEX(AB:AB, ROW()-1)),
          AVERAGEIFS(unit_details[Asking PSF],
          unit_details[Active Listing?],TRUE,
          unit_details[Property Name], $F615,
          unit_details[Beds], $L615,
          unit_details[Baths], $M615,
          unit_details[Partial Baths], IF(ISNUMBER($N615),$N615,""),
          unit_details[Sqft],$P615
)),"")</f>
        <v/>
      </c>
      <c r="AH615" s="293" t="str">
        <f>IFERROR(IF($F615="Total",
         SUMPRODUCT(
         INDEX(AH:AH, ROW()-COUNTIF($F$6:INDEX($F:$F, ROW()-1), $F614)) : INDEX(AH:AH, ROW()-1),
         INDEX(AB:AB, ROW()-COUNTIF($F$6:INDEX($F:$F, ROW()-1), $F614)) : INDEX(AB:AB, ROW()-1)
         )
         /SUM(INDEX(AB:AB, ROW()-COUNTIF($F$6:INDEX($F:$F, ROW()-1), $F614)) : INDEX(AB:AB, ROW()-1)),
          AVERAGEIFS(unit_details[Effective Rent],
          unit_details[Active Listing?],TRUE,
          unit_details[Property Name], $F615,
          unit_details[Beds], $L615,
          unit_details[Baths], $M615,
          unit_details[Partial Baths], IF(ISNUMBER($N615),$N615,""),
          unit_details[Sqft],$P615
)),"")</f>
        <v/>
      </c>
      <c r="AI615" s="6" t="str">
        <f>IFERROR(IF($F615="Total",
         SUMPRODUCT(
         INDEX(AI:AI, ROW()-COUNTIF($F$6:INDEX($F:$F, ROW()-1), $F614)) : INDEX(AI:AI, ROW()-1),
         INDEX(AB:AB, ROW()-COUNTIF($F$6:INDEX($F:$F, ROW()-1), $F614)) : INDEX(AB:AB, ROW()-1)
         )
         /SUM(INDEX(AB:AB, ROW()-COUNTIF($F$6:INDEX($F:$F, ROW()-1), $F614)) : INDEX(AB:AB, ROW()-1)),
           AVERAGEIFS(unit_details[Effective PSF],
          unit_details[Active Listing?],TRUE,
          unit_details[Property Name], $F615,
          unit_details[Beds], $L615,
          unit_details[Baths], $M615,
          unit_details[Partial Baths], IF(ISNUMBER($N615),$N615,""),
          unit_details[Sqft],$P615
)),"")</f>
        <v/>
      </c>
      <c r="AJ615" s="824" t="str">
        <f t="shared" si="103"/>
        <v/>
      </c>
      <c r="AK615" s="531" t="str">
        <f t="shared" si="104"/>
        <v/>
      </c>
      <c r="AL615" s="714" t="str">
        <f t="shared" si="105"/>
        <v/>
      </c>
      <c r="AM615" s="531" t="str">
        <f t="shared" si="106"/>
        <v/>
      </c>
      <c r="AN615" s="716" t="str">
        <f t="shared" si="107"/>
        <v/>
      </c>
    </row>
    <row r="616" spans="6:40" x14ac:dyDescent="0.2">
      <c r="F616" s="1" t="str">
        <f t="shared" si="100"/>
        <v/>
      </c>
      <c r="G616" s="713" t="str">
        <f t="shared" si="108"/>
        <v/>
      </c>
      <c r="H616" s="17" t="str">
        <f>IFERROR(VLOOKUP($G616,Table1[[Property]:[Exposure %]],4,0),"")</f>
        <v/>
      </c>
      <c r="I616" s="3" t="str">
        <f>IFERROR(VLOOKUP($G616,Table1[[Property]:[Exposure %]],6,0),"")</f>
        <v/>
      </c>
      <c r="J616" s="3" t="str">
        <f>IFERROR(VLOOKUP($G616,Table1[[Property]:[Exposure %]],7,0),"")</f>
        <v/>
      </c>
      <c r="R616" s="4" t="str">
        <f>IFERROR(VLOOKUP(IF(F616="Total",F615,F616),Table1[[Property]:['# Units]],7,0)*S616,"")</f>
        <v/>
      </c>
      <c r="S616" s="27" t="str">
        <f t="shared" si="101"/>
        <v/>
      </c>
      <c r="T616" s="531" t="str">
        <f>IFERROR(
 IF($F616="Total",
   SUMPRODUCT(
   INDEX(T:T, ROW()-COUNTIF($F$6:INDEX($F:$F, ROW()-1), $F615)) : INDEX(T:T, ROW()-1),
   INDEX(W:W, ROW()-COUNTIF($F$6:INDEX($F:$F, ROW()-1), $F615)) : INDEX(W:W, ROW()-1)
   )
   /SUM(INDEX(W:W, ROW()-COUNTIF($F$6:INDEX($F:$F, ROW()-1), $F615)) : INDEX(W:W, ROW()-1)),
   AVERAGEIFS(
     INDEX((unit_details[Asking Rent],unit_details[Asking PSF]),0,1,IF($U$3="Chunk Rent",1,2)),
     unit_details[Leased Date],"&gt;="&amp;($AM$2-T$5),
     unit_details[Leased Date],"&lt;"&amp;$AM$2,
     unit_details[Beds],$L616,
     unit_details[Baths],$M616,
     unit_details[Partial Baths],IF(ISNUMBER($N616),$N616,""),
     unit_details[Sqft],$P616,
     unit_details[Property Name],$F616)
 ),"")</f>
        <v/>
      </c>
      <c r="U616" s="552" t="str">
        <f>IFERROR(
 IF($F616="Total",
   SUMPRODUCT(
   INDEX(U:U, ROW()-COUNTIF($F$6:INDEX($F:$F, ROW()-1), $F615)) : INDEX(U:U, ROW()-1),
   INDEX(W:W, ROW()-COUNTIF($F$6:INDEX($F:$F, ROW()-1), $F615)) : INDEX(W:W, ROW()-1)
   )
   /SUM(INDEX(W:W, ROW()-COUNTIF($F$6:INDEX($F:$F, ROW()-1), $F615)) : INDEX(W:W, ROW()-1)),
   AVERAGEIFS(
     INDEX((unit_details[Effective Rent],unit_details[Effective PSF]),0,1,IF($U$3="Chunk Rent",1,2)),
     unit_details[Leased Date],"&gt;="&amp;($AM$2-T$5),
     unit_details[Leased Date],"&lt;"&amp;$AM$2,
     unit_details[Beds],$L616,
     unit_details[Baths],$M616,
     unit_details[Partial Baths],IF(ISNUMBER($N616),$N616,""),
     unit_details[Sqft],$P616,
     unit_details[Property Name],$F616)
 ),"")</f>
        <v/>
      </c>
      <c r="V616" s="27" t="str">
        <f t="shared" si="109"/>
        <v/>
      </c>
      <c r="W616" s="526">
        <f>IFERROR(
  IF($F616="Total",
    SUM(INDEX(W:W, ROW()-COUNTIF($F$6:INDEX($F:$F, ROW()-1), $F615)) : INDEX(W:W, ROW()-1)),
    COUNTIFS(
      unit_details[Leased Date], "&gt;="&amp;($AM$2-T$5),
      unit_details[Leased Date], "&lt;"&amp;$AM$2,
      unit_details[Beds], $L616,
      unit_details[Baths], $M616,
      unit_details[Partial Baths], IF(ISNUMBER($N616), $N616, ""),
      unit_details[Sqft],$P616,
      unit_details[Property Name], $F616
    )
  ),
"")</f>
        <v>0</v>
      </c>
      <c r="X616" s="531" t="str">
        <f>IFERROR(
 IF($F616="Total",
   SUMPRODUCT(
   INDEX(X:X, ROW()-COUNTIF($F$6:INDEX($F:$F, ROW()-1), $F615)) : INDEX(X:X, ROW()-1),
   INDEX(AA:AA, ROW()-COUNTIF($F$6:INDEX($F:$F, ROW()-1), $F615)) : INDEX(AA:AA, ROW()-1)
   )
   /SUM(INDEX(AA:AA, ROW()-COUNTIF($F$6:INDEX($F:$F, ROW()-1), $F615)) : INDEX(AA:AA, ROW()-1)),
   AVERAGEIFS(
     INDEX((unit_details[Asking Rent],unit_details[Asking PSF]),0,1,IF($U$3="Chunk Rent",1,2)),
     unit_details[Leased Date],"&gt;="&amp;($AM$2-X$5),
     unit_details[Leased Date],"&lt;"&amp;$AM$2,
     unit_details[Beds],$L616,
     unit_details[Baths],$M616,
     unit_details[Partial Baths],IF(ISNUMBER($N616),$N616,""),
     unit_details[Sqft],$P616,
     unit_details[Property Name],$F616)
 ),"")</f>
        <v/>
      </c>
      <c r="Y616" s="552" t="str">
        <f>IFERROR(
 IF($F616="Total",
   SUMPRODUCT(
   INDEX(Y:Y, ROW()-COUNTIF($F$6:INDEX($F:$F, ROW()-1), $F615)) : INDEX(Y:Y, ROW()-1),
   INDEX(AA:AA, ROW()-COUNTIF($F$6:INDEX($F:$F, ROW()-1), $F615)) : INDEX(AA:AA, ROW()-1)
   )
   /SUM(INDEX(AA:AA, ROW()-COUNTIF($F$6:INDEX($F:$F, ROW()-1), $F615)) : INDEX(AA:AA, ROW()-1)),
   AVERAGEIFS(
     INDEX((unit_details[Effective Rent],unit_details[Effective PSF]),0,1,IF($U$3="Chunk Rent",1,2)),
     unit_details[Leased Date],"&gt;="&amp;($AM$2-X$5),
     unit_details[Leased Date],"&lt;"&amp;$AM$2,
     unit_details[Beds],$L616,
     unit_details[Baths],$M616,
     unit_details[Partial Baths],IF(ISNUMBER($N616),$N616,""),
     unit_details[Sqft],$P616,
     unit_details[Property Name],$F616)
 ),"")</f>
        <v/>
      </c>
      <c r="Z616" s="27" t="str">
        <f t="shared" si="110"/>
        <v/>
      </c>
      <c r="AA616" s="526">
        <f>IFERROR(
  IF($F616="Total",
    SUM(INDEX(AA:AA, ROW()-COUNTIF($F$6:INDEX($F:$F, ROW()-1), $F615)) : INDEX(AA:AA, ROW()-1)),
    COUNTIFS(
      unit_details[Leased Date], "&gt;="&amp;($AM$2-X$5),
      unit_details[Leased Date], "&lt;"&amp;$AM$2,
      unit_details[Beds], $L616,
      unit_details[Baths], $M616,
      unit_details[Partial Baths], IF(ISNUMBER($N616), $N616, ""),
      unit_details[Sqft],$P616,
      unit_details[Property Name], $F616
    )
  ),
"")</f>
        <v>0</v>
      </c>
      <c r="AB616" s="290">
        <f>IF($F616="Total",
SUM(INDEX(AB:AB, ROW()-COUNTIF($F$6:INDEX($F:$F, ROW()-1), $F615)) : INDEX(AB:AB, ROW()-1)),
COUNTIFS(unit_details[Active Listing?],TRUE,
          unit_details[Property Name], $F616,
          unit_details[Beds], $L616,
          unit_details[Baths], $M616,
          unit_details[Partial Baths],IF(ISNUMBER($N616),$N616,""),
          unit_details[Sqft],$P616))</f>
        <v>0</v>
      </c>
      <c r="AC616" s="27" t="str">
        <f t="shared" si="102"/>
        <v/>
      </c>
      <c r="AD616" s="293" t="str">
        <f>IFERROR(IF(AE616="","",IF($F616="Total",
SUMPRODUCT(
   INDEX(AD:AD, ROW()-COUNTIF($F$6:INDEX($F:$F, ROW()-1), $F615)) : INDEX(AD:AD, ROW()-1),
   INDEX(AB:AB, ROW()-COUNTIF($F$6:INDEX($F:$F, ROW()-1), $F615)) : INDEX(AB:AB, ROW()-1)
   )
   /SUM(INDEX(AB:AB, ROW()-COUNTIF($F$6:INDEX($F:$F, ROW()-1), $F615)) : INDEX(AB:AB, ROW()-1)),
          _xlfn.MINIFS(unit_details[Asking Rent],
          unit_details[Active Listing?],TRUE,
          unit_details[Property Name], $F616,
          unit_details[Beds], $L616,
          unit_details[Baths], $M616,
          unit_details[Partial Baths], IF(ISNUMBER($N616),$N616,""),
          unit_details[Sqft],$P616
))),"")</f>
        <v/>
      </c>
      <c r="AE616" s="5" t="str">
        <f>IFERROR(IF($F616="Total",
          SUMPRODUCT(
   INDEX(AE:AE, ROW()-COUNTIF($F$6:INDEX($F:$F, ROW()-1), $F615)) : INDEX(AE:AE, ROW()-1),
   INDEX(AB:AB, ROW()-COUNTIF($F$6:INDEX($F:$F, ROW()-1), $F615)) : INDEX(AB:AB, ROW()-1)
   )
   /SUM(INDEX(AB:AB, ROW()-COUNTIF($F$6:INDEX($F:$F, ROW()-1), $F615)) : INDEX(AB:AB, ROW()-1)),
          AVERAGEIFS(unit_details[Asking Rent],
          unit_details[Active Listing?],TRUE,
          unit_details[Property Name], $F616,
          unit_details[Beds], $L616,
          unit_details[Baths], $M616,
          unit_details[Partial Baths], IF(ISNUMBER($N616),$N616,""),
          unit_details[Sqft],$P616
)),"")</f>
        <v/>
      </c>
      <c r="AF616" s="5" t="str">
        <f>IFERROR(IF(AE616="","",IF($F616="Total",
SUMPRODUCT(
   INDEX(AF:AF, ROW()-COUNTIF($F$6:INDEX($F:$F, ROW()-1), $F615)) : INDEX(AF:AF, ROW()-1),
   INDEX(AB:AB, ROW()-COUNTIF($F$6:INDEX($F:$F, ROW()-1), $F615)) : INDEX(AB:AB, ROW()-1)
   )
   /SUM(INDEX(AB:AB, ROW()-COUNTIF($F$6:INDEX($F:$F, ROW()-1), $F615)) : INDEX(AB:AB, ROW()-1)),
           _xlfn.MAXIFS(unit_details[Asking Rent],
          unit_details[Active Listing?],TRUE,
          unit_details[Property Name], $F616,
          unit_details[Beds], $L616,
          unit_details[Baths], $M616,
          unit_details[Partial Baths], IF(ISNUMBER($N616),$N616,""),
          unit_details[Sqft],$P616
))),"")</f>
        <v/>
      </c>
      <c r="AG616" s="6" t="str">
        <f>IFERROR(IF($F616="Total",
         SUMPRODUCT(
         INDEX(AG:AG, ROW()-COUNTIF($F$6:INDEX($F:$F, ROW()-1), $F615)) : INDEX(AG:AG, ROW()-1),
         INDEX(AB:AB, ROW()-COUNTIF($F$6:INDEX($F:$F, ROW()-1), $F615)) : INDEX(AB:AB, ROW()-1)
         )
         /SUM(INDEX(AB:AB, ROW()-COUNTIF($F$6:INDEX($F:$F, ROW()-1), $F615)) : INDEX(AB:AB, ROW()-1)),
          AVERAGEIFS(unit_details[Asking PSF],
          unit_details[Active Listing?],TRUE,
          unit_details[Property Name], $F616,
          unit_details[Beds], $L616,
          unit_details[Baths], $M616,
          unit_details[Partial Baths], IF(ISNUMBER($N616),$N616,""),
          unit_details[Sqft],$P616
)),"")</f>
        <v/>
      </c>
      <c r="AH616" s="293" t="str">
        <f>IFERROR(IF($F616="Total",
         SUMPRODUCT(
         INDEX(AH:AH, ROW()-COUNTIF($F$6:INDEX($F:$F, ROW()-1), $F615)) : INDEX(AH:AH, ROW()-1),
         INDEX(AB:AB, ROW()-COUNTIF($F$6:INDEX($F:$F, ROW()-1), $F615)) : INDEX(AB:AB, ROW()-1)
         )
         /SUM(INDEX(AB:AB, ROW()-COUNTIF($F$6:INDEX($F:$F, ROW()-1), $F615)) : INDEX(AB:AB, ROW()-1)),
          AVERAGEIFS(unit_details[Effective Rent],
          unit_details[Active Listing?],TRUE,
          unit_details[Property Name], $F616,
          unit_details[Beds], $L616,
          unit_details[Baths], $M616,
          unit_details[Partial Baths], IF(ISNUMBER($N616),$N616,""),
          unit_details[Sqft],$P616
)),"")</f>
        <v/>
      </c>
      <c r="AI616" s="6" t="str">
        <f>IFERROR(IF($F616="Total",
         SUMPRODUCT(
         INDEX(AI:AI, ROW()-COUNTIF($F$6:INDEX($F:$F, ROW()-1), $F615)) : INDEX(AI:AI, ROW()-1),
         INDEX(AB:AB, ROW()-COUNTIF($F$6:INDEX($F:$F, ROW()-1), $F615)) : INDEX(AB:AB, ROW()-1)
         )
         /SUM(INDEX(AB:AB, ROW()-COUNTIF($F$6:INDEX($F:$F, ROW()-1), $F615)) : INDEX(AB:AB, ROW()-1)),
           AVERAGEIFS(unit_details[Effective PSF],
          unit_details[Active Listing?],TRUE,
          unit_details[Property Name], $F616,
          unit_details[Beds], $L616,
          unit_details[Baths], $M616,
          unit_details[Partial Baths], IF(ISNUMBER($N616),$N616,""),
          unit_details[Sqft],$P616
)),"")</f>
        <v/>
      </c>
      <c r="AJ616" s="824" t="str">
        <f t="shared" si="103"/>
        <v/>
      </c>
      <c r="AK616" s="531" t="str">
        <f t="shared" si="104"/>
        <v/>
      </c>
      <c r="AL616" s="714" t="str">
        <f t="shared" si="105"/>
        <v/>
      </c>
      <c r="AM616" s="531" t="str">
        <f t="shared" si="106"/>
        <v/>
      </c>
      <c r="AN616" s="716" t="str">
        <f t="shared" si="107"/>
        <v/>
      </c>
    </row>
    <row r="617" spans="6:40" x14ac:dyDescent="0.2">
      <c r="F617" s="1" t="str">
        <f t="shared" si="100"/>
        <v/>
      </c>
      <c r="G617" s="713" t="str">
        <f t="shared" si="108"/>
        <v/>
      </c>
      <c r="H617" s="17" t="str">
        <f>IFERROR(VLOOKUP($G617,Table1[[Property]:[Exposure %]],4,0),"")</f>
        <v/>
      </c>
      <c r="I617" s="3" t="str">
        <f>IFERROR(VLOOKUP($G617,Table1[[Property]:[Exposure %]],6,0),"")</f>
        <v/>
      </c>
      <c r="J617" s="3" t="str">
        <f>IFERROR(VLOOKUP($G617,Table1[[Property]:[Exposure %]],7,0),"")</f>
        <v/>
      </c>
      <c r="R617" s="4" t="str">
        <f>IFERROR(VLOOKUP(IF(F617="Total",F616,F617),Table1[[Property]:['# Units]],7,0)*S617,"")</f>
        <v/>
      </c>
      <c r="S617" s="27" t="str">
        <f t="shared" si="101"/>
        <v/>
      </c>
      <c r="T617" s="531" t="str">
        <f>IFERROR(
 IF($F617="Total",
   SUMPRODUCT(
   INDEX(T:T, ROW()-COUNTIF($F$6:INDEX($F:$F, ROW()-1), $F616)) : INDEX(T:T, ROW()-1),
   INDEX(W:W, ROW()-COUNTIF($F$6:INDEX($F:$F, ROW()-1), $F616)) : INDEX(W:W, ROW()-1)
   )
   /SUM(INDEX(W:W, ROW()-COUNTIF($F$6:INDEX($F:$F, ROW()-1), $F616)) : INDEX(W:W, ROW()-1)),
   AVERAGEIFS(
     INDEX((unit_details[Asking Rent],unit_details[Asking PSF]),0,1,IF($U$3="Chunk Rent",1,2)),
     unit_details[Leased Date],"&gt;="&amp;($AM$2-T$5),
     unit_details[Leased Date],"&lt;"&amp;$AM$2,
     unit_details[Beds],$L617,
     unit_details[Baths],$M617,
     unit_details[Partial Baths],IF(ISNUMBER($N617),$N617,""),
     unit_details[Sqft],$P617,
     unit_details[Property Name],$F617)
 ),"")</f>
        <v/>
      </c>
      <c r="U617" s="552" t="str">
        <f>IFERROR(
 IF($F617="Total",
   SUMPRODUCT(
   INDEX(U:U, ROW()-COUNTIF($F$6:INDEX($F:$F, ROW()-1), $F616)) : INDEX(U:U, ROW()-1),
   INDEX(W:W, ROW()-COUNTIF($F$6:INDEX($F:$F, ROW()-1), $F616)) : INDEX(W:W, ROW()-1)
   )
   /SUM(INDEX(W:W, ROW()-COUNTIF($F$6:INDEX($F:$F, ROW()-1), $F616)) : INDEX(W:W, ROW()-1)),
   AVERAGEIFS(
     INDEX((unit_details[Effective Rent],unit_details[Effective PSF]),0,1,IF($U$3="Chunk Rent",1,2)),
     unit_details[Leased Date],"&gt;="&amp;($AM$2-T$5),
     unit_details[Leased Date],"&lt;"&amp;$AM$2,
     unit_details[Beds],$L617,
     unit_details[Baths],$M617,
     unit_details[Partial Baths],IF(ISNUMBER($N617),$N617,""),
     unit_details[Sqft],$P617,
     unit_details[Property Name],$F617)
 ),"")</f>
        <v/>
      </c>
      <c r="V617" s="27" t="str">
        <f t="shared" si="109"/>
        <v/>
      </c>
      <c r="W617" s="526">
        <f>IFERROR(
  IF($F617="Total",
    SUM(INDEX(W:W, ROW()-COUNTIF($F$6:INDEX($F:$F, ROW()-1), $F616)) : INDEX(W:W, ROW()-1)),
    COUNTIFS(
      unit_details[Leased Date], "&gt;="&amp;($AM$2-T$5),
      unit_details[Leased Date], "&lt;"&amp;$AM$2,
      unit_details[Beds], $L617,
      unit_details[Baths], $M617,
      unit_details[Partial Baths], IF(ISNUMBER($N617), $N617, ""),
      unit_details[Sqft],$P617,
      unit_details[Property Name], $F617
    )
  ),
"")</f>
        <v>0</v>
      </c>
      <c r="X617" s="531" t="str">
        <f>IFERROR(
 IF($F617="Total",
   SUMPRODUCT(
   INDEX(X:X, ROW()-COUNTIF($F$6:INDEX($F:$F, ROW()-1), $F616)) : INDEX(X:X, ROW()-1),
   INDEX(AA:AA, ROW()-COUNTIF($F$6:INDEX($F:$F, ROW()-1), $F616)) : INDEX(AA:AA, ROW()-1)
   )
   /SUM(INDEX(AA:AA, ROW()-COUNTIF($F$6:INDEX($F:$F, ROW()-1), $F616)) : INDEX(AA:AA, ROW()-1)),
   AVERAGEIFS(
     INDEX((unit_details[Asking Rent],unit_details[Asking PSF]),0,1,IF($U$3="Chunk Rent",1,2)),
     unit_details[Leased Date],"&gt;="&amp;($AM$2-X$5),
     unit_details[Leased Date],"&lt;"&amp;$AM$2,
     unit_details[Beds],$L617,
     unit_details[Baths],$M617,
     unit_details[Partial Baths],IF(ISNUMBER($N617),$N617,""),
     unit_details[Sqft],$P617,
     unit_details[Property Name],$F617)
 ),"")</f>
        <v/>
      </c>
      <c r="Y617" s="552" t="str">
        <f>IFERROR(
 IF($F617="Total",
   SUMPRODUCT(
   INDEX(Y:Y, ROW()-COUNTIF($F$6:INDEX($F:$F, ROW()-1), $F616)) : INDEX(Y:Y, ROW()-1),
   INDEX(AA:AA, ROW()-COUNTIF($F$6:INDEX($F:$F, ROW()-1), $F616)) : INDEX(AA:AA, ROW()-1)
   )
   /SUM(INDEX(AA:AA, ROW()-COUNTIF($F$6:INDEX($F:$F, ROW()-1), $F616)) : INDEX(AA:AA, ROW()-1)),
   AVERAGEIFS(
     INDEX((unit_details[Effective Rent],unit_details[Effective PSF]),0,1,IF($U$3="Chunk Rent",1,2)),
     unit_details[Leased Date],"&gt;="&amp;($AM$2-X$5),
     unit_details[Leased Date],"&lt;"&amp;$AM$2,
     unit_details[Beds],$L617,
     unit_details[Baths],$M617,
     unit_details[Partial Baths],IF(ISNUMBER($N617),$N617,""),
     unit_details[Sqft],$P617,
     unit_details[Property Name],$F617)
 ),"")</f>
        <v/>
      </c>
      <c r="Z617" s="27" t="str">
        <f t="shared" si="110"/>
        <v/>
      </c>
      <c r="AA617" s="526">
        <f>IFERROR(
  IF($F617="Total",
    SUM(INDEX(AA:AA, ROW()-COUNTIF($F$6:INDEX($F:$F, ROW()-1), $F616)) : INDEX(AA:AA, ROW()-1)),
    COUNTIFS(
      unit_details[Leased Date], "&gt;="&amp;($AM$2-X$5),
      unit_details[Leased Date], "&lt;"&amp;$AM$2,
      unit_details[Beds], $L617,
      unit_details[Baths], $M617,
      unit_details[Partial Baths], IF(ISNUMBER($N617), $N617, ""),
      unit_details[Sqft],$P617,
      unit_details[Property Name], $F617
    )
  ),
"")</f>
        <v>0</v>
      </c>
      <c r="AB617" s="290">
        <f>IF($F617="Total",
SUM(INDEX(AB:AB, ROW()-COUNTIF($F$6:INDEX($F:$F, ROW()-1), $F616)) : INDEX(AB:AB, ROW()-1)),
COUNTIFS(unit_details[Active Listing?],TRUE,
          unit_details[Property Name], $F617,
          unit_details[Beds], $L617,
          unit_details[Baths], $M617,
          unit_details[Partial Baths],IF(ISNUMBER($N617),$N617,""),
          unit_details[Sqft],$P617))</f>
        <v>0</v>
      </c>
      <c r="AC617" s="27" t="str">
        <f t="shared" si="102"/>
        <v/>
      </c>
      <c r="AD617" s="293" t="str">
        <f>IFERROR(IF(AE617="","",IF($F617="Total",
SUMPRODUCT(
   INDEX(AD:AD, ROW()-COUNTIF($F$6:INDEX($F:$F, ROW()-1), $F616)) : INDEX(AD:AD, ROW()-1),
   INDEX(AB:AB, ROW()-COUNTIF($F$6:INDEX($F:$F, ROW()-1), $F616)) : INDEX(AB:AB, ROW()-1)
   )
   /SUM(INDEX(AB:AB, ROW()-COUNTIF($F$6:INDEX($F:$F, ROW()-1), $F616)) : INDEX(AB:AB, ROW()-1)),
          _xlfn.MINIFS(unit_details[Asking Rent],
          unit_details[Active Listing?],TRUE,
          unit_details[Property Name], $F617,
          unit_details[Beds], $L617,
          unit_details[Baths], $M617,
          unit_details[Partial Baths], IF(ISNUMBER($N617),$N617,""),
          unit_details[Sqft],$P617
))),"")</f>
        <v/>
      </c>
      <c r="AE617" s="5" t="str">
        <f>IFERROR(IF($F617="Total",
          SUMPRODUCT(
   INDEX(AE:AE, ROW()-COUNTIF($F$6:INDEX($F:$F, ROW()-1), $F616)) : INDEX(AE:AE, ROW()-1),
   INDEX(AB:AB, ROW()-COUNTIF($F$6:INDEX($F:$F, ROW()-1), $F616)) : INDEX(AB:AB, ROW()-1)
   )
   /SUM(INDEX(AB:AB, ROW()-COUNTIF($F$6:INDEX($F:$F, ROW()-1), $F616)) : INDEX(AB:AB, ROW()-1)),
          AVERAGEIFS(unit_details[Asking Rent],
          unit_details[Active Listing?],TRUE,
          unit_details[Property Name], $F617,
          unit_details[Beds], $L617,
          unit_details[Baths], $M617,
          unit_details[Partial Baths], IF(ISNUMBER($N617),$N617,""),
          unit_details[Sqft],$P617
)),"")</f>
        <v/>
      </c>
      <c r="AF617" s="5" t="str">
        <f>IFERROR(IF(AE617="","",IF($F617="Total",
SUMPRODUCT(
   INDEX(AF:AF, ROW()-COUNTIF($F$6:INDEX($F:$F, ROW()-1), $F616)) : INDEX(AF:AF, ROW()-1),
   INDEX(AB:AB, ROW()-COUNTIF($F$6:INDEX($F:$F, ROW()-1), $F616)) : INDEX(AB:AB, ROW()-1)
   )
   /SUM(INDEX(AB:AB, ROW()-COUNTIF($F$6:INDEX($F:$F, ROW()-1), $F616)) : INDEX(AB:AB, ROW()-1)),
           _xlfn.MAXIFS(unit_details[Asking Rent],
          unit_details[Active Listing?],TRUE,
          unit_details[Property Name], $F617,
          unit_details[Beds], $L617,
          unit_details[Baths], $M617,
          unit_details[Partial Baths], IF(ISNUMBER($N617),$N617,""),
          unit_details[Sqft],$P617
))),"")</f>
        <v/>
      </c>
      <c r="AG617" s="6" t="str">
        <f>IFERROR(IF($F617="Total",
         SUMPRODUCT(
         INDEX(AG:AG, ROW()-COUNTIF($F$6:INDEX($F:$F, ROW()-1), $F616)) : INDEX(AG:AG, ROW()-1),
         INDEX(AB:AB, ROW()-COUNTIF($F$6:INDEX($F:$F, ROW()-1), $F616)) : INDEX(AB:AB, ROW()-1)
         )
         /SUM(INDEX(AB:AB, ROW()-COUNTIF($F$6:INDEX($F:$F, ROW()-1), $F616)) : INDEX(AB:AB, ROW()-1)),
          AVERAGEIFS(unit_details[Asking PSF],
          unit_details[Active Listing?],TRUE,
          unit_details[Property Name], $F617,
          unit_details[Beds], $L617,
          unit_details[Baths], $M617,
          unit_details[Partial Baths], IF(ISNUMBER($N617),$N617,""),
          unit_details[Sqft],$P617
)),"")</f>
        <v/>
      </c>
      <c r="AH617" s="293" t="str">
        <f>IFERROR(IF($F617="Total",
         SUMPRODUCT(
         INDEX(AH:AH, ROW()-COUNTIF($F$6:INDEX($F:$F, ROW()-1), $F616)) : INDEX(AH:AH, ROW()-1),
         INDEX(AB:AB, ROW()-COUNTIF($F$6:INDEX($F:$F, ROW()-1), $F616)) : INDEX(AB:AB, ROW()-1)
         )
         /SUM(INDEX(AB:AB, ROW()-COUNTIF($F$6:INDEX($F:$F, ROW()-1), $F616)) : INDEX(AB:AB, ROW()-1)),
          AVERAGEIFS(unit_details[Effective Rent],
          unit_details[Active Listing?],TRUE,
          unit_details[Property Name], $F617,
          unit_details[Beds], $L617,
          unit_details[Baths], $M617,
          unit_details[Partial Baths], IF(ISNUMBER($N617),$N617,""),
          unit_details[Sqft],$P617
)),"")</f>
        <v/>
      </c>
      <c r="AI617" s="6" t="str">
        <f>IFERROR(IF($F617="Total",
         SUMPRODUCT(
         INDEX(AI:AI, ROW()-COUNTIF($F$6:INDEX($F:$F, ROW()-1), $F616)) : INDEX(AI:AI, ROW()-1),
         INDEX(AB:AB, ROW()-COUNTIF($F$6:INDEX($F:$F, ROW()-1), $F616)) : INDEX(AB:AB, ROW()-1)
         )
         /SUM(INDEX(AB:AB, ROW()-COUNTIF($F$6:INDEX($F:$F, ROW()-1), $F616)) : INDEX(AB:AB, ROW()-1)),
           AVERAGEIFS(unit_details[Effective PSF],
          unit_details[Active Listing?],TRUE,
          unit_details[Property Name], $F617,
          unit_details[Beds], $L617,
          unit_details[Baths], $M617,
          unit_details[Partial Baths], IF(ISNUMBER($N617),$N617,""),
          unit_details[Sqft],$P617
)),"")</f>
        <v/>
      </c>
      <c r="AJ617" s="824" t="str">
        <f t="shared" si="103"/>
        <v/>
      </c>
      <c r="AK617" s="531" t="str">
        <f t="shared" si="104"/>
        <v/>
      </c>
      <c r="AL617" s="714" t="str">
        <f t="shared" si="105"/>
        <v/>
      </c>
      <c r="AM617" s="531" t="str">
        <f t="shared" si="106"/>
        <v/>
      </c>
      <c r="AN617" s="716" t="str">
        <f t="shared" si="107"/>
        <v/>
      </c>
    </row>
    <row r="618" spans="6:40" x14ac:dyDescent="0.2">
      <c r="F618" s="1" t="str">
        <f t="shared" si="100"/>
        <v/>
      </c>
      <c r="G618" s="713" t="str">
        <f t="shared" si="108"/>
        <v/>
      </c>
      <c r="H618" s="17" t="str">
        <f>IFERROR(VLOOKUP($G618,Table1[[Property]:[Exposure %]],4,0),"")</f>
        <v/>
      </c>
      <c r="I618" s="3" t="str">
        <f>IFERROR(VLOOKUP($G618,Table1[[Property]:[Exposure %]],6,0),"")</f>
        <v/>
      </c>
      <c r="J618" s="3" t="str">
        <f>IFERROR(VLOOKUP($G618,Table1[[Property]:[Exposure %]],7,0),"")</f>
        <v/>
      </c>
      <c r="R618" s="4" t="str">
        <f>IFERROR(VLOOKUP(IF(F618="Total",F617,F618),Table1[[Property]:['# Units]],7,0)*S618,"")</f>
        <v/>
      </c>
      <c r="S618" s="27" t="str">
        <f t="shared" si="101"/>
        <v/>
      </c>
      <c r="T618" s="531" t="str">
        <f>IFERROR(
 IF($F618="Total",
   SUMPRODUCT(
   INDEX(T:T, ROW()-COUNTIF($F$6:INDEX($F:$F, ROW()-1), $F617)) : INDEX(T:T, ROW()-1),
   INDEX(W:W, ROW()-COUNTIF($F$6:INDEX($F:$F, ROW()-1), $F617)) : INDEX(W:W, ROW()-1)
   )
   /SUM(INDEX(W:W, ROW()-COUNTIF($F$6:INDEX($F:$F, ROW()-1), $F617)) : INDEX(W:W, ROW()-1)),
   AVERAGEIFS(
     INDEX((unit_details[Asking Rent],unit_details[Asking PSF]),0,1,IF($U$3="Chunk Rent",1,2)),
     unit_details[Leased Date],"&gt;="&amp;($AM$2-T$5),
     unit_details[Leased Date],"&lt;"&amp;$AM$2,
     unit_details[Beds],$L618,
     unit_details[Baths],$M618,
     unit_details[Partial Baths],IF(ISNUMBER($N618),$N618,""),
     unit_details[Sqft],$P618,
     unit_details[Property Name],$F618)
 ),"")</f>
        <v/>
      </c>
      <c r="U618" s="552" t="str">
        <f>IFERROR(
 IF($F618="Total",
   SUMPRODUCT(
   INDEX(U:U, ROW()-COUNTIF($F$6:INDEX($F:$F, ROW()-1), $F617)) : INDEX(U:U, ROW()-1),
   INDEX(W:W, ROW()-COUNTIF($F$6:INDEX($F:$F, ROW()-1), $F617)) : INDEX(W:W, ROW()-1)
   )
   /SUM(INDEX(W:W, ROW()-COUNTIF($F$6:INDEX($F:$F, ROW()-1), $F617)) : INDEX(W:W, ROW()-1)),
   AVERAGEIFS(
     INDEX((unit_details[Effective Rent],unit_details[Effective PSF]),0,1,IF($U$3="Chunk Rent",1,2)),
     unit_details[Leased Date],"&gt;="&amp;($AM$2-T$5),
     unit_details[Leased Date],"&lt;"&amp;$AM$2,
     unit_details[Beds],$L618,
     unit_details[Baths],$M618,
     unit_details[Partial Baths],IF(ISNUMBER($N618),$N618,""),
     unit_details[Sqft],$P618,
     unit_details[Property Name],$F618)
 ),"")</f>
        <v/>
      </c>
      <c r="V618" s="27" t="str">
        <f t="shared" si="109"/>
        <v/>
      </c>
      <c r="W618" s="526">
        <f>IFERROR(
  IF($F618="Total",
    SUM(INDEX(W:W, ROW()-COUNTIF($F$6:INDEX($F:$F, ROW()-1), $F617)) : INDEX(W:W, ROW()-1)),
    COUNTIFS(
      unit_details[Leased Date], "&gt;="&amp;($AM$2-T$5),
      unit_details[Leased Date], "&lt;"&amp;$AM$2,
      unit_details[Beds], $L618,
      unit_details[Baths], $M618,
      unit_details[Partial Baths], IF(ISNUMBER($N618), $N618, ""),
      unit_details[Sqft],$P618,
      unit_details[Property Name], $F618
    )
  ),
"")</f>
        <v>0</v>
      </c>
      <c r="X618" s="531" t="str">
        <f>IFERROR(
 IF($F618="Total",
   SUMPRODUCT(
   INDEX(X:X, ROW()-COUNTIF($F$6:INDEX($F:$F, ROW()-1), $F617)) : INDEX(X:X, ROW()-1),
   INDEX(AA:AA, ROW()-COUNTIF($F$6:INDEX($F:$F, ROW()-1), $F617)) : INDEX(AA:AA, ROW()-1)
   )
   /SUM(INDEX(AA:AA, ROW()-COUNTIF($F$6:INDEX($F:$F, ROW()-1), $F617)) : INDEX(AA:AA, ROW()-1)),
   AVERAGEIFS(
     INDEX((unit_details[Asking Rent],unit_details[Asking PSF]),0,1,IF($U$3="Chunk Rent",1,2)),
     unit_details[Leased Date],"&gt;="&amp;($AM$2-X$5),
     unit_details[Leased Date],"&lt;"&amp;$AM$2,
     unit_details[Beds],$L618,
     unit_details[Baths],$M618,
     unit_details[Partial Baths],IF(ISNUMBER($N618),$N618,""),
     unit_details[Sqft],$P618,
     unit_details[Property Name],$F618)
 ),"")</f>
        <v/>
      </c>
      <c r="Y618" s="552" t="str">
        <f>IFERROR(
 IF($F618="Total",
   SUMPRODUCT(
   INDEX(Y:Y, ROW()-COUNTIF($F$6:INDEX($F:$F, ROW()-1), $F617)) : INDEX(Y:Y, ROW()-1),
   INDEX(AA:AA, ROW()-COUNTIF($F$6:INDEX($F:$F, ROW()-1), $F617)) : INDEX(AA:AA, ROW()-1)
   )
   /SUM(INDEX(AA:AA, ROW()-COUNTIF($F$6:INDEX($F:$F, ROW()-1), $F617)) : INDEX(AA:AA, ROW()-1)),
   AVERAGEIFS(
     INDEX((unit_details[Effective Rent],unit_details[Effective PSF]),0,1,IF($U$3="Chunk Rent",1,2)),
     unit_details[Leased Date],"&gt;="&amp;($AM$2-X$5),
     unit_details[Leased Date],"&lt;"&amp;$AM$2,
     unit_details[Beds],$L618,
     unit_details[Baths],$M618,
     unit_details[Partial Baths],IF(ISNUMBER($N618),$N618,""),
     unit_details[Sqft],$P618,
     unit_details[Property Name],$F618)
 ),"")</f>
        <v/>
      </c>
      <c r="Z618" s="27" t="str">
        <f t="shared" si="110"/>
        <v/>
      </c>
      <c r="AA618" s="526">
        <f>IFERROR(
  IF($F618="Total",
    SUM(INDEX(AA:AA, ROW()-COUNTIF($F$6:INDEX($F:$F, ROW()-1), $F617)) : INDEX(AA:AA, ROW()-1)),
    COUNTIFS(
      unit_details[Leased Date], "&gt;="&amp;($AM$2-X$5),
      unit_details[Leased Date], "&lt;"&amp;$AM$2,
      unit_details[Beds], $L618,
      unit_details[Baths], $M618,
      unit_details[Partial Baths], IF(ISNUMBER($N618), $N618, ""),
      unit_details[Sqft],$P618,
      unit_details[Property Name], $F618
    )
  ),
"")</f>
        <v>0</v>
      </c>
      <c r="AB618" s="290">
        <f>IF($F618="Total",
SUM(INDEX(AB:AB, ROW()-COUNTIF($F$6:INDEX($F:$F, ROW()-1), $F617)) : INDEX(AB:AB, ROW()-1)),
COUNTIFS(unit_details[Active Listing?],TRUE,
          unit_details[Property Name], $F618,
          unit_details[Beds], $L618,
          unit_details[Baths], $M618,
          unit_details[Partial Baths],IF(ISNUMBER($N618),$N618,""),
          unit_details[Sqft],$P618))</f>
        <v>0</v>
      </c>
      <c r="AC618" s="27" t="str">
        <f t="shared" si="102"/>
        <v/>
      </c>
      <c r="AD618" s="293" t="str">
        <f>IFERROR(IF(AE618="","",IF($F618="Total",
SUMPRODUCT(
   INDEX(AD:AD, ROW()-COUNTIF($F$6:INDEX($F:$F, ROW()-1), $F617)) : INDEX(AD:AD, ROW()-1),
   INDEX(AB:AB, ROW()-COUNTIF($F$6:INDEX($F:$F, ROW()-1), $F617)) : INDEX(AB:AB, ROW()-1)
   )
   /SUM(INDEX(AB:AB, ROW()-COUNTIF($F$6:INDEX($F:$F, ROW()-1), $F617)) : INDEX(AB:AB, ROW()-1)),
          _xlfn.MINIFS(unit_details[Asking Rent],
          unit_details[Active Listing?],TRUE,
          unit_details[Property Name], $F618,
          unit_details[Beds], $L618,
          unit_details[Baths], $M618,
          unit_details[Partial Baths], IF(ISNUMBER($N618),$N618,""),
          unit_details[Sqft],$P618
))),"")</f>
        <v/>
      </c>
      <c r="AE618" s="5" t="str">
        <f>IFERROR(IF($F618="Total",
          SUMPRODUCT(
   INDEX(AE:AE, ROW()-COUNTIF($F$6:INDEX($F:$F, ROW()-1), $F617)) : INDEX(AE:AE, ROW()-1),
   INDEX(AB:AB, ROW()-COUNTIF($F$6:INDEX($F:$F, ROW()-1), $F617)) : INDEX(AB:AB, ROW()-1)
   )
   /SUM(INDEX(AB:AB, ROW()-COUNTIF($F$6:INDEX($F:$F, ROW()-1), $F617)) : INDEX(AB:AB, ROW()-1)),
          AVERAGEIFS(unit_details[Asking Rent],
          unit_details[Active Listing?],TRUE,
          unit_details[Property Name], $F618,
          unit_details[Beds], $L618,
          unit_details[Baths], $M618,
          unit_details[Partial Baths], IF(ISNUMBER($N618),$N618,""),
          unit_details[Sqft],$P618
)),"")</f>
        <v/>
      </c>
      <c r="AF618" s="5" t="str">
        <f>IFERROR(IF(AE618="","",IF($F618="Total",
SUMPRODUCT(
   INDEX(AF:AF, ROW()-COUNTIF($F$6:INDEX($F:$F, ROW()-1), $F617)) : INDEX(AF:AF, ROW()-1),
   INDEX(AB:AB, ROW()-COUNTIF($F$6:INDEX($F:$F, ROW()-1), $F617)) : INDEX(AB:AB, ROW()-1)
   )
   /SUM(INDEX(AB:AB, ROW()-COUNTIF($F$6:INDEX($F:$F, ROW()-1), $F617)) : INDEX(AB:AB, ROW()-1)),
           _xlfn.MAXIFS(unit_details[Asking Rent],
          unit_details[Active Listing?],TRUE,
          unit_details[Property Name], $F618,
          unit_details[Beds], $L618,
          unit_details[Baths], $M618,
          unit_details[Partial Baths], IF(ISNUMBER($N618),$N618,""),
          unit_details[Sqft],$P618
))),"")</f>
        <v/>
      </c>
      <c r="AG618" s="6" t="str">
        <f>IFERROR(IF($F618="Total",
         SUMPRODUCT(
         INDEX(AG:AG, ROW()-COUNTIF($F$6:INDEX($F:$F, ROW()-1), $F617)) : INDEX(AG:AG, ROW()-1),
         INDEX(AB:AB, ROW()-COUNTIF($F$6:INDEX($F:$F, ROW()-1), $F617)) : INDEX(AB:AB, ROW()-1)
         )
         /SUM(INDEX(AB:AB, ROW()-COUNTIF($F$6:INDEX($F:$F, ROW()-1), $F617)) : INDEX(AB:AB, ROW()-1)),
          AVERAGEIFS(unit_details[Asking PSF],
          unit_details[Active Listing?],TRUE,
          unit_details[Property Name], $F618,
          unit_details[Beds], $L618,
          unit_details[Baths], $M618,
          unit_details[Partial Baths], IF(ISNUMBER($N618),$N618,""),
          unit_details[Sqft],$P618
)),"")</f>
        <v/>
      </c>
      <c r="AH618" s="293" t="str">
        <f>IFERROR(IF($F618="Total",
         SUMPRODUCT(
         INDEX(AH:AH, ROW()-COUNTIF($F$6:INDEX($F:$F, ROW()-1), $F617)) : INDEX(AH:AH, ROW()-1),
         INDEX(AB:AB, ROW()-COUNTIF($F$6:INDEX($F:$F, ROW()-1), $F617)) : INDEX(AB:AB, ROW()-1)
         )
         /SUM(INDEX(AB:AB, ROW()-COUNTIF($F$6:INDEX($F:$F, ROW()-1), $F617)) : INDEX(AB:AB, ROW()-1)),
          AVERAGEIFS(unit_details[Effective Rent],
          unit_details[Active Listing?],TRUE,
          unit_details[Property Name], $F618,
          unit_details[Beds], $L618,
          unit_details[Baths], $M618,
          unit_details[Partial Baths], IF(ISNUMBER($N618),$N618,""),
          unit_details[Sqft],$P618
)),"")</f>
        <v/>
      </c>
      <c r="AI618" s="6" t="str">
        <f>IFERROR(IF($F618="Total",
         SUMPRODUCT(
         INDEX(AI:AI, ROW()-COUNTIF($F$6:INDEX($F:$F, ROW()-1), $F617)) : INDEX(AI:AI, ROW()-1),
         INDEX(AB:AB, ROW()-COUNTIF($F$6:INDEX($F:$F, ROW()-1), $F617)) : INDEX(AB:AB, ROW()-1)
         )
         /SUM(INDEX(AB:AB, ROW()-COUNTIF($F$6:INDEX($F:$F, ROW()-1), $F617)) : INDEX(AB:AB, ROW()-1)),
           AVERAGEIFS(unit_details[Effective PSF],
          unit_details[Active Listing?],TRUE,
          unit_details[Property Name], $F618,
          unit_details[Beds], $L618,
          unit_details[Baths], $M618,
          unit_details[Partial Baths], IF(ISNUMBER($N618),$N618,""),
          unit_details[Sqft],$P618
)),"")</f>
        <v/>
      </c>
      <c r="AJ618" s="824" t="str">
        <f t="shared" si="103"/>
        <v/>
      </c>
      <c r="AK618" s="531" t="str">
        <f t="shared" si="104"/>
        <v/>
      </c>
      <c r="AL618" s="714" t="str">
        <f t="shared" si="105"/>
        <v/>
      </c>
      <c r="AM618" s="531" t="str">
        <f t="shared" si="106"/>
        <v/>
      </c>
      <c r="AN618" s="716" t="str">
        <f t="shared" si="107"/>
        <v/>
      </c>
    </row>
    <row r="619" spans="6:40" x14ac:dyDescent="0.2">
      <c r="F619" s="1" t="str">
        <f t="shared" si="100"/>
        <v/>
      </c>
      <c r="G619" s="713" t="str">
        <f t="shared" si="108"/>
        <v/>
      </c>
      <c r="H619" s="17" t="str">
        <f>IFERROR(VLOOKUP($G619,Table1[[Property]:[Exposure %]],4,0),"")</f>
        <v/>
      </c>
      <c r="I619" s="3" t="str">
        <f>IFERROR(VLOOKUP($G619,Table1[[Property]:[Exposure %]],6,0),"")</f>
        <v/>
      </c>
      <c r="J619" s="3" t="str">
        <f>IFERROR(VLOOKUP($G619,Table1[[Property]:[Exposure %]],7,0),"")</f>
        <v/>
      </c>
      <c r="R619" s="4" t="str">
        <f>IFERROR(VLOOKUP(IF(F619="Total",F618,F619),Table1[[Property]:['# Units]],7,0)*S619,"")</f>
        <v/>
      </c>
      <c r="S619" s="27" t="str">
        <f t="shared" si="101"/>
        <v/>
      </c>
      <c r="T619" s="531" t="str">
        <f>IFERROR(
 IF($F619="Total",
   SUMPRODUCT(
   INDEX(T:T, ROW()-COUNTIF($F$6:INDEX($F:$F, ROW()-1), $F618)) : INDEX(T:T, ROW()-1),
   INDEX(W:W, ROW()-COUNTIF($F$6:INDEX($F:$F, ROW()-1), $F618)) : INDEX(W:W, ROW()-1)
   )
   /SUM(INDEX(W:W, ROW()-COUNTIF($F$6:INDEX($F:$F, ROW()-1), $F618)) : INDEX(W:W, ROW()-1)),
   AVERAGEIFS(
     INDEX((unit_details[Asking Rent],unit_details[Asking PSF]),0,1,IF($U$3="Chunk Rent",1,2)),
     unit_details[Leased Date],"&gt;="&amp;($AM$2-T$5),
     unit_details[Leased Date],"&lt;"&amp;$AM$2,
     unit_details[Beds],$L619,
     unit_details[Baths],$M619,
     unit_details[Partial Baths],IF(ISNUMBER($N619),$N619,""),
     unit_details[Sqft],$P619,
     unit_details[Property Name],$F619)
 ),"")</f>
        <v/>
      </c>
      <c r="U619" s="552" t="str">
        <f>IFERROR(
 IF($F619="Total",
   SUMPRODUCT(
   INDEX(U:U, ROW()-COUNTIF($F$6:INDEX($F:$F, ROW()-1), $F618)) : INDEX(U:U, ROW()-1),
   INDEX(W:W, ROW()-COUNTIF($F$6:INDEX($F:$F, ROW()-1), $F618)) : INDEX(W:W, ROW()-1)
   )
   /SUM(INDEX(W:W, ROW()-COUNTIF($F$6:INDEX($F:$F, ROW()-1), $F618)) : INDEX(W:W, ROW()-1)),
   AVERAGEIFS(
     INDEX((unit_details[Effective Rent],unit_details[Effective PSF]),0,1,IF($U$3="Chunk Rent",1,2)),
     unit_details[Leased Date],"&gt;="&amp;($AM$2-T$5),
     unit_details[Leased Date],"&lt;"&amp;$AM$2,
     unit_details[Beds],$L619,
     unit_details[Baths],$M619,
     unit_details[Partial Baths],IF(ISNUMBER($N619),$N619,""),
     unit_details[Sqft],$P619,
     unit_details[Property Name],$F619)
 ),"")</f>
        <v/>
      </c>
      <c r="V619" s="27" t="str">
        <f t="shared" si="109"/>
        <v/>
      </c>
      <c r="W619" s="526">
        <f>IFERROR(
  IF($F619="Total",
    SUM(INDEX(W:W, ROW()-COUNTIF($F$6:INDEX($F:$F, ROW()-1), $F618)) : INDEX(W:W, ROW()-1)),
    COUNTIFS(
      unit_details[Leased Date], "&gt;="&amp;($AM$2-T$5),
      unit_details[Leased Date], "&lt;"&amp;$AM$2,
      unit_details[Beds], $L619,
      unit_details[Baths], $M619,
      unit_details[Partial Baths], IF(ISNUMBER($N619), $N619, ""),
      unit_details[Sqft],$P619,
      unit_details[Property Name], $F619
    )
  ),
"")</f>
        <v>0</v>
      </c>
      <c r="X619" s="531" t="str">
        <f>IFERROR(
 IF($F619="Total",
   SUMPRODUCT(
   INDEX(X:X, ROW()-COUNTIF($F$6:INDEX($F:$F, ROW()-1), $F618)) : INDEX(X:X, ROW()-1),
   INDEX(AA:AA, ROW()-COUNTIF($F$6:INDEX($F:$F, ROW()-1), $F618)) : INDEX(AA:AA, ROW()-1)
   )
   /SUM(INDEX(AA:AA, ROW()-COUNTIF($F$6:INDEX($F:$F, ROW()-1), $F618)) : INDEX(AA:AA, ROW()-1)),
   AVERAGEIFS(
     INDEX((unit_details[Asking Rent],unit_details[Asking PSF]),0,1,IF($U$3="Chunk Rent",1,2)),
     unit_details[Leased Date],"&gt;="&amp;($AM$2-X$5),
     unit_details[Leased Date],"&lt;"&amp;$AM$2,
     unit_details[Beds],$L619,
     unit_details[Baths],$M619,
     unit_details[Partial Baths],IF(ISNUMBER($N619),$N619,""),
     unit_details[Sqft],$P619,
     unit_details[Property Name],$F619)
 ),"")</f>
        <v/>
      </c>
      <c r="Y619" s="552" t="str">
        <f>IFERROR(
 IF($F619="Total",
   SUMPRODUCT(
   INDEX(Y:Y, ROW()-COUNTIF($F$6:INDEX($F:$F, ROW()-1), $F618)) : INDEX(Y:Y, ROW()-1),
   INDEX(AA:AA, ROW()-COUNTIF($F$6:INDEX($F:$F, ROW()-1), $F618)) : INDEX(AA:AA, ROW()-1)
   )
   /SUM(INDEX(AA:AA, ROW()-COUNTIF($F$6:INDEX($F:$F, ROW()-1), $F618)) : INDEX(AA:AA, ROW()-1)),
   AVERAGEIFS(
     INDEX((unit_details[Effective Rent],unit_details[Effective PSF]),0,1,IF($U$3="Chunk Rent",1,2)),
     unit_details[Leased Date],"&gt;="&amp;($AM$2-X$5),
     unit_details[Leased Date],"&lt;"&amp;$AM$2,
     unit_details[Beds],$L619,
     unit_details[Baths],$M619,
     unit_details[Partial Baths],IF(ISNUMBER($N619),$N619,""),
     unit_details[Sqft],$P619,
     unit_details[Property Name],$F619)
 ),"")</f>
        <v/>
      </c>
      <c r="Z619" s="27" t="str">
        <f t="shared" si="110"/>
        <v/>
      </c>
      <c r="AA619" s="526">
        <f>IFERROR(
  IF($F619="Total",
    SUM(INDEX(AA:AA, ROW()-COUNTIF($F$6:INDEX($F:$F, ROW()-1), $F618)) : INDEX(AA:AA, ROW()-1)),
    COUNTIFS(
      unit_details[Leased Date], "&gt;="&amp;($AM$2-X$5),
      unit_details[Leased Date], "&lt;"&amp;$AM$2,
      unit_details[Beds], $L619,
      unit_details[Baths], $M619,
      unit_details[Partial Baths], IF(ISNUMBER($N619), $N619, ""),
      unit_details[Sqft],$P619,
      unit_details[Property Name], $F619
    )
  ),
"")</f>
        <v>0</v>
      </c>
      <c r="AB619" s="290">
        <f>IF($F619="Total",
SUM(INDEX(AB:AB, ROW()-COUNTIF($F$6:INDEX($F:$F, ROW()-1), $F618)) : INDEX(AB:AB, ROW()-1)),
COUNTIFS(unit_details[Active Listing?],TRUE,
          unit_details[Property Name], $F619,
          unit_details[Beds], $L619,
          unit_details[Baths], $M619,
          unit_details[Partial Baths],IF(ISNUMBER($N619),$N619,""),
          unit_details[Sqft],$P619))</f>
        <v>0</v>
      </c>
      <c r="AC619" s="27" t="str">
        <f t="shared" si="102"/>
        <v/>
      </c>
      <c r="AD619" s="293" t="str">
        <f>IFERROR(IF(AE619="","",IF($F619="Total",
SUMPRODUCT(
   INDEX(AD:AD, ROW()-COUNTIF($F$6:INDEX($F:$F, ROW()-1), $F618)) : INDEX(AD:AD, ROW()-1),
   INDEX(AB:AB, ROW()-COUNTIF($F$6:INDEX($F:$F, ROW()-1), $F618)) : INDEX(AB:AB, ROW()-1)
   )
   /SUM(INDEX(AB:AB, ROW()-COUNTIF($F$6:INDEX($F:$F, ROW()-1), $F618)) : INDEX(AB:AB, ROW()-1)),
          _xlfn.MINIFS(unit_details[Asking Rent],
          unit_details[Active Listing?],TRUE,
          unit_details[Property Name], $F619,
          unit_details[Beds], $L619,
          unit_details[Baths], $M619,
          unit_details[Partial Baths], IF(ISNUMBER($N619),$N619,""),
          unit_details[Sqft],$P619
))),"")</f>
        <v/>
      </c>
      <c r="AE619" s="5" t="str">
        <f>IFERROR(IF($F619="Total",
          SUMPRODUCT(
   INDEX(AE:AE, ROW()-COUNTIF($F$6:INDEX($F:$F, ROW()-1), $F618)) : INDEX(AE:AE, ROW()-1),
   INDEX(AB:AB, ROW()-COUNTIF($F$6:INDEX($F:$F, ROW()-1), $F618)) : INDEX(AB:AB, ROW()-1)
   )
   /SUM(INDEX(AB:AB, ROW()-COUNTIF($F$6:INDEX($F:$F, ROW()-1), $F618)) : INDEX(AB:AB, ROW()-1)),
          AVERAGEIFS(unit_details[Asking Rent],
          unit_details[Active Listing?],TRUE,
          unit_details[Property Name], $F619,
          unit_details[Beds], $L619,
          unit_details[Baths], $M619,
          unit_details[Partial Baths], IF(ISNUMBER($N619),$N619,""),
          unit_details[Sqft],$P619
)),"")</f>
        <v/>
      </c>
      <c r="AF619" s="5" t="str">
        <f>IFERROR(IF(AE619="","",IF($F619="Total",
SUMPRODUCT(
   INDEX(AF:AF, ROW()-COUNTIF($F$6:INDEX($F:$F, ROW()-1), $F618)) : INDEX(AF:AF, ROW()-1),
   INDEX(AB:AB, ROW()-COUNTIF($F$6:INDEX($F:$F, ROW()-1), $F618)) : INDEX(AB:AB, ROW()-1)
   )
   /SUM(INDEX(AB:AB, ROW()-COUNTIF($F$6:INDEX($F:$F, ROW()-1), $F618)) : INDEX(AB:AB, ROW()-1)),
           _xlfn.MAXIFS(unit_details[Asking Rent],
          unit_details[Active Listing?],TRUE,
          unit_details[Property Name], $F619,
          unit_details[Beds], $L619,
          unit_details[Baths], $M619,
          unit_details[Partial Baths], IF(ISNUMBER($N619),$N619,""),
          unit_details[Sqft],$P619
))),"")</f>
        <v/>
      </c>
      <c r="AG619" s="6" t="str">
        <f>IFERROR(IF($F619="Total",
         SUMPRODUCT(
         INDEX(AG:AG, ROW()-COUNTIF($F$6:INDEX($F:$F, ROW()-1), $F618)) : INDEX(AG:AG, ROW()-1),
         INDEX(AB:AB, ROW()-COUNTIF($F$6:INDEX($F:$F, ROW()-1), $F618)) : INDEX(AB:AB, ROW()-1)
         )
         /SUM(INDEX(AB:AB, ROW()-COUNTIF($F$6:INDEX($F:$F, ROW()-1), $F618)) : INDEX(AB:AB, ROW()-1)),
          AVERAGEIFS(unit_details[Asking PSF],
          unit_details[Active Listing?],TRUE,
          unit_details[Property Name], $F619,
          unit_details[Beds], $L619,
          unit_details[Baths], $M619,
          unit_details[Partial Baths], IF(ISNUMBER($N619),$N619,""),
          unit_details[Sqft],$P619
)),"")</f>
        <v/>
      </c>
      <c r="AH619" s="293" t="str">
        <f>IFERROR(IF($F619="Total",
         SUMPRODUCT(
         INDEX(AH:AH, ROW()-COUNTIF($F$6:INDEX($F:$F, ROW()-1), $F618)) : INDEX(AH:AH, ROW()-1),
         INDEX(AB:AB, ROW()-COUNTIF($F$6:INDEX($F:$F, ROW()-1), $F618)) : INDEX(AB:AB, ROW()-1)
         )
         /SUM(INDEX(AB:AB, ROW()-COUNTIF($F$6:INDEX($F:$F, ROW()-1), $F618)) : INDEX(AB:AB, ROW()-1)),
          AVERAGEIFS(unit_details[Effective Rent],
          unit_details[Active Listing?],TRUE,
          unit_details[Property Name], $F619,
          unit_details[Beds], $L619,
          unit_details[Baths], $M619,
          unit_details[Partial Baths], IF(ISNUMBER($N619),$N619,""),
          unit_details[Sqft],$P619
)),"")</f>
        <v/>
      </c>
      <c r="AI619" s="6" t="str">
        <f>IFERROR(IF($F619="Total",
         SUMPRODUCT(
         INDEX(AI:AI, ROW()-COUNTIF($F$6:INDEX($F:$F, ROW()-1), $F618)) : INDEX(AI:AI, ROW()-1),
         INDEX(AB:AB, ROW()-COUNTIF($F$6:INDEX($F:$F, ROW()-1), $F618)) : INDEX(AB:AB, ROW()-1)
         )
         /SUM(INDEX(AB:AB, ROW()-COUNTIF($F$6:INDEX($F:$F, ROW()-1), $F618)) : INDEX(AB:AB, ROW()-1)),
           AVERAGEIFS(unit_details[Effective PSF],
          unit_details[Active Listing?],TRUE,
          unit_details[Property Name], $F619,
          unit_details[Beds], $L619,
          unit_details[Baths], $M619,
          unit_details[Partial Baths], IF(ISNUMBER($N619),$N619,""),
          unit_details[Sqft],$P619
)),"")</f>
        <v/>
      </c>
      <c r="AJ619" s="824" t="str">
        <f t="shared" si="103"/>
        <v/>
      </c>
      <c r="AK619" s="531" t="str">
        <f t="shared" si="104"/>
        <v/>
      </c>
      <c r="AL619" s="714" t="str">
        <f t="shared" si="105"/>
        <v/>
      </c>
      <c r="AM619" s="531" t="str">
        <f t="shared" si="106"/>
        <v/>
      </c>
      <c r="AN619" s="716" t="str">
        <f t="shared" si="107"/>
        <v/>
      </c>
    </row>
    <row r="620" spans="6:40" x14ac:dyDescent="0.2">
      <c r="F620" s="1" t="str">
        <f t="shared" si="100"/>
        <v/>
      </c>
      <c r="G620" s="713" t="str">
        <f t="shared" si="108"/>
        <v/>
      </c>
      <c r="H620" s="17" t="str">
        <f>IFERROR(VLOOKUP($G620,Table1[[Property]:[Exposure %]],4,0),"")</f>
        <v/>
      </c>
      <c r="I620" s="3" t="str">
        <f>IFERROR(VLOOKUP($G620,Table1[[Property]:[Exposure %]],6,0),"")</f>
        <v/>
      </c>
      <c r="J620" s="3" t="str">
        <f>IFERROR(VLOOKUP($G620,Table1[[Property]:[Exposure %]],7,0),"")</f>
        <v/>
      </c>
      <c r="R620" s="4" t="str">
        <f>IFERROR(VLOOKUP(IF(F620="Total",F619,F620),Table1[[Property]:['# Units]],7,0)*S620,"")</f>
        <v/>
      </c>
      <c r="S620" s="27" t="str">
        <f t="shared" si="101"/>
        <v/>
      </c>
      <c r="T620" s="531" t="str">
        <f>IFERROR(
 IF($F620="Total",
   SUMPRODUCT(
   INDEX(T:T, ROW()-COUNTIF($F$6:INDEX($F:$F, ROW()-1), $F619)) : INDEX(T:T, ROW()-1),
   INDEX(W:W, ROW()-COUNTIF($F$6:INDEX($F:$F, ROW()-1), $F619)) : INDEX(W:W, ROW()-1)
   )
   /SUM(INDEX(W:W, ROW()-COUNTIF($F$6:INDEX($F:$F, ROW()-1), $F619)) : INDEX(W:W, ROW()-1)),
   AVERAGEIFS(
     INDEX((unit_details[Asking Rent],unit_details[Asking PSF]),0,1,IF($U$3="Chunk Rent",1,2)),
     unit_details[Leased Date],"&gt;="&amp;($AM$2-T$5),
     unit_details[Leased Date],"&lt;"&amp;$AM$2,
     unit_details[Beds],$L620,
     unit_details[Baths],$M620,
     unit_details[Partial Baths],IF(ISNUMBER($N620),$N620,""),
     unit_details[Sqft],$P620,
     unit_details[Property Name],$F620)
 ),"")</f>
        <v/>
      </c>
      <c r="U620" s="552" t="str">
        <f>IFERROR(
 IF($F620="Total",
   SUMPRODUCT(
   INDEX(U:U, ROW()-COUNTIF($F$6:INDEX($F:$F, ROW()-1), $F619)) : INDEX(U:U, ROW()-1),
   INDEX(W:W, ROW()-COUNTIF($F$6:INDEX($F:$F, ROW()-1), $F619)) : INDEX(W:W, ROW()-1)
   )
   /SUM(INDEX(W:W, ROW()-COUNTIF($F$6:INDEX($F:$F, ROW()-1), $F619)) : INDEX(W:W, ROW()-1)),
   AVERAGEIFS(
     INDEX((unit_details[Effective Rent],unit_details[Effective PSF]),0,1,IF($U$3="Chunk Rent",1,2)),
     unit_details[Leased Date],"&gt;="&amp;($AM$2-T$5),
     unit_details[Leased Date],"&lt;"&amp;$AM$2,
     unit_details[Beds],$L620,
     unit_details[Baths],$M620,
     unit_details[Partial Baths],IF(ISNUMBER($N620),$N620,""),
     unit_details[Sqft],$P620,
     unit_details[Property Name],$F620)
 ),"")</f>
        <v/>
      </c>
      <c r="V620" s="27" t="str">
        <f t="shared" si="109"/>
        <v/>
      </c>
      <c r="W620" s="526">
        <f>IFERROR(
  IF($F620="Total",
    SUM(INDEX(W:W, ROW()-COUNTIF($F$6:INDEX($F:$F, ROW()-1), $F619)) : INDEX(W:W, ROW()-1)),
    COUNTIFS(
      unit_details[Leased Date], "&gt;="&amp;($AM$2-T$5),
      unit_details[Leased Date], "&lt;"&amp;$AM$2,
      unit_details[Beds], $L620,
      unit_details[Baths], $M620,
      unit_details[Partial Baths], IF(ISNUMBER($N620), $N620, ""),
      unit_details[Sqft],$P620,
      unit_details[Property Name], $F620
    )
  ),
"")</f>
        <v>0</v>
      </c>
      <c r="X620" s="531" t="str">
        <f>IFERROR(
 IF($F620="Total",
   SUMPRODUCT(
   INDEX(X:X, ROW()-COUNTIF($F$6:INDEX($F:$F, ROW()-1), $F619)) : INDEX(X:X, ROW()-1),
   INDEX(AA:AA, ROW()-COUNTIF($F$6:INDEX($F:$F, ROW()-1), $F619)) : INDEX(AA:AA, ROW()-1)
   )
   /SUM(INDEX(AA:AA, ROW()-COUNTIF($F$6:INDEX($F:$F, ROW()-1), $F619)) : INDEX(AA:AA, ROW()-1)),
   AVERAGEIFS(
     INDEX((unit_details[Asking Rent],unit_details[Asking PSF]),0,1,IF($U$3="Chunk Rent",1,2)),
     unit_details[Leased Date],"&gt;="&amp;($AM$2-X$5),
     unit_details[Leased Date],"&lt;"&amp;$AM$2,
     unit_details[Beds],$L620,
     unit_details[Baths],$M620,
     unit_details[Partial Baths],IF(ISNUMBER($N620),$N620,""),
     unit_details[Sqft],$P620,
     unit_details[Property Name],$F620)
 ),"")</f>
        <v/>
      </c>
      <c r="Y620" s="552" t="str">
        <f>IFERROR(
 IF($F620="Total",
   SUMPRODUCT(
   INDEX(Y:Y, ROW()-COUNTIF($F$6:INDEX($F:$F, ROW()-1), $F619)) : INDEX(Y:Y, ROW()-1),
   INDEX(AA:AA, ROW()-COUNTIF($F$6:INDEX($F:$F, ROW()-1), $F619)) : INDEX(AA:AA, ROW()-1)
   )
   /SUM(INDEX(AA:AA, ROW()-COUNTIF($F$6:INDEX($F:$F, ROW()-1), $F619)) : INDEX(AA:AA, ROW()-1)),
   AVERAGEIFS(
     INDEX((unit_details[Effective Rent],unit_details[Effective PSF]),0,1,IF($U$3="Chunk Rent",1,2)),
     unit_details[Leased Date],"&gt;="&amp;($AM$2-X$5),
     unit_details[Leased Date],"&lt;"&amp;$AM$2,
     unit_details[Beds],$L620,
     unit_details[Baths],$M620,
     unit_details[Partial Baths],IF(ISNUMBER($N620),$N620,""),
     unit_details[Sqft],$P620,
     unit_details[Property Name],$F620)
 ),"")</f>
        <v/>
      </c>
      <c r="Z620" s="27" t="str">
        <f t="shared" si="110"/>
        <v/>
      </c>
      <c r="AA620" s="526">
        <f>IFERROR(
  IF($F620="Total",
    SUM(INDEX(AA:AA, ROW()-COUNTIF($F$6:INDEX($F:$F, ROW()-1), $F619)) : INDEX(AA:AA, ROW()-1)),
    COUNTIFS(
      unit_details[Leased Date], "&gt;="&amp;($AM$2-X$5),
      unit_details[Leased Date], "&lt;"&amp;$AM$2,
      unit_details[Beds], $L620,
      unit_details[Baths], $M620,
      unit_details[Partial Baths], IF(ISNUMBER($N620), $N620, ""),
      unit_details[Sqft],$P620,
      unit_details[Property Name], $F620
    )
  ),
"")</f>
        <v>0</v>
      </c>
      <c r="AB620" s="290">
        <f>IF($F620="Total",
SUM(INDEX(AB:AB, ROW()-COUNTIF($F$6:INDEX($F:$F, ROW()-1), $F619)) : INDEX(AB:AB, ROW()-1)),
COUNTIFS(unit_details[Active Listing?],TRUE,
          unit_details[Property Name], $F620,
          unit_details[Beds], $L620,
          unit_details[Baths], $M620,
          unit_details[Partial Baths],IF(ISNUMBER($N620),$N620,""),
          unit_details[Sqft],$P620))</f>
        <v>0</v>
      </c>
      <c r="AC620" s="27" t="str">
        <f t="shared" si="102"/>
        <v/>
      </c>
      <c r="AD620" s="293" t="str">
        <f>IFERROR(IF(AE620="","",IF($F620="Total",
SUMPRODUCT(
   INDEX(AD:AD, ROW()-COUNTIF($F$6:INDEX($F:$F, ROW()-1), $F619)) : INDEX(AD:AD, ROW()-1),
   INDEX(AB:AB, ROW()-COUNTIF($F$6:INDEX($F:$F, ROW()-1), $F619)) : INDEX(AB:AB, ROW()-1)
   )
   /SUM(INDEX(AB:AB, ROW()-COUNTIF($F$6:INDEX($F:$F, ROW()-1), $F619)) : INDEX(AB:AB, ROW()-1)),
          _xlfn.MINIFS(unit_details[Asking Rent],
          unit_details[Active Listing?],TRUE,
          unit_details[Property Name], $F620,
          unit_details[Beds], $L620,
          unit_details[Baths], $M620,
          unit_details[Partial Baths], IF(ISNUMBER($N620),$N620,""),
          unit_details[Sqft],$P620
))),"")</f>
        <v/>
      </c>
      <c r="AE620" s="5" t="str">
        <f>IFERROR(IF($F620="Total",
          SUMPRODUCT(
   INDEX(AE:AE, ROW()-COUNTIF($F$6:INDEX($F:$F, ROW()-1), $F619)) : INDEX(AE:AE, ROW()-1),
   INDEX(AB:AB, ROW()-COUNTIF($F$6:INDEX($F:$F, ROW()-1), $F619)) : INDEX(AB:AB, ROW()-1)
   )
   /SUM(INDEX(AB:AB, ROW()-COUNTIF($F$6:INDEX($F:$F, ROW()-1), $F619)) : INDEX(AB:AB, ROW()-1)),
          AVERAGEIFS(unit_details[Asking Rent],
          unit_details[Active Listing?],TRUE,
          unit_details[Property Name], $F620,
          unit_details[Beds], $L620,
          unit_details[Baths], $M620,
          unit_details[Partial Baths], IF(ISNUMBER($N620),$N620,""),
          unit_details[Sqft],$P620
)),"")</f>
        <v/>
      </c>
      <c r="AF620" s="5" t="str">
        <f>IFERROR(IF(AE620="","",IF($F620="Total",
SUMPRODUCT(
   INDEX(AF:AF, ROW()-COUNTIF($F$6:INDEX($F:$F, ROW()-1), $F619)) : INDEX(AF:AF, ROW()-1),
   INDEX(AB:AB, ROW()-COUNTIF($F$6:INDEX($F:$F, ROW()-1), $F619)) : INDEX(AB:AB, ROW()-1)
   )
   /SUM(INDEX(AB:AB, ROW()-COUNTIF($F$6:INDEX($F:$F, ROW()-1), $F619)) : INDEX(AB:AB, ROW()-1)),
           _xlfn.MAXIFS(unit_details[Asking Rent],
          unit_details[Active Listing?],TRUE,
          unit_details[Property Name], $F620,
          unit_details[Beds], $L620,
          unit_details[Baths], $M620,
          unit_details[Partial Baths], IF(ISNUMBER($N620),$N620,""),
          unit_details[Sqft],$P620
))),"")</f>
        <v/>
      </c>
      <c r="AG620" s="6" t="str">
        <f>IFERROR(IF($F620="Total",
         SUMPRODUCT(
         INDEX(AG:AG, ROW()-COUNTIF($F$6:INDEX($F:$F, ROW()-1), $F619)) : INDEX(AG:AG, ROW()-1),
         INDEX(AB:AB, ROW()-COUNTIF($F$6:INDEX($F:$F, ROW()-1), $F619)) : INDEX(AB:AB, ROW()-1)
         )
         /SUM(INDEX(AB:AB, ROW()-COUNTIF($F$6:INDEX($F:$F, ROW()-1), $F619)) : INDEX(AB:AB, ROW()-1)),
          AVERAGEIFS(unit_details[Asking PSF],
          unit_details[Active Listing?],TRUE,
          unit_details[Property Name], $F620,
          unit_details[Beds], $L620,
          unit_details[Baths], $M620,
          unit_details[Partial Baths], IF(ISNUMBER($N620),$N620,""),
          unit_details[Sqft],$P620
)),"")</f>
        <v/>
      </c>
      <c r="AH620" s="293" t="str">
        <f>IFERROR(IF($F620="Total",
         SUMPRODUCT(
         INDEX(AH:AH, ROW()-COUNTIF($F$6:INDEX($F:$F, ROW()-1), $F619)) : INDEX(AH:AH, ROW()-1),
         INDEX(AB:AB, ROW()-COUNTIF($F$6:INDEX($F:$F, ROW()-1), $F619)) : INDEX(AB:AB, ROW()-1)
         )
         /SUM(INDEX(AB:AB, ROW()-COUNTIF($F$6:INDEX($F:$F, ROW()-1), $F619)) : INDEX(AB:AB, ROW()-1)),
          AVERAGEIFS(unit_details[Effective Rent],
          unit_details[Active Listing?],TRUE,
          unit_details[Property Name], $F620,
          unit_details[Beds], $L620,
          unit_details[Baths], $M620,
          unit_details[Partial Baths], IF(ISNUMBER($N620),$N620,""),
          unit_details[Sqft],$P620
)),"")</f>
        <v/>
      </c>
      <c r="AI620" s="6" t="str">
        <f>IFERROR(IF($F620="Total",
         SUMPRODUCT(
         INDEX(AI:AI, ROW()-COUNTIF($F$6:INDEX($F:$F, ROW()-1), $F619)) : INDEX(AI:AI, ROW()-1),
         INDEX(AB:AB, ROW()-COUNTIF($F$6:INDEX($F:$F, ROW()-1), $F619)) : INDEX(AB:AB, ROW()-1)
         )
         /SUM(INDEX(AB:AB, ROW()-COUNTIF($F$6:INDEX($F:$F, ROW()-1), $F619)) : INDEX(AB:AB, ROW()-1)),
           AVERAGEIFS(unit_details[Effective PSF],
          unit_details[Active Listing?],TRUE,
          unit_details[Property Name], $F620,
          unit_details[Beds], $L620,
          unit_details[Baths], $M620,
          unit_details[Partial Baths], IF(ISNUMBER($N620),$N620,""),
          unit_details[Sqft],$P620
)),"")</f>
        <v/>
      </c>
      <c r="AJ620" s="824" t="str">
        <f t="shared" si="103"/>
        <v/>
      </c>
      <c r="AK620" s="531" t="str">
        <f t="shared" si="104"/>
        <v/>
      </c>
      <c r="AL620" s="714" t="str">
        <f t="shared" si="105"/>
        <v/>
      </c>
      <c r="AM620" s="531" t="str">
        <f t="shared" si="106"/>
        <v/>
      </c>
      <c r="AN620" s="716" t="str">
        <f t="shared" si="107"/>
        <v/>
      </c>
    </row>
    <row r="621" spans="6:40" x14ac:dyDescent="0.2">
      <c r="F621" s="1" t="str">
        <f t="shared" si="100"/>
        <v/>
      </c>
      <c r="G621" s="713" t="str">
        <f t="shared" si="108"/>
        <v/>
      </c>
      <c r="H621" s="17" t="str">
        <f>IFERROR(VLOOKUP($G621,Table1[[Property]:[Exposure %]],4,0),"")</f>
        <v/>
      </c>
      <c r="I621" s="3" t="str">
        <f>IFERROR(VLOOKUP($G621,Table1[[Property]:[Exposure %]],6,0),"")</f>
        <v/>
      </c>
      <c r="J621" s="3" t="str">
        <f>IFERROR(VLOOKUP($G621,Table1[[Property]:[Exposure %]],7,0),"")</f>
        <v/>
      </c>
      <c r="R621" s="4" t="str">
        <f>IFERROR(VLOOKUP(IF(F621="Total",F620,F621),Table1[[Property]:['# Units]],7,0)*S621,"")</f>
        <v/>
      </c>
      <c r="S621" s="27" t="str">
        <f t="shared" si="101"/>
        <v/>
      </c>
      <c r="T621" s="531" t="str">
        <f>IFERROR(
 IF($F621="Total",
   SUMPRODUCT(
   INDEX(T:T, ROW()-COUNTIF($F$6:INDEX($F:$F, ROW()-1), $F620)) : INDEX(T:T, ROW()-1),
   INDEX(W:W, ROW()-COUNTIF($F$6:INDEX($F:$F, ROW()-1), $F620)) : INDEX(W:W, ROW()-1)
   )
   /SUM(INDEX(W:W, ROW()-COUNTIF($F$6:INDEX($F:$F, ROW()-1), $F620)) : INDEX(W:W, ROW()-1)),
   AVERAGEIFS(
     INDEX((unit_details[Asking Rent],unit_details[Asking PSF]),0,1,IF($U$3="Chunk Rent",1,2)),
     unit_details[Leased Date],"&gt;="&amp;($AM$2-T$5),
     unit_details[Leased Date],"&lt;"&amp;$AM$2,
     unit_details[Beds],$L621,
     unit_details[Baths],$M621,
     unit_details[Partial Baths],IF(ISNUMBER($N621),$N621,""),
     unit_details[Sqft],$P621,
     unit_details[Property Name],$F621)
 ),"")</f>
        <v/>
      </c>
      <c r="U621" s="552" t="str">
        <f>IFERROR(
 IF($F621="Total",
   SUMPRODUCT(
   INDEX(U:U, ROW()-COUNTIF($F$6:INDEX($F:$F, ROW()-1), $F620)) : INDEX(U:U, ROW()-1),
   INDEX(W:W, ROW()-COUNTIF($F$6:INDEX($F:$F, ROW()-1), $F620)) : INDEX(W:W, ROW()-1)
   )
   /SUM(INDEX(W:W, ROW()-COUNTIF($F$6:INDEX($F:$F, ROW()-1), $F620)) : INDEX(W:W, ROW()-1)),
   AVERAGEIFS(
     INDEX((unit_details[Effective Rent],unit_details[Effective PSF]),0,1,IF($U$3="Chunk Rent",1,2)),
     unit_details[Leased Date],"&gt;="&amp;($AM$2-T$5),
     unit_details[Leased Date],"&lt;"&amp;$AM$2,
     unit_details[Beds],$L621,
     unit_details[Baths],$M621,
     unit_details[Partial Baths],IF(ISNUMBER($N621),$N621,""),
     unit_details[Sqft],$P621,
     unit_details[Property Name],$F621)
 ),"")</f>
        <v/>
      </c>
      <c r="V621" s="27" t="str">
        <f t="shared" si="109"/>
        <v/>
      </c>
      <c r="W621" s="526">
        <f>IFERROR(
  IF($F621="Total",
    SUM(INDEX(W:W, ROW()-COUNTIF($F$6:INDEX($F:$F, ROW()-1), $F620)) : INDEX(W:W, ROW()-1)),
    COUNTIFS(
      unit_details[Leased Date], "&gt;="&amp;($AM$2-T$5),
      unit_details[Leased Date], "&lt;"&amp;$AM$2,
      unit_details[Beds], $L621,
      unit_details[Baths], $M621,
      unit_details[Partial Baths], IF(ISNUMBER($N621), $N621, ""),
      unit_details[Sqft],$P621,
      unit_details[Property Name], $F621
    )
  ),
"")</f>
        <v>0</v>
      </c>
      <c r="X621" s="531" t="str">
        <f>IFERROR(
 IF($F621="Total",
   SUMPRODUCT(
   INDEX(X:X, ROW()-COUNTIF($F$6:INDEX($F:$F, ROW()-1), $F620)) : INDEX(X:X, ROW()-1),
   INDEX(AA:AA, ROW()-COUNTIF($F$6:INDEX($F:$F, ROW()-1), $F620)) : INDEX(AA:AA, ROW()-1)
   )
   /SUM(INDEX(AA:AA, ROW()-COUNTIF($F$6:INDEX($F:$F, ROW()-1), $F620)) : INDEX(AA:AA, ROW()-1)),
   AVERAGEIFS(
     INDEX((unit_details[Asking Rent],unit_details[Asking PSF]),0,1,IF($U$3="Chunk Rent",1,2)),
     unit_details[Leased Date],"&gt;="&amp;($AM$2-X$5),
     unit_details[Leased Date],"&lt;"&amp;$AM$2,
     unit_details[Beds],$L621,
     unit_details[Baths],$M621,
     unit_details[Partial Baths],IF(ISNUMBER($N621),$N621,""),
     unit_details[Sqft],$P621,
     unit_details[Property Name],$F621)
 ),"")</f>
        <v/>
      </c>
      <c r="Y621" s="552" t="str">
        <f>IFERROR(
 IF($F621="Total",
   SUMPRODUCT(
   INDEX(Y:Y, ROW()-COUNTIF($F$6:INDEX($F:$F, ROW()-1), $F620)) : INDEX(Y:Y, ROW()-1),
   INDEX(AA:AA, ROW()-COUNTIF($F$6:INDEX($F:$F, ROW()-1), $F620)) : INDEX(AA:AA, ROW()-1)
   )
   /SUM(INDEX(AA:AA, ROW()-COUNTIF($F$6:INDEX($F:$F, ROW()-1), $F620)) : INDEX(AA:AA, ROW()-1)),
   AVERAGEIFS(
     INDEX((unit_details[Effective Rent],unit_details[Effective PSF]),0,1,IF($U$3="Chunk Rent",1,2)),
     unit_details[Leased Date],"&gt;="&amp;($AM$2-X$5),
     unit_details[Leased Date],"&lt;"&amp;$AM$2,
     unit_details[Beds],$L621,
     unit_details[Baths],$M621,
     unit_details[Partial Baths],IF(ISNUMBER($N621),$N621,""),
     unit_details[Sqft],$P621,
     unit_details[Property Name],$F621)
 ),"")</f>
        <v/>
      </c>
      <c r="Z621" s="27" t="str">
        <f t="shared" si="110"/>
        <v/>
      </c>
      <c r="AA621" s="526">
        <f>IFERROR(
  IF($F621="Total",
    SUM(INDEX(AA:AA, ROW()-COUNTIF($F$6:INDEX($F:$F, ROW()-1), $F620)) : INDEX(AA:AA, ROW()-1)),
    COUNTIFS(
      unit_details[Leased Date], "&gt;="&amp;($AM$2-X$5),
      unit_details[Leased Date], "&lt;"&amp;$AM$2,
      unit_details[Beds], $L621,
      unit_details[Baths], $M621,
      unit_details[Partial Baths], IF(ISNUMBER($N621), $N621, ""),
      unit_details[Sqft],$P621,
      unit_details[Property Name], $F621
    )
  ),
"")</f>
        <v>0</v>
      </c>
      <c r="AB621" s="290">
        <f>IF($F621="Total",
SUM(INDEX(AB:AB, ROW()-COUNTIF($F$6:INDEX($F:$F, ROW()-1), $F620)) : INDEX(AB:AB, ROW()-1)),
COUNTIFS(unit_details[Active Listing?],TRUE,
          unit_details[Property Name], $F621,
          unit_details[Beds], $L621,
          unit_details[Baths], $M621,
          unit_details[Partial Baths],IF(ISNUMBER($N621),$N621,""),
          unit_details[Sqft],$P621))</f>
        <v>0</v>
      </c>
      <c r="AC621" s="27" t="str">
        <f t="shared" si="102"/>
        <v/>
      </c>
      <c r="AD621" s="293" t="str">
        <f>IFERROR(IF(AE621="","",IF($F621="Total",
SUMPRODUCT(
   INDEX(AD:AD, ROW()-COUNTIF($F$6:INDEX($F:$F, ROW()-1), $F620)) : INDEX(AD:AD, ROW()-1),
   INDEX(AB:AB, ROW()-COUNTIF($F$6:INDEX($F:$F, ROW()-1), $F620)) : INDEX(AB:AB, ROW()-1)
   )
   /SUM(INDEX(AB:AB, ROW()-COUNTIF($F$6:INDEX($F:$F, ROW()-1), $F620)) : INDEX(AB:AB, ROW()-1)),
          _xlfn.MINIFS(unit_details[Asking Rent],
          unit_details[Active Listing?],TRUE,
          unit_details[Property Name], $F621,
          unit_details[Beds], $L621,
          unit_details[Baths], $M621,
          unit_details[Partial Baths], IF(ISNUMBER($N621),$N621,""),
          unit_details[Sqft],$P621
))),"")</f>
        <v/>
      </c>
      <c r="AE621" s="5" t="str">
        <f>IFERROR(IF($F621="Total",
          SUMPRODUCT(
   INDEX(AE:AE, ROW()-COUNTIF($F$6:INDEX($F:$F, ROW()-1), $F620)) : INDEX(AE:AE, ROW()-1),
   INDEX(AB:AB, ROW()-COUNTIF($F$6:INDEX($F:$F, ROW()-1), $F620)) : INDEX(AB:AB, ROW()-1)
   )
   /SUM(INDEX(AB:AB, ROW()-COUNTIF($F$6:INDEX($F:$F, ROW()-1), $F620)) : INDEX(AB:AB, ROW()-1)),
          AVERAGEIFS(unit_details[Asking Rent],
          unit_details[Active Listing?],TRUE,
          unit_details[Property Name], $F621,
          unit_details[Beds], $L621,
          unit_details[Baths], $M621,
          unit_details[Partial Baths], IF(ISNUMBER($N621),$N621,""),
          unit_details[Sqft],$P621
)),"")</f>
        <v/>
      </c>
      <c r="AF621" s="5" t="str">
        <f>IFERROR(IF(AE621="","",IF($F621="Total",
SUMPRODUCT(
   INDEX(AF:AF, ROW()-COUNTIF($F$6:INDEX($F:$F, ROW()-1), $F620)) : INDEX(AF:AF, ROW()-1),
   INDEX(AB:AB, ROW()-COUNTIF($F$6:INDEX($F:$F, ROW()-1), $F620)) : INDEX(AB:AB, ROW()-1)
   )
   /SUM(INDEX(AB:AB, ROW()-COUNTIF($F$6:INDEX($F:$F, ROW()-1), $F620)) : INDEX(AB:AB, ROW()-1)),
           _xlfn.MAXIFS(unit_details[Asking Rent],
          unit_details[Active Listing?],TRUE,
          unit_details[Property Name], $F621,
          unit_details[Beds], $L621,
          unit_details[Baths], $M621,
          unit_details[Partial Baths], IF(ISNUMBER($N621),$N621,""),
          unit_details[Sqft],$P621
))),"")</f>
        <v/>
      </c>
      <c r="AG621" s="6" t="str">
        <f>IFERROR(IF($F621="Total",
         SUMPRODUCT(
         INDEX(AG:AG, ROW()-COUNTIF($F$6:INDEX($F:$F, ROW()-1), $F620)) : INDEX(AG:AG, ROW()-1),
         INDEX(AB:AB, ROW()-COUNTIF($F$6:INDEX($F:$F, ROW()-1), $F620)) : INDEX(AB:AB, ROW()-1)
         )
         /SUM(INDEX(AB:AB, ROW()-COUNTIF($F$6:INDEX($F:$F, ROW()-1), $F620)) : INDEX(AB:AB, ROW()-1)),
          AVERAGEIFS(unit_details[Asking PSF],
          unit_details[Active Listing?],TRUE,
          unit_details[Property Name], $F621,
          unit_details[Beds], $L621,
          unit_details[Baths], $M621,
          unit_details[Partial Baths], IF(ISNUMBER($N621),$N621,""),
          unit_details[Sqft],$P621
)),"")</f>
        <v/>
      </c>
      <c r="AH621" s="293" t="str">
        <f>IFERROR(IF($F621="Total",
         SUMPRODUCT(
         INDEX(AH:AH, ROW()-COUNTIF($F$6:INDEX($F:$F, ROW()-1), $F620)) : INDEX(AH:AH, ROW()-1),
         INDEX(AB:AB, ROW()-COUNTIF($F$6:INDEX($F:$F, ROW()-1), $F620)) : INDEX(AB:AB, ROW()-1)
         )
         /SUM(INDEX(AB:AB, ROW()-COUNTIF($F$6:INDEX($F:$F, ROW()-1), $F620)) : INDEX(AB:AB, ROW()-1)),
          AVERAGEIFS(unit_details[Effective Rent],
          unit_details[Active Listing?],TRUE,
          unit_details[Property Name], $F621,
          unit_details[Beds], $L621,
          unit_details[Baths], $M621,
          unit_details[Partial Baths], IF(ISNUMBER($N621),$N621,""),
          unit_details[Sqft],$P621
)),"")</f>
        <v/>
      </c>
      <c r="AI621" s="6" t="str">
        <f>IFERROR(IF($F621="Total",
         SUMPRODUCT(
         INDEX(AI:AI, ROW()-COUNTIF($F$6:INDEX($F:$F, ROW()-1), $F620)) : INDEX(AI:AI, ROW()-1),
         INDEX(AB:AB, ROW()-COUNTIF($F$6:INDEX($F:$F, ROW()-1), $F620)) : INDEX(AB:AB, ROW()-1)
         )
         /SUM(INDEX(AB:AB, ROW()-COUNTIF($F$6:INDEX($F:$F, ROW()-1), $F620)) : INDEX(AB:AB, ROW()-1)),
           AVERAGEIFS(unit_details[Effective PSF],
          unit_details[Active Listing?],TRUE,
          unit_details[Property Name], $F621,
          unit_details[Beds], $L621,
          unit_details[Baths], $M621,
          unit_details[Partial Baths], IF(ISNUMBER($N621),$N621,""),
          unit_details[Sqft],$P621
)),"")</f>
        <v/>
      </c>
      <c r="AJ621" s="824" t="str">
        <f t="shared" si="103"/>
        <v/>
      </c>
      <c r="AK621" s="531" t="str">
        <f t="shared" si="104"/>
        <v/>
      </c>
      <c r="AL621" s="714" t="str">
        <f t="shared" si="105"/>
        <v/>
      </c>
      <c r="AM621" s="531" t="str">
        <f t="shared" si="106"/>
        <v/>
      </c>
      <c r="AN621" s="716" t="str">
        <f t="shared" si="107"/>
        <v/>
      </c>
    </row>
    <row r="622" spans="6:40" x14ac:dyDescent="0.2">
      <c r="F622" s="1" t="str">
        <f t="shared" si="100"/>
        <v/>
      </c>
      <c r="G622" s="713" t="str">
        <f t="shared" si="108"/>
        <v/>
      </c>
      <c r="H622" s="17" t="str">
        <f>IFERROR(VLOOKUP($G622,Table1[[Property]:[Exposure %]],4,0),"")</f>
        <v/>
      </c>
      <c r="I622" s="3" t="str">
        <f>IFERROR(VLOOKUP($G622,Table1[[Property]:[Exposure %]],6,0),"")</f>
        <v/>
      </c>
      <c r="J622" s="3" t="str">
        <f>IFERROR(VLOOKUP($G622,Table1[[Property]:[Exposure %]],7,0),"")</f>
        <v/>
      </c>
      <c r="R622" s="4" t="str">
        <f>IFERROR(VLOOKUP(IF(F622="Total",F621,F622),Table1[[Property]:['# Units]],7,0)*S622,"")</f>
        <v/>
      </c>
      <c r="S622" s="27" t="str">
        <f t="shared" si="101"/>
        <v/>
      </c>
      <c r="T622" s="531" t="str">
        <f>IFERROR(
 IF($F622="Total",
   SUMPRODUCT(
   INDEX(T:T, ROW()-COUNTIF($F$6:INDEX($F:$F, ROW()-1), $F621)) : INDEX(T:T, ROW()-1),
   INDEX(W:W, ROW()-COUNTIF($F$6:INDEX($F:$F, ROW()-1), $F621)) : INDEX(W:W, ROW()-1)
   )
   /SUM(INDEX(W:W, ROW()-COUNTIF($F$6:INDEX($F:$F, ROW()-1), $F621)) : INDEX(W:W, ROW()-1)),
   AVERAGEIFS(
     INDEX((unit_details[Asking Rent],unit_details[Asking PSF]),0,1,IF($U$3="Chunk Rent",1,2)),
     unit_details[Leased Date],"&gt;="&amp;($AM$2-T$5),
     unit_details[Leased Date],"&lt;"&amp;$AM$2,
     unit_details[Beds],$L622,
     unit_details[Baths],$M622,
     unit_details[Partial Baths],IF(ISNUMBER($N622),$N622,""),
     unit_details[Sqft],$P622,
     unit_details[Property Name],$F622)
 ),"")</f>
        <v/>
      </c>
      <c r="U622" s="552" t="str">
        <f>IFERROR(
 IF($F622="Total",
   SUMPRODUCT(
   INDEX(U:U, ROW()-COUNTIF($F$6:INDEX($F:$F, ROW()-1), $F621)) : INDEX(U:U, ROW()-1),
   INDEX(W:W, ROW()-COUNTIF($F$6:INDEX($F:$F, ROW()-1), $F621)) : INDEX(W:W, ROW()-1)
   )
   /SUM(INDEX(W:W, ROW()-COUNTIF($F$6:INDEX($F:$F, ROW()-1), $F621)) : INDEX(W:W, ROW()-1)),
   AVERAGEIFS(
     INDEX((unit_details[Effective Rent],unit_details[Effective PSF]),0,1,IF($U$3="Chunk Rent",1,2)),
     unit_details[Leased Date],"&gt;="&amp;($AM$2-T$5),
     unit_details[Leased Date],"&lt;"&amp;$AM$2,
     unit_details[Beds],$L622,
     unit_details[Baths],$M622,
     unit_details[Partial Baths],IF(ISNUMBER($N622),$N622,""),
     unit_details[Sqft],$P622,
     unit_details[Property Name],$F622)
 ),"")</f>
        <v/>
      </c>
      <c r="V622" s="27" t="str">
        <f t="shared" si="109"/>
        <v/>
      </c>
      <c r="W622" s="526">
        <f>IFERROR(
  IF($F622="Total",
    SUM(INDEX(W:W, ROW()-COUNTIF($F$6:INDEX($F:$F, ROW()-1), $F621)) : INDEX(W:W, ROW()-1)),
    COUNTIFS(
      unit_details[Leased Date], "&gt;="&amp;($AM$2-T$5),
      unit_details[Leased Date], "&lt;"&amp;$AM$2,
      unit_details[Beds], $L622,
      unit_details[Baths], $M622,
      unit_details[Partial Baths], IF(ISNUMBER($N622), $N622, ""),
      unit_details[Sqft],$P622,
      unit_details[Property Name], $F622
    )
  ),
"")</f>
        <v>0</v>
      </c>
      <c r="X622" s="531" t="str">
        <f>IFERROR(
 IF($F622="Total",
   SUMPRODUCT(
   INDEX(X:X, ROW()-COUNTIF($F$6:INDEX($F:$F, ROW()-1), $F621)) : INDEX(X:X, ROW()-1),
   INDEX(AA:AA, ROW()-COUNTIF($F$6:INDEX($F:$F, ROW()-1), $F621)) : INDEX(AA:AA, ROW()-1)
   )
   /SUM(INDEX(AA:AA, ROW()-COUNTIF($F$6:INDEX($F:$F, ROW()-1), $F621)) : INDEX(AA:AA, ROW()-1)),
   AVERAGEIFS(
     INDEX((unit_details[Asking Rent],unit_details[Asking PSF]),0,1,IF($U$3="Chunk Rent",1,2)),
     unit_details[Leased Date],"&gt;="&amp;($AM$2-X$5),
     unit_details[Leased Date],"&lt;"&amp;$AM$2,
     unit_details[Beds],$L622,
     unit_details[Baths],$M622,
     unit_details[Partial Baths],IF(ISNUMBER($N622),$N622,""),
     unit_details[Sqft],$P622,
     unit_details[Property Name],$F622)
 ),"")</f>
        <v/>
      </c>
      <c r="Y622" s="552" t="str">
        <f>IFERROR(
 IF($F622="Total",
   SUMPRODUCT(
   INDEX(Y:Y, ROW()-COUNTIF($F$6:INDEX($F:$F, ROW()-1), $F621)) : INDEX(Y:Y, ROW()-1),
   INDEX(AA:AA, ROW()-COUNTIF($F$6:INDEX($F:$F, ROW()-1), $F621)) : INDEX(AA:AA, ROW()-1)
   )
   /SUM(INDEX(AA:AA, ROW()-COUNTIF($F$6:INDEX($F:$F, ROW()-1), $F621)) : INDEX(AA:AA, ROW()-1)),
   AVERAGEIFS(
     INDEX((unit_details[Effective Rent],unit_details[Effective PSF]),0,1,IF($U$3="Chunk Rent",1,2)),
     unit_details[Leased Date],"&gt;="&amp;($AM$2-X$5),
     unit_details[Leased Date],"&lt;"&amp;$AM$2,
     unit_details[Beds],$L622,
     unit_details[Baths],$M622,
     unit_details[Partial Baths],IF(ISNUMBER($N622),$N622,""),
     unit_details[Sqft],$P622,
     unit_details[Property Name],$F622)
 ),"")</f>
        <v/>
      </c>
      <c r="Z622" s="27" t="str">
        <f t="shared" si="110"/>
        <v/>
      </c>
      <c r="AA622" s="526">
        <f>IFERROR(
  IF($F622="Total",
    SUM(INDEX(AA:AA, ROW()-COUNTIF($F$6:INDEX($F:$F, ROW()-1), $F621)) : INDEX(AA:AA, ROW()-1)),
    COUNTIFS(
      unit_details[Leased Date], "&gt;="&amp;($AM$2-X$5),
      unit_details[Leased Date], "&lt;"&amp;$AM$2,
      unit_details[Beds], $L622,
      unit_details[Baths], $M622,
      unit_details[Partial Baths], IF(ISNUMBER($N622), $N622, ""),
      unit_details[Sqft],$P622,
      unit_details[Property Name], $F622
    )
  ),
"")</f>
        <v>0</v>
      </c>
      <c r="AB622" s="290">
        <f>IF($F622="Total",
SUM(INDEX(AB:AB, ROW()-COUNTIF($F$6:INDEX($F:$F, ROW()-1), $F621)) : INDEX(AB:AB, ROW()-1)),
COUNTIFS(unit_details[Active Listing?],TRUE,
          unit_details[Property Name], $F622,
          unit_details[Beds], $L622,
          unit_details[Baths], $M622,
          unit_details[Partial Baths],IF(ISNUMBER($N622),$N622,""),
          unit_details[Sqft],$P622))</f>
        <v>0</v>
      </c>
      <c r="AC622" s="27" t="str">
        <f t="shared" si="102"/>
        <v/>
      </c>
      <c r="AD622" s="293" t="str">
        <f>IFERROR(IF(AE622="","",IF($F622="Total",
SUMPRODUCT(
   INDEX(AD:AD, ROW()-COUNTIF($F$6:INDEX($F:$F, ROW()-1), $F621)) : INDEX(AD:AD, ROW()-1),
   INDEX(AB:AB, ROW()-COUNTIF($F$6:INDEX($F:$F, ROW()-1), $F621)) : INDEX(AB:AB, ROW()-1)
   )
   /SUM(INDEX(AB:AB, ROW()-COUNTIF($F$6:INDEX($F:$F, ROW()-1), $F621)) : INDEX(AB:AB, ROW()-1)),
          _xlfn.MINIFS(unit_details[Asking Rent],
          unit_details[Active Listing?],TRUE,
          unit_details[Property Name], $F622,
          unit_details[Beds], $L622,
          unit_details[Baths], $M622,
          unit_details[Partial Baths], IF(ISNUMBER($N622),$N622,""),
          unit_details[Sqft],$P622
))),"")</f>
        <v/>
      </c>
      <c r="AE622" s="5" t="str">
        <f>IFERROR(IF($F622="Total",
          SUMPRODUCT(
   INDEX(AE:AE, ROW()-COUNTIF($F$6:INDEX($F:$F, ROW()-1), $F621)) : INDEX(AE:AE, ROW()-1),
   INDEX(AB:AB, ROW()-COUNTIF($F$6:INDEX($F:$F, ROW()-1), $F621)) : INDEX(AB:AB, ROW()-1)
   )
   /SUM(INDEX(AB:AB, ROW()-COUNTIF($F$6:INDEX($F:$F, ROW()-1), $F621)) : INDEX(AB:AB, ROW()-1)),
          AVERAGEIFS(unit_details[Asking Rent],
          unit_details[Active Listing?],TRUE,
          unit_details[Property Name], $F622,
          unit_details[Beds], $L622,
          unit_details[Baths], $M622,
          unit_details[Partial Baths], IF(ISNUMBER($N622),$N622,""),
          unit_details[Sqft],$P622
)),"")</f>
        <v/>
      </c>
      <c r="AF622" s="5" t="str">
        <f>IFERROR(IF(AE622="","",IF($F622="Total",
SUMPRODUCT(
   INDEX(AF:AF, ROW()-COUNTIF($F$6:INDEX($F:$F, ROW()-1), $F621)) : INDEX(AF:AF, ROW()-1),
   INDEX(AB:AB, ROW()-COUNTIF($F$6:INDEX($F:$F, ROW()-1), $F621)) : INDEX(AB:AB, ROW()-1)
   )
   /SUM(INDEX(AB:AB, ROW()-COUNTIF($F$6:INDEX($F:$F, ROW()-1), $F621)) : INDEX(AB:AB, ROW()-1)),
           _xlfn.MAXIFS(unit_details[Asking Rent],
          unit_details[Active Listing?],TRUE,
          unit_details[Property Name], $F622,
          unit_details[Beds], $L622,
          unit_details[Baths], $M622,
          unit_details[Partial Baths], IF(ISNUMBER($N622),$N622,""),
          unit_details[Sqft],$P622
))),"")</f>
        <v/>
      </c>
      <c r="AG622" s="6" t="str">
        <f>IFERROR(IF($F622="Total",
         SUMPRODUCT(
         INDEX(AG:AG, ROW()-COUNTIF($F$6:INDEX($F:$F, ROW()-1), $F621)) : INDEX(AG:AG, ROW()-1),
         INDEX(AB:AB, ROW()-COUNTIF($F$6:INDEX($F:$F, ROW()-1), $F621)) : INDEX(AB:AB, ROW()-1)
         )
         /SUM(INDEX(AB:AB, ROW()-COUNTIF($F$6:INDEX($F:$F, ROW()-1), $F621)) : INDEX(AB:AB, ROW()-1)),
          AVERAGEIFS(unit_details[Asking PSF],
          unit_details[Active Listing?],TRUE,
          unit_details[Property Name], $F622,
          unit_details[Beds], $L622,
          unit_details[Baths], $M622,
          unit_details[Partial Baths], IF(ISNUMBER($N622),$N622,""),
          unit_details[Sqft],$P622
)),"")</f>
        <v/>
      </c>
      <c r="AH622" s="293" t="str">
        <f>IFERROR(IF($F622="Total",
         SUMPRODUCT(
         INDEX(AH:AH, ROW()-COUNTIF($F$6:INDEX($F:$F, ROW()-1), $F621)) : INDEX(AH:AH, ROW()-1),
         INDEX(AB:AB, ROW()-COUNTIF($F$6:INDEX($F:$F, ROW()-1), $F621)) : INDEX(AB:AB, ROW()-1)
         )
         /SUM(INDEX(AB:AB, ROW()-COUNTIF($F$6:INDEX($F:$F, ROW()-1), $F621)) : INDEX(AB:AB, ROW()-1)),
          AVERAGEIFS(unit_details[Effective Rent],
          unit_details[Active Listing?],TRUE,
          unit_details[Property Name], $F622,
          unit_details[Beds], $L622,
          unit_details[Baths], $M622,
          unit_details[Partial Baths], IF(ISNUMBER($N622),$N622,""),
          unit_details[Sqft],$P622
)),"")</f>
        <v/>
      </c>
      <c r="AI622" s="6" t="str">
        <f>IFERROR(IF($F622="Total",
         SUMPRODUCT(
         INDEX(AI:AI, ROW()-COUNTIF($F$6:INDEX($F:$F, ROW()-1), $F621)) : INDEX(AI:AI, ROW()-1),
         INDEX(AB:AB, ROW()-COUNTIF($F$6:INDEX($F:$F, ROW()-1), $F621)) : INDEX(AB:AB, ROW()-1)
         )
         /SUM(INDEX(AB:AB, ROW()-COUNTIF($F$6:INDEX($F:$F, ROW()-1), $F621)) : INDEX(AB:AB, ROW()-1)),
           AVERAGEIFS(unit_details[Effective PSF],
          unit_details[Active Listing?],TRUE,
          unit_details[Property Name], $F622,
          unit_details[Beds], $L622,
          unit_details[Baths], $M622,
          unit_details[Partial Baths], IF(ISNUMBER($N622),$N622,""),
          unit_details[Sqft],$P622
)),"")</f>
        <v/>
      </c>
      <c r="AJ622" s="824" t="str">
        <f t="shared" si="103"/>
        <v/>
      </c>
      <c r="AK622" s="531" t="str">
        <f t="shared" si="104"/>
        <v/>
      </c>
      <c r="AL622" s="714" t="str">
        <f t="shared" si="105"/>
        <v/>
      </c>
      <c r="AM622" s="531" t="str">
        <f t="shared" si="106"/>
        <v/>
      </c>
      <c r="AN622" s="716" t="str">
        <f t="shared" si="107"/>
        <v/>
      </c>
    </row>
    <row r="623" spans="6:40" x14ac:dyDescent="0.2">
      <c r="F623" s="1" t="str">
        <f t="shared" si="100"/>
        <v/>
      </c>
      <c r="G623" s="713" t="str">
        <f t="shared" si="108"/>
        <v/>
      </c>
      <c r="H623" s="17" t="str">
        <f>IFERROR(VLOOKUP($G623,Table1[[Property]:[Exposure %]],4,0),"")</f>
        <v/>
      </c>
      <c r="I623" s="3" t="str">
        <f>IFERROR(VLOOKUP($G623,Table1[[Property]:[Exposure %]],6,0),"")</f>
        <v/>
      </c>
      <c r="J623" s="3" t="str">
        <f>IFERROR(VLOOKUP($G623,Table1[[Property]:[Exposure %]],7,0),"")</f>
        <v/>
      </c>
      <c r="R623" s="4" t="str">
        <f>IFERROR(VLOOKUP(IF(F623="Total",F622,F623),Table1[[Property]:['# Units]],7,0)*S623,"")</f>
        <v/>
      </c>
      <c r="S623" s="27" t="str">
        <f t="shared" si="101"/>
        <v/>
      </c>
      <c r="T623" s="531" t="str">
        <f>IFERROR(
 IF($F623="Total",
   SUMPRODUCT(
   INDEX(T:T, ROW()-COUNTIF($F$6:INDEX($F:$F, ROW()-1), $F622)) : INDEX(T:T, ROW()-1),
   INDEX(W:W, ROW()-COUNTIF($F$6:INDEX($F:$F, ROW()-1), $F622)) : INDEX(W:W, ROW()-1)
   )
   /SUM(INDEX(W:W, ROW()-COUNTIF($F$6:INDEX($F:$F, ROW()-1), $F622)) : INDEX(W:W, ROW()-1)),
   AVERAGEIFS(
     INDEX((unit_details[Asking Rent],unit_details[Asking PSF]),0,1,IF($U$3="Chunk Rent",1,2)),
     unit_details[Leased Date],"&gt;="&amp;($AM$2-T$5),
     unit_details[Leased Date],"&lt;"&amp;$AM$2,
     unit_details[Beds],$L623,
     unit_details[Baths],$M623,
     unit_details[Partial Baths],IF(ISNUMBER($N623),$N623,""),
     unit_details[Sqft],$P623,
     unit_details[Property Name],$F623)
 ),"")</f>
        <v/>
      </c>
      <c r="U623" s="552" t="str">
        <f>IFERROR(
 IF($F623="Total",
   SUMPRODUCT(
   INDEX(U:U, ROW()-COUNTIF($F$6:INDEX($F:$F, ROW()-1), $F622)) : INDEX(U:U, ROW()-1),
   INDEX(W:W, ROW()-COUNTIF($F$6:INDEX($F:$F, ROW()-1), $F622)) : INDEX(W:W, ROW()-1)
   )
   /SUM(INDEX(W:W, ROW()-COUNTIF($F$6:INDEX($F:$F, ROW()-1), $F622)) : INDEX(W:W, ROW()-1)),
   AVERAGEIFS(
     INDEX((unit_details[Effective Rent],unit_details[Effective PSF]),0,1,IF($U$3="Chunk Rent",1,2)),
     unit_details[Leased Date],"&gt;="&amp;($AM$2-T$5),
     unit_details[Leased Date],"&lt;"&amp;$AM$2,
     unit_details[Beds],$L623,
     unit_details[Baths],$M623,
     unit_details[Partial Baths],IF(ISNUMBER($N623),$N623,""),
     unit_details[Sqft],$P623,
     unit_details[Property Name],$F623)
 ),"")</f>
        <v/>
      </c>
      <c r="V623" s="27" t="str">
        <f t="shared" si="109"/>
        <v/>
      </c>
      <c r="W623" s="526">
        <f>IFERROR(
  IF($F623="Total",
    SUM(INDEX(W:W, ROW()-COUNTIF($F$6:INDEX($F:$F, ROW()-1), $F622)) : INDEX(W:W, ROW()-1)),
    COUNTIFS(
      unit_details[Leased Date], "&gt;="&amp;($AM$2-T$5),
      unit_details[Leased Date], "&lt;"&amp;$AM$2,
      unit_details[Beds], $L623,
      unit_details[Baths], $M623,
      unit_details[Partial Baths], IF(ISNUMBER($N623), $N623, ""),
      unit_details[Sqft],$P623,
      unit_details[Property Name], $F623
    )
  ),
"")</f>
        <v>0</v>
      </c>
      <c r="X623" s="531" t="str">
        <f>IFERROR(
 IF($F623="Total",
   SUMPRODUCT(
   INDEX(X:X, ROW()-COUNTIF($F$6:INDEX($F:$F, ROW()-1), $F622)) : INDEX(X:X, ROW()-1),
   INDEX(AA:AA, ROW()-COUNTIF($F$6:INDEX($F:$F, ROW()-1), $F622)) : INDEX(AA:AA, ROW()-1)
   )
   /SUM(INDEX(AA:AA, ROW()-COUNTIF($F$6:INDEX($F:$F, ROW()-1), $F622)) : INDEX(AA:AA, ROW()-1)),
   AVERAGEIFS(
     INDEX((unit_details[Asking Rent],unit_details[Asking PSF]),0,1,IF($U$3="Chunk Rent",1,2)),
     unit_details[Leased Date],"&gt;="&amp;($AM$2-X$5),
     unit_details[Leased Date],"&lt;"&amp;$AM$2,
     unit_details[Beds],$L623,
     unit_details[Baths],$M623,
     unit_details[Partial Baths],IF(ISNUMBER($N623),$N623,""),
     unit_details[Sqft],$P623,
     unit_details[Property Name],$F623)
 ),"")</f>
        <v/>
      </c>
      <c r="Y623" s="552" t="str">
        <f>IFERROR(
 IF($F623="Total",
   SUMPRODUCT(
   INDEX(Y:Y, ROW()-COUNTIF($F$6:INDEX($F:$F, ROW()-1), $F622)) : INDEX(Y:Y, ROW()-1),
   INDEX(AA:AA, ROW()-COUNTIF($F$6:INDEX($F:$F, ROW()-1), $F622)) : INDEX(AA:AA, ROW()-1)
   )
   /SUM(INDEX(AA:AA, ROW()-COUNTIF($F$6:INDEX($F:$F, ROW()-1), $F622)) : INDEX(AA:AA, ROW()-1)),
   AVERAGEIFS(
     INDEX((unit_details[Effective Rent],unit_details[Effective PSF]),0,1,IF($U$3="Chunk Rent",1,2)),
     unit_details[Leased Date],"&gt;="&amp;($AM$2-X$5),
     unit_details[Leased Date],"&lt;"&amp;$AM$2,
     unit_details[Beds],$L623,
     unit_details[Baths],$M623,
     unit_details[Partial Baths],IF(ISNUMBER($N623),$N623,""),
     unit_details[Sqft],$P623,
     unit_details[Property Name],$F623)
 ),"")</f>
        <v/>
      </c>
      <c r="Z623" s="27" t="str">
        <f t="shared" si="110"/>
        <v/>
      </c>
      <c r="AA623" s="526">
        <f>IFERROR(
  IF($F623="Total",
    SUM(INDEX(AA:AA, ROW()-COUNTIF($F$6:INDEX($F:$F, ROW()-1), $F622)) : INDEX(AA:AA, ROW()-1)),
    COUNTIFS(
      unit_details[Leased Date], "&gt;="&amp;($AM$2-X$5),
      unit_details[Leased Date], "&lt;"&amp;$AM$2,
      unit_details[Beds], $L623,
      unit_details[Baths], $M623,
      unit_details[Partial Baths], IF(ISNUMBER($N623), $N623, ""),
      unit_details[Sqft],$P623,
      unit_details[Property Name], $F623
    )
  ),
"")</f>
        <v>0</v>
      </c>
      <c r="AB623" s="290">
        <f>IF($F623="Total",
SUM(INDEX(AB:AB, ROW()-COUNTIF($F$6:INDEX($F:$F, ROW()-1), $F622)) : INDEX(AB:AB, ROW()-1)),
COUNTIFS(unit_details[Active Listing?],TRUE,
          unit_details[Property Name], $F623,
          unit_details[Beds], $L623,
          unit_details[Baths], $M623,
          unit_details[Partial Baths],IF(ISNUMBER($N623),$N623,""),
          unit_details[Sqft],$P623))</f>
        <v>0</v>
      </c>
      <c r="AC623" s="27" t="str">
        <f t="shared" si="102"/>
        <v/>
      </c>
      <c r="AD623" s="293" t="str">
        <f>IFERROR(IF(AE623="","",IF($F623="Total",
SUMPRODUCT(
   INDEX(AD:AD, ROW()-COUNTIF($F$6:INDEX($F:$F, ROW()-1), $F622)) : INDEX(AD:AD, ROW()-1),
   INDEX(AB:AB, ROW()-COUNTIF($F$6:INDEX($F:$F, ROW()-1), $F622)) : INDEX(AB:AB, ROW()-1)
   )
   /SUM(INDEX(AB:AB, ROW()-COUNTIF($F$6:INDEX($F:$F, ROW()-1), $F622)) : INDEX(AB:AB, ROW()-1)),
          _xlfn.MINIFS(unit_details[Asking Rent],
          unit_details[Active Listing?],TRUE,
          unit_details[Property Name], $F623,
          unit_details[Beds], $L623,
          unit_details[Baths], $M623,
          unit_details[Partial Baths], IF(ISNUMBER($N623),$N623,""),
          unit_details[Sqft],$P623
))),"")</f>
        <v/>
      </c>
      <c r="AE623" s="5" t="str">
        <f>IFERROR(IF($F623="Total",
          SUMPRODUCT(
   INDEX(AE:AE, ROW()-COUNTIF($F$6:INDEX($F:$F, ROW()-1), $F622)) : INDEX(AE:AE, ROW()-1),
   INDEX(AB:AB, ROW()-COUNTIF($F$6:INDEX($F:$F, ROW()-1), $F622)) : INDEX(AB:AB, ROW()-1)
   )
   /SUM(INDEX(AB:AB, ROW()-COUNTIF($F$6:INDEX($F:$F, ROW()-1), $F622)) : INDEX(AB:AB, ROW()-1)),
          AVERAGEIFS(unit_details[Asking Rent],
          unit_details[Active Listing?],TRUE,
          unit_details[Property Name], $F623,
          unit_details[Beds], $L623,
          unit_details[Baths], $M623,
          unit_details[Partial Baths], IF(ISNUMBER($N623),$N623,""),
          unit_details[Sqft],$P623
)),"")</f>
        <v/>
      </c>
      <c r="AF623" s="5" t="str">
        <f>IFERROR(IF(AE623="","",IF($F623="Total",
SUMPRODUCT(
   INDEX(AF:AF, ROW()-COUNTIF($F$6:INDEX($F:$F, ROW()-1), $F622)) : INDEX(AF:AF, ROW()-1),
   INDEX(AB:AB, ROW()-COUNTIF($F$6:INDEX($F:$F, ROW()-1), $F622)) : INDEX(AB:AB, ROW()-1)
   )
   /SUM(INDEX(AB:AB, ROW()-COUNTIF($F$6:INDEX($F:$F, ROW()-1), $F622)) : INDEX(AB:AB, ROW()-1)),
           _xlfn.MAXIFS(unit_details[Asking Rent],
          unit_details[Active Listing?],TRUE,
          unit_details[Property Name], $F623,
          unit_details[Beds], $L623,
          unit_details[Baths], $M623,
          unit_details[Partial Baths], IF(ISNUMBER($N623),$N623,""),
          unit_details[Sqft],$P623
))),"")</f>
        <v/>
      </c>
      <c r="AG623" s="6" t="str">
        <f>IFERROR(IF($F623="Total",
         SUMPRODUCT(
         INDEX(AG:AG, ROW()-COUNTIF($F$6:INDEX($F:$F, ROW()-1), $F622)) : INDEX(AG:AG, ROW()-1),
         INDEX(AB:AB, ROW()-COUNTIF($F$6:INDEX($F:$F, ROW()-1), $F622)) : INDEX(AB:AB, ROW()-1)
         )
         /SUM(INDEX(AB:AB, ROW()-COUNTIF($F$6:INDEX($F:$F, ROW()-1), $F622)) : INDEX(AB:AB, ROW()-1)),
          AVERAGEIFS(unit_details[Asking PSF],
          unit_details[Active Listing?],TRUE,
          unit_details[Property Name], $F623,
          unit_details[Beds], $L623,
          unit_details[Baths], $M623,
          unit_details[Partial Baths], IF(ISNUMBER($N623),$N623,""),
          unit_details[Sqft],$P623
)),"")</f>
        <v/>
      </c>
      <c r="AH623" s="293" t="str">
        <f>IFERROR(IF($F623="Total",
         SUMPRODUCT(
         INDEX(AH:AH, ROW()-COUNTIF($F$6:INDEX($F:$F, ROW()-1), $F622)) : INDEX(AH:AH, ROW()-1),
         INDEX(AB:AB, ROW()-COUNTIF($F$6:INDEX($F:$F, ROW()-1), $F622)) : INDEX(AB:AB, ROW()-1)
         )
         /SUM(INDEX(AB:AB, ROW()-COUNTIF($F$6:INDEX($F:$F, ROW()-1), $F622)) : INDEX(AB:AB, ROW()-1)),
          AVERAGEIFS(unit_details[Effective Rent],
          unit_details[Active Listing?],TRUE,
          unit_details[Property Name], $F623,
          unit_details[Beds], $L623,
          unit_details[Baths], $M623,
          unit_details[Partial Baths], IF(ISNUMBER($N623),$N623,""),
          unit_details[Sqft],$P623
)),"")</f>
        <v/>
      </c>
      <c r="AI623" s="6" t="str">
        <f>IFERROR(IF($F623="Total",
         SUMPRODUCT(
         INDEX(AI:AI, ROW()-COUNTIF($F$6:INDEX($F:$F, ROW()-1), $F622)) : INDEX(AI:AI, ROW()-1),
         INDEX(AB:AB, ROW()-COUNTIF($F$6:INDEX($F:$F, ROW()-1), $F622)) : INDEX(AB:AB, ROW()-1)
         )
         /SUM(INDEX(AB:AB, ROW()-COUNTIF($F$6:INDEX($F:$F, ROW()-1), $F622)) : INDEX(AB:AB, ROW()-1)),
           AVERAGEIFS(unit_details[Effective PSF],
          unit_details[Active Listing?],TRUE,
          unit_details[Property Name], $F623,
          unit_details[Beds], $L623,
          unit_details[Baths], $M623,
          unit_details[Partial Baths], IF(ISNUMBER($N623),$N623,""),
          unit_details[Sqft],$P623
)),"")</f>
        <v/>
      </c>
      <c r="AJ623" s="824" t="str">
        <f t="shared" si="103"/>
        <v/>
      </c>
      <c r="AK623" s="531" t="str">
        <f t="shared" si="104"/>
        <v/>
      </c>
      <c r="AL623" s="714" t="str">
        <f t="shared" si="105"/>
        <v/>
      </c>
      <c r="AM623" s="531" t="str">
        <f t="shared" si="106"/>
        <v/>
      </c>
      <c r="AN623" s="716" t="str">
        <f t="shared" si="107"/>
        <v/>
      </c>
    </row>
    <row r="624" spans="6:40" x14ac:dyDescent="0.2">
      <c r="F624" s="1" t="str">
        <f t="shared" si="100"/>
        <v/>
      </c>
      <c r="G624" s="713" t="str">
        <f t="shared" si="108"/>
        <v/>
      </c>
      <c r="H624" s="17" t="str">
        <f>IFERROR(VLOOKUP($G624,Table1[[Property]:[Exposure %]],4,0),"")</f>
        <v/>
      </c>
      <c r="I624" s="3" t="str">
        <f>IFERROR(VLOOKUP($G624,Table1[[Property]:[Exposure %]],6,0),"")</f>
        <v/>
      </c>
      <c r="J624" s="3" t="str">
        <f>IFERROR(VLOOKUP($G624,Table1[[Property]:[Exposure %]],7,0),"")</f>
        <v/>
      </c>
      <c r="R624" s="4" t="str">
        <f>IFERROR(VLOOKUP(IF(F624="Total",F623,F624),Table1[[Property]:['# Units]],7,0)*S624,"")</f>
        <v/>
      </c>
      <c r="S624" s="27" t="str">
        <f t="shared" si="101"/>
        <v/>
      </c>
      <c r="T624" s="531" t="str">
        <f>IFERROR(
 IF($F624="Total",
   SUMPRODUCT(
   INDEX(T:T, ROW()-COUNTIF($F$6:INDEX($F:$F, ROW()-1), $F623)) : INDEX(T:T, ROW()-1),
   INDEX(W:W, ROW()-COUNTIF($F$6:INDEX($F:$F, ROW()-1), $F623)) : INDEX(W:W, ROW()-1)
   )
   /SUM(INDEX(W:W, ROW()-COUNTIF($F$6:INDEX($F:$F, ROW()-1), $F623)) : INDEX(W:W, ROW()-1)),
   AVERAGEIFS(
     INDEX((unit_details[Asking Rent],unit_details[Asking PSF]),0,1,IF($U$3="Chunk Rent",1,2)),
     unit_details[Leased Date],"&gt;="&amp;($AM$2-T$5),
     unit_details[Leased Date],"&lt;"&amp;$AM$2,
     unit_details[Beds],$L624,
     unit_details[Baths],$M624,
     unit_details[Partial Baths],IF(ISNUMBER($N624),$N624,""),
     unit_details[Sqft],$P624,
     unit_details[Property Name],$F624)
 ),"")</f>
        <v/>
      </c>
      <c r="U624" s="552" t="str">
        <f>IFERROR(
 IF($F624="Total",
   SUMPRODUCT(
   INDEX(U:U, ROW()-COUNTIF($F$6:INDEX($F:$F, ROW()-1), $F623)) : INDEX(U:U, ROW()-1),
   INDEX(W:W, ROW()-COUNTIF($F$6:INDEX($F:$F, ROW()-1), $F623)) : INDEX(W:W, ROW()-1)
   )
   /SUM(INDEX(W:W, ROW()-COUNTIF($F$6:INDEX($F:$F, ROW()-1), $F623)) : INDEX(W:W, ROW()-1)),
   AVERAGEIFS(
     INDEX((unit_details[Effective Rent],unit_details[Effective PSF]),0,1,IF($U$3="Chunk Rent",1,2)),
     unit_details[Leased Date],"&gt;="&amp;($AM$2-T$5),
     unit_details[Leased Date],"&lt;"&amp;$AM$2,
     unit_details[Beds],$L624,
     unit_details[Baths],$M624,
     unit_details[Partial Baths],IF(ISNUMBER($N624),$N624,""),
     unit_details[Sqft],$P624,
     unit_details[Property Name],$F624)
 ),"")</f>
        <v/>
      </c>
      <c r="V624" s="27" t="str">
        <f t="shared" si="109"/>
        <v/>
      </c>
      <c r="W624" s="526">
        <f>IFERROR(
  IF($F624="Total",
    SUM(INDEX(W:W, ROW()-COUNTIF($F$6:INDEX($F:$F, ROW()-1), $F623)) : INDEX(W:W, ROW()-1)),
    COUNTIFS(
      unit_details[Leased Date], "&gt;="&amp;($AM$2-T$5),
      unit_details[Leased Date], "&lt;"&amp;$AM$2,
      unit_details[Beds], $L624,
      unit_details[Baths], $M624,
      unit_details[Partial Baths], IF(ISNUMBER($N624), $N624, ""),
      unit_details[Sqft],$P624,
      unit_details[Property Name], $F624
    )
  ),
"")</f>
        <v>0</v>
      </c>
      <c r="X624" s="531" t="str">
        <f>IFERROR(
 IF($F624="Total",
   SUMPRODUCT(
   INDEX(X:X, ROW()-COUNTIF($F$6:INDEX($F:$F, ROW()-1), $F623)) : INDEX(X:X, ROW()-1),
   INDEX(AA:AA, ROW()-COUNTIF($F$6:INDEX($F:$F, ROW()-1), $F623)) : INDEX(AA:AA, ROW()-1)
   )
   /SUM(INDEX(AA:AA, ROW()-COUNTIF($F$6:INDEX($F:$F, ROW()-1), $F623)) : INDEX(AA:AA, ROW()-1)),
   AVERAGEIFS(
     INDEX((unit_details[Asking Rent],unit_details[Asking PSF]),0,1,IF($U$3="Chunk Rent",1,2)),
     unit_details[Leased Date],"&gt;="&amp;($AM$2-X$5),
     unit_details[Leased Date],"&lt;"&amp;$AM$2,
     unit_details[Beds],$L624,
     unit_details[Baths],$M624,
     unit_details[Partial Baths],IF(ISNUMBER($N624),$N624,""),
     unit_details[Sqft],$P624,
     unit_details[Property Name],$F624)
 ),"")</f>
        <v/>
      </c>
      <c r="Y624" s="552" t="str">
        <f>IFERROR(
 IF($F624="Total",
   SUMPRODUCT(
   INDEX(Y:Y, ROW()-COUNTIF($F$6:INDEX($F:$F, ROW()-1), $F623)) : INDEX(Y:Y, ROW()-1),
   INDEX(AA:AA, ROW()-COUNTIF($F$6:INDEX($F:$F, ROW()-1), $F623)) : INDEX(AA:AA, ROW()-1)
   )
   /SUM(INDEX(AA:AA, ROW()-COUNTIF($F$6:INDEX($F:$F, ROW()-1), $F623)) : INDEX(AA:AA, ROW()-1)),
   AVERAGEIFS(
     INDEX((unit_details[Effective Rent],unit_details[Effective PSF]),0,1,IF($U$3="Chunk Rent",1,2)),
     unit_details[Leased Date],"&gt;="&amp;($AM$2-X$5),
     unit_details[Leased Date],"&lt;"&amp;$AM$2,
     unit_details[Beds],$L624,
     unit_details[Baths],$M624,
     unit_details[Partial Baths],IF(ISNUMBER($N624),$N624,""),
     unit_details[Sqft],$P624,
     unit_details[Property Name],$F624)
 ),"")</f>
        <v/>
      </c>
      <c r="Z624" s="27" t="str">
        <f t="shared" si="110"/>
        <v/>
      </c>
      <c r="AA624" s="526">
        <f>IFERROR(
  IF($F624="Total",
    SUM(INDEX(AA:AA, ROW()-COUNTIF($F$6:INDEX($F:$F, ROW()-1), $F623)) : INDEX(AA:AA, ROW()-1)),
    COUNTIFS(
      unit_details[Leased Date], "&gt;="&amp;($AM$2-X$5),
      unit_details[Leased Date], "&lt;"&amp;$AM$2,
      unit_details[Beds], $L624,
      unit_details[Baths], $M624,
      unit_details[Partial Baths], IF(ISNUMBER($N624), $N624, ""),
      unit_details[Sqft],$P624,
      unit_details[Property Name], $F624
    )
  ),
"")</f>
        <v>0</v>
      </c>
      <c r="AB624" s="290">
        <f>IF($F624="Total",
SUM(INDEX(AB:AB, ROW()-COUNTIF($F$6:INDEX($F:$F, ROW()-1), $F623)) : INDEX(AB:AB, ROW()-1)),
COUNTIFS(unit_details[Active Listing?],TRUE,
          unit_details[Property Name], $F624,
          unit_details[Beds], $L624,
          unit_details[Baths], $M624,
          unit_details[Partial Baths],IF(ISNUMBER($N624),$N624,""),
          unit_details[Sqft],$P624))</f>
        <v>0</v>
      </c>
      <c r="AC624" s="27" t="str">
        <f t="shared" si="102"/>
        <v/>
      </c>
      <c r="AD624" s="293" t="str">
        <f>IFERROR(IF(AE624="","",IF($F624="Total",
SUMPRODUCT(
   INDEX(AD:AD, ROW()-COUNTIF($F$6:INDEX($F:$F, ROW()-1), $F623)) : INDEX(AD:AD, ROW()-1),
   INDEX(AB:AB, ROW()-COUNTIF($F$6:INDEX($F:$F, ROW()-1), $F623)) : INDEX(AB:AB, ROW()-1)
   )
   /SUM(INDEX(AB:AB, ROW()-COUNTIF($F$6:INDEX($F:$F, ROW()-1), $F623)) : INDEX(AB:AB, ROW()-1)),
          _xlfn.MINIFS(unit_details[Asking Rent],
          unit_details[Active Listing?],TRUE,
          unit_details[Property Name], $F624,
          unit_details[Beds], $L624,
          unit_details[Baths], $M624,
          unit_details[Partial Baths], IF(ISNUMBER($N624),$N624,""),
          unit_details[Sqft],$P624
))),"")</f>
        <v/>
      </c>
      <c r="AE624" s="5" t="str">
        <f>IFERROR(IF($F624="Total",
          SUMPRODUCT(
   INDEX(AE:AE, ROW()-COUNTIF($F$6:INDEX($F:$F, ROW()-1), $F623)) : INDEX(AE:AE, ROW()-1),
   INDEX(AB:AB, ROW()-COUNTIF($F$6:INDEX($F:$F, ROW()-1), $F623)) : INDEX(AB:AB, ROW()-1)
   )
   /SUM(INDEX(AB:AB, ROW()-COUNTIF($F$6:INDEX($F:$F, ROW()-1), $F623)) : INDEX(AB:AB, ROW()-1)),
          AVERAGEIFS(unit_details[Asking Rent],
          unit_details[Active Listing?],TRUE,
          unit_details[Property Name], $F624,
          unit_details[Beds], $L624,
          unit_details[Baths], $M624,
          unit_details[Partial Baths], IF(ISNUMBER($N624),$N624,""),
          unit_details[Sqft],$P624
)),"")</f>
        <v/>
      </c>
      <c r="AF624" s="5" t="str">
        <f>IFERROR(IF(AE624="","",IF($F624="Total",
SUMPRODUCT(
   INDEX(AF:AF, ROW()-COUNTIF($F$6:INDEX($F:$F, ROW()-1), $F623)) : INDEX(AF:AF, ROW()-1),
   INDEX(AB:AB, ROW()-COUNTIF($F$6:INDEX($F:$F, ROW()-1), $F623)) : INDEX(AB:AB, ROW()-1)
   )
   /SUM(INDEX(AB:AB, ROW()-COUNTIF($F$6:INDEX($F:$F, ROW()-1), $F623)) : INDEX(AB:AB, ROW()-1)),
           _xlfn.MAXIFS(unit_details[Asking Rent],
          unit_details[Active Listing?],TRUE,
          unit_details[Property Name], $F624,
          unit_details[Beds], $L624,
          unit_details[Baths], $M624,
          unit_details[Partial Baths], IF(ISNUMBER($N624),$N624,""),
          unit_details[Sqft],$P624
))),"")</f>
        <v/>
      </c>
      <c r="AG624" s="6" t="str">
        <f>IFERROR(IF($F624="Total",
         SUMPRODUCT(
         INDEX(AG:AG, ROW()-COUNTIF($F$6:INDEX($F:$F, ROW()-1), $F623)) : INDEX(AG:AG, ROW()-1),
         INDEX(AB:AB, ROW()-COUNTIF($F$6:INDEX($F:$F, ROW()-1), $F623)) : INDEX(AB:AB, ROW()-1)
         )
         /SUM(INDEX(AB:AB, ROW()-COUNTIF($F$6:INDEX($F:$F, ROW()-1), $F623)) : INDEX(AB:AB, ROW()-1)),
          AVERAGEIFS(unit_details[Asking PSF],
          unit_details[Active Listing?],TRUE,
          unit_details[Property Name], $F624,
          unit_details[Beds], $L624,
          unit_details[Baths], $M624,
          unit_details[Partial Baths], IF(ISNUMBER($N624),$N624,""),
          unit_details[Sqft],$P624
)),"")</f>
        <v/>
      </c>
      <c r="AH624" s="293" t="str">
        <f>IFERROR(IF($F624="Total",
         SUMPRODUCT(
         INDEX(AH:AH, ROW()-COUNTIF($F$6:INDEX($F:$F, ROW()-1), $F623)) : INDEX(AH:AH, ROW()-1),
         INDEX(AB:AB, ROW()-COUNTIF($F$6:INDEX($F:$F, ROW()-1), $F623)) : INDEX(AB:AB, ROW()-1)
         )
         /SUM(INDEX(AB:AB, ROW()-COUNTIF($F$6:INDEX($F:$F, ROW()-1), $F623)) : INDEX(AB:AB, ROW()-1)),
          AVERAGEIFS(unit_details[Effective Rent],
          unit_details[Active Listing?],TRUE,
          unit_details[Property Name], $F624,
          unit_details[Beds], $L624,
          unit_details[Baths], $M624,
          unit_details[Partial Baths], IF(ISNUMBER($N624),$N624,""),
          unit_details[Sqft],$P624
)),"")</f>
        <v/>
      </c>
      <c r="AI624" s="6" t="str">
        <f>IFERROR(IF($F624="Total",
         SUMPRODUCT(
         INDEX(AI:AI, ROW()-COUNTIF($F$6:INDEX($F:$F, ROW()-1), $F623)) : INDEX(AI:AI, ROW()-1),
         INDEX(AB:AB, ROW()-COUNTIF($F$6:INDEX($F:$F, ROW()-1), $F623)) : INDEX(AB:AB, ROW()-1)
         )
         /SUM(INDEX(AB:AB, ROW()-COUNTIF($F$6:INDEX($F:$F, ROW()-1), $F623)) : INDEX(AB:AB, ROW()-1)),
           AVERAGEIFS(unit_details[Effective PSF],
          unit_details[Active Listing?],TRUE,
          unit_details[Property Name], $F624,
          unit_details[Beds], $L624,
          unit_details[Baths], $M624,
          unit_details[Partial Baths], IF(ISNUMBER($N624),$N624,""),
          unit_details[Sqft],$P624
)),"")</f>
        <v/>
      </c>
      <c r="AJ624" s="824" t="str">
        <f t="shared" si="103"/>
        <v/>
      </c>
      <c r="AK624" s="531" t="str">
        <f t="shared" si="104"/>
        <v/>
      </c>
      <c r="AL624" s="714" t="str">
        <f t="shared" si="105"/>
        <v/>
      </c>
      <c r="AM624" s="531" t="str">
        <f t="shared" si="106"/>
        <v/>
      </c>
      <c r="AN624" s="716" t="str">
        <f t="shared" si="107"/>
        <v/>
      </c>
    </row>
    <row r="625" spans="6:40" x14ac:dyDescent="0.2">
      <c r="F625" s="1" t="str">
        <f t="shared" si="100"/>
        <v/>
      </c>
      <c r="G625" s="713" t="str">
        <f t="shared" si="108"/>
        <v/>
      </c>
      <c r="H625" s="17" t="str">
        <f>IFERROR(VLOOKUP($G625,Table1[[Property]:[Exposure %]],4,0),"")</f>
        <v/>
      </c>
      <c r="I625" s="3" t="str">
        <f>IFERROR(VLOOKUP($G625,Table1[[Property]:[Exposure %]],6,0),"")</f>
        <v/>
      </c>
      <c r="J625" s="3" t="str">
        <f>IFERROR(VLOOKUP($G625,Table1[[Property]:[Exposure %]],7,0),"")</f>
        <v/>
      </c>
      <c r="R625" s="4" t="str">
        <f>IFERROR(VLOOKUP(IF(F625="Total",F624,F625),Table1[[Property]:['# Units]],7,0)*S625,"")</f>
        <v/>
      </c>
      <c r="S625" s="27" t="str">
        <f t="shared" si="101"/>
        <v/>
      </c>
      <c r="T625" s="531" t="str">
        <f>IFERROR(
 IF($F625="Total",
   SUMPRODUCT(
   INDEX(T:T, ROW()-COUNTIF($F$6:INDEX($F:$F, ROW()-1), $F624)) : INDEX(T:T, ROW()-1),
   INDEX(W:W, ROW()-COUNTIF($F$6:INDEX($F:$F, ROW()-1), $F624)) : INDEX(W:W, ROW()-1)
   )
   /SUM(INDEX(W:W, ROW()-COUNTIF($F$6:INDEX($F:$F, ROW()-1), $F624)) : INDEX(W:W, ROW()-1)),
   AVERAGEIFS(
     INDEX((unit_details[Asking Rent],unit_details[Asking PSF]),0,1,IF($U$3="Chunk Rent",1,2)),
     unit_details[Leased Date],"&gt;="&amp;($AM$2-T$5),
     unit_details[Leased Date],"&lt;"&amp;$AM$2,
     unit_details[Beds],$L625,
     unit_details[Baths],$M625,
     unit_details[Partial Baths],IF(ISNUMBER($N625),$N625,""),
     unit_details[Sqft],$P625,
     unit_details[Property Name],$F625)
 ),"")</f>
        <v/>
      </c>
      <c r="U625" s="552" t="str">
        <f>IFERROR(
 IF($F625="Total",
   SUMPRODUCT(
   INDEX(U:U, ROW()-COUNTIF($F$6:INDEX($F:$F, ROW()-1), $F624)) : INDEX(U:U, ROW()-1),
   INDEX(W:W, ROW()-COUNTIF($F$6:INDEX($F:$F, ROW()-1), $F624)) : INDEX(W:W, ROW()-1)
   )
   /SUM(INDEX(W:W, ROW()-COUNTIF($F$6:INDEX($F:$F, ROW()-1), $F624)) : INDEX(W:W, ROW()-1)),
   AVERAGEIFS(
     INDEX((unit_details[Effective Rent],unit_details[Effective PSF]),0,1,IF($U$3="Chunk Rent",1,2)),
     unit_details[Leased Date],"&gt;="&amp;($AM$2-T$5),
     unit_details[Leased Date],"&lt;"&amp;$AM$2,
     unit_details[Beds],$L625,
     unit_details[Baths],$M625,
     unit_details[Partial Baths],IF(ISNUMBER($N625),$N625,""),
     unit_details[Sqft],$P625,
     unit_details[Property Name],$F625)
 ),"")</f>
        <v/>
      </c>
      <c r="V625" s="27" t="str">
        <f t="shared" si="109"/>
        <v/>
      </c>
      <c r="W625" s="526">
        <f>IFERROR(
  IF($F625="Total",
    SUM(INDEX(W:W, ROW()-COUNTIF($F$6:INDEX($F:$F, ROW()-1), $F624)) : INDEX(W:W, ROW()-1)),
    COUNTIFS(
      unit_details[Leased Date], "&gt;="&amp;($AM$2-T$5),
      unit_details[Leased Date], "&lt;"&amp;$AM$2,
      unit_details[Beds], $L625,
      unit_details[Baths], $M625,
      unit_details[Partial Baths], IF(ISNUMBER($N625), $N625, ""),
      unit_details[Sqft],$P625,
      unit_details[Property Name], $F625
    )
  ),
"")</f>
        <v>0</v>
      </c>
      <c r="X625" s="531" t="str">
        <f>IFERROR(
 IF($F625="Total",
   SUMPRODUCT(
   INDEX(X:X, ROW()-COUNTIF($F$6:INDEX($F:$F, ROW()-1), $F624)) : INDEX(X:X, ROW()-1),
   INDEX(AA:AA, ROW()-COUNTIF($F$6:INDEX($F:$F, ROW()-1), $F624)) : INDEX(AA:AA, ROW()-1)
   )
   /SUM(INDEX(AA:AA, ROW()-COUNTIF($F$6:INDEX($F:$F, ROW()-1), $F624)) : INDEX(AA:AA, ROW()-1)),
   AVERAGEIFS(
     INDEX((unit_details[Asking Rent],unit_details[Asking PSF]),0,1,IF($U$3="Chunk Rent",1,2)),
     unit_details[Leased Date],"&gt;="&amp;($AM$2-X$5),
     unit_details[Leased Date],"&lt;"&amp;$AM$2,
     unit_details[Beds],$L625,
     unit_details[Baths],$M625,
     unit_details[Partial Baths],IF(ISNUMBER($N625),$N625,""),
     unit_details[Sqft],$P625,
     unit_details[Property Name],$F625)
 ),"")</f>
        <v/>
      </c>
      <c r="Y625" s="552" t="str">
        <f>IFERROR(
 IF($F625="Total",
   SUMPRODUCT(
   INDEX(Y:Y, ROW()-COUNTIF($F$6:INDEX($F:$F, ROW()-1), $F624)) : INDEX(Y:Y, ROW()-1),
   INDEX(AA:AA, ROW()-COUNTIF($F$6:INDEX($F:$F, ROW()-1), $F624)) : INDEX(AA:AA, ROW()-1)
   )
   /SUM(INDEX(AA:AA, ROW()-COUNTIF($F$6:INDEX($F:$F, ROW()-1), $F624)) : INDEX(AA:AA, ROW()-1)),
   AVERAGEIFS(
     INDEX((unit_details[Effective Rent],unit_details[Effective PSF]),0,1,IF($U$3="Chunk Rent",1,2)),
     unit_details[Leased Date],"&gt;="&amp;($AM$2-X$5),
     unit_details[Leased Date],"&lt;"&amp;$AM$2,
     unit_details[Beds],$L625,
     unit_details[Baths],$M625,
     unit_details[Partial Baths],IF(ISNUMBER($N625),$N625,""),
     unit_details[Sqft],$P625,
     unit_details[Property Name],$F625)
 ),"")</f>
        <v/>
      </c>
      <c r="Z625" s="27" t="str">
        <f t="shared" si="110"/>
        <v/>
      </c>
      <c r="AA625" s="526">
        <f>IFERROR(
  IF($F625="Total",
    SUM(INDEX(AA:AA, ROW()-COUNTIF($F$6:INDEX($F:$F, ROW()-1), $F624)) : INDEX(AA:AA, ROW()-1)),
    COUNTIFS(
      unit_details[Leased Date], "&gt;="&amp;($AM$2-X$5),
      unit_details[Leased Date], "&lt;"&amp;$AM$2,
      unit_details[Beds], $L625,
      unit_details[Baths], $M625,
      unit_details[Partial Baths], IF(ISNUMBER($N625), $N625, ""),
      unit_details[Sqft],$P625,
      unit_details[Property Name], $F625
    )
  ),
"")</f>
        <v>0</v>
      </c>
      <c r="AB625" s="290">
        <f>IF($F625="Total",
SUM(INDEX(AB:AB, ROW()-COUNTIF($F$6:INDEX($F:$F, ROW()-1), $F624)) : INDEX(AB:AB, ROW()-1)),
COUNTIFS(unit_details[Active Listing?],TRUE,
          unit_details[Property Name], $F625,
          unit_details[Beds], $L625,
          unit_details[Baths], $M625,
          unit_details[Partial Baths],IF(ISNUMBER($N625),$N625,""),
          unit_details[Sqft],$P625))</f>
        <v>0</v>
      </c>
      <c r="AC625" s="27" t="str">
        <f t="shared" si="102"/>
        <v/>
      </c>
      <c r="AD625" s="293" t="str">
        <f>IFERROR(IF(AE625="","",IF($F625="Total",
SUMPRODUCT(
   INDEX(AD:AD, ROW()-COUNTIF($F$6:INDEX($F:$F, ROW()-1), $F624)) : INDEX(AD:AD, ROW()-1),
   INDEX(AB:AB, ROW()-COUNTIF($F$6:INDEX($F:$F, ROW()-1), $F624)) : INDEX(AB:AB, ROW()-1)
   )
   /SUM(INDEX(AB:AB, ROW()-COUNTIF($F$6:INDEX($F:$F, ROW()-1), $F624)) : INDEX(AB:AB, ROW()-1)),
          _xlfn.MINIFS(unit_details[Asking Rent],
          unit_details[Active Listing?],TRUE,
          unit_details[Property Name], $F625,
          unit_details[Beds], $L625,
          unit_details[Baths], $M625,
          unit_details[Partial Baths], IF(ISNUMBER($N625),$N625,""),
          unit_details[Sqft],$P625
))),"")</f>
        <v/>
      </c>
      <c r="AE625" s="5" t="str">
        <f>IFERROR(IF($F625="Total",
          SUMPRODUCT(
   INDEX(AE:AE, ROW()-COUNTIF($F$6:INDEX($F:$F, ROW()-1), $F624)) : INDEX(AE:AE, ROW()-1),
   INDEX(AB:AB, ROW()-COUNTIF($F$6:INDEX($F:$F, ROW()-1), $F624)) : INDEX(AB:AB, ROW()-1)
   )
   /SUM(INDEX(AB:AB, ROW()-COUNTIF($F$6:INDEX($F:$F, ROW()-1), $F624)) : INDEX(AB:AB, ROW()-1)),
          AVERAGEIFS(unit_details[Asking Rent],
          unit_details[Active Listing?],TRUE,
          unit_details[Property Name], $F625,
          unit_details[Beds], $L625,
          unit_details[Baths], $M625,
          unit_details[Partial Baths], IF(ISNUMBER($N625),$N625,""),
          unit_details[Sqft],$P625
)),"")</f>
        <v/>
      </c>
      <c r="AF625" s="5" t="str">
        <f>IFERROR(IF(AE625="","",IF($F625="Total",
SUMPRODUCT(
   INDEX(AF:AF, ROW()-COUNTIF($F$6:INDEX($F:$F, ROW()-1), $F624)) : INDEX(AF:AF, ROW()-1),
   INDEX(AB:AB, ROW()-COUNTIF($F$6:INDEX($F:$F, ROW()-1), $F624)) : INDEX(AB:AB, ROW()-1)
   )
   /SUM(INDEX(AB:AB, ROW()-COUNTIF($F$6:INDEX($F:$F, ROW()-1), $F624)) : INDEX(AB:AB, ROW()-1)),
           _xlfn.MAXIFS(unit_details[Asking Rent],
          unit_details[Active Listing?],TRUE,
          unit_details[Property Name], $F625,
          unit_details[Beds], $L625,
          unit_details[Baths], $M625,
          unit_details[Partial Baths], IF(ISNUMBER($N625),$N625,""),
          unit_details[Sqft],$P625
))),"")</f>
        <v/>
      </c>
      <c r="AG625" s="6" t="str">
        <f>IFERROR(IF($F625="Total",
         SUMPRODUCT(
         INDEX(AG:AG, ROW()-COUNTIF($F$6:INDEX($F:$F, ROW()-1), $F624)) : INDEX(AG:AG, ROW()-1),
         INDEX(AB:AB, ROW()-COUNTIF($F$6:INDEX($F:$F, ROW()-1), $F624)) : INDEX(AB:AB, ROW()-1)
         )
         /SUM(INDEX(AB:AB, ROW()-COUNTIF($F$6:INDEX($F:$F, ROW()-1), $F624)) : INDEX(AB:AB, ROW()-1)),
          AVERAGEIFS(unit_details[Asking PSF],
          unit_details[Active Listing?],TRUE,
          unit_details[Property Name], $F625,
          unit_details[Beds], $L625,
          unit_details[Baths], $M625,
          unit_details[Partial Baths], IF(ISNUMBER($N625),$N625,""),
          unit_details[Sqft],$P625
)),"")</f>
        <v/>
      </c>
      <c r="AH625" s="293" t="str">
        <f>IFERROR(IF($F625="Total",
         SUMPRODUCT(
         INDEX(AH:AH, ROW()-COUNTIF($F$6:INDEX($F:$F, ROW()-1), $F624)) : INDEX(AH:AH, ROW()-1),
         INDEX(AB:AB, ROW()-COUNTIF($F$6:INDEX($F:$F, ROW()-1), $F624)) : INDEX(AB:AB, ROW()-1)
         )
         /SUM(INDEX(AB:AB, ROW()-COUNTIF($F$6:INDEX($F:$F, ROW()-1), $F624)) : INDEX(AB:AB, ROW()-1)),
          AVERAGEIFS(unit_details[Effective Rent],
          unit_details[Active Listing?],TRUE,
          unit_details[Property Name], $F625,
          unit_details[Beds], $L625,
          unit_details[Baths], $M625,
          unit_details[Partial Baths], IF(ISNUMBER($N625),$N625,""),
          unit_details[Sqft],$P625
)),"")</f>
        <v/>
      </c>
      <c r="AI625" s="6" t="str">
        <f>IFERROR(IF($F625="Total",
         SUMPRODUCT(
         INDEX(AI:AI, ROW()-COUNTIF($F$6:INDEX($F:$F, ROW()-1), $F624)) : INDEX(AI:AI, ROW()-1),
         INDEX(AB:AB, ROW()-COUNTIF($F$6:INDEX($F:$F, ROW()-1), $F624)) : INDEX(AB:AB, ROW()-1)
         )
         /SUM(INDEX(AB:AB, ROW()-COUNTIF($F$6:INDEX($F:$F, ROW()-1), $F624)) : INDEX(AB:AB, ROW()-1)),
           AVERAGEIFS(unit_details[Effective PSF],
          unit_details[Active Listing?],TRUE,
          unit_details[Property Name], $F625,
          unit_details[Beds], $L625,
          unit_details[Baths], $M625,
          unit_details[Partial Baths], IF(ISNUMBER($N625),$N625,""),
          unit_details[Sqft],$P625
)),"")</f>
        <v/>
      </c>
      <c r="AJ625" s="824" t="str">
        <f t="shared" si="103"/>
        <v/>
      </c>
      <c r="AK625" s="531" t="str">
        <f t="shared" si="104"/>
        <v/>
      </c>
      <c r="AL625" s="714" t="str">
        <f t="shared" si="105"/>
        <v/>
      </c>
      <c r="AM625" s="531" t="str">
        <f t="shared" si="106"/>
        <v/>
      </c>
      <c r="AN625" s="716" t="str">
        <f t="shared" si="107"/>
        <v/>
      </c>
    </row>
    <row r="626" spans="6:40" x14ac:dyDescent="0.2">
      <c r="F626" s="1" t="str">
        <f t="shared" si="100"/>
        <v/>
      </c>
      <c r="G626" s="713" t="str">
        <f t="shared" si="108"/>
        <v/>
      </c>
      <c r="H626" s="17" t="str">
        <f>IFERROR(VLOOKUP($G626,Table1[[Property]:[Exposure %]],4,0),"")</f>
        <v/>
      </c>
      <c r="I626" s="3" t="str">
        <f>IFERROR(VLOOKUP($G626,Table1[[Property]:[Exposure %]],6,0),"")</f>
        <v/>
      </c>
      <c r="J626" s="3" t="str">
        <f>IFERROR(VLOOKUP($G626,Table1[[Property]:[Exposure %]],7,0),"")</f>
        <v/>
      </c>
      <c r="R626" s="4" t="str">
        <f>IFERROR(VLOOKUP(IF(F626="Total",F625,F626),Table1[[Property]:['# Units]],7,0)*S626,"")</f>
        <v/>
      </c>
      <c r="S626" s="27" t="str">
        <f t="shared" si="101"/>
        <v/>
      </c>
      <c r="T626" s="531" t="str">
        <f>IFERROR(
 IF($F626="Total",
   SUMPRODUCT(
   INDEX(T:T, ROW()-COUNTIF($F$6:INDEX($F:$F, ROW()-1), $F625)) : INDEX(T:T, ROW()-1),
   INDEX(W:W, ROW()-COUNTIF($F$6:INDEX($F:$F, ROW()-1), $F625)) : INDEX(W:W, ROW()-1)
   )
   /SUM(INDEX(W:W, ROW()-COUNTIF($F$6:INDEX($F:$F, ROW()-1), $F625)) : INDEX(W:W, ROW()-1)),
   AVERAGEIFS(
     INDEX((unit_details[Asking Rent],unit_details[Asking PSF]),0,1,IF($U$3="Chunk Rent",1,2)),
     unit_details[Leased Date],"&gt;="&amp;($AM$2-T$5),
     unit_details[Leased Date],"&lt;"&amp;$AM$2,
     unit_details[Beds],$L626,
     unit_details[Baths],$M626,
     unit_details[Partial Baths],IF(ISNUMBER($N626),$N626,""),
     unit_details[Sqft],$P626,
     unit_details[Property Name],$F626)
 ),"")</f>
        <v/>
      </c>
      <c r="U626" s="552" t="str">
        <f>IFERROR(
 IF($F626="Total",
   SUMPRODUCT(
   INDEX(U:U, ROW()-COUNTIF($F$6:INDEX($F:$F, ROW()-1), $F625)) : INDEX(U:U, ROW()-1),
   INDEX(W:W, ROW()-COUNTIF($F$6:INDEX($F:$F, ROW()-1), $F625)) : INDEX(W:W, ROW()-1)
   )
   /SUM(INDEX(W:W, ROW()-COUNTIF($F$6:INDEX($F:$F, ROW()-1), $F625)) : INDEX(W:W, ROW()-1)),
   AVERAGEIFS(
     INDEX((unit_details[Effective Rent],unit_details[Effective PSF]),0,1,IF($U$3="Chunk Rent",1,2)),
     unit_details[Leased Date],"&gt;="&amp;($AM$2-T$5),
     unit_details[Leased Date],"&lt;"&amp;$AM$2,
     unit_details[Beds],$L626,
     unit_details[Baths],$M626,
     unit_details[Partial Baths],IF(ISNUMBER($N626),$N626,""),
     unit_details[Sqft],$P626,
     unit_details[Property Name],$F626)
 ),"")</f>
        <v/>
      </c>
      <c r="V626" s="27" t="str">
        <f t="shared" si="109"/>
        <v/>
      </c>
      <c r="W626" s="526">
        <f>IFERROR(
  IF($F626="Total",
    SUM(INDEX(W:W, ROW()-COUNTIF($F$6:INDEX($F:$F, ROW()-1), $F625)) : INDEX(W:W, ROW()-1)),
    COUNTIFS(
      unit_details[Leased Date], "&gt;="&amp;($AM$2-T$5),
      unit_details[Leased Date], "&lt;"&amp;$AM$2,
      unit_details[Beds], $L626,
      unit_details[Baths], $M626,
      unit_details[Partial Baths], IF(ISNUMBER($N626), $N626, ""),
      unit_details[Sqft],$P626,
      unit_details[Property Name], $F626
    )
  ),
"")</f>
        <v>0</v>
      </c>
      <c r="X626" s="531" t="str">
        <f>IFERROR(
 IF($F626="Total",
   SUMPRODUCT(
   INDEX(X:X, ROW()-COUNTIF($F$6:INDEX($F:$F, ROW()-1), $F625)) : INDEX(X:X, ROW()-1),
   INDEX(AA:AA, ROW()-COUNTIF($F$6:INDEX($F:$F, ROW()-1), $F625)) : INDEX(AA:AA, ROW()-1)
   )
   /SUM(INDEX(AA:AA, ROW()-COUNTIF($F$6:INDEX($F:$F, ROW()-1), $F625)) : INDEX(AA:AA, ROW()-1)),
   AVERAGEIFS(
     INDEX((unit_details[Asking Rent],unit_details[Asking PSF]),0,1,IF($U$3="Chunk Rent",1,2)),
     unit_details[Leased Date],"&gt;="&amp;($AM$2-X$5),
     unit_details[Leased Date],"&lt;"&amp;$AM$2,
     unit_details[Beds],$L626,
     unit_details[Baths],$M626,
     unit_details[Partial Baths],IF(ISNUMBER($N626),$N626,""),
     unit_details[Sqft],$P626,
     unit_details[Property Name],$F626)
 ),"")</f>
        <v/>
      </c>
      <c r="Y626" s="552" t="str">
        <f>IFERROR(
 IF($F626="Total",
   SUMPRODUCT(
   INDEX(Y:Y, ROW()-COUNTIF($F$6:INDEX($F:$F, ROW()-1), $F625)) : INDEX(Y:Y, ROW()-1),
   INDEX(AA:AA, ROW()-COUNTIF($F$6:INDEX($F:$F, ROW()-1), $F625)) : INDEX(AA:AA, ROW()-1)
   )
   /SUM(INDEX(AA:AA, ROW()-COUNTIF($F$6:INDEX($F:$F, ROW()-1), $F625)) : INDEX(AA:AA, ROW()-1)),
   AVERAGEIFS(
     INDEX((unit_details[Effective Rent],unit_details[Effective PSF]),0,1,IF($U$3="Chunk Rent",1,2)),
     unit_details[Leased Date],"&gt;="&amp;($AM$2-X$5),
     unit_details[Leased Date],"&lt;"&amp;$AM$2,
     unit_details[Beds],$L626,
     unit_details[Baths],$M626,
     unit_details[Partial Baths],IF(ISNUMBER($N626),$N626,""),
     unit_details[Sqft],$P626,
     unit_details[Property Name],$F626)
 ),"")</f>
        <v/>
      </c>
      <c r="Z626" s="27" t="str">
        <f t="shared" si="110"/>
        <v/>
      </c>
      <c r="AA626" s="526">
        <f>IFERROR(
  IF($F626="Total",
    SUM(INDEX(AA:AA, ROW()-COUNTIF($F$6:INDEX($F:$F, ROW()-1), $F625)) : INDEX(AA:AA, ROW()-1)),
    COUNTIFS(
      unit_details[Leased Date], "&gt;="&amp;($AM$2-X$5),
      unit_details[Leased Date], "&lt;"&amp;$AM$2,
      unit_details[Beds], $L626,
      unit_details[Baths], $M626,
      unit_details[Partial Baths], IF(ISNUMBER($N626), $N626, ""),
      unit_details[Sqft],$P626,
      unit_details[Property Name], $F626
    )
  ),
"")</f>
        <v>0</v>
      </c>
      <c r="AB626" s="290">
        <f>IF($F626="Total",
SUM(INDEX(AB:AB, ROW()-COUNTIF($F$6:INDEX($F:$F, ROW()-1), $F625)) : INDEX(AB:AB, ROW()-1)),
COUNTIFS(unit_details[Active Listing?],TRUE,
          unit_details[Property Name], $F626,
          unit_details[Beds], $L626,
          unit_details[Baths], $M626,
          unit_details[Partial Baths],IF(ISNUMBER($N626),$N626,""),
          unit_details[Sqft],$P626))</f>
        <v>0</v>
      </c>
      <c r="AC626" s="27" t="str">
        <f t="shared" si="102"/>
        <v/>
      </c>
      <c r="AD626" s="293" t="str">
        <f>IFERROR(IF(AE626="","",IF($F626="Total",
SUMPRODUCT(
   INDEX(AD:AD, ROW()-COUNTIF($F$6:INDEX($F:$F, ROW()-1), $F625)) : INDEX(AD:AD, ROW()-1),
   INDEX(AB:AB, ROW()-COUNTIF($F$6:INDEX($F:$F, ROW()-1), $F625)) : INDEX(AB:AB, ROW()-1)
   )
   /SUM(INDEX(AB:AB, ROW()-COUNTIF($F$6:INDEX($F:$F, ROW()-1), $F625)) : INDEX(AB:AB, ROW()-1)),
          _xlfn.MINIFS(unit_details[Asking Rent],
          unit_details[Active Listing?],TRUE,
          unit_details[Property Name], $F626,
          unit_details[Beds], $L626,
          unit_details[Baths], $M626,
          unit_details[Partial Baths], IF(ISNUMBER($N626),$N626,""),
          unit_details[Sqft],$P626
))),"")</f>
        <v/>
      </c>
      <c r="AE626" s="5" t="str">
        <f>IFERROR(IF($F626="Total",
          SUMPRODUCT(
   INDEX(AE:AE, ROW()-COUNTIF($F$6:INDEX($F:$F, ROW()-1), $F625)) : INDEX(AE:AE, ROW()-1),
   INDEX(AB:AB, ROW()-COUNTIF($F$6:INDEX($F:$F, ROW()-1), $F625)) : INDEX(AB:AB, ROW()-1)
   )
   /SUM(INDEX(AB:AB, ROW()-COUNTIF($F$6:INDEX($F:$F, ROW()-1), $F625)) : INDEX(AB:AB, ROW()-1)),
          AVERAGEIFS(unit_details[Asking Rent],
          unit_details[Active Listing?],TRUE,
          unit_details[Property Name], $F626,
          unit_details[Beds], $L626,
          unit_details[Baths], $M626,
          unit_details[Partial Baths], IF(ISNUMBER($N626),$N626,""),
          unit_details[Sqft],$P626
)),"")</f>
        <v/>
      </c>
      <c r="AF626" s="5" t="str">
        <f>IFERROR(IF(AE626="","",IF($F626="Total",
SUMPRODUCT(
   INDEX(AF:AF, ROW()-COUNTIF($F$6:INDEX($F:$F, ROW()-1), $F625)) : INDEX(AF:AF, ROW()-1),
   INDEX(AB:AB, ROW()-COUNTIF($F$6:INDEX($F:$F, ROW()-1), $F625)) : INDEX(AB:AB, ROW()-1)
   )
   /SUM(INDEX(AB:AB, ROW()-COUNTIF($F$6:INDEX($F:$F, ROW()-1), $F625)) : INDEX(AB:AB, ROW()-1)),
           _xlfn.MAXIFS(unit_details[Asking Rent],
          unit_details[Active Listing?],TRUE,
          unit_details[Property Name], $F626,
          unit_details[Beds], $L626,
          unit_details[Baths], $M626,
          unit_details[Partial Baths], IF(ISNUMBER($N626),$N626,""),
          unit_details[Sqft],$P626
))),"")</f>
        <v/>
      </c>
      <c r="AG626" s="6" t="str">
        <f>IFERROR(IF($F626="Total",
         SUMPRODUCT(
         INDEX(AG:AG, ROW()-COUNTIF($F$6:INDEX($F:$F, ROW()-1), $F625)) : INDEX(AG:AG, ROW()-1),
         INDEX(AB:AB, ROW()-COUNTIF($F$6:INDEX($F:$F, ROW()-1), $F625)) : INDEX(AB:AB, ROW()-1)
         )
         /SUM(INDEX(AB:AB, ROW()-COUNTIF($F$6:INDEX($F:$F, ROW()-1), $F625)) : INDEX(AB:AB, ROW()-1)),
          AVERAGEIFS(unit_details[Asking PSF],
          unit_details[Active Listing?],TRUE,
          unit_details[Property Name], $F626,
          unit_details[Beds], $L626,
          unit_details[Baths], $M626,
          unit_details[Partial Baths], IF(ISNUMBER($N626),$N626,""),
          unit_details[Sqft],$P626
)),"")</f>
        <v/>
      </c>
      <c r="AH626" s="293" t="str">
        <f>IFERROR(IF($F626="Total",
         SUMPRODUCT(
         INDEX(AH:AH, ROW()-COUNTIF($F$6:INDEX($F:$F, ROW()-1), $F625)) : INDEX(AH:AH, ROW()-1),
         INDEX(AB:AB, ROW()-COUNTIF($F$6:INDEX($F:$F, ROW()-1), $F625)) : INDEX(AB:AB, ROW()-1)
         )
         /SUM(INDEX(AB:AB, ROW()-COUNTIF($F$6:INDEX($F:$F, ROW()-1), $F625)) : INDEX(AB:AB, ROW()-1)),
          AVERAGEIFS(unit_details[Effective Rent],
          unit_details[Active Listing?],TRUE,
          unit_details[Property Name], $F626,
          unit_details[Beds], $L626,
          unit_details[Baths], $M626,
          unit_details[Partial Baths], IF(ISNUMBER($N626),$N626,""),
          unit_details[Sqft],$P626
)),"")</f>
        <v/>
      </c>
      <c r="AI626" s="6" t="str">
        <f>IFERROR(IF($F626="Total",
         SUMPRODUCT(
         INDEX(AI:AI, ROW()-COUNTIF($F$6:INDEX($F:$F, ROW()-1), $F625)) : INDEX(AI:AI, ROW()-1),
         INDEX(AB:AB, ROW()-COUNTIF($F$6:INDEX($F:$F, ROW()-1), $F625)) : INDEX(AB:AB, ROW()-1)
         )
         /SUM(INDEX(AB:AB, ROW()-COUNTIF($F$6:INDEX($F:$F, ROW()-1), $F625)) : INDEX(AB:AB, ROW()-1)),
           AVERAGEIFS(unit_details[Effective PSF],
          unit_details[Active Listing?],TRUE,
          unit_details[Property Name], $F626,
          unit_details[Beds], $L626,
          unit_details[Baths], $M626,
          unit_details[Partial Baths], IF(ISNUMBER($N626),$N626,""),
          unit_details[Sqft],$P626
)),"")</f>
        <v/>
      </c>
      <c r="AJ626" s="824" t="str">
        <f t="shared" si="103"/>
        <v/>
      </c>
      <c r="AK626" s="531" t="str">
        <f t="shared" si="104"/>
        <v/>
      </c>
      <c r="AL626" s="714" t="str">
        <f t="shared" si="105"/>
        <v/>
      </c>
      <c r="AM626" s="531" t="str">
        <f t="shared" si="106"/>
        <v/>
      </c>
      <c r="AN626" s="716" t="str">
        <f t="shared" si="107"/>
        <v/>
      </c>
    </row>
    <row r="627" spans="6:40" x14ac:dyDescent="0.2">
      <c r="F627" s="1" t="str">
        <f t="shared" si="100"/>
        <v/>
      </c>
      <c r="G627" s="713" t="str">
        <f t="shared" si="108"/>
        <v/>
      </c>
      <c r="H627" s="17" t="str">
        <f>IFERROR(VLOOKUP($G627,Table1[[Property]:[Exposure %]],4,0),"")</f>
        <v/>
      </c>
      <c r="I627" s="3" t="str">
        <f>IFERROR(VLOOKUP($G627,Table1[[Property]:[Exposure %]],6,0),"")</f>
        <v/>
      </c>
      <c r="J627" s="3" t="str">
        <f>IFERROR(VLOOKUP($G627,Table1[[Property]:[Exposure %]],7,0),"")</f>
        <v/>
      </c>
      <c r="R627" s="4" t="str">
        <f>IFERROR(VLOOKUP(IF(F627="Total",F626,F627),Table1[[Property]:['# Units]],7,0)*S627,"")</f>
        <v/>
      </c>
      <c r="S627" s="27" t="str">
        <f t="shared" si="101"/>
        <v/>
      </c>
      <c r="T627" s="531" t="str">
        <f>IFERROR(
 IF($F627="Total",
   SUMPRODUCT(
   INDEX(T:T, ROW()-COUNTIF($F$6:INDEX($F:$F, ROW()-1), $F626)) : INDEX(T:T, ROW()-1),
   INDEX(W:W, ROW()-COUNTIF($F$6:INDEX($F:$F, ROW()-1), $F626)) : INDEX(W:W, ROW()-1)
   )
   /SUM(INDEX(W:W, ROW()-COUNTIF($F$6:INDEX($F:$F, ROW()-1), $F626)) : INDEX(W:W, ROW()-1)),
   AVERAGEIFS(
     INDEX((unit_details[Asking Rent],unit_details[Asking PSF]),0,1,IF($U$3="Chunk Rent",1,2)),
     unit_details[Leased Date],"&gt;="&amp;($AM$2-T$5),
     unit_details[Leased Date],"&lt;"&amp;$AM$2,
     unit_details[Beds],$L627,
     unit_details[Baths],$M627,
     unit_details[Partial Baths],IF(ISNUMBER($N627),$N627,""),
     unit_details[Sqft],$P627,
     unit_details[Property Name],$F627)
 ),"")</f>
        <v/>
      </c>
      <c r="U627" s="552" t="str">
        <f>IFERROR(
 IF($F627="Total",
   SUMPRODUCT(
   INDEX(U:U, ROW()-COUNTIF($F$6:INDEX($F:$F, ROW()-1), $F626)) : INDEX(U:U, ROW()-1),
   INDEX(W:W, ROW()-COUNTIF($F$6:INDEX($F:$F, ROW()-1), $F626)) : INDEX(W:W, ROW()-1)
   )
   /SUM(INDEX(W:W, ROW()-COUNTIF($F$6:INDEX($F:$F, ROW()-1), $F626)) : INDEX(W:W, ROW()-1)),
   AVERAGEIFS(
     INDEX((unit_details[Effective Rent],unit_details[Effective PSF]),0,1,IF($U$3="Chunk Rent",1,2)),
     unit_details[Leased Date],"&gt;="&amp;($AM$2-T$5),
     unit_details[Leased Date],"&lt;"&amp;$AM$2,
     unit_details[Beds],$L627,
     unit_details[Baths],$M627,
     unit_details[Partial Baths],IF(ISNUMBER($N627),$N627,""),
     unit_details[Sqft],$P627,
     unit_details[Property Name],$F627)
 ),"")</f>
        <v/>
      </c>
      <c r="V627" s="27" t="str">
        <f t="shared" si="109"/>
        <v/>
      </c>
      <c r="W627" s="526">
        <f>IFERROR(
  IF($F627="Total",
    SUM(INDEX(W:W, ROW()-COUNTIF($F$6:INDEX($F:$F, ROW()-1), $F626)) : INDEX(W:W, ROW()-1)),
    COUNTIFS(
      unit_details[Leased Date], "&gt;="&amp;($AM$2-T$5),
      unit_details[Leased Date], "&lt;"&amp;$AM$2,
      unit_details[Beds], $L627,
      unit_details[Baths], $M627,
      unit_details[Partial Baths], IF(ISNUMBER($N627), $N627, ""),
      unit_details[Sqft],$P627,
      unit_details[Property Name], $F627
    )
  ),
"")</f>
        <v>0</v>
      </c>
      <c r="X627" s="531" t="str">
        <f>IFERROR(
 IF($F627="Total",
   SUMPRODUCT(
   INDEX(X:X, ROW()-COUNTIF($F$6:INDEX($F:$F, ROW()-1), $F626)) : INDEX(X:X, ROW()-1),
   INDEX(AA:AA, ROW()-COUNTIF($F$6:INDEX($F:$F, ROW()-1), $F626)) : INDEX(AA:AA, ROW()-1)
   )
   /SUM(INDEX(AA:AA, ROW()-COUNTIF($F$6:INDEX($F:$F, ROW()-1), $F626)) : INDEX(AA:AA, ROW()-1)),
   AVERAGEIFS(
     INDEX((unit_details[Asking Rent],unit_details[Asking PSF]),0,1,IF($U$3="Chunk Rent",1,2)),
     unit_details[Leased Date],"&gt;="&amp;($AM$2-X$5),
     unit_details[Leased Date],"&lt;"&amp;$AM$2,
     unit_details[Beds],$L627,
     unit_details[Baths],$M627,
     unit_details[Partial Baths],IF(ISNUMBER($N627),$N627,""),
     unit_details[Sqft],$P627,
     unit_details[Property Name],$F627)
 ),"")</f>
        <v/>
      </c>
      <c r="Y627" s="552" t="str">
        <f>IFERROR(
 IF($F627="Total",
   SUMPRODUCT(
   INDEX(Y:Y, ROW()-COUNTIF($F$6:INDEX($F:$F, ROW()-1), $F626)) : INDEX(Y:Y, ROW()-1),
   INDEX(AA:AA, ROW()-COUNTIF($F$6:INDEX($F:$F, ROW()-1), $F626)) : INDEX(AA:AA, ROW()-1)
   )
   /SUM(INDEX(AA:AA, ROW()-COUNTIF($F$6:INDEX($F:$F, ROW()-1), $F626)) : INDEX(AA:AA, ROW()-1)),
   AVERAGEIFS(
     INDEX((unit_details[Effective Rent],unit_details[Effective PSF]),0,1,IF($U$3="Chunk Rent",1,2)),
     unit_details[Leased Date],"&gt;="&amp;($AM$2-X$5),
     unit_details[Leased Date],"&lt;"&amp;$AM$2,
     unit_details[Beds],$L627,
     unit_details[Baths],$M627,
     unit_details[Partial Baths],IF(ISNUMBER($N627),$N627,""),
     unit_details[Sqft],$P627,
     unit_details[Property Name],$F627)
 ),"")</f>
        <v/>
      </c>
      <c r="Z627" s="27" t="str">
        <f t="shared" si="110"/>
        <v/>
      </c>
      <c r="AA627" s="526">
        <f>IFERROR(
  IF($F627="Total",
    SUM(INDEX(AA:AA, ROW()-COUNTIF($F$6:INDEX($F:$F, ROW()-1), $F626)) : INDEX(AA:AA, ROW()-1)),
    COUNTIFS(
      unit_details[Leased Date], "&gt;="&amp;($AM$2-X$5),
      unit_details[Leased Date], "&lt;"&amp;$AM$2,
      unit_details[Beds], $L627,
      unit_details[Baths], $M627,
      unit_details[Partial Baths], IF(ISNUMBER($N627), $N627, ""),
      unit_details[Sqft],$P627,
      unit_details[Property Name], $F627
    )
  ),
"")</f>
        <v>0</v>
      </c>
      <c r="AB627" s="290">
        <f>IF($F627="Total",
SUM(INDEX(AB:AB, ROW()-COUNTIF($F$6:INDEX($F:$F, ROW()-1), $F626)) : INDEX(AB:AB, ROW()-1)),
COUNTIFS(unit_details[Active Listing?],TRUE,
          unit_details[Property Name], $F627,
          unit_details[Beds], $L627,
          unit_details[Baths], $M627,
          unit_details[Partial Baths],IF(ISNUMBER($N627),$N627,""),
          unit_details[Sqft],$P627))</f>
        <v>0</v>
      </c>
      <c r="AC627" s="27" t="str">
        <f t="shared" si="102"/>
        <v/>
      </c>
      <c r="AD627" s="293" t="str">
        <f>IFERROR(IF(AE627="","",IF($F627="Total",
SUMPRODUCT(
   INDEX(AD:AD, ROW()-COUNTIF($F$6:INDEX($F:$F, ROW()-1), $F626)) : INDEX(AD:AD, ROW()-1),
   INDEX(AB:AB, ROW()-COUNTIF($F$6:INDEX($F:$F, ROW()-1), $F626)) : INDEX(AB:AB, ROW()-1)
   )
   /SUM(INDEX(AB:AB, ROW()-COUNTIF($F$6:INDEX($F:$F, ROW()-1), $F626)) : INDEX(AB:AB, ROW()-1)),
          _xlfn.MINIFS(unit_details[Asking Rent],
          unit_details[Active Listing?],TRUE,
          unit_details[Property Name], $F627,
          unit_details[Beds], $L627,
          unit_details[Baths], $M627,
          unit_details[Partial Baths], IF(ISNUMBER($N627),$N627,""),
          unit_details[Sqft],$P627
))),"")</f>
        <v/>
      </c>
      <c r="AE627" s="5" t="str">
        <f>IFERROR(IF($F627="Total",
          SUMPRODUCT(
   INDEX(AE:AE, ROW()-COUNTIF($F$6:INDEX($F:$F, ROW()-1), $F626)) : INDEX(AE:AE, ROW()-1),
   INDEX(AB:AB, ROW()-COUNTIF($F$6:INDEX($F:$F, ROW()-1), $F626)) : INDEX(AB:AB, ROW()-1)
   )
   /SUM(INDEX(AB:AB, ROW()-COUNTIF($F$6:INDEX($F:$F, ROW()-1), $F626)) : INDEX(AB:AB, ROW()-1)),
          AVERAGEIFS(unit_details[Asking Rent],
          unit_details[Active Listing?],TRUE,
          unit_details[Property Name], $F627,
          unit_details[Beds], $L627,
          unit_details[Baths], $M627,
          unit_details[Partial Baths], IF(ISNUMBER($N627),$N627,""),
          unit_details[Sqft],$P627
)),"")</f>
        <v/>
      </c>
      <c r="AF627" s="5" t="str">
        <f>IFERROR(IF(AE627="","",IF($F627="Total",
SUMPRODUCT(
   INDEX(AF:AF, ROW()-COUNTIF($F$6:INDEX($F:$F, ROW()-1), $F626)) : INDEX(AF:AF, ROW()-1),
   INDEX(AB:AB, ROW()-COUNTIF($F$6:INDEX($F:$F, ROW()-1), $F626)) : INDEX(AB:AB, ROW()-1)
   )
   /SUM(INDEX(AB:AB, ROW()-COUNTIF($F$6:INDEX($F:$F, ROW()-1), $F626)) : INDEX(AB:AB, ROW()-1)),
           _xlfn.MAXIFS(unit_details[Asking Rent],
          unit_details[Active Listing?],TRUE,
          unit_details[Property Name], $F627,
          unit_details[Beds], $L627,
          unit_details[Baths], $M627,
          unit_details[Partial Baths], IF(ISNUMBER($N627),$N627,""),
          unit_details[Sqft],$P627
))),"")</f>
        <v/>
      </c>
      <c r="AG627" s="6" t="str">
        <f>IFERROR(IF($F627="Total",
         SUMPRODUCT(
         INDEX(AG:AG, ROW()-COUNTIF($F$6:INDEX($F:$F, ROW()-1), $F626)) : INDEX(AG:AG, ROW()-1),
         INDEX(AB:AB, ROW()-COUNTIF($F$6:INDEX($F:$F, ROW()-1), $F626)) : INDEX(AB:AB, ROW()-1)
         )
         /SUM(INDEX(AB:AB, ROW()-COUNTIF($F$6:INDEX($F:$F, ROW()-1), $F626)) : INDEX(AB:AB, ROW()-1)),
          AVERAGEIFS(unit_details[Asking PSF],
          unit_details[Active Listing?],TRUE,
          unit_details[Property Name], $F627,
          unit_details[Beds], $L627,
          unit_details[Baths], $M627,
          unit_details[Partial Baths], IF(ISNUMBER($N627),$N627,""),
          unit_details[Sqft],$P627
)),"")</f>
        <v/>
      </c>
      <c r="AH627" s="293" t="str">
        <f>IFERROR(IF($F627="Total",
         SUMPRODUCT(
         INDEX(AH:AH, ROW()-COUNTIF($F$6:INDEX($F:$F, ROW()-1), $F626)) : INDEX(AH:AH, ROW()-1),
         INDEX(AB:AB, ROW()-COUNTIF($F$6:INDEX($F:$F, ROW()-1), $F626)) : INDEX(AB:AB, ROW()-1)
         )
         /SUM(INDEX(AB:AB, ROW()-COUNTIF($F$6:INDEX($F:$F, ROW()-1), $F626)) : INDEX(AB:AB, ROW()-1)),
          AVERAGEIFS(unit_details[Effective Rent],
          unit_details[Active Listing?],TRUE,
          unit_details[Property Name], $F627,
          unit_details[Beds], $L627,
          unit_details[Baths], $M627,
          unit_details[Partial Baths], IF(ISNUMBER($N627),$N627,""),
          unit_details[Sqft],$P627
)),"")</f>
        <v/>
      </c>
      <c r="AI627" s="6" t="str">
        <f>IFERROR(IF($F627="Total",
         SUMPRODUCT(
         INDEX(AI:AI, ROW()-COUNTIF($F$6:INDEX($F:$F, ROW()-1), $F626)) : INDEX(AI:AI, ROW()-1),
         INDEX(AB:AB, ROW()-COUNTIF($F$6:INDEX($F:$F, ROW()-1), $F626)) : INDEX(AB:AB, ROW()-1)
         )
         /SUM(INDEX(AB:AB, ROW()-COUNTIF($F$6:INDEX($F:$F, ROW()-1), $F626)) : INDEX(AB:AB, ROW()-1)),
           AVERAGEIFS(unit_details[Effective PSF],
          unit_details[Active Listing?],TRUE,
          unit_details[Property Name], $F627,
          unit_details[Beds], $L627,
          unit_details[Baths], $M627,
          unit_details[Partial Baths], IF(ISNUMBER($N627),$N627,""),
          unit_details[Sqft],$P627
)),"")</f>
        <v/>
      </c>
      <c r="AJ627" s="824" t="str">
        <f t="shared" si="103"/>
        <v/>
      </c>
      <c r="AK627" s="531" t="str">
        <f t="shared" si="104"/>
        <v/>
      </c>
      <c r="AL627" s="714" t="str">
        <f t="shared" si="105"/>
        <v/>
      </c>
      <c r="AM627" s="531" t="str">
        <f t="shared" si="106"/>
        <v/>
      </c>
      <c r="AN627" s="716" t="str">
        <f t="shared" si="107"/>
        <v/>
      </c>
    </row>
    <row r="628" spans="6:40" x14ac:dyDescent="0.2">
      <c r="F628" s="1" t="str">
        <f t="shared" si="100"/>
        <v/>
      </c>
      <c r="G628" s="713" t="str">
        <f t="shared" si="108"/>
        <v/>
      </c>
      <c r="H628" s="17" t="str">
        <f>IFERROR(VLOOKUP($G628,Table1[[Property]:[Exposure %]],4,0),"")</f>
        <v/>
      </c>
      <c r="I628" s="3" t="str">
        <f>IFERROR(VLOOKUP($G628,Table1[[Property]:[Exposure %]],6,0),"")</f>
        <v/>
      </c>
      <c r="J628" s="3" t="str">
        <f>IFERROR(VLOOKUP($G628,Table1[[Property]:[Exposure %]],7,0),"")</f>
        <v/>
      </c>
      <c r="R628" s="4" t="str">
        <f>IFERROR(VLOOKUP(IF(F628="Total",F627,F628),Table1[[Property]:['# Units]],7,0)*S628,"")</f>
        <v/>
      </c>
      <c r="S628" s="27" t="str">
        <f t="shared" si="101"/>
        <v/>
      </c>
      <c r="T628" s="531" t="str">
        <f>IFERROR(
 IF($F628="Total",
   SUMPRODUCT(
   INDEX(T:T, ROW()-COUNTIF($F$6:INDEX($F:$F, ROW()-1), $F627)) : INDEX(T:T, ROW()-1),
   INDEX(W:W, ROW()-COUNTIF($F$6:INDEX($F:$F, ROW()-1), $F627)) : INDEX(W:W, ROW()-1)
   )
   /SUM(INDEX(W:W, ROW()-COUNTIF($F$6:INDEX($F:$F, ROW()-1), $F627)) : INDEX(W:W, ROW()-1)),
   AVERAGEIFS(
     INDEX((unit_details[Asking Rent],unit_details[Asking PSF]),0,1,IF($U$3="Chunk Rent",1,2)),
     unit_details[Leased Date],"&gt;="&amp;($AM$2-T$5),
     unit_details[Leased Date],"&lt;"&amp;$AM$2,
     unit_details[Beds],$L628,
     unit_details[Baths],$M628,
     unit_details[Partial Baths],IF(ISNUMBER($N628),$N628,""),
     unit_details[Sqft],$P628,
     unit_details[Property Name],$F628)
 ),"")</f>
        <v/>
      </c>
      <c r="U628" s="552" t="str">
        <f>IFERROR(
 IF($F628="Total",
   SUMPRODUCT(
   INDEX(U:U, ROW()-COUNTIF($F$6:INDEX($F:$F, ROW()-1), $F627)) : INDEX(U:U, ROW()-1),
   INDEX(W:W, ROW()-COUNTIF($F$6:INDEX($F:$F, ROW()-1), $F627)) : INDEX(W:W, ROW()-1)
   )
   /SUM(INDEX(W:W, ROW()-COUNTIF($F$6:INDEX($F:$F, ROW()-1), $F627)) : INDEX(W:W, ROW()-1)),
   AVERAGEIFS(
     INDEX((unit_details[Effective Rent],unit_details[Effective PSF]),0,1,IF($U$3="Chunk Rent",1,2)),
     unit_details[Leased Date],"&gt;="&amp;($AM$2-T$5),
     unit_details[Leased Date],"&lt;"&amp;$AM$2,
     unit_details[Beds],$L628,
     unit_details[Baths],$M628,
     unit_details[Partial Baths],IF(ISNUMBER($N628),$N628,""),
     unit_details[Sqft],$P628,
     unit_details[Property Name],$F628)
 ),"")</f>
        <v/>
      </c>
      <c r="V628" s="27" t="str">
        <f t="shared" si="109"/>
        <v/>
      </c>
      <c r="W628" s="526">
        <f>IFERROR(
  IF($F628="Total",
    SUM(INDEX(W:W, ROW()-COUNTIF($F$6:INDEX($F:$F, ROW()-1), $F627)) : INDEX(W:W, ROW()-1)),
    COUNTIFS(
      unit_details[Leased Date], "&gt;="&amp;($AM$2-T$5),
      unit_details[Leased Date], "&lt;"&amp;$AM$2,
      unit_details[Beds], $L628,
      unit_details[Baths], $M628,
      unit_details[Partial Baths], IF(ISNUMBER($N628), $N628, ""),
      unit_details[Sqft],$P628,
      unit_details[Property Name], $F628
    )
  ),
"")</f>
        <v>0</v>
      </c>
      <c r="X628" s="531" t="str">
        <f>IFERROR(
 IF($F628="Total",
   SUMPRODUCT(
   INDEX(X:X, ROW()-COUNTIF($F$6:INDEX($F:$F, ROW()-1), $F627)) : INDEX(X:X, ROW()-1),
   INDEX(AA:AA, ROW()-COUNTIF($F$6:INDEX($F:$F, ROW()-1), $F627)) : INDEX(AA:AA, ROW()-1)
   )
   /SUM(INDEX(AA:AA, ROW()-COUNTIF($F$6:INDEX($F:$F, ROW()-1), $F627)) : INDEX(AA:AA, ROW()-1)),
   AVERAGEIFS(
     INDEX((unit_details[Asking Rent],unit_details[Asking PSF]),0,1,IF($U$3="Chunk Rent",1,2)),
     unit_details[Leased Date],"&gt;="&amp;($AM$2-X$5),
     unit_details[Leased Date],"&lt;"&amp;$AM$2,
     unit_details[Beds],$L628,
     unit_details[Baths],$M628,
     unit_details[Partial Baths],IF(ISNUMBER($N628),$N628,""),
     unit_details[Sqft],$P628,
     unit_details[Property Name],$F628)
 ),"")</f>
        <v/>
      </c>
      <c r="Y628" s="552" t="str">
        <f>IFERROR(
 IF($F628="Total",
   SUMPRODUCT(
   INDEX(Y:Y, ROW()-COUNTIF($F$6:INDEX($F:$F, ROW()-1), $F627)) : INDEX(Y:Y, ROW()-1),
   INDEX(AA:AA, ROW()-COUNTIF($F$6:INDEX($F:$F, ROW()-1), $F627)) : INDEX(AA:AA, ROW()-1)
   )
   /SUM(INDEX(AA:AA, ROW()-COUNTIF($F$6:INDEX($F:$F, ROW()-1), $F627)) : INDEX(AA:AA, ROW()-1)),
   AVERAGEIFS(
     INDEX((unit_details[Effective Rent],unit_details[Effective PSF]),0,1,IF($U$3="Chunk Rent",1,2)),
     unit_details[Leased Date],"&gt;="&amp;($AM$2-X$5),
     unit_details[Leased Date],"&lt;"&amp;$AM$2,
     unit_details[Beds],$L628,
     unit_details[Baths],$M628,
     unit_details[Partial Baths],IF(ISNUMBER($N628),$N628,""),
     unit_details[Sqft],$P628,
     unit_details[Property Name],$F628)
 ),"")</f>
        <v/>
      </c>
      <c r="Z628" s="27" t="str">
        <f t="shared" si="110"/>
        <v/>
      </c>
      <c r="AA628" s="526">
        <f>IFERROR(
  IF($F628="Total",
    SUM(INDEX(AA:AA, ROW()-COUNTIF($F$6:INDEX($F:$F, ROW()-1), $F627)) : INDEX(AA:AA, ROW()-1)),
    COUNTIFS(
      unit_details[Leased Date], "&gt;="&amp;($AM$2-X$5),
      unit_details[Leased Date], "&lt;"&amp;$AM$2,
      unit_details[Beds], $L628,
      unit_details[Baths], $M628,
      unit_details[Partial Baths], IF(ISNUMBER($N628), $N628, ""),
      unit_details[Sqft],$P628,
      unit_details[Property Name], $F628
    )
  ),
"")</f>
        <v>0</v>
      </c>
      <c r="AB628" s="290">
        <f>IF($F628="Total",
SUM(INDEX(AB:AB, ROW()-COUNTIF($F$6:INDEX($F:$F, ROW()-1), $F627)) : INDEX(AB:AB, ROW()-1)),
COUNTIFS(unit_details[Active Listing?],TRUE,
          unit_details[Property Name], $F628,
          unit_details[Beds], $L628,
          unit_details[Baths], $M628,
          unit_details[Partial Baths],IF(ISNUMBER($N628),$N628,""),
          unit_details[Sqft],$P628))</f>
        <v>0</v>
      </c>
      <c r="AC628" s="27" t="str">
        <f t="shared" si="102"/>
        <v/>
      </c>
      <c r="AD628" s="293" t="str">
        <f>IFERROR(IF(AE628="","",IF($F628="Total",
SUMPRODUCT(
   INDEX(AD:AD, ROW()-COUNTIF($F$6:INDEX($F:$F, ROW()-1), $F627)) : INDEX(AD:AD, ROW()-1),
   INDEX(AB:AB, ROW()-COUNTIF($F$6:INDEX($F:$F, ROW()-1), $F627)) : INDEX(AB:AB, ROW()-1)
   )
   /SUM(INDEX(AB:AB, ROW()-COUNTIF($F$6:INDEX($F:$F, ROW()-1), $F627)) : INDEX(AB:AB, ROW()-1)),
          _xlfn.MINIFS(unit_details[Asking Rent],
          unit_details[Active Listing?],TRUE,
          unit_details[Property Name], $F628,
          unit_details[Beds], $L628,
          unit_details[Baths], $M628,
          unit_details[Partial Baths], IF(ISNUMBER($N628),$N628,""),
          unit_details[Sqft],$P628
))),"")</f>
        <v/>
      </c>
      <c r="AE628" s="5" t="str">
        <f>IFERROR(IF($F628="Total",
          SUMPRODUCT(
   INDEX(AE:AE, ROW()-COUNTIF($F$6:INDEX($F:$F, ROW()-1), $F627)) : INDEX(AE:AE, ROW()-1),
   INDEX(AB:AB, ROW()-COUNTIF($F$6:INDEX($F:$F, ROW()-1), $F627)) : INDEX(AB:AB, ROW()-1)
   )
   /SUM(INDEX(AB:AB, ROW()-COUNTIF($F$6:INDEX($F:$F, ROW()-1), $F627)) : INDEX(AB:AB, ROW()-1)),
          AVERAGEIFS(unit_details[Asking Rent],
          unit_details[Active Listing?],TRUE,
          unit_details[Property Name], $F628,
          unit_details[Beds], $L628,
          unit_details[Baths], $M628,
          unit_details[Partial Baths], IF(ISNUMBER($N628),$N628,""),
          unit_details[Sqft],$P628
)),"")</f>
        <v/>
      </c>
      <c r="AF628" s="5" t="str">
        <f>IFERROR(IF(AE628="","",IF($F628="Total",
SUMPRODUCT(
   INDEX(AF:AF, ROW()-COUNTIF($F$6:INDEX($F:$F, ROW()-1), $F627)) : INDEX(AF:AF, ROW()-1),
   INDEX(AB:AB, ROW()-COUNTIF($F$6:INDEX($F:$F, ROW()-1), $F627)) : INDEX(AB:AB, ROW()-1)
   )
   /SUM(INDEX(AB:AB, ROW()-COUNTIF($F$6:INDEX($F:$F, ROW()-1), $F627)) : INDEX(AB:AB, ROW()-1)),
           _xlfn.MAXIFS(unit_details[Asking Rent],
          unit_details[Active Listing?],TRUE,
          unit_details[Property Name], $F628,
          unit_details[Beds], $L628,
          unit_details[Baths], $M628,
          unit_details[Partial Baths], IF(ISNUMBER($N628),$N628,""),
          unit_details[Sqft],$P628
))),"")</f>
        <v/>
      </c>
      <c r="AG628" s="6" t="str">
        <f>IFERROR(IF($F628="Total",
         SUMPRODUCT(
         INDEX(AG:AG, ROW()-COUNTIF($F$6:INDEX($F:$F, ROW()-1), $F627)) : INDEX(AG:AG, ROW()-1),
         INDEX(AB:AB, ROW()-COUNTIF($F$6:INDEX($F:$F, ROW()-1), $F627)) : INDEX(AB:AB, ROW()-1)
         )
         /SUM(INDEX(AB:AB, ROW()-COUNTIF($F$6:INDEX($F:$F, ROW()-1), $F627)) : INDEX(AB:AB, ROW()-1)),
          AVERAGEIFS(unit_details[Asking PSF],
          unit_details[Active Listing?],TRUE,
          unit_details[Property Name], $F628,
          unit_details[Beds], $L628,
          unit_details[Baths], $M628,
          unit_details[Partial Baths], IF(ISNUMBER($N628),$N628,""),
          unit_details[Sqft],$P628
)),"")</f>
        <v/>
      </c>
      <c r="AH628" s="293" t="str">
        <f>IFERROR(IF($F628="Total",
         SUMPRODUCT(
         INDEX(AH:AH, ROW()-COUNTIF($F$6:INDEX($F:$F, ROW()-1), $F627)) : INDEX(AH:AH, ROW()-1),
         INDEX(AB:AB, ROW()-COUNTIF($F$6:INDEX($F:$F, ROW()-1), $F627)) : INDEX(AB:AB, ROW()-1)
         )
         /SUM(INDEX(AB:AB, ROW()-COUNTIF($F$6:INDEX($F:$F, ROW()-1), $F627)) : INDEX(AB:AB, ROW()-1)),
          AVERAGEIFS(unit_details[Effective Rent],
          unit_details[Active Listing?],TRUE,
          unit_details[Property Name], $F628,
          unit_details[Beds], $L628,
          unit_details[Baths], $M628,
          unit_details[Partial Baths], IF(ISNUMBER($N628),$N628,""),
          unit_details[Sqft],$P628
)),"")</f>
        <v/>
      </c>
      <c r="AI628" s="6" t="str">
        <f>IFERROR(IF($F628="Total",
         SUMPRODUCT(
         INDEX(AI:AI, ROW()-COUNTIF($F$6:INDEX($F:$F, ROW()-1), $F627)) : INDEX(AI:AI, ROW()-1),
         INDEX(AB:AB, ROW()-COUNTIF($F$6:INDEX($F:$F, ROW()-1), $F627)) : INDEX(AB:AB, ROW()-1)
         )
         /SUM(INDEX(AB:AB, ROW()-COUNTIF($F$6:INDEX($F:$F, ROW()-1), $F627)) : INDEX(AB:AB, ROW()-1)),
           AVERAGEIFS(unit_details[Effective PSF],
          unit_details[Active Listing?],TRUE,
          unit_details[Property Name], $F628,
          unit_details[Beds], $L628,
          unit_details[Baths], $M628,
          unit_details[Partial Baths], IF(ISNUMBER($N628),$N628,""),
          unit_details[Sqft],$P628
)),"")</f>
        <v/>
      </c>
      <c r="AJ628" s="824" t="str">
        <f t="shared" si="103"/>
        <v/>
      </c>
      <c r="AK628" s="531" t="str">
        <f t="shared" si="104"/>
        <v/>
      </c>
      <c r="AL628" s="714" t="str">
        <f t="shared" si="105"/>
        <v/>
      </c>
      <c r="AM628" s="531" t="str">
        <f t="shared" si="106"/>
        <v/>
      </c>
      <c r="AN628" s="716" t="str">
        <f t="shared" si="107"/>
        <v/>
      </c>
    </row>
    <row r="629" spans="6:40" x14ac:dyDescent="0.2">
      <c r="F629" s="1" t="str">
        <f t="shared" si="100"/>
        <v/>
      </c>
      <c r="G629" s="713" t="str">
        <f t="shared" si="108"/>
        <v/>
      </c>
      <c r="H629" s="17" t="str">
        <f>IFERROR(VLOOKUP($G629,Table1[[Property]:[Exposure %]],4,0),"")</f>
        <v/>
      </c>
      <c r="I629" s="3" t="str">
        <f>IFERROR(VLOOKUP($G629,Table1[[Property]:[Exposure %]],6,0),"")</f>
        <v/>
      </c>
      <c r="J629" s="3" t="str">
        <f>IFERROR(VLOOKUP($G629,Table1[[Property]:[Exposure %]],7,0),"")</f>
        <v/>
      </c>
      <c r="R629" s="4" t="str">
        <f>IFERROR(VLOOKUP(IF(F629="Total",F628,F629),Table1[[Property]:['# Units]],7,0)*S629,"")</f>
        <v/>
      </c>
      <c r="S629" s="27" t="str">
        <f t="shared" si="101"/>
        <v/>
      </c>
      <c r="T629" s="531" t="str">
        <f>IFERROR(
 IF($F629="Total",
   SUMPRODUCT(
   INDEX(T:T, ROW()-COUNTIF($F$6:INDEX($F:$F, ROW()-1), $F628)) : INDEX(T:T, ROW()-1),
   INDEX(W:W, ROW()-COUNTIF($F$6:INDEX($F:$F, ROW()-1), $F628)) : INDEX(W:W, ROW()-1)
   )
   /SUM(INDEX(W:W, ROW()-COUNTIF($F$6:INDEX($F:$F, ROW()-1), $F628)) : INDEX(W:W, ROW()-1)),
   AVERAGEIFS(
     INDEX((unit_details[Asking Rent],unit_details[Asking PSF]),0,1,IF($U$3="Chunk Rent",1,2)),
     unit_details[Leased Date],"&gt;="&amp;($AM$2-T$5),
     unit_details[Leased Date],"&lt;"&amp;$AM$2,
     unit_details[Beds],$L629,
     unit_details[Baths],$M629,
     unit_details[Partial Baths],IF(ISNUMBER($N629),$N629,""),
     unit_details[Sqft],$P629,
     unit_details[Property Name],$F629)
 ),"")</f>
        <v/>
      </c>
      <c r="U629" s="552" t="str">
        <f>IFERROR(
 IF($F629="Total",
   SUMPRODUCT(
   INDEX(U:U, ROW()-COUNTIF($F$6:INDEX($F:$F, ROW()-1), $F628)) : INDEX(U:U, ROW()-1),
   INDEX(W:W, ROW()-COUNTIF($F$6:INDEX($F:$F, ROW()-1), $F628)) : INDEX(W:W, ROW()-1)
   )
   /SUM(INDEX(W:W, ROW()-COUNTIF($F$6:INDEX($F:$F, ROW()-1), $F628)) : INDEX(W:W, ROW()-1)),
   AVERAGEIFS(
     INDEX((unit_details[Effective Rent],unit_details[Effective PSF]),0,1,IF($U$3="Chunk Rent",1,2)),
     unit_details[Leased Date],"&gt;="&amp;($AM$2-T$5),
     unit_details[Leased Date],"&lt;"&amp;$AM$2,
     unit_details[Beds],$L629,
     unit_details[Baths],$M629,
     unit_details[Partial Baths],IF(ISNUMBER($N629),$N629,""),
     unit_details[Sqft],$P629,
     unit_details[Property Name],$F629)
 ),"")</f>
        <v/>
      </c>
      <c r="V629" s="27" t="str">
        <f t="shared" si="109"/>
        <v/>
      </c>
      <c r="W629" s="526">
        <f>IFERROR(
  IF($F629="Total",
    SUM(INDEX(W:W, ROW()-COUNTIF($F$6:INDEX($F:$F, ROW()-1), $F628)) : INDEX(W:W, ROW()-1)),
    COUNTIFS(
      unit_details[Leased Date], "&gt;="&amp;($AM$2-T$5),
      unit_details[Leased Date], "&lt;"&amp;$AM$2,
      unit_details[Beds], $L629,
      unit_details[Baths], $M629,
      unit_details[Partial Baths], IF(ISNUMBER($N629), $N629, ""),
      unit_details[Sqft],$P629,
      unit_details[Property Name], $F629
    )
  ),
"")</f>
        <v>0</v>
      </c>
      <c r="X629" s="531" t="str">
        <f>IFERROR(
 IF($F629="Total",
   SUMPRODUCT(
   INDEX(X:X, ROW()-COUNTIF($F$6:INDEX($F:$F, ROW()-1), $F628)) : INDEX(X:X, ROW()-1),
   INDEX(AA:AA, ROW()-COUNTIF($F$6:INDEX($F:$F, ROW()-1), $F628)) : INDEX(AA:AA, ROW()-1)
   )
   /SUM(INDEX(AA:AA, ROW()-COUNTIF($F$6:INDEX($F:$F, ROW()-1), $F628)) : INDEX(AA:AA, ROW()-1)),
   AVERAGEIFS(
     INDEX((unit_details[Asking Rent],unit_details[Asking PSF]),0,1,IF($U$3="Chunk Rent",1,2)),
     unit_details[Leased Date],"&gt;="&amp;($AM$2-X$5),
     unit_details[Leased Date],"&lt;"&amp;$AM$2,
     unit_details[Beds],$L629,
     unit_details[Baths],$M629,
     unit_details[Partial Baths],IF(ISNUMBER($N629),$N629,""),
     unit_details[Sqft],$P629,
     unit_details[Property Name],$F629)
 ),"")</f>
        <v/>
      </c>
      <c r="Y629" s="552" t="str">
        <f>IFERROR(
 IF($F629="Total",
   SUMPRODUCT(
   INDEX(Y:Y, ROW()-COUNTIF($F$6:INDEX($F:$F, ROW()-1), $F628)) : INDEX(Y:Y, ROW()-1),
   INDEX(AA:AA, ROW()-COUNTIF($F$6:INDEX($F:$F, ROW()-1), $F628)) : INDEX(AA:AA, ROW()-1)
   )
   /SUM(INDEX(AA:AA, ROW()-COUNTIF($F$6:INDEX($F:$F, ROW()-1), $F628)) : INDEX(AA:AA, ROW()-1)),
   AVERAGEIFS(
     INDEX((unit_details[Effective Rent],unit_details[Effective PSF]),0,1,IF($U$3="Chunk Rent",1,2)),
     unit_details[Leased Date],"&gt;="&amp;($AM$2-X$5),
     unit_details[Leased Date],"&lt;"&amp;$AM$2,
     unit_details[Beds],$L629,
     unit_details[Baths],$M629,
     unit_details[Partial Baths],IF(ISNUMBER($N629),$N629,""),
     unit_details[Sqft],$P629,
     unit_details[Property Name],$F629)
 ),"")</f>
        <v/>
      </c>
      <c r="Z629" s="27" t="str">
        <f t="shared" si="110"/>
        <v/>
      </c>
      <c r="AA629" s="526">
        <f>IFERROR(
  IF($F629="Total",
    SUM(INDEX(AA:AA, ROW()-COUNTIF($F$6:INDEX($F:$F, ROW()-1), $F628)) : INDEX(AA:AA, ROW()-1)),
    COUNTIFS(
      unit_details[Leased Date], "&gt;="&amp;($AM$2-X$5),
      unit_details[Leased Date], "&lt;"&amp;$AM$2,
      unit_details[Beds], $L629,
      unit_details[Baths], $M629,
      unit_details[Partial Baths], IF(ISNUMBER($N629), $N629, ""),
      unit_details[Sqft],$P629,
      unit_details[Property Name], $F629
    )
  ),
"")</f>
        <v>0</v>
      </c>
      <c r="AB629" s="290">
        <f>IF($F629="Total",
SUM(INDEX(AB:AB, ROW()-COUNTIF($F$6:INDEX($F:$F, ROW()-1), $F628)) : INDEX(AB:AB, ROW()-1)),
COUNTIFS(unit_details[Active Listing?],TRUE,
          unit_details[Property Name], $F629,
          unit_details[Beds], $L629,
          unit_details[Baths], $M629,
          unit_details[Partial Baths],IF(ISNUMBER($N629),$N629,""),
          unit_details[Sqft],$P629))</f>
        <v>0</v>
      </c>
      <c r="AC629" s="27" t="str">
        <f t="shared" si="102"/>
        <v/>
      </c>
      <c r="AD629" s="293" t="str">
        <f>IFERROR(IF(AE629="","",IF($F629="Total",
SUMPRODUCT(
   INDEX(AD:AD, ROW()-COUNTIF($F$6:INDEX($F:$F, ROW()-1), $F628)) : INDEX(AD:AD, ROW()-1),
   INDEX(AB:AB, ROW()-COUNTIF($F$6:INDEX($F:$F, ROW()-1), $F628)) : INDEX(AB:AB, ROW()-1)
   )
   /SUM(INDEX(AB:AB, ROW()-COUNTIF($F$6:INDEX($F:$F, ROW()-1), $F628)) : INDEX(AB:AB, ROW()-1)),
          _xlfn.MINIFS(unit_details[Asking Rent],
          unit_details[Active Listing?],TRUE,
          unit_details[Property Name], $F629,
          unit_details[Beds], $L629,
          unit_details[Baths], $M629,
          unit_details[Partial Baths], IF(ISNUMBER($N629),$N629,""),
          unit_details[Sqft],$P629
))),"")</f>
        <v/>
      </c>
      <c r="AE629" s="5" t="str">
        <f>IFERROR(IF($F629="Total",
          SUMPRODUCT(
   INDEX(AE:AE, ROW()-COUNTIF($F$6:INDEX($F:$F, ROW()-1), $F628)) : INDEX(AE:AE, ROW()-1),
   INDEX(AB:AB, ROW()-COUNTIF($F$6:INDEX($F:$F, ROW()-1), $F628)) : INDEX(AB:AB, ROW()-1)
   )
   /SUM(INDEX(AB:AB, ROW()-COUNTIF($F$6:INDEX($F:$F, ROW()-1), $F628)) : INDEX(AB:AB, ROW()-1)),
          AVERAGEIFS(unit_details[Asking Rent],
          unit_details[Active Listing?],TRUE,
          unit_details[Property Name], $F629,
          unit_details[Beds], $L629,
          unit_details[Baths], $M629,
          unit_details[Partial Baths], IF(ISNUMBER($N629),$N629,""),
          unit_details[Sqft],$P629
)),"")</f>
        <v/>
      </c>
      <c r="AF629" s="5" t="str">
        <f>IFERROR(IF(AE629="","",IF($F629="Total",
SUMPRODUCT(
   INDEX(AF:AF, ROW()-COUNTIF($F$6:INDEX($F:$F, ROW()-1), $F628)) : INDEX(AF:AF, ROW()-1),
   INDEX(AB:AB, ROW()-COUNTIF($F$6:INDEX($F:$F, ROW()-1), $F628)) : INDEX(AB:AB, ROW()-1)
   )
   /SUM(INDEX(AB:AB, ROW()-COUNTIF($F$6:INDEX($F:$F, ROW()-1), $F628)) : INDEX(AB:AB, ROW()-1)),
           _xlfn.MAXIFS(unit_details[Asking Rent],
          unit_details[Active Listing?],TRUE,
          unit_details[Property Name], $F629,
          unit_details[Beds], $L629,
          unit_details[Baths], $M629,
          unit_details[Partial Baths], IF(ISNUMBER($N629),$N629,""),
          unit_details[Sqft],$P629
))),"")</f>
        <v/>
      </c>
      <c r="AG629" s="6" t="str">
        <f>IFERROR(IF($F629="Total",
         SUMPRODUCT(
         INDEX(AG:AG, ROW()-COUNTIF($F$6:INDEX($F:$F, ROW()-1), $F628)) : INDEX(AG:AG, ROW()-1),
         INDEX(AB:AB, ROW()-COUNTIF($F$6:INDEX($F:$F, ROW()-1), $F628)) : INDEX(AB:AB, ROW()-1)
         )
         /SUM(INDEX(AB:AB, ROW()-COUNTIF($F$6:INDEX($F:$F, ROW()-1), $F628)) : INDEX(AB:AB, ROW()-1)),
          AVERAGEIFS(unit_details[Asking PSF],
          unit_details[Active Listing?],TRUE,
          unit_details[Property Name], $F629,
          unit_details[Beds], $L629,
          unit_details[Baths], $M629,
          unit_details[Partial Baths], IF(ISNUMBER($N629),$N629,""),
          unit_details[Sqft],$P629
)),"")</f>
        <v/>
      </c>
      <c r="AH629" s="293" t="str">
        <f>IFERROR(IF($F629="Total",
         SUMPRODUCT(
         INDEX(AH:AH, ROW()-COUNTIF($F$6:INDEX($F:$F, ROW()-1), $F628)) : INDEX(AH:AH, ROW()-1),
         INDEX(AB:AB, ROW()-COUNTIF($F$6:INDEX($F:$F, ROW()-1), $F628)) : INDEX(AB:AB, ROW()-1)
         )
         /SUM(INDEX(AB:AB, ROW()-COUNTIF($F$6:INDEX($F:$F, ROW()-1), $F628)) : INDEX(AB:AB, ROW()-1)),
          AVERAGEIFS(unit_details[Effective Rent],
          unit_details[Active Listing?],TRUE,
          unit_details[Property Name], $F629,
          unit_details[Beds], $L629,
          unit_details[Baths], $M629,
          unit_details[Partial Baths], IF(ISNUMBER($N629),$N629,""),
          unit_details[Sqft],$P629
)),"")</f>
        <v/>
      </c>
      <c r="AI629" s="6" t="str">
        <f>IFERROR(IF($F629="Total",
         SUMPRODUCT(
         INDEX(AI:AI, ROW()-COUNTIF($F$6:INDEX($F:$F, ROW()-1), $F628)) : INDEX(AI:AI, ROW()-1),
         INDEX(AB:AB, ROW()-COUNTIF($F$6:INDEX($F:$F, ROW()-1), $F628)) : INDEX(AB:AB, ROW()-1)
         )
         /SUM(INDEX(AB:AB, ROW()-COUNTIF($F$6:INDEX($F:$F, ROW()-1), $F628)) : INDEX(AB:AB, ROW()-1)),
           AVERAGEIFS(unit_details[Effective PSF],
          unit_details[Active Listing?],TRUE,
          unit_details[Property Name], $F629,
          unit_details[Beds], $L629,
          unit_details[Baths], $M629,
          unit_details[Partial Baths], IF(ISNUMBER($N629),$N629,""),
          unit_details[Sqft],$P629
)),"")</f>
        <v/>
      </c>
      <c r="AJ629" s="824" t="str">
        <f t="shared" si="103"/>
        <v/>
      </c>
      <c r="AK629" s="531" t="str">
        <f t="shared" si="104"/>
        <v/>
      </c>
      <c r="AL629" s="714" t="str">
        <f t="shared" si="105"/>
        <v/>
      </c>
      <c r="AM629" s="531" t="str">
        <f t="shared" si="106"/>
        <v/>
      </c>
      <c r="AN629" s="716" t="str">
        <f t="shared" si="107"/>
        <v/>
      </c>
    </row>
    <row r="630" spans="6:40" x14ac:dyDescent="0.2">
      <c r="F630" s="1" t="str">
        <f t="shared" si="100"/>
        <v/>
      </c>
      <c r="G630" s="713" t="str">
        <f t="shared" si="108"/>
        <v/>
      </c>
      <c r="H630" s="17" t="str">
        <f>IFERROR(VLOOKUP($G630,Table1[[Property]:[Exposure %]],4,0),"")</f>
        <v/>
      </c>
      <c r="I630" s="3" t="str">
        <f>IFERROR(VLOOKUP($G630,Table1[[Property]:[Exposure %]],6,0),"")</f>
        <v/>
      </c>
      <c r="J630" s="3" t="str">
        <f>IFERROR(VLOOKUP($G630,Table1[[Property]:[Exposure %]],7,0),"")</f>
        <v/>
      </c>
      <c r="R630" s="4" t="str">
        <f>IFERROR(VLOOKUP(IF(F630="Total",F629,F630),Table1[[Property]:['# Units]],7,0)*S630,"")</f>
        <v/>
      </c>
      <c r="S630" s="27" t="str">
        <f t="shared" si="101"/>
        <v/>
      </c>
      <c r="T630" s="531" t="str">
        <f>IFERROR(
 IF($F630="Total",
   SUMPRODUCT(
   INDEX(T:T, ROW()-COUNTIF($F$6:INDEX($F:$F, ROW()-1), $F629)) : INDEX(T:T, ROW()-1),
   INDEX(W:W, ROW()-COUNTIF($F$6:INDEX($F:$F, ROW()-1), $F629)) : INDEX(W:W, ROW()-1)
   )
   /SUM(INDEX(W:W, ROW()-COUNTIF($F$6:INDEX($F:$F, ROW()-1), $F629)) : INDEX(W:W, ROW()-1)),
   AVERAGEIFS(
     INDEX((unit_details[Asking Rent],unit_details[Asking PSF]),0,1,IF($U$3="Chunk Rent",1,2)),
     unit_details[Leased Date],"&gt;="&amp;($AM$2-T$5),
     unit_details[Leased Date],"&lt;"&amp;$AM$2,
     unit_details[Beds],$L630,
     unit_details[Baths],$M630,
     unit_details[Partial Baths],IF(ISNUMBER($N630),$N630,""),
     unit_details[Sqft],$P630,
     unit_details[Property Name],$F630)
 ),"")</f>
        <v/>
      </c>
      <c r="U630" s="552" t="str">
        <f>IFERROR(
 IF($F630="Total",
   SUMPRODUCT(
   INDEX(U:U, ROW()-COUNTIF($F$6:INDEX($F:$F, ROW()-1), $F629)) : INDEX(U:U, ROW()-1),
   INDEX(W:W, ROW()-COUNTIF($F$6:INDEX($F:$F, ROW()-1), $F629)) : INDEX(W:W, ROW()-1)
   )
   /SUM(INDEX(W:W, ROW()-COUNTIF($F$6:INDEX($F:$F, ROW()-1), $F629)) : INDEX(W:W, ROW()-1)),
   AVERAGEIFS(
     INDEX((unit_details[Effective Rent],unit_details[Effective PSF]),0,1,IF($U$3="Chunk Rent",1,2)),
     unit_details[Leased Date],"&gt;="&amp;($AM$2-T$5),
     unit_details[Leased Date],"&lt;"&amp;$AM$2,
     unit_details[Beds],$L630,
     unit_details[Baths],$M630,
     unit_details[Partial Baths],IF(ISNUMBER($N630),$N630,""),
     unit_details[Sqft],$P630,
     unit_details[Property Name],$F630)
 ),"")</f>
        <v/>
      </c>
      <c r="V630" s="27" t="str">
        <f t="shared" si="109"/>
        <v/>
      </c>
      <c r="W630" s="526">
        <f>IFERROR(
  IF($F630="Total",
    SUM(INDEX(W:W, ROW()-COUNTIF($F$6:INDEX($F:$F, ROW()-1), $F629)) : INDEX(W:W, ROW()-1)),
    COUNTIFS(
      unit_details[Leased Date], "&gt;="&amp;($AM$2-T$5),
      unit_details[Leased Date], "&lt;"&amp;$AM$2,
      unit_details[Beds], $L630,
      unit_details[Baths], $M630,
      unit_details[Partial Baths], IF(ISNUMBER($N630), $N630, ""),
      unit_details[Sqft],$P630,
      unit_details[Property Name], $F630
    )
  ),
"")</f>
        <v>0</v>
      </c>
      <c r="X630" s="531" t="str">
        <f>IFERROR(
 IF($F630="Total",
   SUMPRODUCT(
   INDEX(X:X, ROW()-COUNTIF($F$6:INDEX($F:$F, ROW()-1), $F629)) : INDEX(X:X, ROW()-1),
   INDEX(AA:AA, ROW()-COUNTIF($F$6:INDEX($F:$F, ROW()-1), $F629)) : INDEX(AA:AA, ROW()-1)
   )
   /SUM(INDEX(AA:AA, ROW()-COUNTIF($F$6:INDEX($F:$F, ROW()-1), $F629)) : INDEX(AA:AA, ROW()-1)),
   AVERAGEIFS(
     INDEX((unit_details[Asking Rent],unit_details[Asking PSF]),0,1,IF($U$3="Chunk Rent",1,2)),
     unit_details[Leased Date],"&gt;="&amp;($AM$2-X$5),
     unit_details[Leased Date],"&lt;"&amp;$AM$2,
     unit_details[Beds],$L630,
     unit_details[Baths],$M630,
     unit_details[Partial Baths],IF(ISNUMBER($N630),$N630,""),
     unit_details[Sqft],$P630,
     unit_details[Property Name],$F630)
 ),"")</f>
        <v/>
      </c>
      <c r="Y630" s="552" t="str">
        <f>IFERROR(
 IF($F630="Total",
   SUMPRODUCT(
   INDEX(Y:Y, ROW()-COUNTIF($F$6:INDEX($F:$F, ROW()-1), $F629)) : INDEX(Y:Y, ROW()-1),
   INDEX(AA:AA, ROW()-COUNTIF($F$6:INDEX($F:$F, ROW()-1), $F629)) : INDEX(AA:AA, ROW()-1)
   )
   /SUM(INDEX(AA:AA, ROW()-COUNTIF($F$6:INDEX($F:$F, ROW()-1), $F629)) : INDEX(AA:AA, ROW()-1)),
   AVERAGEIFS(
     INDEX((unit_details[Effective Rent],unit_details[Effective PSF]),0,1,IF($U$3="Chunk Rent",1,2)),
     unit_details[Leased Date],"&gt;="&amp;($AM$2-X$5),
     unit_details[Leased Date],"&lt;"&amp;$AM$2,
     unit_details[Beds],$L630,
     unit_details[Baths],$M630,
     unit_details[Partial Baths],IF(ISNUMBER($N630),$N630,""),
     unit_details[Sqft],$P630,
     unit_details[Property Name],$F630)
 ),"")</f>
        <v/>
      </c>
      <c r="Z630" s="27" t="str">
        <f t="shared" si="110"/>
        <v/>
      </c>
      <c r="AA630" s="526">
        <f>IFERROR(
  IF($F630="Total",
    SUM(INDEX(AA:AA, ROW()-COUNTIF($F$6:INDEX($F:$F, ROW()-1), $F629)) : INDEX(AA:AA, ROW()-1)),
    COUNTIFS(
      unit_details[Leased Date], "&gt;="&amp;($AM$2-X$5),
      unit_details[Leased Date], "&lt;"&amp;$AM$2,
      unit_details[Beds], $L630,
      unit_details[Baths], $M630,
      unit_details[Partial Baths], IF(ISNUMBER($N630), $N630, ""),
      unit_details[Sqft],$P630,
      unit_details[Property Name], $F630
    )
  ),
"")</f>
        <v>0</v>
      </c>
      <c r="AB630" s="290">
        <f>IF($F630="Total",
SUM(INDEX(AB:AB, ROW()-COUNTIF($F$6:INDEX($F:$F, ROW()-1), $F629)) : INDEX(AB:AB, ROW()-1)),
COUNTIFS(unit_details[Active Listing?],TRUE,
          unit_details[Property Name], $F630,
          unit_details[Beds], $L630,
          unit_details[Baths], $M630,
          unit_details[Partial Baths],IF(ISNUMBER($N630),$N630,""),
          unit_details[Sqft],$P630))</f>
        <v>0</v>
      </c>
      <c r="AC630" s="27" t="str">
        <f t="shared" si="102"/>
        <v/>
      </c>
      <c r="AD630" s="293" t="str">
        <f>IFERROR(IF(AE630="","",IF($F630="Total",
SUMPRODUCT(
   INDEX(AD:AD, ROW()-COUNTIF($F$6:INDEX($F:$F, ROW()-1), $F629)) : INDEX(AD:AD, ROW()-1),
   INDEX(AB:AB, ROW()-COUNTIF($F$6:INDEX($F:$F, ROW()-1), $F629)) : INDEX(AB:AB, ROW()-1)
   )
   /SUM(INDEX(AB:AB, ROW()-COUNTIF($F$6:INDEX($F:$F, ROW()-1), $F629)) : INDEX(AB:AB, ROW()-1)),
          _xlfn.MINIFS(unit_details[Asking Rent],
          unit_details[Active Listing?],TRUE,
          unit_details[Property Name], $F630,
          unit_details[Beds], $L630,
          unit_details[Baths], $M630,
          unit_details[Partial Baths], IF(ISNUMBER($N630),$N630,""),
          unit_details[Sqft],$P630
))),"")</f>
        <v/>
      </c>
      <c r="AE630" s="5" t="str">
        <f>IFERROR(IF($F630="Total",
          SUMPRODUCT(
   INDEX(AE:AE, ROW()-COUNTIF($F$6:INDEX($F:$F, ROW()-1), $F629)) : INDEX(AE:AE, ROW()-1),
   INDEX(AB:AB, ROW()-COUNTIF($F$6:INDEX($F:$F, ROW()-1), $F629)) : INDEX(AB:AB, ROW()-1)
   )
   /SUM(INDEX(AB:AB, ROW()-COUNTIF($F$6:INDEX($F:$F, ROW()-1), $F629)) : INDEX(AB:AB, ROW()-1)),
          AVERAGEIFS(unit_details[Asking Rent],
          unit_details[Active Listing?],TRUE,
          unit_details[Property Name], $F630,
          unit_details[Beds], $L630,
          unit_details[Baths], $M630,
          unit_details[Partial Baths], IF(ISNUMBER($N630),$N630,""),
          unit_details[Sqft],$P630
)),"")</f>
        <v/>
      </c>
      <c r="AF630" s="5" t="str">
        <f>IFERROR(IF(AE630="","",IF($F630="Total",
SUMPRODUCT(
   INDEX(AF:AF, ROW()-COUNTIF($F$6:INDEX($F:$F, ROW()-1), $F629)) : INDEX(AF:AF, ROW()-1),
   INDEX(AB:AB, ROW()-COUNTIF($F$6:INDEX($F:$F, ROW()-1), $F629)) : INDEX(AB:AB, ROW()-1)
   )
   /SUM(INDEX(AB:AB, ROW()-COUNTIF($F$6:INDEX($F:$F, ROW()-1), $F629)) : INDEX(AB:AB, ROW()-1)),
           _xlfn.MAXIFS(unit_details[Asking Rent],
          unit_details[Active Listing?],TRUE,
          unit_details[Property Name], $F630,
          unit_details[Beds], $L630,
          unit_details[Baths], $M630,
          unit_details[Partial Baths], IF(ISNUMBER($N630),$N630,""),
          unit_details[Sqft],$P630
))),"")</f>
        <v/>
      </c>
      <c r="AG630" s="6" t="str">
        <f>IFERROR(IF($F630="Total",
         SUMPRODUCT(
         INDEX(AG:AG, ROW()-COUNTIF($F$6:INDEX($F:$F, ROW()-1), $F629)) : INDEX(AG:AG, ROW()-1),
         INDEX(AB:AB, ROW()-COUNTIF($F$6:INDEX($F:$F, ROW()-1), $F629)) : INDEX(AB:AB, ROW()-1)
         )
         /SUM(INDEX(AB:AB, ROW()-COUNTIF($F$6:INDEX($F:$F, ROW()-1), $F629)) : INDEX(AB:AB, ROW()-1)),
          AVERAGEIFS(unit_details[Asking PSF],
          unit_details[Active Listing?],TRUE,
          unit_details[Property Name], $F630,
          unit_details[Beds], $L630,
          unit_details[Baths], $M630,
          unit_details[Partial Baths], IF(ISNUMBER($N630),$N630,""),
          unit_details[Sqft],$P630
)),"")</f>
        <v/>
      </c>
      <c r="AH630" s="293" t="str">
        <f>IFERROR(IF($F630="Total",
         SUMPRODUCT(
         INDEX(AH:AH, ROW()-COUNTIF($F$6:INDEX($F:$F, ROW()-1), $F629)) : INDEX(AH:AH, ROW()-1),
         INDEX(AB:AB, ROW()-COUNTIF($F$6:INDEX($F:$F, ROW()-1), $F629)) : INDEX(AB:AB, ROW()-1)
         )
         /SUM(INDEX(AB:AB, ROW()-COUNTIF($F$6:INDEX($F:$F, ROW()-1), $F629)) : INDEX(AB:AB, ROW()-1)),
          AVERAGEIFS(unit_details[Effective Rent],
          unit_details[Active Listing?],TRUE,
          unit_details[Property Name], $F630,
          unit_details[Beds], $L630,
          unit_details[Baths], $M630,
          unit_details[Partial Baths], IF(ISNUMBER($N630),$N630,""),
          unit_details[Sqft],$P630
)),"")</f>
        <v/>
      </c>
      <c r="AI630" s="6" t="str">
        <f>IFERROR(IF($F630="Total",
         SUMPRODUCT(
         INDEX(AI:AI, ROW()-COUNTIF($F$6:INDEX($F:$F, ROW()-1), $F629)) : INDEX(AI:AI, ROW()-1),
         INDEX(AB:AB, ROW()-COUNTIF($F$6:INDEX($F:$F, ROW()-1), $F629)) : INDEX(AB:AB, ROW()-1)
         )
         /SUM(INDEX(AB:AB, ROW()-COUNTIF($F$6:INDEX($F:$F, ROW()-1), $F629)) : INDEX(AB:AB, ROW()-1)),
           AVERAGEIFS(unit_details[Effective PSF],
          unit_details[Active Listing?],TRUE,
          unit_details[Property Name], $F630,
          unit_details[Beds], $L630,
          unit_details[Baths], $M630,
          unit_details[Partial Baths], IF(ISNUMBER($N630),$N630,""),
          unit_details[Sqft],$P630
)),"")</f>
        <v/>
      </c>
      <c r="AJ630" s="824" t="str">
        <f t="shared" si="103"/>
        <v/>
      </c>
      <c r="AK630" s="531" t="str">
        <f t="shared" si="104"/>
        <v/>
      </c>
      <c r="AL630" s="714" t="str">
        <f t="shared" si="105"/>
        <v/>
      </c>
      <c r="AM630" s="531" t="str">
        <f t="shared" si="106"/>
        <v/>
      </c>
      <c r="AN630" s="716" t="str">
        <f t="shared" si="107"/>
        <v/>
      </c>
    </row>
    <row r="631" spans="6:40" x14ac:dyDescent="0.2">
      <c r="F631" s="1" t="str">
        <f t="shared" si="100"/>
        <v/>
      </c>
      <c r="G631" s="713" t="str">
        <f t="shared" si="108"/>
        <v/>
      </c>
      <c r="H631" s="17" t="str">
        <f>IFERROR(VLOOKUP($G631,Table1[[Property]:[Exposure %]],4,0),"")</f>
        <v/>
      </c>
      <c r="I631" s="3" t="str">
        <f>IFERROR(VLOOKUP($G631,Table1[[Property]:[Exposure %]],6,0),"")</f>
        <v/>
      </c>
      <c r="J631" s="3" t="str">
        <f>IFERROR(VLOOKUP($G631,Table1[[Property]:[Exposure %]],7,0),"")</f>
        <v/>
      </c>
      <c r="R631" s="4" t="str">
        <f>IFERROR(VLOOKUP(IF(F631="Total",F630,F631),Table1[[Property]:['# Units]],7,0)*S631,"")</f>
        <v/>
      </c>
      <c r="S631" s="27" t="str">
        <f t="shared" si="101"/>
        <v/>
      </c>
      <c r="T631" s="531" t="str">
        <f>IFERROR(
 IF($F631="Total",
   SUMPRODUCT(
   INDEX(T:T, ROW()-COUNTIF($F$6:INDEX($F:$F, ROW()-1), $F630)) : INDEX(T:T, ROW()-1),
   INDEX(W:W, ROW()-COUNTIF($F$6:INDEX($F:$F, ROW()-1), $F630)) : INDEX(W:W, ROW()-1)
   )
   /SUM(INDEX(W:W, ROW()-COUNTIF($F$6:INDEX($F:$F, ROW()-1), $F630)) : INDEX(W:W, ROW()-1)),
   AVERAGEIFS(
     INDEX((unit_details[Asking Rent],unit_details[Asking PSF]),0,1,IF($U$3="Chunk Rent",1,2)),
     unit_details[Leased Date],"&gt;="&amp;($AM$2-T$5),
     unit_details[Leased Date],"&lt;"&amp;$AM$2,
     unit_details[Beds],$L631,
     unit_details[Baths],$M631,
     unit_details[Partial Baths],IF(ISNUMBER($N631),$N631,""),
     unit_details[Sqft],$P631,
     unit_details[Property Name],$F631)
 ),"")</f>
        <v/>
      </c>
      <c r="U631" s="552" t="str">
        <f>IFERROR(
 IF($F631="Total",
   SUMPRODUCT(
   INDEX(U:U, ROW()-COUNTIF($F$6:INDEX($F:$F, ROW()-1), $F630)) : INDEX(U:U, ROW()-1),
   INDEX(W:W, ROW()-COUNTIF($F$6:INDEX($F:$F, ROW()-1), $F630)) : INDEX(W:W, ROW()-1)
   )
   /SUM(INDEX(W:W, ROW()-COUNTIF($F$6:INDEX($F:$F, ROW()-1), $F630)) : INDEX(W:W, ROW()-1)),
   AVERAGEIFS(
     INDEX((unit_details[Effective Rent],unit_details[Effective PSF]),0,1,IF($U$3="Chunk Rent",1,2)),
     unit_details[Leased Date],"&gt;="&amp;($AM$2-T$5),
     unit_details[Leased Date],"&lt;"&amp;$AM$2,
     unit_details[Beds],$L631,
     unit_details[Baths],$M631,
     unit_details[Partial Baths],IF(ISNUMBER($N631),$N631,""),
     unit_details[Sqft],$P631,
     unit_details[Property Name],$F631)
 ),"")</f>
        <v/>
      </c>
      <c r="V631" s="27" t="str">
        <f t="shared" si="109"/>
        <v/>
      </c>
      <c r="W631" s="526">
        <f>IFERROR(
  IF($F631="Total",
    SUM(INDEX(W:W, ROW()-COUNTIF($F$6:INDEX($F:$F, ROW()-1), $F630)) : INDEX(W:W, ROW()-1)),
    COUNTIFS(
      unit_details[Leased Date], "&gt;="&amp;($AM$2-T$5),
      unit_details[Leased Date], "&lt;"&amp;$AM$2,
      unit_details[Beds], $L631,
      unit_details[Baths], $M631,
      unit_details[Partial Baths], IF(ISNUMBER($N631), $N631, ""),
      unit_details[Sqft],$P631,
      unit_details[Property Name], $F631
    )
  ),
"")</f>
        <v>0</v>
      </c>
      <c r="X631" s="531" t="str">
        <f>IFERROR(
 IF($F631="Total",
   SUMPRODUCT(
   INDEX(X:X, ROW()-COUNTIF($F$6:INDEX($F:$F, ROW()-1), $F630)) : INDEX(X:X, ROW()-1),
   INDEX(AA:AA, ROW()-COUNTIF($F$6:INDEX($F:$F, ROW()-1), $F630)) : INDEX(AA:AA, ROW()-1)
   )
   /SUM(INDEX(AA:AA, ROW()-COUNTIF($F$6:INDEX($F:$F, ROW()-1), $F630)) : INDEX(AA:AA, ROW()-1)),
   AVERAGEIFS(
     INDEX((unit_details[Asking Rent],unit_details[Asking PSF]),0,1,IF($U$3="Chunk Rent",1,2)),
     unit_details[Leased Date],"&gt;="&amp;($AM$2-X$5),
     unit_details[Leased Date],"&lt;"&amp;$AM$2,
     unit_details[Beds],$L631,
     unit_details[Baths],$M631,
     unit_details[Partial Baths],IF(ISNUMBER($N631),$N631,""),
     unit_details[Sqft],$P631,
     unit_details[Property Name],$F631)
 ),"")</f>
        <v/>
      </c>
      <c r="Y631" s="552" t="str">
        <f>IFERROR(
 IF($F631="Total",
   SUMPRODUCT(
   INDEX(Y:Y, ROW()-COUNTIF($F$6:INDEX($F:$F, ROW()-1), $F630)) : INDEX(Y:Y, ROW()-1),
   INDEX(AA:AA, ROW()-COUNTIF($F$6:INDEX($F:$F, ROW()-1), $F630)) : INDEX(AA:AA, ROW()-1)
   )
   /SUM(INDEX(AA:AA, ROW()-COUNTIF($F$6:INDEX($F:$F, ROW()-1), $F630)) : INDEX(AA:AA, ROW()-1)),
   AVERAGEIFS(
     INDEX((unit_details[Effective Rent],unit_details[Effective PSF]),0,1,IF($U$3="Chunk Rent",1,2)),
     unit_details[Leased Date],"&gt;="&amp;($AM$2-X$5),
     unit_details[Leased Date],"&lt;"&amp;$AM$2,
     unit_details[Beds],$L631,
     unit_details[Baths],$M631,
     unit_details[Partial Baths],IF(ISNUMBER($N631),$N631,""),
     unit_details[Sqft],$P631,
     unit_details[Property Name],$F631)
 ),"")</f>
        <v/>
      </c>
      <c r="Z631" s="27" t="str">
        <f t="shared" si="110"/>
        <v/>
      </c>
      <c r="AA631" s="526">
        <f>IFERROR(
  IF($F631="Total",
    SUM(INDEX(AA:AA, ROW()-COUNTIF($F$6:INDEX($F:$F, ROW()-1), $F630)) : INDEX(AA:AA, ROW()-1)),
    COUNTIFS(
      unit_details[Leased Date], "&gt;="&amp;($AM$2-X$5),
      unit_details[Leased Date], "&lt;"&amp;$AM$2,
      unit_details[Beds], $L631,
      unit_details[Baths], $M631,
      unit_details[Partial Baths], IF(ISNUMBER($N631), $N631, ""),
      unit_details[Sqft],$P631,
      unit_details[Property Name], $F631
    )
  ),
"")</f>
        <v>0</v>
      </c>
      <c r="AB631" s="290">
        <f>IF($F631="Total",
SUM(INDEX(AB:AB, ROW()-COUNTIF($F$6:INDEX($F:$F, ROW()-1), $F630)) : INDEX(AB:AB, ROW()-1)),
COUNTIFS(unit_details[Active Listing?],TRUE,
          unit_details[Property Name], $F631,
          unit_details[Beds], $L631,
          unit_details[Baths], $M631,
          unit_details[Partial Baths],IF(ISNUMBER($N631),$N631,""),
          unit_details[Sqft],$P631))</f>
        <v>0</v>
      </c>
      <c r="AC631" s="27" t="str">
        <f t="shared" si="102"/>
        <v/>
      </c>
      <c r="AD631" s="293" t="str">
        <f>IFERROR(IF(AE631="","",IF($F631="Total",
SUMPRODUCT(
   INDEX(AD:AD, ROW()-COUNTIF($F$6:INDEX($F:$F, ROW()-1), $F630)) : INDEX(AD:AD, ROW()-1),
   INDEX(AB:AB, ROW()-COUNTIF($F$6:INDEX($F:$F, ROW()-1), $F630)) : INDEX(AB:AB, ROW()-1)
   )
   /SUM(INDEX(AB:AB, ROW()-COUNTIF($F$6:INDEX($F:$F, ROW()-1), $F630)) : INDEX(AB:AB, ROW()-1)),
          _xlfn.MINIFS(unit_details[Asking Rent],
          unit_details[Active Listing?],TRUE,
          unit_details[Property Name], $F631,
          unit_details[Beds], $L631,
          unit_details[Baths], $M631,
          unit_details[Partial Baths], IF(ISNUMBER($N631),$N631,""),
          unit_details[Sqft],$P631
))),"")</f>
        <v/>
      </c>
      <c r="AE631" s="5" t="str">
        <f>IFERROR(IF($F631="Total",
          SUMPRODUCT(
   INDEX(AE:AE, ROW()-COUNTIF($F$6:INDEX($F:$F, ROW()-1), $F630)) : INDEX(AE:AE, ROW()-1),
   INDEX(AB:AB, ROW()-COUNTIF($F$6:INDEX($F:$F, ROW()-1), $F630)) : INDEX(AB:AB, ROW()-1)
   )
   /SUM(INDEX(AB:AB, ROW()-COUNTIF($F$6:INDEX($F:$F, ROW()-1), $F630)) : INDEX(AB:AB, ROW()-1)),
          AVERAGEIFS(unit_details[Asking Rent],
          unit_details[Active Listing?],TRUE,
          unit_details[Property Name], $F631,
          unit_details[Beds], $L631,
          unit_details[Baths], $M631,
          unit_details[Partial Baths], IF(ISNUMBER($N631),$N631,""),
          unit_details[Sqft],$P631
)),"")</f>
        <v/>
      </c>
      <c r="AF631" s="5" t="str">
        <f>IFERROR(IF(AE631="","",IF($F631="Total",
SUMPRODUCT(
   INDEX(AF:AF, ROW()-COUNTIF($F$6:INDEX($F:$F, ROW()-1), $F630)) : INDEX(AF:AF, ROW()-1),
   INDEX(AB:AB, ROW()-COUNTIF($F$6:INDEX($F:$F, ROW()-1), $F630)) : INDEX(AB:AB, ROW()-1)
   )
   /SUM(INDEX(AB:AB, ROW()-COUNTIF($F$6:INDEX($F:$F, ROW()-1), $F630)) : INDEX(AB:AB, ROW()-1)),
           _xlfn.MAXIFS(unit_details[Asking Rent],
          unit_details[Active Listing?],TRUE,
          unit_details[Property Name], $F631,
          unit_details[Beds], $L631,
          unit_details[Baths], $M631,
          unit_details[Partial Baths], IF(ISNUMBER($N631),$N631,""),
          unit_details[Sqft],$P631
))),"")</f>
        <v/>
      </c>
      <c r="AG631" s="6" t="str">
        <f>IFERROR(IF($F631="Total",
         SUMPRODUCT(
         INDEX(AG:AG, ROW()-COUNTIF($F$6:INDEX($F:$F, ROW()-1), $F630)) : INDEX(AG:AG, ROW()-1),
         INDEX(AB:AB, ROW()-COUNTIF($F$6:INDEX($F:$F, ROW()-1), $F630)) : INDEX(AB:AB, ROW()-1)
         )
         /SUM(INDEX(AB:AB, ROW()-COUNTIF($F$6:INDEX($F:$F, ROW()-1), $F630)) : INDEX(AB:AB, ROW()-1)),
          AVERAGEIFS(unit_details[Asking PSF],
          unit_details[Active Listing?],TRUE,
          unit_details[Property Name], $F631,
          unit_details[Beds], $L631,
          unit_details[Baths], $M631,
          unit_details[Partial Baths], IF(ISNUMBER($N631),$N631,""),
          unit_details[Sqft],$P631
)),"")</f>
        <v/>
      </c>
      <c r="AH631" s="293" t="str">
        <f>IFERROR(IF($F631="Total",
         SUMPRODUCT(
         INDEX(AH:AH, ROW()-COUNTIF($F$6:INDEX($F:$F, ROW()-1), $F630)) : INDEX(AH:AH, ROW()-1),
         INDEX(AB:AB, ROW()-COUNTIF($F$6:INDEX($F:$F, ROW()-1), $F630)) : INDEX(AB:AB, ROW()-1)
         )
         /SUM(INDEX(AB:AB, ROW()-COUNTIF($F$6:INDEX($F:$F, ROW()-1), $F630)) : INDEX(AB:AB, ROW()-1)),
          AVERAGEIFS(unit_details[Effective Rent],
          unit_details[Active Listing?],TRUE,
          unit_details[Property Name], $F631,
          unit_details[Beds], $L631,
          unit_details[Baths], $M631,
          unit_details[Partial Baths], IF(ISNUMBER($N631),$N631,""),
          unit_details[Sqft],$P631
)),"")</f>
        <v/>
      </c>
      <c r="AI631" s="6" t="str">
        <f>IFERROR(IF($F631="Total",
         SUMPRODUCT(
         INDEX(AI:AI, ROW()-COUNTIF($F$6:INDEX($F:$F, ROW()-1), $F630)) : INDEX(AI:AI, ROW()-1),
         INDEX(AB:AB, ROW()-COUNTIF($F$6:INDEX($F:$F, ROW()-1), $F630)) : INDEX(AB:AB, ROW()-1)
         )
         /SUM(INDEX(AB:AB, ROW()-COUNTIF($F$6:INDEX($F:$F, ROW()-1), $F630)) : INDEX(AB:AB, ROW()-1)),
           AVERAGEIFS(unit_details[Effective PSF],
          unit_details[Active Listing?],TRUE,
          unit_details[Property Name], $F631,
          unit_details[Beds], $L631,
          unit_details[Baths], $M631,
          unit_details[Partial Baths], IF(ISNUMBER($N631),$N631,""),
          unit_details[Sqft],$P631
)),"")</f>
        <v/>
      </c>
      <c r="AJ631" s="824" t="str">
        <f t="shared" si="103"/>
        <v/>
      </c>
      <c r="AK631" s="531" t="str">
        <f t="shared" si="104"/>
        <v/>
      </c>
      <c r="AL631" s="714" t="str">
        <f t="shared" si="105"/>
        <v/>
      </c>
      <c r="AM631" s="531" t="str">
        <f t="shared" si="106"/>
        <v/>
      </c>
      <c r="AN631" s="716" t="str">
        <f t="shared" si="107"/>
        <v/>
      </c>
    </row>
    <row r="632" spans="6:40" x14ac:dyDescent="0.2">
      <c r="F632" s="1" t="str">
        <f t="shared" si="100"/>
        <v/>
      </c>
      <c r="G632" s="713" t="str">
        <f t="shared" si="108"/>
        <v/>
      </c>
      <c r="H632" s="17" t="str">
        <f>IFERROR(VLOOKUP($G632,Table1[[Property]:[Exposure %]],4,0),"")</f>
        <v/>
      </c>
      <c r="I632" s="3" t="str">
        <f>IFERROR(VLOOKUP($G632,Table1[[Property]:[Exposure %]],6,0),"")</f>
        <v/>
      </c>
      <c r="J632" s="3" t="str">
        <f>IFERROR(VLOOKUP($G632,Table1[[Property]:[Exposure %]],7,0),"")</f>
        <v/>
      </c>
      <c r="R632" s="4" t="str">
        <f>IFERROR(VLOOKUP(IF(F632="Total",F631,F632),Table1[[Property]:['# Units]],7,0)*S632,"")</f>
        <v/>
      </c>
      <c r="S632" s="27" t="str">
        <f t="shared" si="101"/>
        <v/>
      </c>
      <c r="T632" s="531" t="str">
        <f>IFERROR(
 IF($F632="Total",
   SUMPRODUCT(
   INDEX(T:T, ROW()-COUNTIF($F$6:INDEX($F:$F, ROW()-1), $F631)) : INDEX(T:T, ROW()-1),
   INDEX(W:W, ROW()-COUNTIF($F$6:INDEX($F:$F, ROW()-1), $F631)) : INDEX(W:W, ROW()-1)
   )
   /SUM(INDEX(W:W, ROW()-COUNTIF($F$6:INDEX($F:$F, ROW()-1), $F631)) : INDEX(W:W, ROW()-1)),
   AVERAGEIFS(
     INDEX((unit_details[Asking Rent],unit_details[Asking PSF]),0,1,IF($U$3="Chunk Rent",1,2)),
     unit_details[Leased Date],"&gt;="&amp;($AM$2-T$5),
     unit_details[Leased Date],"&lt;"&amp;$AM$2,
     unit_details[Beds],$L632,
     unit_details[Baths],$M632,
     unit_details[Partial Baths],IF(ISNUMBER($N632),$N632,""),
     unit_details[Sqft],$P632,
     unit_details[Property Name],$F632)
 ),"")</f>
        <v/>
      </c>
      <c r="U632" s="552" t="str">
        <f>IFERROR(
 IF($F632="Total",
   SUMPRODUCT(
   INDEX(U:U, ROW()-COUNTIF($F$6:INDEX($F:$F, ROW()-1), $F631)) : INDEX(U:U, ROW()-1),
   INDEX(W:W, ROW()-COUNTIF($F$6:INDEX($F:$F, ROW()-1), $F631)) : INDEX(W:W, ROW()-1)
   )
   /SUM(INDEX(W:W, ROW()-COUNTIF($F$6:INDEX($F:$F, ROW()-1), $F631)) : INDEX(W:W, ROW()-1)),
   AVERAGEIFS(
     INDEX((unit_details[Effective Rent],unit_details[Effective PSF]),0,1,IF($U$3="Chunk Rent",1,2)),
     unit_details[Leased Date],"&gt;="&amp;($AM$2-T$5),
     unit_details[Leased Date],"&lt;"&amp;$AM$2,
     unit_details[Beds],$L632,
     unit_details[Baths],$M632,
     unit_details[Partial Baths],IF(ISNUMBER($N632),$N632,""),
     unit_details[Sqft],$P632,
     unit_details[Property Name],$F632)
 ),"")</f>
        <v/>
      </c>
      <c r="V632" s="27" t="str">
        <f t="shared" si="109"/>
        <v/>
      </c>
      <c r="W632" s="526">
        <f>IFERROR(
  IF($F632="Total",
    SUM(INDEX(W:W, ROW()-COUNTIF($F$6:INDEX($F:$F, ROW()-1), $F631)) : INDEX(W:W, ROW()-1)),
    COUNTIFS(
      unit_details[Leased Date], "&gt;="&amp;($AM$2-T$5),
      unit_details[Leased Date], "&lt;"&amp;$AM$2,
      unit_details[Beds], $L632,
      unit_details[Baths], $M632,
      unit_details[Partial Baths], IF(ISNUMBER($N632), $N632, ""),
      unit_details[Sqft],$P632,
      unit_details[Property Name], $F632
    )
  ),
"")</f>
        <v>0</v>
      </c>
      <c r="X632" s="531" t="str">
        <f>IFERROR(
 IF($F632="Total",
   SUMPRODUCT(
   INDEX(X:X, ROW()-COUNTIF($F$6:INDEX($F:$F, ROW()-1), $F631)) : INDEX(X:X, ROW()-1),
   INDEX(AA:AA, ROW()-COUNTIF($F$6:INDEX($F:$F, ROW()-1), $F631)) : INDEX(AA:AA, ROW()-1)
   )
   /SUM(INDEX(AA:AA, ROW()-COUNTIF($F$6:INDEX($F:$F, ROW()-1), $F631)) : INDEX(AA:AA, ROW()-1)),
   AVERAGEIFS(
     INDEX((unit_details[Asking Rent],unit_details[Asking PSF]),0,1,IF($U$3="Chunk Rent",1,2)),
     unit_details[Leased Date],"&gt;="&amp;($AM$2-X$5),
     unit_details[Leased Date],"&lt;"&amp;$AM$2,
     unit_details[Beds],$L632,
     unit_details[Baths],$M632,
     unit_details[Partial Baths],IF(ISNUMBER($N632),$N632,""),
     unit_details[Sqft],$P632,
     unit_details[Property Name],$F632)
 ),"")</f>
        <v/>
      </c>
      <c r="Y632" s="552" t="str">
        <f>IFERROR(
 IF($F632="Total",
   SUMPRODUCT(
   INDEX(Y:Y, ROW()-COUNTIF($F$6:INDEX($F:$F, ROW()-1), $F631)) : INDEX(Y:Y, ROW()-1),
   INDEX(AA:AA, ROW()-COUNTIF($F$6:INDEX($F:$F, ROW()-1), $F631)) : INDEX(AA:AA, ROW()-1)
   )
   /SUM(INDEX(AA:AA, ROW()-COUNTIF($F$6:INDEX($F:$F, ROW()-1), $F631)) : INDEX(AA:AA, ROW()-1)),
   AVERAGEIFS(
     INDEX((unit_details[Effective Rent],unit_details[Effective PSF]),0,1,IF($U$3="Chunk Rent",1,2)),
     unit_details[Leased Date],"&gt;="&amp;($AM$2-X$5),
     unit_details[Leased Date],"&lt;"&amp;$AM$2,
     unit_details[Beds],$L632,
     unit_details[Baths],$M632,
     unit_details[Partial Baths],IF(ISNUMBER($N632),$N632,""),
     unit_details[Sqft],$P632,
     unit_details[Property Name],$F632)
 ),"")</f>
        <v/>
      </c>
      <c r="Z632" s="27" t="str">
        <f t="shared" si="110"/>
        <v/>
      </c>
      <c r="AA632" s="526">
        <f>IFERROR(
  IF($F632="Total",
    SUM(INDEX(AA:AA, ROW()-COUNTIF($F$6:INDEX($F:$F, ROW()-1), $F631)) : INDEX(AA:AA, ROW()-1)),
    COUNTIFS(
      unit_details[Leased Date], "&gt;="&amp;($AM$2-X$5),
      unit_details[Leased Date], "&lt;"&amp;$AM$2,
      unit_details[Beds], $L632,
      unit_details[Baths], $M632,
      unit_details[Partial Baths], IF(ISNUMBER($N632), $N632, ""),
      unit_details[Sqft],$P632,
      unit_details[Property Name], $F632
    )
  ),
"")</f>
        <v>0</v>
      </c>
      <c r="AB632" s="290">
        <f>IF($F632="Total",
SUM(INDEX(AB:AB, ROW()-COUNTIF($F$6:INDEX($F:$F, ROW()-1), $F631)) : INDEX(AB:AB, ROW()-1)),
COUNTIFS(unit_details[Active Listing?],TRUE,
          unit_details[Property Name], $F632,
          unit_details[Beds], $L632,
          unit_details[Baths], $M632,
          unit_details[Partial Baths],IF(ISNUMBER($N632),$N632,""),
          unit_details[Sqft],$P632))</f>
        <v>0</v>
      </c>
      <c r="AC632" s="27" t="str">
        <f t="shared" si="102"/>
        <v/>
      </c>
      <c r="AD632" s="293" t="str">
        <f>IFERROR(IF(AE632="","",IF($F632="Total",
SUMPRODUCT(
   INDEX(AD:AD, ROW()-COUNTIF($F$6:INDEX($F:$F, ROW()-1), $F631)) : INDEX(AD:AD, ROW()-1),
   INDEX(AB:AB, ROW()-COUNTIF($F$6:INDEX($F:$F, ROW()-1), $F631)) : INDEX(AB:AB, ROW()-1)
   )
   /SUM(INDEX(AB:AB, ROW()-COUNTIF($F$6:INDEX($F:$F, ROW()-1), $F631)) : INDEX(AB:AB, ROW()-1)),
          _xlfn.MINIFS(unit_details[Asking Rent],
          unit_details[Active Listing?],TRUE,
          unit_details[Property Name], $F632,
          unit_details[Beds], $L632,
          unit_details[Baths], $M632,
          unit_details[Partial Baths], IF(ISNUMBER($N632),$N632,""),
          unit_details[Sqft],$P632
))),"")</f>
        <v/>
      </c>
      <c r="AE632" s="5" t="str">
        <f>IFERROR(IF($F632="Total",
          SUMPRODUCT(
   INDEX(AE:AE, ROW()-COUNTIF($F$6:INDEX($F:$F, ROW()-1), $F631)) : INDEX(AE:AE, ROW()-1),
   INDEX(AB:AB, ROW()-COUNTIF($F$6:INDEX($F:$F, ROW()-1), $F631)) : INDEX(AB:AB, ROW()-1)
   )
   /SUM(INDEX(AB:AB, ROW()-COUNTIF($F$6:INDEX($F:$F, ROW()-1), $F631)) : INDEX(AB:AB, ROW()-1)),
          AVERAGEIFS(unit_details[Asking Rent],
          unit_details[Active Listing?],TRUE,
          unit_details[Property Name], $F632,
          unit_details[Beds], $L632,
          unit_details[Baths], $M632,
          unit_details[Partial Baths], IF(ISNUMBER($N632),$N632,""),
          unit_details[Sqft],$P632
)),"")</f>
        <v/>
      </c>
      <c r="AF632" s="5" t="str">
        <f>IFERROR(IF(AE632="","",IF($F632="Total",
SUMPRODUCT(
   INDEX(AF:AF, ROW()-COUNTIF($F$6:INDEX($F:$F, ROW()-1), $F631)) : INDEX(AF:AF, ROW()-1),
   INDEX(AB:AB, ROW()-COUNTIF($F$6:INDEX($F:$F, ROW()-1), $F631)) : INDEX(AB:AB, ROW()-1)
   )
   /SUM(INDEX(AB:AB, ROW()-COUNTIF($F$6:INDEX($F:$F, ROW()-1), $F631)) : INDEX(AB:AB, ROW()-1)),
           _xlfn.MAXIFS(unit_details[Asking Rent],
          unit_details[Active Listing?],TRUE,
          unit_details[Property Name], $F632,
          unit_details[Beds], $L632,
          unit_details[Baths], $M632,
          unit_details[Partial Baths], IF(ISNUMBER($N632),$N632,""),
          unit_details[Sqft],$P632
))),"")</f>
        <v/>
      </c>
      <c r="AG632" s="6" t="str">
        <f>IFERROR(IF($F632="Total",
         SUMPRODUCT(
         INDEX(AG:AG, ROW()-COUNTIF($F$6:INDEX($F:$F, ROW()-1), $F631)) : INDEX(AG:AG, ROW()-1),
         INDEX(AB:AB, ROW()-COUNTIF($F$6:INDEX($F:$F, ROW()-1), $F631)) : INDEX(AB:AB, ROW()-1)
         )
         /SUM(INDEX(AB:AB, ROW()-COUNTIF($F$6:INDEX($F:$F, ROW()-1), $F631)) : INDEX(AB:AB, ROW()-1)),
          AVERAGEIFS(unit_details[Asking PSF],
          unit_details[Active Listing?],TRUE,
          unit_details[Property Name], $F632,
          unit_details[Beds], $L632,
          unit_details[Baths], $M632,
          unit_details[Partial Baths], IF(ISNUMBER($N632),$N632,""),
          unit_details[Sqft],$P632
)),"")</f>
        <v/>
      </c>
      <c r="AH632" s="293" t="str">
        <f>IFERROR(IF($F632="Total",
         SUMPRODUCT(
         INDEX(AH:AH, ROW()-COUNTIF($F$6:INDEX($F:$F, ROW()-1), $F631)) : INDEX(AH:AH, ROW()-1),
         INDEX(AB:AB, ROW()-COUNTIF($F$6:INDEX($F:$F, ROW()-1), $F631)) : INDEX(AB:AB, ROW()-1)
         )
         /SUM(INDEX(AB:AB, ROW()-COUNTIF($F$6:INDEX($F:$F, ROW()-1), $F631)) : INDEX(AB:AB, ROW()-1)),
          AVERAGEIFS(unit_details[Effective Rent],
          unit_details[Active Listing?],TRUE,
          unit_details[Property Name], $F632,
          unit_details[Beds], $L632,
          unit_details[Baths], $M632,
          unit_details[Partial Baths], IF(ISNUMBER($N632),$N632,""),
          unit_details[Sqft],$P632
)),"")</f>
        <v/>
      </c>
      <c r="AI632" s="6" t="str">
        <f>IFERROR(IF($F632="Total",
         SUMPRODUCT(
         INDEX(AI:AI, ROW()-COUNTIF($F$6:INDEX($F:$F, ROW()-1), $F631)) : INDEX(AI:AI, ROW()-1),
         INDEX(AB:AB, ROW()-COUNTIF($F$6:INDEX($F:$F, ROW()-1), $F631)) : INDEX(AB:AB, ROW()-1)
         )
         /SUM(INDEX(AB:AB, ROW()-COUNTIF($F$6:INDEX($F:$F, ROW()-1), $F631)) : INDEX(AB:AB, ROW()-1)),
           AVERAGEIFS(unit_details[Effective PSF],
          unit_details[Active Listing?],TRUE,
          unit_details[Property Name], $F632,
          unit_details[Beds], $L632,
          unit_details[Baths], $M632,
          unit_details[Partial Baths], IF(ISNUMBER($N632),$N632,""),
          unit_details[Sqft],$P632
)),"")</f>
        <v/>
      </c>
      <c r="AJ632" s="824" t="str">
        <f t="shared" si="103"/>
        <v/>
      </c>
      <c r="AK632" s="531" t="str">
        <f t="shared" si="104"/>
        <v/>
      </c>
      <c r="AL632" s="714" t="str">
        <f t="shared" si="105"/>
        <v/>
      </c>
      <c r="AM632" s="531" t="str">
        <f t="shared" si="106"/>
        <v/>
      </c>
      <c r="AN632" s="716" t="str">
        <f t="shared" si="107"/>
        <v/>
      </c>
    </row>
    <row r="633" spans="6:40" x14ac:dyDescent="0.2">
      <c r="F633" s="1" t="str">
        <f t="shared" si="100"/>
        <v/>
      </c>
      <c r="G633" s="713" t="str">
        <f t="shared" si="108"/>
        <v/>
      </c>
      <c r="H633" s="17" t="str">
        <f>IFERROR(VLOOKUP($G633,Table1[[Property]:[Exposure %]],4,0),"")</f>
        <v/>
      </c>
      <c r="I633" s="3" t="str">
        <f>IFERROR(VLOOKUP($G633,Table1[[Property]:[Exposure %]],6,0),"")</f>
        <v/>
      </c>
      <c r="J633" s="3" t="str">
        <f>IFERROR(VLOOKUP($G633,Table1[[Property]:[Exposure %]],7,0),"")</f>
        <v/>
      </c>
      <c r="R633" s="4" t="str">
        <f>IFERROR(VLOOKUP(IF(F633="Total",F632,F633),Table1[[Property]:['# Units]],7,0)*S633,"")</f>
        <v/>
      </c>
      <c r="S633" s="27" t="str">
        <f t="shared" si="101"/>
        <v/>
      </c>
      <c r="T633" s="531" t="str">
        <f>IFERROR(
 IF($F633="Total",
   SUMPRODUCT(
   INDEX(T:T, ROW()-COUNTIF($F$6:INDEX($F:$F, ROW()-1), $F632)) : INDEX(T:T, ROW()-1),
   INDEX(W:W, ROW()-COUNTIF($F$6:INDEX($F:$F, ROW()-1), $F632)) : INDEX(W:W, ROW()-1)
   )
   /SUM(INDEX(W:W, ROW()-COUNTIF($F$6:INDEX($F:$F, ROW()-1), $F632)) : INDEX(W:W, ROW()-1)),
   AVERAGEIFS(
     INDEX((unit_details[Asking Rent],unit_details[Asking PSF]),0,1,IF($U$3="Chunk Rent",1,2)),
     unit_details[Leased Date],"&gt;="&amp;($AM$2-T$5),
     unit_details[Leased Date],"&lt;"&amp;$AM$2,
     unit_details[Beds],$L633,
     unit_details[Baths],$M633,
     unit_details[Partial Baths],IF(ISNUMBER($N633),$N633,""),
     unit_details[Sqft],$P633,
     unit_details[Property Name],$F633)
 ),"")</f>
        <v/>
      </c>
      <c r="U633" s="552" t="str">
        <f>IFERROR(
 IF($F633="Total",
   SUMPRODUCT(
   INDEX(U:U, ROW()-COUNTIF($F$6:INDEX($F:$F, ROW()-1), $F632)) : INDEX(U:U, ROW()-1),
   INDEX(W:W, ROW()-COUNTIF($F$6:INDEX($F:$F, ROW()-1), $F632)) : INDEX(W:W, ROW()-1)
   )
   /SUM(INDEX(W:W, ROW()-COUNTIF($F$6:INDEX($F:$F, ROW()-1), $F632)) : INDEX(W:W, ROW()-1)),
   AVERAGEIFS(
     INDEX((unit_details[Effective Rent],unit_details[Effective PSF]),0,1,IF($U$3="Chunk Rent",1,2)),
     unit_details[Leased Date],"&gt;="&amp;($AM$2-T$5),
     unit_details[Leased Date],"&lt;"&amp;$AM$2,
     unit_details[Beds],$L633,
     unit_details[Baths],$M633,
     unit_details[Partial Baths],IF(ISNUMBER($N633),$N633,""),
     unit_details[Sqft],$P633,
     unit_details[Property Name],$F633)
 ),"")</f>
        <v/>
      </c>
      <c r="V633" s="27" t="str">
        <f t="shared" si="109"/>
        <v/>
      </c>
      <c r="W633" s="526">
        <f>IFERROR(
  IF($F633="Total",
    SUM(INDEX(W:W, ROW()-COUNTIF($F$6:INDEX($F:$F, ROW()-1), $F632)) : INDEX(W:W, ROW()-1)),
    COUNTIFS(
      unit_details[Leased Date], "&gt;="&amp;($AM$2-T$5),
      unit_details[Leased Date], "&lt;"&amp;$AM$2,
      unit_details[Beds], $L633,
      unit_details[Baths], $M633,
      unit_details[Partial Baths], IF(ISNUMBER($N633), $N633, ""),
      unit_details[Sqft],$P633,
      unit_details[Property Name], $F633
    )
  ),
"")</f>
        <v>0</v>
      </c>
      <c r="X633" s="531" t="str">
        <f>IFERROR(
 IF($F633="Total",
   SUMPRODUCT(
   INDEX(X:X, ROW()-COUNTIF($F$6:INDEX($F:$F, ROW()-1), $F632)) : INDEX(X:X, ROW()-1),
   INDEX(AA:AA, ROW()-COUNTIF($F$6:INDEX($F:$F, ROW()-1), $F632)) : INDEX(AA:AA, ROW()-1)
   )
   /SUM(INDEX(AA:AA, ROW()-COUNTIF($F$6:INDEX($F:$F, ROW()-1), $F632)) : INDEX(AA:AA, ROW()-1)),
   AVERAGEIFS(
     INDEX((unit_details[Asking Rent],unit_details[Asking PSF]),0,1,IF($U$3="Chunk Rent",1,2)),
     unit_details[Leased Date],"&gt;="&amp;($AM$2-X$5),
     unit_details[Leased Date],"&lt;"&amp;$AM$2,
     unit_details[Beds],$L633,
     unit_details[Baths],$M633,
     unit_details[Partial Baths],IF(ISNUMBER($N633),$N633,""),
     unit_details[Sqft],$P633,
     unit_details[Property Name],$F633)
 ),"")</f>
        <v/>
      </c>
      <c r="Y633" s="552" t="str">
        <f>IFERROR(
 IF($F633="Total",
   SUMPRODUCT(
   INDEX(Y:Y, ROW()-COUNTIF($F$6:INDEX($F:$F, ROW()-1), $F632)) : INDEX(Y:Y, ROW()-1),
   INDEX(AA:AA, ROW()-COUNTIF($F$6:INDEX($F:$F, ROW()-1), $F632)) : INDEX(AA:AA, ROW()-1)
   )
   /SUM(INDEX(AA:AA, ROW()-COUNTIF($F$6:INDEX($F:$F, ROW()-1), $F632)) : INDEX(AA:AA, ROW()-1)),
   AVERAGEIFS(
     INDEX((unit_details[Effective Rent],unit_details[Effective PSF]),0,1,IF($U$3="Chunk Rent",1,2)),
     unit_details[Leased Date],"&gt;="&amp;($AM$2-X$5),
     unit_details[Leased Date],"&lt;"&amp;$AM$2,
     unit_details[Beds],$L633,
     unit_details[Baths],$M633,
     unit_details[Partial Baths],IF(ISNUMBER($N633),$N633,""),
     unit_details[Sqft],$P633,
     unit_details[Property Name],$F633)
 ),"")</f>
        <v/>
      </c>
      <c r="Z633" s="27" t="str">
        <f t="shared" si="110"/>
        <v/>
      </c>
      <c r="AA633" s="526">
        <f>IFERROR(
  IF($F633="Total",
    SUM(INDEX(AA:AA, ROW()-COUNTIF($F$6:INDEX($F:$F, ROW()-1), $F632)) : INDEX(AA:AA, ROW()-1)),
    COUNTIFS(
      unit_details[Leased Date], "&gt;="&amp;($AM$2-X$5),
      unit_details[Leased Date], "&lt;"&amp;$AM$2,
      unit_details[Beds], $L633,
      unit_details[Baths], $M633,
      unit_details[Partial Baths], IF(ISNUMBER($N633), $N633, ""),
      unit_details[Sqft],$P633,
      unit_details[Property Name], $F633
    )
  ),
"")</f>
        <v>0</v>
      </c>
      <c r="AB633" s="290">
        <f>IF($F633="Total",
SUM(INDEX(AB:AB, ROW()-COUNTIF($F$6:INDEX($F:$F, ROW()-1), $F632)) : INDEX(AB:AB, ROW()-1)),
COUNTIFS(unit_details[Active Listing?],TRUE,
          unit_details[Property Name], $F633,
          unit_details[Beds], $L633,
          unit_details[Baths], $M633,
          unit_details[Partial Baths],IF(ISNUMBER($N633),$N633,""),
          unit_details[Sqft],$P633))</f>
        <v>0</v>
      </c>
      <c r="AC633" s="27" t="str">
        <f t="shared" si="102"/>
        <v/>
      </c>
      <c r="AD633" s="293" t="str">
        <f>IFERROR(IF(AE633="","",IF($F633="Total",
SUMPRODUCT(
   INDEX(AD:AD, ROW()-COUNTIF($F$6:INDEX($F:$F, ROW()-1), $F632)) : INDEX(AD:AD, ROW()-1),
   INDEX(AB:AB, ROW()-COUNTIF($F$6:INDEX($F:$F, ROW()-1), $F632)) : INDEX(AB:AB, ROW()-1)
   )
   /SUM(INDEX(AB:AB, ROW()-COUNTIF($F$6:INDEX($F:$F, ROW()-1), $F632)) : INDEX(AB:AB, ROW()-1)),
          _xlfn.MINIFS(unit_details[Asking Rent],
          unit_details[Active Listing?],TRUE,
          unit_details[Property Name], $F633,
          unit_details[Beds], $L633,
          unit_details[Baths], $M633,
          unit_details[Partial Baths], IF(ISNUMBER($N633),$N633,""),
          unit_details[Sqft],$P633
))),"")</f>
        <v/>
      </c>
      <c r="AE633" s="5" t="str">
        <f>IFERROR(IF($F633="Total",
          SUMPRODUCT(
   INDEX(AE:AE, ROW()-COUNTIF($F$6:INDEX($F:$F, ROW()-1), $F632)) : INDEX(AE:AE, ROW()-1),
   INDEX(AB:AB, ROW()-COUNTIF($F$6:INDEX($F:$F, ROW()-1), $F632)) : INDEX(AB:AB, ROW()-1)
   )
   /SUM(INDEX(AB:AB, ROW()-COUNTIF($F$6:INDEX($F:$F, ROW()-1), $F632)) : INDEX(AB:AB, ROW()-1)),
          AVERAGEIFS(unit_details[Asking Rent],
          unit_details[Active Listing?],TRUE,
          unit_details[Property Name], $F633,
          unit_details[Beds], $L633,
          unit_details[Baths], $M633,
          unit_details[Partial Baths], IF(ISNUMBER($N633),$N633,""),
          unit_details[Sqft],$P633
)),"")</f>
        <v/>
      </c>
      <c r="AF633" s="5" t="str">
        <f>IFERROR(IF(AE633="","",IF($F633="Total",
SUMPRODUCT(
   INDEX(AF:AF, ROW()-COUNTIF($F$6:INDEX($F:$F, ROW()-1), $F632)) : INDEX(AF:AF, ROW()-1),
   INDEX(AB:AB, ROW()-COUNTIF($F$6:INDEX($F:$F, ROW()-1), $F632)) : INDEX(AB:AB, ROW()-1)
   )
   /SUM(INDEX(AB:AB, ROW()-COUNTIF($F$6:INDEX($F:$F, ROW()-1), $F632)) : INDEX(AB:AB, ROW()-1)),
           _xlfn.MAXIFS(unit_details[Asking Rent],
          unit_details[Active Listing?],TRUE,
          unit_details[Property Name], $F633,
          unit_details[Beds], $L633,
          unit_details[Baths], $M633,
          unit_details[Partial Baths], IF(ISNUMBER($N633),$N633,""),
          unit_details[Sqft],$P633
))),"")</f>
        <v/>
      </c>
      <c r="AG633" s="6" t="str">
        <f>IFERROR(IF($F633="Total",
         SUMPRODUCT(
         INDEX(AG:AG, ROW()-COUNTIF($F$6:INDEX($F:$F, ROW()-1), $F632)) : INDEX(AG:AG, ROW()-1),
         INDEX(AB:AB, ROW()-COUNTIF($F$6:INDEX($F:$F, ROW()-1), $F632)) : INDEX(AB:AB, ROW()-1)
         )
         /SUM(INDEX(AB:AB, ROW()-COUNTIF($F$6:INDEX($F:$F, ROW()-1), $F632)) : INDEX(AB:AB, ROW()-1)),
          AVERAGEIFS(unit_details[Asking PSF],
          unit_details[Active Listing?],TRUE,
          unit_details[Property Name], $F633,
          unit_details[Beds], $L633,
          unit_details[Baths], $M633,
          unit_details[Partial Baths], IF(ISNUMBER($N633),$N633,""),
          unit_details[Sqft],$P633
)),"")</f>
        <v/>
      </c>
      <c r="AH633" s="293" t="str">
        <f>IFERROR(IF($F633="Total",
         SUMPRODUCT(
         INDEX(AH:AH, ROW()-COUNTIF($F$6:INDEX($F:$F, ROW()-1), $F632)) : INDEX(AH:AH, ROW()-1),
         INDEX(AB:AB, ROW()-COUNTIF($F$6:INDEX($F:$F, ROW()-1), $F632)) : INDEX(AB:AB, ROW()-1)
         )
         /SUM(INDEX(AB:AB, ROW()-COUNTIF($F$6:INDEX($F:$F, ROW()-1), $F632)) : INDEX(AB:AB, ROW()-1)),
          AVERAGEIFS(unit_details[Effective Rent],
          unit_details[Active Listing?],TRUE,
          unit_details[Property Name], $F633,
          unit_details[Beds], $L633,
          unit_details[Baths], $M633,
          unit_details[Partial Baths], IF(ISNUMBER($N633),$N633,""),
          unit_details[Sqft],$P633
)),"")</f>
        <v/>
      </c>
      <c r="AI633" s="6" t="str">
        <f>IFERROR(IF($F633="Total",
         SUMPRODUCT(
         INDEX(AI:AI, ROW()-COUNTIF($F$6:INDEX($F:$F, ROW()-1), $F632)) : INDEX(AI:AI, ROW()-1),
         INDEX(AB:AB, ROW()-COUNTIF($F$6:INDEX($F:$F, ROW()-1), $F632)) : INDEX(AB:AB, ROW()-1)
         )
         /SUM(INDEX(AB:AB, ROW()-COUNTIF($F$6:INDEX($F:$F, ROW()-1), $F632)) : INDEX(AB:AB, ROW()-1)),
           AVERAGEIFS(unit_details[Effective PSF],
          unit_details[Active Listing?],TRUE,
          unit_details[Property Name], $F633,
          unit_details[Beds], $L633,
          unit_details[Baths], $M633,
          unit_details[Partial Baths], IF(ISNUMBER($N633),$N633,""),
          unit_details[Sqft],$P633
)),"")</f>
        <v/>
      </c>
      <c r="AJ633" s="824" t="str">
        <f t="shared" si="103"/>
        <v/>
      </c>
      <c r="AK633" s="531" t="str">
        <f t="shared" si="104"/>
        <v/>
      </c>
      <c r="AL633" s="714" t="str">
        <f t="shared" si="105"/>
        <v/>
      </c>
      <c r="AM633" s="531" t="str">
        <f t="shared" si="106"/>
        <v/>
      </c>
      <c r="AN633" s="716" t="str">
        <f t="shared" si="107"/>
        <v/>
      </c>
    </row>
    <row r="634" spans="6:40" x14ac:dyDescent="0.2">
      <c r="F634" s="1" t="str">
        <f t="shared" si="100"/>
        <v/>
      </c>
      <c r="G634" s="713" t="str">
        <f t="shared" si="108"/>
        <v/>
      </c>
      <c r="H634" s="17" t="str">
        <f>IFERROR(VLOOKUP($G634,Table1[[Property]:[Exposure %]],4,0),"")</f>
        <v/>
      </c>
      <c r="I634" s="3" t="str">
        <f>IFERROR(VLOOKUP($G634,Table1[[Property]:[Exposure %]],6,0),"")</f>
        <v/>
      </c>
      <c r="J634" s="3" t="str">
        <f>IFERROR(VLOOKUP($G634,Table1[[Property]:[Exposure %]],7,0),"")</f>
        <v/>
      </c>
      <c r="R634" s="4" t="str">
        <f>IFERROR(VLOOKUP(IF(F634="Total",F633,F634),Table1[[Property]:['# Units]],7,0)*S634,"")</f>
        <v/>
      </c>
      <c r="S634" s="27" t="str">
        <f t="shared" si="101"/>
        <v/>
      </c>
      <c r="T634" s="531" t="str">
        <f>IFERROR(
 IF($F634="Total",
   SUMPRODUCT(
   INDEX(T:T, ROW()-COUNTIF($F$6:INDEX($F:$F, ROW()-1), $F633)) : INDEX(T:T, ROW()-1),
   INDEX(W:W, ROW()-COUNTIF($F$6:INDEX($F:$F, ROW()-1), $F633)) : INDEX(W:W, ROW()-1)
   )
   /SUM(INDEX(W:W, ROW()-COUNTIF($F$6:INDEX($F:$F, ROW()-1), $F633)) : INDEX(W:W, ROW()-1)),
   AVERAGEIFS(
     INDEX((unit_details[Asking Rent],unit_details[Asking PSF]),0,1,IF($U$3="Chunk Rent",1,2)),
     unit_details[Leased Date],"&gt;="&amp;($AM$2-T$5),
     unit_details[Leased Date],"&lt;"&amp;$AM$2,
     unit_details[Beds],$L634,
     unit_details[Baths],$M634,
     unit_details[Partial Baths],IF(ISNUMBER($N634),$N634,""),
     unit_details[Sqft],$P634,
     unit_details[Property Name],$F634)
 ),"")</f>
        <v/>
      </c>
      <c r="U634" s="552" t="str">
        <f>IFERROR(
 IF($F634="Total",
   SUMPRODUCT(
   INDEX(U:U, ROW()-COUNTIF($F$6:INDEX($F:$F, ROW()-1), $F633)) : INDEX(U:U, ROW()-1),
   INDEX(W:W, ROW()-COUNTIF($F$6:INDEX($F:$F, ROW()-1), $F633)) : INDEX(W:W, ROW()-1)
   )
   /SUM(INDEX(W:W, ROW()-COUNTIF($F$6:INDEX($F:$F, ROW()-1), $F633)) : INDEX(W:W, ROW()-1)),
   AVERAGEIFS(
     INDEX((unit_details[Effective Rent],unit_details[Effective PSF]),0,1,IF($U$3="Chunk Rent",1,2)),
     unit_details[Leased Date],"&gt;="&amp;($AM$2-T$5),
     unit_details[Leased Date],"&lt;"&amp;$AM$2,
     unit_details[Beds],$L634,
     unit_details[Baths],$M634,
     unit_details[Partial Baths],IF(ISNUMBER($N634),$N634,""),
     unit_details[Sqft],$P634,
     unit_details[Property Name],$F634)
 ),"")</f>
        <v/>
      </c>
      <c r="V634" s="27" t="str">
        <f t="shared" si="109"/>
        <v/>
      </c>
      <c r="W634" s="526">
        <f>IFERROR(
  IF($F634="Total",
    SUM(INDEX(W:W, ROW()-COUNTIF($F$6:INDEX($F:$F, ROW()-1), $F633)) : INDEX(W:W, ROW()-1)),
    COUNTIFS(
      unit_details[Leased Date], "&gt;="&amp;($AM$2-T$5),
      unit_details[Leased Date], "&lt;"&amp;$AM$2,
      unit_details[Beds], $L634,
      unit_details[Baths], $M634,
      unit_details[Partial Baths], IF(ISNUMBER($N634), $N634, ""),
      unit_details[Sqft],$P634,
      unit_details[Property Name], $F634
    )
  ),
"")</f>
        <v>0</v>
      </c>
      <c r="X634" s="531" t="str">
        <f>IFERROR(
 IF($F634="Total",
   SUMPRODUCT(
   INDEX(X:X, ROW()-COUNTIF($F$6:INDEX($F:$F, ROW()-1), $F633)) : INDEX(X:X, ROW()-1),
   INDEX(AA:AA, ROW()-COUNTIF($F$6:INDEX($F:$F, ROW()-1), $F633)) : INDEX(AA:AA, ROW()-1)
   )
   /SUM(INDEX(AA:AA, ROW()-COUNTIF($F$6:INDEX($F:$F, ROW()-1), $F633)) : INDEX(AA:AA, ROW()-1)),
   AVERAGEIFS(
     INDEX((unit_details[Asking Rent],unit_details[Asking PSF]),0,1,IF($U$3="Chunk Rent",1,2)),
     unit_details[Leased Date],"&gt;="&amp;($AM$2-X$5),
     unit_details[Leased Date],"&lt;"&amp;$AM$2,
     unit_details[Beds],$L634,
     unit_details[Baths],$M634,
     unit_details[Partial Baths],IF(ISNUMBER($N634),$N634,""),
     unit_details[Sqft],$P634,
     unit_details[Property Name],$F634)
 ),"")</f>
        <v/>
      </c>
      <c r="Y634" s="552" t="str">
        <f>IFERROR(
 IF($F634="Total",
   SUMPRODUCT(
   INDEX(Y:Y, ROW()-COUNTIF($F$6:INDEX($F:$F, ROW()-1), $F633)) : INDEX(Y:Y, ROW()-1),
   INDEX(AA:AA, ROW()-COUNTIF($F$6:INDEX($F:$F, ROW()-1), $F633)) : INDEX(AA:AA, ROW()-1)
   )
   /SUM(INDEX(AA:AA, ROW()-COUNTIF($F$6:INDEX($F:$F, ROW()-1), $F633)) : INDEX(AA:AA, ROW()-1)),
   AVERAGEIFS(
     INDEX((unit_details[Effective Rent],unit_details[Effective PSF]),0,1,IF($U$3="Chunk Rent",1,2)),
     unit_details[Leased Date],"&gt;="&amp;($AM$2-X$5),
     unit_details[Leased Date],"&lt;"&amp;$AM$2,
     unit_details[Beds],$L634,
     unit_details[Baths],$M634,
     unit_details[Partial Baths],IF(ISNUMBER($N634),$N634,""),
     unit_details[Sqft],$P634,
     unit_details[Property Name],$F634)
 ),"")</f>
        <v/>
      </c>
      <c r="Z634" s="27" t="str">
        <f t="shared" si="110"/>
        <v/>
      </c>
      <c r="AA634" s="526">
        <f>IFERROR(
  IF($F634="Total",
    SUM(INDEX(AA:AA, ROW()-COUNTIF($F$6:INDEX($F:$F, ROW()-1), $F633)) : INDEX(AA:AA, ROW()-1)),
    COUNTIFS(
      unit_details[Leased Date], "&gt;="&amp;($AM$2-X$5),
      unit_details[Leased Date], "&lt;"&amp;$AM$2,
      unit_details[Beds], $L634,
      unit_details[Baths], $M634,
      unit_details[Partial Baths], IF(ISNUMBER($N634), $N634, ""),
      unit_details[Sqft],$P634,
      unit_details[Property Name], $F634
    )
  ),
"")</f>
        <v>0</v>
      </c>
      <c r="AB634" s="290">
        <f>IF($F634="Total",
SUM(INDEX(AB:AB, ROW()-COUNTIF($F$6:INDEX($F:$F, ROW()-1), $F633)) : INDEX(AB:AB, ROW()-1)),
COUNTIFS(unit_details[Active Listing?],TRUE,
          unit_details[Property Name], $F634,
          unit_details[Beds], $L634,
          unit_details[Baths], $M634,
          unit_details[Partial Baths],IF(ISNUMBER($N634),$N634,""),
          unit_details[Sqft],$P634))</f>
        <v>0</v>
      </c>
      <c r="AC634" s="27" t="str">
        <f t="shared" si="102"/>
        <v/>
      </c>
      <c r="AD634" s="293" t="str">
        <f>IFERROR(IF(AE634="","",IF($F634="Total",
SUMPRODUCT(
   INDEX(AD:AD, ROW()-COUNTIF($F$6:INDEX($F:$F, ROW()-1), $F633)) : INDEX(AD:AD, ROW()-1),
   INDEX(AB:AB, ROW()-COUNTIF($F$6:INDEX($F:$F, ROW()-1), $F633)) : INDEX(AB:AB, ROW()-1)
   )
   /SUM(INDEX(AB:AB, ROW()-COUNTIF($F$6:INDEX($F:$F, ROW()-1), $F633)) : INDEX(AB:AB, ROW()-1)),
          _xlfn.MINIFS(unit_details[Asking Rent],
          unit_details[Active Listing?],TRUE,
          unit_details[Property Name], $F634,
          unit_details[Beds], $L634,
          unit_details[Baths], $M634,
          unit_details[Partial Baths], IF(ISNUMBER($N634),$N634,""),
          unit_details[Sqft],$P634
))),"")</f>
        <v/>
      </c>
      <c r="AE634" s="5" t="str">
        <f>IFERROR(IF($F634="Total",
          SUMPRODUCT(
   INDEX(AE:AE, ROW()-COUNTIF($F$6:INDEX($F:$F, ROW()-1), $F633)) : INDEX(AE:AE, ROW()-1),
   INDEX(AB:AB, ROW()-COUNTIF($F$6:INDEX($F:$F, ROW()-1), $F633)) : INDEX(AB:AB, ROW()-1)
   )
   /SUM(INDEX(AB:AB, ROW()-COUNTIF($F$6:INDEX($F:$F, ROW()-1), $F633)) : INDEX(AB:AB, ROW()-1)),
          AVERAGEIFS(unit_details[Asking Rent],
          unit_details[Active Listing?],TRUE,
          unit_details[Property Name], $F634,
          unit_details[Beds], $L634,
          unit_details[Baths], $M634,
          unit_details[Partial Baths], IF(ISNUMBER($N634),$N634,""),
          unit_details[Sqft],$P634
)),"")</f>
        <v/>
      </c>
      <c r="AF634" s="5" t="str">
        <f>IFERROR(IF(AE634="","",IF($F634="Total",
SUMPRODUCT(
   INDEX(AF:AF, ROW()-COUNTIF($F$6:INDEX($F:$F, ROW()-1), $F633)) : INDEX(AF:AF, ROW()-1),
   INDEX(AB:AB, ROW()-COUNTIF($F$6:INDEX($F:$F, ROW()-1), $F633)) : INDEX(AB:AB, ROW()-1)
   )
   /SUM(INDEX(AB:AB, ROW()-COUNTIF($F$6:INDEX($F:$F, ROW()-1), $F633)) : INDEX(AB:AB, ROW()-1)),
           _xlfn.MAXIFS(unit_details[Asking Rent],
          unit_details[Active Listing?],TRUE,
          unit_details[Property Name], $F634,
          unit_details[Beds], $L634,
          unit_details[Baths], $M634,
          unit_details[Partial Baths], IF(ISNUMBER($N634),$N634,""),
          unit_details[Sqft],$P634
))),"")</f>
        <v/>
      </c>
      <c r="AG634" s="6" t="str">
        <f>IFERROR(IF($F634="Total",
         SUMPRODUCT(
         INDEX(AG:AG, ROW()-COUNTIF($F$6:INDEX($F:$F, ROW()-1), $F633)) : INDEX(AG:AG, ROW()-1),
         INDEX(AB:AB, ROW()-COUNTIF($F$6:INDEX($F:$F, ROW()-1), $F633)) : INDEX(AB:AB, ROW()-1)
         )
         /SUM(INDEX(AB:AB, ROW()-COUNTIF($F$6:INDEX($F:$F, ROW()-1), $F633)) : INDEX(AB:AB, ROW()-1)),
          AVERAGEIFS(unit_details[Asking PSF],
          unit_details[Active Listing?],TRUE,
          unit_details[Property Name], $F634,
          unit_details[Beds], $L634,
          unit_details[Baths], $M634,
          unit_details[Partial Baths], IF(ISNUMBER($N634),$N634,""),
          unit_details[Sqft],$P634
)),"")</f>
        <v/>
      </c>
      <c r="AH634" s="293" t="str">
        <f>IFERROR(IF($F634="Total",
         SUMPRODUCT(
         INDEX(AH:AH, ROW()-COUNTIF($F$6:INDEX($F:$F, ROW()-1), $F633)) : INDEX(AH:AH, ROW()-1),
         INDEX(AB:AB, ROW()-COUNTIF($F$6:INDEX($F:$F, ROW()-1), $F633)) : INDEX(AB:AB, ROW()-1)
         )
         /SUM(INDEX(AB:AB, ROW()-COUNTIF($F$6:INDEX($F:$F, ROW()-1), $F633)) : INDEX(AB:AB, ROW()-1)),
          AVERAGEIFS(unit_details[Effective Rent],
          unit_details[Active Listing?],TRUE,
          unit_details[Property Name], $F634,
          unit_details[Beds], $L634,
          unit_details[Baths], $M634,
          unit_details[Partial Baths], IF(ISNUMBER($N634),$N634,""),
          unit_details[Sqft],$P634
)),"")</f>
        <v/>
      </c>
      <c r="AI634" s="6" t="str">
        <f>IFERROR(IF($F634="Total",
         SUMPRODUCT(
         INDEX(AI:AI, ROW()-COUNTIF($F$6:INDEX($F:$F, ROW()-1), $F633)) : INDEX(AI:AI, ROW()-1),
         INDEX(AB:AB, ROW()-COUNTIF($F$6:INDEX($F:$F, ROW()-1), $F633)) : INDEX(AB:AB, ROW()-1)
         )
         /SUM(INDEX(AB:AB, ROW()-COUNTIF($F$6:INDEX($F:$F, ROW()-1), $F633)) : INDEX(AB:AB, ROW()-1)),
           AVERAGEIFS(unit_details[Effective PSF],
          unit_details[Active Listing?],TRUE,
          unit_details[Property Name], $F634,
          unit_details[Beds], $L634,
          unit_details[Baths], $M634,
          unit_details[Partial Baths], IF(ISNUMBER($N634),$N634,""),
          unit_details[Sqft],$P634
)),"")</f>
        <v/>
      </c>
      <c r="AJ634" s="824" t="str">
        <f t="shared" si="103"/>
        <v/>
      </c>
      <c r="AK634" s="531" t="str">
        <f t="shared" si="104"/>
        <v/>
      </c>
      <c r="AL634" s="714" t="str">
        <f t="shared" si="105"/>
        <v/>
      </c>
      <c r="AM634" s="531" t="str">
        <f t="shared" si="106"/>
        <v/>
      </c>
      <c r="AN634" s="716" t="str">
        <f t="shared" si="107"/>
        <v/>
      </c>
    </row>
    <row r="635" spans="6:40" x14ac:dyDescent="0.2">
      <c r="F635" s="1" t="str">
        <f t="shared" si="100"/>
        <v/>
      </c>
      <c r="G635" s="713" t="str">
        <f t="shared" si="108"/>
        <v/>
      </c>
      <c r="H635" s="17" t="str">
        <f>IFERROR(VLOOKUP($G635,Table1[[Property]:[Exposure %]],4,0),"")</f>
        <v/>
      </c>
      <c r="I635" s="3" t="str">
        <f>IFERROR(VLOOKUP($G635,Table1[[Property]:[Exposure %]],6,0),"")</f>
        <v/>
      </c>
      <c r="J635" s="3" t="str">
        <f>IFERROR(VLOOKUP($G635,Table1[[Property]:[Exposure %]],7,0),"")</f>
        <v/>
      </c>
      <c r="R635" s="4" t="str">
        <f>IFERROR(VLOOKUP(IF(F635="Total",F634,F635),Table1[[Property]:['# Units]],7,0)*S635,"")</f>
        <v/>
      </c>
      <c r="S635" s="27" t="str">
        <f t="shared" si="101"/>
        <v/>
      </c>
      <c r="T635" s="531" t="str">
        <f>IFERROR(
 IF($F635="Total",
   SUMPRODUCT(
   INDEX(T:T, ROW()-COUNTIF($F$6:INDEX($F:$F, ROW()-1), $F634)) : INDEX(T:T, ROW()-1),
   INDEX(W:W, ROW()-COUNTIF($F$6:INDEX($F:$F, ROW()-1), $F634)) : INDEX(W:W, ROW()-1)
   )
   /SUM(INDEX(W:W, ROW()-COUNTIF($F$6:INDEX($F:$F, ROW()-1), $F634)) : INDEX(W:W, ROW()-1)),
   AVERAGEIFS(
     INDEX((unit_details[Asking Rent],unit_details[Asking PSF]),0,1,IF($U$3="Chunk Rent",1,2)),
     unit_details[Leased Date],"&gt;="&amp;($AM$2-T$5),
     unit_details[Leased Date],"&lt;"&amp;$AM$2,
     unit_details[Beds],$L635,
     unit_details[Baths],$M635,
     unit_details[Partial Baths],IF(ISNUMBER($N635),$N635,""),
     unit_details[Sqft],$P635,
     unit_details[Property Name],$F635)
 ),"")</f>
        <v/>
      </c>
      <c r="U635" s="552" t="str">
        <f>IFERROR(
 IF($F635="Total",
   SUMPRODUCT(
   INDEX(U:U, ROW()-COUNTIF($F$6:INDEX($F:$F, ROW()-1), $F634)) : INDEX(U:U, ROW()-1),
   INDEX(W:W, ROW()-COUNTIF($F$6:INDEX($F:$F, ROW()-1), $F634)) : INDEX(W:W, ROW()-1)
   )
   /SUM(INDEX(W:W, ROW()-COUNTIF($F$6:INDEX($F:$F, ROW()-1), $F634)) : INDEX(W:W, ROW()-1)),
   AVERAGEIFS(
     INDEX((unit_details[Effective Rent],unit_details[Effective PSF]),0,1,IF($U$3="Chunk Rent",1,2)),
     unit_details[Leased Date],"&gt;="&amp;($AM$2-T$5),
     unit_details[Leased Date],"&lt;"&amp;$AM$2,
     unit_details[Beds],$L635,
     unit_details[Baths],$M635,
     unit_details[Partial Baths],IF(ISNUMBER($N635),$N635,""),
     unit_details[Sqft],$P635,
     unit_details[Property Name],$F635)
 ),"")</f>
        <v/>
      </c>
      <c r="V635" s="27" t="str">
        <f t="shared" si="109"/>
        <v/>
      </c>
      <c r="W635" s="526">
        <f>IFERROR(
  IF($F635="Total",
    SUM(INDEX(W:W, ROW()-COUNTIF($F$6:INDEX($F:$F, ROW()-1), $F634)) : INDEX(W:W, ROW()-1)),
    COUNTIFS(
      unit_details[Leased Date], "&gt;="&amp;($AM$2-T$5),
      unit_details[Leased Date], "&lt;"&amp;$AM$2,
      unit_details[Beds], $L635,
      unit_details[Baths], $M635,
      unit_details[Partial Baths], IF(ISNUMBER($N635), $N635, ""),
      unit_details[Sqft],$P635,
      unit_details[Property Name], $F635
    )
  ),
"")</f>
        <v>0</v>
      </c>
      <c r="X635" s="531" t="str">
        <f>IFERROR(
 IF($F635="Total",
   SUMPRODUCT(
   INDEX(X:X, ROW()-COUNTIF($F$6:INDEX($F:$F, ROW()-1), $F634)) : INDEX(X:X, ROW()-1),
   INDEX(AA:AA, ROW()-COUNTIF($F$6:INDEX($F:$F, ROW()-1), $F634)) : INDEX(AA:AA, ROW()-1)
   )
   /SUM(INDEX(AA:AA, ROW()-COUNTIF($F$6:INDEX($F:$F, ROW()-1), $F634)) : INDEX(AA:AA, ROW()-1)),
   AVERAGEIFS(
     INDEX((unit_details[Asking Rent],unit_details[Asking PSF]),0,1,IF($U$3="Chunk Rent",1,2)),
     unit_details[Leased Date],"&gt;="&amp;($AM$2-X$5),
     unit_details[Leased Date],"&lt;"&amp;$AM$2,
     unit_details[Beds],$L635,
     unit_details[Baths],$M635,
     unit_details[Partial Baths],IF(ISNUMBER($N635),$N635,""),
     unit_details[Sqft],$P635,
     unit_details[Property Name],$F635)
 ),"")</f>
        <v/>
      </c>
      <c r="Y635" s="552" t="str">
        <f>IFERROR(
 IF($F635="Total",
   SUMPRODUCT(
   INDEX(Y:Y, ROW()-COUNTIF($F$6:INDEX($F:$F, ROW()-1), $F634)) : INDEX(Y:Y, ROW()-1),
   INDEX(AA:AA, ROW()-COUNTIF($F$6:INDEX($F:$F, ROW()-1), $F634)) : INDEX(AA:AA, ROW()-1)
   )
   /SUM(INDEX(AA:AA, ROW()-COUNTIF($F$6:INDEX($F:$F, ROW()-1), $F634)) : INDEX(AA:AA, ROW()-1)),
   AVERAGEIFS(
     INDEX((unit_details[Effective Rent],unit_details[Effective PSF]),0,1,IF($U$3="Chunk Rent",1,2)),
     unit_details[Leased Date],"&gt;="&amp;($AM$2-X$5),
     unit_details[Leased Date],"&lt;"&amp;$AM$2,
     unit_details[Beds],$L635,
     unit_details[Baths],$M635,
     unit_details[Partial Baths],IF(ISNUMBER($N635),$N635,""),
     unit_details[Sqft],$P635,
     unit_details[Property Name],$F635)
 ),"")</f>
        <v/>
      </c>
      <c r="Z635" s="27" t="str">
        <f t="shared" si="110"/>
        <v/>
      </c>
      <c r="AA635" s="526">
        <f>IFERROR(
  IF($F635="Total",
    SUM(INDEX(AA:AA, ROW()-COUNTIF($F$6:INDEX($F:$F, ROW()-1), $F634)) : INDEX(AA:AA, ROW()-1)),
    COUNTIFS(
      unit_details[Leased Date], "&gt;="&amp;($AM$2-X$5),
      unit_details[Leased Date], "&lt;"&amp;$AM$2,
      unit_details[Beds], $L635,
      unit_details[Baths], $M635,
      unit_details[Partial Baths], IF(ISNUMBER($N635), $N635, ""),
      unit_details[Sqft],$P635,
      unit_details[Property Name], $F635
    )
  ),
"")</f>
        <v>0</v>
      </c>
      <c r="AB635" s="290">
        <f>IF($F635="Total",
SUM(INDEX(AB:AB, ROW()-COUNTIF($F$6:INDEX($F:$F, ROW()-1), $F634)) : INDEX(AB:AB, ROW()-1)),
COUNTIFS(unit_details[Active Listing?],TRUE,
          unit_details[Property Name], $F635,
          unit_details[Beds], $L635,
          unit_details[Baths], $M635,
          unit_details[Partial Baths],IF(ISNUMBER($N635),$N635,""),
          unit_details[Sqft],$P635))</f>
        <v>0</v>
      </c>
      <c r="AC635" s="27" t="str">
        <f t="shared" si="102"/>
        <v/>
      </c>
      <c r="AD635" s="293" t="str">
        <f>IFERROR(IF(AE635="","",IF($F635="Total",
SUMPRODUCT(
   INDEX(AD:AD, ROW()-COUNTIF($F$6:INDEX($F:$F, ROW()-1), $F634)) : INDEX(AD:AD, ROW()-1),
   INDEX(AB:AB, ROW()-COUNTIF($F$6:INDEX($F:$F, ROW()-1), $F634)) : INDEX(AB:AB, ROW()-1)
   )
   /SUM(INDEX(AB:AB, ROW()-COUNTIF($F$6:INDEX($F:$F, ROW()-1), $F634)) : INDEX(AB:AB, ROW()-1)),
          _xlfn.MINIFS(unit_details[Asking Rent],
          unit_details[Active Listing?],TRUE,
          unit_details[Property Name], $F635,
          unit_details[Beds], $L635,
          unit_details[Baths], $M635,
          unit_details[Partial Baths], IF(ISNUMBER($N635),$N635,""),
          unit_details[Sqft],$P635
))),"")</f>
        <v/>
      </c>
      <c r="AE635" s="5" t="str">
        <f>IFERROR(IF($F635="Total",
          SUMPRODUCT(
   INDEX(AE:AE, ROW()-COUNTIF($F$6:INDEX($F:$F, ROW()-1), $F634)) : INDEX(AE:AE, ROW()-1),
   INDEX(AB:AB, ROW()-COUNTIF($F$6:INDEX($F:$F, ROW()-1), $F634)) : INDEX(AB:AB, ROW()-1)
   )
   /SUM(INDEX(AB:AB, ROW()-COUNTIF($F$6:INDEX($F:$F, ROW()-1), $F634)) : INDEX(AB:AB, ROW()-1)),
          AVERAGEIFS(unit_details[Asking Rent],
          unit_details[Active Listing?],TRUE,
          unit_details[Property Name], $F635,
          unit_details[Beds], $L635,
          unit_details[Baths], $M635,
          unit_details[Partial Baths], IF(ISNUMBER($N635),$N635,""),
          unit_details[Sqft],$P635
)),"")</f>
        <v/>
      </c>
      <c r="AF635" s="5" t="str">
        <f>IFERROR(IF(AE635="","",IF($F635="Total",
SUMPRODUCT(
   INDEX(AF:AF, ROW()-COUNTIF($F$6:INDEX($F:$F, ROW()-1), $F634)) : INDEX(AF:AF, ROW()-1),
   INDEX(AB:AB, ROW()-COUNTIF($F$6:INDEX($F:$F, ROW()-1), $F634)) : INDEX(AB:AB, ROW()-1)
   )
   /SUM(INDEX(AB:AB, ROW()-COUNTIF($F$6:INDEX($F:$F, ROW()-1), $F634)) : INDEX(AB:AB, ROW()-1)),
           _xlfn.MAXIFS(unit_details[Asking Rent],
          unit_details[Active Listing?],TRUE,
          unit_details[Property Name], $F635,
          unit_details[Beds], $L635,
          unit_details[Baths], $M635,
          unit_details[Partial Baths], IF(ISNUMBER($N635),$N635,""),
          unit_details[Sqft],$P635
))),"")</f>
        <v/>
      </c>
      <c r="AG635" s="6" t="str">
        <f>IFERROR(IF($F635="Total",
         SUMPRODUCT(
         INDEX(AG:AG, ROW()-COUNTIF($F$6:INDEX($F:$F, ROW()-1), $F634)) : INDEX(AG:AG, ROW()-1),
         INDEX(AB:AB, ROW()-COUNTIF($F$6:INDEX($F:$F, ROW()-1), $F634)) : INDEX(AB:AB, ROW()-1)
         )
         /SUM(INDEX(AB:AB, ROW()-COUNTIF($F$6:INDEX($F:$F, ROW()-1), $F634)) : INDEX(AB:AB, ROW()-1)),
          AVERAGEIFS(unit_details[Asking PSF],
          unit_details[Active Listing?],TRUE,
          unit_details[Property Name], $F635,
          unit_details[Beds], $L635,
          unit_details[Baths], $M635,
          unit_details[Partial Baths], IF(ISNUMBER($N635),$N635,""),
          unit_details[Sqft],$P635
)),"")</f>
        <v/>
      </c>
      <c r="AH635" s="293" t="str">
        <f>IFERROR(IF($F635="Total",
         SUMPRODUCT(
         INDEX(AH:AH, ROW()-COUNTIF($F$6:INDEX($F:$F, ROW()-1), $F634)) : INDEX(AH:AH, ROW()-1),
         INDEX(AB:AB, ROW()-COUNTIF($F$6:INDEX($F:$F, ROW()-1), $F634)) : INDEX(AB:AB, ROW()-1)
         )
         /SUM(INDEX(AB:AB, ROW()-COUNTIF($F$6:INDEX($F:$F, ROW()-1), $F634)) : INDEX(AB:AB, ROW()-1)),
          AVERAGEIFS(unit_details[Effective Rent],
          unit_details[Active Listing?],TRUE,
          unit_details[Property Name], $F635,
          unit_details[Beds], $L635,
          unit_details[Baths], $M635,
          unit_details[Partial Baths], IF(ISNUMBER($N635),$N635,""),
          unit_details[Sqft],$P635
)),"")</f>
        <v/>
      </c>
      <c r="AI635" s="6" t="str">
        <f>IFERROR(IF($F635="Total",
         SUMPRODUCT(
         INDEX(AI:AI, ROW()-COUNTIF($F$6:INDEX($F:$F, ROW()-1), $F634)) : INDEX(AI:AI, ROW()-1),
         INDEX(AB:AB, ROW()-COUNTIF($F$6:INDEX($F:$F, ROW()-1), $F634)) : INDEX(AB:AB, ROW()-1)
         )
         /SUM(INDEX(AB:AB, ROW()-COUNTIF($F$6:INDEX($F:$F, ROW()-1), $F634)) : INDEX(AB:AB, ROW()-1)),
           AVERAGEIFS(unit_details[Effective PSF],
          unit_details[Active Listing?],TRUE,
          unit_details[Property Name], $F635,
          unit_details[Beds], $L635,
          unit_details[Baths], $M635,
          unit_details[Partial Baths], IF(ISNUMBER($N635),$N635,""),
          unit_details[Sqft],$P635
)),"")</f>
        <v/>
      </c>
      <c r="AJ635" s="824" t="str">
        <f t="shared" si="103"/>
        <v/>
      </c>
      <c r="AK635" s="531" t="str">
        <f t="shared" si="104"/>
        <v/>
      </c>
      <c r="AL635" s="714" t="str">
        <f t="shared" si="105"/>
        <v/>
      </c>
      <c r="AM635" s="531" t="str">
        <f t="shared" si="106"/>
        <v/>
      </c>
      <c r="AN635" s="716" t="str">
        <f t="shared" si="107"/>
        <v/>
      </c>
    </row>
    <row r="636" spans="6:40" x14ac:dyDescent="0.2">
      <c r="F636" s="1" t="str">
        <f t="shared" si="100"/>
        <v/>
      </c>
      <c r="G636" s="713" t="str">
        <f t="shared" si="108"/>
        <v/>
      </c>
      <c r="H636" s="17" t="str">
        <f>IFERROR(VLOOKUP($G636,Table1[[Property]:[Exposure %]],4,0),"")</f>
        <v/>
      </c>
      <c r="I636" s="3" t="str">
        <f>IFERROR(VLOOKUP($G636,Table1[[Property]:[Exposure %]],6,0),"")</f>
        <v/>
      </c>
      <c r="J636" s="3" t="str">
        <f>IFERROR(VLOOKUP($G636,Table1[[Property]:[Exposure %]],7,0),"")</f>
        <v/>
      </c>
      <c r="R636" s="4" t="str">
        <f>IFERROR(VLOOKUP(IF(F636="Total",F635,F636),Table1[[Property]:['# Units]],7,0)*S636,"")</f>
        <v/>
      </c>
      <c r="S636" s="27" t="str">
        <f t="shared" si="101"/>
        <v/>
      </c>
      <c r="T636" s="531" t="str">
        <f>IFERROR(
 IF($F636="Total",
   SUMPRODUCT(
   INDEX(T:T, ROW()-COUNTIF($F$6:INDEX($F:$F, ROW()-1), $F635)) : INDEX(T:T, ROW()-1),
   INDEX(W:W, ROW()-COUNTIF($F$6:INDEX($F:$F, ROW()-1), $F635)) : INDEX(W:W, ROW()-1)
   )
   /SUM(INDEX(W:W, ROW()-COUNTIF($F$6:INDEX($F:$F, ROW()-1), $F635)) : INDEX(W:W, ROW()-1)),
   AVERAGEIFS(
     INDEX((unit_details[Asking Rent],unit_details[Asking PSF]),0,1,IF($U$3="Chunk Rent",1,2)),
     unit_details[Leased Date],"&gt;="&amp;($AM$2-T$5),
     unit_details[Leased Date],"&lt;"&amp;$AM$2,
     unit_details[Beds],$L636,
     unit_details[Baths],$M636,
     unit_details[Partial Baths],IF(ISNUMBER($N636),$N636,""),
     unit_details[Sqft],$P636,
     unit_details[Property Name],$F636)
 ),"")</f>
        <v/>
      </c>
      <c r="U636" s="552" t="str">
        <f>IFERROR(
 IF($F636="Total",
   SUMPRODUCT(
   INDEX(U:U, ROW()-COUNTIF($F$6:INDEX($F:$F, ROW()-1), $F635)) : INDEX(U:U, ROW()-1),
   INDEX(W:W, ROW()-COUNTIF($F$6:INDEX($F:$F, ROW()-1), $F635)) : INDEX(W:W, ROW()-1)
   )
   /SUM(INDEX(W:W, ROW()-COUNTIF($F$6:INDEX($F:$F, ROW()-1), $F635)) : INDEX(W:W, ROW()-1)),
   AVERAGEIFS(
     INDEX((unit_details[Effective Rent],unit_details[Effective PSF]),0,1,IF($U$3="Chunk Rent",1,2)),
     unit_details[Leased Date],"&gt;="&amp;($AM$2-T$5),
     unit_details[Leased Date],"&lt;"&amp;$AM$2,
     unit_details[Beds],$L636,
     unit_details[Baths],$M636,
     unit_details[Partial Baths],IF(ISNUMBER($N636),$N636,""),
     unit_details[Sqft],$P636,
     unit_details[Property Name],$F636)
 ),"")</f>
        <v/>
      </c>
      <c r="V636" s="27" t="str">
        <f t="shared" si="109"/>
        <v/>
      </c>
      <c r="W636" s="526">
        <f>IFERROR(
  IF($F636="Total",
    SUM(INDEX(W:W, ROW()-COUNTIF($F$6:INDEX($F:$F, ROW()-1), $F635)) : INDEX(W:W, ROW()-1)),
    COUNTIFS(
      unit_details[Leased Date], "&gt;="&amp;($AM$2-T$5),
      unit_details[Leased Date], "&lt;"&amp;$AM$2,
      unit_details[Beds], $L636,
      unit_details[Baths], $M636,
      unit_details[Partial Baths], IF(ISNUMBER($N636), $N636, ""),
      unit_details[Sqft],$P636,
      unit_details[Property Name], $F636
    )
  ),
"")</f>
        <v>0</v>
      </c>
      <c r="X636" s="531" t="str">
        <f>IFERROR(
 IF($F636="Total",
   SUMPRODUCT(
   INDEX(X:X, ROW()-COUNTIF($F$6:INDEX($F:$F, ROW()-1), $F635)) : INDEX(X:X, ROW()-1),
   INDEX(AA:AA, ROW()-COUNTIF($F$6:INDEX($F:$F, ROW()-1), $F635)) : INDEX(AA:AA, ROW()-1)
   )
   /SUM(INDEX(AA:AA, ROW()-COUNTIF($F$6:INDEX($F:$F, ROW()-1), $F635)) : INDEX(AA:AA, ROW()-1)),
   AVERAGEIFS(
     INDEX((unit_details[Asking Rent],unit_details[Asking PSF]),0,1,IF($U$3="Chunk Rent",1,2)),
     unit_details[Leased Date],"&gt;="&amp;($AM$2-X$5),
     unit_details[Leased Date],"&lt;"&amp;$AM$2,
     unit_details[Beds],$L636,
     unit_details[Baths],$M636,
     unit_details[Partial Baths],IF(ISNUMBER($N636),$N636,""),
     unit_details[Sqft],$P636,
     unit_details[Property Name],$F636)
 ),"")</f>
        <v/>
      </c>
      <c r="Y636" s="552" t="str">
        <f>IFERROR(
 IF($F636="Total",
   SUMPRODUCT(
   INDEX(Y:Y, ROW()-COUNTIF($F$6:INDEX($F:$F, ROW()-1), $F635)) : INDEX(Y:Y, ROW()-1),
   INDEX(AA:AA, ROW()-COUNTIF($F$6:INDEX($F:$F, ROW()-1), $F635)) : INDEX(AA:AA, ROW()-1)
   )
   /SUM(INDEX(AA:AA, ROW()-COUNTIF($F$6:INDEX($F:$F, ROW()-1), $F635)) : INDEX(AA:AA, ROW()-1)),
   AVERAGEIFS(
     INDEX((unit_details[Effective Rent],unit_details[Effective PSF]),0,1,IF($U$3="Chunk Rent",1,2)),
     unit_details[Leased Date],"&gt;="&amp;($AM$2-X$5),
     unit_details[Leased Date],"&lt;"&amp;$AM$2,
     unit_details[Beds],$L636,
     unit_details[Baths],$M636,
     unit_details[Partial Baths],IF(ISNUMBER($N636),$N636,""),
     unit_details[Sqft],$P636,
     unit_details[Property Name],$F636)
 ),"")</f>
        <v/>
      </c>
      <c r="Z636" s="27" t="str">
        <f t="shared" si="110"/>
        <v/>
      </c>
      <c r="AA636" s="526">
        <f>IFERROR(
  IF($F636="Total",
    SUM(INDEX(AA:AA, ROW()-COUNTIF($F$6:INDEX($F:$F, ROW()-1), $F635)) : INDEX(AA:AA, ROW()-1)),
    COUNTIFS(
      unit_details[Leased Date], "&gt;="&amp;($AM$2-X$5),
      unit_details[Leased Date], "&lt;"&amp;$AM$2,
      unit_details[Beds], $L636,
      unit_details[Baths], $M636,
      unit_details[Partial Baths], IF(ISNUMBER($N636), $N636, ""),
      unit_details[Sqft],$P636,
      unit_details[Property Name], $F636
    )
  ),
"")</f>
        <v>0</v>
      </c>
      <c r="AB636" s="290">
        <f>IF($F636="Total",
SUM(INDEX(AB:AB, ROW()-COUNTIF($F$6:INDEX($F:$F, ROW()-1), $F635)) : INDEX(AB:AB, ROW()-1)),
COUNTIFS(unit_details[Active Listing?],TRUE,
          unit_details[Property Name], $F636,
          unit_details[Beds], $L636,
          unit_details[Baths], $M636,
          unit_details[Partial Baths],IF(ISNUMBER($N636),$N636,""),
          unit_details[Sqft],$P636))</f>
        <v>0</v>
      </c>
      <c r="AC636" s="27" t="str">
        <f t="shared" si="102"/>
        <v/>
      </c>
      <c r="AD636" s="293" t="str">
        <f>IFERROR(IF(AE636="","",IF($F636="Total",
SUMPRODUCT(
   INDEX(AD:AD, ROW()-COUNTIF($F$6:INDEX($F:$F, ROW()-1), $F635)) : INDEX(AD:AD, ROW()-1),
   INDEX(AB:AB, ROW()-COUNTIF($F$6:INDEX($F:$F, ROW()-1), $F635)) : INDEX(AB:AB, ROW()-1)
   )
   /SUM(INDEX(AB:AB, ROW()-COUNTIF($F$6:INDEX($F:$F, ROW()-1), $F635)) : INDEX(AB:AB, ROW()-1)),
          _xlfn.MINIFS(unit_details[Asking Rent],
          unit_details[Active Listing?],TRUE,
          unit_details[Property Name], $F636,
          unit_details[Beds], $L636,
          unit_details[Baths], $M636,
          unit_details[Partial Baths], IF(ISNUMBER($N636),$N636,""),
          unit_details[Sqft],$P636
))),"")</f>
        <v/>
      </c>
      <c r="AE636" s="5" t="str">
        <f>IFERROR(IF($F636="Total",
          SUMPRODUCT(
   INDEX(AE:AE, ROW()-COUNTIF($F$6:INDEX($F:$F, ROW()-1), $F635)) : INDEX(AE:AE, ROW()-1),
   INDEX(AB:AB, ROW()-COUNTIF($F$6:INDEX($F:$F, ROW()-1), $F635)) : INDEX(AB:AB, ROW()-1)
   )
   /SUM(INDEX(AB:AB, ROW()-COUNTIF($F$6:INDEX($F:$F, ROW()-1), $F635)) : INDEX(AB:AB, ROW()-1)),
          AVERAGEIFS(unit_details[Asking Rent],
          unit_details[Active Listing?],TRUE,
          unit_details[Property Name], $F636,
          unit_details[Beds], $L636,
          unit_details[Baths], $M636,
          unit_details[Partial Baths], IF(ISNUMBER($N636),$N636,""),
          unit_details[Sqft],$P636
)),"")</f>
        <v/>
      </c>
      <c r="AF636" s="5" t="str">
        <f>IFERROR(IF(AE636="","",IF($F636="Total",
SUMPRODUCT(
   INDEX(AF:AF, ROW()-COUNTIF($F$6:INDEX($F:$F, ROW()-1), $F635)) : INDEX(AF:AF, ROW()-1),
   INDEX(AB:AB, ROW()-COUNTIF($F$6:INDEX($F:$F, ROW()-1), $F635)) : INDEX(AB:AB, ROW()-1)
   )
   /SUM(INDEX(AB:AB, ROW()-COUNTIF($F$6:INDEX($F:$F, ROW()-1), $F635)) : INDEX(AB:AB, ROW()-1)),
           _xlfn.MAXIFS(unit_details[Asking Rent],
          unit_details[Active Listing?],TRUE,
          unit_details[Property Name], $F636,
          unit_details[Beds], $L636,
          unit_details[Baths], $M636,
          unit_details[Partial Baths], IF(ISNUMBER($N636),$N636,""),
          unit_details[Sqft],$P636
))),"")</f>
        <v/>
      </c>
      <c r="AG636" s="6" t="str">
        <f>IFERROR(IF($F636="Total",
         SUMPRODUCT(
         INDEX(AG:AG, ROW()-COUNTIF($F$6:INDEX($F:$F, ROW()-1), $F635)) : INDEX(AG:AG, ROW()-1),
         INDEX(AB:AB, ROW()-COUNTIF($F$6:INDEX($F:$F, ROW()-1), $F635)) : INDEX(AB:AB, ROW()-1)
         )
         /SUM(INDEX(AB:AB, ROW()-COUNTIF($F$6:INDEX($F:$F, ROW()-1), $F635)) : INDEX(AB:AB, ROW()-1)),
          AVERAGEIFS(unit_details[Asking PSF],
          unit_details[Active Listing?],TRUE,
          unit_details[Property Name], $F636,
          unit_details[Beds], $L636,
          unit_details[Baths], $M636,
          unit_details[Partial Baths], IF(ISNUMBER($N636),$N636,""),
          unit_details[Sqft],$P636
)),"")</f>
        <v/>
      </c>
      <c r="AH636" s="293" t="str">
        <f>IFERROR(IF($F636="Total",
         SUMPRODUCT(
         INDEX(AH:AH, ROW()-COUNTIF($F$6:INDEX($F:$F, ROW()-1), $F635)) : INDEX(AH:AH, ROW()-1),
         INDEX(AB:AB, ROW()-COUNTIF($F$6:INDEX($F:$F, ROW()-1), $F635)) : INDEX(AB:AB, ROW()-1)
         )
         /SUM(INDEX(AB:AB, ROW()-COUNTIF($F$6:INDEX($F:$F, ROW()-1), $F635)) : INDEX(AB:AB, ROW()-1)),
          AVERAGEIFS(unit_details[Effective Rent],
          unit_details[Active Listing?],TRUE,
          unit_details[Property Name], $F636,
          unit_details[Beds], $L636,
          unit_details[Baths], $M636,
          unit_details[Partial Baths], IF(ISNUMBER($N636),$N636,""),
          unit_details[Sqft],$P636
)),"")</f>
        <v/>
      </c>
      <c r="AI636" s="6" t="str">
        <f>IFERROR(IF($F636="Total",
         SUMPRODUCT(
         INDEX(AI:AI, ROW()-COUNTIF($F$6:INDEX($F:$F, ROW()-1), $F635)) : INDEX(AI:AI, ROW()-1),
         INDEX(AB:AB, ROW()-COUNTIF($F$6:INDEX($F:$F, ROW()-1), $F635)) : INDEX(AB:AB, ROW()-1)
         )
         /SUM(INDEX(AB:AB, ROW()-COUNTIF($F$6:INDEX($F:$F, ROW()-1), $F635)) : INDEX(AB:AB, ROW()-1)),
           AVERAGEIFS(unit_details[Effective PSF],
          unit_details[Active Listing?],TRUE,
          unit_details[Property Name], $F636,
          unit_details[Beds], $L636,
          unit_details[Baths], $M636,
          unit_details[Partial Baths], IF(ISNUMBER($N636),$N636,""),
          unit_details[Sqft],$P636
)),"")</f>
        <v/>
      </c>
      <c r="AJ636" s="824" t="str">
        <f t="shared" si="103"/>
        <v/>
      </c>
      <c r="AK636" s="531" t="str">
        <f t="shared" si="104"/>
        <v/>
      </c>
      <c r="AL636" s="714" t="str">
        <f t="shared" si="105"/>
        <v/>
      </c>
      <c r="AM636" s="531" t="str">
        <f t="shared" si="106"/>
        <v/>
      </c>
      <c r="AN636" s="716" t="str">
        <f t="shared" si="107"/>
        <v/>
      </c>
    </row>
    <row r="637" spans="6:40" x14ac:dyDescent="0.2">
      <c r="F637" s="1" t="str">
        <f t="shared" si="100"/>
        <v/>
      </c>
      <c r="G637" s="713" t="str">
        <f t="shared" si="108"/>
        <v/>
      </c>
      <c r="H637" s="17" t="str">
        <f>IFERROR(VLOOKUP($G637,Table1[[Property]:[Exposure %]],4,0),"")</f>
        <v/>
      </c>
      <c r="I637" s="3" t="str">
        <f>IFERROR(VLOOKUP($G637,Table1[[Property]:[Exposure %]],6,0),"")</f>
        <v/>
      </c>
      <c r="J637" s="3" t="str">
        <f>IFERROR(VLOOKUP($G637,Table1[[Property]:[Exposure %]],7,0),"")</f>
        <v/>
      </c>
      <c r="R637" s="4" t="str">
        <f>IFERROR(VLOOKUP(IF(F637="Total",F636,F637),Table1[[Property]:['# Units]],7,0)*S637,"")</f>
        <v/>
      </c>
      <c r="S637" s="27" t="str">
        <f t="shared" si="101"/>
        <v/>
      </c>
      <c r="T637" s="531" t="str">
        <f>IFERROR(
 IF($F637="Total",
   SUMPRODUCT(
   INDEX(T:T, ROW()-COUNTIF($F$6:INDEX($F:$F, ROW()-1), $F636)) : INDEX(T:T, ROW()-1),
   INDEX(W:W, ROW()-COUNTIF($F$6:INDEX($F:$F, ROW()-1), $F636)) : INDEX(W:W, ROW()-1)
   )
   /SUM(INDEX(W:W, ROW()-COUNTIF($F$6:INDEX($F:$F, ROW()-1), $F636)) : INDEX(W:W, ROW()-1)),
   AVERAGEIFS(
     INDEX((unit_details[Asking Rent],unit_details[Asking PSF]),0,1,IF($U$3="Chunk Rent",1,2)),
     unit_details[Leased Date],"&gt;="&amp;($AM$2-T$5),
     unit_details[Leased Date],"&lt;"&amp;$AM$2,
     unit_details[Beds],$L637,
     unit_details[Baths],$M637,
     unit_details[Partial Baths],IF(ISNUMBER($N637),$N637,""),
     unit_details[Sqft],$P637,
     unit_details[Property Name],$F637)
 ),"")</f>
        <v/>
      </c>
      <c r="U637" s="552" t="str">
        <f>IFERROR(
 IF($F637="Total",
   SUMPRODUCT(
   INDEX(U:U, ROW()-COUNTIF($F$6:INDEX($F:$F, ROW()-1), $F636)) : INDEX(U:U, ROW()-1),
   INDEX(W:W, ROW()-COUNTIF($F$6:INDEX($F:$F, ROW()-1), $F636)) : INDEX(W:W, ROW()-1)
   )
   /SUM(INDEX(W:W, ROW()-COUNTIF($F$6:INDEX($F:$F, ROW()-1), $F636)) : INDEX(W:W, ROW()-1)),
   AVERAGEIFS(
     INDEX((unit_details[Effective Rent],unit_details[Effective PSF]),0,1,IF($U$3="Chunk Rent",1,2)),
     unit_details[Leased Date],"&gt;="&amp;($AM$2-T$5),
     unit_details[Leased Date],"&lt;"&amp;$AM$2,
     unit_details[Beds],$L637,
     unit_details[Baths],$M637,
     unit_details[Partial Baths],IF(ISNUMBER($N637),$N637,""),
     unit_details[Sqft],$P637,
     unit_details[Property Name],$F637)
 ),"")</f>
        <v/>
      </c>
      <c r="V637" s="27" t="str">
        <f t="shared" si="109"/>
        <v/>
      </c>
      <c r="W637" s="526">
        <f>IFERROR(
  IF($F637="Total",
    SUM(INDEX(W:W, ROW()-COUNTIF($F$6:INDEX($F:$F, ROW()-1), $F636)) : INDEX(W:W, ROW()-1)),
    COUNTIFS(
      unit_details[Leased Date], "&gt;="&amp;($AM$2-T$5),
      unit_details[Leased Date], "&lt;"&amp;$AM$2,
      unit_details[Beds], $L637,
      unit_details[Baths], $M637,
      unit_details[Partial Baths], IF(ISNUMBER($N637), $N637, ""),
      unit_details[Sqft],$P637,
      unit_details[Property Name], $F637
    )
  ),
"")</f>
        <v>0</v>
      </c>
      <c r="X637" s="531" t="str">
        <f>IFERROR(
 IF($F637="Total",
   SUMPRODUCT(
   INDEX(X:X, ROW()-COUNTIF($F$6:INDEX($F:$F, ROW()-1), $F636)) : INDEX(X:X, ROW()-1),
   INDEX(AA:AA, ROW()-COUNTIF($F$6:INDEX($F:$F, ROW()-1), $F636)) : INDEX(AA:AA, ROW()-1)
   )
   /SUM(INDEX(AA:AA, ROW()-COUNTIF($F$6:INDEX($F:$F, ROW()-1), $F636)) : INDEX(AA:AA, ROW()-1)),
   AVERAGEIFS(
     INDEX((unit_details[Asking Rent],unit_details[Asking PSF]),0,1,IF($U$3="Chunk Rent",1,2)),
     unit_details[Leased Date],"&gt;="&amp;($AM$2-X$5),
     unit_details[Leased Date],"&lt;"&amp;$AM$2,
     unit_details[Beds],$L637,
     unit_details[Baths],$M637,
     unit_details[Partial Baths],IF(ISNUMBER($N637),$N637,""),
     unit_details[Sqft],$P637,
     unit_details[Property Name],$F637)
 ),"")</f>
        <v/>
      </c>
      <c r="Y637" s="552" t="str">
        <f>IFERROR(
 IF($F637="Total",
   SUMPRODUCT(
   INDEX(Y:Y, ROW()-COUNTIF($F$6:INDEX($F:$F, ROW()-1), $F636)) : INDEX(Y:Y, ROW()-1),
   INDEX(AA:AA, ROW()-COUNTIF($F$6:INDEX($F:$F, ROW()-1), $F636)) : INDEX(AA:AA, ROW()-1)
   )
   /SUM(INDEX(AA:AA, ROW()-COUNTIF($F$6:INDEX($F:$F, ROW()-1), $F636)) : INDEX(AA:AA, ROW()-1)),
   AVERAGEIFS(
     INDEX((unit_details[Effective Rent],unit_details[Effective PSF]),0,1,IF($U$3="Chunk Rent",1,2)),
     unit_details[Leased Date],"&gt;="&amp;($AM$2-X$5),
     unit_details[Leased Date],"&lt;"&amp;$AM$2,
     unit_details[Beds],$L637,
     unit_details[Baths],$M637,
     unit_details[Partial Baths],IF(ISNUMBER($N637),$N637,""),
     unit_details[Sqft],$P637,
     unit_details[Property Name],$F637)
 ),"")</f>
        <v/>
      </c>
      <c r="Z637" s="27" t="str">
        <f t="shared" si="110"/>
        <v/>
      </c>
      <c r="AA637" s="526">
        <f>IFERROR(
  IF($F637="Total",
    SUM(INDEX(AA:AA, ROW()-COUNTIF($F$6:INDEX($F:$F, ROW()-1), $F636)) : INDEX(AA:AA, ROW()-1)),
    COUNTIFS(
      unit_details[Leased Date], "&gt;="&amp;($AM$2-X$5),
      unit_details[Leased Date], "&lt;"&amp;$AM$2,
      unit_details[Beds], $L637,
      unit_details[Baths], $M637,
      unit_details[Partial Baths], IF(ISNUMBER($N637), $N637, ""),
      unit_details[Sqft],$P637,
      unit_details[Property Name], $F637
    )
  ),
"")</f>
        <v>0</v>
      </c>
      <c r="AB637" s="290">
        <f>IF($F637="Total",
SUM(INDEX(AB:AB, ROW()-COUNTIF($F$6:INDEX($F:$F, ROW()-1), $F636)) : INDEX(AB:AB, ROW()-1)),
COUNTIFS(unit_details[Active Listing?],TRUE,
          unit_details[Property Name], $F637,
          unit_details[Beds], $L637,
          unit_details[Baths], $M637,
          unit_details[Partial Baths],IF(ISNUMBER($N637),$N637,""),
          unit_details[Sqft],$P637))</f>
        <v>0</v>
      </c>
      <c r="AC637" s="27" t="str">
        <f t="shared" si="102"/>
        <v/>
      </c>
      <c r="AD637" s="293" t="str">
        <f>IFERROR(IF(AE637="","",IF($F637="Total",
SUMPRODUCT(
   INDEX(AD:AD, ROW()-COUNTIF($F$6:INDEX($F:$F, ROW()-1), $F636)) : INDEX(AD:AD, ROW()-1),
   INDEX(AB:AB, ROW()-COUNTIF($F$6:INDEX($F:$F, ROW()-1), $F636)) : INDEX(AB:AB, ROW()-1)
   )
   /SUM(INDEX(AB:AB, ROW()-COUNTIF($F$6:INDEX($F:$F, ROW()-1), $F636)) : INDEX(AB:AB, ROW()-1)),
          _xlfn.MINIFS(unit_details[Asking Rent],
          unit_details[Active Listing?],TRUE,
          unit_details[Property Name], $F637,
          unit_details[Beds], $L637,
          unit_details[Baths], $M637,
          unit_details[Partial Baths], IF(ISNUMBER($N637),$N637,""),
          unit_details[Sqft],$P637
))),"")</f>
        <v/>
      </c>
      <c r="AE637" s="5" t="str">
        <f>IFERROR(IF($F637="Total",
          SUMPRODUCT(
   INDEX(AE:AE, ROW()-COUNTIF($F$6:INDEX($F:$F, ROW()-1), $F636)) : INDEX(AE:AE, ROW()-1),
   INDEX(AB:AB, ROW()-COUNTIF($F$6:INDEX($F:$F, ROW()-1), $F636)) : INDEX(AB:AB, ROW()-1)
   )
   /SUM(INDEX(AB:AB, ROW()-COUNTIF($F$6:INDEX($F:$F, ROW()-1), $F636)) : INDEX(AB:AB, ROW()-1)),
          AVERAGEIFS(unit_details[Asking Rent],
          unit_details[Active Listing?],TRUE,
          unit_details[Property Name], $F637,
          unit_details[Beds], $L637,
          unit_details[Baths], $M637,
          unit_details[Partial Baths], IF(ISNUMBER($N637),$N637,""),
          unit_details[Sqft],$P637
)),"")</f>
        <v/>
      </c>
      <c r="AF637" s="5" t="str">
        <f>IFERROR(IF(AE637="","",IF($F637="Total",
SUMPRODUCT(
   INDEX(AF:AF, ROW()-COUNTIF($F$6:INDEX($F:$F, ROW()-1), $F636)) : INDEX(AF:AF, ROW()-1),
   INDEX(AB:AB, ROW()-COUNTIF($F$6:INDEX($F:$F, ROW()-1), $F636)) : INDEX(AB:AB, ROW()-1)
   )
   /SUM(INDEX(AB:AB, ROW()-COUNTIF($F$6:INDEX($F:$F, ROW()-1), $F636)) : INDEX(AB:AB, ROW()-1)),
           _xlfn.MAXIFS(unit_details[Asking Rent],
          unit_details[Active Listing?],TRUE,
          unit_details[Property Name], $F637,
          unit_details[Beds], $L637,
          unit_details[Baths], $M637,
          unit_details[Partial Baths], IF(ISNUMBER($N637),$N637,""),
          unit_details[Sqft],$P637
))),"")</f>
        <v/>
      </c>
      <c r="AG637" s="6" t="str">
        <f>IFERROR(IF($F637="Total",
         SUMPRODUCT(
         INDEX(AG:AG, ROW()-COUNTIF($F$6:INDEX($F:$F, ROW()-1), $F636)) : INDEX(AG:AG, ROW()-1),
         INDEX(AB:AB, ROW()-COUNTIF($F$6:INDEX($F:$F, ROW()-1), $F636)) : INDEX(AB:AB, ROW()-1)
         )
         /SUM(INDEX(AB:AB, ROW()-COUNTIF($F$6:INDEX($F:$F, ROW()-1), $F636)) : INDEX(AB:AB, ROW()-1)),
          AVERAGEIFS(unit_details[Asking PSF],
          unit_details[Active Listing?],TRUE,
          unit_details[Property Name], $F637,
          unit_details[Beds], $L637,
          unit_details[Baths], $M637,
          unit_details[Partial Baths], IF(ISNUMBER($N637),$N637,""),
          unit_details[Sqft],$P637
)),"")</f>
        <v/>
      </c>
      <c r="AH637" s="293" t="str">
        <f>IFERROR(IF($F637="Total",
         SUMPRODUCT(
         INDEX(AH:AH, ROW()-COUNTIF($F$6:INDEX($F:$F, ROW()-1), $F636)) : INDEX(AH:AH, ROW()-1),
         INDEX(AB:AB, ROW()-COUNTIF($F$6:INDEX($F:$F, ROW()-1), $F636)) : INDEX(AB:AB, ROW()-1)
         )
         /SUM(INDEX(AB:AB, ROW()-COUNTIF($F$6:INDEX($F:$F, ROW()-1), $F636)) : INDEX(AB:AB, ROW()-1)),
          AVERAGEIFS(unit_details[Effective Rent],
          unit_details[Active Listing?],TRUE,
          unit_details[Property Name], $F637,
          unit_details[Beds], $L637,
          unit_details[Baths], $M637,
          unit_details[Partial Baths], IF(ISNUMBER($N637),$N637,""),
          unit_details[Sqft],$P637
)),"")</f>
        <v/>
      </c>
      <c r="AI637" s="6" t="str">
        <f>IFERROR(IF($F637="Total",
         SUMPRODUCT(
         INDEX(AI:AI, ROW()-COUNTIF($F$6:INDEX($F:$F, ROW()-1), $F636)) : INDEX(AI:AI, ROW()-1),
         INDEX(AB:AB, ROW()-COUNTIF($F$6:INDEX($F:$F, ROW()-1), $F636)) : INDEX(AB:AB, ROW()-1)
         )
         /SUM(INDEX(AB:AB, ROW()-COUNTIF($F$6:INDEX($F:$F, ROW()-1), $F636)) : INDEX(AB:AB, ROW()-1)),
           AVERAGEIFS(unit_details[Effective PSF],
          unit_details[Active Listing?],TRUE,
          unit_details[Property Name], $F637,
          unit_details[Beds], $L637,
          unit_details[Baths], $M637,
          unit_details[Partial Baths], IF(ISNUMBER($N637),$N637,""),
          unit_details[Sqft],$P637
)),"")</f>
        <v/>
      </c>
      <c r="AJ637" s="824" t="str">
        <f t="shared" si="103"/>
        <v/>
      </c>
      <c r="AK637" s="531" t="str">
        <f t="shared" si="104"/>
        <v/>
      </c>
      <c r="AL637" s="714" t="str">
        <f t="shared" si="105"/>
        <v/>
      </c>
      <c r="AM637" s="531" t="str">
        <f t="shared" si="106"/>
        <v/>
      </c>
      <c r="AN637" s="716" t="str">
        <f t="shared" si="107"/>
        <v/>
      </c>
    </row>
    <row r="638" spans="6:40" x14ac:dyDescent="0.2">
      <c r="F638" s="1" t="str">
        <f t="shared" si="100"/>
        <v/>
      </c>
      <c r="G638" s="713" t="str">
        <f t="shared" si="108"/>
        <v/>
      </c>
      <c r="H638" s="17" t="str">
        <f>IFERROR(VLOOKUP($G638,Table1[[Property]:[Exposure %]],4,0),"")</f>
        <v/>
      </c>
      <c r="I638" s="3" t="str">
        <f>IFERROR(VLOOKUP($G638,Table1[[Property]:[Exposure %]],6,0),"")</f>
        <v/>
      </c>
      <c r="J638" s="3" t="str">
        <f>IFERROR(VLOOKUP($G638,Table1[[Property]:[Exposure %]],7,0),"")</f>
        <v/>
      </c>
      <c r="R638" s="4" t="str">
        <f>IFERROR(VLOOKUP(IF(F638="Total",F637,F638),Table1[[Property]:['# Units]],7,0)*S638,"")</f>
        <v/>
      </c>
      <c r="S638" s="27" t="str">
        <f t="shared" si="101"/>
        <v/>
      </c>
      <c r="T638" s="531" t="str">
        <f>IFERROR(
 IF($F638="Total",
   SUMPRODUCT(
   INDEX(T:T, ROW()-COUNTIF($F$6:INDEX($F:$F, ROW()-1), $F637)) : INDEX(T:T, ROW()-1),
   INDEX(W:W, ROW()-COUNTIF($F$6:INDEX($F:$F, ROW()-1), $F637)) : INDEX(W:W, ROW()-1)
   )
   /SUM(INDEX(W:W, ROW()-COUNTIF($F$6:INDEX($F:$F, ROW()-1), $F637)) : INDEX(W:W, ROW()-1)),
   AVERAGEIFS(
     INDEX((unit_details[Asking Rent],unit_details[Asking PSF]),0,1,IF($U$3="Chunk Rent",1,2)),
     unit_details[Leased Date],"&gt;="&amp;($AM$2-T$5),
     unit_details[Leased Date],"&lt;"&amp;$AM$2,
     unit_details[Beds],$L638,
     unit_details[Baths],$M638,
     unit_details[Partial Baths],IF(ISNUMBER($N638),$N638,""),
     unit_details[Sqft],$P638,
     unit_details[Property Name],$F638)
 ),"")</f>
        <v/>
      </c>
      <c r="U638" s="552" t="str">
        <f>IFERROR(
 IF($F638="Total",
   SUMPRODUCT(
   INDEX(U:U, ROW()-COUNTIF($F$6:INDEX($F:$F, ROW()-1), $F637)) : INDEX(U:U, ROW()-1),
   INDEX(W:W, ROW()-COUNTIF($F$6:INDEX($F:$F, ROW()-1), $F637)) : INDEX(W:W, ROW()-1)
   )
   /SUM(INDEX(W:W, ROW()-COUNTIF($F$6:INDEX($F:$F, ROW()-1), $F637)) : INDEX(W:W, ROW()-1)),
   AVERAGEIFS(
     INDEX((unit_details[Effective Rent],unit_details[Effective PSF]),0,1,IF($U$3="Chunk Rent",1,2)),
     unit_details[Leased Date],"&gt;="&amp;($AM$2-T$5),
     unit_details[Leased Date],"&lt;"&amp;$AM$2,
     unit_details[Beds],$L638,
     unit_details[Baths],$M638,
     unit_details[Partial Baths],IF(ISNUMBER($N638),$N638,""),
     unit_details[Sqft],$P638,
     unit_details[Property Name],$F638)
 ),"")</f>
        <v/>
      </c>
      <c r="V638" s="27" t="str">
        <f t="shared" si="109"/>
        <v/>
      </c>
      <c r="W638" s="526">
        <f>IFERROR(
  IF($F638="Total",
    SUM(INDEX(W:W, ROW()-COUNTIF($F$6:INDEX($F:$F, ROW()-1), $F637)) : INDEX(W:W, ROW()-1)),
    COUNTIFS(
      unit_details[Leased Date], "&gt;="&amp;($AM$2-T$5),
      unit_details[Leased Date], "&lt;"&amp;$AM$2,
      unit_details[Beds], $L638,
      unit_details[Baths], $M638,
      unit_details[Partial Baths], IF(ISNUMBER($N638), $N638, ""),
      unit_details[Sqft],$P638,
      unit_details[Property Name], $F638
    )
  ),
"")</f>
        <v>0</v>
      </c>
      <c r="X638" s="531" t="str">
        <f>IFERROR(
 IF($F638="Total",
   SUMPRODUCT(
   INDEX(X:X, ROW()-COUNTIF($F$6:INDEX($F:$F, ROW()-1), $F637)) : INDEX(X:X, ROW()-1),
   INDEX(AA:AA, ROW()-COUNTIF($F$6:INDEX($F:$F, ROW()-1), $F637)) : INDEX(AA:AA, ROW()-1)
   )
   /SUM(INDEX(AA:AA, ROW()-COUNTIF($F$6:INDEX($F:$F, ROW()-1), $F637)) : INDEX(AA:AA, ROW()-1)),
   AVERAGEIFS(
     INDEX((unit_details[Asking Rent],unit_details[Asking PSF]),0,1,IF($U$3="Chunk Rent",1,2)),
     unit_details[Leased Date],"&gt;="&amp;($AM$2-X$5),
     unit_details[Leased Date],"&lt;"&amp;$AM$2,
     unit_details[Beds],$L638,
     unit_details[Baths],$M638,
     unit_details[Partial Baths],IF(ISNUMBER($N638),$N638,""),
     unit_details[Sqft],$P638,
     unit_details[Property Name],$F638)
 ),"")</f>
        <v/>
      </c>
      <c r="Y638" s="552" t="str">
        <f>IFERROR(
 IF($F638="Total",
   SUMPRODUCT(
   INDEX(Y:Y, ROW()-COUNTIF($F$6:INDEX($F:$F, ROW()-1), $F637)) : INDEX(Y:Y, ROW()-1),
   INDEX(AA:AA, ROW()-COUNTIF($F$6:INDEX($F:$F, ROW()-1), $F637)) : INDEX(AA:AA, ROW()-1)
   )
   /SUM(INDEX(AA:AA, ROW()-COUNTIF($F$6:INDEX($F:$F, ROW()-1), $F637)) : INDEX(AA:AA, ROW()-1)),
   AVERAGEIFS(
     INDEX((unit_details[Effective Rent],unit_details[Effective PSF]),0,1,IF($U$3="Chunk Rent",1,2)),
     unit_details[Leased Date],"&gt;="&amp;($AM$2-X$5),
     unit_details[Leased Date],"&lt;"&amp;$AM$2,
     unit_details[Beds],$L638,
     unit_details[Baths],$M638,
     unit_details[Partial Baths],IF(ISNUMBER($N638),$N638,""),
     unit_details[Sqft],$P638,
     unit_details[Property Name],$F638)
 ),"")</f>
        <v/>
      </c>
      <c r="Z638" s="27" t="str">
        <f t="shared" si="110"/>
        <v/>
      </c>
      <c r="AA638" s="526">
        <f>IFERROR(
  IF($F638="Total",
    SUM(INDEX(AA:AA, ROW()-COUNTIF($F$6:INDEX($F:$F, ROW()-1), $F637)) : INDEX(AA:AA, ROW()-1)),
    COUNTIFS(
      unit_details[Leased Date], "&gt;="&amp;($AM$2-X$5),
      unit_details[Leased Date], "&lt;"&amp;$AM$2,
      unit_details[Beds], $L638,
      unit_details[Baths], $M638,
      unit_details[Partial Baths], IF(ISNUMBER($N638), $N638, ""),
      unit_details[Sqft],$P638,
      unit_details[Property Name], $F638
    )
  ),
"")</f>
        <v>0</v>
      </c>
      <c r="AB638" s="290">
        <f>IF($F638="Total",
SUM(INDEX(AB:AB, ROW()-COUNTIF($F$6:INDEX($F:$F, ROW()-1), $F637)) : INDEX(AB:AB, ROW()-1)),
COUNTIFS(unit_details[Active Listing?],TRUE,
          unit_details[Property Name], $F638,
          unit_details[Beds], $L638,
          unit_details[Baths], $M638,
          unit_details[Partial Baths],IF(ISNUMBER($N638),$N638,""),
          unit_details[Sqft],$P638))</f>
        <v>0</v>
      </c>
      <c r="AC638" s="27" t="str">
        <f t="shared" si="102"/>
        <v/>
      </c>
      <c r="AD638" s="293" t="str">
        <f>IFERROR(IF(AE638="","",IF($F638="Total",
SUMPRODUCT(
   INDEX(AD:AD, ROW()-COUNTIF($F$6:INDEX($F:$F, ROW()-1), $F637)) : INDEX(AD:AD, ROW()-1),
   INDEX(AB:AB, ROW()-COUNTIF($F$6:INDEX($F:$F, ROW()-1), $F637)) : INDEX(AB:AB, ROW()-1)
   )
   /SUM(INDEX(AB:AB, ROW()-COUNTIF($F$6:INDEX($F:$F, ROW()-1), $F637)) : INDEX(AB:AB, ROW()-1)),
          _xlfn.MINIFS(unit_details[Asking Rent],
          unit_details[Active Listing?],TRUE,
          unit_details[Property Name], $F638,
          unit_details[Beds], $L638,
          unit_details[Baths], $M638,
          unit_details[Partial Baths], IF(ISNUMBER($N638),$N638,""),
          unit_details[Sqft],$P638
))),"")</f>
        <v/>
      </c>
      <c r="AE638" s="5" t="str">
        <f>IFERROR(IF($F638="Total",
          SUMPRODUCT(
   INDEX(AE:AE, ROW()-COUNTIF($F$6:INDEX($F:$F, ROW()-1), $F637)) : INDEX(AE:AE, ROW()-1),
   INDEX(AB:AB, ROW()-COUNTIF($F$6:INDEX($F:$F, ROW()-1), $F637)) : INDEX(AB:AB, ROW()-1)
   )
   /SUM(INDEX(AB:AB, ROW()-COUNTIF($F$6:INDEX($F:$F, ROW()-1), $F637)) : INDEX(AB:AB, ROW()-1)),
          AVERAGEIFS(unit_details[Asking Rent],
          unit_details[Active Listing?],TRUE,
          unit_details[Property Name], $F638,
          unit_details[Beds], $L638,
          unit_details[Baths], $M638,
          unit_details[Partial Baths], IF(ISNUMBER($N638),$N638,""),
          unit_details[Sqft],$P638
)),"")</f>
        <v/>
      </c>
      <c r="AF638" s="5" t="str">
        <f>IFERROR(IF(AE638="","",IF($F638="Total",
SUMPRODUCT(
   INDEX(AF:AF, ROW()-COUNTIF($F$6:INDEX($F:$F, ROW()-1), $F637)) : INDEX(AF:AF, ROW()-1),
   INDEX(AB:AB, ROW()-COUNTIF($F$6:INDEX($F:$F, ROW()-1), $F637)) : INDEX(AB:AB, ROW()-1)
   )
   /SUM(INDEX(AB:AB, ROW()-COUNTIF($F$6:INDEX($F:$F, ROW()-1), $F637)) : INDEX(AB:AB, ROW()-1)),
           _xlfn.MAXIFS(unit_details[Asking Rent],
          unit_details[Active Listing?],TRUE,
          unit_details[Property Name], $F638,
          unit_details[Beds], $L638,
          unit_details[Baths], $M638,
          unit_details[Partial Baths], IF(ISNUMBER($N638),$N638,""),
          unit_details[Sqft],$P638
))),"")</f>
        <v/>
      </c>
      <c r="AG638" s="6" t="str">
        <f>IFERROR(IF($F638="Total",
         SUMPRODUCT(
         INDEX(AG:AG, ROW()-COUNTIF($F$6:INDEX($F:$F, ROW()-1), $F637)) : INDEX(AG:AG, ROW()-1),
         INDEX(AB:AB, ROW()-COUNTIF($F$6:INDEX($F:$F, ROW()-1), $F637)) : INDEX(AB:AB, ROW()-1)
         )
         /SUM(INDEX(AB:AB, ROW()-COUNTIF($F$6:INDEX($F:$F, ROW()-1), $F637)) : INDEX(AB:AB, ROW()-1)),
          AVERAGEIFS(unit_details[Asking PSF],
          unit_details[Active Listing?],TRUE,
          unit_details[Property Name], $F638,
          unit_details[Beds], $L638,
          unit_details[Baths], $M638,
          unit_details[Partial Baths], IF(ISNUMBER($N638),$N638,""),
          unit_details[Sqft],$P638
)),"")</f>
        <v/>
      </c>
      <c r="AH638" s="293" t="str">
        <f>IFERROR(IF($F638="Total",
         SUMPRODUCT(
         INDEX(AH:AH, ROW()-COUNTIF($F$6:INDEX($F:$F, ROW()-1), $F637)) : INDEX(AH:AH, ROW()-1),
         INDEX(AB:AB, ROW()-COUNTIF($F$6:INDEX($F:$F, ROW()-1), $F637)) : INDEX(AB:AB, ROW()-1)
         )
         /SUM(INDEX(AB:AB, ROW()-COUNTIF($F$6:INDEX($F:$F, ROW()-1), $F637)) : INDEX(AB:AB, ROW()-1)),
          AVERAGEIFS(unit_details[Effective Rent],
          unit_details[Active Listing?],TRUE,
          unit_details[Property Name], $F638,
          unit_details[Beds], $L638,
          unit_details[Baths], $M638,
          unit_details[Partial Baths], IF(ISNUMBER($N638),$N638,""),
          unit_details[Sqft],$P638
)),"")</f>
        <v/>
      </c>
      <c r="AI638" s="6" t="str">
        <f>IFERROR(IF($F638="Total",
         SUMPRODUCT(
         INDEX(AI:AI, ROW()-COUNTIF($F$6:INDEX($F:$F, ROW()-1), $F637)) : INDEX(AI:AI, ROW()-1),
         INDEX(AB:AB, ROW()-COUNTIF($F$6:INDEX($F:$F, ROW()-1), $F637)) : INDEX(AB:AB, ROW()-1)
         )
         /SUM(INDEX(AB:AB, ROW()-COUNTIF($F$6:INDEX($F:$F, ROW()-1), $F637)) : INDEX(AB:AB, ROW()-1)),
           AVERAGEIFS(unit_details[Effective PSF],
          unit_details[Active Listing?],TRUE,
          unit_details[Property Name], $F638,
          unit_details[Beds], $L638,
          unit_details[Baths], $M638,
          unit_details[Partial Baths], IF(ISNUMBER($N638),$N638,""),
          unit_details[Sqft],$P638
)),"")</f>
        <v/>
      </c>
      <c r="AJ638" s="824" t="str">
        <f t="shared" si="103"/>
        <v/>
      </c>
      <c r="AK638" s="531" t="str">
        <f t="shared" si="104"/>
        <v/>
      </c>
      <c r="AL638" s="714" t="str">
        <f t="shared" si="105"/>
        <v/>
      </c>
      <c r="AM638" s="531" t="str">
        <f t="shared" si="106"/>
        <v/>
      </c>
      <c r="AN638" s="716" t="str">
        <f t="shared" si="107"/>
        <v/>
      </c>
    </row>
    <row r="639" spans="6:40" x14ac:dyDescent="0.2">
      <c r="F639" s="1" t="str">
        <f t="shared" si="100"/>
        <v/>
      </c>
      <c r="G639" s="713" t="str">
        <f t="shared" si="108"/>
        <v/>
      </c>
      <c r="H639" s="17" t="str">
        <f>IFERROR(VLOOKUP($G639,Table1[[Property]:[Exposure %]],4,0),"")</f>
        <v/>
      </c>
      <c r="I639" s="3" t="str">
        <f>IFERROR(VLOOKUP($G639,Table1[[Property]:[Exposure %]],6,0),"")</f>
        <v/>
      </c>
      <c r="J639" s="3" t="str">
        <f>IFERROR(VLOOKUP($G639,Table1[[Property]:[Exposure %]],7,0),"")</f>
        <v/>
      </c>
      <c r="R639" s="4" t="str">
        <f>IFERROR(VLOOKUP(IF(F639="Total",F638,F639),Table1[[Property]:['# Units]],7,0)*S639,"")</f>
        <v/>
      </c>
      <c r="S639" s="27" t="str">
        <f t="shared" si="101"/>
        <v/>
      </c>
      <c r="T639" s="531" t="str">
        <f>IFERROR(
 IF($F639="Total",
   SUMPRODUCT(
   INDEX(T:T, ROW()-COUNTIF($F$6:INDEX($F:$F, ROW()-1), $F638)) : INDEX(T:T, ROW()-1),
   INDEX(W:W, ROW()-COUNTIF($F$6:INDEX($F:$F, ROW()-1), $F638)) : INDEX(W:W, ROW()-1)
   )
   /SUM(INDEX(W:W, ROW()-COUNTIF($F$6:INDEX($F:$F, ROW()-1), $F638)) : INDEX(W:W, ROW()-1)),
   AVERAGEIFS(
     INDEX((unit_details[Asking Rent],unit_details[Asking PSF]),0,1,IF($U$3="Chunk Rent",1,2)),
     unit_details[Leased Date],"&gt;="&amp;($AM$2-T$5),
     unit_details[Leased Date],"&lt;"&amp;$AM$2,
     unit_details[Beds],$L639,
     unit_details[Baths],$M639,
     unit_details[Partial Baths],IF(ISNUMBER($N639),$N639,""),
     unit_details[Sqft],$P639,
     unit_details[Property Name],$F639)
 ),"")</f>
        <v/>
      </c>
      <c r="U639" s="552" t="str">
        <f>IFERROR(
 IF($F639="Total",
   SUMPRODUCT(
   INDEX(U:U, ROW()-COUNTIF($F$6:INDEX($F:$F, ROW()-1), $F638)) : INDEX(U:U, ROW()-1),
   INDEX(W:W, ROW()-COUNTIF($F$6:INDEX($F:$F, ROW()-1), $F638)) : INDEX(W:W, ROW()-1)
   )
   /SUM(INDEX(W:W, ROW()-COUNTIF($F$6:INDEX($F:$F, ROW()-1), $F638)) : INDEX(W:W, ROW()-1)),
   AVERAGEIFS(
     INDEX((unit_details[Effective Rent],unit_details[Effective PSF]),0,1,IF($U$3="Chunk Rent",1,2)),
     unit_details[Leased Date],"&gt;="&amp;($AM$2-T$5),
     unit_details[Leased Date],"&lt;"&amp;$AM$2,
     unit_details[Beds],$L639,
     unit_details[Baths],$M639,
     unit_details[Partial Baths],IF(ISNUMBER($N639),$N639,""),
     unit_details[Sqft],$P639,
     unit_details[Property Name],$F639)
 ),"")</f>
        <v/>
      </c>
      <c r="V639" s="27" t="str">
        <f t="shared" si="109"/>
        <v/>
      </c>
      <c r="W639" s="526">
        <f>IFERROR(
  IF($F639="Total",
    SUM(INDEX(W:W, ROW()-COUNTIF($F$6:INDEX($F:$F, ROW()-1), $F638)) : INDEX(W:W, ROW()-1)),
    COUNTIFS(
      unit_details[Leased Date], "&gt;="&amp;($AM$2-T$5),
      unit_details[Leased Date], "&lt;"&amp;$AM$2,
      unit_details[Beds], $L639,
      unit_details[Baths], $M639,
      unit_details[Partial Baths], IF(ISNUMBER($N639), $N639, ""),
      unit_details[Sqft],$P639,
      unit_details[Property Name], $F639
    )
  ),
"")</f>
        <v>0</v>
      </c>
      <c r="X639" s="531" t="str">
        <f>IFERROR(
 IF($F639="Total",
   SUMPRODUCT(
   INDEX(X:X, ROW()-COUNTIF($F$6:INDEX($F:$F, ROW()-1), $F638)) : INDEX(X:X, ROW()-1),
   INDEX(AA:AA, ROW()-COUNTIF($F$6:INDEX($F:$F, ROW()-1), $F638)) : INDEX(AA:AA, ROW()-1)
   )
   /SUM(INDEX(AA:AA, ROW()-COUNTIF($F$6:INDEX($F:$F, ROW()-1), $F638)) : INDEX(AA:AA, ROW()-1)),
   AVERAGEIFS(
     INDEX((unit_details[Asking Rent],unit_details[Asking PSF]),0,1,IF($U$3="Chunk Rent",1,2)),
     unit_details[Leased Date],"&gt;="&amp;($AM$2-X$5),
     unit_details[Leased Date],"&lt;"&amp;$AM$2,
     unit_details[Beds],$L639,
     unit_details[Baths],$M639,
     unit_details[Partial Baths],IF(ISNUMBER($N639),$N639,""),
     unit_details[Sqft],$P639,
     unit_details[Property Name],$F639)
 ),"")</f>
        <v/>
      </c>
      <c r="Y639" s="552" t="str">
        <f>IFERROR(
 IF($F639="Total",
   SUMPRODUCT(
   INDEX(Y:Y, ROW()-COUNTIF($F$6:INDEX($F:$F, ROW()-1), $F638)) : INDEX(Y:Y, ROW()-1),
   INDEX(AA:AA, ROW()-COUNTIF($F$6:INDEX($F:$F, ROW()-1), $F638)) : INDEX(AA:AA, ROW()-1)
   )
   /SUM(INDEX(AA:AA, ROW()-COUNTIF($F$6:INDEX($F:$F, ROW()-1), $F638)) : INDEX(AA:AA, ROW()-1)),
   AVERAGEIFS(
     INDEX((unit_details[Effective Rent],unit_details[Effective PSF]),0,1,IF($U$3="Chunk Rent",1,2)),
     unit_details[Leased Date],"&gt;="&amp;($AM$2-X$5),
     unit_details[Leased Date],"&lt;"&amp;$AM$2,
     unit_details[Beds],$L639,
     unit_details[Baths],$M639,
     unit_details[Partial Baths],IF(ISNUMBER($N639),$N639,""),
     unit_details[Sqft],$P639,
     unit_details[Property Name],$F639)
 ),"")</f>
        <v/>
      </c>
      <c r="Z639" s="27" t="str">
        <f t="shared" si="110"/>
        <v/>
      </c>
      <c r="AA639" s="526">
        <f>IFERROR(
  IF($F639="Total",
    SUM(INDEX(AA:AA, ROW()-COUNTIF($F$6:INDEX($F:$F, ROW()-1), $F638)) : INDEX(AA:AA, ROW()-1)),
    COUNTIFS(
      unit_details[Leased Date], "&gt;="&amp;($AM$2-X$5),
      unit_details[Leased Date], "&lt;"&amp;$AM$2,
      unit_details[Beds], $L639,
      unit_details[Baths], $M639,
      unit_details[Partial Baths], IF(ISNUMBER($N639), $N639, ""),
      unit_details[Sqft],$P639,
      unit_details[Property Name], $F639
    )
  ),
"")</f>
        <v>0</v>
      </c>
      <c r="AB639" s="290">
        <f>IF($F639="Total",
SUM(INDEX(AB:AB, ROW()-COUNTIF($F$6:INDEX($F:$F, ROW()-1), $F638)) : INDEX(AB:AB, ROW()-1)),
COUNTIFS(unit_details[Active Listing?],TRUE,
          unit_details[Property Name], $F639,
          unit_details[Beds], $L639,
          unit_details[Baths], $M639,
          unit_details[Partial Baths],IF(ISNUMBER($N639),$N639,""),
          unit_details[Sqft],$P639))</f>
        <v>0</v>
      </c>
      <c r="AC639" s="27" t="str">
        <f t="shared" si="102"/>
        <v/>
      </c>
      <c r="AD639" s="293" t="str">
        <f>IFERROR(IF(AE639="","",IF($F639="Total",
SUMPRODUCT(
   INDEX(AD:AD, ROW()-COUNTIF($F$6:INDEX($F:$F, ROW()-1), $F638)) : INDEX(AD:AD, ROW()-1),
   INDEX(AB:AB, ROW()-COUNTIF($F$6:INDEX($F:$F, ROW()-1), $F638)) : INDEX(AB:AB, ROW()-1)
   )
   /SUM(INDEX(AB:AB, ROW()-COUNTIF($F$6:INDEX($F:$F, ROW()-1), $F638)) : INDEX(AB:AB, ROW()-1)),
          _xlfn.MINIFS(unit_details[Asking Rent],
          unit_details[Active Listing?],TRUE,
          unit_details[Property Name], $F639,
          unit_details[Beds], $L639,
          unit_details[Baths], $M639,
          unit_details[Partial Baths], IF(ISNUMBER($N639),$N639,""),
          unit_details[Sqft],$P639
))),"")</f>
        <v/>
      </c>
      <c r="AE639" s="5" t="str">
        <f>IFERROR(IF($F639="Total",
          SUMPRODUCT(
   INDEX(AE:AE, ROW()-COUNTIF($F$6:INDEX($F:$F, ROW()-1), $F638)) : INDEX(AE:AE, ROW()-1),
   INDEX(AB:AB, ROW()-COUNTIF($F$6:INDEX($F:$F, ROW()-1), $F638)) : INDEX(AB:AB, ROW()-1)
   )
   /SUM(INDEX(AB:AB, ROW()-COUNTIF($F$6:INDEX($F:$F, ROW()-1), $F638)) : INDEX(AB:AB, ROW()-1)),
          AVERAGEIFS(unit_details[Asking Rent],
          unit_details[Active Listing?],TRUE,
          unit_details[Property Name], $F639,
          unit_details[Beds], $L639,
          unit_details[Baths], $M639,
          unit_details[Partial Baths], IF(ISNUMBER($N639),$N639,""),
          unit_details[Sqft],$P639
)),"")</f>
        <v/>
      </c>
      <c r="AF639" s="5" t="str">
        <f>IFERROR(IF(AE639="","",IF($F639="Total",
SUMPRODUCT(
   INDEX(AF:AF, ROW()-COUNTIF($F$6:INDEX($F:$F, ROW()-1), $F638)) : INDEX(AF:AF, ROW()-1),
   INDEX(AB:AB, ROW()-COUNTIF($F$6:INDEX($F:$F, ROW()-1), $F638)) : INDEX(AB:AB, ROW()-1)
   )
   /SUM(INDEX(AB:AB, ROW()-COUNTIF($F$6:INDEX($F:$F, ROW()-1), $F638)) : INDEX(AB:AB, ROW()-1)),
           _xlfn.MAXIFS(unit_details[Asking Rent],
          unit_details[Active Listing?],TRUE,
          unit_details[Property Name], $F639,
          unit_details[Beds], $L639,
          unit_details[Baths], $M639,
          unit_details[Partial Baths], IF(ISNUMBER($N639),$N639,""),
          unit_details[Sqft],$P639
))),"")</f>
        <v/>
      </c>
      <c r="AG639" s="6" t="str">
        <f>IFERROR(IF($F639="Total",
         SUMPRODUCT(
         INDEX(AG:AG, ROW()-COUNTIF($F$6:INDEX($F:$F, ROW()-1), $F638)) : INDEX(AG:AG, ROW()-1),
         INDEX(AB:AB, ROW()-COUNTIF($F$6:INDEX($F:$F, ROW()-1), $F638)) : INDEX(AB:AB, ROW()-1)
         )
         /SUM(INDEX(AB:AB, ROW()-COUNTIF($F$6:INDEX($F:$F, ROW()-1), $F638)) : INDEX(AB:AB, ROW()-1)),
          AVERAGEIFS(unit_details[Asking PSF],
          unit_details[Active Listing?],TRUE,
          unit_details[Property Name], $F639,
          unit_details[Beds], $L639,
          unit_details[Baths], $M639,
          unit_details[Partial Baths], IF(ISNUMBER($N639),$N639,""),
          unit_details[Sqft],$P639
)),"")</f>
        <v/>
      </c>
      <c r="AH639" s="293" t="str">
        <f>IFERROR(IF($F639="Total",
         SUMPRODUCT(
         INDEX(AH:AH, ROW()-COUNTIF($F$6:INDEX($F:$F, ROW()-1), $F638)) : INDEX(AH:AH, ROW()-1),
         INDEX(AB:AB, ROW()-COUNTIF($F$6:INDEX($F:$F, ROW()-1), $F638)) : INDEX(AB:AB, ROW()-1)
         )
         /SUM(INDEX(AB:AB, ROW()-COUNTIF($F$6:INDEX($F:$F, ROW()-1), $F638)) : INDEX(AB:AB, ROW()-1)),
          AVERAGEIFS(unit_details[Effective Rent],
          unit_details[Active Listing?],TRUE,
          unit_details[Property Name], $F639,
          unit_details[Beds], $L639,
          unit_details[Baths], $M639,
          unit_details[Partial Baths], IF(ISNUMBER($N639),$N639,""),
          unit_details[Sqft],$P639
)),"")</f>
        <v/>
      </c>
      <c r="AI639" s="6" t="str">
        <f>IFERROR(IF($F639="Total",
         SUMPRODUCT(
         INDEX(AI:AI, ROW()-COUNTIF($F$6:INDEX($F:$F, ROW()-1), $F638)) : INDEX(AI:AI, ROW()-1),
         INDEX(AB:AB, ROW()-COUNTIF($F$6:INDEX($F:$F, ROW()-1), $F638)) : INDEX(AB:AB, ROW()-1)
         )
         /SUM(INDEX(AB:AB, ROW()-COUNTIF($F$6:INDEX($F:$F, ROW()-1), $F638)) : INDEX(AB:AB, ROW()-1)),
           AVERAGEIFS(unit_details[Effective PSF],
          unit_details[Active Listing?],TRUE,
          unit_details[Property Name], $F639,
          unit_details[Beds], $L639,
          unit_details[Baths], $M639,
          unit_details[Partial Baths], IF(ISNUMBER($N639),$N639,""),
          unit_details[Sqft],$P639
)),"")</f>
        <v/>
      </c>
      <c r="AJ639" s="824" t="str">
        <f t="shared" si="103"/>
        <v/>
      </c>
      <c r="AK639" s="531" t="str">
        <f t="shared" si="104"/>
        <v/>
      </c>
      <c r="AL639" s="714" t="str">
        <f t="shared" si="105"/>
        <v/>
      </c>
      <c r="AM639" s="531" t="str">
        <f t="shared" si="106"/>
        <v/>
      </c>
      <c r="AN639" s="716" t="str">
        <f t="shared" si="107"/>
        <v/>
      </c>
    </row>
    <row r="640" spans="6:40" x14ac:dyDescent="0.2">
      <c r="F640" s="1" t="str">
        <f t="shared" si="100"/>
        <v/>
      </c>
      <c r="G640" s="713" t="str">
        <f t="shared" si="108"/>
        <v/>
      </c>
      <c r="H640" s="17" t="str">
        <f>IFERROR(VLOOKUP($G640,Table1[[Property]:[Exposure %]],4,0),"")</f>
        <v/>
      </c>
      <c r="I640" s="3" t="str">
        <f>IFERROR(VLOOKUP($G640,Table1[[Property]:[Exposure %]],6,0),"")</f>
        <v/>
      </c>
      <c r="J640" s="3" t="str">
        <f>IFERROR(VLOOKUP($G640,Table1[[Property]:[Exposure %]],7,0),"")</f>
        <v/>
      </c>
      <c r="R640" s="4" t="str">
        <f>IFERROR(VLOOKUP(IF(F640="Total",F639,F640),Table1[[Property]:['# Units]],7,0)*S640,"")</f>
        <v/>
      </c>
      <c r="S640" s="27" t="str">
        <f t="shared" si="101"/>
        <v/>
      </c>
      <c r="T640" s="531" t="str">
        <f>IFERROR(
 IF($F640="Total",
   SUMPRODUCT(
   INDEX(T:T, ROW()-COUNTIF($F$6:INDEX($F:$F, ROW()-1), $F639)) : INDEX(T:T, ROW()-1),
   INDEX(W:W, ROW()-COUNTIF($F$6:INDEX($F:$F, ROW()-1), $F639)) : INDEX(W:W, ROW()-1)
   )
   /SUM(INDEX(W:W, ROW()-COUNTIF($F$6:INDEX($F:$F, ROW()-1), $F639)) : INDEX(W:W, ROW()-1)),
   AVERAGEIFS(
     INDEX((unit_details[Asking Rent],unit_details[Asking PSF]),0,1,IF($U$3="Chunk Rent",1,2)),
     unit_details[Leased Date],"&gt;="&amp;($AM$2-T$5),
     unit_details[Leased Date],"&lt;"&amp;$AM$2,
     unit_details[Beds],$L640,
     unit_details[Baths],$M640,
     unit_details[Partial Baths],IF(ISNUMBER($N640),$N640,""),
     unit_details[Sqft],$P640,
     unit_details[Property Name],$F640)
 ),"")</f>
        <v/>
      </c>
      <c r="U640" s="552" t="str">
        <f>IFERROR(
 IF($F640="Total",
   SUMPRODUCT(
   INDEX(U:U, ROW()-COUNTIF($F$6:INDEX($F:$F, ROW()-1), $F639)) : INDEX(U:U, ROW()-1),
   INDEX(W:W, ROW()-COUNTIF($F$6:INDEX($F:$F, ROW()-1), $F639)) : INDEX(W:W, ROW()-1)
   )
   /SUM(INDEX(W:W, ROW()-COUNTIF($F$6:INDEX($F:$F, ROW()-1), $F639)) : INDEX(W:W, ROW()-1)),
   AVERAGEIFS(
     INDEX((unit_details[Effective Rent],unit_details[Effective PSF]),0,1,IF($U$3="Chunk Rent",1,2)),
     unit_details[Leased Date],"&gt;="&amp;($AM$2-T$5),
     unit_details[Leased Date],"&lt;"&amp;$AM$2,
     unit_details[Beds],$L640,
     unit_details[Baths],$M640,
     unit_details[Partial Baths],IF(ISNUMBER($N640),$N640,""),
     unit_details[Sqft],$P640,
     unit_details[Property Name],$F640)
 ),"")</f>
        <v/>
      </c>
      <c r="V640" s="27" t="str">
        <f t="shared" si="109"/>
        <v/>
      </c>
      <c r="W640" s="526">
        <f>IFERROR(
  IF($F640="Total",
    SUM(INDEX(W:W, ROW()-COUNTIF($F$6:INDEX($F:$F, ROW()-1), $F639)) : INDEX(W:W, ROW()-1)),
    COUNTIFS(
      unit_details[Leased Date], "&gt;="&amp;($AM$2-T$5),
      unit_details[Leased Date], "&lt;"&amp;$AM$2,
      unit_details[Beds], $L640,
      unit_details[Baths], $M640,
      unit_details[Partial Baths], IF(ISNUMBER($N640), $N640, ""),
      unit_details[Sqft],$P640,
      unit_details[Property Name], $F640
    )
  ),
"")</f>
        <v>0</v>
      </c>
      <c r="X640" s="531" t="str">
        <f>IFERROR(
 IF($F640="Total",
   SUMPRODUCT(
   INDEX(X:X, ROW()-COUNTIF($F$6:INDEX($F:$F, ROW()-1), $F639)) : INDEX(X:X, ROW()-1),
   INDEX(AA:AA, ROW()-COUNTIF($F$6:INDEX($F:$F, ROW()-1), $F639)) : INDEX(AA:AA, ROW()-1)
   )
   /SUM(INDEX(AA:AA, ROW()-COUNTIF($F$6:INDEX($F:$F, ROW()-1), $F639)) : INDEX(AA:AA, ROW()-1)),
   AVERAGEIFS(
     INDEX((unit_details[Asking Rent],unit_details[Asking PSF]),0,1,IF($U$3="Chunk Rent",1,2)),
     unit_details[Leased Date],"&gt;="&amp;($AM$2-X$5),
     unit_details[Leased Date],"&lt;"&amp;$AM$2,
     unit_details[Beds],$L640,
     unit_details[Baths],$M640,
     unit_details[Partial Baths],IF(ISNUMBER($N640),$N640,""),
     unit_details[Sqft],$P640,
     unit_details[Property Name],$F640)
 ),"")</f>
        <v/>
      </c>
      <c r="Y640" s="552" t="str">
        <f>IFERROR(
 IF($F640="Total",
   SUMPRODUCT(
   INDEX(Y:Y, ROW()-COUNTIF($F$6:INDEX($F:$F, ROW()-1), $F639)) : INDEX(Y:Y, ROW()-1),
   INDEX(AA:AA, ROW()-COUNTIF($F$6:INDEX($F:$F, ROW()-1), $F639)) : INDEX(AA:AA, ROW()-1)
   )
   /SUM(INDEX(AA:AA, ROW()-COUNTIF($F$6:INDEX($F:$F, ROW()-1), $F639)) : INDEX(AA:AA, ROW()-1)),
   AVERAGEIFS(
     INDEX((unit_details[Effective Rent],unit_details[Effective PSF]),0,1,IF($U$3="Chunk Rent",1,2)),
     unit_details[Leased Date],"&gt;="&amp;($AM$2-X$5),
     unit_details[Leased Date],"&lt;"&amp;$AM$2,
     unit_details[Beds],$L640,
     unit_details[Baths],$M640,
     unit_details[Partial Baths],IF(ISNUMBER($N640),$N640,""),
     unit_details[Sqft],$P640,
     unit_details[Property Name],$F640)
 ),"")</f>
        <v/>
      </c>
      <c r="Z640" s="27" t="str">
        <f t="shared" si="110"/>
        <v/>
      </c>
      <c r="AA640" s="526">
        <f>IFERROR(
  IF($F640="Total",
    SUM(INDEX(AA:AA, ROW()-COUNTIF($F$6:INDEX($F:$F, ROW()-1), $F639)) : INDEX(AA:AA, ROW()-1)),
    COUNTIFS(
      unit_details[Leased Date], "&gt;="&amp;($AM$2-X$5),
      unit_details[Leased Date], "&lt;"&amp;$AM$2,
      unit_details[Beds], $L640,
      unit_details[Baths], $M640,
      unit_details[Partial Baths], IF(ISNUMBER($N640), $N640, ""),
      unit_details[Sqft],$P640,
      unit_details[Property Name], $F640
    )
  ),
"")</f>
        <v>0</v>
      </c>
      <c r="AB640" s="290">
        <f>IF($F640="Total",
SUM(INDEX(AB:AB, ROW()-COUNTIF($F$6:INDEX($F:$F, ROW()-1), $F639)) : INDEX(AB:AB, ROW()-1)),
COUNTIFS(unit_details[Active Listing?],TRUE,
          unit_details[Property Name], $F640,
          unit_details[Beds], $L640,
          unit_details[Baths], $M640,
          unit_details[Partial Baths],IF(ISNUMBER($N640),$N640,""),
          unit_details[Sqft],$P640))</f>
        <v>0</v>
      </c>
      <c r="AC640" s="27" t="str">
        <f t="shared" si="102"/>
        <v/>
      </c>
      <c r="AD640" s="293" t="str">
        <f>IFERROR(IF(AE640="","",IF($F640="Total",
SUMPRODUCT(
   INDEX(AD:AD, ROW()-COUNTIF($F$6:INDEX($F:$F, ROW()-1), $F639)) : INDEX(AD:AD, ROW()-1),
   INDEX(AB:AB, ROW()-COUNTIF($F$6:INDEX($F:$F, ROW()-1), $F639)) : INDEX(AB:AB, ROW()-1)
   )
   /SUM(INDEX(AB:AB, ROW()-COUNTIF($F$6:INDEX($F:$F, ROW()-1), $F639)) : INDEX(AB:AB, ROW()-1)),
          _xlfn.MINIFS(unit_details[Asking Rent],
          unit_details[Active Listing?],TRUE,
          unit_details[Property Name], $F640,
          unit_details[Beds], $L640,
          unit_details[Baths], $M640,
          unit_details[Partial Baths], IF(ISNUMBER($N640),$N640,""),
          unit_details[Sqft],$P640
))),"")</f>
        <v/>
      </c>
      <c r="AE640" s="5" t="str">
        <f>IFERROR(IF($F640="Total",
          SUMPRODUCT(
   INDEX(AE:AE, ROW()-COUNTIF($F$6:INDEX($F:$F, ROW()-1), $F639)) : INDEX(AE:AE, ROW()-1),
   INDEX(AB:AB, ROW()-COUNTIF($F$6:INDEX($F:$F, ROW()-1), $F639)) : INDEX(AB:AB, ROW()-1)
   )
   /SUM(INDEX(AB:AB, ROW()-COUNTIF($F$6:INDEX($F:$F, ROW()-1), $F639)) : INDEX(AB:AB, ROW()-1)),
          AVERAGEIFS(unit_details[Asking Rent],
          unit_details[Active Listing?],TRUE,
          unit_details[Property Name], $F640,
          unit_details[Beds], $L640,
          unit_details[Baths], $M640,
          unit_details[Partial Baths], IF(ISNUMBER($N640),$N640,""),
          unit_details[Sqft],$P640
)),"")</f>
        <v/>
      </c>
      <c r="AF640" s="5" t="str">
        <f>IFERROR(IF(AE640="","",IF($F640="Total",
SUMPRODUCT(
   INDEX(AF:AF, ROW()-COUNTIF($F$6:INDEX($F:$F, ROW()-1), $F639)) : INDEX(AF:AF, ROW()-1),
   INDEX(AB:AB, ROW()-COUNTIF($F$6:INDEX($F:$F, ROW()-1), $F639)) : INDEX(AB:AB, ROW()-1)
   )
   /SUM(INDEX(AB:AB, ROW()-COUNTIF($F$6:INDEX($F:$F, ROW()-1), $F639)) : INDEX(AB:AB, ROW()-1)),
           _xlfn.MAXIFS(unit_details[Asking Rent],
          unit_details[Active Listing?],TRUE,
          unit_details[Property Name], $F640,
          unit_details[Beds], $L640,
          unit_details[Baths], $M640,
          unit_details[Partial Baths], IF(ISNUMBER($N640),$N640,""),
          unit_details[Sqft],$P640
))),"")</f>
        <v/>
      </c>
      <c r="AG640" s="6" t="str">
        <f>IFERROR(IF($F640="Total",
         SUMPRODUCT(
         INDEX(AG:AG, ROW()-COUNTIF($F$6:INDEX($F:$F, ROW()-1), $F639)) : INDEX(AG:AG, ROW()-1),
         INDEX(AB:AB, ROW()-COUNTIF($F$6:INDEX($F:$F, ROW()-1), $F639)) : INDEX(AB:AB, ROW()-1)
         )
         /SUM(INDEX(AB:AB, ROW()-COUNTIF($F$6:INDEX($F:$F, ROW()-1), $F639)) : INDEX(AB:AB, ROW()-1)),
          AVERAGEIFS(unit_details[Asking PSF],
          unit_details[Active Listing?],TRUE,
          unit_details[Property Name], $F640,
          unit_details[Beds], $L640,
          unit_details[Baths], $M640,
          unit_details[Partial Baths], IF(ISNUMBER($N640),$N640,""),
          unit_details[Sqft],$P640
)),"")</f>
        <v/>
      </c>
      <c r="AH640" s="293" t="str">
        <f>IFERROR(IF($F640="Total",
         SUMPRODUCT(
         INDEX(AH:AH, ROW()-COUNTIF($F$6:INDEX($F:$F, ROW()-1), $F639)) : INDEX(AH:AH, ROW()-1),
         INDEX(AB:AB, ROW()-COUNTIF($F$6:INDEX($F:$F, ROW()-1), $F639)) : INDEX(AB:AB, ROW()-1)
         )
         /SUM(INDEX(AB:AB, ROW()-COUNTIF($F$6:INDEX($F:$F, ROW()-1), $F639)) : INDEX(AB:AB, ROW()-1)),
          AVERAGEIFS(unit_details[Effective Rent],
          unit_details[Active Listing?],TRUE,
          unit_details[Property Name], $F640,
          unit_details[Beds], $L640,
          unit_details[Baths], $M640,
          unit_details[Partial Baths], IF(ISNUMBER($N640),$N640,""),
          unit_details[Sqft],$P640
)),"")</f>
        <v/>
      </c>
      <c r="AI640" s="6" t="str">
        <f>IFERROR(IF($F640="Total",
         SUMPRODUCT(
         INDEX(AI:AI, ROW()-COUNTIF($F$6:INDEX($F:$F, ROW()-1), $F639)) : INDEX(AI:AI, ROW()-1),
         INDEX(AB:AB, ROW()-COUNTIF($F$6:INDEX($F:$F, ROW()-1), $F639)) : INDEX(AB:AB, ROW()-1)
         )
         /SUM(INDEX(AB:AB, ROW()-COUNTIF($F$6:INDEX($F:$F, ROW()-1), $F639)) : INDEX(AB:AB, ROW()-1)),
           AVERAGEIFS(unit_details[Effective PSF],
          unit_details[Active Listing?],TRUE,
          unit_details[Property Name], $F640,
          unit_details[Beds], $L640,
          unit_details[Baths], $M640,
          unit_details[Partial Baths], IF(ISNUMBER($N640),$N640,""),
          unit_details[Sqft],$P640
)),"")</f>
        <v/>
      </c>
      <c r="AJ640" s="824" t="str">
        <f t="shared" si="103"/>
        <v/>
      </c>
      <c r="AK640" s="531" t="str">
        <f t="shared" si="104"/>
        <v/>
      </c>
      <c r="AL640" s="714" t="str">
        <f t="shared" si="105"/>
        <v/>
      </c>
      <c r="AM640" s="531" t="str">
        <f t="shared" si="106"/>
        <v/>
      </c>
      <c r="AN640" s="716" t="str">
        <f t="shared" si="107"/>
        <v/>
      </c>
    </row>
    <row r="641" spans="6:40" x14ac:dyDescent="0.2">
      <c r="F641" s="1" t="str">
        <f t="shared" si="100"/>
        <v/>
      </c>
      <c r="G641" s="713" t="str">
        <f t="shared" si="108"/>
        <v/>
      </c>
      <c r="H641" s="17" t="str">
        <f>IFERROR(VLOOKUP($G641,Table1[[Property]:[Exposure %]],4,0),"")</f>
        <v/>
      </c>
      <c r="I641" s="3" t="str">
        <f>IFERROR(VLOOKUP($G641,Table1[[Property]:[Exposure %]],6,0),"")</f>
        <v/>
      </c>
      <c r="J641" s="3" t="str">
        <f>IFERROR(VLOOKUP($G641,Table1[[Property]:[Exposure %]],7,0),"")</f>
        <v/>
      </c>
      <c r="R641" s="4" t="str">
        <f>IFERROR(VLOOKUP(IF(F641="Total",F640,F641),Table1[[Property]:['# Units]],7,0)*S641,"")</f>
        <v/>
      </c>
      <c r="S641" s="27" t="str">
        <f t="shared" si="101"/>
        <v/>
      </c>
      <c r="T641" s="531" t="str">
        <f>IFERROR(
 IF($F641="Total",
   SUMPRODUCT(
   INDEX(T:T, ROW()-COUNTIF($F$6:INDEX($F:$F, ROW()-1), $F640)) : INDEX(T:T, ROW()-1),
   INDEX(W:W, ROW()-COUNTIF($F$6:INDEX($F:$F, ROW()-1), $F640)) : INDEX(W:W, ROW()-1)
   )
   /SUM(INDEX(W:W, ROW()-COUNTIF($F$6:INDEX($F:$F, ROW()-1), $F640)) : INDEX(W:W, ROW()-1)),
   AVERAGEIFS(
     INDEX((unit_details[Asking Rent],unit_details[Asking PSF]),0,1,IF($U$3="Chunk Rent",1,2)),
     unit_details[Leased Date],"&gt;="&amp;($AM$2-T$5),
     unit_details[Leased Date],"&lt;"&amp;$AM$2,
     unit_details[Beds],$L641,
     unit_details[Baths],$M641,
     unit_details[Partial Baths],IF(ISNUMBER($N641),$N641,""),
     unit_details[Sqft],$P641,
     unit_details[Property Name],$F641)
 ),"")</f>
        <v/>
      </c>
      <c r="U641" s="552" t="str">
        <f>IFERROR(
 IF($F641="Total",
   SUMPRODUCT(
   INDEX(U:U, ROW()-COUNTIF($F$6:INDEX($F:$F, ROW()-1), $F640)) : INDEX(U:U, ROW()-1),
   INDEX(W:W, ROW()-COUNTIF($F$6:INDEX($F:$F, ROW()-1), $F640)) : INDEX(W:W, ROW()-1)
   )
   /SUM(INDEX(W:W, ROW()-COUNTIF($F$6:INDEX($F:$F, ROW()-1), $F640)) : INDEX(W:W, ROW()-1)),
   AVERAGEIFS(
     INDEX((unit_details[Effective Rent],unit_details[Effective PSF]),0,1,IF($U$3="Chunk Rent",1,2)),
     unit_details[Leased Date],"&gt;="&amp;($AM$2-T$5),
     unit_details[Leased Date],"&lt;"&amp;$AM$2,
     unit_details[Beds],$L641,
     unit_details[Baths],$M641,
     unit_details[Partial Baths],IF(ISNUMBER($N641),$N641,""),
     unit_details[Sqft],$P641,
     unit_details[Property Name],$F641)
 ),"")</f>
        <v/>
      </c>
      <c r="V641" s="27" t="str">
        <f t="shared" si="109"/>
        <v/>
      </c>
      <c r="W641" s="526">
        <f>IFERROR(
  IF($F641="Total",
    SUM(INDEX(W:W, ROW()-COUNTIF($F$6:INDEX($F:$F, ROW()-1), $F640)) : INDEX(W:W, ROW()-1)),
    COUNTIFS(
      unit_details[Leased Date], "&gt;="&amp;($AM$2-T$5),
      unit_details[Leased Date], "&lt;"&amp;$AM$2,
      unit_details[Beds], $L641,
      unit_details[Baths], $M641,
      unit_details[Partial Baths], IF(ISNUMBER($N641), $N641, ""),
      unit_details[Sqft],$P641,
      unit_details[Property Name], $F641
    )
  ),
"")</f>
        <v>0</v>
      </c>
      <c r="X641" s="531" t="str">
        <f>IFERROR(
 IF($F641="Total",
   SUMPRODUCT(
   INDEX(X:X, ROW()-COUNTIF($F$6:INDEX($F:$F, ROW()-1), $F640)) : INDEX(X:X, ROW()-1),
   INDEX(AA:AA, ROW()-COUNTIF($F$6:INDEX($F:$F, ROW()-1), $F640)) : INDEX(AA:AA, ROW()-1)
   )
   /SUM(INDEX(AA:AA, ROW()-COUNTIF($F$6:INDEX($F:$F, ROW()-1), $F640)) : INDEX(AA:AA, ROW()-1)),
   AVERAGEIFS(
     INDEX((unit_details[Asking Rent],unit_details[Asking PSF]),0,1,IF($U$3="Chunk Rent",1,2)),
     unit_details[Leased Date],"&gt;="&amp;($AM$2-X$5),
     unit_details[Leased Date],"&lt;"&amp;$AM$2,
     unit_details[Beds],$L641,
     unit_details[Baths],$M641,
     unit_details[Partial Baths],IF(ISNUMBER($N641),$N641,""),
     unit_details[Sqft],$P641,
     unit_details[Property Name],$F641)
 ),"")</f>
        <v/>
      </c>
      <c r="Y641" s="552" t="str">
        <f>IFERROR(
 IF($F641="Total",
   SUMPRODUCT(
   INDEX(Y:Y, ROW()-COUNTIF($F$6:INDEX($F:$F, ROW()-1), $F640)) : INDEX(Y:Y, ROW()-1),
   INDEX(AA:AA, ROW()-COUNTIF($F$6:INDEX($F:$F, ROW()-1), $F640)) : INDEX(AA:AA, ROW()-1)
   )
   /SUM(INDEX(AA:AA, ROW()-COUNTIF($F$6:INDEX($F:$F, ROW()-1), $F640)) : INDEX(AA:AA, ROW()-1)),
   AVERAGEIFS(
     INDEX((unit_details[Effective Rent],unit_details[Effective PSF]),0,1,IF($U$3="Chunk Rent",1,2)),
     unit_details[Leased Date],"&gt;="&amp;($AM$2-X$5),
     unit_details[Leased Date],"&lt;"&amp;$AM$2,
     unit_details[Beds],$L641,
     unit_details[Baths],$M641,
     unit_details[Partial Baths],IF(ISNUMBER($N641),$N641,""),
     unit_details[Sqft],$P641,
     unit_details[Property Name],$F641)
 ),"")</f>
        <v/>
      </c>
      <c r="Z641" s="27" t="str">
        <f t="shared" si="110"/>
        <v/>
      </c>
      <c r="AA641" s="526">
        <f>IFERROR(
  IF($F641="Total",
    SUM(INDEX(AA:AA, ROW()-COUNTIF($F$6:INDEX($F:$F, ROW()-1), $F640)) : INDEX(AA:AA, ROW()-1)),
    COUNTIFS(
      unit_details[Leased Date], "&gt;="&amp;($AM$2-X$5),
      unit_details[Leased Date], "&lt;"&amp;$AM$2,
      unit_details[Beds], $L641,
      unit_details[Baths], $M641,
      unit_details[Partial Baths], IF(ISNUMBER($N641), $N641, ""),
      unit_details[Sqft],$P641,
      unit_details[Property Name], $F641
    )
  ),
"")</f>
        <v>0</v>
      </c>
      <c r="AB641" s="290">
        <f>IF($F641="Total",
SUM(INDEX(AB:AB, ROW()-COUNTIF($F$6:INDEX($F:$F, ROW()-1), $F640)) : INDEX(AB:AB, ROW()-1)),
COUNTIFS(unit_details[Active Listing?],TRUE,
          unit_details[Property Name], $F641,
          unit_details[Beds], $L641,
          unit_details[Baths], $M641,
          unit_details[Partial Baths],IF(ISNUMBER($N641),$N641,""),
          unit_details[Sqft],$P641))</f>
        <v>0</v>
      </c>
      <c r="AC641" s="27" t="str">
        <f t="shared" si="102"/>
        <v/>
      </c>
      <c r="AD641" s="293" t="str">
        <f>IFERROR(IF(AE641="","",IF($F641="Total",
SUMPRODUCT(
   INDEX(AD:AD, ROW()-COUNTIF($F$6:INDEX($F:$F, ROW()-1), $F640)) : INDEX(AD:AD, ROW()-1),
   INDEX(AB:AB, ROW()-COUNTIF($F$6:INDEX($F:$F, ROW()-1), $F640)) : INDEX(AB:AB, ROW()-1)
   )
   /SUM(INDEX(AB:AB, ROW()-COUNTIF($F$6:INDEX($F:$F, ROW()-1), $F640)) : INDEX(AB:AB, ROW()-1)),
          _xlfn.MINIFS(unit_details[Asking Rent],
          unit_details[Active Listing?],TRUE,
          unit_details[Property Name], $F641,
          unit_details[Beds], $L641,
          unit_details[Baths], $M641,
          unit_details[Partial Baths], IF(ISNUMBER($N641),$N641,""),
          unit_details[Sqft],$P641
))),"")</f>
        <v/>
      </c>
      <c r="AE641" s="5" t="str">
        <f>IFERROR(IF($F641="Total",
          SUMPRODUCT(
   INDEX(AE:AE, ROW()-COUNTIF($F$6:INDEX($F:$F, ROW()-1), $F640)) : INDEX(AE:AE, ROW()-1),
   INDEX(AB:AB, ROW()-COUNTIF($F$6:INDEX($F:$F, ROW()-1), $F640)) : INDEX(AB:AB, ROW()-1)
   )
   /SUM(INDEX(AB:AB, ROW()-COUNTIF($F$6:INDEX($F:$F, ROW()-1), $F640)) : INDEX(AB:AB, ROW()-1)),
          AVERAGEIFS(unit_details[Asking Rent],
          unit_details[Active Listing?],TRUE,
          unit_details[Property Name], $F641,
          unit_details[Beds], $L641,
          unit_details[Baths], $M641,
          unit_details[Partial Baths], IF(ISNUMBER($N641),$N641,""),
          unit_details[Sqft],$P641
)),"")</f>
        <v/>
      </c>
      <c r="AF641" s="5" t="str">
        <f>IFERROR(IF(AE641="","",IF($F641="Total",
SUMPRODUCT(
   INDEX(AF:AF, ROW()-COUNTIF($F$6:INDEX($F:$F, ROW()-1), $F640)) : INDEX(AF:AF, ROW()-1),
   INDEX(AB:AB, ROW()-COUNTIF($F$6:INDEX($F:$F, ROW()-1), $F640)) : INDEX(AB:AB, ROW()-1)
   )
   /SUM(INDEX(AB:AB, ROW()-COUNTIF($F$6:INDEX($F:$F, ROW()-1), $F640)) : INDEX(AB:AB, ROW()-1)),
           _xlfn.MAXIFS(unit_details[Asking Rent],
          unit_details[Active Listing?],TRUE,
          unit_details[Property Name], $F641,
          unit_details[Beds], $L641,
          unit_details[Baths], $M641,
          unit_details[Partial Baths], IF(ISNUMBER($N641),$N641,""),
          unit_details[Sqft],$P641
))),"")</f>
        <v/>
      </c>
      <c r="AG641" s="6" t="str">
        <f>IFERROR(IF($F641="Total",
         SUMPRODUCT(
         INDEX(AG:AG, ROW()-COUNTIF($F$6:INDEX($F:$F, ROW()-1), $F640)) : INDEX(AG:AG, ROW()-1),
         INDEX(AB:AB, ROW()-COUNTIF($F$6:INDEX($F:$F, ROW()-1), $F640)) : INDEX(AB:AB, ROW()-1)
         )
         /SUM(INDEX(AB:AB, ROW()-COUNTIF($F$6:INDEX($F:$F, ROW()-1), $F640)) : INDEX(AB:AB, ROW()-1)),
          AVERAGEIFS(unit_details[Asking PSF],
          unit_details[Active Listing?],TRUE,
          unit_details[Property Name], $F641,
          unit_details[Beds], $L641,
          unit_details[Baths], $M641,
          unit_details[Partial Baths], IF(ISNUMBER($N641),$N641,""),
          unit_details[Sqft],$P641
)),"")</f>
        <v/>
      </c>
      <c r="AH641" s="293" t="str">
        <f>IFERROR(IF($F641="Total",
         SUMPRODUCT(
         INDEX(AH:AH, ROW()-COUNTIF($F$6:INDEX($F:$F, ROW()-1), $F640)) : INDEX(AH:AH, ROW()-1),
         INDEX(AB:AB, ROW()-COUNTIF($F$6:INDEX($F:$F, ROW()-1), $F640)) : INDEX(AB:AB, ROW()-1)
         )
         /SUM(INDEX(AB:AB, ROW()-COUNTIF($F$6:INDEX($F:$F, ROW()-1), $F640)) : INDEX(AB:AB, ROW()-1)),
          AVERAGEIFS(unit_details[Effective Rent],
          unit_details[Active Listing?],TRUE,
          unit_details[Property Name], $F641,
          unit_details[Beds], $L641,
          unit_details[Baths], $M641,
          unit_details[Partial Baths], IF(ISNUMBER($N641),$N641,""),
          unit_details[Sqft],$P641
)),"")</f>
        <v/>
      </c>
      <c r="AI641" s="6" t="str">
        <f>IFERROR(IF($F641="Total",
         SUMPRODUCT(
         INDEX(AI:AI, ROW()-COUNTIF($F$6:INDEX($F:$F, ROW()-1), $F640)) : INDEX(AI:AI, ROW()-1),
         INDEX(AB:AB, ROW()-COUNTIF($F$6:INDEX($F:$F, ROW()-1), $F640)) : INDEX(AB:AB, ROW()-1)
         )
         /SUM(INDEX(AB:AB, ROW()-COUNTIF($F$6:INDEX($F:$F, ROW()-1), $F640)) : INDEX(AB:AB, ROW()-1)),
           AVERAGEIFS(unit_details[Effective PSF],
          unit_details[Active Listing?],TRUE,
          unit_details[Property Name], $F641,
          unit_details[Beds], $L641,
          unit_details[Baths], $M641,
          unit_details[Partial Baths], IF(ISNUMBER($N641),$N641,""),
          unit_details[Sqft],$P641
)),"")</f>
        <v/>
      </c>
      <c r="AJ641" s="824" t="str">
        <f t="shared" si="103"/>
        <v/>
      </c>
      <c r="AK641" s="531" t="str">
        <f t="shared" si="104"/>
        <v/>
      </c>
      <c r="AL641" s="714" t="str">
        <f t="shared" si="105"/>
        <v/>
      </c>
      <c r="AM641" s="531" t="str">
        <f t="shared" si="106"/>
        <v/>
      </c>
      <c r="AN641" s="716" t="str">
        <f t="shared" si="107"/>
        <v/>
      </c>
    </row>
    <row r="642" spans="6:40" x14ac:dyDescent="0.2">
      <c r="F642" s="1" t="str">
        <f t="shared" si="100"/>
        <v/>
      </c>
      <c r="G642" s="713" t="str">
        <f t="shared" si="108"/>
        <v/>
      </c>
      <c r="H642" s="17" t="str">
        <f>IFERROR(VLOOKUP($G642,Table1[[Property]:[Exposure %]],4,0),"")</f>
        <v/>
      </c>
      <c r="I642" s="3" t="str">
        <f>IFERROR(VLOOKUP($G642,Table1[[Property]:[Exposure %]],6,0),"")</f>
        <v/>
      </c>
      <c r="J642" s="3" t="str">
        <f>IFERROR(VLOOKUP($G642,Table1[[Property]:[Exposure %]],7,0),"")</f>
        <v/>
      </c>
      <c r="R642" s="4" t="str">
        <f>IFERROR(VLOOKUP(IF(F642="Total",F641,F642),Table1[[Property]:['# Units]],7,0)*S642,"")</f>
        <v/>
      </c>
      <c r="S642" s="27" t="str">
        <f t="shared" si="101"/>
        <v/>
      </c>
      <c r="T642" s="531" t="str">
        <f>IFERROR(
 IF($F642="Total",
   SUMPRODUCT(
   INDEX(T:T, ROW()-COUNTIF($F$6:INDEX($F:$F, ROW()-1), $F641)) : INDEX(T:T, ROW()-1),
   INDEX(W:W, ROW()-COUNTIF($F$6:INDEX($F:$F, ROW()-1), $F641)) : INDEX(W:W, ROW()-1)
   )
   /SUM(INDEX(W:W, ROW()-COUNTIF($F$6:INDEX($F:$F, ROW()-1), $F641)) : INDEX(W:W, ROW()-1)),
   AVERAGEIFS(
     INDEX((unit_details[Asking Rent],unit_details[Asking PSF]),0,1,IF($U$3="Chunk Rent",1,2)),
     unit_details[Leased Date],"&gt;="&amp;($AM$2-T$5),
     unit_details[Leased Date],"&lt;"&amp;$AM$2,
     unit_details[Beds],$L642,
     unit_details[Baths],$M642,
     unit_details[Partial Baths],IF(ISNUMBER($N642),$N642,""),
     unit_details[Sqft],$P642,
     unit_details[Property Name],$F642)
 ),"")</f>
        <v/>
      </c>
      <c r="U642" s="552" t="str">
        <f>IFERROR(
 IF($F642="Total",
   SUMPRODUCT(
   INDEX(U:U, ROW()-COUNTIF($F$6:INDEX($F:$F, ROW()-1), $F641)) : INDEX(U:U, ROW()-1),
   INDEX(W:W, ROW()-COUNTIF($F$6:INDEX($F:$F, ROW()-1), $F641)) : INDEX(W:W, ROW()-1)
   )
   /SUM(INDEX(W:W, ROW()-COUNTIF($F$6:INDEX($F:$F, ROW()-1), $F641)) : INDEX(W:W, ROW()-1)),
   AVERAGEIFS(
     INDEX((unit_details[Effective Rent],unit_details[Effective PSF]),0,1,IF($U$3="Chunk Rent",1,2)),
     unit_details[Leased Date],"&gt;="&amp;($AM$2-T$5),
     unit_details[Leased Date],"&lt;"&amp;$AM$2,
     unit_details[Beds],$L642,
     unit_details[Baths],$M642,
     unit_details[Partial Baths],IF(ISNUMBER($N642),$N642,""),
     unit_details[Sqft],$P642,
     unit_details[Property Name],$F642)
 ),"")</f>
        <v/>
      </c>
      <c r="V642" s="27" t="str">
        <f t="shared" si="109"/>
        <v/>
      </c>
      <c r="W642" s="526">
        <f>IFERROR(
  IF($F642="Total",
    SUM(INDEX(W:W, ROW()-COUNTIF($F$6:INDEX($F:$F, ROW()-1), $F641)) : INDEX(W:W, ROW()-1)),
    COUNTIFS(
      unit_details[Leased Date], "&gt;="&amp;($AM$2-T$5),
      unit_details[Leased Date], "&lt;"&amp;$AM$2,
      unit_details[Beds], $L642,
      unit_details[Baths], $M642,
      unit_details[Partial Baths], IF(ISNUMBER($N642), $N642, ""),
      unit_details[Sqft],$P642,
      unit_details[Property Name], $F642
    )
  ),
"")</f>
        <v>0</v>
      </c>
      <c r="X642" s="531" t="str">
        <f>IFERROR(
 IF($F642="Total",
   SUMPRODUCT(
   INDEX(X:X, ROW()-COUNTIF($F$6:INDEX($F:$F, ROW()-1), $F641)) : INDEX(X:X, ROW()-1),
   INDEX(AA:AA, ROW()-COUNTIF($F$6:INDEX($F:$F, ROW()-1), $F641)) : INDEX(AA:AA, ROW()-1)
   )
   /SUM(INDEX(AA:AA, ROW()-COUNTIF($F$6:INDEX($F:$F, ROW()-1), $F641)) : INDEX(AA:AA, ROW()-1)),
   AVERAGEIFS(
     INDEX((unit_details[Asking Rent],unit_details[Asking PSF]),0,1,IF($U$3="Chunk Rent",1,2)),
     unit_details[Leased Date],"&gt;="&amp;($AM$2-X$5),
     unit_details[Leased Date],"&lt;"&amp;$AM$2,
     unit_details[Beds],$L642,
     unit_details[Baths],$M642,
     unit_details[Partial Baths],IF(ISNUMBER($N642),$N642,""),
     unit_details[Sqft],$P642,
     unit_details[Property Name],$F642)
 ),"")</f>
        <v/>
      </c>
      <c r="Y642" s="552" t="str">
        <f>IFERROR(
 IF($F642="Total",
   SUMPRODUCT(
   INDEX(Y:Y, ROW()-COUNTIF($F$6:INDEX($F:$F, ROW()-1), $F641)) : INDEX(Y:Y, ROW()-1),
   INDEX(AA:AA, ROW()-COUNTIF($F$6:INDEX($F:$F, ROW()-1), $F641)) : INDEX(AA:AA, ROW()-1)
   )
   /SUM(INDEX(AA:AA, ROW()-COUNTIF($F$6:INDEX($F:$F, ROW()-1), $F641)) : INDEX(AA:AA, ROW()-1)),
   AVERAGEIFS(
     INDEX((unit_details[Effective Rent],unit_details[Effective PSF]),0,1,IF($U$3="Chunk Rent",1,2)),
     unit_details[Leased Date],"&gt;="&amp;($AM$2-X$5),
     unit_details[Leased Date],"&lt;"&amp;$AM$2,
     unit_details[Beds],$L642,
     unit_details[Baths],$M642,
     unit_details[Partial Baths],IF(ISNUMBER($N642),$N642,""),
     unit_details[Sqft],$P642,
     unit_details[Property Name],$F642)
 ),"")</f>
        <v/>
      </c>
      <c r="Z642" s="27" t="str">
        <f t="shared" si="110"/>
        <v/>
      </c>
      <c r="AA642" s="526">
        <f>IFERROR(
  IF($F642="Total",
    SUM(INDEX(AA:AA, ROW()-COUNTIF($F$6:INDEX($F:$F, ROW()-1), $F641)) : INDEX(AA:AA, ROW()-1)),
    COUNTIFS(
      unit_details[Leased Date], "&gt;="&amp;($AM$2-X$5),
      unit_details[Leased Date], "&lt;"&amp;$AM$2,
      unit_details[Beds], $L642,
      unit_details[Baths], $M642,
      unit_details[Partial Baths], IF(ISNUMBER($N642), $N642, ""),
      unit_details[Sqft],$P642,
      unit_details[Property Name], $F642
    )
  ),
"")</f>
        <v>0</v>
      </c>
      <c r="AB642" s="290">
        <f>IF($F642="Total",
SUM(INDEX(AB:AB, ROW()-COUNTIF($F$6:INDEX($F:$F, ROW()-1), $F641)) : INDEX(AB:AB, ROW()-1)),
COUNTIFS(unit_details[Active Listing?],TRUE,
          unit_details[Property Name], $F642,
          unit_details[Beds], $L642,
          unit_details[Baths], $M642,
          unit_details[Partial Baths],IF(ISNUMBER($N642),$N642,""),
          unit_details[Sqft],$P642))</f>
        <v>0</v>
      </c>
      <c r="AC642" s="27" t="str">
        <f t="shared" si="102"/>
        <v/>
      </c>
      <c r="AD642" s="293" t="str">
        <f>IFERROR(IF(AE642="","",IF($F642="Total",
SUMPRODUCT(
   INDEX(AD:AD, ROW()-COUNTIF($F$6:INDEX($F:$F, ROW()-1), $F641)) : INDEX(AD:AD, ROW()-1),
   INDEX(AB:AB, ROW()-COUNTIF($F$6:INDEX($F:$F, ROW()-1), $F641)) : INDEX(AB:AB, ROW()-1)
   )
   /SUM(INDEX(AB:AB, ROW()-COUNTIF($F$6:INDEX($F:$F, ROW()-1), $F641)) : INDEX(AB:AB, ROW()-1)),
          _xlfn.MINIFS(unit_details[Asking Rent],
          unit_details[Active Listing?],TRUE,
          unit_details[Property Name], $F642,
          unit_details[Beds], $L642,
          unit_details[Baths], $M642,
          unit_details[Partial Baths], IF(ISNUMBER($N642),$N642,""),
          unit_details[Sqft],$P642
))),"")</f>
        <v/>
      </c>
      <c r="AE642" s="5" t="str">
        <f>IFERROR(IF($F642="Total",
          SUMPRODUCT(
   INDEX(AE:AE, ROW()-COUNTIF($F$6:INDEX($F:$F, ROW()-1), $F641)) : INDEX(AE:AE, ROW()-1),
   INDEX(AB:AB, ROW()-COUNTIF($F$6:INDEX($F:$F, ROW()-1), $F641)) : INDEX(AB:AB, ROW()-1)
   )
   /SUM(INDEX(AB:AB, ROW()-COUNTIF($F$6:INDEX($F:$F, ROW()-1), $F641)) : INDEX(AB:AB, ROW()-1)),
          AVERAGEIFS(unit_details[Asking Rent],
          unit_details[Active Listing?],TRUE,
          unit_details[Property Name], $F642,
          unit_details[Beds], $L642,
          unit_details[Baths], $M642,
          unit_details[Partial Baths], IF(ISNUMBER($N642),$N642,""),
          unit_details[Sqft],$P642
)),"")</f>
        <v/>
      </c>
      <c r="AF642" s="5" t="str">
        <f>IFERROR(IF(AE642="","",IF($F642="Total",
SUMPRODUCT(
   INDEX(AF:AF, ROW()-COUNTIF($F$6:INDEX($F:$F, ROW()-1), $F641)) : INDEX(AF:AF, ROW()-1),
   INDEX(AB:AB, ROW()-COUNTIF($F$6:INDEX($F:$F, ROW()-1), $F641)) : INDEX(AB:AB, ROW()-1)
   )
   /SUM(INDEX(AB:AB, ROW()-COUNTIF($F$6:INDEX($F:$F, ROW()-1), $F641)) : INDEX(AB:AB, ROW()-1)),
           _xlfn.MAXIFS(unit_details[Asking Rent],
          unit_details[Active Listing?],TRUE,
          unit_details[Property Name], $F642,
          unit_details[Beds], $L642,
          unit_details[Baths], $M642,
          unit_details[Partial Baths], IF(ISNUMBER($N642),$N642,""),
          unit_details[Sqft],$P642
))),"")</f>
        <v/>
      </c>
      <c r="AG642" s="6" t="str">
        <f>IFERROR(IF($F642="Total",
         SUMPRODUCT(
         INDEX(AG:AG, ROW()-COUNTIF($F$6:INDEX($F:$F, ROW()-1), $F641)) : INDEX(AG:AG, ROW()-1),
         INDEX(AB:AB, ROW()-COUNTIF($F$6:INDEX($F:$F, ROW()-1), $F641)) : INDEX(AB:AB, ROW()-1)
         )
         /SUM(INDEX(AB:AB, ROW()-COUNTIF($F$6:INDEX($F:$F, ROW()-1), $F641)) : INDEX(AB:AB, ROW()-1)),
          AVERAGEIFS(unit_details[Asking PSF],
          unit_details[Active Listing?],TRUE,
          unit_details[Property Name], $F642,
          unit_details[Beds], $L642,
          unit_details[Baths], $M642,
          unit_details[Partial Baths], IF(ISNUMBER($N642),$N642,""),
          unit_details[Sqft],$P642
)),"")</f>
        <v/>
      </c>
      <c r="AH642" s="293" t="str">
        <f>IFERROR(IF($F642="Total",
         SUMPRODUCT(
         INDEX(AH:AH, ROW()-COUNTIF($F$6:INDEX($F:$F, ROW()-1), $F641)) : INDEX(AH:AH, ROW()-1),
         INDEX(AB:AB, ROW()-COUNTIF($F$6:INDEX($F:$F, ROW()-1), $F641)) : INDEX(AB:AB, ROW()-1)
         )
         /SUM(INDEX(AB:AB, ROW()-COUNTIF($F$6:INDEX($F:$F, ROW()-1), $F641)) : INDEX(AB:AB, ROW()-1)),
          AVERAGEIFS(unit_details[Effective Rent],
          unit_details[Active Listing?],TRUE,
          unit_details[Property Name], $F642,
          unit_details[Beds], $L642,
          unit_details[Baths], $M642,
          unit_details[Partial Baths], IF(ISNUMBER($N642),$N642,""),
          unit_details[Sqft],$P642
)),"")</f>
        <v/>
      </c>
      <c r="AI642" s="6" t="str">
        <f>IFERROR(IF($F642="Total",
         SUMPRODUCT(
         INDEX(AI:AI, ROW()-COUNTIF($F$6:INDEX($F:$F, ROW()-1), $F641)) : INDEX(AI:AI, ROW()-1),
         INDEX(AB:AB, ROW()-COUNTIF($F$6:INDEX($F:$F, ROW()-1), $F641)) : INDEX(AB:AB, ROW()-1)
         )
         /SUM(INDEX(AB:AB, ROW()-COUNTIF($F$6:INDEX($F:$F, ROW()-1), $F641)) : INDEX(AB:AB, ROW()-1)),
           AVERAGEIFS(unit_details[Effective PSF],
          unit_details[Active Listing?],TRUE,
          unit_details[Property Name], $F642,
          unit_details[Beds], $L642,
          unit_details[Baths], $M642,
          unit_details[Partial Baths], IF(ISNUMBER($N642),$N642,""),
          unit_details[Sqft],$P642
)),"")</f>
        <v/>
      </c>
      <c r="AJ642" s="824" t="str">
        <f t="shared" si="103"/>
        <v/>
      </c>
      <c r="AK642" s="531" t="str">
        <f t="shared" si="104"/>
        <v/>
      </c>
      <c r="AL642" s="714" t="str">
        <f t="shared" si="105"/>
        <v/>
      </c>
      <c r="AM642" s="531" t="str">
        <f t="shared" si="106"/>
        <v/>
      </c>
      <c r="AN642" s="716" t="str">
        <f t="shared" si="107"/>
        <v/>
      </c>
    </row>
    <row r="643" spans="6:40" x14ac:dyDescent="0.2">
      <c r="F643" s="1" t="str">
        <f t="shared" si="100"/>
        <v/>
      </c>
      <c r="G643" s="713" t="str">
        <f t="shared" si="108"/>
        <v/>
      </c>
      <c r="H643" s="17" t="str">
        <f>IFERROR(VLOOKUP($G643,Table1[[Property]:[Exposure %]],4,0),"")</f>
        <v/>
      </c>
      <c r="I643" s="3" t="str">
        <f>IFERROR(VLOOKUP($G643,Table1[[Property]:[Exposure %]],6,0),"")</f>
        <v/>
      </c>
      <c r="J643" s="3" t="str">
        <f>IFERROR(VLOOKUP($G643,Table1[[Property]:[Exposure %]],7,0),"")</f>
        <v/>
      </c>
      <c r="R643" s="4" t="str">
        <f>IFERROR(VLOOKUP(IF(F643="Total",F642,F643),Table1[[Property]:['# Units]],7,0)*S643,"")</f>
        <v/>
      </c>
      <c r="S643" s="27" t="str">
        <f t="shared" si="101"/>
        <v/>
      </c>
      <c r="T643" s="531" t="str">
        <f>IFERROR(
 IF($F643="Total",
   SUMPRODUCT(
   INDEX(T:T, ROW()-COUNTIF($F$6:INDEX($F:$F, ROW()-1), $F642)) : INDEX(T:T, ROW()-1),
   INDEX(W:W, ROW()-COUNTIF($F$6:INDEX($F:$F, ROW()-1), $F642)) : INDEX(W:W, ROW()-1)
   )
   /SUM(INDEX(W:W, ROW()-COUNTIF($F$6:INDEX($F:$F, ROW()-1), $F642)) : INDEX(W:W, ROW()-1)),
   AVERAGEIFS(
     INDEX((unit_details[Asking Rent],unit_details[Asking PSF]),0,1,IF($U$3="Chunk Rent",1,2)),
     unit_details[Leased Date],"&gt;="&amp;($AM$2-T$5),
     unit_details[Leased Date],"&lt;"&amp;$AM$2,
     unit_details[Beds],$L643,
     unit_details[Baths],$M643,
     unit_details[Partial Baths],IF(ISNUMBER($N643),$N643,""),
     unit_details[Sqft],$P643,
     unit_details[Property Name],$F643)
 ),"")</f>
        <v/>
      </c>
      <c r="U643" s="552" t="str">
        <f>IFERROR(
 IF($F643="Total",
   SUMPRODUCT(
   INDEX(U:U, ROW()-COUNTIF($F$6:INDEX($F:$F, ROW()-1), $F642)) : INDEX(U:U, ROW()-1),
   INDEX(W:W, ROW()-COUNTIF($F$6:INDEX($F:$F, ROW()-1), $F642)) : INDEX(W:W, ROW()-1)
   )
   /SUM(INDEX(W:W, ROW()-COUNTIF($F$6:INDEX($F:$F, ROW()-1), $F642)) : INDEX(W:W, ROW()-1)),
   AVERAGEIFS(
     INDEX((unit_details[Effective Rent],unit_details[Effective PSF]),0,1,IF($U$3="Chunk Rent",1,2)),
     unit_details[Leased Date],"&gt;="&amp;($AM$2-T$5),
     unit_details[Leased Date],"&lt;"&amp;$AM$2,
     unit_details[Beds],$L643,
     unit_details[Baths],$M643,
     unit_details[Partial Baths],IF(ISNUMBER($N643),$N643,""),
     unit_details[Sqft],$P643,
     unit_details[Property Name],$F643)
 ),"")</f>
        <v/>
      </c>
      <c r="V643" s="27" t="str">
        <f t="shared" si="109"/>
        <v/>
      </c>
      <c r="W643" s="526">
        <f>IFERROR(
  IF($F643="Total",
    SUM(INDEX(W:W, ROW()-COUNTIF($F$6:INDEX($F:$F, ROW()-1), $F642)) : INDEX(W:W, ROW()-1)),
    COUNTIFS(
      unit_details[Leased Date], "&gt;="&amp;($AM$2-T$5),
      unit_details[Leased Date], "&lt;"&amp;$AM$2,
      unit_details[Beds], $L643,
      unit_details[Baths], $M643,
      unit_details[Partial Baths], IF(ISNUMBER($N643), $N643, ""),
      unit_details[Sqft],$P643,
      unit_details[Property Name], $F643
    )
  ),
"")</f>
        <v>0</v>
      </c>
      <c r="X643" s="531" t="str">
        <f>IFERROR(
 IF($F643="Total",
   SUMPRODUCT(
   INDEX(X:X, ROW()-COUNTIF($F$6:INDEX($F:$F, ROW()-1), $F642)) : INDEX(X:X, ROW()-1),
   INDEX(AA:AA, ROW()-COUNTIF($F$6:INDEX($F:$F, ROW()-1), $F642)) : INDEX(AA:AA, ROW()-1)
   )
   /SUM(INDEX(AA:AA, ROW()-COUNTIF($F$6:INDEX($F:$F, ROW()-1), $F642)) : INDEX(AA:AA, ROW()-1)),
   AVERAGEIFS(
     INDEX((unit_details[Asking Rent],unit_details[Asking PSF]),0,1,IF($U$3="Chunk Rent",1,2)),
     unit_details[Leased Date],"&gt;="&amp;($AM$2-X$5),
     unit_details[Leased Date],"&lt;"&amp;$AM$2,
     unit_details[Beds],$L643,
     unit_details[Baths],$M643,
     unit_details[Partial Baths],IF(ISNUMBER($N643),$N643,""),
     unit_details[Sqft],$P643,
     unit_details[Property Name],$F643)
 ),"")</f>
        <v/>
      </c>
      <c r="Y643" s="552" t="str">
        <f>IFERROR(
 IF($F643="Total",
   SUMPRODUCT(
   INDEX(Y:Y, ROW()-COUNTIF($F$6:INDEX($F:$F, ROW()-1), $F642)) : INDEX(Y:Y, ROW()-1),
   INDEX(AA:AA, ROW()-COUNTIF($F$6:INDEX($F:$F, ROW()-1), $F642)) : INDEX(AA:AA, ROW()-1)
   )
   /SUM(INDEX(AA:AA, ROW()-COUNTIF($F$6:INDEX($F:$F, ROW()-1), $F642)) : INDEX(AA:AA, ROW()-1)),
   AVERAGEIFS(
     INDEX((unit_details[Effective Rent],unit_details[Effective PSF]),0,1,IF($U$3="Chunk Rent",1,2)),
     unit_details[Leased Date],"&gt;="&amp;($AM$2-X$5),
     unit_details[Leased Date],"&lt;"&amp;$AM$2,
     unit_details[Beds],$L643,
     unit_details[Baths],$M643,
     unit_details[Partial Baths],IF(ISNUMBER($N643),$N643,""),
     unit_details[Sqft],$P643,
     unit_details[Property Name],$F643)
 ),"")</f>
        <v/>
      </c>
      <c r="Z643" s="27" t="str">
        <f t="shared" si="110"/>
        <v/>
      </c>
      <c r="AA643" s="526">
        <f>IFERROR(
  IF($F643="Total",
    SUM(INDEX(AA:AA, ROW()-COUNTIF($F$6:INDEX($F:$F, ROW()-1), $F642)) : INDEX(AA:AA, ROW()-1)),
    COUNTIFS(
      unit_details[Leased Date], "&gt;="&amp;($AM$2-X$5),
      unit_details[Leased Date], "&lt;"&amp;$AM$2,
      unit_details[Beds], $L643,
      unit_details[Baths], $M643,
      unit_details[Partial Baths], IF(ISNUMBER($N643), $N643, ""),
      unit_details[Sqft],$P643,
      unit_details[Property Name], $F643
    )
  ),
"")</f>
        <v>0</v>
      </c>
      <c r="AB643" s="290">
        <f>IF($F643="Total",
SUM(INDEX(AB:AB, ROW()-COUNTIF($F$6:INDEX($F:$F, ROW()-1), $F642)) : INDEX(AB:AB, ROW()-1)),
COUNTIFS(unit_details[Active Listing?],TRUE,
          unit_details[Property Name], $F643,
          unit_details[Beds], $L643,
          unit_details[Baths], $M643,
          unit_details[Partial Baths],IF(ISNUMBER($N643),$N643,""),
          unit_details[Sqft],$P643))</f>
        <v>0</v>
      </c>
      <c r="AC643" s="27" t="str">
        <f t="shared" si="102"/>
        <v/>
      </c>
      <c r="AD643" s="293" t="str">
        <f>IFERROR(IF(AE643="","",IF($F643="Total",
SUMPRODUCT(
   INDEX(AD:AD, ROW()-COUNTIF($F$6:INDEX($F:$F, ROW()-1), $F642)) : INDEX(AD:AD, ROW()-1),
   INDEX(AB:AB, ROW()-COUNTIF($F$6:INDEX($F:$F, ROW()-1), $F642)) : INDEX(AB:AB, ROW()-1)
   )
   /SUM(INDEX(AB:AB, ROW()-COUNTIF($F$6:INDEX($F:$F, ROW()-1), $F642)) : INDEX(AB:AB, ROW()-1)),
          _xlfn.MINIFS(unit_details[Asking Rent],
          unit_details[Active Listing?],TRUE,
          unit_details[Property Name], $F643,
          unit_details[Beds], $L643,
          unit_details[Baths], $M643,
          unit_details[Partial Baths], IF(ISNUMBER($N643),$N643,""),
          unit_details[Sqft],$P643
))),"")</f>
        <v/>
      </c>
      <c r="AE643" s="5" t="str">
        <f>IFERROR(IF($F643="Total",
          SUMPRODUCT(
   INDEX(AE:AE, ROW()-COUNTIF($F$6:INDEX($F:$F, ROW()-1), $F642)) : INDEX(AE:AE, ROW()-1),
   INDEX(AB:AB, ROW()-COUNTIF($F$6:INDEX($F:$F, ROW()-1), $F642)) : INDEX(AB:AB, ROW()-1)
   )
   /SUM(INDEX(AB:AB, ROW()-COUNTIF($F$6:INDEX($F:$F, ROW()-1), $F642)) : INDEX(AB:AB, ROW()-1)),
          AVERAGEIFS(unit_details[Asking Rent],
          unit_details[Active Listing?],TRUE,
          unit_details[Property Name], $F643,
          unit_details[Beds], $L643,
          unit_details[Baths], $M643,
          unit_details[Partial Baths], IF(ISNUMBER($N643),$N643,""),
          unit_details[Sqft],$P643
)),"")</f>
        <v/>
      </c>
      <c r="AF643" s="5" t="str">
        <f>IFERROR(IF(AE643="","",IF($F643="Total",
SUMPRODUCT(
   INDEX(AF:AF, ROW()-COUNTIF($F$6:INDEX($F:$F, ROW()-1), $F642)) : INDEX(AF:AF, ROW()-1),
   INDEX(AB:AB, ROW()-COUNTIF($F$6:INDEX($F:$F, ROW()-1), $F642)) : INDEX(AB:AB, ROW()-1)
   )
   /SUM(INDEX(AB:AB, ROW()-COUNTIF($F$6:INDEX($F:$F, ROW()-1), $F642)) : INDEX(AB:AB, ROW()-1)),
           _xlfn.MAXIFS(unit_details[Asking Rent],
          unit_details[Active Listing?],TRUE,
          unit_details[Property Name], $F643,
          unit_details[Beds], $L643,
          unit_details[Baths], $M643,
          unit_details[Partial Baths], IF(ISNUMBER($N643),$N643,""),
          unit_details[Sqft],$P643
))),"")</f>
        <v/>
      </c>
      <c r="AG643" s="6" t="str">
        <f>IFERROR(IF($F643="Total",
         SUMPRODUCT(
         INDEX(AG:AG, ROW()-COUNTIF($F$6:INDEX($F:$F, ROW()-1), $F642)) : INDEX(AG:AG, ROW()-1),
         INDEX(AB:AB, ROW()-COUNTIF($F$6:INDEX($F:$F, ROW()-1), $F642)) : INDEX(AB:AB, ROW()-1)
         )
         /SUM(INDEX(AB:AB, ROW()-COUNTIF($F$6:INDEX($F:$F, ROW()-1), $F642)) : INDEX(AB:AB, ROW()-1)),
          AVERAGEIFS(unit_details[Asking PSF],
          unit_details[Active Listing?],TRUE,
          unit_details[Property Name], $F643,
          unit_details[Beds], $L643,
          unit_details[Baths], $M643,
          unit_details[Partial Baths], IF(ISNUMBER($N643),$N643,""),
          unit_details[Sqft],$P643
)),"")</f>
        <v/>
      </c>
      <c r="AH643" s="293" t="str">
        <f>IFERROR(IF($F643="Total",
         SUMPRODUCT(
         INDEX(AH:AH, ROW()-COUNTIF($F$6:INDEX($F:$F, ROW()-1), $F642)) : INDEX(AH:AH, ROW()-1),
         INDEX(AB:AB, ROW()-COUNTIF($F$6:INDEX($F:$F, ROW()-1), $F642)) : INDEX(AB:AB, ROW()-1)
         )
         /SUM(INDEX(AB:AB, ROW()-COUNTIF($F$6:INDEX($F:$F, ROW()-1), $F642)) : INDEX(AB:AB, ROW()-1)),
          AVERAGEIFS(unit_details[Effective Rent],
          unit_details[Active Listing?],TRUE,
          unit_details[Property Name], $F643,
          unit_details[Beds], $L643,
          unit_details[Baths], $M643,
          unit_details[Partial Baths], IF(ISNUMBER($N643),$N643,""),
          unit_details[Sqft],$P643
)),"")</f>
        <v/>
      </c>
      <c r="AI643" s="6" t="str">
        <f>IFERROR(IF($F643="Total",
         SUMPRODUCT(
         INDEX(AI:AI, ROW()-COUNTIF($F$6:INDEX($F:$F, ROW()-1), $F642)) : INDEX(AI:AI, ROW()-1),
         INDEX(AB:AB, ROW()-COUNTIF($F$6:INDEX($F:$F, ROW()-1), $F642)) : INDEX(AB:AB, ROW()-1)
         )
         /SUM(INDEX(AB:AB, ROW()-COUNTIF($F$6:INDEX($F:$F, ROW()-1), $F642)) : INDEX(AB:AB, ROW()-1)),
           AVERAGEIFS(unit_details[Effective PSF],
          unit_details[Active Listing?],TRUE,
          unit_details[Property Name], $F643,
          unit_details[Beds], $L643,
          unit_details[Baths], $M643,
          unit_details[Partial Baths], IF(ISNUMBER($N643),$N643,""),
          unit_details[Sqft],$P643
)),"")</f>
        <v/>
      </c>
      <c r="AJ643" s="824" t="str">
        <f t="shared" si="103"/>
        <v/>
      </c>
      <c r="AK643" s="531" t="str">
        <f t="shared" si="104"/>
        <v/>
      </c>
      <c r="AL643" s="714" t="str">
        <f t="shared" si="105"/>
        <v/>
      </c>
      <c r="AM643" s="531" t="str">
        <f t="shared" si="106"/>
        <v/>
      </c>
      <c r="AN643" s="716" t="str">
        <f t="shared" si="107"/>
        <v/>
      </c>
    </row>
    <row r="644" spans="6:40" x14ac:dyDescent="0.2">
      <c r="F644" s="1" t="str">
        <f t="shared" si="100"/>
        <v/>
      </c>
      <c r="G644" s="713" t="str">
        <f t="shared" si="108"/>
        <v/>
      </c>
      <c r="H644" s="17" t="str">
        <f>IFERROR(VLOOKUP($G644,Table1[[Property]:[Exposure %]],4,0),"")</f>
        <v/>
      </c>
      <c r="I644" s="3" t="str">
        <f>IFERROR(VLOOKUP($G644,Table1[[Property]:[Exposure %]],6,0),"")</f>
        <v/>
      </c>
      <c r="J644" s="3" t="str">
        <f>IFERROR(VLOOKUP($G644,Table1[[Property]:[Exposure %]],7,0),"")</f>
        <v/>
      </c>
      <c r="R644" s="4" t="str">
        <f>IFERROR(VLOOKUP(IF(F644="Total",F643,F644),Table1[[Property]:['# Units]],7,0)*S644,"")</f>
        <v/>
      </c>
      <c r="S644" s="27" t="str">
        <f t="shared" si="101"/>
        <v/>
      </c>
      <c r="T644" s="531" t="str">
        <f>IFERROR(
 IF($F644="Total",
   SUMPRODUCT(
   INDEX(T:T, ROW()-COUNTIF($F$6:INDEX($F:$F, ROW()-1), $F643)) : INDEX(T:T, ROW()-1),
   INDEX(W:W, ROW()-COUNTIF($F$6:INDEX($F:$F, ROW()-1), $F643)) : INDEX(W:W, ROW()-1)
   )
   /SUM(INDEX(W:W, ROW()-COUNTIF($F$6:INDEX($F:$F, ROW()-1), $F643)) : INDEX(W:W, ROW()-1)),
   AVERAGEIFS(
     INDEX((unit_details[Asking Rent],unit_details[Asking PSF]),0,1,IF($U$3="Chunk Rent",1,2)),
     unit_details[Leased Date],"&gt;="&amp;($AM$2-T$5),
     unit_details[Leased Date],"&lt;"&amp;$AM$2,
     unit_details[Beds],$L644,
     unit_details[Baths],$M644,
     unit_details[Partial Baths],IF(ISNUMBER($N644),$N644,""),
     unit_details[Sqft],$P644,
     unit_details[Property Name],$F644)
 ),"")</f>
        <v/>
      </c>
      <c r="U644" s="552" t="str">
        <f>IFERROR(
 IF($F644="Total",
   SUMPRODUCT(
   INDEX(U:U, ROW()-COUNTIF($F$6:INDEX($F:$F, ROW()-1), $F643)) : INDEX(U:U, ROW()-1),
   INDEX(W:W, ROW()-COUNTIF($F$6:INDEX($F:$F, ROW()-1), $F643)) : INDEX(W:W, ROW()-1)
   )
   /SUM(INDEX(W:W, ROW()-COUNTIF($F$6:INDEX($F:$F, ROW()-1), $F643)) : INDEX(W:W, ROW()-1)),
   AVERAGEIFS(
     INDEX((unit_details[Effective Rent],unit_details[Effective PSF]),0,1,IF($U$3="Chunk Rent",1,2)),
     unit_details[Leased Date],"&gt;="&amp;($AM$2-T$5),
     unit_details[Leased Date],"&lt;"&amp;$AM$2,
     unit_details[Beds],$L644,
     unit_details[Baths],$M644,
     unit_details[Partial Baths],IF(ISNUMBER($N644),$N644,""),
     unit_details[Sqft],$P644,
     unit_details[Property Name],$F644)
 ),"")</f>
        <v/>
      </c>
      <c r="V644" s="27" t="str">
        <f t="shared" si="109"/>
        <v/>
      </c>
      <c r="W644" s="526">
        <f>IFERROR(
  IF($F644="Total",
    SUM(INDEX(W:W, ROW()-COUNTIF($F$6:INDEX($F:$F, ROW()-1), $F643)) : INDEX(W:W, ROW()-1)),
    COUNTIFS(
      unit_details[Leased Date], "&gt;="&amp;($AM$2-T$5),
      unit_details[Leased Date], "&lt;"&amp;$AM$2,
      unit_details[Beds], $L644,
      unit_details[Baths], $M644,
      unit_details[Partial Baths], IF(ISNUMBER($N644), $N644, ""),
      unit_details[Sqft],$P644,
      unit_details[Property Name], $F644
    )
  ),
"")</f>
        <v>0</v>
      </c>
      <c r="X644" s="531" t="str">
        <f>IFERROR(
 IF($F644="Total",
   SUMPRODUCT(
   INDEX(X:X, ROW()-COUNTIF($F$6:INDEX($F:$F, ROW()-1), $F643)) : INDEX(X:X, ROW()-1),
   INDEX(AA:AA, ROW()-COUNTIF($F$6:INDEX($F:$F, ROW()-1), $F643)) : INDEX(AA:AA, ROW()-1)
   )
   /SUM(INDEX(AA:AA, ROW()-COUNTIF($F$6:INDEX($F:$F, ROW()-1), $F643)) : INDEX(AA:AA, ROW()-1)),
   AVERAGEIFS(
     INDEX((unit_details[Asking Rent],unit_details[Asking PSF]),0,1,IF($U$3="Chunk Rent",1,2)),
     unit_details[Leased Date],"&gt;="&amp;($AM$2-X$5),
     unit_details[Leased Date],"&lt;"&amp;$AM$2,
     unit_details[Beds],$L644,
     unit_details[Baths],$M644,
     unit_details[Partial Baths],IF(ISNUMBER($N644),$N644,""),
     unit_details[Sqft],$P644,
     unit_details[Property Name],$F644)
 ),"")</f>
        <v/>
      </c>
      <c r="Y644" s="552" t="str">
        <f>IFERROR(
 IF($F644="Total",
   SUMPRODUCT(
   INDEX(Y:Y, ROW()-COUNTIF($F$6:INDEX($F:$F, ROW()-1), $F643)) : INDEX(Y:Y, ROW()-1),
   INDEX(AA:AA, ROW()-COUNTIF($F$6:INDEX($F:$F, ROW()-1), $F643)) : INDEX(AA:AA, ROW()-1)
   )
   /SUM(INDEX(AA:AA, ROW()-COUNTIF($F$6:INDEX($F:$F, ROW()-1), $F643)) : INDEX(AA:AA, ROW()-1)),
   AVERAGEIFS(
     INDEX((unit_details[Effective Rent],unit_details[Effective PSF]),0,1,IF($U$3="Chunk Rent",1,2)),
     unit_details[Leased Date],"&gt;="&amp;($AM$2-X$5),
     unit_details[Leased Date],"&lt;"&amp;$AM$2,
     unit_details[Beds],$L644,
     unit_details[Baths],$M644,
     unit_details[Partial Baths],IF(ISNUMBER($N644),$N644,""),
     unit_details[Sqft],$P644,
     unit_details[Property Name],$F644)
 ),"")</f>
        <v/>
      </c>
      <c r="Z644" s="27" t="str">
        <f t="shared" si="110"/>
        <v/>
      </c>
      <c r="AA644" s="526">
        <f>IFERROR(
  IF($F644="Total",
    SUM(INDEX(AA:AA, ROW()-COUNTIF($F$6:INDEX($F:$F, ROW()-1), $F643)) : INDEX(AA:AA, ROW()-1)),
    COUNTIFS(
      unit_details[Leased Date], "&gt;="&amp;($AM$2-X$5),
      unit_details[Leased Date], "&lt;"&amp;$AM$2,
      unit_details[Beds], $L644,
      unit_details[Baths], $M644,
      unit_details[Partial Baths], IF(ISNUMBER($N644), $N644, ""),
      unit_details[Sqft],$P644,
      unit_details[Property Name], $F644
    )
  ),
"")</f>
        <v>0</v>
      </c>
      <c r="AB644" s="290">
        <f>IF($F644="Total",
SUM(INDEX(AB:AB, ROW()-COUNTIF($F$6:INDEX($F:$F, ROW()-1), $F643)) : INDEX(AB:AB, ROW()-1)),
COUNTIFS(unit_details[Active Listing?],TRUE,
          unit_details[Property Name], $F644,
          unit_details[Beds], $L644,
          unit_details[Baths], $M644,
          unit_details[Partial Baths],IF(ISNUMBER($N644),$N644,""),
          unit_details[Sqft],$P644))</f>
        <v>0</v>
      </c>
      <c r="AC644" s="27" t="str">
        <f t="shared" si="102"/>
        <v/>
      </c>
      <c r="AD644" s="293" t="str">
        <f>IFERROR(IF(AE644="","",IF($F644="Total",
SUMPRODUCT(
   INDEX(AD:AD, ROW()-COUNTIF($F$6:INDEX($F:$F, ROW()-1), $F643)) : INDEX(AD:AD, ROW()-1),
   INDEX(AB:AB, ROW()-COUNTIF($F$6:INDEX($F:$F, ROW()-1), $F643)) : INDEX(AB:AB, ROW()-1)
   )
   /SUM(INDEX(AB:AB, ROW()-COUNTIF($F$6:INDEX($F:$F, ROW()-1), $F643)) : INDEX(AB:AB, ROW()-1)),
          _xlfn.MINIFS(unit_details[Asking Rent],
          unit_details[Active Listing?],TRUE,
          unit_details[Property Name], $F644,
          unit_details[Beds], $L644,
          unit_details[Baths], $M644,
          unit_details[Partial Baths], IF(ISNUMBER($N644),$N644,""),
          unit_details[Sqft],$P644
))),"")</f>
        <v/>
      </c>
      <c r="AE644" s="5" t="str">
        <f>IFERROR(IF($F644="Total",
          SUMPRODUCT(
   INDEX(AE:AE, ROW()-COUNTIF($F$6:INDEX($F:$F, ROW()-1), $F643)) : INDEX(AE:AE, ROW()-1),
   INDEX(AB:AB, ROW()-COUNTIF($F$6:INDEX($F:$F, ROW()-1), $F643)) : INDEX(AB:AB, ROW()-1)
   )
   /SUM(INDEX(AB:AB, ROW()-COUNTIF($F$6:INDEX($F:$F, ROW()-1), $F643)) : INDEX(AB:AB, ROW()-1)),
          AVERAGEIFS(unit_details[Asking Rent],
          unit_details[Active Listing?],TRUE,
          unit_details[Property Name], $F644,
          unit_details[Beds], $L644,
          unit_details[Baths], $M644,
          unit_details[Partial Baths], IF(ISNUMBER($N644),$N644,""),
          unit_details[Sqft],$P644
)),"")</f>
        <v/>
      </c>
      <c r="AF644" s="5" t="str">
        <f>IFERROR(IF(AE644="","",IF($F644="Total",
SUMPRODUCT(
   INDEX(AF:AF, ROW()-COUNTIF($F$6:INDEX($F:$F, ROW()-1), $F643)) : INDEX(AF:AF, ROW()-1),
   INDEX(AB:AB, ROW()-COUNTIF($F$6:INDEX($F:$F, ROW()-1), $F643)) : INDEX(AB:AB, ROW()-1)
   )
   /SUM(INDEX(AB:AB, ROW()-COUNTIF($F$6:INDEX($F:$F, ROW()-1), $F643)) : INDEX(AB:AB, ROW()-1)),
           _xlfn.MAXIFS(unit_details[Asking Rent],
          unit_details[Active Listing?],TRUE,
          unit_details[Property Name], $F644,
          unit_details[Beds], $L644,
          unit_details[Baths], $M644,
          unit_details[Partial Baths], IF(ISNUMBER($N644),$N644,""),
          unit_details[Sqft],$P644
))),"")</f>
        <v/>
      </c>
      <c r="AG644" s="6" t="str">
        <f>IFERROR(IF($F644="Total",
         SUMPRODUCT(
         INDEX(AG:AG, ROW()-COUNTIF($F$6:INDEX($F:$F, ROW()-1), $F643)) : INDEX(AG:AG, ROW()-1),
         INDEX(AB:AB, ROW()-COUNTIF($F$6:INDEX($F:$F, ROW()-1), $F643)) : INDEX(AB:AB, ROW()-1)
         )
         /SUM(INDEX(AB:AB, ROW()-COUNTIF($F$6:INDEX($F:$F, ROW()-1), $F643)) : INDEX(AB:AB, ROW()-1)),
          AVERAGEIFS(unit_details[Asking PSF],
          unit_details[Active Listing?],TRUE,
          unit_details[Property Name], $F644,
          unit_details[Beds], $L644,
          unit_details[Baths], $M644,
          unit_details[Partial Baths], IF(ISNUMBER($N644),$N644,""),
          unit_details[Sqft],$P644
)),"")</f>
        <v/>
      </c>
      <c r="AH644" s="293" t="str">
        <f>IFERROR(IF($F644="Total",
         SUMPRODUCT(
         INDEX(AH:AH, ROW()-COUNTIF($F$6:INDEX($F:$F, ROW()-1), $F643)) : INDEX(AH:AH, ROW()-1),
         INDEX(AB:AB, ROW()-COUNTIF($F$6:INDEX($F:$F, ROW()-1), $F643)) : INDEX(AB:AB, ROW()-1)
         )
         /SUM(INDEX(AB:AB, ROW()-COUNTIF($F$6:INDEX($F:$F, ROW()-1), $F643)) : INDEX(AB:AB, ROW()-1)),
          AVERAGEIFS(unit_details[Effective Rent],
          unit_details[Active Listing?],TRUE,
          unit_details[Property Name], $F644,
          unit_details[Beds], $L644,
          unit_details[Baths], $M644,
          unit_details[Partial Baths], IF(ISNUMBER($N644),$N644,""),
          unit_details[Sqft],$P644
)),"")</f>
        <v/>
      </c>
      <c r="AI644" s="6" t="str">
        <f>IFERROR(IF($F644="Total",
         SUMPRODUCT(
         INDEX(AI:AI, ROW()-COUNTIF($F$6:INDEX($F:$F, ROW()-1), $F643)) : INDEX(AI:AI, ROW()-1),
         INDEX(AB:AB, ROW()-COUNTIF($F$6:INDEX($F:$F, ROW()-1), $F643)) : INDEX(AB:AB, ROW()-1)
         )
         /SUM(INDEX(AB:AB, ROW()-COUNTIF($F$6:INDEX($F:$F, ROW()-1), $F643)) : INDEX(AB:AB, ROW()-1)),
           AVERAGEIFS(unit_details[Effective PSF],
          unit_details[Active Listing?],TRUE,
          unit_details[Property Name], $F644,
          unit_details[Beds], $L644,
          unit_details[Baths], $M644,
          unit_details[Partial Baths], IF(ISNUMBER($N644),$N644,""),
          unit_details[Sqft],$P644
)),"")</f>
        <v/>
      </c>
      <c r="AJ644" s="824" t="str">
        <f t="shared" si="103"/>
        <v/>
      </c>
      <c r="AK644" s="531" t="str">
        <f t="shared" si="104"/>
        <v/>
      </c>
      <c r="AL644" s="714" t="str">
        <f t="shared" si="105"/>
        <v/>
      </c>
      <c r="AM644" s="531" t="str">
        <f t="shared" si="106"/>
        <v/>
      </c>
      <c r="AN644" s="716" t="str">
        <f t="shared" si="107"/>
        <v/>
      </c>
    </row>
    <row r="645" spans="6:40" x14ac:dyDescent="0.2">
      <c r="F645" s="1" t="str">
        <f t="shared" si="100"/>
        <v/>
      </c>
      <c r="G645" s="713" t="str">
        <f t="shared" si="108"/>
        <v/>
      </c>
      <c r="H645" s="17" t="str">
        <f>IFERROR(VLOOKUP($G645,Table1[[Property]:[Exposure %]],4,0),"")</f>
        <v/>
      </c>
      <c r="I645" s="3" t="str">
        <f>IFERROR(VLOOKUP($G645,Table1[[Property]:[Exposure %]],6,0),"")</f>
        <v/>
      </c>
      <c r="J645" s="3" t="str">
        <f>IFERROR(VLOOKUP($G645,Table1[[Property]:[Exposure %]],7,0),"")</f>
        <v/>
      </c>
      <c r="R645" s="4" t="str">
        <f>IFERROR(VLOOKUP(IF(F645="Total",F644,F645),Table1[[Property]:['# Units]],7,0)*S645,"")</f>
        <v/>
      </c>
      <c r="S645" s="27" t="str">
        <f t="shared" si="101"/>
        <v/>
      </c>
      <c r="T645" s="531" t="str">
        <f>IFERROR(
 IF($F645="Total",
   SUMPRODUCT(
   INDEX(T:T, ROW()-COUNTIF($F$6:INDEX($F:$F, ROW()-1), $F644)) : INDEX(T:T, ROW()-1),
   INDEX(W:W, ROW()-COUNTIF($F$6:INDEX($F:$F, ROW()-1), $F644)) : INDEX(W:W, ROW()-1)
   )
   /SUM(INDEX(W:W, ROW()-COUNTIF($F$6:INDEX($F:$F, ROW()-1), $F644)) : INDEX(W:W, ROW()-1)),
   AVERAGEIFS(
     INDEX((unit_details[Asking Rent],unit_details[Asking PSF]),0,1,IF($U$3="Chunk Rent",1,2)),
     unit_details[Leased Date],"&gt;="&amp;($AM$2-T$5),
     unit_details[Leased Date],"&lt;"&amp;$AM$2,
     unit_details[Beds],$L645,
     unit_details[Baths],$M645,
     unit_details[Partial Baths],IF(ISNUMBER($N645),$N645,""),
     unit_details[Sqft],$P645,
     unit_details[Property Name],$F645)
 ),"")</f>
        <v/>
      </c>
      <c r="U645" s="552" t="str">
        <f>IFERROR(
 IF($F645="Total",
   SUMPRODUCT(
   INDEX(U:U, ROW()-COUNTIF($F$6:INDEX($F:$F, ROW()-1), $F644)) : INDEX(U:U, ROW()-1),
   INDEX(W:W, ROW()-COUNTIF($F$6:INDEX($F:$F, ROW()-1), $F644)) : INDEX(W:W, ROW()-1)
   )
   /SUM(INDEX(W:W, ROW()-COUNTIF($F$6:INDEX($F:$F, ROW()-1), $F644)) : INDEX(W:W, ROW()-1)),
   AVERAGEIFS(
     INDEX((unit_details[Effective Rent],unit_details[Effective PSF]),0,1,IF($U$3="Chunk Rent",1,2)),
     unit_details[Leased Date],"&gt;="&amp;($AM$2-T$5),
     unit_details[Leased Date],"&lt;"&amp;$AM$2,
     unit_details[Beds],$L645,
     unit_details[Baths],$M645,
     unit_details[Partial Baths],IF(ISNUMBER($N645),$N645,""),
     unit_details[Sqft],$P645,
     unit_details[Property Name],$F645)
 ),"")</f>
        <v/>
      </c>
      <c r="V645" s="27" t="str">
        <f t="shared" si="109"/>
        <v/>
      </c>
      <c r="W645" s="526">
        <f>IFERROR(
  IF($F645="Total",
    SUM(INDEX(W:W, ROW()-COUNTIF($F$6:INDEX($F:$F, ROW()-1), $F644)) : INDEX(W:W, ROW()-1)),
    COUNTIFS(
      unit_details[Leased Date], "&gt;="&amp;($AM$2-T$5),
      unit_details[Leased Date], "&lt;"&amp;$AM$2,
      unit_details[Beds], $L645,
      unit_details[Baths], $M645,
      unit_details[Partial Baths], IF(ISNUMBER($N645), $N645, ""),
      unit_details[Sqft],$P645,
      unit_details[Property Name], $F645
    )
  ),
"")</f>
        <v>0</v>
      </c>
      <c r="X645" s="531" t="str">
        <f>IFERROR(
 IF($F645="Total",
   SUMPRODUCT(
   INDEX(X:X, ROW()-COUNTIF($F$6:INDEX($F:$F, ROW()-1), $F644)) : INDEX(X:X, ROW()-1),
   INDEX(AA:AA, ROW()-COUNTIF($F$6:INDEX($F:$F, ROW()-1), $F644)) : INDEX(AA:AA, ROW()-1)
   )
   /SUM(INDEX(AA:AA, ROW()-COUNTIF($F$6:INDEX($F:$F, ROW()-1), $F644)) : INDEX(AA:AA, ROW()-1)),
   AVERAGEIFS(
     INDEX((unit_details[Asking Rent],unit_details[Asking PSF]),0,1,IF($U$3="Chunk Rent",1,2)),
     unit_details[Leased Date],"&gt;="&amp;($AM$2-X$5),
     unit_details[Leased Date],"&lt;"&amp;$AM$2,
     unit_details[Beds],$L645,
     unit_details[Baths],$M645,
     unit_details[Partial Baths],IF(ISNUMBER($N645),$N645,""),
     unit_details[Sqft],$P645,
     unit_details[Property Name],$F645)
 ),"")</f>
        <v/>
      </c>
      <c r="Y645" s="552" t="str">
        <f>IFERROR(
 IF($F645="Total",
   SUMPRODUCT(
   INDEX(Y:Y, ROW()-COUNTIF($F$6:INDEX($F:$F, ROW()-1), $F644)) : INDEX(Y:Y, ROW()-1),
   INDEX(AA:AA, ROW()-COUNTIF($F$6:INDEX($F:$F, ROW()-1), $F644)) : INDEX(AA:AA, ROW()-1)
   )
   /SUM(INDEX(AA:AA, ROW()-COUNTIF($F$6:INDEX($F:$F, ROW()-1), $F644)) : INDEX(AA:AA, ROW()-1)),
   AVERAGEIFS(
     INDEX((unit_details[Effective Rent],unit_details[Effective PSF]),0,1,IF($U$3="Chunk Rent",1,2)),
     unit_details[Leased Date],"&gt;="&amp;($AM$2-X$5),
     unit_details[Leased Date],"&lt;"&amp;$AM$2,
     unit_details[Beds],$L645,
     unit_details[Baths],$M645,
     unit_details[Partial Baths],IF(ISNUMBER($N645),$N645,""),
     unit_details[Sqft],$P645,
     unit_details[Property Name],$F645)
 ),"")</f>
        <v/>
      </c>
      <c r="Z645" s="27" t="str">
        <f t="shared" si="110"/>
        <v/>
      </c>
      <c r="AA645" s="526">
        <f>IFERROR(
  IF($F645="Total",
    SUM(INDEX(AA:AA, ROW()-COUNTIF($F$6:INDEX($F:$F, ROW()-1), $F644)) : INDEX(AA:AA, ROW()-1)),
    COUNTIFS(
      unit_details[Leased Date], "&gt;="&amp;($AM$2-X$5),
      unit_details[Leased Date], "&lt;"&amp;$AM$2,
      unit_details[Beds], $L645,
      unit_details[Baths], $M645,
      unit_details[Partial Baths], IF(ISNUMBER($N645), $N645, ""),
      unit_details[Sqft],$P645,
      unit_details[Property Name], $F645
    )
  ),
"")</f>
        <v>0</v>
      </c>
      <c r="AB645" s="290">
        <f>IF($F645="Total",
SUM(INDEX(AB:AB, ROW()-COUNTIF($F$6:INDEX($F:$F, ROW()-1), $F644)) : INDEX(AB:AB, ROW()-1)),
COUNTIFS(unit_details[Active Listing?],TRUE,
          unit_details[Property Name], $F645,
          unit_details[Beds], $L645,
          unit_details[Baths], $M645,
          unit_details[Partial Baths],IF(ISNUMBER($N645),$N645,""),
          unit_details[Sqft],$P645))</f>
        <v>0</v>
      </c>
      <c r="AC645" s="27" t="str">
        <f t="shared" si="102"/>
        <v/>
      </c>
      <c r="AD645" s="293" t="str">
        <f>IFERROR(IF(AE645="","",IF($F645="Total",
SUMPRODUCT(
   INDEX(AD:AD, ROW()-COUNTIF($F$6:INDEX($F:$F, ROW()-1), $F644)) : INDEX(AD:AD, ROW()-1),
   INDEX(AB:AB, ROW()-COUNTIF($F$6:INDEX($F:$F, ROW()-1), $F644)) : INDEX(AB:AB, ROW()-1)
   )
   /SUM(INDEX(AB:AB, ROW()-COUNTIF($F$6:INDEX($F:$F, ROW()-1), $F644)) : INDEX(AB:AB, ROW()-1)),
          _xlfn.MINIFS(unit_details[Asking Rent],
          unit_details[Active Listing?],TRUE,
          unit_details[Property Name], $F645,
          unit_details[Beds], $L645,
          unit_details[Baths], $M645,
          unit_details[Partial Baths], IF(ISNUMBER($N645),$N645,""),
          unit_details[Sqft],$P645
))),"")</f>
        <v/>
      </c>
      <c r="AE645" s="5" t="str">
        <f>IFERROR(IF($F645="Total",
          SUMPRODUCT(
   INDEX(AE:AE, ROW()-COUNTIF($F$6:INDEX($F:$F, ROW()-1), $F644)) : INDEX(AE:AE, ROW()-1),
   INDEX(AB:AB, ROW()-COUNTIF($F$6:INDEX($F:$F, ROW()-1), $F644)) : INDEX(AB:AB, ROW()-1)
   )
   /SUM(INDEX(AB:AB, ROW()-COUNTIF($F$6:INDEX($F:$F, ROW()-1), $F644)) : INDEX(AB:AB, ROW()-1)),
          AVERAGEIFS(unit_details[Asking Rent],
          unit_details[Active Listing?],TRUE,
          unit_details[Property Name], $F645,
          unit_details[Beds], $L645,
          unit_details[Baths], $M645,
          unit_details[Partial Baths], IF(ISNUMBER($N645),$N645,""),
          unit_details[Sqft],$P645
)),"")</f>
        <v/>
      </c>
      <c r="AF645" s="5" t="str">
        <f>IFERROR(IF(AE645="","",IF($F645="Total",
SUMPRODUCT(
   INDEX(AF:AF, ROW()-COUNTIF($F$6:INDEX($F:$F, ROW()-1), $F644)) : INDEX(AF:AF, ROW()-1),
   INDEX(AB:AB, ROW()-COUNTIF($F$6:INDEX($F:$F, ROW()-1), $F644)) : INDEX(AB:AB, ROW()-1)
   )
   /SUM(INDEX(AB:AB, ROW()-COUNTIF($F$6:INDEX($F:$F, ROW()-1), $F644)) : INDEX(AB:AB, ROW()-1)),
           _xlfn.MAXIFS(unit_details[Asking Rent],
          unit_details[Active Listing?],TRUE,
          unit_details[Property Name], $F645,
          unit_details[Beds], $L645,
          unit_details[Baths], $M645,
          unit_details[Partial Baths], IF(ISNUMBER($N645),$N645,""),
          unit_details[Sqft],$P645
))),"")</f>
        <v/>
      </c>
      <c r="AG645" s="6" t="str">
        <f>IFERROR(IF($F645="Total",
         SUMPRODUCT(
         INDEX(AG:AG, ROW()-COUNTIF($F$6:INDEX($F:$F, ROW()-1), $F644)) : INDEX(AG:AG, ROW()-1),
         INDEX(AB:AB, ROW()-COUNTIF($F$6:INDEX($F:$F, ROW()-1), $F644)) : INDEX(AB:AB, ROW()-1)
         )
         /SUM(INDEX(AB:AB, ROW()-COUNTIF($F$6:INDEX($F:$F, ROW()-1), $F644)) : INDEX(AB:AB, ROW()-1)),
          AVERAGEIFS(unit_details[Asking PSF],
          unit_details[Active Listing?],TRUE,
          unit_details[Property Name], $F645,
          unit_details[Beds], $L645,
          unit_details[Baths], $M645,
          unit_details[Partial Baths], IF(ISNUMBER($N645),$N645,""),
          unit_details[Sqft],$P645
)),"")</f>
        <v/>
      </c>
      <c r="AH645" s="293" t="str">
        <f>IFERROR(IF($F645="Total",
         SUMPRODUCT(
         INDEX(AH:AH, ROW()-COUNTIF($F$6:INDEX($F:$F, ROW()-1), $F644)) : INDEX(AH:AH, ROW()-1),
         INDEX(AB:AB, ROW()-COUNTIF($F$6:INDEX($F:$F, ROW()-1), $F644)) : INDEX(AB:AB, ROW()-1)
         )
         /SUM(INDEX(AB:AB, ROW()-COUNTIF($F$6:INDEX($F:$F, ROW()-1), $F644)) : INDEX(AB:AB, ROW()-1)),
          AVERAGEIFS(unit_details[Effective Rent],
          unit_details[Active Listing?],TRUE,
          unit_details[Property Name], $F645,
          unit_details[Beds], $L645,
          unit_details[Baths], $M645,
          unit_details[Partial Baths], IF(ISNUMBER($N645),$N645,""),
          unit_details[Sqft],$P645
)),"")</f>
        <v/>
      </c>
      <c r="AI645" s="6" t="str">
        <f>IFERROR(IF($F645="Total",
         SUMPRODUCT(
         INDEX(AI:AI, ROW()-COUNTIF($F$6:INDEX($F:$F, ROW()-1), $F644)) : INDEX(AI:AI, ROW()-1),
         INDEX(AB:AB, ROW()-COUNTIF($F$6:INDEX($F:$F, ROW()-1), $F644)) : INDEX(AB:AB, ROW()-1)
         )
         /SUM(INDEX(AB:AB, ROW()-COUNTIF($F$6:INDEX($F:$F, ROW()-1), $F644)) : INDEX(AB:AB, ROW()-1)),
           AVERAGEIFS(unit_details[Effective PSF],
          unit_details[Active Listing?],TRUE,
          unit_details[Property Name], $F645,
          unit_details[Beds], $L645,
          unit_details[Baths], $M645,
          unit_details[Partial Baths], IF(ISNUMBER($N645),$N645,""),
          unit_details[Sqft],$P645
)),"")</f>
        <v/>
      </c>
      <c r="AJ645" s="824" t="str">
        <f t="shared" si="103"/>
        <v/>
      </c>
      <c r="AK645" s="531" t="str">
        <f t="shared" si="104"/>
        <v/>
      </c>
      <c r="AL645" s="714" t="str">
        <f t="shared" si="105"/>
        <v/>
      </c>
      <c r="AM645" s="531" t="str">
        <f t="shared" si="106"/>
        <v/>
      </c>
      <c r="AN645" s="716" t="str">
        <f t="shared" si="107"/>
        <v/>
      </c>
    </row>
    <row r="646" spans="6:40" x14ac:dyDescent="0.2">
      <c r="F646" s="1" t="str">
        <f t="shared" si="100"/>
        <v/>
      </c>
      <c r="G646" s="713" t="str">
        <f t="shared" si="108"/>
        <v/>
      </c>
      <c r="H646" s="17" t="str">
        <f>IFERROR(VLOOKUP($G646,Table1[[Property]:[Exposure %]],4,0),"")</f>
        <v/>
      </c>
      <c r="I646" s="3" t="str">
        <f>IFERROR(VLOOKUP($G646,Table1[[Property]:[Exposure %]],6,0),"")</f>
        <v/>
      </c>
      <c r="J646" s="3" t="str">
        <f>IFERROR(VLOOKUP($G646,Table1[[Property]:[Exposure %]],7,0),"")</f>
        <v/>
      </c>
      <c r="R646" s="4" t="str">
        <f>IFERROR(VLOOKUP(IF(F646="Total",F645,F646),Table1[[Property]:['# Units]],7,0)*S646,"")</f>
        <v/>
      </c>
      <c r="S646" s="27" t="str">
        <f t="shared" si="101"/>
        <v/>
      </c>
      <c r="T646" s="531" t="str">
        <f>IFERROR(
 IF($F646="Total",
   SUMPRODUCT(
   INDEX(T:T, ROW()-COUNTIF($F$6:INDEX($F:$F, ROW()-1), $F645)) : INDEX(T:T, ROW()-1),
   INDEX(W:W, ROW()-COUNTIF($F$6:INDEX($F:$F, ROW()-1), $F645)) : INDEX(W:W, ROW()-1)
   )
   /SUM(INDEX(W:W, ROW()-COUNTIF($F$6:INDEX($F:$F, ROW()-1), $F645)) : INDEX(W:W, ROW()-1)),
   AVERAGEIFS(
     INDEX((unit_details[Asking Rent],unit_details[Asking PSF]),0,1,IF($U$3="Chunk Rent",1,2)),
     unit_details[Leased Date],"&gt;="&amp;($AM$2-T$5),
     unit_details[Leased Date],"&lt;"&amp;$AM$2,
     unit_details[Beds],$L646,
     unit_details[Baths],$M646,
     unit_details[Partial Baths],IF(ISNUMBER($N646),$N646,""),
     unit_details[Sqft],$P646,
     unit_details[Property Name],$F646)
 ),"")</f>
        <v/>
      </c>
      <c r="U646" s="552" t="str">
        <f>IFERROR(
 IF($F646="Total",
   SUMPRODUCT(
   INDEX(U:U, ROW()-COUNTIF($F$6:INDEX($F:$F, ROW()-1), $F645)) : INDEX(U:U, ROW()-1),
   INDEX(W:W, ROW()-COUNTIF($F$6:INDEX($F:$F, ROW()-1), $F645)) : INDEX(W:W, ROW()-1)
   )
   /SUM(INDEX(W:W, ROW()-COUNTIF($F$6:INDEX($F:$F, ROW()-1), $F645)) : INDEX(W:W, ROW()-1)),
   AVERAGEIFS(
     INDEX((unit_details[Effective Rent],unit_details[Effective PSF]),0,1,IF($U$3="Chunk Rent",1,2)),
     unit_details[Leased Date],"&gt;="&amp;($AM$2-T$5),
     unit_details[Leased Date],"&lt;"&amp;$AM$2,
     unit_details[Beds],$L646,
     unit_details[Baths],$M646,
     unit_details[Partial Baths],IF(ISNUMBER($N646),$N646,""),
     unit_details[Sqft],$P646,
     unit_details[Property Name],$F646)
 ),"")</f>
        <v/>
      </c>
      <c r="V646" s="27" t="str">
        <f t="shared" si="109"/>
        <v/>
      </c>
      <c r="W646" s="526">
        <f>IFERROR(
  IF($F646="Total",
    SUM(INDEX(W:W, ROW()-COUNTIF($F$6:INDEX($F:$F, ROW()-1), $F645)) : INDEX(W:W, ROW()-1)),
    COUNTIFS(
      unit_details[Leased Date], "&gt;="&amp;($AM$2-T$5),
      unit_details[Leased Date], "&lt;"&amp;$AM$2,
      unit_details[Beds], $L646,
      unit_details[Baths], $M646,
      unit_details[Partial Baths], IF(ISNUMBER($N646), $N646, ""),
      unit_details[Sqft],$P646,
      unit_details[Property Name], $F646
    )
  ),
"")</f>
        <v>0</v>
      </c>
      <c r="X646" s="531" t="str">
        <f>IFERROR(
 IF($F646="Total",
   SUMPRODUCT(
   INDEX(X:X, ROW()-COUNTIF($F$6:INDEX($F:$F, ROW()-1), $F645)) : INDEX(X:X, ROW()-1),
   INDEX(AA:AA, ROW()-COUNTIF($F$6:INDEX($F:$F, ROW()-1), $F645)) : INDEX(AA:AA, ROW()-1)
   )
   /SUM(INDEX(AA:AA, ROW()-COUNTIF($F$6:INDEX($F:$F, ROW()-1), $F645)) : INDEX(AA:AA, ROW()-1)),
   AVERAGEIFS(
     INDEX((unit_details[Asking Rent],unit_details[Asking PSF]),0,1,IF($U$3="Chunk Rent",1,2)),
     unit_details[Leased Date],"&gt;="&amp;($AM$2-X$5),
     unit_details[Leased Date],"&lt;"&amp;$AM$2,
     unit_details[Beds],$L646,
     unit_details[Baths],$M646,
     unit_details[Partial Baths],IF(ISNUMBER($N646),$N646,""),
     unit_details[Sqft],$P646,
     unit_details[Property Name],$F646)
 ),"")</f>
        <v/>
      </c>
      <c r="Y646" s="552" t="str">
        <f>IFERROR(
 IF($F646="Total",
   SUMPRODUCT(
   INDEX(Y:Y, ROW()-COUNTIF($F$6:INDEX($F:$F, ROW()-1), $F645)) : INDEX(Y:Y, ROW()-1),
   INDEX(AA:AA, ROW()-COUNTIF($F$6:INDEX($F:$F, ROW()-1), $F645)) : INDEX(AA:AA, ROW()-1)
   )
   /SUM(INDEX(AA:AA, ROW()-COUNTIF($F$6:INDEX($F:$F, ROW()-1), $F645)) : INDEX(AA:AA, ROW()-1)),
   AVERAGEIFS(
     INDEX((unit_details[Effective Rent],unit_details[Effective PSF]),0,1,IF($U$3="Chunk Rent",1,2)),
     unit_details[Leased Date],"&gt;="&amp;($AM$2-X$5),
     unit_details[Leased Date],"&lt;"&amp;$AM$2,
     unit_details[Beds],$L646,
     unit_details[Baths],$M646,
     unit_details[Partial Baths],IF(ISNUMBER($N646),$N646,""),
     unit_details[Sqft],$P646,
     unit_details[Property Name],$F646)
 ),"")</f>
        <v/>
      </c>
      <c r="Z646" s="27" t="str">
        <f t="shared" si="110"/>
        <v/>
      </c>
      <c r="AA646" s="526">
        <f>IFERROR(
  IF($F646="Total",
    SUM(INDEX(AA:AA, ROW()-COUNTIF($F$6:INDEX($F:$F, ROW()-1), $F645)) : INDEX(AA:AA, ROW()-1)),
    COUNTIFS(
      unit_details[Leased Date], "&gt;="&amp;($AM$2-X$5),
      unit_details[Leased Date], "&lt;"&amp;$AM$2,
      unit_details[Beds], $L646,
      unit_details[Baths], $M646,
      unit_details[Partial Baths], IF(ISNUMBER($N646), $N646, ""),
      unit_details[Sqft],$P646,
      unit_details[Property Name], $F646
    )
  ),
"")</f>
        <v>0</v>
      </c>
      <c r="AB646" s="290">
        <f>IF($F646="Total",
SUM(INDEX(AB:AB, ROW()-COUNTIF($F$6:INDEX($F:$F, ROW()-1), $F645)) : INDEX(AB:AB, ROW()-1)),
COUNTIFS(unit_details[Active Listing?],TRUE,
          unit_details[Property Name], $F646,
          unit_details[Beds], $L646,
          unit_details[Baths], $M646,
          unit_details[Partial Baths],IF(ISNUMBER($N646),$N646,""),
          unit_details[Sqft],$P646))</f>
        <v>0</v>
      </c>
      <c r="AC646" s="27" t="str">
        <f t="shared" si="102"/>
        <v/>
      </c>
      <c r="AD646" s="293" t="str">
        <f>IFERROR(IF(AE646="","",IF($F646="Total",
SUMPRODUCT(
   INDEX(AD:AD, ROW()-COUNTIF($F$6:INDEX($F:$F, ROW()-1), $F645)) : INDEX(AD:AD, ROW()-1),
   INDEX(AB:AB, ROW()-COUNTIF($F$6:INDEX($F:$F, ROW()-1), $F645)) : INDEX(AB:AB, ROW()-1)
   )
   /SUM(INDEX(AB:AB, ROW()-COUNTIF($F$6:INDEX($F:$F, ROW()-1), $F645)) : INDEX(AB:AB, ROW()-1)),
          _xlfn.MINIFS(unit_details[Asking Rent],
          unit_details[Active Listing?],TRUE,
          unit_details[Property Name], $F646,
          unit_details[Beds], $L646,
          unit_details[Baths], $M646,
          unit_details[Partial Baths], IF(ISNUMBER($N646),$N646,""),
          unit_details[Sqft],$P646
))),"")</f>
        <v/>
      </c>
      <c r="AE646" s="5" t="str">
        <f>IFERROR(IF($F646="Total",
          SUMPRODUCT(
   INDEX(AE:AE, ROW()-COUNTIF($F$6:INDEX($F:$F, ROW()-1), $F645)) : INDEX(AE:AE, ROW()-1),
   INDEX(AB:AB, ROW()-COUNTIF($F$6:INDEX($F:$F, ROW()-1), $F645)) : INDEX(AB:AB, ROW()-1)
   )
   /SUM(INDEX(AB:AB, ROW()-COUNTIF($F$6:INDEX($F:$F, ROW()-1), $F645)) : INDEX(AB:AB, ROW()-1)),
          AVERAGEIFS(unit_details[Asking Rent],
          unit_details[Active Listing?],TRUE,
          unit_details[Property Name], $F646,
          unit_details[Beds], $L646,
          unit_details[Baths], $M646,
          unit_details[Partial Baths], IF(ISNUMBER($N646),$N646,""),
          unit_details[Sqft],$P646
)),"")</f>
        <v/>
      </c>
      <c r="AF646" s="5" t="str">
        <f>IFERROR(IF(AE646="","",IF($F646="Total",
SUMPRODUCT(
   INDEX(AF:AF, ROW()-COUNTIF($F$6:INDEX($F:$F, ROW()-1), $F645)) : INDEX(AF:AF, ROW()-1),
   INDEX(AB:AB, ROW()-COUNTIF($F$6:INDEX($F:$F, ROW()-1), $F645)) : INDEX(AB:AB, ROW()-1)
   )
   /SUM(INDEX(AB:AB, ROW()-COUNTIF($F$6:INDEX($F:$F, ROW()-1), $F645)) : INDEX(AB:AB, ROW()-1)),
           _xlfn.MAXIFS(unit_details[Asking Rent],
          unit_details[Active Listing?],TRUE,
          unit_details[Property Name], $F646,
          unit_details[Beds], $L646,
          unit_details[Baths], $M646,
          unit_details[Partial Baths], IF(ISNUMBER($N646),$N646,""),
          unit_details[Sqft],$P646
))),"")</f>
        <v/>
      </c>
      <c r="AG646" s="6" t="str">
        <f>IFERROR(IF($F646="Total",
         SUMPRODUCT(
         INDEX(AG:AG, ROW()-COUNTIF($F$6:INDEX($F:$F, ROW()-1), $F645)) : INDEX(AG:AG, ROW()-1),
         INDEX(AB:AB, ROW()-COUNTIF($F$6:INDEX($F:$F, ROW()-1), $F645)) : INDEX(AB:AB, ROW()-1)
         )
         /SUM(INDEX(AB:AB, ROW()-COUNTIF($F$6:INDEX($F:$F, ROW()-1), $F645)) : INDEX(AB:AB, ROW()-1)),
          AVERAGEIFS(unit_details[Asking PSF],
          unit_details[Active Listing?],TRUE,
          unit_details[Property Name], $F646,
          unit_details[Beds], $L646,
          unit_details[Baths], $M646,
          unit_details[Partial Baths], IF(ISNUMBER($N646),$N646,""),
          unit_details[Sqft],$P646
)),"")</f>
        <v/>
      </c>
      <c r="AH646" s="293" t="str">
        <f>IFERROR(IF($F646="Total",
         SUMPRODUCT(
         INDEX(AH:AH, ROW()-COUNTIF($F$6:INDEX($F:$F, ROW()-1), $F645)) : INDEX(AH:AH, ROW()-1),
         INDEX(AB:AB, ROW()-COUNTIF($F$6:INDEX($F:$F, ROW()-1), $F645)) : INDEX(AB:AB, ROW()-1)
         )
         /SUM(INDEX(AB:AB, ROW()-COUNTIF($F$6:INDEX($F:$F, ROW()-1), $F645)) : INDEX(AB:AB, ROW()-1)),
          AVERAGEIFS(unit_details[Effective Rent],
          unit_details[Active Listing?],TRUE,
          unit_details[Property Name], $F646,
          unit_details[Beds], $L646,
          unit_details[Baths], $M646,
          unit_details[Partial Baths], IF(ISNUMBER($N646),$N646,""),
          unit_details[Sqft],$P646
)),"")</f>
        <v/>
      </c>
      <c r="AI646" s="6" t="str">
        <f>IFERROR(IF($F646="Total",
         SUMPRODUCT(
         INDEX(AI:AI, ROW()-COUNTIF($F$6:INDEX($F:$F, ROW()-1), $F645)) : INDEX(AI:AI, ROW()-1),
         INDEX(AB:AB, ROW()-COUNTIF($F$6:INDEX($F:$F, ROW()-1), $F645)) : INDEX(AB:AB, ROW()-1)
         )
         /SUM(INDEX(AB:AB, ROW()-COUNTIF($F$6:INDEX($F:$F, ROW()-1), $F645)) : INDEX(AB:AB, ROW()-1)),
           AVERAGEIFS(unit_details[Effective PSF],
          unit_details[Active Listing?],TRUE,
          unit_details[Property Name], $F646,
          unit_details[Beds], $L646,
          unit_details[Baths], $M646,
          unit_details[Partial Baths], IF(ISNUMBER($N646),$N646,""),
          unit_details[Sqft],$P646
)),"")</f>
        <v/>
      </c>
      <c r="AJ646" s="824" t="str">
        <f t="shared" si="103"/>
        <v/>
      </c>
      <c r="AK646" s="531" t="str">
        <f t="shared" si="104"/>
        <v/>
      </c>
      <c r="AL646" s="714" t="str">
        <f t="shared" si="105"/>
        <v/>
      </c>
      <c r="AM646" s="531" t="str">
        <f t="shared" si="106"/>
        <v/>
      </c>
      <c r="AN646" s="716" t="str">
        <f t="shared" si="107"/>
        <v/>
      </c>
    </row>
    <row r="647" spans="6:40" x14ac:dyDescent="0.2">
      <c r="F647" s="1" t="str">
        <f t="shared" ref="F647:F710" si="111">IF(RIGHT(K647,5)="Total","Total",IF(ISTEXT(K647),K647,IF(F646="Total","",F646)))</f>
        <v/>
      </c>
      <c r="G647" s="713" t="str">
        <f t="shared" si="108"/>
        <v/>
      </c>
      <c r="H647" s="17" t="str">
        <f>IFERROR(VLOOKUP($G647,Table1[[Property]:[Exposure %]],4,0),"")</f>
        <v/>
      </c>
      <c r="I647" s="3" t="str">
        <f>IFERROR(VLOOKUP($G647,Table1[[Property]:[Exposure %]],6,0),"")</f>
        <v/>
      </c>
      <c r="J647" s="3" t="str">
        <f>IFERROR(VLOOKUP($G647,Table1[[Property]:[Exposure %]],7,0),"")</f>
        <v/>
      </c>
      <c r="R647" s="4" t="str">
        <f>IFERROR(VLOOKUP(IF(F647="Total",F646,F647),Table1[[Property]:['# Units]],7,0)*S647,"")</f>
        <v/>
      </c>
      <c r="S647" s="27" t="str">
        <f t="shared" ref="S647:S710" si="112">IF(Q647=0,"",Q647)</f>
        <v/>
      </c>
      <c r="T647" s="531" t="str">
        <f>IFERROR(
 IF($F647="Total",
   SUMPRODUCT(
   INDEX(T:T, ROW()-COUNTIF($F$6:INDEX($F:$F, ROW()-1), $F646)) : INDEX(T:T, ROW()-1),
   INDEX(W:W, ROW()-COUNTIF($F$6:INDEX($F:$F, ROW()-1), $F646)) : INDEX(W:W, ROW()-1)
   )
   /SUM(INDEX(W:W, ROW()-COUNTIF($F$6:INDEX($F:$F, ROW()-1), $F646)) : INDEX(W:W, ROW()-1)),
   AVERAGEIFS(
     INDEX((unit_details[Asking Rent],unit_details[Asking PSF]),0,1,IF($U$3="Chunk Rent",1,2)),
     unit_details[Leased Date],"&gt;="&amp;($AM$2-T$5),
     unit_details[Leased Date],"&lt;"&amp;$AM$2,
     unit_details[Beds],$L647,
     unit_details[Baths],$M647,
     unit_details[Partial Baths],IF(ISNUMBER($N647),$N647,""),
     unit_details[Sqft],$P647,
     unit_details[Property Name],$F647)
 ),"")</f>
        <v/>
      </c>
      <c r="U647" s="552" t="str">
        <f>IFERROR(
 IF($F647="Total",
   SUMPRODUCT(
   INDEX(U:U, ROW()-COUNTIF($F$6:INDEX($F:$F, ROW()-1), $F646)) : INDEX(U:U, ROW()-1),
   INDEX(W:W, ROW()-COUNTIF($F$6:INDEX($F:$F, ROW()-1), $F646)) : INDEX(W:W, ROW()-1)
   )
   /SUM(INDEX(W:W, ROW()-COUNTIF($F$6:INDEX($F:$F, ROW()-1), $F646)) : INDEX(W:W, ROW()-1)),
   AVERAGEIFS(
     INDEX((unit_details[Effective Rent],unit_details[Effective PSF]),0,1,IF($U$3="Chunk Rent",1,2)),
     unit_details[Leased Date],"&gt;="&amp;($AM$2-T$5),
     unit_details[Leased Date],"&lt;"&amp;$AM$2,
     unit_details[Beds],$L647,
     unit_details[Baths],$M647,
     unit_details[Partial Baths],IF(ISNUMBER($N647),$N647,""),
     unit_details[Sqft],$P647,
     unit_details[Property Name],$F647)
 ),"")</f>
        <v/>
      </c>
      <c r="V647" s="27" t="str">
        <f t="shared" si="109"/>
        <v/>
      </c>
      <c r="W647" s="526">
        <f>IFERROR(
  IF($F647="Total",
    SUM(INDEX(W:W, ROW()-COUNTIF($F$6:INDEX($F:$F, ROW()-1), $F646)) : INDEX(W:W, ROW()-1)),
    COUNTIFS(
      unit_details[Leased Date], "&gt;="&amp;($AM$2-T$5),
      unit_details[Leased Date], "&lt;"&amp;$AM$2,
      unit_details[Beds], $L647,
      unit_details[Baths], $M647,
      unit_details[Partial Baths], IF(ISNUMBER($N647), $N647, ""),
      unit_details[Sqft],$P647,
      unit_details[Property Name], $F647
    )
  ),
"")</f>
        <v>0</v>
      </c>
      <c r="X647" s="531" t="str">
        <f>IFERROR(
 IF($F647="Total",
   SUMPRODUCT(
   INDEX(X:X, ROW()-COUNTIF($F$6:INDEX($F:$F, ROW()-1), $F646)) : INDEX(X:X, ROW()-1),
   INDEX(AA:AA, ROW()-COUNTIF($F$6:INDEX($F:$F, ROW()-1), $F646)) : INDEX(AA:AA, ROW()-1)
   )
   /SUM(INDEX(AA:AA, ROW()-COUNTIF($F$6:INDEX($F:$F, ROW()-1), $F646)) : INDEX(AA:AA, ROW()-1)),
   AVERAGEIFS(
     INDEX((unit_details[Asking Rent],unit_details[Asking PSF]),0,1,IF($U$3="Chunk Rent",1,2)),
     unit_details[Leased Date],"&gt;="&amp;($AM$2-X$5),
     unit_details[Leased Date],"&lt;"&amp;$AM$2,
     unit_details[Beds],$L647,
     unit_details[Baths],$M647,
     unit_details[Partial Baths],IF(ISNUMBER($N647),$N647,""),
     unit_details[Sqft],$P647,
     unit_details[Property Name],$F647)
 ),"")</f>
        <v/>
      </c>
      <c r="Y647" s="552" t="str">
        <f>IFERROR(
 IF($F647="Total",
   SUMPRODUCT(
   INDEX(Y:Y, ROW()-COUNTIF($F$6:INDEX($F:$F, ROW()-1), $F646)) : INDEX(Y:Y, ROW()-1),
   INDEX(AA:AA, ROW()-COUNTIF($F$6:INDEX($F:$F, ROW()-1), $F646)) : INDEX(AA:AA, ROW()-1)
   )
   /SUM(INDEX(AA:AA, ROW()-COUNTIF($F$6:INDEX($F:$F, ROW()-1), $F646)) : INDEX(AA:AA, ROW()-1)),
   AVERAGEIFS(
     INDEX((unit_details[Effective Rent],unit_details[Effective PSF]),0,1,IF($U$3="Chunk Rent",1,2)),
     unit_details[Leased Date],"&gt;="&amp;($AM$2-X$5),
     unit_details[Leased Date],"&lt;"&amp;$AM$2,
     unit_details[Beds],$L647,
     unit_details[Baths],$M647,
     unit_details[Partial Baths],IF(ISNUMBER($N647),$N647,""),
     unit_details[Sqft],$P647,
     unit_details[Property Name],$F647)
 ),"")</f>
        <v/>
      </c>
      <c r="Z647" s="27" t="str">
        <f t="shared" si="110"/>
        <v/>
      </c>
      <c r="AA647" s="526">
        <f>IFERROR(
  IF($F647="Total",
    SUM(INDEX(AA:AA, ROW()-COUNTIF($F$6:INDEX($F:$F, ROW()-1), $F646)) : INDEX(AA:AA, ROW()-1)),
    COUNTIFS(
      unit_details[Leased Date], "&gt;="&amp;($AM$2-X$5),
      unit_details[Leased Date], "&lt;"&amp;$AM$2,
      unit_details[Beds], $L647,
      unit_details[Baths], $M647,
      unit_details[Partial Baths], IF(ISNUMBER($N647), $N647, ""),
      unit_details[Sqft],$P647,
      unit_details[Property Name], $F647
    )
  ),
"")</f>
        <v>0</v>
      </c>
      <c r="AB647" s="290">
        <f>IF($F647="Total",
SUM(INDEX(AB:AB, ROW()-COUNTIF($F$6:INDEX($F:$F, ROW()-1), $F646)) : INDEX(AB:AB, ROW()-1)),
COUNTIFS(unit_details[Active Listing?],TRUE,
          unit_details[Property Name], $F647,
          unit_details[Beds], $L647,
          unit_details[Baths], $M647,
          unit_details[Partial Baths],IF(ISNUMBER($N647),$N647,""),
          unit_details[Sqft],$P647))</f>
        <v>0</v>
      </c>
      <c r="AC647" s="27" t="str">
        <f t="shared" ref="AC647:AC710" si="113">IFERROR(AB647/R647,"")</f>
        <v/>
      </c>
      <c r="AD647" s="293" t="str">
        <f>IFERROR(IF(AE647="","",IF($F647="Total",
SUMPRODUCT(
   INDEX(AD:AD, ROW()-COUNTIF($F$6:INDEX($F:$F, ROW()-1), $F646)) : INDEX(AD:AD, ROW()-1),
   INDEX(AB:AB, ROW()-COUNTIF($F$6:INDEX($F:$F, ROW()-1), $F646)) : INDEX(AB:AB, ROW()-1)
   )
   /SUM(INDEX(AB:AB, ROW()-COUNTIF($F$6:INDEX($F:$F, ROW()-1), $F646)) : INDEX(AB:AB, ROW()-1)),
          _xlfn.MINIFS(unit_details[Asking Rent],
          unit_details[Active Listing?],TRUE,
          unit_details[Property Name], $F647,
          unit_details[Beds], $L647,
          unit_details[Baths], $M647,
          unit_details[Partial Baths], IF(ISNUMBER($N647),$N647,""),
          unit_details[Sqft],$P647
))),"")</f>
        <v/>
      </c>
      <c r="AE647" s="5" t="str">
        <f>IFERROR(IF($F647="Total",
          SUMPRODUCT(
   INDEX(AE:AE, ROW()-COUNTIF($F$6:INDEX($F:$F, ROW()-1), $F646)) : INDEX(AE:AE, ROW()-1),
   INDEX(AB:AB, ROW()-COUNTIF($F$6:INDEX($F:$F, ROW()-1), $F646)) : INDEX(AB:AB, ROW()-1)
   )
   /SUM(INDEX(AB:AB, ROW()-COUNTIF($F$6:INDEX($F:$F, ROW()-1), $F646)) : INDEX(AB:AB, ROW()-1)),
          AVERAGEIFS(unit_details[Asking Rent],
          unit_details[Active Listing?],TRUE,
          unit_details[Property Name], $F647,
          unit_details[Beds], $L647,
          unit_details[Baths], $M647,
          unit_details[Partial Baths], IF(ISNUMBER($N647),$N647,""),
          unit_details[Sqft],$P647
)),"")</f>
        <v/>
      </c>
      <c r="AF647" s="5" t="str">
        <f>IFERROR(IF(AE647="","",IF($F647="Total",
SUMPRODUCT(
   INDEX(AF:AF, ROW()-COUNTIF($F$6:INDEX($F:$F, ROW()-1), $F646)) : INDEX(AF:AF, ROW()-1),
   INDEX(AB:AB, ROW()-COUNTIF($F$6:INDEX($F:$F, ROW()-1), $F646)) : INDEX(AB:AB, ROW()-1)
   )
   /SUM(INDEX(AB:AB, ROW()-COUNTIF($F$6:INDEX($F:$F, ROW()-1), $F646)) : INDEX(AB:AB, ROW()-1)),
           _xlfn.MAXIFS(unit_details[Asking Rent],
          unit_details[Active Listing?],TRUE,
          unit_details[Property Name], $F647,
          unit_details[Beds], $L647,
          unit_details[Baths], $M647,
          unit_details[Partial Baths], IF(ISNUMBER($N647),$N647,""),
          unit_details[Sqft],$P647
))),"")</f>
        <v/>
      </c>
      <c r="AG647" s="6" t="str">
        <f>IFERROR(IF($F647="Total",
         SUMPRODUCT(
         INDEX(AG:AG, ROW()-COUNTIF($F$6:INDEX($F:$F, ROW()-1), $F646)) : INDEX(AG:AG, ROW()-1),
         INDEX(AB:AB, ROW()-COUNTIF($F$6:INDEX($F:$F, ROW()-1), $F646)) : INDEX(AB:AB, ROW()-1)
         )
         /SUM(INDEX(AB:AB, ROW()-COUNTIF($F$6:INDEX($F:$F, ROW()-1), $F646)) : INDEX(AB:AB, ROW()-1)),
          AVERAGEIFS(unit_details[Asking PSF],
          unit_details[Active Listing?],TRUE,
          unit_details[Property Name], $F647,
          unit_details[Beds], $L647,
          unit_details[Baths], $M647,
          unit_details[Partial Baths], IF(ISNUMBER($N647),$N647,""),
          unit_details[Sqft],$P647
)),"")</f>
        <v/>
      </c>
      <c r="AH647" s="293" t="str">
        <f>IFERROR(IF($F647="Total",
         SUMPRODUCT(
         INDEX(AH:AH, ROW()-COUNTIF($F$6:INDEX($F:$F, ROW()-1), $F646)) : INDEX(AH:AH, ROW()-1),
         INDEX(AB:AB, ROW()-COUNTIF($F$6:INDEX($F:$F, ROW()-1), $F646)) : INDEX(AB:AB, ROW()-1)
         )
         /SUM(INDEX(AB:AB, ROW()-COUNTIF($F$6:INDEX($F:$F, ROW()-1), $F646)) : INDEX(AB:AB, ROW()-1)),
          AVERAGEIFS(unit_details[Effective Rent],
          unit_details[Active Listing?],TRUE,
          unit_details[Property Name], $F647,
          unit_details[Beds], $L647,
          unit_details[Baths], $M647,
          unit_details[Partial Baths], IF(ISNUMBER($N647),$N647,""),
          unit_details[Sqft],$P647
)),"")</f>
        <v/>
      </c>
      <c r="AI647" s="6" t="str">
        <f>IFERROR(IF($F647="Total",
         SUMPRODUCT(
         INDEX(AI:AI, ROW()-COUNTIF($F$6:INDEX($F:$F, ROW()-1), $F646)) : INDEX(AI:AI, ROW()-1),
         INDEX(AB:AB, ROW()-COUNTIF($F$6:INDEX($F:$F, ROW()-1), $F646)) : INDEX(AB:AB, ROW()-1)
         )
         /SUM(INDEX(AB:AB, ROW()-COUNTIF($F$6:INDEX($F:$F, ROW()-1), $F646)) : INDEX(AB:AB, ROW()-1)),
           AVERAGEIFS(unit_details[Effective PSF],
          unit_details[Active Listing?],TRUE,
          unit_details[Property Name], $F647,
          unit_details[Beds], $L647,
          unit_details[Baths], $M647,
          unit_details[Partial Baths], IF(ISNUMBER($N647),$N647,""),
          unit_details[Sqft],$P647
)),"")</f>
        <v/>
      </c>
      <c r="AJ647" s="824" t="str">
        <f t="shared" ref="AJ647:AJ710" si="114">IFERROR((AE647-AH647)/AE647,"")</f>
        <v/>
      </c>
      <c r="AK647" s="531" t="str">
        <f t="shared" ref="AK647:AK710" si="115">IFERROR(
IF(AND($AM$3="Asking Rent",$U$3="Chunk Rent"),$AE647-$T647,
IF(AND($AM$3="Effective Rent",$U$3="Chunk Rent"),$AH647-$U647,
IF(AND($AM$3="Asking Rent",$U$3="Rent PSF"),$AG647-$T647,$AI647-$U647))),"")</f>
        <v/>
      </c>
      <c r="AL647" s="714" t="str">
        <f t="shared" ref="AL647:AL710" si="116">IFERROR(AK647/(IF($AM$3="Asking Rent",T647,U647)),"")</f>
        <v/>
      </c>
      <c r="AM647" s="531" t="str">
        <f t="shared" ref="AM647:AM710" si="117">IFERROR(
IF(AND($AM$3="Asking Rent",$U$3="Chunk Rent"),$AE647-$X647,
IF(AND($AM$3="Effective Rent",$U$3="Chunk Rent"),$AH647-$Y647,
IF(AND($AM$3="Asking Rent",$U$3="Rent PSF"),$AG647-$X647,$AI647-$Y647))),"")</f>
        <v/>
      </c>
      <c r="AN647" s="716" t="str">
        <f t="shared" ref="AN647:AN710" si="118">IFERROR(AM647/(IF($AM$3="Asking Rent",X647,Y647)),"")</f>
        <v/>
      </c>
    </row>
    <row r="648" spans="6:40" x14ac:dyDescent="0.2">
      <c r="F648" s="1" t="str">
        <f t="shared" si="111"/>
        <v/>
      </c>
      <c r="G648" s="713" t="str">
        <f t="shared" ref="G648:G711" si="119">IF(F648=F647,"",F648)</f>
        <v/>
      </c>
      <c r="H648" s="17" t="str">
        <f>IFERROR(VLOOKUP($G648,Table1[[Property]:[Exposure %]],4,0),"")</f>
        <v/>
      </c>
      <c r="I648" s="3" t="str">
        <f>IFERROR(VLOOKUP($G648,Table1[[Property]:[Exposure %]],6,0),"")</f>
        <v/>
      </c>
      <c r="J648" s="3" t="str">
        <f>IFERROR(VLOOKUP($G648,Table1[[Property]:[Exposure %]],7,0),"")</f>
        <v/>
      </c>
      <c r="R648" s="4" t="str">
        <f>IFERROR(VLOOKUP(IF(F648="Total",F647,F648),Table1[[Property]:['# Units]],7,0)*S648,"")</f>
        <v/>
      </c>
      <c r="S648" s="27" t="str">
        <f t="shared" si="112"/>
        <v/>
      </c>
      <c r="T648" s="531" t="str">
        <f>IFERROR(
 IF($F648="Total",
   SUMPRODUCT(
   INDEX(T:T, ROW()-COUNTIF($F$6:INDEX($F:$F, ROW()-1), $F647)) : INDEX(T:T, ROW()-1),
   INDEX(W:W, ROW()-COUNTIF($F$6:INDEX($F:$F, ROW()-1), $F647)) : INDEX(W:W, ROW()-1)
   )
   /SUM(INDEX(W:W, ROW()-COUNTIF($F$6:INDEX($F:$F, ROW()-1), $F647)) : INDEX(W:W, ROW()-1)),
   AVERAGEIFS(
     INDEX((unit_details[Asking Rent],unit_details[Asking PSF]),0,1,IF($U$3="Chunk Rent",1,2)),
     unit_details[Leased Date],"&gt;="&amp;($AM$2-T$5),
     unit_details[Leased Date],"&lt;"&amp;$AM$2,
     unit_details[Beds],$L648,
     unit_details[Baths],$M648,
     unit_details[Partial Baths],IF(ISNUMBER($N648),$N648,""),
     unit_details[Sqft],$P648,
     unit_details[Property Name],$F648)
 ),"")</f>
        <v/>
      </c>
      <c r="U648" s="552" t="str">
        <f>IFERROR(
 IF($F648="Total",
   SUMPRODUCT(
   INDEX(U:U, ROW()-COUNTIF($F$6:INDEX($F:$F, ROW()-1), $F647)) : INDEX(U:U, ROW()-1),
   INDEX(W:W, ROW()-COUNTIF($F$6:INDEX($F:$F, ROW()-1), $F647)) : INDEX(W:W, ROW()-1)
   )
   /SUM(INDEX(W:W, ROW()-COUNTIF($F$6:INDEX($F:$F, ROW()-1), $F647)) : INDEX(W:W, ROW()-1)),
   AVERAGEIFS(
     INDEX((unit_details[Effective Rent],unit_details[Effective PSF]),0,1,IF($U$3="Chunk Rent",1,2)),
     unit_details[Leased Date],"&gt;="&amp;($AM$2-T$5),
     unit_details[Leased Date],"&lt;"&amp;$AM$2,
     unit_details[Beds],$L648,
     unit_details[Baths],$M648,
     unit_details[Partial Baths],IF(ISNUMBER($N648),$N648,""),
     unit_details[Sqft],$P648,
     unit_details[Property Name],$F648)
 ),"")</f>
        <v/>
      </c>
      <c r="V648" s="27" t="str">
        <f t="shared" ref="V648:V711" si="120">IFERROR(IF((T648-U648)/T648=0,"",(T648-U648)/T648),"")</f>
        <v/>
      </c>
      <c r="W648" s="526">
        <f>IFERROR(
  IF($F648="Total",
    SUM(INDEX(W:W, ROW()-COUNTIF($F$6:INDEX($F:$F, ROW()-1), $F647)) : INDEX(W:W, ROW()-1)),
    COUNTIFS(
      unit_details[Leased Date], "&gt;="&amp;($AM$2-T$5),
      unit_details[Leased Date], "&lt;"&amp;$AM$2,
      unit_details[Beds], $L648,
      unit_details[Baths], $M648,
      unit_details[Partial Baths], IF(ISNUMBER($N648), $N648, ""),
      unit_details[Sqft],$P648,
      unit_details[Property Name], $F648
    )
  ),
"")</f>
        <v>0</v>
      </c>
      <c r="X648" s="531" t="str">
        <f>IFERROR(
 IF($F648="Total",
   SUMPRODUCT(
   INDEX(X:X, ROW()-COUNTIF($F$6:INDEX($F:$F, ROW()-1), $F647)) : INDEX(X:X, ROW()-1),
   INDEX(AA:AA, ROW()-COUNTIF($F$6:INDEX($F:$F, ROW()-1), $F647)) : INDEX(AA:AA, ROW()-1)
   )
   /SUM(INDEX(AA:AA, ROW()-COUNTIF($F$6:INDEX($F:$F, ROW()-1), $F647)) : INDEX(AA:AA, ROW()-1)),
   AVERAGEIFS(
     INDEX((unit_details[Asking Rent],unit_details[Asking PSF]),0,1,IF($U$3="Chunk Rent",1,2)),
     unit_details[Leased Date],"&gt;="&amp;($AM$2-X$5),
     unit_details[Leased Date],"&lt;"&amp;$AM$2,
     unit_details[Beds],$L648,
     unit_details[Baths],$M648,
     unit_details[Partial Baths],IF(ISNUMBER($N648),$N648,""),
     unit_details[Sqft],$P648,
     unit_details[Property Name],$F648)
 ),"")</f>
        <v/>
      </c>
      <c r="Y648" s="552" t="str">
        <f>IFERROR(
 IF($F648="Total",
   SUMPRODUCT(
   INDEX(Y:Y, ROW()-COUNTIF($F$6:INDEX($F:$F, ROW()-1), $F647)) : INDEX(Y:Y, ROW()-1),
   INDEX(AA:AA, ROW()-COUNTIF($F$6:INDEX($F:$F, ROW()-1), $F647)) : INDEX(AA:AA, ROW()-1)
   )
   /SUM(INDEX(AA:AA, ROW()-COUNTIF($F$6:INDEX($F:$F, ROW()-1), $F647)) : INDEX(AA:AA, ROW()-1)),
   AVERAGEIFS(
     INDEX((unit_details[Effective Rent],unit_details[Effective PSF]),0,1,IF($U$3="Chunk Rent",1,2)),
     unit_details[Leased Date],"&gt;="&amp;($AM$2-X$5),
     unit_details[Leased Date],"&lt;"&amp;$AM$2,
     unit_details[Beds],$L648,
     unit_details[Baths],$M648,
     unit_details[Partial Baths],IF(ISNUMBER($N648),$N648,""),
     unit_details[Sqft],$P648,
     unit_details[Property Name],$F648)
 ),"")</f>
        <v/>
      </c>
      <c r="Z648" s="27" t="str">
        <f t="shared" ref="Z648:Z711" si="121">IFERROR(IF((X648-Y648)/X648=0,"",(X648-Y648)/X648),"")</f>
        <v/>
      </c>
      <c r="AA648" s="526">
        <f>IFERROR(
  IF($F648="Total",
    SUM(INDEX(AA:AA, ROW()-COUNTIF($F$6:INDEX($F:$F, ROW()-1), $F647)) : INDEX(AA:AA, ROW()-1)),
    COUNTIFS(
      unit_details[Leased Date], "&gt;="&amp;($AM$2-X$5),
      unit_details[Leased Date], "&lt;"&amp;$AM$2,
      unit_details[Beds], $L648,
      unit_details[Baths], $M648,
      unit_details[Partial Baths], IF(ISNUMBER($N648), $N648, ""),
      unit_details[Sqft],$P648,
      unit_details[Property Name], $F648
    )
  ),
"")</f>
        <v>0</v>
      </c>
      <c r="AB648" s="290">
        <f>IF($F648="Total",
SUM(INDEX(AB:AB, ROW()-COUNTIF($F$6:INDEX($F:$F, ROW()-1), $F647)) : INDEX(AB:AB, ROW()-1)),
COUNTIFS(unit_details[Active Listing?],TRUE,
          unit_details[Property Name], $F648,
          unit_details[Beds], $L648,
          unit_details[Baths], $M648,
          unit_details[Partial Baths],IF(ISNUMBER($N648),$N648,""),
          unit_details[Sqft],$P648))</f>
        <v>0</v>
      </c>
      <c r="AC648" s="27" t="str">
        <f t="shared" si="113"/>
        <v/>
      </c>
      <c r="AD648" s="293" t="str">
        <f>IFERROR(IF(AE648="","",IF($F648="Total",
SUMPRODUCT(
   INDEX(AD:AD, ROW()-COUNTIF($F$6:INDEX($F:$F, ROW()-1), $F647)) : INDEX(AD:AD, ROW()-1),
   INDEX(AB:AB, ROW()-COUNTIF($F$6:INDEX($F:$F, ROW()-1), $F647)) : INDEX(AB:AB, ROW()-1)
   )
   /SUM(INDEX(AB:AB, ROW()-COUNTIF($F$6:INDEX($F:$F, ROW()-1), $F647)) : INDEX(AB:AB, ROW()-1)),
          _xlfn.MINIFS(unit_details[Asking Rent],
          unit_details[Active Listing?],TRUE,
          unit_details[Property Name], $F648,
          unit_details[Beds], $L648,
          unit_details[Baths], $M648,
          unit_details[Partial Baths], IF(ISNUMBER($N648),$N648,""),
          unit_details[Sqft],$P648
))),"")</f>
        <v/>
      </c>
      <c r="AE648" s="5" t="str">
        <f>IFERROR(IF($F648="Total",
          SUMPRODUCT(
   INDEX(AE:AE, ROW()-COUNTIF($F$6:INDEX($F:$F, ROW()-1), $F647)) : INDEX(AE:AE, ROW()-1),
   INDEX(AB:AB, ROW()-COUNTIF($F$6:INDEX($F:$F, ROW()-1), $F647)) : INDEX(AB:AB, ROW()-1)
   )
   /SUM(INDEX(AB:AB, ROW()-COUNTIF($F$6:INDEX($F:$F, ROW()-1), $F647)) : INDEX(AB:AB, ROW()-1)),
          AVERAGEIFS(unit_details[Asking Rent],
          unit_details[Active Listing?],TRUE,
          unit_details[Property Name], $F648,
          unit_details[Beds], $L648,
          unit_details[Baths], $M648,
          unit_details[Partial Baths], IF(ISNUMBER($N648),$N648,""),
          unit_details[Sqft],$P648
)),"")</f>
        <v/>
      </c>
      <c r="AF648" s="5" t="str">
        <f>IFERROR(IF(AE648="","",IF($F648="Total",
SUMPRODUCT(
   INDEX(AF:AF, ROW()-COUNTIF($F$6:INDEX($F:$F, ROW()-1), $F647)) : INDEX(AF:AF, ROW()-1),
   INDEX(AB:AB, ROW()-COUNTIF($F$6:INDEX($F:$F, ROW()-1), $F647)) : INDEX(AB:AB, ROW()-1)
   )
   /SUM(INDEX(AB:AB, ROW()-COUNTIF($F$6:INDEX($F:$F, ROW()-1), $F647)) : INDEX(AB:AB, ROW()-1)),
           _xlfn.MAXIFS(unit_details[Asking Rent],
          unit_details[Active Listing?],TRUE,
          unit_details[Property Name], $F648,
          unit_details[Beds], $L648,
          unit_details[Baths], $M648,
          unit_details[Partial Baths], IF(ISNUMBER($N648),$N648,""),
          unit_details[Sqft],$P648
))),"")</f>
        <v/>
      </c>
      <c r="AG648" s="6" t="str">
        <f>IFERROR(IF($F648="Total",
         SUMPRODUCT(
         INDEX(AG:AG, ROW()-COUNTIF($F$6:INDEX($F:$F, ROW()-1), $F647)) : INDEX(AG:AG, ROW()-1),
         INDEX(AB:AB, ROW()-COUNTIF($F$6:INDEX($F:$F, ROW()-1), $F647)) : INDEX(AB:AB, ROW()-1)
         )
         /SUM(INDEX(AB:AB, ROW()-COUNTIF($F$6:INDEX($F:$F, ROW()-1), $F647)) : INDEX(AB:AB, ROW()-1)),
          AVERAGEIFS(unit_details[Asking PSF],
          unit_details[Active Listing?],TRUE,
          unit_details[Property Name], $F648,
          unit_details[Beds], $L648,
          unit_details[Baths], $M648,
          unit_details[Partial Baths], IF(ISNUMBER($N648),$N648,""),
          unit_details[Sqft],$P648
)),"")</f>
        <v/>
      </c>
      <c r="AH648" s="293" t="str">
        <f>IFERROR(IF($F648="Total",
         SUMPRODUCT(
         INDEX(AH:AH, ROW()-COUNTIF($F$6:INDEX($F:$F, ROW()-1), $F647)) : INDEX(AH:AH, ROW()-1),
         INDEX(AB:AB, ROW()-COUNTIF($F$6:INDEX($F:$F, ROW()-1), $F647)) : INDEX(AB:AB, ROW()-1)
         )
         /SUM(INDEX(AB:AB, ROW()-COUNTIF($F$6:INDEX($F:$F, ROW()-1), $F647)) : INDEX(AB:AB, ROW()-1)),
          AVERAGEIFS(unit_details[Effective Rent],
          unit_details[Active Listing?],TRUE,
          unit_details[Property Name], $F648,
          unit_details[Beds], $L648,
          unit_details[Baths], $M648,
          unit_details[Partial Baths], IF(ISNUMBER($N648),$N648,""),
          unit_details[Sqft],$P648
)),"")</f>
        <v/>
      </c>
      <c r="AI648" s="6" t="str">
        <f>IFERROR(IF($F648="Total",
         SUMPRODUCT(
         INDEX(AI:AI, ROW()-COUNTIF($F$6:INDEX($F:$F, ROW()-1), $F647)) : INDEX(AI:AI, ROW()-1),
         INDEX(AB:AB, ROW()-COUNTIF($F$6:INDEX($F:$F, ROW()-1), $F647)) : INDEX(AB:AB, ROW()-1)
         )
         /SUM(INDEX(AB:AB, ROW()-COUNTIF($F$6:INDEX($F:$F, ROW()-1), $F647)) : INDEX(AB:AB, ROW()-1)),
           AVERAGEIFS(unit_details[Effective PSF],
          unit_details[Active Listing?],TRUE,
          unit_details[Property Name], $F648,
          unit_details[Beds], $L648,
          unit_details[Baths], $M648,
          unit_details[Partial Baths], IF(ISNUMBER($N648),$N648,""),
          unit_details[Sqft],$P648
)),"")</f>
        <v/>
      </c>
      <c r="AJ648" s="824" t="str">
        <f t="shared" si="114"/>
        <v/>
      </c>
      <c r="AK648" s="531" t="str">
        <f t="shared" si="115"/>
        <v/>
      </c>
      <c r="AL648" s="714" t="str">
        <f t="shared" si="116"/>
        <v/>
      </c>
      <c r="AM648" s="531" t="str">
        <f t="shared" si="117"/>
        <v/>
      </c>
      <c r="AN648" s="716" t="str">
        <f t="shared" si="118"/>
        <v/>
      </c>
    </row>
    <row r="649" spans="6:40" x14ac:dyDescent="0.2">
      <c r="F649" s="1" t="str">
        <f t="shared" si="111"/>
        <v/>
      </c>
      <c r="G649" s="713" t="str">
        <f t="shared" si="119"/>
        <v/>
      </c>
      <c r="H649" s="17" t="str">
        <f>IFERROR(VLOOKUP($G649,Table1[[Property]:[Exposure %]],4,0),"")</f>
        <v/>
      </c>
      <c r="I649" s="3" t="str">
        <f>IFERROR(VLOOKUP($G649,Table1[[Property]:[Exposure %]],6,0),"")</f>
        <v/>
      </c>
      <c r="J649" s="3" t="str">
        <f>IFERROR(VLOOKUP($G649,Table1[[Property]:[Exposure %]],7,0),"")</f>
        <v/>
      </c>
      <c r="R649" s="4" t="str">
        <f>IFERROR(VLOOKUP(IF(F649="Total",F648,F649),Table1[[Property]:['# Units]],7,0)*S649,"")</f>
        <v/>
      </c>
      <c r="S649" s="27" t="str">
        <f t="shared" si="112"/>
        <v/>
      </c>
      <c r="T649" s="531" t="str">
        <f>IFERROR(
 IF($F649="Total",
   SUMPRODUCT(
   INDEX(T:T, ROW()-COUNTIF($F$6:INDEX($F:$F, ROW()-1), $F648)) : INDEX(T:T, ROW()-1),
   INDEX(W:W, ROW()-COUNTIF($F$6:INDEX($F:$F, ROW()-1), $F648)) : INDEX(W:W, ROW()-1)
   )
   /SUM(INDEX(W:W, ROW()-COUNTIF($F$6:INDEX($F:$F, ROW()-1), $F648)) : INDEX(W:W, ROW()-1)),
   AVERAGEIFS(
     INDEX((unit_details[Asking Rent],unit_details[Asking PSF]),0,1,IF($U$3="Chunk Rent",1,2)),
     unit_details[Leased Date],"&gt;="&amp;($AM$2-T$5),
     unit_details[Leased Date],"&lt;"&amp;$AM$2,
     unit_details[Beds],$L649,
     unit_details[Baths],$M649,
     unit_details[Partial Baths],IF(ISNUMBER($N649),$N649,""),
     unit_details[Sqft],$P649,
     unit_details[Property Name],$F649)
 ),"")</f>
        <v/>
      </c>
      <c r="U649" s="552" t="str">
        <f>IFERROR(
 IF($F649="Total",
   SUMPRODUCT(
   INDEX(U:U, ROW()-COUNTIF($F$6:INDEX($F:$F, ROW()-1), $F648)) : INDEX(U:U, ROW()-1),
   INDEX(W:W, ROW()-COUNTIF($F$6:INDEX($F:$F, ROW()-1), $F648)) : INDEX(W:W, ROW()-1)
   )
   /SUM(INDEX(W:W, ROW()-COUNTIF($F$6:INDEX($F:$F, ROW()-1), $F648)) : INDEX(W:W, ROW()-1)),
   AVERAGEIFS(
     INDEX((unit_details[Effective Rent],unit_details[Effective PSF]),0,1,IF($U$3="Chunk Rent",1,2)),
     unit_details[Leased Date],"&gt;="&amp;($AM$2-T$5),
     unit_details[Leased Date],"&lt;"&amp;$AM$2,
     unit_details[Beds],$L649,
     unit_details[Baths],$M649,
     unit_details[Partial Baths],IF(ISNUMBER($N649),$N649,""),
     unit_details[Sqft],$P649,
     unit_details[Property Name],$F649)
 ),"")</f>
        <v/>
      </c>
      <c r="V649" s="27" t="str">
        <f t="shared" si="120"/>
        <v/>
      </c>
      <c r="W649" s="526">
        <f>IFERROR(
  IF($F649="Total",
    SUM(INDEX(W:W, ROW()-COUNTIF($F$6:INDEX($F:$F, ROW()-1), $F648)) : INDEX(W:W, ROW()-1)),
    COUNTIFS(
      unit_details[Leased Date], "&gt;="&amp;($AM$2-T$5),
      unit_details[Leased Date], "&lt;"&amp;$AM$2,
      unit_details[Beds], $L649,
      unit_details[Baths], $M649,
      unit_details[Partial Baths], IF(ISNUMBER($N649), $N649, ""),
      unit_details[Sqft],$P649,
      unit_details[Property Name], $F649
    )
  ),
"")</f>
        <v>0</v>
      </c>
      <c r="X649" s="531" t="str">
        <f>IFERROR(
 IF($F649="Total",
   SUMPRODUCT(
   INDEX(X:X, ROW()-COUNTIF($F$6:INDEX($F:$F, ROW()-1), $F648)) : INDEX(X:X, ROW()-1),
   INDEX(AA:AA, ROW()-COUNTIF($F$6:INDEX($F:$F, ROW()-1), $F648)) : INDEX(AA:AA, ROW()-1)
   )
   /SUM(INDEX(AA:AA, ROW()-COUNTIF($F$6:INDEX($F:$F, ROW()-1), $F648)) : INDEX(AA:AA, ROW()-1)),
   AVERAGEIFS(
     INDEX((unit_details[Asking Rent],unit_details[Asking PSF]),0,1,IF($U$3="Chunk Rent",1,2)),
     unit_details[Leased Date],"&gt;="&amp;($AM$2-X$5),
     unit_details[Leased Date],"&lt;"&amp;$AM$2,
     unit_details[Beds],$L649,
     unit_details[Baths],$M649,
     unit_details[Partial Baths],IF(ISNUMBER($N649),$N649,""),
     unit_details[Sqft],$P649,
     unit_details[Property Name],$F649)
 ),"")</f>
        <v/>
      </c>
      <c r="Y649" s="552" t="str">
        <f>IFERROR(
 IF($F649="Total",
   SUMPRODUCT(
   INDEX(Y:Y, ROW()-COUNTIF($F$6:INDEX($F:$F, ROW()-1), $F648)) : INDEX(Y:Y, ROW()-1),
   INDEX(AA:AA, ROW()-COUNTIF($F$6:INDEX($F:$F, ROW()-1), $F648)) : INDEX(AA:AA, ROW()-1)
   )
   /SUM(INDEX(AA:AA, ROW()-COUNTIF($F$6:INDEX($F:$F, ROW()-1), $F648)) : INDEX(AA:AA, ROW()-1)),
   AVERAGEIFS(
     INDEX((unit_details[Effective Rent],unit_details[Effective PSF]),0,1,IF($U$3="Chunk Rent",1,2)),
     unit_details[Leased Date],"&gt;="&amp;($AM$2-X$5),
     unit_details[Leased Date],"&lt;"&amp;$AM$2,
     unit_details[Beds],$L649,
     unit_details[Baths],$M649,
     unit_details[Partial Baths],IF(ISNUMBER($N649),$N649,""),
     unit_details[Sqft],$P649,
     unit_details[Property Name],$F649)
 ),"")</f>
        <v/>
      </c>
      <c r="Z649" s="27" t="str">
        <f t="shared" si="121"/>
        <v/>
      </c>
      <c r="AA649" s="526">
        <f>IFERROR(
  IF($F649="Total",
    SUM(INDEX(AA:AA, ROW()-COUNTIF($F$6:INDEX($F:$F, ROW()-1), $F648)) : INDEX(AA:AA, ROW()-1)),
    COUNTIFS(
      unit_details[Leased Date], "&gt;="&amp;($AM$2-X$5),
      unit_details[Leased Date], "&lt;"&amp;$AM$2,
      unit_details[Beds], $L649,
      unit_details[Baths], $M649,
      unit_details[Partial Baths], IF(ISNUMBER($N649), $N649, ""),
      unit_details[Sqft],$P649,
      unit_details[Property Name], $F649
    )
  ),
"")</f>
        <v>0</v>
      </c>
      <c r="AB649" s="290">
        <f>IF($F649="Total",
SUM(INDEX(AB:AB, ROW()-COUNTIF($F$6:INDEX($F:$F, ROW()-1), $F648)) : INDEX(AB:AB, ROW()-1)),
COUNTIFS(unit_details[Active Listing?],TRUE,
          unit_details[Property Name], $F649,
          unit_details[Beds], $L649,
          unit_details[Baths], $M649,
          unit_details[Partial Baths],IF(ISNUMBER($N649),$N649,""),
          unit_details[Sqft],$P649))</f>
        <v>0</v>
      </c>
      <c r="AC649" s="27" t="str">
        <f t="shared" si="113"/>
        <v/>
      </c>
      <c r="AD649" s="293" t="str">
        <f>IFERROR(IF(AE649="","",IF($F649="Total",
SUMPRODUCT(
   INDEX(AD:AD, ROW()-COUNTIF($F$6:INDEX($F:$F, ROW()-1), $F648)) : INDEX(AD:AD, ROW()-1),
   INDEX(AB:AB, ROW()-COUNTIF($F$6:INDEX($F:$F, ROW()-1), $F648)) : INDEX(AB:AB, ROW()-1)
   )
   /SUM(INDEX(AB:AB, ROW()-COUNTIF($F$6:INDEX($F:$F, ROW()-1), $F648)) : INDEX(AB:AB, ROW()-1)),
          _xlfn.MINIFS(unit_details[Asking Rent],
          unit_details[Active Listing?],TRUE,
          unit_details[Property Name], $F649,
          unit_details[Beds], $L649,
          unit_details[Baths], $M649,
          unit_details[Partial Baths], IF(ISNUMBER($N649),$N649,""),
          unit_details[Sqft],$P649
))),"")</f>
        <v/>
      </c>
      <c r="AE649" s="5" t="str">
        <f>IFERROR(IF($F649="Total",
          SUMPRODUCT(
   INDEX(AE:AE, ROW()-COUNTIF($F$6:INDEX($F:$F, ROW()-1), $F648)) : INDEX(AE:AE, ROW()-1),
   INDEX(AB:AB, ROW()-COUNTIF($F$6:INDEX($F:$F, ROW()-1), $F648)) : INDEX(AB:AB, ROW()-1)
   )
   /SUM(INDEX(AB:AB, ROW()-COUNTIF($F$6:INDEX($F:$F, ROW()-1), $F648)) : INDEX(AB:AB, ROW()-1)),
          AVERAGEIFS(unit_details[Asking Rent],
          unit_details[Active Listing?],TRUE,
          unit_details[Property Name], $F649,
          unit_details[Beds], $L649,
          unit_details[Baths], $M649,
          unit_details[Partial Baths], IF(ISNUMBER($N649),$N649,""),
          unit_details[Sqft],$P649
)),"")</f>
        <v/>
      </c>
      <c r="AF649" s="5" t="str">
        <f>IFERROR(IF(AE649="","",IF($F649="Total",
SUMPRODUCT(
   INDEX(AF:AF, ROW()-COUNTIF($F$6:INDEX($F:$F, ROW()-1), $F648)) : INDEX(AF:AF, ROW()-1),
   INDEX(AB:AB, ROW()-COUNTIF($F$6:INDEX($F:$F, ROW()-1), $F648)) : INDEX(AB:AB, ROW()-1)
   )
   /SUM(INDEX(AB:AB, ROW()-COUNTIF($F$6:INDEX($F:$F, ROW()-1), $F648)) : INDEX(AB:AB, ROW()-1)),
           _xlfn.MAXIFS(unit_details[Asking Rent],
          unit_details[Active Listing?],TRUE,
          unit_details[Property Name], $F649,
          unit_details[Beds], $L649,
          unit_details[Baths], $M649,
          unit_details[Partial Baths], IF(ISNUMBER($N649),$N649,""),
          unit_details[Sqft],$P649
))),"")</f>
        <v/>
      </c>
      <c r="AG649" s="6" t="str">
        <f>IFERROR(IF($F649="Total",
         SUMPRODUCT(
         INDEX(AG:AG, ROW()-COUNTIF($F$6:INDEX($F:$F, ROW()-1), $F648)) : INDEX(AG:AG, ROW()-1),
         INDEX(AB:AB, ROW()-COUNTIF($F$6:INDEX($F:$F, ROW()-1), $F648)) : INDEX(AB:AB, ROW()-1)
         )
         /SUM(INDEX(AB:AB, ROW()-COUNTIF($F$6:INDEX($F:$F, ROW()-1), $F648)) : INDEX(AB:AB, ROW()-1)),
          AVERAGEIFS(unit_details[Asking PSF],
          unit_details[Active Listing?],TRUE,
          unit_details[Property Name], $F649,
          unit_details[Beds], $L649,
          unit_details[Baths], $M649,
          unit_details[Partial Baths], IF(ISNUMBER($N649),$N649,""),
          unit_details[Sqft],$P649
)),"")</f>
        <v/>
      </c>
      <c r="AH649" s="293" t="str">
        <f>IFERROR(IF($F649="Total",
         SUMPRODUCT(
         INDEX(AH:AH, ROW()-COUNTIF($F$6:INDEX($F:$F, ROW()-1), $F648)) : INDEX(AH:AH, ROW()-1),
         INDEX(AB:AB, ROW()-COUNTIF($F$6:INDEX($F:$F, ROW()-1), $F648)) : INDEX(AB:AB, ROW()-1)
         )
         /SUM(INDEX(AB:AB, ROW()-COUNTIF($F$6:INDEX($F:$F, ROW()-1), $F648)) : INDEX(AB:AB, ROW()-1)),
          AVERAGEIFS(unit_details[Effective Rent],
          unit_details[Active Listing?],TRUE,
          unit_details[Property Name], $F649,
          unit_details[Beds], $L649,
          unit_details[Baths], $M649,
          unit_details[Partial Baths], IF(ISNUMBER($N649),$N649,""),
          unit_details[Sqft],$P649
)),"")</f>
        <v/>
      </c>
      <c r="AI649" s="6" t="str">
        <f>IFERROR(IF($F649="Total",
         SUMPRODUCT(
         INDEX(AI:AI, ROW()-COUNTIF($F$6:INDEX($F:$F, ROW()-1), $F648)) : INDEX(AI:AI, ROW()-1),
         INDEX(AB:AB, ROW()-COUNTIF($F$6:INDEX($F:$F, ROW()-1), $F648)) : INDEX(AB:AB, ROW()-1)
         )
         /SUM(INDEX(AB:AB, ROW()-COUNTIF($F$6:INDEX($F:$F, ROW()-1), $F648)) : INDEX(AB:AB, ROW()-1)),
           AVERAGEIFS(unit_details[Effective PSF],
          unit_details[Active Listing?],TRUE,
          unit_details[Property Name], $F649,
          unit_details[Beds], $L649,
          unit_details[Baths], $M649,
          unit_details[Partial Baths], IF(ISNUMBER($N649),$N649,""),
          unit_details[Sqft],$P649
)),"")</f>
        <v/>
      </c>
      <c r="AJ649" s="824" t="str">
        <f t="shared" si="114"/>
        <v/>
      </c>
      <c r="AK649" s="531" t="str">
        <f t="shared" si="115"/>
        <v/>
      </c>
      <c r="AL649" s="714" t="str">
        <f t="shared" si="116"/>
        <v/>
      </c>
      <c r="AM649" s="531" t="str">
        <f t="shared" si="117"/>
        <v/>
      </c>
      <c r="AN649" s="716" t="str">
        <f t="shared" si="118"/>
        <v/>
      </c>
    </row>
    <row r="650" spans="6:40" x14ac:dyDescent="0.2">
      <c r="F650" s="1" t="str">
        <f t="shared" si="111"/>
        <v/>
      </c>
      <c r="G650" s="713" t="str">
        <f t="shared" si="119"/>
        <v/>
      </c>
      <c r="H650" s="17" t="str">
        <f>IFERROR(VLOOKUP($G650,Table1[[Property]:[Exposure %]],4,0),"")</f>
        <v/>
      </c>
      <c r="I650" s="3" t="str">
        <f>IFERROR(VLOOKUP($G650,Table1[[Property]:[Exposure %]],6,0),"")</f>
        <v/>
      </c>
      <c r="J650" s="3" t="str">
        <f>IFERROR(VLOOKUP($G650,Table1[[Property]:[Exposure %]],7,0),"")</f>
        <v/>
      </c>
      <c r="R650" s="4" t="str">
        <f>IFERROR(VLOOKUP(IF(F650="Total",F649,F650),Table1[[Property]:['# Units]],7,0)*S650,"")</f>
        <v/>
      </c>
      <c r="S650" s="27" t="str">
        <f t="shared" si="112"/>
        <v/>
      </c>
      <c r="T650" s="531" t="str">
        <f>IFERROR(
 IF($F650="Total",
   SUMPRODUCT(
   INDEX(T:T, ROW()-COUNTIF($F$6:INDEX($F:$F, ROW()-1), $F649)) : INDEX(T:T, ROW()-1),
   INDEX(W:W, ROW()-COUNTIF($F$6:INDEX($F:$F, ROW()-1), $F649)) : INDEX(W:W, ROW()-1)
   )
   /SUM(INDEX(W:W, ROW()-COUNTIF($F$6:INDEX($F:$F, ROW()-1), $F649)) : INDEX(W:W, ROW()-1)),
   AVERAGEIFS(
     INDEX((unit_details[Asking Rent],unit_details[Asking PSF]),0,1,IF($U$3="Chunk Rent",1,2)),
     unit_details[Leased Date],"&gt;="&amp;($AM$2-T$5),
     unit_details[Leased Date],"&lt;"&amp;$AM$2,
     unit_details[Beds],$L650,
     unit_details[Baths],$M650,
     unit_details[Partial Baths],IF(ISNUMBER($N650),$N650,""),
     unit_details[Sqft],$P650,
     unit_details[Property Name],$F650)
 ),"")</f>
        <v/>
      </c>
      <c r="U650" s="552" t="str">
        <f>IFERROR(
 IF($F650="Total",
   SUMPRODUCT(
   INDEX(U:U, ROW()-COUNTIF($F$6:INDEX($F:$F, ROW()-1), $F649)) : INDEX(U:U, ROW()-1),
   INDEX(W:W, ROW()-COUNTIF($F$6:INDEX($F:$F, ROW()-1), $F649)) : INDEX(W:W, ROW()-1)
   )
   /SUM(INDEX(W:W, ROW()-COUNTIF($F$6:INDEX($F:$F, ROW()-1), $F649)) : INDEX(W:W, ROW()-1)),
   AVERAGEIFS(
     INDEX((unit_details[Effective Rent],unit_details[Effective PSF]),0,1,IF($U$3="Chunk Rent",1,2)),
     unit_details[Leased Date],"&gt;="&amp;($AM$2-T$5),
     unit_details[Leased Date],"&lt;"&amp;$AM$2,
     unit_details[Beds],$L650,
     unit_details[Baths],$M650,
     unit_details[Partial Baths],IF(ISNUMBER($N650),$N650,""),
     unit_details[Sqft],$P650,
     unit_details[Property Name],$F650)
 ),"")</f>
        <v/>
      </c>
      <c r="V650" s="27" t="str">
        <f t="shared" si="120"/>
        <v/>
      </c>
      <c r="W650" s="526">
        <f>IFERROR(
  IF($F650="Total",
    SUM(INDEX(W:W, ROW()-COUNTIF($F$6:INDEX($F:$F, ROW()-1), $F649)) : INDEX(W:W, ROW()-1)),
    COUNTIFS(
      unit_details[Leased Date], "&gt;="&amp;($AM$2-T$5),
      unit_details[Leased Date], "&lt;"&amp;$AM$2,
      unit_details[Beds], $L650,
      unit_details[Baths], $M650,
      unit_details[Partial Baths], IF(ISNUMBER($N650), $N650, ""),
      unit_details[Sqft],$P650,
      unit_details[Property Name], $F650
    )
  ),
"")</f>
        <v>0</v>
      </c>
      <c r="X650" s="531" t="str">
        <f>IFERROR(
 IF($F650="Total",
   SUMPRODUCT(
   INDEX(X:X, ROW()-COUNTIF($F$6:INDEX($F:$F, ROW()-1), $F649)) : INDEX(X:X, ROW()-1),
   INDEX(AA:AA, ROW()-COUNTIF($F$6:INDEX($F:$F, ROW()-1), $F649)) : INDEX(AA:AA, ROW()-1)
   )
   /SUM(INDEX(AA:AA, ROW()-COUNTIF($F$6:INDEX($F:$F, ROW()-1), $F649)) : INDEX(AA:AA, ROW()-1)),
   AVERAGEIFS(
     INDEX((unit_details[Asking Rent],unit_details[Asking PSF]),0,1,IF($U$3="Chunk Rent",1,2)),
     unit_details[Leased Date],"&gt;="&amp;($AM$2-X$5),
     unit_details[Leased Date],"&lt;"&amp;$AM$2,
     unit_details[Beds],$L650,
     unit_details[Baths],$M650,
     unit_details[Partial Baths],IF(ISNUMBER($N650),$N650,""),
     unit_details[Sqft],$P650,
     unit_details[Property Name],$F650)
 ),"")</f>
        <v/>
      </c>
      <c r="Y650" s="552" t="str">
        <f>IFERROR(
 IF($F650="Total",
   SUMPRODUCT(
   INDEX(Y:Y, ROW()-COUNTIF($F$6:INDEX($F:$F, ROW()-1), $F649)) : INDEX(Y:Y, ROW()-1),
   INDEX(AA:AA, ROW()-COUNTIF($F$6:INDEX($F:$F, ROW()-1), $F649)) : INDEX(AA:AA, ROW()-1)
   )
   /SUM(INDEX(AA:AA, ROW()-COUNTIF($F$6:INDEX($F:$F, ROW()-1), $F649)) : INDEX(AA:AA, ROW()-1)),
   AVERAGEIFS(
     INDEX((unit_details[Effective Rent],unit_details[Effective PSF]),0,1,IF($U$3="Chunk Rent",1,2)),
     unit_details[Leased Date],"&gt;="&amp;($AM$2-X$5),
     unit_details[Leased Date],"&lt;"&amp;$AM$2,
     unit_details[Beds],$L650,
     unit_details[Baths],$M650,
     unit_details[Partial Baths],IF(ISNUMBER($N650),$N650,""),
     unit_details[Sqft],$P650,
     unit_details[Property Name],$F650)
 ),"")</f>
        <v/>
      </c>
      <c r="Z650" s="27" t="str">
        <f t="shared" si="121"/>
        <v/>
      </c>
      <c r="AA650" s="526">
        <f>IFERROR(
  IF($F650="Total",
    SUM(INDEX(AA:AA, ROW()-COUNTIF($F$6:INDEX($F:$F, ROW()-1), $F649)) : INDEX(AA:AA, ROW()-1)),
    COUNTIFS(
      unit_details[Leased Date], "&gt;="&amp;($AM$2-X$5),
      unit_details[Leased Date], "&lt;"&amp;$AM$2,
      unit_details[Beds], $L650,
      unit_details[Baths], $M650,
      unit_details[Partial Baths], IF(ISNUMBER($N650), $N650, ""),
      unit_details[Sqft],$P650,
      unit_details[Property Name], $F650
    )
  ),
"")</f>
        <v>0</v>
      </c>
      <c r="AB650" s="290">
        <f>IF($F650="Total",
SUM(INDEX(AB:AB, ROW()-COUNTIF($F$6:INDEX($F:$F, ROW()-1), $F649)) : INDEX(AB:AB, ROW()-1)),
COUNTIFS(unit_details[Active Listing?],TRUE,
          unit_details[Property Name], $F650,
          unit_details[Beds], $L650,
          unit_details[Baths], $M650,
          unit_details[Partial Baths],IF(ISNUMBER($N650),$N650,""),
          unit_details[Sqft],$P650))</f>
        <v>0</v>
      </c>
      <c r="AC650" s="27" t="str">
        <f t="shared" si="113"/>
        <v/>
      </c>
      <c r="AD650" s="293" t="str">
        <f>IFERROR(IF(AE650="","",IF($F650="Total",
SUMPRODUCT(
   INDEX(AD:AD, ROW()-COUNTIF($F$6:INDEX($F:$F, ROW()-1), $F649)) : INDEX(AD:AD, ROW()-1),
   INDEX(AB:AB, ROW()-COUNTIF($F$6:INDEX($F:$F, ROW()-1), $F649)) : INDEX(AB:AB, ROW()-1)
   )
   /SUM(INDEX(AB:AB, ROW()-COUNTIF($F$6:INDEX($F:$F, ROW()-1), $F649)) : INDEX(AB:AB, ROW()-1)),
          _xlfn.MINIFS(unit_details[Asking Rent],
          unit_details[Active Listing?],TRUE,
          unit_details[Property Name], $F650,
          unit_details[Beds], $L650,
          unit_details[Baths], $M650,
          unit_details[Partial Baths], IF(ISNUMBER($N650),$N650,""),
          unit_details[Sqft],$P650
))),"")</f>
        <v/>
      </c>
      <c r="AE650" s="5" t="str">
        <f>IFERROR(IF($F650="Total",
          SUMPRODUCT(
   INDEX(AE:AE, ROW()-COUNTIF($F$6:INDEX($F:$F, ROW()-1), $F649)) : INDEX(AE:AE, ROW()-1),
   INDEX(AB:AB, ROW()-COUNTIF($F$6:INDEX($F:$F, ROW()-1), $F649)) : INDEX(AB:AB, ROW()-1)
   )
   /SUM(INDEX(AB:AB, ROW()-COUNTIF($F$6:INDEX($F:$F, ROW()-1), $F649)) : INDEX(AB:AB, ROW()-1)),
          AVERAGEIFS(unit_details[Asking Rent],
          unit_details[Active Listing?],TRUE,
          unit_details[Property Name], $F650,
          unit_details[Beds], $L650,
          unit_details[Baths], $M650,
          unit_details[Partial Baths], IF(ISNUMBER($N650),$N650,""),
          unit_details[Sqft],$P650
)),"")</f>
        <v/>
      </c>
      <c r="AF650" s="5" t="str">
        <f>IFERROR(IF(AE650="","",IF($F650="Total",
SUMPRODUCT(
   INDEX(AF:AF, ROW()-COUNTIF($F$6:INDEX($F:$F, ROW()-1), $F649)) : INDEX(AF:AF, ROW()-1),
   INDEX(AB:AB, ROW()-COUNTIF($F$6:INDEX($F:$F, ROW()-1), $F649)) : INDEX(AB:AB, ROW()-1)
   )
   /SUM(INDEX(AB:AB, ROW()-COUNTIF($F$6:INDEX($F:$F, ROW()-1), $F649)) : INDEX(AB:AB, ROW()-1)),
           _xlfn.MAXIFS(unit_details[Asking Rent],
          unit_details[Active Listing?],TRUE,
          unit_details[Property Name], $F650,
          unit_details[Beds], $L650,
          unit_details[Baths], $M650,
          unit_details[Partial Baths], IF(ISNUMBER($N650),$N650,""),
          unit_details[Sqft],$P650
))),"")</f>
        <v/>
      </c>
      <c r="AG650" s="6" t="str">
        <f>IFERROR(IF($F650="Total",
         SUMPRODUCT(
         INDEX(AG:AG, ROW()-COUNTIF($F$6:INDEX($F:$F, ROW()-1), $F649)) : INDEX(AG:AG, ROW()-1),
         INDEX(AB:AB, ROW()-COUNTIF($F$6:INDEX($F:$F, ROW()-1), $F649)) : INDEX(AB:AB, ROW()-1)
         )
         /SUM(INDEX(AB:AB, ROW()-COUNTIF($F$6:INDEX($F:$F, ROW()-1), $F649)) : INDEX(AB:AB, ROW()-1)),
          AVERAGEIFS(unit_details[Asking PSF],
          unit_details[Active Listing?],TRUE,
          unit_details[Property Name], $F650,
          unit_details[Beds], $L650,
          unit_details[Baths], $M650,
          unit_details[Partial Baths], IF(ISNUMBER($N650),$N650,""),
          unit_details[Sqft],$P650
)),"")</f>
        <v/>
      </c>
      <c r="AH650" s="293" t="str">
        <f>IFERROR(IF($F650="Total",
         SUMPRODUCT(
         INDEX(AH:AH, ROW()-COUNTIF($F$6:INDEX($F:$F, ROW()-1), $F649)) : INDEX(AH:AH, ROW()-1),
         INDEX(AB:AB, ROW()-COUNTIF($F$6:INDEX($F:$F, ROW()-1), $F649)) : INDEX(AB:AB, ROW()-1)
         )
         /SUM(INDEX(AB:AB, ROW()-COUNTIF($F$6:INDEX($F:$F, ROW()-1), $F649)) : INDEX(AB:AB, ROW()-1)),
          AVERAGEIFS(unit_details[Effective Rent],
          unit_details[Active Listing?],TRUE,
          unit_details[Property Name], $F650,
          unit_details[Beds], $L650,
          unit_details[Baths], $M650,
          unit_details[Partial Baths], IF(ISNUMBER($N650),$N650,""),
          unit_details[Sqft],$P650
)),"")</f>
        <v/>
      </c>
      <c r="AI650" s="6" t="str">
        <f>IFERROR(IF($F650="Total",
         SUMPRODUCT(
         INDEX(AI:AI, ROW()-COUNTIF($F$6:INDEX($F:$F, ROW()-1), $F649)) : INDEX(AI:AI, ROW()-1),
         INDEX(AB:AB, ROW()-COUNTIF($F$6:INDEX($F:$F, ROW()-1), $F649)) : INDEX(AB:AB, ROW()-1)
         )
         /SUM(INDEX(AB:AB, ROW()-COUNTIF($F$6:INDEX($F:$F, ROW()-1), $F649)) : INDEX(AB:AB, ROW()-1)),
           AVERAGEIFS(unit_details[Effective PSF],
          unit_details[Active Listing?],TRUE,
          unit_details[Property Name], $F650,
          unit_details[Beds], $L650,
          unit_details[Baths], $M650,
          unit_details[Partial Baths], IF(ISNUMBER($N650),$N650,""),
          unit_details[Sqft],$P650
)),"")</f>
        <v/>
      </c>
      <c r="AJ650" s="824" t="str">
        <f t="shared" si="114"/>
        <v/>
      </c>
      <c r="AK650" s="531" t="str">
        <f t="shared" si="115"/>
        <v/>
      </c>
      <c r="AL650" s="714" t="str">
        <f t="shared" si="116"/>
        <v/>
      </c>
      <c r="AM650" s="531" t="str">
        <f t="shared" si="117"/>
        <v/>
      </c>
      <c r="AN650" s="716" t="str">
        <f t="shared" si="118"/>
        <v/>
      </c>
    </row>
    <row r="651" spans="6:40" x14ac:dyDescent="0.2">
      <c r="F651" s="1" t="str">
        <f t="shared" si="111"/>
        <v/>
      </c>
      <c r="G651" s="713" t="str">
        <f t="shared" si="119"/>
        <v/>
      </c>
      <c r="H651" s="17" t="str">
        <f>IFERROR(VLOOKUP($G651,Table1[[Property]:[Exposure %]],4,0),"")</f>
        <v/>
      </c>
      <c r="I651" s="3" t="str">
        <f>IFERROR(VLOOKUP($G651,Table1[[Property]:[Exposure %]],6,0),"")</f>
        <v/>
      </c>
      <c r="J651" s="3" t="str">
        <f>IFERROR(VLOOKUP($G651,Table1[[Property]:[Exposure %]],7,0),"")</f>
        <v/>
      </c>
      <c r="R651" s="4" t="str">
        <f>IFERROR(VLOOKUP(IF(F651="Total",F650,F651),Table1[[Property]:['# Units]],7,0)*S651,"")</f>
        <v/>
      </c>
      <c r="S651" s="27" t="str">
        <f t="shared" si="112"/>
        <v/>
      </c>
      <c r="T651" s="531" t="str">
        <f>IFERROR(
 IF($F651="Total",
   SUMPRODUCT(
   INDEX(T:T, ROW()-COUNTIF($F$6:INDEX($F:$F, ROW()-1), $F650)) : INDEX(T:T, ROW()-1),
   INDEX(W:W, ROW()-COUNTIF($F$6:INDEX($F:$F, ROW()-1), $F650)) : INDEX(W:W, ROW()-1)
   )
   /SUM(INDEX(W:W, ROW()-COUNTIF($F$6:INDEX($F:$F, ROW()-1), $F650)) : INDEX(W:W, ROW()-1)),
   AVERAGEIFS(
     INDEX((unit_details[Asking Rent],unit_details[Asking PSF]),0,1,IF($U$3="Chunk Rent",1,2)),
     unit_details[Leased Date],"&gt;="&amp;($AM$2-T$5),
     unit_details[Leased Date],"&lt;"&amp;$AM$2,
     unit_details[Beds],$L651,
     unit_details[Baths],$M651,
     unit_details[Partial Baths],IF(ISNUMBER($N651),$N651,""),
     unit_details[Sqft],$P651,
     unit_details[Property Name],$F651)
 ),"")</f>
        <v/>
      </c>
      <c r="U651" s="552" t="str">
        <f>IFERROR(
 IF($F651="Total",
   SUMPRODUCT(
   INDEX(U:U, ROW()-COUNTIF($F$6:INDEX($F:$F, ROW()-1), $F650)) : INDEX(U:U, ROW()-1),
   INDEX(W:W, ROW()-COUNTIF($F$6:INDEX($F:$F, ROW()-1), $F650)) : INDEX(W:W, ROW()-1)
   )
   /SUM(INDEX(W:W, ROW()-COUNTIF($F$6:INDEX($F:$F, ROW()-1), $F650)) : INDEX(W:W, ROW()-1)),
   AVERAGEIFS(
     INDEX((unit_details[Effective Rent],unit_details[Effective PSF]),0,1,IF($U$3="Chunk Rent",1,2)),
     unit_details[Leased Date],"&gt;="&amp;($AM$2-T$5),
     unit_details[Leased Date],"&lt;"&amp;$AM$2,
     unit_details[Beds],$L651,
     unit_details[Baths],$M651,
     unit_details[Partial Baths],IF(ISNUMBER($N651),$N651,""),
     unit_details[Sqft],$P651,
     unit_details[Property Name],$F651)
 ),"")</f>
        <v/>
      </c>
      <c r="V651" s="27" t="str">
        <f t="shared" si="120"/>
        <v/>
      </c>
      <c r="W651" s="526">
        <f>IFERROR(
  IF($F651="Total",
    SUM(INDEX(W:W, ROW()-COUNTIF($F$6:INDEX($F:$F, ROW()-1), $F650)) : INDEX(W:W, ROW()-1)),
    COUNTIFS(
      unit_details[Leased Date], "&gt;="&amp;($AM$2-T$5),
      unit_details[Leased Date], "&lt;"&amp;$AM$2,
      unit_details[Beds], $L651,
      unit_details[Baths], $M651,
      unit_details[Partial Baths], IF(ISNUMBER($N651), $N651, ""),
      unit_details[Sqft],$P651,
      unit_details[Property Name], $F651
    )
  ),
"")</f>
        <v>0</v>
      </c>
      <c r="X651" s="531" t="str">
        <f>IFERROR(
 IF($F651="Total",
   SUMPRODUCT(
   INDEX(X:X, ROW()-COUNTIF($F$6:INDEX($F:$F, ROW()-1), $F650)) : INDEX(X:X, ROW()-1),
   INDEX(AA:AA, ROW()-COUNTIF($F$6:INDEX($F:$F, ROW()-1), $F650)) : INDEX(AA:AA, ROW()-1)
   )
   /SUM(INDEX(AA:AA, ROW()-COUNTIF($F$6:INDEX($F:$F, ROW()-1), $F650)) : INDEX(AA:AA, ROW()-1)),
   AVERAGEIFS(
     INDEX((unit_details[Asking Rent],unit_details[Asking PSF]),0,1,IF($U$3="Chunk Rent",1,2)),
     unit_details[Leased Date],"&gt;="&amp;($AM$2-X$5),
     unit_details[Leased Date],"&lt;"&amp;$AM$2,
     unit_details[Beds],$L651,
     unit_details[Baths],$M651,
     unit_details[Partial Baths],IF(ISNUMBER($N651),$N651,""),
     unit_details[Sqft],$P651,
     unit_details[Property Name],$F651)
 ),"")</f>
        <v/>
      </c>
      <c r="Y651" s="552" t="str">
        <f>IFERROR(
 IF($F651="Total",
   SUMPRODUCT(
   INDEX(Y:Y, ROW()-COUNTIF($F$6:INDEX($F:$F, ROW()-1), $F650)) : INDEX(Y:Y, ROW()-1),
   INDEX(AA:AA, ROW()-COUNTIF($F$6:INDEX($F:$F, ROW()-1), $F650)) : INDEX(AA:AA, ROW()-1)
   )
   /SUM(INDEX(AA:AA, ROW()-COUNTIF($F$6:INDEX($F:$F, ROW()-1), $F650)) : INDEX(AA:AA, ROW()-1)),
   AVERAGEIFS(
     INDEX((unit_details[Effective Rent],unit_details[Effective PSF]),0,1,IF($U$3="Chunk Rent",1,2)),
     unit_details[Leased Date],"&gt;="&amp;($AM$2-X$5),
     unit_details[Leased Date],"&lt;"&amp;$AM$2,
     unit_details[Beds],$L651,
     unit_details[Baths],$M651,
     unit_details[Partial Baths],IF(ISNUMBER($N651),$N651,""),
     unit_details[Sqft],$P651,
     unit_details[Property Name],$F651)
 ),"")</f>
        <v/>
      </c>
      <c r="Z651" s="27" t="str">
        <f t="shared" si="121"/>
        <v/>
      </c>
      <c r="AA651" s="526">
        <f>IFERROR(
  IF($F651="Total",
    SUM(INDEX(AA:AA, ROW()-COUNTIF($F$6:INDEX($F:$F, ROW()-1), $F650)) : INDEX(AA:AA, ROW()-1)),
    COUNTIFS(
      unit_details[Leased Date], "&gt;="&amp;($AM$2-X$5),
      unit_details[Leased Date], "&lt;"&amp;$AM$2,
      unit_details[Beds], $L651,
      unit_details[Baths], $M651,
      unit_details[Partial Baths], IF(ISNUMBER($N651), $N651, ""),
      unit_details[Sqft],$P651,
      unit_details[Property Name], $F651
    )
  ),
"")</f>
        <v>0</v>
      </c>
      <c r="AB651" s="290">
        <f>IF($F651="Total",
SUM(INDEX(AB:AB, ROW()-COUNTIF($F$6:INDEX($F:$F, ROW()-1), $F650)) : INDEX(AB:AB, ROW()-1)),
COUNTIFS(unit_details[Active Listing?],TRUE,
          unit_details[Property Name], $F651,
          unit_details[Beds], $L651,
          unit_details[Baths], $M651,
          unit_details[Partial Baths],IF(ISNUMBER($N651),$N651,""),
          unit_details[Sqft],$P651))</f>
        <v>0</v>
      </c>
      <c r="AC651" s="27" t="str">
        <f t="shared" si="113"/>
        <v/>
      </c>
      <c r="AD651" s="293" t="str">
        <f>IFERROR(IF(AE651="","",IF($F651="Total",
SUMPRODUCT(
   INDEX(AD:AD, ROW()-COUNTIF($F$6:INDEX($F:$F, ROW()-1), $F650)) : INDEX(AD:AD, ROW()-1),
   INDEX(AB:AB, ROW()-COUNTIF($F$6:INDEX($F:$F, ROW()-1), $F650)) : INDEX(AB:AB, ROW()-1)
   )
   /SUM(INDEX(AB:AB, ROW()-COUNTIF($F$6:INDEX($F:$F, ROW()-1), $F650)) : INDEX(AB:AB, ROW()-1)),
          _xlfn.MINIFS(unit_details[Asking Rent],
          unit_details[Active Listing?],TRUE,
          unit_details[Property Name], $F651,
          unit_details[Beds], $L651,
          unit_details[Baths], $M651,
          unit_details[Partial Baths], IF(ISNUMBER($N651),$N651,""),
          unit_details[Sqft],$P651
))),"")</f>
        <v/>
      </c>
      <c r="AE651" s="5" t="str">
        <f>IFERROR(IF($F651="Total",
          SUMPRODUCT(
   INDEX(AE:AE, ROW()-COUNTIF($F$6:INDEX($F:$F, ROW()-1), $F650)) : INDEX(AE:AE, ROW()-1),
   INDEX(AB:AB, ROW()-COUNTIF($F$6:INDEX($F:$F, ROW()-1), $F650)) : INDEX(AB:AB, ROW()-1)
   )
   /SUM(INDEX(AB:AB, ROW()-COUNTIF($F$6:INDEX($F:$F, ROW()-1), $F650)) : INDEX(AB:AB, ROW()-1)),
          AVERAGEIFS(unit_details[Asking Rent],
          unit_details[Active Listing?],TRUE,
          unit_details[Property Name], $F651,
          unit_details[Beds], $L651,
          unit_details[Baths], $M651,
          unit_details[Partial Baths], IF(ISNUMBER($N651),$N651,""),
          unit_details[Sqft],$P651
)),"")</f>
        <v/>
      </c>
      <c r="AF651" s="5" t="str">
        <f>IFERROR(IF(AE651="","",IF($F651="Total",
SUMPRODUCT(
   INDEX(AF:AF, ROW()-COUNTIF($F$6:INDEX($F:$F, ROW()-1), $F650)) : INDEX(AF:AF, ROW()-1),
   INDEX(AB:AB, ROW()-COUNTIF($F$6:INDEX($F:$F, ROW()-1), $F650)) : INDEX(AB:AB, ROW()-1)
   )
   /SUM(INDEX(AB:AB, ROW()-COUNTIF($F$6:INDEX($F:$F, ROW()-1), $F650)) : INDEX(AB:AB, ROW()-1)),
           _xlfn.MAXIFS(unit_details[Asking Rent],
          unit_details[Active Listing?],TRUE,
          unit_details[Property Name], $F651,
          unit_details[Beds], $L651,
          unit_details[Baths], $M651,
          unit_details[Partial Baths], IF(ISNUMBER($N651),$N651,""),
          unit_details[Sqft],$P651
))),"")</f>
        <v/>
      </c>
      <c r="AG651" s="6" t="str">
        <f>IFERROR(IF($F651="Total",
         SUMPRODUCT(
         INDEX(AG:AG, ROW()-COUNTIF($F$6:INDEX($F:$F, ROW()-1), $F650)) : INDEX(AG:AG, ROW()-1),
         INDEX(AB:AB, ROW()-COUNTIF($F$6:INDEX($F:$F, ROW()-1), $F650)) : INDEX(AB:AB, ROW()-1)
         )
         /SUM(INDEX(AB:AB, ROW()-COUNTIF($F$6:INDEX($F:$F, ROW()-1), $F650)) : INDEX(AB:AB, ROW()-1)),
          AVERAGEIFS(unit_details[Asking PSF],
          unit_details[Active Listing?],TRUE,
          unit_details[Property Name], $F651,
          unit_details[Beds], $L651,
          unit_details[Baths], $M651,
          unit_details[Partial Baths], IF(ISNUMBER($N651),$N651,""),
          unit_details[Sqft],$P651
)),"")</f>
        <v/>
      </c>
      <c r="AH651" s="293" t="str">
        <f>IFERROR(IF($F651="Total",
         SUMPRODUCT(
         INDEX(AH:AH, ROW()-COUNTIF($F$6:INDEX($F:$F, ROW()-1), $F650)) : INDEX(AH:AH, ROW()-1),
         INDEX(AB:AB, ROW()-COUNTIF($F$6:INDEX($F:$F, ROW()-1), $F650)) : INDEX(AB:AB, ROW()-1)
         )
         /SUM(INDEX(AB:AB, ROW()-COUNTIF($F$6:INDEX($F:$F, ROW()-1), $F650)) : INDEX(AB:AB, ROW()-1)),
          AVERAGEIFS(unit_details[Effective Rent],
          unit_details[Active Listing?],TRUE,
          unit_details[Property Name], $F651,
          unit_details[Beds], $L651,
          unit_details[Baths], $M651,
          unit_details[Partial Baths], IF(ISNUMBER($N651),$N651,""),
          unit_details[Sqft],$P651
)),"")</f>
        <v/>
      </c>
      <c r="AI651" s="6" t="str">
        <f>IFERROR(IF($F651="Total",
         SUMPRODUCT(
         INDEX(AI:AI, ROW()-COUNTIF($F$6:INDEX($F:$F, ROW()-1), $F650)) : INDEX(AI:AI, ROW()-1),
         INDEX(AB:AB, ROW()-COUNTIF($F$6:INDEX($F:$F, ROW()-1), $F650)) : INDEX(AB:AB, ROW()-1)
         )
         /SUM(INDEX(AB:AB, ROW()-COUNTIF($F$6:INDEX($F:$F, ROW()-1), $F650)) : INDEX(AB:AB, ROW()-1)),
           AVERAGEIFS(unit_details[Effective PSF],
          unit_details[Active Listing?],TRUE,
          unit_details[Property Name], $F651,
          unit_details[Beds], $L651,
          unit_details[Baths], $M651,
          unit_details[Partial Baths], IF(ISNUMBER($N651),$N651,""),
          unit_details[Sqft],$P651
)),"")</f>
        <v/>
      </c>
      <c r="AJ651" s="824" t="str">
        <f t="shared" si="114"/>
        <v/>
      </c>
      <c r="AK651" s="531" t="str">
        <f t="shared" si="115"/>
        <v/>
      </c>
      <c r="AL651" s="714" t="str">
        <f t="shared" si="116"/>
        <v/>
      </c>
      <c r="AM651" s="531" t="str">
        <f t="shared" si="117"/>
        <v/>
      </c>
      <c r="AN651" s="716" t="str">
        <f t="shared" si="118"/>
        <v/>
      </c>
    </row>
    <row r="652" spans="6:40" x14ac:dyDescent="0.2">
      <c r="F652" s="1" t="str">
        <f t="shared" si="111"/>
        <v/>
      </c>
      <c r="G652" s="713" t="str">
        <f t="shared" si="119"/>
        <v/>
      </c>
      <c r="H652" s="17" t="str">
        <f>IFERROR(VLOOKUP($G652,Table1[[Property]:[Exposure %]],4,0),"")</f>
        <v/>
      </c>
      <c r="I652" s="3" t="str">
        <f>IFERROR(VLOOKUP($G652,Table1[[Property]:[Exposure %]],6,0),"")</f>
        <v/>
      </c>
      <c r="J652" s="3" t="str">
        <f>IFERROR(VLOOKUP($G652,Table1[[Property]:[Exposure %]],7,0),"")</f>
        <v/>
      </c>
      <c r="R652" s="4" t="str">
        <f>IFERROR(VLOOKUP(IF(F652="Total",F651,F652),Table1[[Property]:['# Units]],7,0)*S652,"")</f>
        <v/>
      </c>
      <c r="S652" s="27" t="str">
        <f t="shared" si="112"/>
        <v/>
      </c>
      <c r="T652" s="531" t="str">
        <f>IFERROR(
 IF($F652="Total",
   SUMPRODUCT(
   INDEX(T:T, ROW()-COUNTIF($F$6:INDEX($F:$F, ROW()-1), $F651)) : INDEX(T:T, ROW()-1),
   INDEX(W:W, ROW()-COUNTIF($F$6:INDEX($F:$F, ROW()-1), $F651)) : INDEX(W:W, ROW()-1)
   )
   /SUM(INDEX(W:W, ROW()-COUNTIF($F$6:INDEX($F:$F, ROW()-1), $F651)) : INDEX(W:W, ROW()-1)),
   AVERAGEIFS(
     INDEX((unit_details[Asking Rent],unit_details[Asking PSF]),0,1,IF($U$3="Chunk Rent",1,2)),
     unit_details[Leased Date],"&gt;="&amp;($AM$2-T$5),
     unit_details[Leased Date],"&lt;"&amp;$AM$2,
     unit_details[Beds],$L652,
     unit_details[Baths],$M652,
     unit_details[Partial Baths],IF(ISNUMBER($N652),$N652,""),
     unit_details[Sqft],$P652,
     unit_details[Property Name],$F652)
 ),"")</f>
        <v/>
      </c>
      <c r="U652" s="552" t="str">
        <f>IFERROR(
 IF($F652="Total",
   SUMPRODUCT(
   INDEX(U:U, ROW()-COUNTIF($F$6:INDEX($F:$F, ROW()-1), $F651)) : INDEX(U:U, ROW()-1),
   INDEX(W:W, ROW()-COUNTIF($F$6:INDEX($F:$F, ROW()-1), $F651)) : INDEX(W:W, ROW()-1)
   )
   /SUM(INDEX(W:W, ROW()-COUNTIF($F$6:INDEX($F:$F, ROW()-1), $F651)) : INDEX(W:W, ROW()-1)),
   AVERAGEIFS(
     INDEX((unit_details[Effective Rent],unit_details[Effective PSF]),0,1,IF($U$3="Chunk Rent",1,2)),
     unit_details[Leased Date],"&gt;="&amp;($AM$2-T$5),
     unit_details[Leased Date],"&lt;"&amp;$AM$2,
     unit_details[Beds],$L652,
     unit_details[Baths],$M652,
     unit_details[Partial Baths],IF(ISNUMBER($N652),$N652,""),
     unit_details[Sqft],$P652,
     unit_details[Property Name],$F652)
 ),"")</f>
        <v/>
      </c>
      <c r="V652" s="27" t="str">
        <f t="shared" si="120"/>
        <v/>
      </c>
      <c r="W652" s="526">
        <f>IFERROR(
  IF($F652="Total",
    SUM(INDEX(W:W, ROW()-COUNTIF($F$6:INDEX($F:$F, ROW()-1), $F651)) : INDEX(W:W, ROW()-1)),
    COUNTIFS(
      unit_details[Leased Date], "&gt;="&amp;($AM$2-T$5),
      unit_details[Leased Date], "&lt;"&amp;$AM$2,
      unit_details[Beds], $L652,
      unit_details[Baths], $M652,
      unit_details[Partial Baths], IF(ISNUMBER($N652), $N652, ""),
      unit_details[Sqft],$P652,
      unit_details[Property Name], $F652
    )
  ),
"")</f>
        <v>0</v>
      </c>
      <c r="X652" s="531" t="str">
        <f>IFERROR(
 IF($F652="Total",
   SUMPRODUCT(
   INDEX(X:X, ROW()-COUNTIF($F$6:INDEX($F:$F, ROW()-1), $F651)) : INDEX(X:X, ROW()-1),
   INDEX(AA:AA, ROW()-COUNTIF($F$6:INDEX($F:$F, ROW()-1), $F651)) : INDEX(AA:AA, ROW()-1)
   )
   /SUM(INDEX(AA:AA, ROW()-COUNTIF($F$6:INDEX($F:$F, ROW()-1), $F651)) : INDEX(AA:AA, ROW()-1)),
   AVERAGEIFS(
     INDEX((unit_details[Asking Rent],unit_details[Asking PSF]),0,1,IF($U$3="Chunk Rent",1,2)),
     unit_details[Leased Date],"&gt;="&amp;($AM$2-X$5),
     unit_details[Leased Date],"&lt;"&amp;$AM$2,
     unit_details[Beds],$L652,
     unit_details[Baths],$M652,
     unit_details[Partial Baths],IF(ISNUMBER($N652),$N652,""),
     unit_details[Sqft],$P652,
     unit_details[Property Name],$F652)
 ),"")</f>
        <v/>
      </c>
      <c r="Y652" s="552" t="str">
        <f>IFERROR(
 IF($F652="Total",
   SUMPRODUCT(
   INDEX(Y:Y, ROW()-COUNTIF($F$6:INDEX($F:$F, ROW()-1), $F651)) : INDEX(Y:Y, ROW()-1),
   INDEX(AA:AA, ROW()-COUNTIF($F$6:INDEX($F:$F, ROW()-1), $F651)) : INDEX(AA:AA, ROW()-1)
   )
   /SUM(INDEX(AA:AA, ROW()-COUNTIF($F$6:INDEX($F:$F, ROW()-1), $F651)) : INDEX(AA:AA, ROW()-1)),
   AVERAGEIFS(
     INDEX((unit_details[Effective Rent],unit_details[Effective PSF]),0,1,IF($U$3="Chunk Rent",1,2)),
     unit_details[Leased Date],"&gt;="&amp;($AM$2-X$5),
     unit_details[Leased Date],"&lt;"&amp;$AM$2,
     unit_details[Beds],$L652,
     unit_details[Baths],$M652,
     unit_details[Partial Baths],IF(ISNUMBER($N652),$N652,""),
     unit_details[Sqft],$P652,
     unit_details[Property Name],$F652)
 ),"")</f>
        <v/>
      </c>
      <c r="Z652" s="27" t="str">
        <f t="shared" si="121"/>
        <v/>
      </c>
      <c r="AA652" s="526">
        <f>IFERROR(
  IF($F652="Total",
    SUM(INDEX(AA:AA, ROW()-COUNTIF($F$6:INDEX($F:$F, ROW()-1), $F651)) : INDEX(AA:AA, ROW()-1)),
    COUNTIFS(
      unit_details[Leased Date], "&gt;="&amp;($AM$2-X$5),
      unit_details[Leased Date], "&lt;"&amp;$AM$2,
      unit_details[Beds], $L652,
      unit_details[Baths], $M652,
      unit_details[Partial Baths], IF(ISNUMBER($N652), $N652, ""),
      unit_details[Sqft],$P652,
      unit_details[Property Name], $F652
    )
  ),
"")</f>
        <v>0</v>
      </c>
      <c r="AB652" s="290">
        <f>IF($F652="Total",
SUM(INDEX(AB:AB, ROW()-COUNTIF($F$6:INDEX($F:$F, ROW()-1), $F651)) : INDEX(AB:AB, ROW()-1)),
COUNTIFS(unit_details[Active Listing?],TRUE,
          unit_details[Property Name], $F652,
          unit_details[Beds], $L652,
          unit_details[Baths], $M652,
          unit_details[Partial Baths],IF(ISNUMBER($N652),$N652,""),
          unit_details[Sqft],$P652))</f>
        <v>0</v>
      </c>
      <c r="AC652" s="27" t="str">
        <f t="shared" si="113"/>
        <v/>
      </c>
      <c r="AD652" s="293" t="str">
        <f>IFERROR(IF(AE652="","",IF($F652="Total",
SUMPRODUCT(
   INDEX(AD:AD, ROW()-COUNTIF($F$6:INDEX($F:$F, ROW()-1), $F651)) : INDEX(AD:AD, ROW()-1),
   INDEX(AB:AB, ROW()-COUNTIF($F$6:INDEX($F:$F, ROW()-1), $F651)) : INDEX(AB:AB, ROW()-1)
   )
   /SUM(INDEX(AB:AB, ROW()-COUNTIF($F$6:INDEX($F:$F, ROW()-1), $F651)) : INDEX(AB:AB, ROW()-1)),
          _xlfn.MINIFS(unit_details[Asking Rent],
          unit_details[Active Listing?],TRUE,
          unit_details[Property Name], $F652,
          unit_details[Beds], $L652,
          unit_details[Baths], $M652,
          unit_details[Partial Baths], IF(ISNUMBER($N652),$N652,""),
          unit_details[Sqft],$P652
))),"")</f>
        <v/>
      </c>
      <c r="AE652" s="5" t="str">
        <f>IFERROR(IF($F652="Total",
          SUMPRODUCT(
   INDEX(AE:AE, ROW()-COUNTIF($F$6:INDEX($F:$F, ROW()-1), $F651)) : INDEX(AE:AE, ROW()-1),
   INDEX(AB:AB, ROW()-COUNTIF($F$6:INDEX($F:$F, ROW()-1), $F651)) : INDEX(AB:AB, ROW()-1)
   )
   /SUM(INDEX(AB:AB, ROW()-COUNTIF($F$6:INDEX($F:$F, ROW()-1), $F651)) : INDEX(AB:AB, ROW()-1)),
          AVERAGEIFS(unit_details[Asking Rent],
          unit_details[Active Listing?],TRUE,
          unit_details[Property Name], $F652,
          unit_details[Beds], $L652,
          unit_details[Baths], $M652,
          unit_details[Partial Baths], IF(ISNUMBER($N652),$N652,""),
          unit_details[Sqft],$P652
)),"")</f>
        <v/>
      </c>
      <c r="AF652" s="5" t="str">
        <f>IFERROR(IF(AE652="","",IF($F652="Total",
SUMPRODUCT(
   INDEX(AF:AF, ROW()-COUNTIF($F$6:INDEX($F:$F, ROW()-1), $F651)) : INDEX(AF:AF, ROW()-1),
   INDEX(AB:AB, ROW()-COUNTIF($F$6:INDEX($F:$F, ROW()-1), $F651)) : INDEX(AB:AB, ROW()-1)
   )
   /SUM(INDEX(AB:AB, ROW()-COUNTIF($F$6:INDEX($F:$F, ROW()-1), $F651)) : INDEX(AB:AB, ROW()-1)),
           _xlfn.MAXIFS(unit_details[Asking Rent],
          unit_details[Active Listing?],TRUE,
          unit_details[Property Name], $F652,
          unit_details[Beds], $L652,
          unit_details[Baths], $M652,
          unit_details[Partial Baths], IF(ISNUMBER($N652),$N652,""),
          unit_details[Sqft],$P652
))),"")</f>
        <v/>
      </c>
      <c r="AG652" s="6" t="str">
        <f>IFERROR(IF($F652="Total",
         SUMPRODUCT(
         INDEX(AG:AG, ROW()-COUNTIF($F$6:INDEX($F:$F, ROW()-1), $F651)) : INDEX(AG:AG, ROW()-1),
         INDEX(AB:AB, ROW()-COUNTIF($F$6:INDEX($F:$F, ROW()-1), $F651)) : INDEX(AB:AB, ROW()-1)
         )
         /SUM(INDEX(AB:AB, ROW()-COUNTIF($F$6:INDEX($F:$F, ROW()-1), $F651)) : INDEX(AB:AB, ROW()-1)),
          AVERAGEIFS(unit_details[Asking PSF],
          unit_details[Active Listing?],TRUE,
          unit_details[Property Name], $F652,
          unit_details[Beds], $L652,
          unit_details[Baths], $M652,
          unit_details[Partial Baths], IF(ISNUMBER($N652),$N652,""),
          unit_details[Sqft],$P652
)),"")</f>
        <v/>
      </c>
      <c r="AH652" s="293" t="str">
        <f>IFERROR(IF($F652="Total",
         SUMPRODUCT(
         INDEX(AH:AH, ROW()-COUNTIF($F$6:INDEX($F:$F, ROW()-1), $F651)) : INDEX(AH:AH, ROW()-1),
         INDEX(AB:AB, ROW()-COUNTIF($F$6:INDEX($F:$F, ROW()-1), $F651)) : INDEX(AB:AB, ROW()-1)
         )
         /SUM(INDEX(AB:AB, ROW()-COUNTIF($F$6:INDEX($F:$F, ROW()-1), $F651)) : INDEX(AB:AB, ROW()-1)),
          AVERAGEIFS(unit_details[Effective Rent],
          unit_details[Active Listing?],TRUE,
          unit_details[Property Name], $F652,
          unit_details[Beds], $L652,
          unit_details[Baths], $M652,
          unit_details[Partial Baths], IF(ISNUMBER($N652),$N652,""),
          unit_details[Sqft],$P652
)),"")</f>
        <v/>
      </c>
      <c r="AI652" s="6" t="str">
        <f>IFERROR(IF($F652="Total",
         SUMPRODUCT(
         INDEX(AI:AI, ROW()-COUNTIF($F$6:INDEX($F:$F, ROW()-1), $F651)) : INDEX(AI:AI, ROW()-1),
         INDEX(AB:AB, ROW()-COUNTIF($F$6:INDEX($F:$F, ROW()-1), $F651)) : INDEX(AB:AB, ROW()-1)
         )
         /SUM(INDEX(AB:AB, ROW()-COUNTIF($F$6:INDEX($F:$F, ROW()-1), $F651)) : INDEX(AB:AB, ROW()-1)),
           AVERAGEIFS(unit_details[Effective PSF],
          unit_details[Active Listing?],TRUE,
          unit_details[Property Name], $F652,
          unit_details[Beds], $L652,
          unit_details[Baths], $M652,
          unit_details[Partial Baths], IF(ISNUMBER($N652),$N652,""),
          unit_details[Sqft],$P652
)),"")</f>
        <v/>
      </c>
      <c r="AJ652" s="824" t="str">
        <f t="shared" si="114"/>
        <v/>
      </c>
      <c r="AK652" s="531" t="str">
        <f t="shared" si="115"/>
        <v/>
      </c>
      <c r="AL652" s="714" t="str">
        <f t="shared" si="116"/>
        <v/>
      </c>
      <c r="AM652" s="531" t="str">
        <f t="shared" si="117"/>
        <v/>
      </c>
      <c r="AN652" s="716" t="str">
        <f t="shared" si="118"/>
        <v/>
      </c>
    </row>
    <row r="653" spans="6:40" x14ac:dyDescent="0.2">
      <c r="F653" s="1" t="str">
        <f t="shared" si="111"/>
        <v/>
      </c>
      <c r="G653" s="713" t="str">
        <f t="shared" si="119"/>
        <v/>
      </c>
      <c r="H653" s="17" t="str">
        <f>IFERROR(VLOOKUP($G653,Table1[[Property]:[Exposure %]],4,0),"")</f>
        <v/>
      </c>
      <c r="I653" s="3" t="str">
        <f>IFERROR(VLOOKUP($G653,Table1[[Property]:[Exposure %]],6,0),"")</f>
        <v/>
      </c>
      <c r="J653" s="3" t="str">
        <f>IFERROR(VLOOKUP($G653,Table1[[Property]:[Exposure %]],7,0),"")</f>
        <v/>
      </c>
      <c r="R653" s="4" t="str">
        <f>IFERROR(VLOOKUP(IF(F653="Total",F652,F653),Table1[[Property]:['# Units]],7,0)*S653,"")</f>
        <v/>
      </c>
      <c r="S653" s="27" t="str">
        <f t="shared" si="112"/>
        <v/>
      </c>
      <c r="T653" s="531" t="str">
        <f>IFERROR(
 IF($F653="Total",
   SUMPRODUCT(
   INDEX(T:T, ROW()-COUNTIF($F$6:INDEX($F:$F, ROW()-1), $F652)) : INDEX(T:T, ROW()-1),
   INDEX(W:W, ROW()-COUNTIF($F$6:INDEX($F:$F, ROW()-1), $F652)) : INDEX(W:W, ROW()-1)
   )
   /SUM(INDEX(W:W, ROW()-COUNTIF($F$6:INDEX($F:$F, ROW()-1), $F652)) : INDEX(W:W, ROW()-1)),
   AVERAGEIFS(
     INDEX((unit_details[Asking Rent],unit_details[Asking PSF]),0,1,IF($U$3="Chunk Rent",1,2)),
     unit_details[Leased Date],"&gt;="&amp;($AM$2-T$5),
     unit_details[Leased Date],"&lt;"&amp;$AM$2,
     unit_details[Beds],$L653,
     unit_details[Baths],$M653,
     unit_details[Partial Baths],IF(ISNUMBER($N653),$N653,""),
     unit_details[Sqft],$P653,
     unit_details[Property Name],$F653)
 ),"")</f>
        <v/>
      </c>
      <c r="U653" s="552" t="str">
        <f>IFERROR(
 IF($F653="Total",
   SUMPRODUCT(
   INDEX(U:U, ROW()-COUNTIF($F$6:INDEX($F:$F, ROW()-1), $F652)) : INDEX(U:U, ROW()-1),
   INDEX(W:W, ROW()-COUNTIF($F$6:INDEX($F:$F, ROW()-1), $F652)) : INDEX(W:W, ROW()-1)
   )
   /SUM(INDEX(W:W, ROW()-COUNTIF($F$6:INDEX($F:$F, ROW()-1), $F652)) : INDEX(W:W, ROW()-1)),
   AVERAGEIFS(
     INDEX((unit_details[Effective Rent],unit_details[Effective PSF]),0,1,IF($U$3="Chunk Rent",1,2)),
     unit_details[Leased Date],"&gt;="&amp;($AM$2-T$5),
     unit_details[Leased Date],"&lt;"&amp;$AM$2,
     unit_details[Beds],$L653,
     unit_details[Baths],$M653,
     unit_details[Partial Baths],IF(ISNUMBER($N653),$N653,""),
     unit_details[Sqft],$P653,
     unit_details[Property Name],$F653)
 ),"")</f>
        <v/>
      </c>
      <c r="V653" s="27" t="str">
        <f t="shared" si="120"/>
        <v/>
      </c>
      <c r="W653" s="526">
        <f>IFERROR(
  IF($F653="Total",
    SUM(INDEX(W:W, ROW()-COUNTIF($F$6:INDEX($F:$F, ROW()-1), $F652)) : INDEX(W:W, ROW()-1)),
    COUNTIFS(
      unit_details[Leased Date], "&gt;="&amp;($AM$2-T$5),
      unit_details[Leased Date], "&lt;"&amp;$AM$2,
      unit_details[Beds], $L653,
      unit_details[Baths], $M653,
      unit_details[Partial Baths], IF(ISNUMBER($N653), $N653, ""),
      unit_details[Sqft],$P653,
      unit_details[Property Name], $F653
    )
  ),
"")</f>
        <v>0</v>
      </c>
      <c r="X653" s="531" t="str">
        <f>IFERROR(
 IF($F653="Total",
   SUMPRODUCT(
   INDEX(X:X, ROW()-COUNTIF($F$6:INDEX($F:$F, ROW()-1), $F652)) : INDEX(X:X, ROW()-1),
   INDEX(AA:AA, ROW()-COUNTIF($F$6:INDEX($F:$F, ROW()-1), $F652)) : INDEX(AA:AA, ROW()-1)
   )
   /SUM(INDEX(AA:AA, ROW()-COUNTIF($F$6:INDEX($F:$F, ROW()-1), $F652)) : INDEX(AA:AA, ROW()-1)),
   AVERAGEIFS(
     INDEX((unit_details[Asking Rent],unit_details[Asking PSF]),0,1,IF($U$3="Chunk Rent",1,2)),
     unit_details[Leased Date],"&gt;="&amp;($AM$2-X$5),
     unit_details[Leased Date],"&lt;"&amp;$AM$2,
     unit_details[Beds],$L653,
     unit_details[Baths],$M653,
     unit_details[Partial Baths],IF(ISNUMBER($N653),$N653,""),
     unit_details[Sqft],$P653,
     unit_details[Property Name],$F653)
 ),"")</f>
        <v/>
      </c>
      <c r="Y653" s="552" t="str">
        <f>IFERROR(
 IF($F653="Total",
   SUMPRODUCT(
   INDEX(Y:Y, ROW()-COUNTIF($F$6:INDEX($F:$F, ROW()-1), $F652)) : INDEX(Y:Y, ROW()-1),
   INDEX(AA:AA, ROW()-COUNTIF($F$6:INDEX($F:$F, ROW()-1), $F652)) : INDEX(AA:AA, ROW()-1)
   )
   /SUM(INDEX(AA:AA, ROW()-COUNTIF($F$6:INDEX($F:$F, ROW()-1), $F652)) : INDEX(AA:AA, ROW()-1)),
   AVERAGEIFS(
     INDEX((unit_details[Effective Rent],unit_details[Effective PSF]),0,1,IF($U$3="Chunk Rent",1,2)),
     unit_details[Leased Date],"&gt;="&amp;($AM$2-X$5),
     unit_details[Leased Date],"&lt;"&amp;$AM$2,
     unit_details[Beds],$L653,
     unit_details[Baths],$M653,
     unit_details[Partial Baths],IF(ISNUMBER($N653),$N653,""),
     unit_details[Sqft],$P653,
     unit_details[Property Name],$F653)
 ),"")</f>
        <v/>
      </c>
      <c r="Z653" s="27" t="str">
        <f t="shared" si="121"/>
        <v/>
      </c>
      <c r="AA653" s="526">
        <f>IFERROR(
  IF($F653="Total",
    SUM(INDEX(AA:AA, ROW()-COUNTIF($F$6:INDEX($F:$F, ROW()-1), $F652)) : INDEX(AA:AA, ROW()-1)),
    COUNTIFS(
      unit_details[Leased Date], "&gt;="&amp;($AM$2-X$5),
      unit_details[Leased Date], "&lt;"&amp;$AM$2,
      unit_details[Beds], $L653,
      unit_details[Baths], $M653,
      unit_details[Partial Baths], IF(ISNUMBER($N653), $N653, ""),
      unit_details[Sqft],$P653,
      unit_details[Property Name], $F653
    )
  ),
"")</f>
        <v>0</v>
      </c>
      <c r="AB653" s="290">
        <f>IF($F653="Total",
SUM(INDEX(AB:AB, ROW()-COUNTIF($F$6:INDEX($F:$F, ROW()-1), $F652)) : INDEX(AB:AB, ROW()-1)),
COUNTIFS(unit_details[Active Listing?],TRUE,
          unit_details[Property Name], $F653,
          unit_details[Beds], $L653,
          unit_details[Baths], $M653,
          unit_details[Partial Baths],IF(ISNUMBER($N653),$N653,""),
          unit_details[Sqft],$P653))</f>
        <v>0</v>
      </c>
      <c r="AC653" s="27" t="str">
        <f t="shared" si="113"/>
        <v/>
      </c>
      <c r="AD653" s="293" t="str">
        <f>IFERROR(IF(AE653="","",IF($F653="Total",
SUMPRODUCT(
   INDEX(AD:AD, ROW()-COUNTIF($F$6:INDEX($F:$F, ROW()-1), $F652)) : INDEX(AD:AD, ROW()-1),
   INDEX(AB:AB, ROW()-COUNTIF($F$6:INDEX($F:$F, ROW()-1), $F652)) : INDEX(AB:AB, ROW()-1)
   )
   /SUM(INDEX(AB:AB, ROW()-COUNTIF($F$6:INDEX($F:$F, ROW()-1), $F652)) : INDEX(AB:AB, ROW()-1)),
          _xlfn.MINIFS(unit_details[Asking Rent],
          unit_details[Active Listing?],TRUE,
          unit_details[Property Name], $F653,
          unit_details[Beds], $L653,
          unit_details[Baths], $M653,
          unit_details[Partial Baths], IF(ISNUMBER($N653),$N653,""),
          unit_details[Sqft],$P653
))),"")</f>
        <v/>
      </c>
      <c r="AE653" s="5" t="str">
        <f>IFERROR(IF($F653="Total",
          SUMPRODUCT(
   INDEX(AE:AE, ROW()-COUNTIF($F$6:INDEX($F:$F, ROW()-1), $F652)) : INDEX(AE:AE, ROW()-1),
   INDEX(AB:AB, ROW()-COUNTIF($F$6:INDEX($F:$F, ROW()-1), $F652)) : INDEX(AB:AB, ROW()-1)
   )
   /SUM(INDEX(AB:AB, ROW()-COUNTIF($F$6:INDEX($F:$F, ROW()-1), $F652)) : INDEX(AB:AB, ROW()-1)),
          AVERAGEIFS(unit_details[Asking Rent],
          unit_details[Active Listing?],TRUE,
          unit_details[Property Name], $F653,
          unit_details[Beds], $L653,
          unit_details[Baths], $M653,
          unit_details[Partial Baths], IF(ISNUMBER($N653),$N653,""),
          unit_details[Sqft],$P653
)),"")</f>
        <v/>
      </c>
      <c r="AF653" s="5" t="str">
        <f>IFERROR(IF(AE653="","",IF($F653="Total",
SUMPRODUCT(
   INDEX(AF:AF, ROW()-COUNTIF($F$6:INDEX($F:$F, ROW()-1), $F652)) : INDEX(AF:AF, ROW()-1),
   INDEX(AB:AB, ROW()-COUNTIF($F$6:INDEX($F:$F, ROW()-1), $F652)) : INDEX(AB:AB, ROW()-1)
   )
   /SUM(INDEX(AB:AB, ROW()-COUNTIF($F$6:INDEX($F:$F, ROW()-1), $F652)) : INDEX(AB:AB, ROW()-1)),
           _xlfn.MAXIFS(unit_details[Asking Rent],
          unit_details[Active Listing?],TRUE,
          unit_details[Property Name], $F653,
          unit_details[Beds], $L653,
          unit_details[Baths], $M653,
          unit_details[Partial Baths], IF(ISNUMBER($N653),$N653,""),
          unit_details[Sqft],$P653
))),"")</f>
        <v/>
      </c>
      <c r="AG653" s="6" t="str">
        <f>IFERROR(IF($F653="Total",
         SUMPRODUCT(
         INDEX(AG:AG, ROW()-COUNTIF($F$6:INDEX($F:$F, ROW()-1), $F652)) : INDEX(AG:AG, ROW()-1),
         INDEX(AB:AB, ROW()-COUNTIF($F$6:INDEX($F:$F, ROW()-1), $F652)) : INDEX(AB:AB, ROW()-1)
         )
         /SUM(INDEX(AB:AB, ROW()-COUNTIF($F$6:INDEX($F:$F, ROW()-1), $F652)) : INDEX(AB:AB, ROW()-1)),
          AVERAGEIFS(unit_details[Asking PSF],
          unit_details[Active Listing?],TRUE,
          unit_details[Property Name], $F653,
          unit_details[Beds], $L653,
          unit_details[Baths], $M653,
          unit_details[Partial Baths], IF(ISNUMBER($N653),$N653,""),
          unit_details[Sqft],$P653
)),"")</f>
        <v/>
      </c>
      <c r="AH653" s="293" t="str">
        <f>IFERROR(IF($F653="Total",
         SUMPRODUCT(
         INDEX(AH:AH, ROW()-COUNTIF($F$6:INDEX($F:$F, ROW()-1), $F652)) : INDEX(AH:AH, ROW()-1),
         INDEX(AB:AB, ROW()-COUNTIF($F$6:INDEX($F:$F, ROW()-1), $F652)) : INDEX(AB:AB, ROW()-1)
         )
         /SUM(INDEX(AB:AB, ROW()-COUNTIF($F$6:INDEX($F:$F, ROW()-1), $F652)) : INDEX(AB:AB, ROW()-1)),
          AVERAGEIFS(unit_details[Effective Rent],
          unit_details[Active Listing?],TRUE,
          unit_details[Property Name], $F653,
          unit_details[Beds], $L653,
          unit_details[Baths], $M653,
          unit_details[Partial Baths], IF(ISNUMBER($N653),$N653,""),
          unit_details[Sqft],$P653
)),"")</f>
        <v/>
      </c>
      <c r="AI653" s="6" t="str">
        <f>IFERROR(IF($F653="Total",
         SUMPRODUCT(
         INDEX(AI:AI, ROW()-COUNTIF($F$6:INDEX($F:$F, ROW()-1), $F652)) : INDEX(AI:AI, ROW()-1),
         INDEX(AB:AB, ROW()-COUNTIF($F$6:INDEX($F:$F, ROW()-1), $F652)) : INDEX(AB:AB, ROW()-1)
         )
         /SUM(INDEX(AB:AB, ROW()-COUNTIF($F$6:INDEX($F:$F, ROW()-1), $F652)) : INDEX(AB:AB, ROW()-1)),
           AVERAGEIFS(unit_details[Effective PSF],
          unit_details[Active Listing?],TRUE,
          unit_details[Property Name], $F653,
          unit_details[Beds], $L653,
          unit_details[Baths], $M653,
          unit_details[Partial Baths], IF(ISNUMBER($N653),$N653,""),
          unit_details[Sqft],$P653
)),"")</f>
        <v/>
      </c>
      <c r="AJ653" s="824" t="str">
        <f t="shared" si="114"/>
        <v/>
      </c>
      <c r="AK653" s="531" t="str">
        <f t="shared" si="115"/>
        <v/>
      </c>
      <c r="AL653" s="714" t="str">
        <f t="shared" si="116"/>
        <v/>
      </c>
      <c r="AM653" s="531" t="str">
        <f t="shared" si="117"/>
        <v/>
      </c>
      <c r="AN653" s="716" t="str">
        <f t="shared" si="118"/>
        <v/>
      </c>
    </row>
    <row r="654" spans="6:40" x14ac:dyDescent="0.2">
      <c r="F654" s="1" t="str">
        <f t="shared" si="111"/>
        <v/>
      </c>
      <c r="G654" s="713" t="str">
        <f t="shared" si="119"/>
        <v/>
      </c>
      <c r="H654" s="17" t="str">
        <f>IFERROR(VLOOKUP($G654,Table1[[Property]:[Exposure %]],4,0),"")</f>
        <v/>
      </c>
      <c r="I654" s="3" t="str">
        <f>IFERROR(VLOOKUP($G654,Table1[[Property]:[Exposure %]],6,0),"")</f>
        <v/>
      </c>
      <c r="J654" s="3" t="str">
        <f>IFERROR(VLOOKUP($G654,Table1[[Property]:[Exposure %]],7,0),"")</f>
        <v/>
      </c>
      <c r="R654" s="4" t="str">
        <f>IFERROR(VLOOKUP(IF(F654="Total",F653,F654),Table1[[Property]:['# Units]],7,0)*S654,"")</f>
        <v/>
      </c>
      <c r="S654" s="27" t="str">
        <f t="shared" si="112"/>
        <v/>
      </c>
      <c r="T654" s="531" t="str">
        <f>IFERROR(
 IF($F654="Total",
   SUMPRODUCT(
   INDEX(T:T, ROW()-COUNTIF($F$6:INDEX($F:$F, ROW()-1), $F653)) : INDEX(T:T, ROW()-1),
   INDEX(W:W, ROW()-COUNTIF($F$6:INDEX($F:$F, ROW()-1), $F653)) : INDEX(W:W, ROW()-1)
   )
   /SUM(INDEX(W:W, ROW()-COUNTIF($F$6:INDEX($F:$F, ROW()-1), $F653)) : INDEX(W:W, ROW()-1)),
   AVERAGEIFS(
     INDEX((unit_details[Asking Rent],unit_details[Asking PSF]),0,1,IF($U$3="Chunk Rent",1,2)),
     unit_details[Leased Date],"&gt;="&amp;($AM$2-T$5),
     unit_details[Leased Date],"&lt;"&amp;$AM$2,
     unit_details[Beds],$L654,
     unit_details[Baths],$M654,
     unit_details[Partial Baths],IF(ISNUMBER($N654),$N654,""),
     unit_details[Sqft],$P654,
     unit_details[Property Name],$F654)
 ),"")</f>
        <v/>
      </c>
      <c r="U654" s="552" t="str">
        <f>IFERROR(
 IF($F654="Total",
   SUMPRODUCT(
   INDEX(U:U, ROW()-COUNTIF($F$6:INDEX($F:$F, ROW()-1), $F653)) : INDEX(U:U, ROW()-1),
   INDEX(W:W, ROW()-COUNTIF($F$6:INDEX($F:$F, ROW()-1), $F653)) : INDEX(W:W, ROW()-1)
   )
   /SUM(INDEX(W:W, ROW()-COUNTIF($F$6:INDEX($F:$F, ROW()-1), $F653)) : INDEX(W:W, ROW()-1)),
   AVERAGEIFS(
     INDEX((unit_details[Effective Rent],unit_details[Effective PSF]),0,1,IF($U$3="Chunk Rent",1,2)),
     unit_details[Leased Date],"&gt;="&amp;($AM$2-T$5),
     unit_details[Leased Date],"&lt;"&amp;$AM$2,
     unit_details[Beds],$L654,
     unit_details[Baths],$M654,
     unit_details[Partial Baths],IF(ISNUMBER($N654),$N654,""),
     unit_details[Sqft],$P654,
     unit_details[Property Name],$F654)
 ),"")</f>
        <v/>
      </c>
      <c r="V654" s="27" t="str">
        <f t="shared" si="120"/>
        <v/>
      </c>
      <c r="W654" s="526">
        <f>IFERROR(
  IF($F654="Total",
    SUM(INDEX(W:W, ROW()-COUNTIF($F$6:INDEX($F:$F, ROW()-1), $F653)) : INDEX(W:W, ROW()-1)),
    COUNTIFS(
      unit_details[Leased Date], "&gt;="&amp;($AM$2-T$5),
      unit_details[Leased Date], "&lt;"&amp;$AM$2,
      unit_details[Beds], $L654,
      unit_details[Baths], $M654,
      unit_details[Partial Baths], IF(ISNUMBER($N654), $N654, ""),
      unit_details[Sqft],$P654,
      unit_details[Property Name], $F654
    )
  ),
"")</f>
        <v>0</v>
      </c>
      <c r="X654" s="531" t="str">
        <f>IFERROR(
 IF($F654="Total",
   SUMPRODUCT(
   INDEX(X:X, ROW()-COUNTIF($F$6:INDEX($F:$F, ROW()-1), $F653)) : INDEX(X:X, ROW()-1),
   INDEX(AA:AA, ROW()-COUNTIF($F$6:INDEX($F:$F, ROW()-1), $F653)) : INDEX(AA:AA, ROW()-1)
   )
   /SUM(INDEX(AA:AA, ROW()-COUNTIF($F$6:INDEX($F:$F, ROW()-1), $F653)) : INDEX(AA:AA, ROW()-1)),
   AVERAGEIFS(
     INDEX((unit_details[Asking Rent],unit_details[Asking PSF]),0,1,IF($U$3="Chunk Rent",1,2)),
     unit_details[Leased Date],"&gt;="&amp;($AM$2-X$5),
     unit_details[Leased Date],"&lt;"&amp;$AM$2,
     unit_details[Beds],$L654,
     unit_details[Baths],$M654,
     unit_details[Partial Baths],IF(ISNUMBER($N654),$N654,""),
     unit_details[Sqft],$P654,
     unit_details[Property Name],$F654)
 ),"")</f>
        <v/>
      </c>
      <c r="Y654" s="552" t="str">
        <f>IFERROR(
 IF($F654="Total",
   SUMPRODUCT(
   INDEX(Y:Y, ROW()-COUNTIF($F$6:INDEX($F:$F, ROW()-1), $F653)) : INDEX(Y:Y, ROW()-1),
   INDEX(AA:AA, ROW()-COUNTIF($F$6:INDEX($F:$F, ROW()-1), $F653)) : INDEX(AA:AA, ROW()-1)
   )
   /SUM(INDEX(AA:AA, ROW()-COUNTIF($F$6:INDEX($F:$F, ROW()-1), $F653)) : INDEX(AA:AA, ROW()-1)),
   AVERAGEIFS(
     INDEX((unit_details[Effective Rent],unit_details[Effective PSF]),0,1,IF($U$3="Chunk Rent",1,2)),
     unit_details[Leased Date],"&gt;="&amp;($AM$2-X$5),
     unit_details[Leased Date],"&lt;"&amp;$AM$2,
     unit_details[Beds],$L654,
     unit_details[Baths],$M654,
     unit_details[Partial Baths],IF(ISNUMBER($N654),$N654,""),
     unit_details[Sqft],$P654,
     unit_details[Property Name],$F654)
 ),"")</f>
        <v/>
      </c>
      <c r="Z654" s="27" t="str">
        <f t="shared" si="121"/>
        <v/>
      </c>
      <c r="AA654" s="526">
        <f>IFERROR(
  IF($F654="Total",
    SUM(INDEX(AA:AA, ROW()-COUNTIF($F$6:INDEX($F:$F, ROW()-1), $F653)) : INDEX(AA:AA, ROW()-1)),
    COUNTIFS(
      unit_details[Leased Date], "&gt;="&amp;($AM$2-X$5),
      unit_details[Leased Date], "&lt;"&amp;$AM$2,
      unit_details[Beds], $L654,
      unit_details[Baths], $M654,
      unit_details[Partial Baths], IF(ISNUMBER($N654), $N654, ""),
      unit_details[Sqft],$P654,
      unit_details[Property Name], $F654
    )
  ),
"")</f>
        <v>0</v>
      </c>
      <c r="AB654" s="290">
        <f>IF($F654="Total",
SUM(INDEX(AB:AB, ROW()-COUNTIF($F$6:INDEX($F:$F, ROW()-1), $F653)) : INDEX(AB:AB, ROW()-1)),
COUNTIFS(unit_details[Active Listing?],TRUE,
          unit_details[Property Name], $F654,
          unit_details[Beds], $L654,
          unit_details[Baths], $M654,
          unit_details[Partial Baths],IF(ISNUMBER($N654),$N654,""),
          unit_details[Sqft],$P654))</f>
        <v>0</v>
      </c>
      <c r="AC654" s="27" t="str">
        <f t="shared" si="113"/>
        <v/>
      </c>
      <c r="AD654" s="293" t="str">
        <f>IFERROR(IF(AE654="","",IF($F654="Total",
SUMPRODUCT(
   INDEX(AD:AD, ROW()-COUNTIF($F$6:INDEX($F:$F, ROW()-1), $F653)) : INDEX(AD:AD, ROW()-1),
   INDEX(AB:AB, ROW()-COUNTIF($F$6:INDEX($F:$F, ROW()-1), $F653)) : INDEX(AB:AB, ROW()-1)
   )
   /SUM(INDEX(AB:AB, ROW()-COUNTIF($F$6:INDEX($F:$F, ROW()-1), $F653)) : INDEX(AB:AB, ROW()-1)),
          _xlfn.MINIFS(unit_details[Asking Rent],
          unit_details[Active Listing?],TRUE,
          unit_details[Property Name], $F654,
          unit_details[Beds], $L654,
          unit_details[Baths], $M654,
          unit_details[Partial Baths], IF(ISNUMBER($N654),$N654,""),
          unit_details[Sqft],$P654
))),"")</f>
        <v/>
      </c>
      <c r="AE654" s="5" t="str">
        <f>IFERROR(IF($F654="Total",
          SUMPRODUCT(
   INDEX(AE:AE, ROW()-COUNTIF($F$6:INDEX($F:$F, ROW()-1), $F653)) : INDEX(AE:AE, ROW()-1),
   INDEX(AB:AB, ROW()-COUNTIF($F$6:INDEX($F:$F, ROW()-1), $F653)) : INDEX(AB:AB, ROW()-1)
   )
   /SUM(INDEX(AB:AB, ROW()-COUNTIF($F$6:INDEX($F:$F, ROW()-1), $F653)) : INDEX(AB:AB, ROW()-1)),
          AVERAGEIFS(unit_details[Asking Rent],
          unit_details[Active Listing?],TRUE,
          unit_details[Property Name], $F654,
          unit_details[Beds], $L654,
          unit_details[Baths], $M654,
          unit_details[Partial Baths], IF(ISNUMBER($N654),$N654,""),
          unit_details[Sqft],$P654
)),"")</f>
        <v/>
      </c>
      <c r="AF654" s="5" t="str">
        <f>IFERROR(IF(AE654="","",IF($F654="Total",
SUMPRODUCT(
   INDEX(AF:AF, ROW()-COUNTIF($F$6:INDEX($F:$F, ROW()-1), $F653)) : INDEX(AF:AF, ROW()-1),
   INDEX(AB:AB, ROW()-COUNTIF($F$6:INDEX($F:$F, ROW()-1), $F653)) : INDEX(AB:AB, ROW()-1)
   )
   /SUM(INDEX(AB:AB, ROW()-COUNTIF($F$6:INDEX($F:$F, ROW()-1), $F653)) : INDEX(AB:AB, ROW()-1)),
           _xlfn.MAXIFS(unit_details[Asking Rent],
          unit_details[Active Listing?],TRUE,
          unit_details[Property Name], $F654,
          unit_details[Beds], $L654,
          unit_details[Baths], $M654,
          unit_details[Partial Baths], IF(ISNUMBER($N654),$N654,""),
          unit_details[Sqft],$P654
))),"")</f>
        <v/>
      </c>
      <c r="AG654" s="6" t="str">
        <f>IFERROR(IF($F654="Total",
         SUMPRODUCT(
         INDEX(AG:AG, ROW()-COUNTIF($F$6:INDEX($F:$F, ROW()-1), $F653)) : INDEX(AG:AG, ROW()-1),
         INDEX(AB:AB, ROW()-COUNTIF($F$6:INDEX($F:$F, ROW()-1), $F653)) : INDEX(AB:AB, ROW()-1)
         )
         /SUM(INDEX(AB:AB, ROW()-COUNTIF($F$6:INDEX($F:$F, ROW()-1), $F653)) : INDEX(AB:AB, ROW()-1)),
          AVERAGEIFS(unit_details[Asking PSF],
          unit_details[Active Listing?],TRUE,
          unit_details[Property Name], $F654,
          unit_details[Beds], $L654,
          unit_details[Baths], $M654,
          unit_details[Partial Baths], IF(ISNUMBER($N654),$N654,""),
          unit_details[Sqft],$P654
)),"")</f>
        <v/>
      </c>
      <c r="AH654" s="293" t="str">
        <f>IFERROR(IF($F654="Total",
         SUMPRODUCT(
         INDEX(AH:AH, ROW()-COUNTIF($F$6:INDEX($F:$F, ROW()-1), $F653)) : INDEX(AH:AH, ROW()-1),
         INDEX(AB:AB, ROW()-COUNTIF($F$6:INDEX($F:$F, ROW()-1), $F653)) : INDEX(AB:AB, ROW()-1)
         )
         /SUM(INDEX(AB:AB, ROW()-COUNTIF($F$6:INDEX($F:$F, ROW()-1), $F653)) : INDEX(AB:AB, ROW()-1)),
          AVERAGEIFS(unit_details[Effective Rent],
          unit_details[Active Listing?],TRUE,
          unit_details[Property Name], $F654,
          unit_details[Beds], $L654,
          unit_details[Baths], $M654,
          unit_details[Partial Baths], IF(ISNUMBER($N654),$N654,""),
          unit_details[Sqft],$P654
)),"")</f>
        <v/>
      </c>
      <c r="AI654" s="6" t="str">
        <f>IFERROR(IF($F654="Total",
         SUMPRODUCT(
         INDEX(AI:AI, ROW()-COUNTIF($F$6:INDEX($F:$F, ROW()-1), $F653)) : INDEX(AI:AI, ROW()-1),
         INDEX(AB:AB, ROW()-COUNTIF($F$6:INDEX($F:$F, ROW()-1), $F653)) : INDEX(AB:AB, ROW()-1)
         )
         /SUM(INDEX(AB:AB, ROW()-COUNTIF($F$6:INDEX($F:$F, ROW()-1), $F653)) : INDEX(AB:AB, ROW()-1)),
           AVERAGEIFS(unit_details[Effective PSF],
          unit_details[Active Listing?],TRUE,
          unit_details[Property Name], $F654,
          unit_details[Beds], $L654,
          unit_details[Baths], $M654,
          unit_details[Partial Baths], IF(ISNUMBER($N654),$N654,""),
          unit_details[Sqft],$P654
)),"")</f>
        <v/>
      </c>
      <c r="AJ654" s="824" t="str">
        <f t="shared" si="114"/>
        <v/>
      </c>
      <c r="AK654" s="531" t="str">
        <f t="shared" si="115"/>
        <v/>
      </c>
      <c r="AL654" s="714" t="str">
        <f t="shared" si="116"/>
        <v/>
      </c>
      <c r="AM654" s="531" t="str">
        <f t="shared" si="117"/>
        <v/>
      </c>
      <c r="AN654" s="716" t="str">
        <f t="shared" si="118"/>
        <v/>
      </c>
    </row>
    <row r="655" spans="6:40" x14ac:dyDescent="0.2">
      <c r="F655" s="1" t="str">
        <f t="shared" si="111"/>
        <v/>
      </c>
      <c r="G655" s="713" t="str">
        <f t="shared" si="119"/>
        <v/>
      </c>
      <c r="H655" s="17" t="str">
        <f>IFERROR(VLOOKUP($G655,Table1[[Property]:[Exposure %]],4,0),"")</f>
        <v/>
      </c>
      <c r="I655" s="3" t="str">
        <f>IFERROR(VLOOKUP($G655,Table1[[Property]:[Exposure %]],6,0),"")</f>
        <v/>
      </c>
      <c r="J655" s="3" t="str">
        <f>IFERROR(VLOOKUP($G655,Table1[[Property]:[Exposure %]],7,0),"")</f>
        <v/>
      </c>
      <c r="R655" s="4" t="str">
        <f>IFERROR(VLOOKUP(IF(F655="Total",F654,F655),Table1[[Property]:['# Units]],7,0)*S655,"")</f>
        <v/>
      </c>
      <c r="S655" s="27" t="str">
        <f t="shared" si="112"/>
        <v/>
      </c>
      <c r="T655" s="531" t="str">
        <f>IFERROR(
 IF($F655="Total",
   SUMPRODUCT(
   INDEX(T:T, ROW()-COUNTIF($F$6:INDEX($F:$F, ROW()-1), $F654)) : INDEX(T:T, ROW()-1),
   INDEX(W:W, ROW()-COUNTIF($F$6:INDEX($F:$F, ROW()-1), $F654)) : INDEX(W:W, ROW()-1)
   )
   /SUM(INDEX(W:W, ROW()-COUNTIF($F$6:INDEX($F:$F, ROW()-1), $F654)) : INDEX(W:W, ROW()-1)),
   AVERAGEIFS(
     INDEX((unit_details[Asking Rent],unit_details[Asking PSF]),0,1,IF($U$3="Chunk Rent",1,2)),
     unit_details[Leased Date],"&gt;="&amp;($AM$2-T$5),
     unit_details[Leased Date],"&lt;"&amp;$AM$2,
     unit_details[Beds],$L655,
     unit_details[Baths],$M655,
     unit_details[Partial Baths],IF(ISNUMBER($N655),$N655,""),
     unit_details[Sqft],$P655,
     unit_details[Property Name],$F655)
 ),"")</f>
        <v/>
      </c>
      <c r="U655" s="552" t="str">
        <f>IFERROR(
 IF($F655="Total",
   SUMPRODUCT(
   INDEX(U:U, ROW()-COUNTIF($F$6:INDEX($F:$F, ROW()-1), $F654)) : INDEX(U:U, ROW()-1),
   INDEX(W:W, ROW()-COUNTIF($F$6:INDEX($F:$F, ROW()-1), $F654)) : INDEX(W:W, ROW()-1)
   )
   /SUM(INDEX(W:W, ROW()-COUNTIF($F$6:INDEX($F:$F, ROW()-1), $F654)) : INDEX(W:W, ROW()-1)),
   AVERAGEIFS(
     INDEX((unit_details[Effective Rent],unit_details[Effective PSF]),0,1,IF($U$3="Chunk Rent",1,2)),
     unit_details[Leased Date],"&gt;="&amp;($AM$2-T$5),
     unit_details[Leased Date],"&lt;"&amp;$AM$2,
     unit_details[Beds],$L655,
     unit_details[Baths],$M655,
     unit_details[Partial Baths],IF(ISNUMBER($N655),$N655,""),
     unit_details[Sqft],$P655,
     unit_details[Property Name],$F655)
 ),"")</f>
        <v/>
      </c>
      <c r="V655" s="27" t="str">
        <f t="shared" si="120"/>
        <v/>
      </c>
      <c r="W655" s="526">
        <f>IFERROR(
  IF($F655="Total",
    SUM(INDEX(W:W, ROW()-COUNTIF($F$6:INDEX($F:$F, ROW()-1), $F654)) : INDEX(W:W, ROW()-1)),
    COUNTIFS(
      unit_details[Leased Date], "&gt;="&amp;($AM$2-T$5),
      unit_details[Leased Date], "&lt;"&amp;$AM$2,
      unit_details[Beds], $L655,
      unit_details[Baths], $M655,
      unit_details[Partial Baths], IF(ISNUMBER($N655), $N655, ""),
      unit_details[Sqft],$P655,
      unit_details[Property Name], $F655
    )
  ),
"")</f>
        <v>0</v>
      </c>
      <c r="X655" s="531" t="str">
        <f>IFERROR(
 IF($F655="Total",
   SUMPRODUCT(
   INDEX(X:X, ROW()-COUNTIF($F$6:INDEX($F:$F, ROW()-1), $F654)) : INDEX(X:X, ROW()-1),
   INDEX(AA:AA, ROW()-COUNTIF($F$6:INDEX($F:$F, ROW()-1), $F654)) : INDEX(AA:AA, ROW()-1)
   )
   /SUM(INDEX(AA:AA, ROW()-COUNTIF($F$6:INDEX($F:$F, ROW()-1), $F654)) : INDEX(AA:AA, ROW()-1)),
   AVERAGEIFS(
     INDEX((unit_details[Asking Rent],unit_details[Asking PSF]),0,1,IF($U$3="Chunk Rent",1,2)),
     unit_details[Leased Date],"&gt;="&amp;($AM$2-X$5),
     unit_details[Leased Date],"&lt;"&amp;$AM$2,
     unit_details[Beds],$L655,
     unit_details[Baths],$M655,
     unit_details[Partial Baths],IF(ISNUMBER($N655),$N655,""),
     unit_details[Sqft],$P655,
     unit_details[Property Name],$F655)
 ),"")</f>
        <v/>
      </c>
      <c r="Y655" s="552" t="str">
        <f>IFERROR(
 IF($F655="Total",
   SUMPRODUCT(
   INDEX(Y:Y, ROW()-COUNTIF($F$6:INDEX($F:$F, ROW()-1), $F654)) : INDEX(Y:Y, ROW()-1),
   INDEX(AA:AA, ROW()-COUNTIF($F$6:INDEX($F:$F, ROW()-1), $F654)) : INDEX(AA:AA, ROW()-1)
   )
   /SUM(INDEX(AA:AA, ROW()-COUNTIF($F$6:INDEX($F:$F, ROW()-1), $F654)) : INDEX(AA:AA, ROW()-1)),
   AVERAGEIFS(
     INDEX((unit_details[Effective Rent],unit_details[Effective PSF]),0,1,IF($U$3="Chunk Rent",1,2)),
     unit_details[Leased Date],"&gt;="&amp;($AM$2-X$5),
     unit_details[Leased Date],"&lt;"&amp;$AM$2,
     unit_details[Beds],$L655,
     unit_details[Baths],$M655,
     unit_details[Partial Baths],IF(ISNUMBER($N655),$N655,""),
     unit_details[Sqft],$P655,
     unit_details[Property Name],$F655)
 ),"")</f>
        <v/>
      </c>
      <c r="Z655" s="27" t="str">
        <f t="shared" si="121"/>
        <v/>
      </c>
      <c r="AA655" s="526">
        <f>IFERROR(
  IF($F655="Total",
    SUM(INDEX(AA:AA, ROW()-COUNTIF($F$6:INDEX($F:$F, ROW()-1), $F654)) : INDEX(AA:AA, ROW()-1)),
    COUNTIFS(
      unit_details[Leased Date], "&gt;="&amp;($AM$2-X$5),
      unit_details[Leased Date], "&lt;"&amp;$AM$2,
      unit_details[Beds], $L655,
      unit_details[Baths], $M655,
      unit_details[Partial Baths], IF(ISNUMBER($N655), $N655, ""),
      unit_details[Sqft],$P655,
      unit_details[Property Name], $F655
    )
  ),
"")</f>
        <v>0</v>
      </c>
      <c r="AB655" s="290">
        <f>IF($F655="Total",
SUM(INDEX(AB:AB, ROW()-COUNTIF($F$6:INDEX($F:$F, ROW()-1), $F654)) : INDEX(AB:AB, ROW()-1)),
COUNTIFS(unit_details[Active Listing?],TRUE,
          unit_details[Property Name], $F655,
          unit_details[Beds], $L655,
          unit_details[Baths], $M655,
          unit_details[Partial Baths],IF(ISNUMBER($N655),$N655,""),
          unit_details[Sqft],$P655))</f>
        <v>0</v>
      </c>
      <c r="AC655" s="27" t="str">
        <f t="shared" si="113"/>
        <v/>
      </c>
      <c r="AD655" s="293" t="str">
        <f>IFERROR(IF(AE655="","",IF($F655="Total",
SUMPRODUCT(
   INDEX(AD:AD, ROW()-COUNTIF($F$6:INDEX($F:$F, ROW()-1), $F654)) : INDEX(AD:AD, ROW()-1),
   INDEX(AB:AB, ROW()-COUNTIF($F$6:INDEX($F:$F, ROW()-1), $F654)) : INDEX(AB:AB, ROW()-1)
   )
   /SUM(INDEX(AB:AB, ROW()-COUNTIF($F$6:INDEX($F:$F, ROW()-1), $F654)) : INDEX(AB:AB, ROW()-1)),
          _xlfn.MINIFS(unit_details[Asking Rent],
          unit_details[Active Listing?],TRUE,
          unit_details[Property Name], $F655,
          unit_details[Beds], $L655,
          unit_details[Baths], $M655,
          unit_details[Partial Baths], IF(ISNUMBER($N655),$N655,""),
          unit_details[Sqft],$P655
))),"")</f>
        <v/>
      </c>
      <c r="AE655" s="5" t="str">
        <f>IFERROR(IF($F655="Total",
          SUMPRODUCT(
   INDEX(AE:AE, ROW()-COUNTIF($F$6:INDEX($F:$F, ROW()-1), $F654)) : INDEX(AE:AE, ROW()-1),
   INDEX(AB:AB, ROW()-COUNTIF($F$6:INDEX($F:$F, ROW()-1), $F654)) : INDEX(AB:AB, ROW()-1)
   )
   /SUM(INDEX(AB:AB, ROW()-COUNTIF($F$6:INDEX($F:$F, ROW()-1), $F654)) : INDEX(AB:AB, ROW()-1)),
          AVERAGEIFS(unit_details[Asking Rent],
          unit_details[Active Listing?],TRUE,
          unit_details[Property Name], $F655,
          unit_details[Beds], $L655,
          unit_details[Baths], $M655,
          unit_details[Partial Baths], IF(ISNUMBER($N655),$N655,""),
          unit_details[Sqft],$P655
)),"")</f>
        <v/>
      </c>
      <c r="AF655" s="5" t="str">
        <f>IFERROR(IF(AE655="","",IF($F655="Total",
SUMPRODUCT(
   INDEX(AF:AF, ROW()-COUNTIF($F$6:INDEX($F:$F, ROW()-1), $F654)) : INDEX(AF:AF, ROW()-1),
   INDEX(AB:AB, ROW()-COUNTIF($F$6:INDEX($F:$F, ROW()-1), $F654)) : INDEX(AB:AB, ROW()-1)
   )
   /SUM(INDEX(AB:AB, ROW()-COUNTIF($F$6:INDEX($F:$F, ROW()-1), $F654)) : INDEX(AB:AB, ROW()-1)),
           _xlfn.MAXIFS(unit_details[Asking Rent],
          unit_details[Active Listing?],TRUE,
          unit_details[Property Name], $F655,
          unit_details[Beds], $L655,
          unit_details[Baths], $M655,
          unit_details[Partial Baths], IF(ISNUMBER($N655),$N655,""),
          unit_details[Sqft],$P655
))),"")</f>
        <v/>
      </c>
      <c r="AG655" s="6" t="str">
        <f>IFERROR(IF($F655="Total",
         SUMPRODUCT(
         INDEX(AG:AG, ROW()-COUNTIF($F$6:INDEX($F:$F, ROW()-1), $F654)) : INDEX(AG:AG, ROW()-1),
         INDEX(AB:AB, ROW()-COUNTIF($F$6:INDEX($F:$F, ROW()-1), $F654)) : INDEX(AB:AB, ROW()-1)
         )
         /SUM(INDEX(AB:AB, ROW()-COUNTIF($F$6:INDEX($F:$F, ROW()-1), $F654)) : INDEX(AB:AB, ROW()-1)),
          AVERAGEIFS(unit_details[Asking PSF],
          unit_details[Active Listing?],TRUE,
          unit_details[Property Name], $F655,
          unit_details[Beds], $L655,
          unit_details[Baths], $M655,
          unit_details[Partial Baths], IF(ISNUMBER($N655),$N655,""),
          unit_details[Sqft],$P655
)),"")</f>
        <v/>
      </c>
      <c r="AH655" s="293" t="str">
        <f>IFERROR(IF($F655="Total",
         SUMPRODUCT(
         INDEX(AH:AH, ROW()-COUNTIF($F$6:INDEX($F:$F, ROW()-1), $F654)) : INDEX(AH:AH, ROW()-1),
         INDEX(AB:AB, ROW()-COUNTIF($F$6:INDEX($F:$F, ROW()-1), $F654)) : INDEX(AB:AB, ROW()-1)
         )
         /SUM(INDEX(AB:AB, ROW()-COUNTIF($F$6:INDEX($F:$F, ROW()-1), $F654)) : INDEX(AB:AB, ROW()-1)),
          AVERAGEIFS(unit_details[Effective Rent],
          unit_details[Active Listing?],TRUE,
          unit_details[Property Name], $F655,
          unit_details[Beds], $L655,
          unit_details[Baths], $M655,
          unit_details[Partial Baths], IF(ISNUMBER($N655),$N655,""),
          unit_details[Sqft],$P655
)),"")</f>
        <v/>
      </c>
      <c r="AI655" s="6" t="str">
        <f>IFERROR(IF($F655="Total",
         SUMPRODUCT(
         INDEX(AI:AI, ROW()-COUNTIF($F$6:INDEX($F:$F, ROW()-1), $F654)) : INDEX(AI:AI, ROW()-1),
         INDEX(AB:AB, ROW()-COUNTIF($F$6:INDEX($F:$F, ROW()-1), $F654)) : INDEX(AB:AB, ROW()-1)
         )
         /SUM(INDEX(AB:AB, ROW()-COUNTIF($F$6:INDEX($F:$F, ROW()-1), $F654)) : INDEX(AB:AB, ROW()-1)),
           AVERAGEIFS(unit_details[Effective PSF],
          unit_details[Active Listing?],TRUE,
          unit_details[Property Name], $F655,
          unit_details[Beds], $L655,
          unit_details[Baths], $M655,
          unit_details[Partial Baths], IF(ISNUMBER($N655),$N655,""),
          unit_details[Sqft],$P655
)),"")</f>
        <v/>
      </c>
      <c r="AJ655" s="824" t="str">
        <f t="shared" si="114"/>
        <v/>
      </c>
      <c r="AK655" s="531" t="str">
        <f t="shared" si="115"/>
        <v/>
      </c>
      <c r="AL655" s="714" t="str">
        <f t="shared" si="116"/>
        <v/>
      </c>
      <c r="AM655" s="531" t="str">
        <f t="shared" si="117"/>
        <v/>
      </c>
      <c r="AN655" s="716" t="str">
        <f t="shared" si="118"/>
        <v/>
      </c>
    </row>
    <row r="656" spans="6:40" x14ac:dyDescent="0.2">
      <c r="F656" s="1" t="str">
        <f t="shared" si="111"/>
        <v/>
      </c>
      <c r="G656" s="713" t="str">
        <f t="shared" si="119"/>
        <v/>
      </c>
      <c r="H656" s="17" t="str">
        <f>IFERROR(VLOOKUP($G656,Table1[[Property]:[Exposure %]],4,0),"")</f>
        <v/>
      </c>
      <c r="I656" s="3" t="str">
        <f>IFERROR(VLOOKUP($G656,Table1[[Property]:[Exposure %]],6,0),"")</f>
        <v/>
      </c>
      <c r="J656" s="3" t="str">
        <f>IFERROR(VLOOKUP($G656,Table1[[Property]:[Exposure %]],7,0),"")</f>
        <v/>
      </c>
      <c r="R656" s="4" t="str">
        <f>IFERROR(VLOOKUP(IF(F656="Total",F655,F656),Table1[[Property]:['# Units]],7,0)*S656,"")</f>
        <v/>
      </c>
      <c r="S656" s="27" t="str">
        <f t="shared" si="112"/>
        <v/>
      </c>
      <c r="T656" s="531" t="str">
        <f>IFERROR(
 IF($F656="Total",
   SUMPRODUCT(
   INDEX(T:T, ROW()-COUNTIF($F$6:INDEX($F:$F, ROW()-1), $F655)) : INDEX(T:T, ROW()-1),
   INDEX(W:W, ROW()-COUNTIF($F$6:INDEX($F:$F, ROW()-1), $F655)) : INDEX(W:W, ROW()-1)
   )
   /SUM(INDEX(W:W, ROW()-COUNTIF($F$6:INDEX($F:$F, ROW()-1), $F655)) : INDEX(W:W, ROW()-1)),
   AVERAGEIFS(
     INDEX((unit_details[Asking Rent],unit_details[Asking PSF]),0,1,IF($U$3="Chunk Rent",1,2)),
     unit_details[Leased Date],"&gt;="&amp;($AM$2-T$5),
     unit_details[Leased Date],"&lt;"&amp;$AM$2,
     unit_details[Beds],$L656,
     unit_details[Baths],$M656,
     unit_details[Partial Baths],IF(ISNUMBER($N656),$N656,""),
     unit_details[Sqft],$P656,
     unit_details[Property Name],$F656)
 ),"")</f>
        <v/>
      </c>
      <c r="U656" s="552" t="str">
        <f>IFERROR(
 IF($F656="Total",
   SUMPRODUCT(
   INDEX(U:U, ROW()-COUNTIF($F$6:INDEX($F:$F, ROW()-1), $F655)) : INDEX(U:U, ROW()-1),
   INDEX(W:W, ROW()-COUNTIF($F$6:INDEX($F:$F, ROW()-1), $F655)) : INDEX(W:W, ROW()-1)
   )
   /SUM(INDEX(W:W, ROW()-COUNTIF($F$6:INDEX($F:$F, ROW()-1), $F655)) : INDEX(W:W, ROW()-1)),
   AVERAGEIFS(
     INDEX((unit_details[Effective Rent],unit_details[Effective PSF]),0,1,IF($U$3="Chunk Rent",1,2)),
     unit_details[Leased Date],"&gt;="&amp;($AM$2-T$5),
     unit_details[Leased Date],"&lt;"&amp;$AM$2,
     unit_details[Beds],$L656,
     unit_details[Baths],$M656,
     unit_details[Partial Baths],IF(ISNUMBER($N656),$N656,""),
     unit_details[Sqft],$P656,
     unit_details[Property Name],$F656)
 ),"")</f>
        <v/>
      </c>
      <c r="V656" s="27" t="str">
        <f t="shared" si="120"/>
        <v/>
      </c>
      <c r="W656" s="526">
        <f>IFERROR(
  IF($F656="Total",
    SUM(INDEX(W:W, ROW()-COUNTIF($F$6:INDEX($F:$F, ROW()-1), $F655)) : INDEX(W:W, ROW()-1)),
    COUNTIFS(
      unit_details[Leased Date], "&gt;="&amp;($AM$2-T$5),
      unit_details[Leased Date], "&lt;"&amp;$AM$2,
      unit_details[Beds], $L656,
      unit_details[Baths], $M656,
      unit_details[Partial Baths], IF(ISNUMBER($N656), $N656, ""),
      unit_details[Sqft],$P656,
      unit_details[Property Name], $F656
    )
  ),
"")</f>
        <v>0</v>
      </c>
      <c r="X656" s="531" t="str">
        <f>IFERROR(
 IF($F656="Total",
   SUMPRODUCT(
   INDEX(X:X, ROW()-COUNTIF($F$6:INDEX($F:$F, ROW()-1), $F655)) : INDEX(X:X, ROW()-1),
   INDEX(AA:AA, ROW()-COUNTIF($F$6:INDEX($F:$F, ROW()-1), $F655)) : INDEX(AA:AA, ROW()-1)
   )
   /SUM(INDEX(AA:AA, ROW()-COUNTIF($F$6:INDEX($F:$F, ROW()-1), $F655)) : INDEX(AA:AA, ROW()-1)),
   AVERAGEIFS(
     INDEX((unit_details[Asking Rent],unit_details[Asking PSF]),0,1,IF($U$3="Chunk Rent",1,2)),
     unit_details[Leased Date],"&gt;="&amp;($AM$2-X$5),
     unit_details[Leased Date],"&lt;"&amp;$AM$2,
     unit_details[Beds],$L656,
     unit_details[Baths],$M656,
     unit_details[Partial Baths],IF(ISNUMBER($N656),$N656,""),
     unit_details[Sqft],$P656,
     unit_details[Property Name],$F656)
 ),"")</f>
        <v/>
      </c>
      <c r="Y656" s="552" t="str">
        <f>IFERROR(
 IF($F656="Total",
   SUMPRODUCT(
   INDEX(Y:Y, ROW()-COUNTIF($F$6:INDEX($F:$F, ROW()-1), $F655)) : INDEX(Y:Y, ROW()-1),
   INDEX(AA:AA, ROW()-COUNTIF($F$6:INDEX($F:$F, ROW()-1), $F655)) : INDEX(AA:AA, ROW()-1)
   )
   /SUM(INDEX(AA:AA, ROW()-COUNTIF($F$6:INDEX($F:$F, ROW()-1), $F655)) : INDEX(AA:AA, ROW()-1)),
   AVERAGEIFS(
     INDEX((unit_details[Effective Rent],unit_details[Effective PSF]),0,1,IF($U$3="Chunk Rent",1,2)),
     unit_details[Leased Date],"&gt;="&amp;($AM$2-X$5),
     unit_details[Leased Date],"&lt;"&amp;$AM$2,
     unit_details[Beds],$L656,
     unit_details[Baths],$M656,
     unit_details[Partial Baths],IF(ISNUMBER($N656),$N656,""),
     unit_details[Sqft],$P656,
     unit_details[Property Name],$F656)
 ),"")</f>
        <v/>
      </c>
      <c r="Z656" s="27" t="str">
        <f t="shared" si="121"/>
        <v/>
      </c>
      <c r="AA656" s="526">
        <f>IFERROR(
  IF($F656="Total",
    SUM(INDEX(AA:AA, ROW()-COUNTIF($F$6:INDEX($F:$F, ROW()-1), $F655)) : INDEX(AA:AA, ROW()-1)),
    COUNTIFS(
      unit_details[Leased Date], "&gt;="&amp;($AM$2-X$5),
      unit_details[Leased Date], "&lt;"&amp;$AM$2,
      unit_details[Beds], $L656,
      unit_details[Baths], $M656,
      unit_details[Partial Baths], IF(ISNUMBER($N656), $N656, ""),
      unit_details[Sqft],$P656,
      unit_details[Property Name], $F656
    )
  ),
"")</f>
        <v>0</v>
      </c>
      <c r="AB656" s="290">
        <f>IF($F656="Total",
SUM(INDEX(AB:AB, ROW()-COUNTIF($F$6:INDEX($F:$F, ROW()-1), $F655)) : INDEX(AB:AB, ROW()-1)),
COUNTIFS(unit_details[Active Listing?],TRUE,
          unit_details[Property Name], $F656,
          unit_details[Beds], $L656,
          unit_details[Baths], $M656,
          unit_details[Partial Baths],IF(ISNUMBER($N656),$N656,""),
          unit_details[Sqft],$P656))</f>
        <v>0</v>
      </c>
      <c r="AC656" s="27" t="str">
        <f t="shared" si="113"/>
        <v/>
      </c>
      <c r="AD656" s="293" t="str">
        <f>IFERROR(IF(AE656="","",IF($F656="Total",
SUMPRODUCT(
   INDEX(AD:AD, ROW()-COUNTIF($F$6:INDEX($F:$F, ROW()-1), $F655)) : INDEX(AD:AD, ROW()-1),
   INDEX(AB:AB, ROW()-COUNTIF($F$6:INDEX($F:$F, ROW()-1), $F655)) : INDEX(AB:AB, ROW()-1)
   )
   /SUM(INDEX(AB:AB, ROW()-COUNTIF($F$6:INDEX($F:$F, ROW()-1), $F655)) : INDEX(AB:AB, ROW()-1)),
          _xlfn.MINIFS(unit_details[Asking Rent],
          unit_details[Active Listing?],TRUE,
          unit_details[Property Name], $F656,
          unit_details[Beds], $L656,
          unit_details[Baths], $M656,
          unit_details[Partial Baths], IF(ISNUMBER($N656),$N656,""),
          unit_details[Sqft],$P656
))),"")</f>
        <v/>
      </c>
      <c r="AE656" s="5" t="str">
        <f>IFERROR(IF($F656="Total",
          SUMPRODUCT(
   INDEX(AE:AE, ROW()-COUNTIF($F$6:INDEX($F:$F, ROW()-1), $F655)) : INDEX(AE:AE, ROW()-1),
   INDEX(AB:AB, ROW()-COUNTIF($F$6:INDEX($F:$F, ROW()-1), $F655)) : INDEX(AB:AB, ROW()-1)
   )
   /SUM(INDEX(AB:AB, ROW()-COUNTIF($F$6:INDEX($F:$F, ROW()-1), $F655)) : INDEX(AB:AB, ROW()-1)),
          AVERAGEIFS(unit_details[Asking Rent],
          unit_details[Active Listing?],TRUE,
          unit_details[Property Name], $F656,
          unit_details[Beds], $L656,
          unit_details[Baths], $M656,
          unit_details[Partial Baths], IF(ISNUMBER($N656),$N656,""),
          unit_details[Sqft],$P656
)),"")</f>
        <v/>
      </c>
      <c r="AF656" s="5" t="str">
        <f>IFERROR(IF(AE656="","",IF($F656="Total",
SUMPRODUCT(
   INDEX(AF:AF, ROW()-COUNTIF($F$6:INDEX($F:$F, ROW()-1), $F655)) : INDEX(AF:AF, ROW()-1),
   INDEX(AB:AB, ROW()-COUNTIF($F$6:INDEX($F:$F, ROW()-1), $F655)) : INDEX(AB:AB, ROW()-1)
   )
   /SUM(INDEX(AB:AB, ROW()-COUNTIF($F$6:INDEX($F:$F, ROW()-1), $F655)) : INDEX(AB:AB, ROW()-1)),
           _xlfn.MAXIFS(unit_details[Asking Rent],
          unit_details[Active Listing?],TRUE,
          unit_details[Property Name], $F656,
          unit_details[Beds], $L656,
          unit_details[Baths], $M656,
          unit_details[Partial Baths], IF(ISNUMBER($N656),$N656,""),
          unit_details[Sqft],$P656
))),"")</f>
        <v/>
      </c>
      <c r="AG656" s="6" t="str">
        <f>IFERROR(IF($F656="Total",
         SUMPRODUCT(
         INDEX(AG:AG, ROW()-COUNTIF($F$6:INDEX($F:$F, ROW()-1), $F655)) : INDEX(AG:AG, ROW()-1),
         INDEX(AB:AB, ROW()-COUNTIF($F$6:INDEX($F:$F, ROW()-1), $F655)) : INDEX(AB:AB, ROW()-1)
         )
         /SUM(INDEX(AB:AB, ROW()-COUNTIF($F$6:INDEX($F:$F, ROW()-1), $F655)) : INDEX(AB:AB, ROW()-1)),
          AVERAGEIFS(unit_details[Asking PSF],
          unit_details[Active Listing?],TRUE,
          unit_details[Property Name], $F656,
          unit_details[Beds], $L656,
          unit_details[Baths], $M656,
          unit_details[Partial Baths], IF(ISNUMBER($N656),$N656,""),
          unit_details[Sqft],$P656
)),"")</f>
        <v/>
      </c>
      <c r="AH656" s="293" t="str">
        <f>IFERROR(IF($F656="Total",
         SUMPRODUCT(
         INDEX(AH:AH, ROW()-COUNTIF($F$6:INDEX($F:$F, ROW()-1), $F655)) : INDEX(AH:AH, ROW()-1),
         INDEX(AB:AB, ROW()-COUNTIF($F$6:INDEX($F:$F, ROW()-1), $F655)) : INDEX(AB:AB, ROW()-1)
         )
         /SUM(INDEX(AB:AB, ROW()-COUNTIF($F$6:INDEX($F:$F, ROW()-1), $F655)) : INDEX(AB:AB, ROW()-1)),
          AVERAGEIFS(unit_details[Effective Rent],
          unit_details[Active Listing?],TRUE,
          unit_details[Property Name], $F656,
          unit_details[Beds], $L656,
          unit_details[Baths], $M656,
          unit_details[Partial Baths], IF(ISNUMBER($N656),$N656,""),
          unit_details[Sqft],$P656
)),"")</f>
        <v/>
      </c>
      <c r="AI656" s="6" t="str">
        <f>IFERROR(IF($F656="Total",
         SUMPRODUCT(
         INDEX(AI:AI, ROW()-COUNTIF($F$6:INDEX($F:$F, ROW()-1), $F655)) : INDEX(AI:AI, ROW()-1),
         INDEX(AB:AB, ROW()-COUNTIF($F$6:INDEX($F:$F, ROW()-1), $F655)) : INDEX(AB:AB, ROW()-1)
         )
         /SUM(INDEX(AB:AB, ROW()-COUNTIF($F$6:INDEX($F:$F, ROW()-1), $F655)) : INDEX(AB:AB, ROW()-1)),
           AVERAGEIFS(unit_details[Effective PSF],
          unit_details[Active Listing?],TRUE,
          unit_details[Property Name], $F656,
          unit_details[Beds], $L656,
          unit_details[Baths], $M656,
          unit_details[Partial Baths], IF(ISNUMBER($N656),$N656,""),
          unit_details[Sqft],$P656
)),"")</f>
        <v/>
      </c>
      <c r="AJ656" s="824" t="str">
        <f t="shared" si="114"/>
        <v/>
      </c>
      <c r="AK656" s="531" t="str">
        <f t="shared" si="115"/>
        <v/>
      </c>
      <c r="AL656" s="714" t="str">
        <f t="shared" si="116"/>
        <v/>
      </c>
      <c r="AM656" s="531" t="str">
        <f t="shared" si="117"/>
        <v/>
      </c>
      <c r="AN656" s="716" t="str">
        <f t="shared" si="118"/>
        <v/>
      </c>
    </row>
    <row r="657" spans="6:40" x14ac:dyDescent="0.2">
      <c r="F657" s="1" t="str">
        <f t="shared" si="111"/>
        <v/>
      </c>
      <c r="G657" s="713" t="str">
        <f t="shared" si="119"/>
        <v/>
      </c>
      <c r="H657" s="17" t="str">
        <f>IFERROR(VLOOKUP($G657,Table1[[Property]:[Exposure %]],4,0),"")</f>
        <v/>
      </c>
      <c r="I657" s="3" t="str">
        <f>IFERROR(VLOOKUP($G657,Table1[[Property]:[Exposure %]],6,0),"")</f>
        <v/>
      </c>
      <c r="J657" s="3" t="str">
        <f>IFERROR(VLOOKUP($G657,Table1[[Property]:[Exposure %]],7,0),"")</f>
        <v/>
      </c>
      <c r="R657" s="4" t="str">
        <f>IFERROR(VLOOKUP(IF(F657="Total",F656,F657),Table1[[Property]:['# Units]],7,0)*S657,"")</f>
        <v/>
      </c>
      <c r="S657" s="27" t="str">
        <f t="shared" si="112"/>
        <v/>
      </c>
      <c r="T657" s="531" t="str">
        <f>IFERROR(
 IF($F657="Total",
   SUMPRODUCT(
   INDEX(T:T, ROW()-COUNTIF($F$6:INDEX($F:$F, ROW()-1), $F656)) : INDEX(T:T, ROW()-1),
   INDEX(W:W, ROW()-COUNTIF($F$6:INDEX($F:$F, ROW()-1), $F656)) : INDEX(W:W, ROW()-1)
   )
   /SUM(INDEX(W:W, ROW()-COUNTIF($F$6:INDEX($F:$F, ROW()-1), $F656)) : INDEX(W:W, ROW()-1)),
   AVERAGEIFS(
     INDEX((unit_details[Asking Rent],unit_details[Asking PSF]),0,1,IF($U$3="Chunk Rent",1,2)),
     unit_details[Leased Date],"&gt;="&amp;($AM$2-T$5),
     unit_details[Leased Date],"&lt;"&amp;$AM$2,
     unit_details[Beds],$L657,
     unit_details[Baths],$M657,
     unit_details[Partial Baths],IF(ISNUMBER($N657),$N657,""),
     unit_details[Sqft],$P657,
     unit_details[Property Name],$F657)
 ),"")</f>
        <v/>
      </c>
      <c r="U657" s="552" t="str">
        <f>IFERROR(
 IF($F657="Total",
   SUMPRODUCT(
   INDEX(U:U, ROW()-COUNTIF($F$6:INDEX($F:$F, ROW()-1), $F656)) : INDEX(U:U, ROW()-1),
   INDEX(W:W, ROW()-COUNTIF($F$6:INDEX($F:$F, ROW()-1), $F656)) : INDEX(W:W, ROW()-1)
   )
   /SUM(INDEX(W:W, ROW()-COUNTIF($F$6:INDEX($F:$F, ROW()-1), $F656)) : INDEX(W:W, ROW()-1)),
   AVERAGEIFS(
     INDEX((unit_details[Effective Rent],unit_details[Effective PSF]),0,1,IF($U$3="Chunk Rent",1,2)),
     unit_details[Leased Date],"&gt;="&amp;($AM$2-T$5),
     unit_details[Leased Date],"&lt;"&amp;$AM$2,
     unit_details[Beds],$L657,
     unit_details[Baths],$M657,
     unit_details[Partial Baths],IF(ISNUMBER($N657),$N657,""),
     unit_details[Sqft],$P657,
     unit_details[Property Name],$F657)
 ),"")</f>
        <v/>
      </c>
      <c r="V657" s="27" t="str">
        <f t="shared" si="120"/>
        <v/>
      </c>
      <c r="W657" s="526">
        <f>IFERROR(
  IF($F657="Total",
    SUM(INDEX(W:W, ROW()-COUNTIF($F$6:INDEX($F:$F, ROW()-1), $F656)) : INDEX(W:W, ROW()-1)),
    COUNTIFS(
      unit_details[Leased Date], "&gt;="&amp;($AM$2-T$5),
      unit_details[Leased Date], "&lt;"&amp;$AM$2,
      unit_details[Beds], $L657,
      unit_details[Baths], $M657,
      unit_details[Partial Baths], IF(ISNUMBER($N657), $N657, ""),
      unit_details[Sqft],$P657,
      unit_details[Property Name], $F657
    )
  ),
"")</f>
        <v>0</v>
      </c>
      <c r="X657" s="531" t="str">
        <f>IFERROR(
 IF($F657="Total",
   SUMPRODUCT(
   INDEX(X:X, ROW()-COUNTIF($F$6:INDEX($F:$F, ROW()-1), $F656)) : INDEX(X:X, ROW()-1),
   INDEX(AA:AA, ROW()-COUNTIF($F$6:INDEX($F:$F, ROW()-1), $F656)) : INDEX(AA:AA, ROW()-1)
   )
   /SUM(INDEX(AA:AA, ROW()-COUNTIF($F$6:INDEX($F:$F, ROW()-1), $F656)) : INDEX(AA:AA, ROW()-1)),
   AVERAGEIFS(
     INDEX((unit_details[Asking Rent],unit_details[Asking PSF]),0,1,IF($U$3="Chunk Rent",1,2)),
     unit_details[Leased Date],"&gt;="&amp;($AM$2-X$5),
     unit_details[Leased Date],"&lt;"&amp;$AM$2,
     unit_details[Beds],$L657,
     unit_details[Baths],$M657,
     unit_details[Partial Baths],IF(ISNUMBER($N657),$N657,""),
     unit_details[Sqft],$P657,
     unit_details[Property Name],$F657)
 ),"")</f>
        <v/>
      </c>
      <c r="Y657" s="552" t="str">
        <f>IFERROR(
 IF($F657="Total",
   SUMPRODUCT(
   INDEX(Y:Y, ROW()-COUNTIF($F$6:INDEX($F:$F, ROW()-1), $F656)) : INDEX(Y:Y, ROW()-1),
   INDEX(AA:AA, ROW()-COUNTIF($F$6:INDEX($F:$F, ROW()-1), $F656)) : INDEX(AA:AA, ROW()-1)
   )
   /SUM(INDEX(AA:AA, ROW()-COUNTIF($F$6:INDEX($F:$F, ROW()-1), $F656)) : INDEX(AA:AA, ROW()-1)),
   AVERAGEIFS(
     INDEX((unit_details[Effective Rent],unit_details[Effective PSF]),0,1,IF($U$3="Chunk Rent",1,2)),
     unit_details[Leased Date],"&gt;="&amp;($AM$2-X$5),
     unit_details[Leased Date],"&lt;"&amp;$AM$2,
     unit_details[Beds],$L657,
     unit_details[Baths],$M657,
     unit_details[Partial Baths],IF(ISNUMBER($N657),$N657,""),
     unit_details[Sqft],$P657,
     unit_details[Property Name],$F657)
 ),"")</f>
        <v/>
      </c>
      <c r="Z657" s="27" t="str">
        <f t="shared" si="121"/>
        <v/>
      </c>
      <c r="AA657" s="526">
        <f>IFERROR(
  IF($F657="Total",
    SUM(INDEX(AA:AA, ROW()-COUNTIF($F$6:INDEX($F:$F, ROW()-1), $F656)) : INDEX(AA:AA, ROW()-1)),
    COUNTIFS(
      unit_details[Leased Date], "&gt;="&amp;($AM$2-X$5),
      unit_details[Leased Date], "&lt;"&amp;$AM$2,
      unit_details[Beds], $L657,
      unit_details[Baths], $M657,
      unit_details[Partial Baths], IF(ISNUMBER($N657), $N657, ""),
      unit_details[Sqft],$P657,
      unit_details[Property Name], $F657
    )
  ),
"")</f>
        <v>0</v>
      </c>
      <c r="AB657" s="290">
        <f>IF($F657="Total",
SUM(INDEX(AB:AB, ROW()-COUNTIF($F$6:INDEX($F:$F, ROW()-1), $F656)) : INDEX(AB:AB, ROW()-1)),
COUNTIFS(unit_details[Active Listing?],TRUE,
          unit_details[Property Name], $F657,
          unit_details[Beds], $L657,
          unit_details[Baths], $M657,
          unit_details[Partial Baths],IF(ISNUMBER($N657),$N657,""),
          unit_details[Sqft],$P657))</f>
        <v>0</v>
      </c>
      <c r="AC657" s="27" t="str">
        <f t="shared" si="113"/>
        <v/>
      </c>
      <c r="AD657" s="293" t="str">
        <f>IFERROR(IF(AE657="","",IF($F657="Total",
SUMPRODUCT(
   INDEX(AD:AD, ROW()-COUNTIF($F$6:INDEX($F:$F, ROW()-1), $F656)) : INDEX(AD:AD, ROW()-1),
   INDEX(AB:AB, ROW()-COUNTIF($F$6:INDEX($F:$F, ROW()-1), $F656)) : INDEX(AB:AB, ROW()-1)
   )
   /SUM(INDEX(AB:AB, ROW()-COUNTIF($F$6:INDEX($F:$F, ROW()-1), $F656)) : INDEX(AB:AB, ROW()-1)),
          _xlfn.MINIFS(unit_details[Asking Rent],
          unit_details[Active Listing?],TRUE,
          unit_details[Property Name], $F657,
          unit_details[Beds], $L657,
          unit_details[Baths], $M657,
          unit_details[Partial Baths], IF(ISNUMBER($N657),$N657,""),
          unit_details[Sqft],$P657
))),"")</f>
        <v/>
      </c>
      <c r="AE657" s="5" t="str">
        <f>IFERROR(IF($F657="Total",
          SUMPRODUCT(
   INDEX(AE:AE, ROW()-COUNTIF($F$6:INDEX($F:$F, ROW()-1), $F656)) : INDEX(AE:AE, ROW()-1),
   INDEX(AB:AB, ROW()-COUNTIF($F$6:INDEX($F:$F, ROW()-1), $F656)) : INDEX(AB:AB, ROW()-1)
   )
   /SUM(INDEX(AB:AB, ROW()-COUNTIF($F$6:INDEX($F:$F, ROW()-1), $F656)) : INDEX(AB:AB, ROW()-1)),
          AVERAGEIFS(unit_details[Asking Rent],
          unit_details[Active Listing?],TRUE,
          unit_details[Property Name], $F657,
          unit_details[Beds], $L657,
          unit_details[Baths], $M657,
          unit_details[Partial Baths], IF(ISNUMBER($N657),$N657,""),
          unit_details[Sqft],$P657
)),"")</f>
        <v/>
      </c>
      <c r="AF657" s="5" t="str">
        <f>IFERROR(IF(AE657="","",IF($F657="Total",
SUMPRODUCT(
   INDEX(AF:AF, ROW()-COUNTIF($F$6:INDEX($F:$F, ROW()-1), $F656)) : INDEX(AF:AF, ROW()-1),
   INDEX(AB:AB, ROW()-COUNTIF($F$6:INDEX($F:$F, ROW()-1), $F656)) : INDEX(AB:AB, ROW()-1)
   )
   /SUM(INDEX(AB:AB, ROW()-COUNTIF($F$6:INDEX($F:$F, ROW()-1), $F656)) : INDEX(AB:AB, ROW()-1)),
           _xlfn.MAXIFS(unit_details[Asking Rent],
          unit_details[Active Listing?],TRUE,
          unit_details[Property Name], $F657,
          unit_details[Beds], $L657,
          unit_details[Baths], $M657,
          unit_details[Partial Baths], IF(ISNUMBER($N657),$N657,""),
          unit_details[Sqft],$P657
))),"")</f>
        <v/>
      </c>
      <c r="AG657" s="6" t="str">
        <f>IFERROR(IF($F657="Total",
         SUMPRODUCT(
         INDEX(AG:AG, ROW()-COUNTIF($F$6:INDEX($F:$F, ROW()-1), $F656)) : INDEX(AG:AG, ROW()-1),
         INDEX(AB:AB, ROW()-COUNTIF($F$6:INDEX($F:$F, ROW()-1), $F656)) : INDEX(AB:AB, ROW()-1)
         )
         /SUM(INDEX(AB:AB, ROW()-COUNTIF($F$6:INDEX($F:$F, ROW()-1), $F656)) : INDEX(AB:AB, ROW()-1)),
          AVERAGEIFS(unit_details[Asking PSF],
          unit_details[Active Listing?],TRUE,
          unit_details[Property Name], $F657,
          unit_details[Beds], $L657,
          unit_details[Baths], $M657,
          unit_details[Partial Baths], IF(ISNUMBER($N657),$N657,""),
          unit_details[Sqft],$P657
)),"")</f>
        <v/>
      </c>
      <c r="AH657" s="293" t="str">
        <f>IFERROR(IF($F657="Total",
         SUMPRODUCT(
         INDEX(AH:AH, ROW()-COUNTIF($F$6:INDEX($F:$F, ROW()-1), $F656)) : INDEX(AH:AH, ROW()-1),
         INDEX(AB:AB, ROW()-COUNTIF($F$6:INDEX($F:$F, ROW()-1), $F656)) : INDEX(AB:AB, ROW()-1)
         )
         /SUM(INDEX(AB:AB, ROW()-COUNTIF($F$6:INDEX($F:$F, ROW()-1), $F656)) : INDEX(AB:AB, ROW()-1)),
          AVERAGEIFS(unit_details[Effective Rent],
          unit_details[Active Listing?],TRUE,
          unit_details[Property Name], $F657,
          unit_details[Beds], $L657,
          unit_details[Baths], $M657,
          unit_details[Partial Baths], IF(ISNUMBER($N657),$N657,""),
          unit_details[Sqft],$P657
)),"")</f>
        <v/>
      </c>
      <c r="AI657" s="6" t="str">
        <f>IFERROR(IF($F657="Total",
         SUMPRODUCT(
         INDEX(AI:AI, ROW()-COUNTIF($F$6:INDEX($F:$F, ROW()-1), $F656)) : INDEX(AI:AI, ROW()-1),
         INDEX(AB:AB, ROW()-COUNTIF($F$6:INDEX($F:$F, ROW()-1), $F656)) : INDEX(AB:AB, ROW()-1)
         )
         /SUM(INDEX(AB:AB, ROW()-COUNTIF($F$6:INDEX($F:$F, ROW()-1), $F656)) : INDEX(AB:AB, ROW()-1)),
           AVERAGEIFS(unit_details[Effective PSF],
          unit_details[Active Listing?],TRUE,
          unit_details[Property Name], $F657,
          unit_details[Beds], $L657,
          unit_details[Baths], $M657,
          unit_details[Partial Baths], IF(ISNUMBER($N657),$N657,""),
          unit_details[Sqft],$P657
)),"")</f>
        <v/>
      </c>
      <c r="AJ657" s="824" t="str">
        <f t="shared" si="114"/>
        <v/>
      </c>
      <c r="AK657" s="531" t="str">
        <f t="shared" si="115"/>
        <v/>
      </c>
      <c r="AL657" s="714" t="str">
        <f t="shared" si="116"/>
        <v/>
      </c>
      <c r="AM657" s="531" t="str">
        <f t="shared" si="117"/>
        <v/>
      </c>
      <c r="AN657" s="716" t="str">
        <f t="shared" si="118"/>
        <v/>
      </c>
    </row>
    <row r="658" spans="6:40" x14ac:dyDescent="0.2">
      <c r="F658" s="1" t="str">
        <f t="shared" si="111"/>
        <v/>
      </c>
      <c r="G658" s="713" t="str">
        <f t="shared" si="119"/>
        <v/>
      </c>
      <c r="H658" s="17" t="str">
        <f>IFERROR(VLOOKUP($G658,Table1[[Property]:[Exposure %]],4,0),"")</f>
        <v/>
      </c>
      <c r="I658" s="3" t="str">
        <f>IFERROR(VLOOKUP($G658,Table1[[Property]:[Exposure %]],6,0),"")</f>
        <v/>
      </c>
      <c r="J658" s="3" t="str">
        <f>IFERROR(VLOOKUP($G658,Table1[[Property]:[Exposure %]],7,0),"")</f>
        <v/>
      </c>
      <c r="R658" s="4" t="str">
        <f>IFERROR(VLOOKUP(IF(F658="Total",F657,F658),Table1[[Property]:['# Units]],7,0)*S658,"")</f>
        <v/>
      </c>
      <c r="S658" s="27" t="str">
        <f t="shared" si="112"/>
        <v/>
      </c>
      <c r="T658" s="531" t="str">
        <f>IFERROR(
 IF($F658="Total",
   SUMPRODUCT(
   INDEX(T:T, ROW()-COUNTIF($F$6:INDEX($F:$F, ROW()-1), $F657)) : INDEX(T:T, ROW()-1),
   INDEX(W:W, ROW()-COUNTIF($F$6:INDEX($F:$F, ROW()-1), $F657)) : INDEX(W:W, ROW()-1)
   )
   /SUM(INDEX(W:W, ROW()-COUNTIF($F$6:INDEX($F:$F, ROW()-1), $F657)) : INDEX(W:W, ROW()-1)),
   AVERAGEIFS(
     INDEX((unit_details[Asking Rent],unit_details[Asking PSF]),0,1,IF($U$3="Chunk Rent",1,2)),
     unit_details[Leased Date],"&gt;="&amp;($AM$2-T$5),
     unit_details[Leased Date],"&lt;"&amp;$AM$2,
     unit_details[Beds],$L658,
     unit_details[Baths],$M658,
     unit_details[Partial Baths],IF(ISNUMBER($N658),$N658,""),
     unit_details[Sqft],$P658,
     unit_details[Property Name],$F658)
 ),"")</f>
        <v/>
      </c>
      <c r="U658" s="552" t="str">
        <f>IFERROR(
 IF($F658="Total",
   SUMPRODUCT(
   INDEX(U:U, ROW()-COUNTIF($F$6:INDEX($F:$F, ROW()-1), $F657)) : INDEX(U:U, ROW()-1),
   INDEX(W:W, ROW()-COUNTIF($F$6:INDEX($F:$F, ROW()-1), $F657)) : INDEX(W:W, ROW()-1)
   )
   /SUM(INDEX(W:W, ROW()-COUNTIF($F$6:INDEX($F:$F, ROW()-1), $F657)) : INDEX(W:W, ROW()-1)),
   AVERAGEIFS(
     INDEX((unit_details[Effective Rent],unit_details[Effective PSF]),0,1,IF($U$3="Chunk Rent",1,2)),
     unit_details[Leased Date],"&gt;="&amp;($AM$2-T$5),
     unit_details[Leased Date],"&lt;"&amp;$AM$2,
     unit_details[Beds],$L658,
     unit_details[Baths],$M658,
     unit_details[Partial Baths],IF(ISNUMBER($N658),$N658,""),
     unit_details[Sqft],$P658,
     unit_details[Property Name],$F658)
 ),"")</f>
        <v/>
      </c>
      <c r="V658" s="27" t="str">
        <f t="shared" si="120"/>
        <v/>
      </c>
      <c r="W658" s="526">
        <f>IFERROR(
  IF($F658="Total",
    SUM(INDEX(W:W, ROW()-COUNTIF($F$6:INDEX($F:$F, ROW()-1), $F657)) : INDEX(W:W, ROW()-1)),
    COUNTIFS(
      unit_details[Leased Date], "&gt;="&amp;($AM$2-T$5),
      unit_details[Leased Date], "&lt;"&amp;$AM$2,
      unit_details[Beds], $L658,
      unit_details[Baths], $M658,
      unit_details[Partial Baths], IF(ISNUMBER($N658), $N658, ""),
      unit_details[Sqft],$P658,
      unit_details[Property Name], $F658
    )
  ),
"")</f>
        <v>0</v>
      </c>
      <c r="X658" s="531" t="str">
        <f>IFERROR(
 IF($F658="Total",
   SUMPRODUCT(
   INDEX(X:X, ROW()-COUNTIF($F$6:INDEX($F:$F, ROW()-1), $F657)) : INDEX(X:X, ROW()-1),
   INDEX(AA:AA, ROW()-COUNTIF($F$6:INDEX($F:$F, ROW()-1), $F657)) : INDEX(AA:AA, ROW()-1)
   )
   /SUM(INDEX(AA:AA, ROW()-COUNTIF($F$6:INDEX($F:$F, ROW()-1), $F657)) : INDEX(AA:AA, ROW()-1)),
   AVERAGEIFS(
     INDEX((unit_details[Asking Rent],unit_details[Asking PSF]),0,1,IF($U$3="Chunk Rent",1,2)),
     unit_details[Leased Date],"&gt;="&amp;($AM$2-X$5),
     unit_details[Leased Date],"&lt;"&amp;$AM$2,
     unit_details[Beds],$L658,
     unit_details[Baths],$M658,
     unit_details[Partial Baths],IF(ISNUMBER($N658),$N658,""),
     unit_details[Sqft],$P658,
     unit_details[Property Name],$F658)
 ),"")</f>
        <v/>
      </c>
      <c r="Y658" s="552" t="str">
        <f>IFERROR(
 IF($F658="Total",
   SUMPRODUCT(
   INDEX(Y:Y, ROW()-COUNTIF($F$6:INDEX($F:$F, ROW()-1), $F657)) : INDEX(Y:Y, ROW()-1),
   INDEX(AA:AA, ROW()-COUNTIF($F$6:INDEX($F:$F, ROW()-1), $F657)) : INDEX(AA:AA, ROW()-1)
   )
   /SUM(INDEX(AA:AA, ROW()-COUNTIF($F$6:INDEX($F:$F, ROW()-1), $F657)) : INDEX(AA:AA, ROW()-1)),
   AVERAGEIFS(
     INDEX((unit_details[Effective Rent],unit_details[Effective PSF]),0,1,IF($U$3="Chunk Rent",1,2)),
     unit_details[Leased Date],"&gt;="&amp;($AM$2-X$5),
     unit_details[Leased Date],"&lt;"&amp;$AM$2,
     unit_details[Beds],$L658,
     unit_details[Baths],$M658,
     unit_details[Partial Baths],IF(ISNUMBER($N658),$N658,""),
     unit_details[Sqft],$P658,
     unit_details[Property Name],$F658)
 ),"")</f>
        <v/>
      </c>
      <c r="Z658" s="27" t="str">
        <f t="shared" si="121"/>
        <v/>
      </c>
      <c r="AA658" s="526">
        <f>IFERROR(
  IF($F658="Total",
    SUM(INDEX(AA:AA, ROW()-COUNTIF($F$6:INDEX($F:$F, ROW()-1), $F657)) : INDEX(AA:AA, ROW()-1)),
    COUNTIFS(
      unit_details[Leased Date], "&gt;="&amp;($AM$2-X$5),
      unit_details[Leased Date], "&lt;"&amp;$AM$2,
      unit_details[Beds], $L658,
      unit_details[Baths], $M658,
      unit_details[Partial Baths], IF(ISNUMBER($N658), $N658, ""),
      unit_details[Sqft],$P658,
      unit_details[Property Name], $F658
    )
  ),
"")</f>
        <v>0</v>
      </c>
      <c r="AB658" s="290">
        <f>IF($F658="Total",
SUM(INDEX(AB:AB, ROW()-COUNTIF($F$6:INDEX($F:$F, ROW()-1), $F657)) : INDEX(AB:AB, ROW()-1)),
COUNTIFS(unit_details[Active Listing?],TRUE,
          unit_details[Property Name], $F658,
          unit_details[Beds], $L658,
          unit_details[Baths], $M658,
          unit_details[Partial Baths],IF(ISNUMBER($N658),$N658,""),
          unit_details[Sqft],$P658))</f>
        <v>0</v>
      </c>
      <c r="AC658" s="27" t="str">
        <f t="shared" si="113"/>
        <v/>
      </c>
      <c r="AD658" s="293" t="str">
        <f>IFERROR(IF(AE658="","",IF($F658="Total",
SUMPRODUCT(
   INDEX(AD:AD, ROW()-COUNTIF($F$6:INDEX($F:$F, ROW()-1), $F657)) : INDEX(AD:AD, ROW()-1),
   INDEX(AB:AB, ROW()-COUNTIF($F$6:INDEX($F:$F, ROW()-1), $F657)) : INDEX(AB:AB, ROW()-1)
   )
   /SUM(INDEX(AB:AB, ROW()-COUNTIF($F$6:INDEX($F:$F, ROW()-1), $F657)) : INDEX(AB:AB, ROW()-1)),
          _xlfn.MINIFS(unit_details[Asking Rent],
          unit_details[Active Listing?],TRUE,
          unit_details[Property Name], $F658,
          unit_details[Beds], $L658,
          unit_details[Baths], $M658,
          unit_details[Partial Baths], IF(ISNUMBER($N658),$N658,""),
          unit_details[Sqft],$P658
))),"")</f>
        <v/>
      </c>
      <c r="AE658" s="5" t="str">
        <f>IFERROR(IF($F658="Total",
          SUMPRODUCT(
   INDEX(AE:AE, ROW()-COUNTIF($F$6:INDEX($F:$F, ROW()-1), $F657)) : INDEX(AE:AE, ROW()-1),
   INDEX(AB:AB, ROW()-COUNTIF($F$6:INDEX($F:$F, ROW()-1), $F657)) : INDEX(AB:AB, ROW()-1)
   )
   /SUM(INDEX(AB:AB, ROW()-COUNTIF($F$6:INDEX($F:$F, ROW()-1), $F657)) : INDEX(AB:AB, ROW()-1)),
          AVERAGEIFS(unit_details[Asking Rent],
          unit_details[Active Listing?],TRUE,
          unit_details[Property Name], $F658,
          unit_details[Beds], $L658,
          unit_details[Baths], $M658,
          unit_details[Partial Baths], IF(ISNUMBER($N658),$N658,""),
          unit_details[Sqft],$P658
)),"")</f>
        <v/>
      </c>
      <c r="AF658" s="5" t="str">
        <f>IFERROR(IF(AE658="","",IF($F658="Total",
SUMPRODUCT(
   INDEX(AF:AF, ROW()-COUNTIF($F$6:INDEX($F:$F, ROW()-1), $F657)) : INDEX(AF:AF, ROW()-1),
   INDEX(AB:AB, ROW()-COUNTIF($F$6:INDEX($F:$F, ROW()-1), $F657)) : INDEX(AB:AB, ROW()-1)
   )
   /SUM(INDEX(AB:AB, ROW()-COUNTIF($F$6:INDEX($F:$F, ROW()-1), $F657)) : INDEX(AB:AB, ROW()-1)),
           _xlfn.MAXIFS(unit_details[Asking Rent],
          unit_details[Active Listing?],TRUE,
          unit_details[Property Name], $F658,
          unit_details[Beds], $L658,
          unit_details[Baths], $M658,
          unit_details[Partial Baths], IF(ISNUMBER($N658),$N658,""),
          unit_details[Sqft],$P658
))),"")</f>
        <v/>
      </c>
      <c r="AG658" s="6" t="str">
        <f>IFERROR(IF($F658="Total",
         SUMPRODUCT(
         INDEX(AG:AG, ROW()-COUNTIF($F$6:INDEX($F:$F, ROW()-1), $F657)) : INDEX(AG:AG, ROW()-1),
         INDEX(AB:AB, ROW()-COUNTIF($F$6:INDEX($F:$F, ROW()-1), $F657)) : INDEX(AB:AB, ROW()-1)
         )
         /SUM(INDEX(AB:AB, ROW()-COUNTIF($F$6:INDEX($F:$F, ROW()-1), $F657)) : INDEX(AB:AB, ROW()-1)),
          AVERAGEIFS(unit_details[Asking PSF],
          unit_details[Active Listing?],TRUE,
          unit_details[Property Name], $F658,
          unit_details[Beds], $L658,
          unit_details[Baths], $M658,
          unit_details[Partial Baths], IF(ISNUMBER($N658),$N658,""),
          unit_details[Sqft],$P658
)),"")</f>
        <v/>
      </c>
      <c r="AH658" s="293" t="str">
        <f>IFERROR(IF($F658="Total",
         SUMPRODUCT(
         INDEX(AH:AH, ROW()-COUNTIF($F$6:INDEX($F:$F, ROW()-1), $F657)) : INDEX(AH:AH, ROW()-1),
         INDEX(AB:AB, ROW()-COUNTIF($F$6:INDEX($F:$F, ROW()-1), $F657)) : INDEX(AB:AB, ROW()-1)
         )
         /SUM(INDEX(AB:AB, ROW()-COUNTIF($F$6:INDEX($F:$F, ROW()-1), $F657)) : INDEX(AB:AB, ROW()-1)),
          AVERAGEIFS(unit_details[Effective Rent],
          unit_details[Active Listing?],TRUE,
          unit_details[Property Name], $F658,
          unit_details[Beds], $L658,
          unit_details[Baths], $M658,
          unit_details[Partial Baths], IF(ISNUMBER($N658),$N658,""),
          unit_details[Sqft],$P658
)),"")</f>
        <v/>
      </c>
      <c r="AI658" s="6" t="str">
        <f>IFERROR(IF($F658="Total",
         SUMPRODUCT(
         INDEX(AI:AI, ROW()-COUNTIF($F$6:INDEX($F:$F, ROW()-1), $F657)) : INDEX(AI:AI, ROW()-1),
         INDEX(AB:AB, ROW()-COUNTIF($F$6:INDEX($F:$F, ROW()-1), $F657)) : INDEX(AB:AB, ROW()-1)
         )
         /SUM(INDEX(AB:AB, ROW()-COUNTIF($F$6:INDEX($F:$F, ROW()-1), $F657)) : INDEX(AB:AB, ROW()-1)),
           AVERAGEIFS(unit_details[Effective PSF],
          unit_details[Active Listing?],TRUE,
          unit_details[Property Name], $F658,
          unit_details[Beds], $L658,
          unit_details[Baths], $M658,
          unit_details[Partial Baths], IF(ISNUMBER($N658),$N658,""),
          unit_details[Sqft],$P658
)),"")</f>
        <v/>
      </c>
      <c r="AJ658" s="824" t="str">
        <f t="shared" si="114"/>
        <v/>
      </c>
      <c r="AK658" s="531" t="str">
        <f t="shared" si="115"/>
        <v/>
      </c>
      <c r="AL658" s="714" t="str">
        <f t="shared" si="116"/>
        <v/>
      </c>
      <c r="AM658" s="531" t="str">
        <f t="shared" si="117"/>
        <v/>
      </c>
      <c r="AN658" s="716" t="str">
        <f t="shared" si="118"/>
        <v/>
      </c>
    </row>
    <row r="659" spans="6:40" x14ac:dyDescent="0.2">
      <c r="F659" s="1" t="str">
        <f t="shared" si="111"/>
        <v/>
      </c>
      <c r="G659" s="713" t="str">
        <f t="shared" si="119"/>
        <v/>
      </c>
      <c r="H659" s="17" t="str">
        <f>IFERROR(VLOOKUP($G659,Table1[[Property]:[Exposure %]],4,0),"")</f>
        <v/>
      </c>
      <c r="I659" s="3" t="str">
        <f>IFERROR(VLOOKUP($G659,Table1[[Property]:[Exposure %]],6,0),"")</f>
        <v/>
      </c>
      <c r="J659" s="3" t="str">
        <f>IFERROR(VLOOKUP($G659,Table1[[Property]:[Exposure %]],7,0),"")</f>
        <v/>
      </c>
      <c r="R659" s="4" t="str">
        <f>IFERROR(VLOOKUP(IF(F659="Total",F658,F659),Table1[[Property]:['# Units]],7,0)*S659,"")</f>
        <v/>
      </c>
      <c r="S659" s="27" t="str">
        <f t="shared" si="112"/>
        <v/>
      </c>
      <c r="T659" s="531" t="str">
        <f>IFERROR(
 IF($F659="Total",
   SUMPRODUCT(
   INDEX(T:T, ROW()-COUNTIF($F$6:INDEX($F:$F, ROW()-1), $F658)) : INDEX(T:T, ROW()-1),
   INDEX(W:W, ROW()-COUNTIF($F$6:INDEX($F:$F, ROW()-1), $F658)) : INDEX(W:W, ROW()-1)
   )
   /SUM(INDEX(W:W, ROW()-COUNTIF($F$6:INDEX($F:$F, ROW()-1), $F658)) : INDEX(W:W, ROW()-1)),
   AVERAGEIFS(
     INDEX((unit_details[Asking Rent],unit_details[Asking PSF]),0,1,IF($U$3="Chunk Rent",1,2)),
     unit_details[Leased Date],"&gt;="&amp;($AM$2-T$5),
     unit_details[Leased Date],"&lt;"&amp;$AM$2,
     unit_details[Beds],$L659,
     unit_details[Baths],$M659,
     unit_details[Partial Baths],IF(ISNUMBER($N659),$N659,""),
     unit_details[Sqft],$P659,
     unit_details[Property Name],$F659)
 ),"")</f>
        <v/>
      </c>
      <c r="U659" s="552" t="str">
        <f>IFERROR(
 IF($F659="Total",
   SUMPRODUCT(
   INDEX(U:U, ROW()-COUNTIF($F$6:INDEX($F:$F, ROW()-1), $F658)) : INDEX(U:U, ROW()-1),
   INDEX(W:W, ROW()-COUNTIF($F$6:INDEX($F:$F, ROW()-1), $F658)) : INDEX(W:W, ROW()-1)
   )
   /SUM(INDEX(W:W, ROW()-COUNTIF($F$6:INDEX($F:$F, ROW()-1), $F658)) : INDEX(W:W, ROW()-1)),
   AVERAGEIFS(
     INDEX((unit_details[Effective Rent],unit_details[Effective PSF]),0,1,IF($U$3="Chunk Rent",1,2)),
     unit_details[Leased Date],"&gt;="&amp;($AM$2-T$5),
     unit_details[Leased Date],"&lt;"&amp;$AM$2,
     unit_details[Beds],$L659,
     unit_details[Baths],$M659,
     unit_details[Partial Baths],IF(ISNUMBER($N659),$N659,""),
     unit_details[Sqft],$P659,
     unit_details[Property Name],$F659)
 ),"")</f>
        <v/>
      </c>
      <c r="V659" s="27" t="str">
        <f t="shared" si="120"/>
        <v/>
      </c>
      <c r="W659" s="526">
        <f>IFERROR(
  IF($F659="Total",
    SUM(INDEX(W:W, ROW()-COUNTIF($F$6:INDEX($F:$F, ROW()-1), $F658)) : INDEX(W:W, ROW()-1)),
    COUNTIFS(
      unit_details[Leased Date], "&gt;="&amp;($AM$2-T$5),
      unit_details[Leased Date], "&lt;"&amp;$AM$2,
      unit_details[Beds], $L659,
      unit_details[Baths], $M659,
      unit_details[Partial Baths], IF(ISNUMBER($N659), $N659, ""),
      unit_details[Sqft],$P659,
      unit_details[Property Name], $F659
    )
  ),
"")</f>
        <v>0</v>
      </c>
      <c r="X659" s="531" t="str">
        <f>IFERROR(
 IF($F659="Total",
   SUMPRODUCT(
   INDEX(X:X, ROW()-COUNTIF($F$6:INDEX($F:$F, ROW()-1), $F658)) : INDEX(X:X, ROW()-1),
   INDEX(AA:AA, ROW()-COUNTIF($F$6:INDEX($F:$F, ROW()-1), $F658)) : INDEX(AA:AA, ROW()-1)
   )
   /SUM(INDEX(AA:AA, ROW()-COUNTIF($F$6:INDEX($F:$F, ROW()-1), $F658)) : INDEX(AA:AA, ROW()-1)),
   AVERAGEIFS(
     INDEX((unit_details[Asking Rent],unit_details[Asking PSF]),0,1,IF($U$3="Chunk Rent",1,2)),
     unit_details[Leased Date],"&gt;="&amp;($AM$2-X$5),
     unit_details[Leased Date],"&lt;"&amp;$AM$2,
     unit_details[Beds],$L659,
     unit_details[Baths],$M659,
     unit_details[Partial Baths],IF(ISNUMBER($N659),$N659,""),
     unit_details[Sqft],$P659,
     unit_details[Property Name],$F659)
 ),"")</f>
        <v/>
      </c>
      <c r="Y659" s="552" t="str">
        <f>IFERROR(
 IF($F659="Total",
   SUMPRODUCT(
   INDEX(Y:Y, ROW()-COUNTIF($F$6:INDEX($F:$F, ROW()-1), $F658)) : INDEX(Y:Y, ROW()-1),
   INDEX(AA:AA, ROW()-COUNTIF($F$6:INDEX($F:$F, ROW()-1), $F658)) : INDEX(AA:AA, ROW()-1)
   )
   /SUM(INDEX(AA:AA, ROW()-COUNTIF($F$6:INDEX($F:$F, ROW()-1), $F658)) : INDEX(AA:AA, ROW()-1)),
   AVERAGEIFS(
     INDEX((unit_details[Effective Rent],unit_details[Effective PSF]),0,1,IF($U$3="Chunk Rent",1,2)),
     unit_details[Leased Date],"&gt;="&amp;($AM$2-X$5),
     unit_details[Leased Date],"&lt;"&amp;$AM$2,
     unit_details[Beds],$L659,
     unit_details[Baths],$M659,
     unit_details[Partial Baths],IF(ISNUMBER($N659),$N659,""),
     unit_details[Sqft],$P659,
     unit_details[Property Name],$F659)
 ),"")</f>
        <v/>
      </c>
      <c r="Z659" s="27" t="str">
        <f t="shared" si="121"/>
        <v/>
      </c>
      <c r="AA659" s="526">
        <f>IFERROR(
  IF($F659="Total",
    SUM(INDEX(AA:AA, ROW()-COUNTIF($F$6:INDEX($F:$F, ROW()-1), $F658)) : INDEX(AA:AA, ROW()-1)),
    COUNTIFS(
      unit_details[Leased Date], "&gt;="&amp;($AM$2-X$5),
      unit_details[Leased Date], "&lt;"&amp;$AM$2,
      unit_details[Beds], $L659,
      unit_details[Baths], $M659,
      unit_details[Partial Baths], IF(ISNUMBER($N659), $N659, ""),
      unit_details[Sqft],$P659,
      unit_details[Property Name], $F659
    )
  ),
"")</f>
        <v>0</v>
      </c>
      <c r="AB659" s="290">
        <f>IF($F659="Total",
SUM(INDEX(AB:AB, ROW()-COUNTIF($F$6:INDEX($F:$F, ROW()-1), $F658)) : INDEX(AB:AB, ROW()-1)),
COUNTIFS(unit_details[Active Listing?],TRUE,
          unit_details[Property Name], $F659,
          unit_details[Beds], $L659,
          unit_details[Baths], $M659,
          unit_details[Partial Baths],IF(ISNUMBER($N659),$N659,""),
          unit_details[Sqft],$P659))</f>
        <v>0</v>
      </c>
      <c r="AC659" s="27" t="str">
        <f t="shared" si="113"/>
        <v/>
      </c>
      <c r="AD659" s="293" t="str">
        <f>IFERROR(IF(AE659="","",IF($F659="Total",
SUMPRODUCT(
   INDEX(AD:AD, ROW()-COUNTIF($F$6:INDEX($F:$F, ROW()-1), $F658)) : INDEX(AD:AD, ROW()-1),
   INDEX(AB:AB, ROW()-COUNTIF($F$6:INDEX($F:$F, ROW()-1), $F658)) : INDEX(AB:AB, ROW()-1)
   )
   /SUM(INDEX(AB:AB, ROW()-COUNTIF($F$6:INDEX($F:$F, ROW()-1), $F658)) : INDEX(AB:AB, ROW()-1)),
          _xlfn.MINIFS(unit_details[Asking Rent],
          unit_details[Active Listing?],TRUE,
          unit_details[Property Name], $F659,
          unit_details[Beds], $L659,
          unit_details[Baths], $M659,
          unit_details[Partial Baths], IF(ISNUMBER($N659),$N659,""),
          unit_details[Sqft],$P659
))),"")</f>
        <v/>
      </c>
      <c r="AE659" s="5" t="str">
        <f>IFERROR(IF($F659="Total",
          SUMPRODUCT(
   INDEX(AE:AE, ROW()-COUNTIF($F$6:INDEX($F:$F, ROW()-1), $F658)) : INDEX(AE:AE, ROW()-1),
   INDEX(AB:AB, ROW()-COUNTIF($F$6:INDEX($F:$F, ROW()-1), $F658)) : INDEX(AB:AB, ROW()-1)
   )
   /SUM(INDEX(AB:AB, ROW()-COUNTIF($F$6:INDEX($F:$F, ROW()-1), $F658)) : INDEX(AB:AB, ROW()-1)),
          AVERAGEIFS(unit_details[Asking Rent],
          unit_details[Active Listing?],TRUE,
          unit_details[Property Name], $F659,
          unit_details[Beds], $L659,
          unit_details[Baths], $M659,
          unit_details[Partial Baths], IF(ISNUMBER($N659),$N659,""),
          unit_details[Sqft],$P659
)),"")</f>
        <v/>
      </c>
      <c r="AF659" s="5" t="str">
        <f>IFERROR(IF(AE659="","",IF($F659="Total",
SUMPRODUCT(
   INDEX(AF:AF, ROW()-COUNTIF($F$6:INDEX($F:$F, ROW()-1), $F658)) : INDEX(AF:AF, ROW()-1),
   INDEX(AB:AB, ROW()-COUNTIF($F$6:INDEX($F:$F, ROW()-1), $F658)) : INDEX(AB:AB, ROW()-1)
   )
   /SUM(INDEX(AB:AB, ROW()-COUNTIF($F$6:INDEX($F:$F, ROW()-1), $F658)) : INDEX(AB:AB, ROW()-1)),
           _xlfn.MAXIFS(unit_details[Asking Rent],
          unit_details[Active Listing?],TRUE,
          unit_details[Property Name], $F659,
          unit_details[Beds], $L659,
          unit_details[Baths], $M659,
          unit_details[Partial Baths], IF(ISNUMBER($N659),$N659,""),
          unit_details[Sqft],$P659
))),"")</f>
        <v/>
      </c>
      <c r="AG659" s="6" t="str">
        <f>IFERROR(IF($F659="Total",
         SUMPRODUCT(
         INDEX(AG:AG, ROW()-COUNTIF($F$6:INDEX($F:$F, ROW()-1), $F658)) : INDEX(AG:AG, ROW()-1),
         INDEX(AB:AB, ROW()-COUNTIF($F$6:INDEX($F:$F, ROW()-1), $F658)) : INDEX(AB:AB, ROW()-1)
         )
         /SUM(INDEX(AB:AB, ROW()-COUNTIF($F$6:INDEX($F:$F, ROW()-1), $F658)) : INDEX(AB:AB, ROW()-1)),
          AVERAGEIFS(unit_details[Asking PSF],
          unit_details[Active Listing?],TRUE,
          unit_details[Property Name], $F659,
          unit_details[Beds], $L659,
          unit_details[Baths], $M659,
          unit_details[Partial Baths], IF(ISNUMBER($N659),$N659,""),
          unit_details[Sqft],$P659
)),"")</f>
        <v/>
      </c>
      <c r="AH659" s="293" t="str">
        <f>IFERROR(IF($F659="Total",
         SUMPRODUCT(
         INDEX(AH:AH, ROW()-COUNTIF($F$6:INDEX($F:$F, ROW()-1), $F658)) : INDEX(AH:AH, ROW()-1),
         INDEX(AB:AB, ROW()-COUNTIF($F$6:INDEX($F:$F, ROW()-1), $F658)) : INDEX(AB:AB, ROW()-1)
         )
         /SUM(INDEX(AB:AB, ROW()-COUNTIF($F$6:INDEX($F:$F, ROW()-1), $F658)) : INDEX(AB:AB, ROW()-1)),
          AVERAGEIFS(unit_details[Effective Rent],
          unit_details[Active Listing?],TRUE,
          unit_details[Property Name], $F659,
          unit_details[Beds], $L659,
          unit_details[Baths], $M659,
          unit_details[Partial Baths], IF(ISNUMBER($N659),$N659,""),
          unit_details[Sqft],$P659
)),"")</f>
        <v/>
      </c>
      <c r="AI659" s="6" t="str">
        <f>IFERROR(IF($F659="Total",
         SUMPRODUCT(
         INDEX(AI:AI, ROW()-COUNTIF($F$6:INDEX($F:$F, ROW()-1), $F658)) : INDEX(AI:AI, ROW()-1),
         INDEX(AB:AB, ROW()-COUNTIF($F$6:INDEX($F:$F, ROW()-1), $F658)) : INDEX(AB:AB, ROW()-1)
         )
         /SUM(INDEX(AB:AB, ROW()-COUNTIF($F$6:INDEX($F:$F, ROW()-1), $F658)) : INDEX(AB:AB, ROW()-1)),
           AVERAGEIFS(unit_details[Effective PSF],
          unit_details[Active Listing?],TRUE,
          unit_details[Property Name], $F659,
          unit_details[Beds], $L659,
          unit_details[Baths], $M659,
          unit_details[Partial Baths], IF(ISNUMBER($N659),$N659,""),
          unit_details[Sqft],$P659
)),"")</f>
        <v/>
      </c>
      <c r="AJ659" s="824" t="str">
        <f t="shared" si="114"/>
        <v/>
      </c>
      <c r="AK659" s="531" t="str">
        <f t="shared" si="115"/>
        <v/>
      </c>
      <c r="AL659" s="714" t="str">
        <f t="shared" si="116"/>
        <v/>
      </c>
      <c r="AM659" s="531" t="str">
        <f t="shared" si="117"/>
        <v/>
      </c>
      <c r="AN659" s="716" t="str">
        <f t="shared" si="118"/>
        <v/>
      </c>
    </row>
    <row r="660" spans="6:40" x14ac:dyDescent="0.2">
      <c r="F660" s="1" t="str">
        <f t="shared" si="111"/>
        <v/>
      </c>
      <c r="G660" s="713" t="str">
        <f t="shared" si="119"/>
        <v/>
      </c>
      <c r="H660" s="17" t="str">
        <f>IFERROR(VLOOKUP($G660,Table1[[Property]:[Exposure %]],4,0),"")</f>
        <v/>
      </c>
      <c r="I660" s="3" t="str">
        <f>IFERROR(VLOOKUP($G660,Table1[[Property]:[Exposure %]],6,0),"")</f>
        <v/>
      </c>
      <c r="J660" s="3" t="str">
        <f>IFERROR(VLOOKUP($G660,Table1[[Property]:[Exposure %]],7,0),"")</f>
        <v/>
      </c>
      <c r="R660" s="4" t="str">
        <f>IFERROR(VLOOKUP(IF(F660="Total",F659,F660),Table1[[Property]:['# Units]],7,0)*S660,"")</f>
        <v/>
      </c>
      <c r="S660" s="27" t="str">
        <f t="shared" si="112"/>
        <v/>
      </c>
      <c r="T660" s="531" t="str">
        <f>IFERROR(
 IF($F660="Total",
   SUMPRODUCT(
   INDEX(T:T, ROW()-COUNTIF($F$6:INDEX($F:$F, ROW()-1), $F659)) : INDEX(T:T, ROW()-1),
   INDEX(W:W, ROW()-COUNTIF($F$6:INDEX($F:$F, ROW()-1), $F659)) : INDEX(W:W, ROW()-1)
   )
   /SUM(INDEX(W:W, ROW()-COUNTIF($F$6:INDEX($F:$F, ROW()-1), $F659)) : INDEX(W:W, ROW()-1)),
   AVERAGEIFS(
     INDEX((unit_details[Asking Rent],unit_details[Asking PSF]),0,1,IF($U$3="Chunk Rent",1,2)),
     unit_details[Leased Date],"&gt;="&amp;($AM$2-T$5),
     unit_details[Leased Date],"&lt;"&amp;$AM$2,
     unit_details[Beds],$L660,
     unit_details[Baths],$M660,
     unit_details[Partial Baths],IF(ISNUMBER($N660),$N660,""),
     unit_details[Sqft],$P660,
     unit_details[Property Name],$F660)
 ),"")</f>
        <v/>
      </c>
      <c r="U660" s="552" t="str">
        <f>IFERROR(
 IF($F660="Total",
   SUMPRODUCT(
   INDEX(U:U, ROW()-COUNTIF($F$6:INDEX($F:$F, ROW()-1), $F659)) : INDEX(U:U, ROW()-1),
   INDEX(W:W, ROW()-COUNTIF($F$6:INDEX($F:$F, ROW()-1), $F659)) : INDEX(W:W, ROW()-1)
   )
   /SUM(INDEX(W:W, ROW()-COUNTIF($F$6:INDEX($F:$F, ROW()-1), $F659)) : INDEX(W:W, ROW()-1)),
   AVERAGEIFS(
     INDEX((unit_details[Effective Rent],unit_details[Effective PSF]),0,1,IF($U$3="Chunk Rent",1,2)),
     unit_details[Leased Date],"&gt;="&amp;($AM$2-T$5),
     unit_details[Leased Date],"&lt;"&amp;$AM$2,
     unit_details[Beds],$L660,
     unit_details[Baths],$M660,
     unit_details[Partial Baths],IF(ISNUMBER($N660),$N660,""),
     unit_details[Sqft],$P660,
     unit_details[Property Name],$F660)
 ),"")</f>
        <v/>
      </c>
      <c r="V660" s="27" t="str">
        <f t="shared" si="120"/>
        <v/>
      </c>
      <c r="W660" s="526">
        <f>IFERROR(
  IF($F660="Total",
    SUM(INDEX(W:W, ROW()-COUNTIF($F$6:INDEX($F:$F, ROW()-1), $F659)) : INDEX(W:W, ROW()-1)),
    COUNTIFS(
      unit_details[Leased Date], "&gt;="&amp;($AM$2-T$5),
      unit_details[Leased Date], "&lt;"&amp;$AM$2,
      unit_details[Beds], $L660,
      unit_details[Baths], $M660,
      unit_details[Partial Baths], IF(ISNUMBER($N660), $N660, ""),
      unit_details[Sqft],$P660,
      unit_details[Property Name], $F660
    )
  ),
"")</f>
        <v>0</v>
      </c>
      <c r="X660" s="531" t="str">
        <f>IFERROR(
 IF($F660="Total",
   SUMPRODUCT(
   INDEX(X:X, ROW()-COUNTIF($F$6:INDEX($F:$F, ROW()-1), $F659)) : INDEX(X:X, ROW()-1),
   INDEX(AA:AA, ROW()-COUNTIF($F$6:INDEX($F:$F, ROW()-1), $F659)) : INDEX(AA:AA, ROW()-1)
   )
   /SUM(INDEX(AA:AA, ROW()-COUNTIF($F$6:INDEX($F:$F, ROW()-1), $F659)) : INDEX(AA:AA, ROW()-1)),
   AVERAGEIFS(
     INDEX((unit_details[Asking Rent],unit_details[Asking PSF]),0,1,IF($U$3="Chunk Rent",1,2)),
     unit_details[Leased Date],"&gt;="&amp;($AM$2-X$5),
     unit_details[Leased Date],"&lt;"&amp;$AM$2,
     unit_details[Beds],$L660,
     unit_details[Baths],$M660,
     unit_details[Partial Baths],IF(ISNUMBER($N660),$N660,""),
     unit_details[Sqft],$P660,
     unit_details[Property Name],$F660)
 ),"")</f>
        <v/>
      </c>
      <c r="Y660" s="552" t="str">
        <f>IFERROR(
 IF($F660="Total",
   SUMPRODUCT(
   INDEX(Y:Y, ROW()-COUNTIF($F$6:INDEX($F:$F, ROW()-1), $F659)) : INDEX(Y:Y, ROW()-1),
   INDEX(AA:AA, ROW()-COUNTIF($F$6:INDEX($F:$F, ROW()-1), $F659)) : INDEX(AA:AA, ROW()-1)
   )
   /SUM(INDEX(AA:AA, ROW()-COUNTIF($F$6:INDEX($F:$F, ROW()-1), $F659)) : INDEX(AA:AA, ROW()-1)),
   AVERAGEIFS(
     INDEX((unit_details[Effective Rent],unit_details[Effective PSF]),0,1,IF($U$3="Chunk Rent",1,2)),
     unit_details[Leased Date],"&gt;="&amp;($AM$2-X$5),
     unit_details[Leased Date],"&lt;"&amp;$AM$2,
     unit_details[Beds],$L660,
     unit_details[Baths],$M660,
     unit_details[Partial Baths],IF(ISNUMBER($N660),$N660,""),
     unit_details[Sqft],$P660,
     unit_details[Property Name],$F660)
 ),"")</f>
        <v/>
      </c>
      <c r="Z660" s="27" t="str">
        <f t="shared" si="121"/>
        <v/>
      </c>
      <c r="AA660" s="526">
        <f>IFERROR(
  IF($F660="Total",
    SUM(INDEX(AA:AA, ROW()-COUNTIF($F$6:INDEX($F:$F, ROW()-1), $F659)) : INDEX(AA:AA, ROW()-1)),
    COUNTIFS(
      unit_details[Leased Date], "&gt;="&amp;($AM$2-X$5),
      unit_details[Leased Date], "&lt;"&amp;$AM$2,
      unit_details[Beds], $L660,
      unit_details[Baths], $M660,
      unit_details[Partial Baths], IF(ISNUMBER($N660), $N660, ""),
      unit_details[Sqft],$P660,
      unit_details[Property Name], $F660
    )
  ),
"")</f>
        <v>0</v>
      </c>
      <c r="AB660" s="290">
        <f>IF($F660="Total",
SUM(INDEX(AB:AB, ROW()-COUNTIF($F$6:INDEX($F:$F, ROW()-1), $F659)) : INDEX(AB:AB, ROW()-1)),
COUNTIFS(unit_details[Active Listing?],TRUE,
          unit_details[Property Name], $F660,
          unit_details[Beds], $L660,
          unit_details[Baths], $M660,
          unit_details[Partial Baths],IF(ISNUMBER($N660),$N660,""),
          unit_details[Sqft],$P660))</f>
        <v>0</v>
      </c>
      <c r="AC660" s="27" t="str">
        <f t="shared" si="113"/>
        <v/>
      </c>
      <c r="AD660" s="293" t="str">
        <f>IFERROR(IF(AE660="","",IF($F660="Total",
SUMPRODUCT(
   INDEX(AD:AD, ROW()-COUNTIF($F$6:INDEX($F:$F, ROW()-1), $F659)) : INDEX(AD:AD, ROW()-1),
   INDEX(AB:AB, ROW()-COUNTIF($F$6:INDEX($F:$F, ROW()-1), $F659)) : INDEX(AB:AB, ROW()-1)
   )
   /SUM(INDEX(AB:AB, ROW()-COUNTIF($F$6:INDEX($F:$F, ROW()-1), $F659)) : INDEX(AB:AB, ROW()-1)),
          _xlfn.MINIFS(unit_details[Asking Rent],
          unit_details[Active Listing?],TRUE,
          unit_details[Property Name], $F660,
          unit_details[Beds], $L660,
          unit_details[Baths], $M660,
          unit_details[Partial Baths], IF(ISNUMBER($N660),$N660,""),
          unit_details[Sqft],$P660
))),"")</f>
        <v/>
      </c>
      <c r="AE660" s="5" t="str">
        <f>IFERROR(IF($F660="Total",
          SUMPRODUCT(
   INDEX(AE:AE, ROW()-COUNTIF($F$6:INDEX($F:$F, ROW()-1), $F659)) : INDEX(AE:AE, ROW()-1),
   INDEX(AB:AB, ROW()-COUNTIF($F$6:INDEX($F:$F, ROW()-1), $F659)) : INDEX(AB:AB, ROW()-1)
   )
   /SUM(INDEX(AB:AB, ROW()-COUNTIF($F$6:INDEX($F:$F, ROW()-1), $F659)) : INDEX(AB:AB, ROW()-1)),
          AVERAGEIFS(unit_details[Asking Rent],
          unit_details[Active Listing?],TRUE,
          unit_details[Property Name], $F660,
          unit_details[Beds], $L660,
          unit_details[Baths], $M660,
          unit_details[Partial Baths], IF(ISNUMBER($N660),$N660,""),
          unit_details[Sqft],$P660
)),"")</f>
        <v/>
      </c>
      <c r="AF660" s="5" t="str">
        <f>IFERROR(IF(AE660="","",IF($F660="Total",
SUMPRODUCT(
   INDEX(AF:AF, ROW()-COUNTIF($F$6:INDEX($F:$F, ROW()-1), $F659)) : INDEX(AF:AF, ROW()-1),
   INDEX(AB:AB, ROW()-COUNTIF($F$6:INDEX($F:$F, ROW()-1), $F659)) : INDEX(AB:AB, ROW()-1)
   )
   /SUM(INDEX(AB:AB, ROW()-COUNTIF($F$6:INDEX($F:$F, ROW()-1), $F659)) : INDEX(AB:AB, ROW()-1)),
           _xlfn.MAXIFS(unit_details[Asking Rent],
          unit_details[Active Listing?],TRUE,
          unit_details[Property Name], $F660,
          unit_details[Beds], $L660,
          unit_details[Baths], $M660,
          unit_details[Partial Baths], IF(ISNUMBER($N660),$N660,""),
          unit_details[Sqft],$P660
))),"")</f>
        <v/>
      </c>
      <c r="AG660" s="6" t="str">
        <f>IFERROR(IF($F660="Total",
         SUMPRODUCT(
         INDEX(AG:AG, ROW()-COUNTIF($F$6:INDEX($F:$F, ROW()-1), $F659)) : INDEX(AG:AG, ROW()-1),
         INDEX(AB:AB, ROW()-COUNTIF($F$6:INDEX($F:$F, ROW()-1), $F659)) : INDEX(AB:AB, ROW()-1)
         )
         /SUM(INDEX(AB:AB, ROW()-COUNTIF($F$6:INDEX($F:$F, ROW()-1), $F659)) : INDEX(AB:AB, ROW()-1)),
          AVERAGEIFS(unit_details[Asking PSF],
          unit_details[Active Listing?],TRUE,
          unit_details[Property Name], $F660,
          unit_details[Beds], $L660,
          unit_details[Baths], $M660,
          unit_details[Partial Baths], IF(ISNUMBER($N660),$N660,""),
          unit_details[Sqft],$P660
)),"")</f>
        <v/>
      </c>
      <c r="AH660" s="293" t="str">
        <f>IFERROR(IF($F660="Total",
         SUMPRODUCT(
         INDEX(AH:AH, ROW()-COUNTIF($F$6:INDEX($F:$F, ROW()-1), $F659)) : INDEX(AH:AH, ROW()-1),
         INDEX(AB:AB, ROW()-COUNTIF($F$6:INDEX($F:$F, ROW()-1), $F659)) : INDEX(AB:AB, ROW()-1)
         )
         /SUM(INDEX(AB:AB, ROW()-COUNTIF($F$6:INDEX($F:$F, ROW()-1), $F659)) : INDEX(AB:AB, ROW()-1)),
          AVERAGEIFS(unit_details[Effective Rent],
          unit_details[Active Listing?],TRUE,
          unit_details[Property Name], $F660,
          unit_details[Beds], $L660,
          unit_details[Baths], $M660,
          unit_details[Partial Baths], IF(ISNUMBER($N660),$N660,""),
          unit_details[Sqft],$P660
)),"")</f>
        <v/>
      </c>
      <c r="AI660" s="6" t="str">
        <f>IFERROR(IF($F660="Total",
         SUMPRODUCT(
         INDEX(AI:AI, ROW()-COUNTIF($F$6:INDEX($F:$F, ROW()-1), $F659)) : INDEX(AI:AI, ROW()-1),
         INDEX(AB:AB, ROW()-COUNTIF($F$6:INDEX($F:$F, ROW()-1), $F659)) : INDEX(AB:AB, ROW()-1)
         )
         /SUM(INDEX(AB:AB, ROW()-COUNTIF($F$6:INDEX($F:$F, ROW()-1), $F659)) : INDEX(AB:AB, ROW()-1)),
           AVERAGEIFS(unit_details[Effective PSF],
          unit_details[Active Listing?],TRUE,
          unit_details[Property Name], $F660,
          unit_details[Beds], $L660,
          unit_details[Baths], $M660,
          unit_details[Partial Baths], IF(ISNUMBER($N660),$N660,""),
          unit_details[Sqft],$P660
)),"")</f>
        <v/>
      </c>
      <c r="AJ660" s="824" t="str">
        <f t="shared" si="114"/>
        <v/>
      </c>
      <c r="AK660" s="531" t="str">
        <f t="shared" si="115"/>
        <v/>
      </c>
      <c r="AL660" s="714" t="str">
        <f t="shared" si="116"/>
        <v/>
      </c>
      <c r="AM660" s="531" t="str">
        <f t="shared" si="117"/>
        <v/>
      </c>
      <c r="AN660" s="716" t="str">
        <f t="shared" si="118"/>
        <v/>
      </c>
    </row>
    <row r="661" spans="6:40" x14ac:dyDescent="0.2">
      <c r="F661" s="1" t="str">
        <f t="shared" si="111"/>
        <v/>
      </c>
      <c r="G661" s="713" t="str">
        <f t="shared" si="119"/>
        <v/>
      </c>
      <c r="H661" s="17" t="str">
        <f>IFERROR(VLOOKUP($G661,Table1[[Property]:[Exposure %]],4,0),"")</f>
        <v/>
      </c>
      <c r="I661" s="3" t="str">
        <f>IFERROR(VLOOKUP($G661,Table1[[Property]:[Exposure %]],6,0),"")</f>
        <v/>
      </c>
      <c r="J661" s="3" t="str">
        <f>IFERROR(VLOOKUP($G661,Table1[[Property]:[Exposure %]],7,0),"")</f>
        <v/>
      </c>
      <c r="R661" s="4" t="str">
        <f>IFERROR(VLOOKUP(IF(F661="Total",F660,F661),Table1[[Property]:['# Units]],7,0)*S661,"")</f>
        <v/>
      </c>
      <c r="S661" s="27" t="str">
        <f t="shared" si="112"/>
        <v/>
      </c>
      <c r="T661" s="531" t="str">
        <f>IFERROR(
 IF($F661="Total",
   SUMPRODUCT(
   INDEX(T:T, ROW()-COUNTIF($F$6:INDEX($F:$F, ROW()-1), $F660)) : INDEX(T:T, ROW()-1),
   INDEX(W:W, ROW()-COUNTIF($F$6:INDEX($F:$F, ROW()-1), $F660)) : INDEX(W:W, ROW()-1)
   )
   /SUM(INDEX(W:W, ROW()-COUNTIF($F$6:INDEX($F:$F, ROW()-1), $F660)) : INDEX(W:W, ROW()-1)),
   AVERAGEIFS(
     INDEX((unit_details[Asking Rent],unit_details[Asking PSF]),0,1,IF($U$3="Chunk Rent",1,2)),
     unit_details[Leased Date],"&gt;="&amp;($AM$2-T$5),
     unit_details[Leased Date],"&lt;"&amp;$AM$2,
     unit_details[Beds],$L661,
     unit_details[Baths],$M661,
     unit_details[Partial Baths],IF(ISNUMBER($N661),$N661,""),
     unit_details[Sqft],$P661,
     unit_details[Property Name],$F661)
 ),"")</f>
        <v/>
      </c>
      <c r="U661" s="552" t="str">
        <f>IFERROR(
 IF($F661="Total",
   SUMPRODUCT(
   INDEX(U:U, ROW()-COUNTIF($F$6:INDEX($F:$F, ROW()-1), $F660)) : INDEX(U:U, ROW()-1),
   INDEX(W:W, ROW()-COUNTIF($F$6:INDEX($F:$F, ROW()-1), $F660)) : INDEX(W:W, ROW()-1)
   )
   /SUM(INDEX(W:W, ROW()-COUNTIF($F$6:INDEX($F:$F, ROW()-1), $F660)) : INDEX(W:W, ROW()-1)),
   AVERAGEIFS(
     INDEX((unit_details[Effective Rent],unit_details[Effective PSF]),0,1,IF($U$3="Chunk Rent",1,2)),
     unit_details[Leased Date],"&gt;="&amp;($AM$2-T$5),
     unit_details[Leased Date],"&lt;"&amp;$AM$2,
     unit_details[Beds],$L661,
     unit_details[Baths],$M661,
     unit_details[Partial Baths],IF(ISNUMBER($N661),$N661,""),
     unit_details[Sqft],$P661,
     unit_details[Property Name],$F661)
 ),"")</f>
        <v/>
      </c>
      <c r="V661" s="27" t="str">
        <f t="shared" si="120"/>
        <v/>
      </c>
      <c r="W661" s="526">
        <f>IFERROR(
  IF($F661="Total",
    SUM(INDEX(W:W, ROW()-COUNTIF($F$6:INDEX($F:$F, ROW()-1), $F660)) : INDEX(W:W, ROW()-1)),
    COUNTIFS(
      unit_details[Leased Date], "&gt;="&amp;($AM$2-T$5),
      unit_details[Leased Date], "&lt;"&amp;$AM$2,
      unit_details[Beds], $L661,
      unit_details[Baths], $M661,
      unit_details[Partial Baths], IF(ISNUMBER($N661), $N661, ""),
      unit_details[Sqft],$P661,
      unit_details[Property Name], $F661
    )
  ),
"")</f>
        <v>0</v>
      </c>
      <c r="X661" s="531" t="str">
        <f>IFERROR(
 IF($F661="Total",
   SUMPRODUCT(
   INDEX(X:X, ROW()-COUNTIF($F$6:INDEX($F:$F, ROW()-1), $F660)) : INDEX(X:X, ROW()-1),
   INDEX(AA:AA, ROW()-COUNTIF($F$6:INDEX($F:$F, ROW()-1), $F660)) : INDEX(AA:AA, ROW()-1)
   )
   /SUM(INDEX(AA:AA, ROW()-COUNTIF($F$6:INDEX($F:$F, ROW()-1), $F660)) : INDEX(AA:AA, ROW()-1)),
   AVERAGEIFS(
     INDEX((unit_details[Asking Rent],unit_details[Asking PSF]),0,1,IF($U$3="Chunk Rent",1,2)),
     unit_details[Leased Date],"&gt;="&amp;($AM$2-X$5),
     unit_details[Leased Date],"&lt;"&amp;$AM$2,
     unit_details[Beds],$L661,
     unit_details[Baths],$M661,
     unit_details[Partial Baths],IF(ISNUMBER($N661),$N661,""),
     unit_details[Sqft],$P661,
     unit_details[Property Name],$F661)
 ),"")</f>
        <v/>
      </c>
      <c r="Y661" s="552" t="str">
        <f>IFERROR(
 IF($F661="Total",
   SUMPRODUCT(
   INDEX(Y:Y, ROW()-COUNTIF($F$6:INDEX($F:$F, ROW()-1), $F660)) : INDEX(Y:Y, ROW()-1),
   INDEX(AA:AA, ROW()-COUNTIF($F$6:INDEX($F:$F, ROW()-1), $F660)) : INDEX(AA:AA, ROW()-1)
   )
   /SUM(INDEX(AA:AA, ROW()-COUNTIF($F$6:INDEX($F:$F, ROW()-1), $F660)) : INDEX(AA:AA, ROW()-1)),
   AVERAGEIFS(
     INDEX((unit_details[Effective Rent],unit_details[Effective PSF]),0,1,IF($U$3="Chunk Rent",1,2)),
     unit_details[Leased Date],"&gt;="&amp;($AM$2-X$5),
     unit_details[Leased Date],"&lt;"&amp;$AM$2,
     unit_details[Beds],$L661,
     unit_details[Baths],$M661,
     unit_details[Partial Baths],IF(ISNUMBER($N661),$N661,""),
     unit_details[Sqft],$P661,
     unit_details[Property Name],$F661)
 ),"")</f>
        <v/>
      </c>
      <c r="Z661" s="27" t="str">
        <f t="shared" si="121"/>
        <v/>
      </c>
      <c r="AA661" s="526">
        <f>IFERROR(
  IF($F661="Total",
    SUM(INDEX(AA:AA, ROW()-COUNTIF($F$6:INDEX($F:$F, ROW()-1), $F660)) : INDEX(AA:AA, ROW()-1)),
    COUNTIFS(
      unit_details[Leased Date], "&gt;="&amp;($AM$2-X$5),
      unit_details[Leased Date], "&lt;"&amp;$AM$2,
      unit_details[Beds], $L661,
      unit_details[Baths], $M661,
      unit_details[Partial Baths], IF(ISNUMBER($N661), $N661, ""),
      unit_details[Sqft],$P661,
      unit_details[Property Name], $F661
    )
  ),
"")</f>
        <v>0</v>
      </c>
      <c r="AB661" s="290">
        <f>IF($F661="Total",
SUM(INDEX(AB:AB, ROW()-COUNTIF($F$6:INDEX($F:$F, ROW()-1), $F660)) : INDEX(AB:AB, ROW()-1)),
COUNTIFS(unit_details[Active Listing?],TRUE,
          unit_details[Property Name], $F661,
          unit_details[Beds], $L661,
          unit_details[Baths], $M661,
          unit_details[Partial Baths],IF(ISNUMBER($N661),$N661,""),
          unit_details[Sqft],$P661))</f>
        <v>0</v>
      </c>
      <c r="AC661" s="27" t="str">
        <f t="shared" si="113"/>
        <v/>
      </c>
      <c r="AD661" s="293" t="str">
        <f>IFERROR(IF(AE661="","",IF($F661="Total",
SUMPRODUCT(
   INDEX(AD:AD, ROW()-COUNTIF($F$6:INDEX($F:$F, ROW()-1), $F660)) : INDEX(AD:AD, ROW()-1),
   INDEX(AB:AB, ROW()-COUNTIF($F$6:INDEX($F:$F, ROW()-1), $F660)) : INDEX(AB:AB, ROW()-1)
   )
   /SUM(INDEX(AB:AB, ROW()-COUNTIF($F$6:INDEX($F:$F, ROW()-1), $F660)) : INDEX(AB:AB, ROW()-1)),
          _xlfn.MINIFS(unit_details[Asking Rent],
          unit_details[Active Listing?],TRUE,
          unit_details[Property Name], $F661,
          unit_details[Beds], $L661,
          unit_details[Baths], $M661,
          unit_details[Partial Baths], IF(ISNUMBER($N661),$N661,""),
          unit_details[Sqft],$P661
))),"")</f>
        <v/>
      </c>
      <c r="AE661" s="5" t="str">
        <f>IFERROR(IF($F661="Total",
          SUMPRODUCT(
   INDEX(AE:AE, ROW()-COUNTIF($F$6:INDEX($F:$F, ROW()-1), $F660)) : INDEX(AE:AE, ROW()-1),
   INDEX(AB:AB, ROW()-COUNTIF($F$6:INDEX($F:$F, ROW()-1), $F660)) : INDEX(AB:AB, ROW()-1)
   )
   /SUM(INDEX(AB:AB, ROW()-COUNTIF($F$6:INDEX($F:$F, ROW()-1), $F660)) : INDEX(AB:AB, ROW()-1)),
          AVERAGEIFS(unit_details[Asking Rent],
          unit_details[Active Listing?],TRUE,
          unit_details[Property Name], $F661,
          unit_details[Beds], $L661,
          unit_details[Baths], $M661,
          unit_details[Partial Baths], IF(ISNUMBER($N661),$N661,""),
          unit_details[Sqft],$P661
)),"")</f>
        <v/>
      </c>
      <c r="AF661" s="5" t="str">
        <f>IFERROR(IF(AE661="","",IF($F661="Total",
SUMPRODUCT(
   INDEX(AF:AF, ROW()-COUNTIF($F$6:INDEX($F:$F, ROW()-1), $F660)) : INDEX(AF:AF, ROW()-1),
   INDEX(AB:AB, ROW()-COUNTIF($F$6:INDEX($F:$F, ROW()-1), $F660)) : INDEX(AB:AB, ROW()-1)
   )
   /SUM(INDEX(AB:AB, ROW()-COUNTIF($F$6:INDEX($F:$F, ROW()-1), $F660)) : INDEX(AB:AB, ROW()-1)),
           _xlfn.MAXIFS(unit_details[Asking Rent],
          unit_details[Active Listing?],TRUE,
          unit_details[Property Name], $F661,
          unit_details[Beds], $L661,
          unit_details[Baths], $M661,
          unit_details[Partial Baths], IF(ISNUMBER($N661),$N661,""),
          unit_details[Sqft],$P661
))),"")</f>
        <v/>
      </c>
      <c r="AG661" s="6" t="str">
        <f>IFERROR(IF($F661="Total",
         SUMPRODUCT(
         INDEX(AG:AG, ROW()-COUNTIF($F$6:INDEX($F:$F, ROW()-1), $F660)) : INDEX(AG:AG, ROW()-1),
         INDEX(AB:AB, ROW()-COUNTIF($F$6:INDEX($F:$F, ROW()-1), $F660)) : INDEX(AB:AB, ROW()-1)
         )
         /SUM(INDEX(AB:AB, ROW()-COUNTIF($F$6:INDEX($F:$F, ROW()-1), $F660)) : INDEX(AB:AB, ROW()-1)),
          AVERAGEIFS(unit_details[Asking PSF],
          unit_details[Active Listing?],TRUE,
          unit_details[Property Name], $F661,
          unit_details[Beds], $L661,
          unit_details[Baths], $M661,
          unit_details[Partial Baths], IF(ISNUMBER($N661),$N661,""),
          unit_details[Sqft],$P661
)),"")</f>
        <v/>
      </c>
      <c r="AH661" s="293" t="str">
        <f>IFERROR(IF($F661="Total",
         SUMPRODUCT(
         INDEX(AH:AH, ROW()-COUNTIF($F$6:INDEX($F:$F, ROW()-1), $F660)) : INDEX(AH:AH, ROW()-1),
         INDEX(AB:AB, ROW()-COUNTIF($F$6:INDEX($F:$F, ROW()-1), $F660)) : INDEX(AB:AB, ROW()-1)
         )
         /SUM(INDEX(AB:AB, ROW()-COUNTIF($F$6:INDEX($F:$F, ROW()-1), $F660)) : INDEX(AB:AB, ROW()-1)),
          AVERAGEIFS(unit_details[Effective Rent],
          unit_details[Active Listing?],TRUE,
          unit_details[Property Name], $F661,
          unit_details[Beds], $L661,
          unit_details[Baths], $M661,
          unit_details[Partial Baths], IF(ISNUMBER($N661),$N661,""),
          unit_details[Sqft],$P661
)),"")</f>
        <v/>
      </c>
      <c r="AI661" s="6" t="str">
        <f>IFERROR(IF($F661="Total",
         SUMPRODUCT(
         INDEX(AI:AI, ROW()-COUNTIF($F$6:INDEX($F:$F, ROW()-1), $F660)) : INDEX(AI:AI, ROW()-1),
         INDEX(AB:AB, ROW()-COUNTIF($F$6:INDEX($F:$F, ROW()-1), $F660)) : INDEX(AB:AB, ROW()-1)
         )
         /SUM(INDEX(AB:AB, ROW()-COUNTIF($F$6:INDEX($F:$F, ROW()-1), $F660)) : INDEX(AB:AB, ROW()-1)),
           AVERAGEIFS(unit_details[Effective PSF],
          unit_details[Active Listing?],TRUE,
          unit_details[Property Name], $F661,
          unit_details[Beds], $L661,
          unit_details[Baths], $M661,
          unit_details[Partial Baths], IF(ISNUMBER($N661),$N661,""),
          unit_details[Sqft],$P661
)),"")</f>
        <v/>
      </c>
      <c r="AJ661" s="824" t="str">
        <f t="shared" si="114"/>
        <v/>
      </c>
      <c r="AK661" s="531" t="str">
        <f t="shared" si="115"/>
        <v/>
      </c>
      <c r="AL661" s="714" t="str">
        <f t="shared" si="116"/>
        <v/>
      </c>
      <c r="AM661" s="531" t="str">
        <f t="shared" si="117"/>
        <v/>
      </c>
      <c r="AN661" s="716" t="str">
        <f t="shared" si="118"/>
        <v/>
      </c>
    </row>
    <row r="662" spans="6:40" x14ac:dyDescent="0.2">
      <c r="F662" s="1" t="str">
        <f t="shared" si="111"/>
        <v/>
      </c>
      <c r="G662" s="713" t="str">
        <f t="shared" si="119"/>
        <v/>
      </c>
      <c r="H662" s="17" t="str">
        <f>IFERROR(VLOOKUP($G662,Table1[[Property]:[Exposure %]],4,0),"")</f>
        <v/>
      </c>
      <c r="I662" s="3" t="str">
        <f>IFERROR(VLOOKUP($G662,Table1[[Property]:[Exposure %]],6,0),"")</f>
        <v/>
      </c>
      <c r="J662" s="3" t="str">
        <f>IFERROR(VLOOKUP($G662,Table1[[Property]:[Exposure %]],7,0),"")</f>
        <v/>
      </c>
      <c r="R662" s="4" t="str">
        <f>IFERROR(VLOOKUP(IF(F662="Total",F661,F662),Table1[[Property]:['# Units]],7,0)*S662,"")</f>
        <v/>
      </c>
      <c r="S662" s="27" t="str">
        <f t="shared" si="112"/>
        <v/>
      </c>
      <c r="T662" s="531" t="str">
        <f>IFERROR(
 IF($F662="Total",
   SUMPRODUCT(
   INDEX(T:T, ROW()-COUNTIF($F$6:INDEX($F:$F, ROW()-1), $F661)) : INDEX(T:T, ROW()-1),
   INDEX(W:W, ROW()-COUNTIF($F$6:INDEX($F:$F, ROW()-1), $F661)) : INDEX(W:W, ROW()-1)
   )
   /SUM(INDEX(W:W, ROW()-COUNTIF($F$6:INDEX($F:$F, ROW()-1), $F661)) : INDEX(W:W, ROW()-1)),
   AVERAGEIFS(
     INDEX((unit_details[Asking Rent],unit_details[Asking PSF]),0,1,IF($U$3="Chunk Rent",1,2)),
     unit_details[Leased Date],"&gt;="&amp;($AM$2-T$5),
     unit_details[Leased Date],"&lt;"&amp;$AM$2,
     unit_details[Beds],$L662,
     unit_details[Baths],$M662,
     unit_details[Partial Baths],IF(ISNUMBER($N662),$N662,""),
     unit_details[Sqft],$P662,
     unit_details[Property Name],$F662)
 ),"")</f>
        <v/>
      </c>
      <c r="U662" s="552" t="str">
        <f>IFERROR(
 IF($F662="Total",
   SUMPRODUCT(
   INDEX(U:U, ROW()-COUNTIF($F$6:INDEX($F:$F, ROW()-1), $F661)) : INDEX(U:U, ROW()-1),
   INDEX(W:W, ROW()-COUNTIF($F$6:INDEX($F:$F, ROW()-1), $F661)) : INDEX(W:W, ROW()-1)
   )
   /SUM(INDEX(W:W, ROW()-COUNTIF($F$6:INDEX($F:$F, ROW()-1), $F661)) : INDEX(W:W, ROW()-1)),
   AVERAGEIFS(
     INDEX((unit_details[Effective Rent],unit_details[Effective PSF]),0,1,IF($U$3="Chunk Rent",1,2)),
     unit_details[Leased Date],"&gt;="&amp;($AM$2-T$5),
     unit_details[Leased Date],"&lt;"&amp;$AM$2,
     unit_details[Beds],$L662,
     unit_details[Baths],$M662,
     unit_details[Partial Baths],IF(ISNUMBER($N662),$N662,""),
     unit_details[Sqft],$P662,
     unit_details[Property Name],$F662)
 ),"")</f>
        <v/>
      </c>
      <c r="V662" s="27" t="str">
        <f t="shared" si="120"/>
        <v/>
      </c>
      <c r="W662" s="526">
        <f>IFERROR(
  IF($F662="Total",
    SUM(INDEX(W:W, ROW()-COUNTIF($F$6:INDEX($F:$F, ROW()-1), $F661)) : INDEX(W:W, ROW()-1)),
    COUNTIFS(
      unit_details[Leased Date], "&gt;="&amp;($AM$2-T$5),
      unit_details[Leased Date], "&lt;"&amp;$AM$2,
      unit_details[Beds], $L662,
      unit_details[Baths], $M662,
      unit_details[Partial Baths], IF(ISNUMBER($N662), $N662, ""),
      unit_details[Sqft],$P662,
      unit_details[Property Name], $F662
    )
  ),
"")</f>
        <v>0</v>
      </c>
      <c r="X662" s="531" t="str">
        <f>IFERROR(
 IF($F662="Total",
   SUMPRODUCT(
   INDEX(X:X, ROW()-COUNTIF($F$6:INDEX($F:$F, ROW()-1), $F661)) : INDEX(X:X, ROW()-1),
   INDEX(AA:AA, ROW()-COUNTIF($F$6:INDEX($F:$F, ROW()-1), $F661)) : INDEX(AA:AA, ROW()-1)
   )
   /SUM(INDEX(AA:AA, ROW()-COUNTIF($F$6:INDEX($F:$F, ROW()-1), $F661)) : INDEX(AA:AA, ROW()-1)),
   AVERAGEIFS(
     INDEX((unit_details[Asking Rent],unit_details[Asking PSF]),0,1,IF($U$3="Chunk Rent",1,2)),
     unit_details[Leased Date],"&gt;="&amp;($AM$2-X$5),
     unit_details[Leased Date],"&lt;"&amp;$AM$2,
     unit_details[Beds],$L662,
     unit_details[Baths],$M662,
     unit_details[Partial Baths],IF(ISNUMBER($N662),$N662,""),
     unit_details[Sqft],$P662,
     unit_details[Property Name],$F662)
 ),"")</f>
        <v/>
      </c>
      <c r="Y662" s="552" t="str">
        <f>IFERROR(
 IF($F662="Total",
   SUMPRODUCT(
   INDEX(Y:Y, ROW()-COUNTIF($F$6:INDEX($F:$F, ROW()-1), $F661)) : INDEX(Y:Y, ROW()-1),
   INDEX(AA:AA, ROW()-COUNTIF($F$6:INDEX($F:$F, ROW()-1), $F661)) : INDEX(AA:AA, ROW()-1)
   )
   /SUM(INDEX(AA:AA, ROW()-COUNTIF($F$6:INDEX($F:$F, ROW()-1), $F661)) : INDEX(AA:AA, ROW()-1)),
   AVERAGEIFS(
     INDEX((unit_details[Effective Rent],unit_details[Effective PSF]),0,1,IF($U$3="Chunk Rent",1,2)),
     unit_details[Leased Date],"&gt;="&amp;($AM$2-X$5),
     unit_details[Leased Date],"&lt;"&amp;$AM$2,
     unit_details[Beds],$L662,
     unit_details[Baths],$M662,
     unit_details[Partial Baths],IF(ISNUMBER($N662),$N662,""),
     unit_details[Sqft],$P662,
     unit_details[Property Name],$F662)
 ),"")</f>
        <v/>
      </c>
      <c r="Z662" s="27" t="str">
        <f t="shared" si="121"/>
        <v/>
      </c>
      <c r="AA662" s="526">
        <f>IFERROR(
  IF($F662="Total",
    SUM(INDEX(AA:AA, ROW()-COUNTIF($F$6:INDEX($F:$F, ROW()-1), $F661)) : INDEX(AA:AA, ROW()-1)),
    COUNTIFS(
      unit_details[Leased Date], "&gt;="&amp;($AM$2-X$5),
      unit_details[Leased Date], "&lt;"&amp;$AM$2,
      unit_details[Beds], $L662,
      unit_details[Baths], $M662,
      unit_details[Partial Baths], IF(ISNUMBER($N662), $N662, ""),
      unit_details[Sqft],$P662,
      unit_details[Property Name], $F662
    )
  ),
"")</f>
        <v>0</v>
      </c>
      <c r="AB662" s="290">
        <f>IF($F662="Total",
SUM(INDEX(AB:AB, ROW()-COUNTIF($F$6:INDEX($F:$F, ROW()-1), $F661)) : INDEX(AB:AB, ROW()-1)),
COUNTIFS(unit_details[Active Listing?],TRUE,
          unit_details[Property Name], $F662,
          unit_details[Beds], $L662,
          unit_details[Baths], $M662,
          unit_details[Partial Baths],IF(ISNUMBER($N662),$N662,""),
          unit_details[Sqft],$P662))</f>
        <v>0</v>
      </c>
      <c r="AC662" s="27" t="str">
        <f t="shared" si="113"/>
        <v/>
      </c>
      <c r="AD662" s="293" t="str">
        <f>IFERROR(IF(AE662="","",IF($F662="Total",
SUMPRODUCT(
   INDEX(AD:AD, ROW()-COUNTIF($F$6:INDEX($F:$F, ROW()-1), $F661)) : INDEX(AD:AD, ROW()-1),
   INDEX(AB:AB, ROW()-COUNTIF($F$6:INDEX($F:$F, ROW()-1), $F661)) : INDEX(AB:AB, ROW()-1)
   )
   /SUM(INDEX(AB:AB, ROW()-COUNTIF($F$6:INDEX($F:$F, ROW()-1), $F661)) : INDEX(AB:AB, ROW()-1)),
          _xlfn.MINIFS(unit_details[Asking Rent],
          unit_details[Active Listing?],TRUE,
          unit_details[Property Name], $F662,
          unit_details[Beds], $L662,
          unit_details[Baths], $M662,
          unit_details[Partial Baths], IF(ISNUMBER($N662),$N662,""),
          unit_details[Sqft],$P662
))),"")</f>
        <v/>
      </c>
      <c r="AE662" s="5" t="str">
        <f>IFERROR(IF($F662="Total",
          SUMPRODUCT(
   INDEX(AE:AE, ROW()-COUNTIF($F$6:INDEX($F:$F, ROW()-1), $F661)) : INDEX(AE:AE, ROW()-1),
   INDEX(AB:AB, ROW()-COUNTIF($F$6:INDEX($F:$F, ROW()-1), $F661)) : INDEX(AB:AB, ROW()-1)
   )
   /SUM(INDEX(AB:AB, ROW()-COUNTIF($F$6:INDEX($F:$F, ROW()-1), $F661)) : INDEX(AB:AB, ROW()-1)),
          AVERAGEIFS(unit_details[Asking Rent],
          unit_details[Active Listing?],TRUE,
          unit_details[Property Name], $F662,
          unit_details[Beds], $L662,
          unit_details[Baths], $M662,
          unit_details[Partial Baths], IF(ISNUMBER($N662),$N662,""),
          unit_details[Sqft],$P662
)),"")</f>
        <v/>
      </c>
      <c r="AF662" s="5" t="str">
        <f>IFERROR(IF(AE662="","",IF($F662="Total",
SUMPRODUCT(
   INDEX(AF:AF, ROW()-COUNTIF($F$6:INDEX($F:$F, ROW()-1), $F661)) : INDEX(AF:AF, ROW()-1),
   INDEX(AB:AB, ROW()-COUNTIF($F$6:INDEX($F:$F, ROW()-1), $F661)) : INDEX(AB:AB, ROW()-1)
   )
   /SUM(INDEX(AB:AB, ROW()-COUNTIF($F$6:INDEX($F:$F, ROW()-1), $F661)) : INDEX(AB:AB, ROW()-1)),
           _xlfn.MAXIFS(unit_details[Asking Rent],
          unit_details[Active Listing?],TRUE,
          unit_details[Property Name], $F662,
          unit_details[Beds], $L662,
          unit_details[Baths], $M662,
          unit_details[Partial Baths], IF(ISNUMBER($N662),$N662,""),
          unit_details[Sqft],$P662
))),"")</f>
        <v/>
      </c>
      <c r="AG662" s="6" t="str">
        <f>IFERROR(IF($F662="Total",
         SUMPRODUCT(
         INDEX(AG:AG, ROW()-COUNTIF($F$6:INDEX($F:$F, ROW()-1), $F661)) : INDEX(AG:AG, ROW()-1),
         INDEX(AB:AB, ROW()-COUNTIF($F$6:INDEX($F:$F, ROW()-1), $F661)) : INDEX(AB:AB, ROW()-1)
         )
         /SUM(INDEX(AB:AB, ROW()-COUNTIF($F$6:INDEX($F:$F, ROW()-1), $F661)) : INDEX(AB:AB, ROW()-1)),
          AVERAGEIFS(unit_details[Asking PSF],
          unit_details[Active Listing?],TRUE,
          unit_details[Property Name], $F662,
          unit_details[Beds], $L662,
          unit_details[Baths], $M662,
          unit_details[Partial Baths], IF(ISNUMBER($N662),$N662,""),
          unit_details[Sqft],$P662
)),"")</f>
        <v/>
      </c>
      <c r="AH662" s="293" t="str">
        <f>IFERROR(IF($F662="Total",
         SUMPRODUCT(
         INDEX(AH:AH, ROW()-COUNTIF($F$6:INDEX($F:$F, ROW()-1), $F661)) : INDEX(AH:AH, ROW()-1),
         INDEX(AB:AB, ROW()-COUNTIF($F$6:INDEX($F:$F, ROW()-1), $F661)) : INDEX(AB:AB, ROW()-1)
         )
         /SUM(INDEX(AB:AB, ROW()-COUNTIF($F$6:INDEX($F:$F, ROW()-1), $F661)) : INDEX(AB:AB, ROW()-1)),
          AVERAGEIFS(unit_details[Effective Rent],
          unit_details[Active Listing?],TRUE,
          unit_details[Property Name], $F662,
          unit_details[Beds], $L662,
          unit_details[Baths], $M662,
          unit_details[Partial Baths], IF(ISNUMBER($N662),$N662,""),
          unit_details[Sqft],$P662
)),"")</f>
        <v/>
      </c>
      <c r="AI662" s="6" t="str">
        <f>IFERROR(IF($F662="Total",
         SUMPRODUCT(
         INDEX(AI:AI, ROW()-COUNTIF($F$6:INDEX($F:$F, ROW()-1), $F661)) : INDEX(AI:AI, ROW()-1),
         INDEX(AB:AB, ROW()-COUNTIF($F$6:INDEX($F:$F, ROW()-1), $F661)) : INDEX(AB:AB, ROW()-1)
         )
         /SUM(INDEX(AB:AB, ROW()-COUNTIF($F$6:INDEX($F:$F, ROW()-1), $F661)) : INDEX(AB:AB, ROW()-1)),
           AVERAGEIFS(unit_details[Effective PSF],
          unit_details[Active Listing?],TRUE,
          unit_details[Property Name], $F662,
          unit_details[Beds], $L662,
          unit_details[Baths], $M662,
          unit_details[Partial Baths], IF(ISNUMBER($N662),$N662,""),
          unit_details[Sqft],$P662
)),"")</f>
        <v/>
      </c>
      <c r="AJ662" s="824" t="str">
        <f t="shared" si="114"/>
        <v/>
      </c>
      <c r="AK662" s="531" t="str">
        <f t="shared" si="115"/>
        <v/>
      </c>
      <c r="AL662" s="714" t="str">
        <f t="shared" si="116"/>
        <v/>
      </c>
      <c r="AM662" s="531" t="str">
        <f t="shared" si="117"/>
        <v/>
      </c>
      <c r="AN662" s="716" t="str">
        <f t="shared" si="118"/>
        <v/>
      </c>
    </row>
    <row r="663" spans="6:40" x14ac:dyDescent="0.2">
      <c r="F663" s="1" t="str">
        <f t="shared" si="111"/>
        <v/>
      </c>
      <c r="G663" s="713" t="str">
        <f t="shared" si="119"/>
        <v/>
      </c>
      <c r="H663" s="17" t="str">
        <f>IFERROR(VLOOKUP($G663,Table1[[Property]:[Exposure %]],4,0),"")</f>
        <v/>
      </c>
      <c r="I663" s="3" t="str">
        <f>IFERROR(VLOOKUP($G663,Table1[[Property]:[Exposure %]],6,0),"")</f>
        <v/>
      </c>
      <c r="J663" s="3" t="str">
        <f>IFERROR(VLOOKUP($G663,Table1[[Property]:[Exposure %]],7,0),"")</f>
        <v/>
      </c>
      <c r="R663" s="4" t="str">
        <f>IFERROR(VLOOKUP(IF(F663="Total",F662,F663),Table1[[Property]:['# Units]],7,0)*S663,"")</f>
        <v/>
      </c>
      <c r="S663" s="27" t="str">
        <f t="shared" si="112"/>
        <v/>
      </c>
      <c r="T663" s="531" t="str">
        <f>IFERROR(
 IF($F663="Total",
   SUMPRODUCT(
   INDEX(T:T, ROW()-COUNTIF($F$6:INDEX($F:$F, ROW()-1), $F662)) : INDEX(T:T, ROW()-1),
   INDEX(W:W, ROW()-COUNTIF($F$6:INDEX($F:$F, ROW()-1), $F662)) : INDEX(W:W, ROW()-1)
   )
   /SUM(INDEX(W:W, ROW()-COUNTIF($F$6:INDEX($F:$F, ROW()-1), $F662)) : INDEX(W:W, ROW()-1)),
   AVERAGEIFS(
     INDEX((unit_details[Asking Rent],unit_details[Asking PSF]),0,1,IF($U$3="Chunk Rent",1,2)),
     unit_details[Leased Date],"&gt;="&amp;($AM$2-T$5),
     unit_details[Leased Date],"&lt;"&amp;$AM$2,
     unit_details[Beds],$L663,
     unit_details[Baths],$M663,
     unit_details[Partial Baths],IF(ISNUMBER($N663),$N663,""),
     unit_details[Sqft],$P663,
     unit_details[Property Name],$F663)
 ),"")</f>
        <v/>
      </c>
      <c r="U663" s="552" t="str">
        <f>IFERROR(
 IF($F663="Total",
   SUMPRODUCT(
   INDEX(U:U, ROW()-COUNTIF($F$6:INDEX($F:$F, ROW()-1), $F662)) : INDEX(U:U, ROW()-1),
   INDEX(W:W, ROW()-COUNTIF($F$6:INDEX($F:$F, ROW()-1), $F662)) : INDEX(W:W, ROW()-1)
   )
   /SUM(INDEX(W:W, ROW()-COUNTIF($F$6:INDEX($F:$F, ROW()-1), $F662)) : INDEX(W:W, ROW()-1)),
   AVERAGEIFS(
     INDEX((unit_details[Effective Rent],unit_details[Effective PSF]),0,1,IF($U$3="Chunk Rent",1,2)),
     unit_details[Leased Date],"&gt;="&amp;($AM$2-T$5),
     unit_details[Leased Date],"&lt;"&amp;$AM$2,
     unit_details[Beds],$L663,
     unit_details[Baths],$M663,
     unit_details[Partial Baths],IF(ISNUMBER($N663),$N663,""),
     unit_details[Sqft],$P663,
     unit_details[Property Name],$F663)
 ),"")</f>
        <v/>
      </c>
      <c r="V663" s="27" t="str">
        <f t="shared" si="120"/>
        <v/>
      </c>
      <c r="W663" s="526">
        <f>IFERROR(
  IF($F663="Total",
    SUM(INDEX(W:W, ROW()-COUNTIF($F$6:INDEX($F:$F, ROW()-1), $F662)) : INDEX(W:W, ROW()-1)),
    COUNTIFS(
      unit_details[Leased Date], "&gt;="&amp;($AM$2-T$5),
      unit_details[Leased Date], "&lt;"&amp;$AM$2,
      unit_details[Beds], $L663,
      unit_details[Baths], $M663,
      unit_details[Partial Baths], IF(ISNUMBER($N663), $N663, ""),
      unit_details[Sqft],$P663,
      unit_details[Property Name], $F663
    )
  ),
"")</f>
        <v>0</v>
      </c>
      <c r="X663" s="531" t="str">
        <f>IFERROR(
 IF($F663="Total",
   SUMPRODUCT(
   INDEX(X:X, ROW()-COUNTIF($F$6:INDEX($F:$F, ROW()-1), $F662)) : INDEX(X:X, ROW()-1),
   INDEX(AA:AA, ROW()-COUNTIF($F$6:INDEX($F:$F, ROW()-1), $F662)) : INDEX(AA:AA, ROW()-1)
   )
   /SUM(INDEX(AA:AA, ROW()-COUNTIF($F$6:INDEX($F:$F, ROW()-1), $F662)) : INDEX(AA:AA, ROW()-1)),
   AVERAGEIFS(
     INDEX((unit_details[Asking Rent],unit_details[Asking PSF]),0,1,IF($U$3="Chunk Rent",1,2)),
     unit_details[Leased Date],"&gt;="&amp;($AM$2-X$5),
     unit_details[Leased Date],"&lt;"&amp;$AM$2,
     unit_details[Beds],$L663,
     unit_details[Baths],$M663,
     unit_details[Partial Baths],IF(ISNUMBER($N663),$N663,""),
     unit_details[Sqft],$P663,
     unit_details[Property Name],$F663)
 ),"")</f>
        <v/>
      </c>
      <c r="Y663" s="552" t="str">
        <f>IFERROR(
 IF($F663="Total",
   SUMPRODUCT(
   INDEX(Y:Y, ROW()-COUNTIF($F$6:INDEX($F:$F, ROW()-1), $F662)) : INDEX(Y:Y, ROW()-1),
   INDEX(AA:AA, ROW()-COUNTIF($F$6:INDEX($F:$F, ROW()-1), $F662)) : INDEX(AA:AA, ROW()-1)
   )
   /SUM(INDEX(AA:AA, ROW()-COUNTIF($F$6:INDEX($F:$F, ROW()-1), $F662)) : INDEX(AA:AA, ROW()-1)),
   AVERAGEIFS(
     INDEX((unit_details[Effective Rent],unit_details[Effective PSF]),0,1,IF($U$3="Chunk Rent",1,2)),
     unit_details[Leased Date],"&gt;="&amp;($AM$2-X$5),
     unit_details[Leased Date],"&lt;"&amp;$AM$2,
     unit_details[Beds],$L663,
     unit_details[Baths],$M663,
     unit_details[Partial Baths],IF(ISNUMBER($N663),$N663,""),
     unit_details[Sqft],$P663,
     unit_details[Property Name],$F663)
 ),"")</f>
        <v/>
      </c>
      <c r="Z663" s="27" t="str">
        <f t="shared" si="121"/>
        <v/>
      </c>
      <c r="AA663" s="526">
        <f>IFERROR(
  IF($F663="Total",
    SUM(INDEX(AA:AA, ROW()-COUNTIF($F$6:INDEX($F:$F, ROW()-1), $F662)) : INDEX(AA:AA, ROW()-1)),
    COUNTIFS(
      unit_details[Leased Date], "&gt;="&amp;($AM$2-X$5),
      unit_details[Leased Date], "&lt;"&amp;$AM$2,
      unit_details[Beds], $L663,
      unit_details[Baths], $M663,
      unit_details[Partial Baths], IF(ISNUMBER($N663), $N663, ""),
      unit_details[Sqft],$P663,
      unit_details[Property Name], $F663
    )
  ),
"")</f>
        <v>0</v>
      </c>
      <c r="AB663" s="290">
        <f>IF($F663="Total",
SUM(INDEX(AB:AB, ROW()-COUNTIF($F$6:INDEX($F:$F, ROW()-1), $F662)) : INDEX(AB:AB, ROW()-1)),
COUNTIFS(unit_details[Active Listing?],TRUE,
          unit_details[Property Name], $F663,
          unit_details[Beds], $L663,
          unit_details[Baths], $M663,
          unit_details[Partial Baths],IF(ISNUMBER($N663),$N663,""),
          unit_details[Sqft],$P663))</f>
        <v>0</v>
      </c>
      <c r="AC663" s="27" t="str">
        <f t="shared" si="113"/>
        <v/>
      </c>
      <c r="AD663" s="293" t="str">
        <f>IFERROR(IF(AE663="","",IF($F663="Total",
SUMPRODUCT(
   INDEX(AD:AD, ROW()-COUNTIF($F$6:INDEX($F:$F, ROW()-1), $F662)) : INDEX(AD:AD, ROW()-1),
   INDEX(AB:AB, ROW()-COUNTIF($F$6:INDEX($F:$F, ROW()-1), $F662)) : INDEX(AB:AB, ROW()-1)
   )
   /SUM(INDEX(AB:AB, ROW()-COUNTIF($F$6:INDEX($F:$F, ROW()-1), $F662)) : INDEX(AB:AB, ROW()-1)),
          _xlfn.MINIFS(unit_details[Asking Rent],
          unit_details[Active Listing?],TRUE,
          unit_details[Property Name], $F663,
          unit_details[Beds], $L663,
          unit_details[Baths], $M663,
          unit_details[Partial Baths], IF(ISNUMBER($N663),$N663,""),
          unit_details[Sqft],$P663
))),"")</f>
        <v/>
      </c>
      <c r="AE663" s="5" t="str">
        <f>IFERROR(IF($F663="Total",
          SUMPRODUCT(
   INDEX(AE:AE, ROW()-COUNTIF($F$6:INDEX($F:$F, ROW()-1), $F662)) : INDEX(AE:AE, ROW()-1),
   INDEX(AB:AB, ROW()-COUNTIF($F$6:INDEX($F:$F, ROW()-1), $F662)) : INDEX(AB:AB, ROW()-1)
   )
   /SUM(INDEX(AB:AB, ROW()-COUNTIF($F$6:INDEX($F:$F, ROW()-1), $F662)) : INDEX(AB:AB, ROW()-1)),
          AVERAGEIFS(unit_details[Asking Rent],
          unit_details[Active Listing?],TRUE,
          unit_details[Property Name], $F663,
          unit_details[Beds], $L663,
          unit_details[Baths], $M663,
          unit_details[Partial Baths], IF(ISNUMBER($N663),$N663,""),
          unit_details[Sqft],$P663
)),"")</f>
        <v/>
      </c>
      <c r="AF663" s="5" t="str">
        <f>IFERROR(IF(AE663="","",IF($F663="Total",
SUMPRODUCT(
   INDEX(AF:AF, ROW()-COUNTIF($F$6:INDEX($F:$F, ROW()-1), $F662)) : INDEX(AF:AF, ROW()-1),
   INDEX(AB:AB, ROW()-COUNTIF($F$6:INDEX($F:$F, ROW()-1), $F662)) : INDEX(AB:AB, ROW()-1)
   )
   /SUM(INDEX(AB:AB, ROW()-COUNTIF($F$6:INDEX($F:$F, ROW()-1), $F662)) : INDEX(AB:AB, ROW()-1)),
           _xlfn.MAXIFS(unit_details[Asking Rent],
          unit_details[Active Listing?],TRUE,
          unit_details[Property Name], $F663,
          unit_details[Beds], $L663,
          unit_details[Baths], $M663,
          unit_details[Partial Baths], IF(ISNUMBER($N663),$N663,""),
          unit_details[Sqft],$P663
))),"")</f>
        <v/>
      </c>
      <c r="AG663" s="6" t="str">
        <f>IFERROR(IF($F663="Total",
         SUMPRODUCT(
         INDEX(AG:AG, ROW()-COUNTIF($F$6:INDEX($F:$F, ROW()-1), $F662)) : INDEX(AG:AG, ROW()-1),
         INDEX(AB:AB, ROW()-COUNTIF($F$6:INDEX($F:$F, ROW()-1), $F662)) : INDEX(AB:AB, ROW()-1)
         )
         /SUM(INDEX(AB:AB, ROW()-COUNTIF($F$6:INDEX($F:$F, ROW()-1), $F662)) : INDEX(AB:AB, ROW()-1)),
          AVERAGEIFS(unit_details[Asking PSF],
          unit_details[Active Listing?],TRUE,
          unit_details[Property Name], $F663,
          unit_details[Beds], $L663,
          unit_details[Baths], $M663,
          unit_details[Partial Baths], IF(ISNUMBER($N663),$N663,""),
          unit_details[Sqft],$P663
)),"")</f>
        <v/>
      </c>
      <c r="AH663" s="293" t="str">
        <f>IFERROR(IF($F663="Total",
         SUMPRODUCT(
         INDEX(AH:AH, ROW()-COUNTIF($F$6:INDEX($F:$F, ROW()-1), $F662)) : INDEX(AH:AH, ROW()-1),
         INDEX(AB:AB, ROW()-COUNTIF($F$6:INDEX($F:$F, ROW()-1), $F662)) : INDEX(AB:AB, ROW()-1)
         )
         /SUM(INDEX(AB:AB, ROW()-COUNTIF($F$6:INDEX($F:$F, ROW()-1), $F662)) : INDEX(AB:AB, ROW()-1)),
          AVERAGEIFS(unit_details[Effective Rent],
          unit_details[Active Listing?],TRUE,
          unit_details[Property Name], $F663,
          unit_details[Beds], $L663,
          unit_details[Baths], $M663,
          unit_details[Partial Baths], IF(ISNUMBER($N663),$N663,""),
          unit_details[Sqft],$P663
)),"")</f>
        <v/>
      </c>
      <c r="AI663" s="6" t="str">
        <f>IFERROR(IF($F663="Total",
         SUMPRODUCT(
         INDEX(AI:AI, ROW()-COUNTIF($F$6:INDEX($F:$F, ROW()-1), $F662)) : INDEX(AI:AI, ROW()-1),
         INDEX(AB:AB, ROW()-COUNTIF($F$6:INDEX($F:$F, ROW()-1), $F662)) : INDEX(AB:AB, ROW()-1)
         )
         /SUM(INDEX(AB:AB, ROW()-COUNTIF($F$6:INDEX($F:$F, ROW()-1), $F662)) : INDEX(AB:AB, ROW()-1)),
           AVERAGEIFS(unit_details[Effective PSF],
          unit_details[Active Listing?],TRUE,
          unit_details[Property Name], $F663,
          unit_details[Beds], $L663,
          unit_details[Baths], $M663,
          unit_details[Partial Baths], IF(ISNUMBER($N663),$N663,""),
          unit_details[Sqft],$P663
)),"")</f>
        <v/>
      </c>
      <c r="AJ663" s="824" t="str">
        <f t="shared" si="114"/>
        <v/>
      </c>
      <c r="AK663" s="531" t="str">
        <f t="shared" si="115"/>
        <v/>
      </c>
      <c r="AL663" s="714" t="str">
        <f t="shared" si="116"/>
        <v/>
      </c>
      <c r="AM663" s="531" t="str">
        <f t="shared" si="117"/>
        <v/>
      </c>
      <c r="AN663" s="716" t="str">
        <f t="shared" si="118"/>
        <v/>
      </c>
    </row>
    <row r="664" spans="6:40" x14ac:dyDescent="0.2">
      <c r="F664" s="1" t="str">
        <f t="shared" si="111"/>
        <v/>
      </c>
      <c r="G664" s="713" t="str">
        <f t="shared" si="119"/>
        <v/>
      </c>
      <c r="H664" s="17" t="str">
        <f>IFERROR(VLOOKUP($G664,Table1[[Property]:[Exposure %]],4,0),"")</f>
        <v/>
      </c>
      <c r="I664" s="3" t="str">
        <f>IFERROR(VLOOKUP($G664,Table1[[Property]:[Exposure %]],6,0),"")</f>
        <v/>
      </c>
      <c r="J664" s="3" t="str">
        <f>IFERROR(VLOOKUP($G664,Table1[[Property]:[Exposure %]],7,0),"")</f>
        <v/>
      </c>
      <c r="R664" s="4" t="str">
        <f>IFERROR(VLOOKUP(IF(F664="Total",F663,F664),Table1[[Property]:['# Units]],7,0)*S664,"")</f>
        <v/>
      </c>
      <c r="S664" s="27" t="str">
        <f t="shared" si="112"/>
        <v/>
      </c>
      <c r="T664" s="531" t="str">
        <f>IFERROR(
 IF($F664="Total",
   SUMPRODUCT(
   INDEX(T:T, ROW()-COUNTIF($F$6:INDEX($F:$F, ROW()-1), $F663)) : INDEX(T:T, ROW()-1),
   INDEX(W:W, ROW()-COUNTIF($F$6:INDEX($F:$F, ROW()-1), $F663)) : INDEX(W:W, ROW()-1)
   )
   /SUM(INDEX(W:W, ROW()-COUNTIF($F$6:INDEX($F:$F, ROW()-1), $F663)) : INDEX(W:W, ROW()-1)),
   AVERAGEIFS(
     INDEX((unit_details[Asking Rent],unit_details[Asking PSF]),0,1,IF($U$3="Chunk Rent",1,2)),
     unit_details[Leased Date],"&gt;="&amp;($AM$2-T$5),
     unit_details[Leased Date],"&lt;"&amp;$AM$2,
     unit_details[Beds],$L664,
     unit_details[Baths],$M664,
     unit_details[Partial Baths],IF(ISNUMBER($N664),$N664,""),
     unit_details[Sqft],$P664,
     unit_details[Property Name],$F664)
 ),"")</f>
        <v/>
      </c>
      <c r="U664" s="552" t="str">
        <f>IFERROR(
 IF($F664="Total",
   SUMPRODUCT(
   INDEX(U:U, ROW()-COUNTIF($F$6:INDEX($F:$F, ROW()-1), $F663)) : INDEX(U:U, ROW()-1),
   INDEX(W:W, ROW()-COUNTIF($F$6:INDEX($F:$F, ROW()-1), $F663)) : INDEX(W:W, ROW()-1)
   )
   /SUM(INDEX(W:W, ROW()-COUNTIF($F$6:INDEX($F:$F, ROW()-1), $F663)) : INDEX(W:W, ROW()-1)),
   AVERAGEIFS(
     INDEX((unit_details[Effective Rent],unit_details[Effective PSF]),0,1,IF($U$3="Chunk Rent",1,2)),
     unit_details[Leased Date],"&gt;="&amp;($AM$2-T$5),
     unit_details[Leased Date],"&lt;"&amp;$AM$2,
     unit_details[Beds],$L664,
     unit_details[Baths],$M664,
     unit_details[Partial Baths],IF(ISNUMBER($N664),$N664,""),
     unit_details[Sqft],$P664,
     unit_details[Property Name],$F664)
 ),"")</f>
        <v/>
      </c>
      <c r="V664" s="27" t="str">
        <f t="shared" si="120"/>
        <v/>
      </c>
      <c r="W664" s="526">
        <f>IFERROR(
  IF($F664="Total",
    SUM(INDEX(W:W, ROW()-COUNTIF($F$6:INDEX($F:$F, ROW()-1), $F663)) : INDEX(W:W, ROW()-1)),
    COUNTIFS(
      unit_details[Leased Date], "&gt;="&amp;($AM$2-T$5),
      unit_details[Leased Date], "&lt;"&amp;$AM$2,
      unit_details[Beds], $L664,
      unit_details[Baths], $M664,
      unit_details[Partial Baths], IF(ISNUMBER($N664), $N664, ""),
      unit_details[Sqft],$P664,
      unit_details[Property Name], $F664
    )
  ),
"")</f>
        <v>0</v>
      </c>
      <c r="X664" s="531" t="str">
        <f>IFERROR(
 IF($F664="Total",
   SUMPRODUCT(
   INDEX(X:X, ROW()-COUNTIF($F$6:INDEX($F:$F, ROW()-1), $F663)) : INDEX(X:X, ROW()-1),
   INDEX(AA:AA, ROW()-COUNTIF($F$6:INDEX($F:$F, ROW()-1), $F663)) : INDEX(AA:AA, ROW()-1)
   )
   /SUM(INDEX(AA:AA, ROW()-COUNTIF($F$6:INDEX($F:$F, ROW()-1), $F663)) : INDEX(AA:AA, ROW()-1)),
   AVERAGEIFS(
     INDEX((unit_details[Asking Rent],unit_details[Asking PSF]),0,1,IF($U$3="Chunk Rent",1,2)),
     unit_details[Leased Date],"&gt;="&amp;($AM$2-X$5),
     unit_details[Leased Date],"&lt;"&amp;$AM$2,
     unit_details[Beds],$L664,
     unit_details[Baths],$M664,
     unit_details[Partial Baths],IF(ISNUMBER($N664),$N664,""),
     unit_details[Sqft],$P664,
     unit_details[Property Name],$F664)
 ),"")</f>
        <v/>
      </c>
      <c r="Y664" s="552" t="str">
        <f>IFERROR(
 IF($F664="Total",
   SUMPRODUCT(
   INDEX(Y:Y, ROW()-COUNTIF($F$6:INDEX($F:$F, ROW()-1), $F663)) : INDEX(Y:Y, ROW()-1),
   INDEX(AA:AA, ROW()-COUNTIF($F$6:INDEX($F:$F, ROW()-1), $F663)) : INDEX(AA:AA, ROW()-1)
   )
   /SUM(INDEX(AA:AA, ROW()-COUNTIF($F$6:INDEX($F:$F, ROW()-1), $F663)) : INDEX(AA:AA, ROW()-1)),
   AVERAGEIFS(
     INDEX((unit_details[Effective Rent],unit_details[Effective PSF]),0,1,IF($U$3="Chunk Rent",1,2)),
     unit_details[Leased Date],"&gt;="&amp;($AM$2-X$5),
     unit_details[Leased Date],"&lt;"&amp;$AM$2,
     unit_details[Beds],$L664,
     unit_details[Baths],$M664,
     unit_details[Partial Baths],IF(ISNUMBER($N664),$N664,""),
     unit_details[Sqft],$P664,
     unit_details[Property Name],$F664)
 ),"")</f>
        <v/>
      </c>
      <c r="Z664" s="27" t="str">
        <f t="shared" si="121"/>
        <v/>
      </c>
      <c r="AA664" s="526">
        <f>IFERROR(
  IF($F664="Total",
    SUM(INDEX(AA:AA, ROW()-COUNTIF($F$6:INDEX($F:$F, ROW()-1), $F663)) : INDEX(AA:AA, ROW()-1)),
    COUNTIFS(
      unit_details[Leased Date], "&gt;="&amp;($AM$2-X$5),
      unit_details[Leased Date], "&lt;"&amp;$AM$2,
      unit_details[Beds], $L664,
      unit_details[Baths], $M664,
      unit_details[Partial Baths], IF(ISNUMBER($N664), $N664, ""),
      unit_details[Sqft],$P664,
      unit_details[Property Name], $F664
    )
  ),
"")</f>
        <v>0</v>
      </c>
      <c r="AB664" s="290">
        <f>IF($F664="Total",
SUM(INDEX(AB:AB, ROW()-COUNTIF($F$6:INDEX($F:$F, ROW()-1), $F663)) : INDEX(AB:AB, ROW()-1)),
COUNTIFS(unit_details[Active Listing?],TRUE,
          unit_details[Property Name], $F664,
          unit_details[Beds], $L664,
          unit_details[Baths], $M664,
          unit_details[Partial Baths],IF(ISNUMBER($N664),$N664,""),
          unit_details[Sqft],$P664))</f>
        <v>0</v>
      </c>
      <c r="AC664" s="27" t="str">
        <f t="shared" si="113"/>
        <v/>
      </c>
      <c r="AD664" s="293" t="str">
        <f>IFERROR(IF(AE664="","",IF($F664="Total",
SUMPRODUCT(
   INDEX(AD:AD, ROW()-COUNTIF($F$6:INDEX($F:$F, ROW()-1), $F663)) : INDEX(AD:AD, ROW()-1),
   INDEX(AB:AB, ROW()-COUNTIF($F$6:INDEX($F:$F, ROW()-1), $F663)) : INDEX(AB:AB, ROW()-1)
   )
   /SUM(INDEX(AB:AB, ROW()-COUNTIF($F$6:INDEX($F:$F, ROW()-1), $F663)) : INDEX(AB:AB, ROW()-1)),
          _xlfn.MINIFS(unit_details[Asking Rent],
          unit_details[Active Listing?],TRUE,
          unit_details[Property Name], $F664,
          unit_details[Beds], $L664,
          unit_details[Baths], $M664,
          unit_details[Partial Baths], IF(ISNUMBER($N664),$N664,""),
          unit_details[Sqft],$P664
))),"")</f>
        <v/>
      </c>
      <c r="AE664" s="5" t="str">
        <f>IFERROR(IF($F664="Total",
          SUMPRODUCT(
   INDEX(AE:AE, ROW()-COUNTIF($F$6:INDEX($F:$F, ROW()-1), $F663)) : INDEX(AE:AE, ROW()-1),
   INDEX(AB:AB, ROW()-COUNTIF($F$6:INDEX($F:$F, ROW()-1), $F663)) : INDEX(AB:AB, ROW()-1)
   )
   /SUM(INDEX(AB:AB, ROW()-COUNTIF($F$6:INDEX($F:$F, ROW()-1), $F663)) : INDEX(AB:AB, ROW()-1)),
          AVERAGEIFS(unit_details[Asking Rent],
          unit_details[Active Listing?],TRUE,
          unit_details[Property Name], $F664,
          unit_details[Beds], $L664,
          unit_details[Baths], $M664,
          unit_details[Partial Baths], IF(ISNUMBER($N664),$N664,""),
          unit_details[Sqft],$P664
)),"")</f>
        <v/>
      </c>
      <c r="AF664" s="5" t="str">
        <f>IFERROR(IF(AE664="","",IF($F664="Total",
SUMPRODUCT(
   INDEX(AF:AF, ROW()-COUNTIF($F$6:INDEX($F:$F, ROW()-1), $F663)) : INDEX(AF:AF, ROW()-1),
   INDEX(AB:AB, ROW()-COUNTIF($F$6:INDEX($F:$F, ROW()-1), $F663)) : INDEX(AB:AB, ROW()-1)
   )
   /SUM(INDEX(AB:AB, ROW()-COUNTIF($F$6:INDEX($F:$F, ROW()-1), $F663)) : INDEX(AB:AB, ROW()-1)),
           _xlfn.MAXIFS(unit_details[Asking Rent],
          unit_details[Active Listing?],TRUE,
          unit_details[Property Name], $F664,
          unit_details[Beds], $L664,
          unit_details[Baths], $M664,
          unit_details[Partial Baths], IF(ISNUMBER($N664),$N664,""),
          unit_details[Sqft],$P664
))),"")</f>
        <v/>
      </c>
      <c r="AG664" s="6" t="str">
        <f>IFERROR(IF($F664="Total",
         SUMPRODUCT(
         INDEX(AG:AG, ROW()-COUNTIF($F$6:INDEX($F:$F, ROW()-1), $F663)) : INDEX(AG:AG, ROW()-1),
         INDEX(AB:AB, ROW()-COUNTIF($F$6:INDEX($F:$F, ROW()-1), $F663)) : INDEX(AB:AB, ROW()-1)
         )
         /SUM(INDEX(AB:AB, ROW()-COUNTIF($F$6:INDEX($F:$F, ROW()-1), $F663)) : INDEX(AB:AB, ROW()-1)),
          AVERAGEIFS(unit_details[Asking PSF],
          unit_details[Active Listing?],TRUE,
          unit_details[Property Name], $F664,
          unit_details[Beds], $L664,
          unit_details[Baths], $M664,
          unit_details[Partial Baths], IF(ISNUMBER($N664),$N664,""),
          unit_details[Sqft],$P664
)),"")</f>
        <v/>
      </c>
      <c r="AH664" s="293" t="str">
        <f>IFERROR(IF($F664="Total",
         SUMPRODUCT(
         INDEX(AH:AH, ROW()-COUNTIF($F$6:INDEX($F:$F, ROW()-1), $F663)) : INDEX(AH:AH, ROW()-1),
         INDEX(AB:AB, ROW()-COUNTIF($F$6:INDEX($F:$F, ROW()-1), $F663)) : INDEX(AB:AB, ROW()-1)
         )
         /SUM(INDEX(AB:AB, ROW()-COUNTIF($F$6:INDEX($F:$F, ROW()-1), $F663)) : INDEX(AB:AB, ROW()-1)),
          AVERAGEIFS(unit_details[Effective Rent],
          unit_details[Active Listing?],TRUE,
          unit_details[Property Name], $F664,
          unit_details[Beds], $L664,
          unit_details[Baths], $M664,
          unit_details[Partial Baths], IF(ISNUMBER($N664),$N664,""),
          unit_details[Sqft],$P664
)),"")</f>
        <v/>
      </c>
      <c r="AI664" s="6" t="str">
        <f>IFERROR(IF($F664="Total",
         SUMPRODUCT(
         INDEX(AI:AI, ROW()-COUNTIF($F$6:INDEX($F:$F, ROW()-1), $F663)) : INDEX(AI:AI, ROW()-1),
         INDEX(AB:AB, ROW()-COUNTIF($F$6:INDEX($F:$F, ROW()-1), $F663)) : INDEX(AB:AB, ROW()-1)
         )
         /SUM(INDEX(AB:AB, ROW()-COUNTIF($F$6:INDEX($F:$F, ROW()-1), $F663)) : INDEX(AB:AB, ROW()-1)),
           AVERAGEIFS(unit_details[Effective PSF],
          unit_details[Active Listing?],TRUE,
          unit_details[Property Name], $F664,
          unit_details[Beds], $L664,
          unit_details[Baths], $M664,
          unit_details[Partial Baths], IF(ISNUMBER($N664),$N664,""),
          unit_details[Sqft],$P664
)),"")</f>
        <v/>
      </c>
      <c r="AJ664" s="824" t="str">
        <f t="shared" si="114"/>
        <v/>
      </c>
      <c r="AK664" s="531" t="str">
        <f t="shared" si="115"/>
        <v/>
      </c>
      <c r="AL664" s="714" t="str">
        <f t="shared" si="116"/>
        <v/>
      </c>
      <c r="AM664" s="531" t="str">
        <f t="shared" si="117"/>
        <v/>
      </c>
      <c r="AN664" s="716" t="str">
        <f t="shared" si="118"/>
        <v/>
      </c>
    </row>
    <row r="665" spans="6:40" x14ac:dyDescent="0.2">
      <c r="F665" s="1" t="str">
        <f t="shared" si="111"/>
        <v/>
      </c>
      <c r="G665" s="713" t="str">
        <f t="shared" si="119"/>
        <v/>
      </c>
      <c r="H665" s="17" t="str">
        <f>IFERROR(VLOOKUP($G665,Table1[[Property]:[Exposure %]],4,0),"")</f>
        <v/>
      </c>
      <c r="I665" s="3" t="str">
        <f>IFERROR(VLOOKUP($G665,Table1[[Property]:[Exposure %]],6,0),"")</f>
        <v/>
      </c>
      <c r="J665" s="3" t="str">
        <f>IFERROR(VLOOKUP($G665,Table1[[Property]:[Exposure %]],7,0),"")</f>
        <v/>
      </c>
      <c r="R665" s="4" t="str">
        <f>IFERROR(VLOOKUP(IF(F665="Total",F664,F665),Table1[[Property]:['# Units]],7,0)*S665,"")</f>
        <v/>
      </c>
      <c r="S665" s="27" t="str">
        <f t="shared" si="112"/>
        <v/>
      </c>
      <c r="T665" s="531" t="str">
        <f>IFERROR(
 IF($F665="Total",
   SUMPRODUCT(
   INDEX(T:T, ROW()-COUNTIF($F$6:INDEX($F:$F, ROW()-1), $F664)) : INDEX(T:T, ROW()-1),
   INDEX(W:W, ROW()-COUNTIF($F$6:INDEX($F:$F, ROW()-1), $F664)) : INDEX(W:W, ROW()-1)
   )
   /SUM(INDEX(W:W, ROW()-COUNTIF($F$6:INDEX($F:$F, ROW()-1), $F664)) : INDEX(W:W, ROW()-1)),
   AVERAGEIFS(
     INDEX((unit_details[Asking Rent],unit_details[Asking PSF]),0,1,IF($U$3="Chunk Rent",1,2)),
     unit_details[Leased Date],"&gt;="&amp;($AM$2-T$5),
     unit_details[Leased Date],"&lt;"&amp;$AM$2,
     unit_details[Beds],$L665,
     unit_details[Baths],$M665,
     unit_details[Partial Baths],IF(ISNUMBER($N665),$N665,""),
     unit_details[Sqft],$P665,
     unit_details[Property Name],$F665)
 ),"")</f>
        <v/>
      </c>
      <c r="U665" s="552" t="str">
        <f>IFERROR(
 IF($F665="Total",
   SUMPRODUCT(
   INDEX(U:U, ROW()-COUNTIF($F$6:INDEX($F:$F, ROW()-1), $F664)) : INDEX(U:U, ROW()-1),
   INDEX(W:W, ROW()-COUNTIF($F$6:INDEX($F:$F, ROW()-1), $F664)) : INDEX(W:W, ROW()-1)
   )
   /SUM(INDEX(W:W, ROW()-COUNTIF($F$6:INDEX($F:$F, ROW()-1), $F664)) : INDEX(W:W, ROW()-1)),
   AVERAGEIFS(
     INDEX((unit_details[Effective Rent],unit_details[Effective PSF]),0,1,IF($U$3="Chunk Rent",1,2)),
     unit_details[Leased Date],"&gt;="&amp;($AM$2-T$5),
     unit_details[Leased Date],"&lt;"&amp;$AM$2,
     unit_details[Beds],$L665,
     unit_details[Baths],$M665,
     unit_details[Partial Baths],IF(ISNUMBER($N665),$N665,""),
     unit_details[Sqft],$P665,
     unit_details[Property Name],$F665)
 ),"")</f>
        <v/>
      </c>
      <c r="V665" s="27" t="str">
        <f t="shared" si="120"/>
        <v/>
      </c>
      <c r="W665" s="526">
        <f>IFERROR(
  IF($F665="Total",
    SUM(INDEX(W:W, ROW()-COUNTIF($F$6:INDEX($F:$F, ROW()-1), $F664)) : INDEX(W:W, ROW()-1)),
    COUNTIFS(
      unit_details[Leased Date], "&gt;="&amp;($AM$2-T$5),
      unit_details[Leased Date], "&lt;"&amp;$AM$2,
      unit_details[Beds], $L665,
      unit_details[Baths], $M665,
      unit_details[Partial Baths], IF(ISNUMBER($N665), $N665, ""),
      unit_details[Sqft],$P665,
      unit_details[Property Name], $F665
    )
  ),
"")</f>
        <v>0</v>
      </c>
      <c r="X665" s="531" t="str">
        <f>IFERROR(
 IF($F665="Total",
   SUMPRODUCT(
   INDEX(X:X, ROW()-COUNTIF($F$6:INDEX($F:$F, ROW()-1), $F664)) : INDEX(X:X, ROW()-1),
   INDEX(AA:AA, ROW()-COUNTIF($F$6:INDEX($F:$F, ROW()-1), $F664)) : INDEX(AA:AA, ROW()-1)
   )
   /SUM(INDEX(AA:AA, ROW()-COUNTIF($F$6:INDEX($F:$F, ROW()-1), $F664)) : INDEX(AA:AA, ROW()-1)),
   AVERAGEIFS(
     INDEX((unit_details[Asking Rent],unit_details[Asking PSF]),0,1,IF($U$3="Chunk Rent",1,2)),
     unit_details[Leased Date],"&gt;="&amp;($AM$2-X$5),
     unit_details[Leased Date],"&lt;"&amp;$AM$2,
     unit_details[Beds],$L665,
     unit_details[Baths],$M665,
     unit_details[Partial Baths],IF(ISNUMBER($N665),$N665,""),
     unit_details[Sqft],$P665,
     unit_details[Property Name],$F665)
 ),"")</f>
        <v/>
      </c>
      <c r="Y665" s="552" t="str">
        <f>IFERROR(
 IF($F665="Total",
   SUMPRODUCT(
   INDEX(Y:Y, ROW()-COUNTIF($F$6:INDEX($F:$F, ROW()-1), $F664)) : INDEX(Y:Y, ROW()-1),
   INDEX(AA:AA, ROW()-COUNTIF($F$6:INDEX($F:$F, ROW()-1), $F664)) : INDEX(AA:AA, ROW()-1)
   )
   /SUM(INDEX(AA:AA, ROW()-COUNTIF($F$6:INDEX($F:$F, ROW()-1), $F664)) : INDEX(AA:AA, ROW()-1)),
   AVERAGEIFS(
     INDEX((unit_details[Effective Rent],unit_details[Effective PSF]),0,1,IF($U$3="Chunk Rent",1,2)),
     unit_details[Leased Date],"&gt;="&amp;($AM$2-X$5),
     unit_details[Leased Date],"&lt;"&amp;$AM$2,
     unit_details[Beds],$L665,
     unit_details[Baths],$M665,
     unit_details[Partial Baths],IF(ISNUMBER($N665),$N665,""),
     unit_details[Sqft],$P665,
     unit_details[Property Name],$F665)
 ),"")</f>
        <v/>
      </c>
      <c r="Z665" s="27" t="str">
        <f t="shared" si="121"/>
        <v/>
      </c>
      <c r="AA665" s="526">
        <f>IFERROR(
  IF($F665="Total",
    SUM(INDEX(AA:AA, ROW()-COUNTIF($F$6:INDEX($F:$F, ROW()-1), $F664)) : INDEX(AA:AA, ROW()-1)),
    COUNTIFS(
      unit_details[Leased Date], "&gt;="&amp;($AM$2-X$5),
      unit_details[Leased Date], "&lt;"&amp;$AM$2,
      unit_details[Beds], $L665,
      unit_details[Baths], $M665,
      unit_details[Partial Baths], IF(ISNUMBER($N665), $N665, ""),
      unit_details[Sqft],$P665,
      unit_details[Property Name], $F665
    )
  ),
"")</f>
        <v>0</v>
      </c>
      <c r="AB665" s="290">
        <f>IF($F665="Total",
SUM(INDEX(AB:AB, ROW()-COUNTIF($F$6:INDEX($F:$F, ROW()-1), $F664)) : INDEX(AB:AB, ROW()-1)),
COUNTIFS(unit_details[Active Listing?],TRUE,
          unit_details[Property Name], $F665,
          unit_details[Beds], $L665,
          unit_details[Baths], $M665,
          unit_details[Partial Baths],IF(ISNUMBER($N665),$N665,""),
          unit_details[Sqft],$P665))</f>
        <v>0</v>
      </c>
      <c r="AC665" s="27" t="str">
        <f t="shared" si="113"/>
        <v/>
      </c>
      <c r="AD665" s="293" t="str">
        <f>IFERROR(IF(AE665="","",IF($F665="Total",
SUMPRODUCT(
   INDEX(AD:AD, ROW()-COUNTIF($F$6:INDEX($F:$F, ROW()-1), $F664)) : INDEX(AD:AD, ROW()-1),
   INDEX(AB:AB, ROW()-COUNTIF($F$6:INDEX($F:$F, ROW()-1), $F664)) : INDEX(AB:AB, ROW()-1)
   )
   /SUM(INDEX(AB:AB, ROW()-COUNTIF($F$6:INDEX($F:$F, ROW()-1), $F664)) : INDEX(AB:AB, ROW()-1)),
          _xlfn.MINIFS(unit_details[Asking Rent],
          unit_details[Active Listing?],TRUE,
          unit_details[Property Name], $F665,
          unit_details[Beds], $L665,
          unit_details[Baths], $M665,
          unit_details[Partial Baths], IF(ISNUMBER($N665),$N665,""),
          unit_details[Sqft],$P665
))),"")</f>
        <v/>
      </c>
      <c r="AE665" s="5" t="str">
        <f>IFERROR(IF($F665="Total",
          SUMPRODUCT(
   INDEX(AE:AE, ROW()-COUNTIF($F$6:INDEX($F:$F, ROW()-1), $F664)) : INDEX(AE:AE, ROW()-1),
   INDEX(AB:AB, ROW()-COUNTIF($F$6:INDEX($F:$F, ROW()-1), $F664)) : INDEX(AB:AB, ROW()-1)
   )
   /SUM(INDEX(AB:AB, ROW()-COUNTIF($F$6:INDEX($F:$F, ROW()-1), $F664)) : INDEX(AB:AB, ROW()-1)),
          AVERAGEIFS(unit_details[Asking Rent],
          unit_details[Active Listing?],TRUE,
          unit_details[Property Name], $F665,
          unit_details[Beds], $L665,
          unit_details[Baths], $M665,
          unit_details[Partial Baths], IF(ISNUMBER($N665),$N665,""),
          unit_details[Sqft],$P665
)),"")</f>
        <v/>
      </c>
      <c r="AF665" s="5" t="str">
        <f>IFERROR(IF(AE665="","",IF($F665="Total",
SUMPRODUCT(
   INDEX(AF:AF, ROW()-COUNTIF($F$6:INDEX($F:$F, ROW()-1), $F664)) : INDEX(AF:AF, ROW()-1),
   INDEX(AB:AB, ROW()-COUNTIF($F$6:INDEX($F:$F, ROW()-1), $F664)) : INDEX(AB:AB, ROW()-1)
   )
   /SUM(INDEX(AB:AB, ROW()-COUNTIF($F$6:INDEX($F:$F, ROW()-1), $F664)) : INDEX(AB:AB, ROW()-1)),
           _xlfn.MAXIFS(unit_details[Asking Rent],
          unit_details[Active Listing?],TRUE,
          unit_details[Property Name], $F665,
          unit_details[Beds], $L665,
          unit_details[Baths], $M665,
          unit_details[Partial Baths], IF(ISNUMBER($N665),$N665,""),
          unit_details[Sqft],$P665
))),"")</f>
        <v/>
      </c>
      <c r="AG665" s="6" t="str">
        <f>IFERROR(IF($F665="Total",
         SUMPRODUCT(
         INDEX(AG:AG, ROW()-COUNTIF($F$6:INDEX($F:$F, ROW()-1), $F664)) : INDEX(AG:AG, ROW()-1),
         INDEX(AB:AB, ROW()-COUNTIF($F$6:INDEX($F:$F, ROW()-1), $F664)) : INDEX(AB:AB, ROW()-1)
         )
         /SUM(INDEX(AB:AB, ROW()-COUNTIF($F$6:INDEX($F:$F, ROW()-1), $F664)) : INDEX(AB:AB, ROW()-1)),
          AVERAGEIFS(unit_details[Asking PSF],
          unit_details[Active Listing?],TRUE,
          unit_details[Property Name], $F665,
          unit_details[Beds], $L665,
          unit_details[Baths], $M665,
          unit_details[Partial Baths], IF(ISNUMBER($N665),$N665,""),
          unit_details[Sqft],$P665
)),"")</f>
        <v/>
      </c>
      <c r="AH665" s="293" t="str">
        <f>IFERROR(IF($F665="Total",
         SUMPRODUCT(
         INDEX(AH:AH, ROW()-COUNTIF($F$6:INDEX($F:$F, ROW()-1), $F664)) : INDEX(AH:AH, ROW()-1),
         INDEX(AB:AB, ROW()-COUNTIF($F$6:INDEX($F:$F, ROW()-1), $F664)) : INDEX(AB:AB, ROW()-1)
         )
         /SUM(INDEX(AB:AB, ROW()-COUNTIF($F$6:INDEX($F:$F, ROW()-1), $F664)) : INDEX(AB:AB, ROW()-1)),
          AVERAGEIFS(unit_details[Effective Rent],
          unit_details[Active Listing?],TRUE,
          unit_details[Property Name], $F665,
          unit_details[Beds], $L665,
          unit_details[Baths], $M665,
          unit_details[Partial Baths], IF(ISNUMBER($N665),$N665,""),
          unit_details[Sqft],$P665
)),"")</f>
        <v/>
      </c>
      <c r="AI665" s="6" t="str">
        <f>IFERROR(IF($F665="Total",
         SUMPRODUCT(
         INDEX(AI:AI, ROW()-COUNTIF($F$6:INDEX($F:$F, ROW()-1), $F664)) : INDEX(AI:AI, ROW()-1),
         INDEX(AB:AB, ROW()-COUNTIF($F$6:INDEX($F:$F, ROW()-1), $F664)) : INDEX(AB:AB, ROW()-1)
         )
         /SUM(INDEX(AB:AB, ROW()-COUNTIF($F$6:INDEX($F:$F, ROW()-1), $F664)) : INDEX(AB:AB, ROW()-1)),
           AVERAGEIFS(unit_details[Effective PSF],
          unit_details[Active Listing?],TRUE,
          unit_details[Property Name], $F665,
          unit_details[Beds], $L665,
          unit_details[Baths], $M665,
          unit_details[Partial Baths], IF(ISNUMBER($N665),$N665,""),
          unit_details[Sqft],$P665
)),"")</f>
        <v/>
      </c>
      <c r="AJ665" s="824" t="str">
        <f t="shared" si="114"/>
        <v/>
      </c>
      <c r="AK665" s="531" t="str">
        <f t="shared" si="115"/>
        <v/>
      </c>
      <c r="AL665" s="714" t="str">
        <f t="shared" si="116"/>
        <v/>
      </c>
      <c r="AM665" s="531" t="str">
        <f t="shared" si="117"/>
        <v/>
      </c>
      <c r="AN665" s="716" t="str">
        <f t="shared" si="118"/>
        <v/>
      </c>
    </row>
    <row r="666" spans="6:40" x14ac:dyDescent="0.2">
      <c r="F666" s="1" t="str">
        <f t="shared" si="111"/>
        <v/>
      </c>
      <c r="G666" s="713" t="str">
        <f t="shared" si="119"/>
        <v/>
      </c>
      <c r="H666" s="17" t="str">
        <f>IFERROR(VLOOKUP($G666,Table1[[Property]:[Exposure %]],4,0),"")</f>
        <v/>
      </c>
      <c r="I666" s="3" t="str">
        <f>IFERROR(VLOOKUP($G666,Table1[[Property]:[Exposure %]],6,0),"")</f>
        <v/>
      </c>
      <c r="J666" s="3" t="str">
        <f>IFERROR(VLOOKUP($G666,Table1[[Property]:[Exposure %]],7,0),"")</f>
        <v/>
      </c>
      <c r="R666" s="4" t="str">
        <f>IFERROR(VLOOKUP(IF(F666="Total",F665,F666),Table1[[Property]:['# Units]],7,0)*S666,"")</f>
        <v/>
      </c>
      <c r="S666" s="27" t="str">
        <f t="shared" si="112"/>
        <v/>
      </c>
      <c r="T666" s="531" t="str">
        <f>IFERROR(
 IF($F666="Total",
   SUMPRODUCT(
   INDEX(T:T, ROW()-COUNTIF($F$6:INDEX($F:$F, ROW()-1), $F665)) : INDEX(T:T, ROW()-1),
   INDEX(W:W, ROW()-COUNTIF($F$6:INDEX($F:$F, ROW()-1), $F665)) : INDEX(W:W, ROW()-1)
   )
   /SUM(INDEX(W:W, ROW()-COUNTIF($F$6:INDEX($F:$F, ROW()-1), $F665)) : INDEX(W:W, ROW()-1)),
   AVERAGEIFS(
     INDEX((unit_details[Asking Rent],unit_details[Asking PSF]),0,1,IF($U$3="Chunk Rent",1,2)),
     unit_details[Leased Date],"&gt;="&amp;($AM$2-T$5),
     unit_details[Leased Date],"&lt;"&amp;$AM$2,
     unit_details[Beds],$L666,
     unit_details[Baths],$M666,
     unit_details[Partial Baths],IF(ISNUMBER($N666),$N666,""),
     unit_details[Sqft],$P666,
     unit_details[Property Name],$F666)
 ),"")</f>
        <v/>
      </c>
      <c r="U666" s="552" t="str">
        <f>IFERROR(
 IF($F666="Total",
   SUMPRODUCT(
   INDEX(U:U, ROW()-COUNTIF($F$6:INDEX($F:$F, ROW()-1), $F665)) : INDEX(U:U, ROW()-1),
   INDEX(W:W, ROW()-COUNTIF($F$6:INDEX($F:$F, ROW()-1), $F665)) : INDEX(W:W, ROW()-1)
   )
   /SUM(INDEX(W:W, ROW()-COUNTIF($F$6:INDEX($F:$F, ROW()-1), $F665)) : INDEX(W:W, ROW()-1)),
   AVERAGEIFS(
     INDEX((unit_details[Effective Rent],unit_details[Effective PSF]),0,1,IF($U$3="Chunk Rent",1,2)),
     unit_details[Leased Date],"&gt;="&amp;($AM$2-T$5),
     unit_details[Leased Date],"&lt;"&amp;$AM$2,
     unit_details[Beds],$L666,
     unit_details[Baths],$M666,
     unit_details[Partial Baths],IF(ISNUMBER($N666),$N666,""),
     unit_details[Sqft],$P666,
     unit_details[Property Name],$F666)
 ),"")</f>
        <v/>
      </c>
      <c r="V666" s="27" t="str">
        <f t="shared" si="120"/>
        <v/>
      </c>
      <c r="W666" s="526">
        <f>IFERROR(
  IF($F666="Total",
    SUM(INDEX(W:W, ROW()-COUNTIF($F$6:INDEX($F:$F, ROW()-1), $F665)) : INDEX(W:W, ROW()-1)),
    COUNTIFS(
      unit_details[Leased Date], "&gt;="&amp;($AM$2-T$5),
      unit_details[Leased Date], "&lt;"&amp;$AM$2,
      unit_details[Beds], $L666,
      unit_details[Baths], $M666,
      unit_details[Partial Baths], IF(ISNUMBER($N666), $N666, ""),
      unit_details[Sqft],$P666,
      unit_details[Property Name], $F666
    )
  ),
"")</f>
        <v>0</v>
      </c>
      <c r="X666" s="531" t="str">
        <f>IFERROR(
 IF($F666="Total",
   SUMPRODUCT(
   INDEX(X:X, ROW()-COUNTIF($F$6:INDEX($F:$F, ROW()-1), $F665)) : INDEX(X:X, ROW()-1),
   INDEX(AA:AA, ROW()-COUNTIF($F$6:INDEX($F:$F, ROW()-1), $F665)) : INDEX(AA:AA, ROW()-1)
   )
   /SUM(INDEX(AA:AA, ROW()-COUNTIF($F$6:INDEX($F:$F, ROW()-1), $F665)) : INDEX(AA:AA, ROW()-1)),
   AVERAGEIFS(
     INDEX((unit_details[Asking Rent],unit_details[Asking PSF]),0,1,IF($U$3="Chunk Rent",1,2)),
     unit_details[Leased Date],"&gt;="&amp;($AM$2-X$5),
     unit_details[Leased Date],"&lt;"&amp;$AM$2,
     unit_details[Beds],$L666,
     unit_details[Baths],$M666,
     unit_details[Partial Baths],IF(ISNUMBER($N666),$N666,""),
     unit_details[Sqft],$P666,
     unit_details[Property Name],$F666)
 ),"")</f>
        <v/>
      </c>
      <c r="Y666" s="552" t="str">
        <f>IFERROR(
 IF($F666="Total",
   SUMPRODUCT(
   INDEX(Y:Y, ROW()-COUNTIF($F$6:INDEX($F:$F, ROW()-1), $F665)) : INDEX(Y:Y, ROW()-1),
   INDEX(AA:AA, ROW()-COUNTIF($F$6:INDEX($F:$F, ROW()-1), $F665)) : INDEX(AA:AA, ROW()-1)
   )
   /SUM(INDEX(AA:AA, ROW()-COUNTIF($F$6:INDEX($F:$F, ROW()-1), $F665)) : INDEX(AA:AA, ROW()-1)),
   AVERAGEIFS(
     INDEX((unit_details[Effective Rent],unit_details[Effective PSF]),0,1,IF($U$3="Chunk Rent",1,2)),
     unit_details[Leased Date],"&gt;="&amp;($AM$2-X$5),
     unit_details[Leased Date],"&lt;"&amp;$AM$2,
     unit_details[Beds],$L666,
     unit_details[Baths],$M666,
     unit_details[Partial Baths],IF(ISNUMBER($N666),$N666,""),
     unit_details[Sqft],$P666,
     unit_details[Property Name],$F666)
 ),"")</f>
        <v/>
      </c>
      <c r="Z666" s="27" t="str">
        <f t="shared" si="121"/>
        <v/>
      </c>
      <c r="AA666" s="526">
        <f>IFERROR(
  IF($F666="Total",
    SUM(INDEX(AA:AA, ROW()-COUNTIF($F$6:INDEX($F:$F, ROW()-1), $F665)) : INDEX(AA:AA, ROW()-1)),
    COUNTIFS(
      unit_details[Leased Date], "&gt;="&amp;($AM$2-X$5),
      unit_details[Leased Date], "&lt;"&amp;$AM$2,
      unit_details[Beds], $L666,
      unit_details[Baths], $M666,
      unit_details[Partial Baths], IF(ISNUMBER($N666), $N666, ""),
      unit_details[Sqft],$P666,
      unit_details[Property Name], $F666
    )
  ),
"")</f>
        <v>0</v>
      </c>
      <c r="AB666" s="290">
        <f>IF($F666="Total",
SUM(INDEX(AB:AB, ROW()-COUNTIF($F$6:INDEX($F:$F, ROW()-1), $F665)) : INDEX(AB:AB, ROW()-1)),
COUNTIFS(unit_details[Active Listing?],TRUE,
          unit_details[Property Name], $F666,
          unit_details[Beds], $L666,
          unit_details[Baths], $M666,
          unit_details[Partial Baths],IF(ISNUMBER($N666),$N666,""),
          unit_details[Sqft],$P666))</f>
        <v>0</v>
      </c>
      <c r="AC666" s="27" t="str">
        <f t="shared" si="113"/>
        <v/>
      </c>
      <c r="AD666" s="293" t="str">
        <f>IFERROR(IF(AE666="","",IF($F666="Total",
SUMPRODUCT(
   INDEX(AD:AD, ROW()-COUNTIF($F$6:INDEX($F:$F, ROW()-1), $F665)) : INDEX(AD:AD, ROW()-1),
   INDEX(AB:AB, ROW()-COUNTIF($F$6:INDEX($F:$F, ROW()-1), $F665)) : INDEX(AB:AB, ROW()-1)
   )
   /SUM(INDEX(AB:AB, ROW()-COUNTIF($F$6:INDEX($F:$F, ROW()-1), $F665)) : INDEX(AB:AB, ROW()-1)),
          _xlfn.MINIFS(unit_details[Asking Rent],
          unit_details[Active Listing?],TRUE,
          unit_details[Property Name], $F666,
          unit_details[Beds], $L666,
          unit_details[Baths], $M666,
          unit_details[Partial Baths], IF(ISNUMBER($N666),$N666,""),
          unit_details[Sqft],$P666
))),"")</f>
        <v/>
      </c>
      <c r="AE666" s="5" t="str">
        <f>IFERROR(IF($F666="Total",
          SUMPRODUCT(
   INDEX(AE:AE, ROW()-COUNTIF($F$6:INDEX($F:$F, ROW()-1), $F665)) : INDEX(AE:AE, ROW()-1),
   INDEX(AB:AB, ROW()-COUNTIF($F$6:INDEX($F:$F, ROW()-1), $F665)) : INDEX(AB:AB, ROW()-1)
   )
   /SUM(INDEX(AB:AB, ROW()-COUNTIF($F$6:INDEX($F:$F, ROW()-1), $F665)) : INDEX(AB:AB, ROW()-1)),
          AVERAGEIFS(unit_details[Asking Rent],
          unit_details[Active Listing?],TRUE,
          unit_details[Property Name], $F666,
          unit_details[Beds], $L666,
          unit_details[Baths], $M666,
          unit_details[Partial Baths], IF(ISNUMBER($N666),$N666,""),
          unit_details[Sqft],$P666
)),"")</f>
        <v/>
      </c>
      <c r="AF666" s="5" t="str">
        <f>IFERROR(IF(AE666="","",IF($F666="Total",
SUMPRODUCT(
   INDEX(AF:AF, ROW()-COUNTIF($F$6:INDEX($F:$F, ROW()-1), $F665)) : INDEX(AF:AF, ROW()-1),
   INDEX(AB:AB, ROW()-COUNTIF($F$6:INDEX($F:$F, ROW()-1), $F665)) : INDEX(AB:AB, ROW()-1)
   )
   /SUM(INDEX(AB:AB, ROW()-COUNTIF($F$6:INDEX($F:$F, ROW()-1), $F665)) : INDEX(AB:AB, ROW()-1)),
           _xlfn.MAXIFS(unit_details[Asking Rent],
          unit_details[Active Listing?],TRUE,
          unit_details[Property Name], $F666,
          unit_details[Beds], $L666,
          unit_details[Baths], $M666,
          unit_details[Partial Baths], IF(ISNUMBER($N666),$N666,""),
          unit_details[Sqft],$P666
))),"")</f>
        <v/>
      </c>
      <c r="AG666" s="6" t="str">
        <f>IFERROR(IF($F666="Total",
         SUMPRODUCT(
         INDEX(AG:AG, ROW()-COUNTIF($F$6:INDEX($F:$F, ROW()-1), $F665)) : INDEX(AG:AG, ROW()-1),
         INDEX(AB:AB, ROW()-COUNTIF($F$6:INDEX($F:$F, ROW()-1), $F665)) : INDEX(AB:AB, ROW()-1)
         )
         /SUM(INDEX(AB:AB, ROW()-COUNTIF($F$6:INDEX($F:$F, ROW()-1), $F665)) : INDEX(AB:AB, ROW()-1)),
          AVERAGEIFS(unit_details[Asking PSF],
          unit_details[Active Listing?],TRUE,
          unit_details[Property Name], $F666,
          unit_details[Beds], $L666,
          unit_details[Baths], $M666,
          unit_details[Partial Baths], IF(ISNUMBER($N666),$N666,""),
          unit_details[Sqft],$P666
)),"")</f>
        <v/>
      </c>
      <c r="AH666" s="293" t="str">
        <f>IFERROR(IF($F666="Total",
         SUMPRODUCT(
         INDEX(AH:AH, ROW()-COUNTIF($F$6:INDEX($F:$F, ROW()-1), $F665)) : INDEX(AH:AH, ROW()-1),
         INDEX(AB:AB, ROW()-COUNTIF($F$6:INDEX($F:$F, ROW()-1), $F665)) : INDEX(AB:AB, ROW()-1)
         )
         /SUM(INDEX(AB:AB, ROW()-COUNTIF($F$6:INDEX($F:$F, ROW()-1), $F665)) : INDEX(AB:AB, ROW()-1)),
          AVERAGEIFS(unit_details[Effective Rent],
          unit_details[Active Listing?],TRUE,
          unit_details[Property Name], $F666,
          unit_details[Beds], $L666,
          unit_details[Baths], $M666,
          unit_details[Partial Baths], IF(ISNUMBER($N666),$N666,""),
          unit_details[Sqft],$P666
)),"")</f>
        <v/>
      </c>
      <c r="AI666" s="6" t="str">
        <f>IFERROR(IF($F666="Total",
         SUMPRODUCT(
         INDEX(AI:AI, ROW()-COUNTIF($F$6:INDEX($F:$F, ROW()-1), $F665)) : INDEX(AI:AI, ROW()-1),
         INDEX(AB:AB, ROW()-COUNTIF($F$6:INDEX($F:$F, ROW()-1), $F665)) : INDEX(AB:AB, ROW()-1)
         )
         /SUM(INDEX(AB:AB, ROW()-COUNTIF($F$6:INDEX($F:$F, ROW()-1), $F665)) : INDEX(AB:AB, ROW()-1)),
           AVERAGEIFS(unit_details[Effective PSF],
          unit_details[Active Listing?],TRUE,
          unit_details[Property Name], $F666,
          unit_details[Beds], $L666,
          unit_details[Baths], $M666,
          unit_details[Partial Baths], IF(ISNUMBER($N666),$N666,""),
          unit_details[Sqft],$P666
)),"")</f>
        <v/>
      </c>
      <c r="AJ666" s="824" t="str">
        <f t="shared" si="114"/>
        <v/>
      </c>
      <c r="AK666" s="531" t="str">
        <f t="shared" si="115"/>
        <v/>
      </c>
      <c r="AL666" s="714" t="str">
        <f t="shared" si="116"/>
        <v/>
      </c>
      <c r="AM666" s="531" t="str">
        <f t="shared" si="117"/>
        <v/>
      </c>
      <c r="AN666" s="716" t="str">
        <f t="shared" si="118"/>
        <v/>
      </c>
    </row>
    <row r="667" spans="6:40" x14ac:dyDescent="0.2">
      <c r="F667" s="1" t="str">
        <f t="shared" si="111"/>
        <v/>
      </c>
      <c r="G667" s="713" t="str">
        <f t="shared" si="119"/>
        <v/>
      </c>
      <c r="H667" s="17" t="str">
        <f>IFERROR(VLOOKUP($G667,Table1[[Property]:[Exposure %]],4,0),"")</f>
        <v/>
      </c>
      <c r="I667" s="3" t="str">
        <f>IFERROR(VLOOKUP($G667,Table1[[Property]:[Exposure %]],6,0),"")</f>
        <v/>
      </c>
      <c r="J667" s="3" t="str">
        <f>IFERROR(VLOOKUP($G667,Table1[[Property]:[Exposure %]],7,0),"")</f>
        <v/>
      </c>
      <c r="R667" s="4" t="str">
        <f>IFERROR(VLOOKUP(IF(F667="Total",F666,F667),Table1[[Property]:['# Units]],7,0)*S667,"")</f>
        <v/>
      </c>
      <c r="S667" s="27" t="str">
        <f t="shared" si="112"/>
        <v/>
      </c>
      <c r="T667" s="531" t="str">
        <f>IFERROR(
 IF($F667="Total",
   SUMPRODUCT(
   INDEX(T:T, ROW()-COUNTIF($F$6:INDEX($F:$F, ROW()-1), $F666)) : INDEX(T:T, ROW()-1),
   INDEX(W:W, ROW()-COUNTIF($F$6:INDEX($F:$F, ROW()-1), $F666)) : INDEX(W:W, ROW()-1)
   )
   /SUM(INDEX(W:W, ROW()-COUNTIF($F$6:INDEX($F:$F, ROW()-1), $F666)) : INDEX(W:W, ROW()-1)),
   AVERAGEIFS(
     INDEX((unit_details[Asking Rent],unit_details[Asking PSF]),0,1,IF($U$3="Chunk Rent",1,2)),
     unit_details[Leased Date],"&gt;="&amp;($AM$2-T$5),
     unit_details[Leased Date],"&lt;"&amp;$AM$2,
     unit_details[Beds],$L667,
     unit_details[Baths],$M667,
     unit_details[Partial Baths],IF(ISNUMBER($N667),$N667,""),
     unit_details[Sqft],$P667,
     unit_details[Property Name],$F667)
 ),"")</f>
        <v/>
      </c>
      <c r="U667" s="552" t="str">
        <f>IFERROR(
 IF($F667="Total",
   SUMPRODUCT(
   INDEX(U:U, ROW()-COUNTIF($F$6:INDEX($F:$F, ROW()-1), $F666)) : INDEX(U:U, ROW()-1),
   INDEX(W:W, ROW()-COUNTIF($F$6:INDEX($F:$F, ROW()-1), $F666)) : INDEX(W:W, ROW()-1)
   )
   /SUM(INDEX(W:W, ROW()-COUNTIF($F$6:INDEX($F:$F, ROW()-1), $F666)) : INDEX(W:W, ROW()-1)),
   AVERAGEIFS(
     INDEX((unit_details[Effective Rent],unit_details[Effective PSF]),0,1,IF($U$3="Chunk Rent",1,2)),
     unit_details[Leased Date],"&gt;="&amp;($AM$2-T$5),
     unit_details[Leased Date],"&lt;"&amp;$AM$2,
     unit_details[Beds],$L667,
     unit_details[Baths],$M667,
     unit_details[Partial Baths],IF(ISNUMBER($N667),$N667,""),
     unit_details[Sqft],$P667,
     unit_details[Property Name],$F667)
 ),"")</f>
        <v/>
      </c>
      <c r="V667" s="27" t="str">
        <f t="shared" si="120"/>
        <v/>
      </c>
      <c r="W667" s="526">
        <f>IFERROR(
  IF($F667="Total",
    SUM(INDEX(W:W, ROW()-COUNTIF($F$6:INDEX($F:$F, ROW()-1), $F666)) : INDEX(W:W, ROW()-1)),
    COUNTIFS(
      unit_details[Leased Date], "&gt;="&amp;($AM$2-T$5),
      unit_details[Leased Date], "&lt;"&amp;$AM$2,
      unit_details[Beds], $L667,
      unit_details[Baths], $M667,
      unit_details[Partial Baths], IF(ISNUMBER($N667), $N667, ""),
      unit_details[Sqft],$P667,
      unit_details[Property Name], $F667
    )
  ),
"")</f>
        <v>0</v>
      </c>
      <c r="X667" s="531" t="str">
        <f>IFERROR(
 IF($F667="Total",
   SUMPRODUCT(
   INDEX(X:X, ROW()-COUNTIF($F$6:INDEX($F:$F, ROW()-1), $F666)) : INDEX(X:X, ROW()-1),
   INDEX(AA:AA, ROW()-COUNTIF($F$6:INDEX($F:$F, ROW()-1), $F666)) : INDEX(AA:AA, ROW()-1)
   )
   /SUM(INDEX(AA:AA, ROW()-COUNTIF($F$6:INDEX($F:$F, ROW()-1), $F666)) : INDEX(AA:AA, ROW()-1)),
   AVERAGEIFS(
     INDEX((unit_details[Asking Rent],unit_details[Asking PSF]),0,1,IF($U$3="Chunk Rent",1,2)),
     unit_details[Leased Date],"&gt;="&amp;($AM$2-X$5),
     unit_details[Leased Date],"&lt;"&amp;$AM$2,
     unit_details[Beds],$L667,
     unit_details[Baths],$M667,
     unit_details[Partial Baths],IF(ISNUMBER($N667),$N667,""),
     unit_details[Sqft],$P667,
     unit_details[Property Name],$F667)
 ),"")</f>
        <v/>
      </c>
      <c r="Y667" s="552" t="str">
        <f>IFERROR(
 IF($F667="Total",
   SUMPRODUCT(
   INDEX(Y:Y, ROW()-COUNTIF($F$6:INDEX($F:$F, ROW()-1), $F666)) : INDEX(Y:Y, ROW()-1),
   INDEX(AA:AA, ROW()-COUNTIF($F$6:INDEX($F:$F, ROW()-1), $F666)) : INDEX(AA:AA, ROW()-1)
   )
   /SUM(INDEX(AA:AA, ROW()-COUNTIF($F$6:INDEX($F:$F, ROW()-1), $F666)) : INDEX(AA:AA, ROW()-1)),
   AVERAGEIFS(
     INDEX((unit_details[Effective Rent],unit_details[Effective PSF]),0,1,IF($U$3="Chunk Rent",1,2)),
     unit_details[Leased Date],"&gt;="&amp;($AM$2-X$5),
     unit_details[Leased Date],"&lt;"&amp;$AM$2,
     unit_details[Beds],$L667,
     unit_details[Baths],$M667,
     unit_details[Partial Baths],IF(ISNUMBER($N667),$N667,""),
     unit_details[Sqft],$P667,
     unit_details[Property Name],$F667)
 ),"")</f>
        <v/>
      </c>
      <c r="Z667" s="27" t="str">
        <f t="shared" si="121"/>
        <v/>
      </c>
      <c r="AA667" s="526">
        <f>IFERROR(
  IF($F667="Total",
    SUM(INDEX(AA:AA, ROW()-COUNTIF($F$6:INDEX($F:$F, ROW()-1), $F666)) : INDEX(AA:AA, ROW()-1)),
    COUNTIFS(
      unit_details[Leased Date], "&gt;="&amp;($AM$2-X$5),
      unit_details[Leased Date], "&lt;"&amp;$AM$2,
      unit_details[Beds], $L667,
      unit_details[Baths], $M667,
      unit_details[Partial Baths], IF(ISNUMBER($N667), $N667, ""),
      unit_details[Sqft],$P667,
      unit_details[Property Name], $F667
    )
  ),
"")</f>
        <v>0</v>
      </c>
      <c r="AB667" s="290">
        <f>IF($F667="Total",
SUM(INDEX(AB:AB, ROW()-COUNTIF($F$6:INDEX($F:$F, ROW()-1), $F666)) : INDEX(AB:AB, ROW()-1)),
COUNTIFS(unit_details[Active Listing?],TRUE,
          unit_details[Property Name], $F667,
          unit_details[Beds], $L667,
          unit_details[Baths], $M667,
          unit_details[Partial Baths],IF(ISNUMBER($N667),$N667,""),
          unit_details[Sqft],$P667))</f>
        <v>0</v>
      </c>
      <c r="AC667" s="27" t="str">
        <f t="shared" si="113"/>
        <v/>
      </c>
      <c r="AD667" s="293" t="str">
        <f>IFERROR(IF(AE667="","",IF($F667="Total",
SUMPRODUCT(
   INDEX(AD:AD, ROW()-COUNTIF($F$6:INDEX($F:$F, ROW()-1), $F666)) : INDEX(AD:AD, ROW()-1),
   INDEX(AB:AB, ROW()-COUNTIF($F$6:INDEX($F:$F, ROW()-1), $F666)) : INDEX(AB:AB, ROW()-1)
   )
   /SUM(INDEX(AB:AB, ROW()-COUNTIF($F$6:INDEX($F:$F, ROW()-1), $F666)) : INDEX(AB:AB, ROW()-1)),
          _xlfn.MINIFS(unit_details[Asking Rent],
          unit_details[Active Listing?],TRUE,
          unit_details[Property Name], $F667,
          unit_details[Beds], $L667,
          unit_details[Baths], $M667,
          unit_details[Partial Baths], IF(ISNUMBER($N667),$N667,""),
          unit_details[Sqft],$P667
))),"")</f>
        <v/>
      </c>
      <c r="AE667" s="5" t="str">
        <f>IFERROR(IF($F667="Total",
          SUMPRODUCT(
   INDEX(AE:AE, ROW()-COUNTIF($F$6:INDEX($F:$F, ROW()-1), $F666)) : INDEX(AE:AE, ROW()-1),
   INDEX(AB:AB, ROW()-COUNTIF($F$6:INDEX($F:$F, ROW()-1), $F666)) : INDEX(AB:AB, ROW()-1)
   )
   /SUM(INDEX(AB:AB, ROW()-COUNTIF($F$6:INDEX($F:$F, ROW()-1), $F666)) : INDEX(AB:AB, ROW()-1)),
          AVERAGEIFS(unit_details[Asking Rent],
          unit_details[Active Listing?],TRUE,
          unit_details[Property Name], $F667,
          unit_details[Beds], $L667,
          unit_details[Baths], $M667,
          unit_details[Partial Baths], IF(ISNUMBER($N667),$N667,""),
          unit_details[Sqft],$P667
)),"")</f>
        <v/>
      </c>
      <c r="AF667" s="5" t="str">
        <f>IFERROR(IF(AE667="","",IF($F667="Total",
SUMPRODUCT(
   INDEX(AF:AF, ROW()-COUNTIF($F$6:INDEX($F:$F, ROW()-1), $F666)) : INDEX(AF:AF, ROW()-1),
   INDEX(AB:AB, ROW()-COUNTIF($F$6:INDEX($F:$F, ROW()-1), $F666)) : INDEX(AB:AB, ROW()-1)
   )
   /SUM(INDEX(AB:AB, ROW()-COUNTIF($F$6:INDEX($F:$F, ROW()-1), $F666)) : INDEX(AB:AB, ROW()-1)),
           _xlfn.MAXIFS(unit_details[Asking Rent],
          unit_details[Active Listing?],TRUE,
          unit_details[Property Name], $F667,
          unit_details[Beds], $L667,
          unit_details[Baths], $M667,
          unit_details[Partial Baths], IF(ISNUMBER($N667),$N667,""),
          unit_details[Sqft],$P667
))),"")</f>
        <v/>
      </c>
      <c r="AG667" s="6" t="str">
        <f>IFERROR(IF($F667="Total",
         SUMPRODUCT(
         INDEX(AG:AG, ROW()-COUNTIF($F$6:INDEX($F:$F, ROW()-1), $F666)) : INDEX(AG:AG, ROW()-1),
         INDEX(AB:AB, ROW()-COUNTIF($F$6:INDEX($F:$F, ROW()-1), $F666)) : INDEX(AB:AB, ROW()-1)
         )
         /SUM(INDEX(AB:AB, ROW()-COUNTIF($F$6:INDEX($F:$F, ROW()-1), $F666)) : INDEX(AB:AB, ROW()-1)),
          AVERAGEIFS(unit_details[Asking PSF],
          unit_details[Active Listing?],TRUE,
          unit_details[Property Name], $F667,
          unit_details[Beds], $L667,
          unit_details[Baths], $M667,
          unit_details[Partial Baths], IF(ISNUMBER($N667),$N667,""),
          unit_details[Sqft],$P667
)),"")</f>
        <v/>
      </c>
      <c r="AH667" s="293" t="str">
        <f>IFERROR(IF($F667="Total",
         SUMPRODUCT(
         INDEX(AH:AH, ROW()-COUNTIF($F$6:INDEX($F:$F, ROW()-1), $F666)) : INDEX(AH:AH, ROW()-1),
         INDEX(AB:AB, ROW()-COUNTIF($F$6:INDEX($F:$F, ROW()-1), $F666)) : INDEX(AB:AB, ROW()-1)
         )
         /SUM(INDEX(AB:AB, ROW()-COUNTIF($F$6:INDEX($F:$F, ROW()-1), $F666)) : INDEX(AB:AB, ROW()-1)),
          AVERAGEIFS(unit_details[Effective Rent],
          unit_details[Active Listing?],TRUE,
          unit_details[Property Name], $F667,
          unit_details[Beds], $L667,
          unit_details[Baths], $M667,
          unit_details[Partial Baths], IF(ISNUMBER($N667),$N667,""),
          unit_details[Sqft],$P667
)),"")</f>
        <v/>
      </c>
      <c r="AI667" s="6" t="str">
        <f>IFERROR(IF($F667="Total",
         SUMPRODUCT(
         INDEX(AI:AI, ROW()-COUNTIF($F$6:INDEX($F:$F, ROW()-1), $F666)) : INDEX(AI:AI, ROW()-1),
         INDEX(AB:AB, ROW()-COUNTIF($F$6:INDEX($F:$F, ROW()-1), $F666)) : INDEX(AB:AB, ROW()-1)
         )
         /SUM(INDEX(AB:AB, ROW()-COUNTIF($F$6:INDEX($F:$F, ROW()-1), $F666)) : INDEX(AB:AB, ROW()-1)),
           AVERAGEIFS(unit_details[Effective PSF],
          unit_details[Active Listing?],TRUE,
          unit_details[Property Name], $F667,
          unit_details[Beds], $L667,
          unit_details[Baths], $M667,
          unit_details[Partial Baths], IF(ISNUMBER($N667),$N667,""),
          unit_details[Sqft],$P667
)),"")</f>
        <v/>
      </c>
      <c r="AJ667" s="824" t="str">
        <f t="shared" si="114"/>
        <v/>
      </c>
      <c r="AK667" s="531" t="str">
        <f t="shared" si="115"/>
        <v/>
      </c>
      <c r="AL667" s="714" t="str">
        <f t="shared" si="116"/>
        <v/>
      </c>
      <c r="AM667" s="531" t="str">
        <f t="shared" si="117"/>
        <v/>
      </c>
      <c r="AN667" s="716" t="str">
        <f t="shared" si="118"/>
        <v/>
      </c>
    </row>
    <row r="668" spans="6:40" x14ac:dyDescent="0.2">
      <c r="F668" s="1" t="str">
        <f t="shared" si="111"/>
        <v/>
      </c>
      <c r="G668" s="713" t="str">
        <f t="shared" si="119"/>
        <v/>
      </c>
      <c r="H668" s="17" t="str">
        <f>IFERROR(VLOOKUP($G668,Table1[[Property]:[Exposure %]],4,0),"")</f>
        <v/>
      </c>
      <c r="I668" s="3" t="str">
        <f>IFERROR(VLOOKUP($G668,Table1[[Property]:[Exposure %]],6,0),"")</f>
        <v/>
      </c>
      <c r="J668" s="3" t="str">
        <f>IFERROR(VLOOKUP($G668,Table1[[Property]:[Exposure %]],7,0),"")</f>
        <v/>
      </c>
      <c r="R668" s="4" t="str">
        <f>IFERROR(VLOOKUP(IF(F668="Total",F667,F668),Table1[[Property]:['# Units]],7,0)*S668,"")</f>
        <v/>
      </c>
      <c r="S668" s="27" t="str">
        <f t="shared" si="112"/>
        <v/>
      </c>
      <c r="T668" s="531" t="str">
        <f>IFERROR(
 IF($F668="Total",
   SUMPRODUCT(
   INDEX(T:T, ROW()-COUNTIF($F$6:INDEX($F:$F, ROW()-1), $F667)) : INDEX(T:T, ROW()-1),
   INDEX(W:W, ROW()-COUNTIF($F$6:INDEX($F:$F, ROW()-1), $F667)) : INDEX(W:W, ROW()-1)
   )
   /SUM(INDEX(W:W, ROW()-COUNTIF($F$6:INDEX($F:$F, ROW()-1), $F667)) : INDEX(W:W, ROW()-1)),
   AVERAGEIFS(
     INDEX((unit_details[Asking Rent],unit_details[Asking PSF]),0,1,IF($U$3="Chunk Rent",1,2)),
     unit_details[Leased Date],"&gt;="&amp;($AM$2-T$5),
     unit_details[Leased Date],"&lt;"&amp;$AM$2,
     unit_details[Beds],$L668,
     unit_details[Baths],$M668,
     unit_details[Partial Baths],IF(ISNUMBER($N668),$N668,""),
     unit_details[Sqft],$P668,
     unit_details[Property Name],$F668)
 ),"")</f>
        <v/>
      </c>
      <c r="U668" s="552" t="str">
        <f>IFERROR(
 IF($F668="Total",
   SUMPRODUCT(
   INDEX(U:U, ROW()-COUNTIF($F$6:INDEX($F:$F, ROW()-1), $F667)) : INDEX(U:U, ROW()-1),
   INDEX(W:W, ROW()-COUNTIF($F$6:INDEX($F:$F, ROW()-1), $F667)) : INDEX(W:W, ROW()-1)
   )
   /SUM(INDEX(W:W, ROW()-COUNTIF($F$6:INDEX($F:$F, ROW()-1), $F667)) : INDEX(W:W, ROW()-1)),
   AVERAGEIFS(
     INDEX((unit_details[Effective Rent],unit_details[Effective PSF]),0,1,IF($U$3="Chunk Rent",1,2)),
     unit_details[Leased Date],"&gt;="&amp;($AM$2-T$5),
     unit_details[Leased Date],"&lt;"&amp;$AM$2,
     unit_details[Beds],$L668,
     unit_details[Baths],$M668,
     unit_details[Partial Baths],IF(ISNUMBER($N668),$N668,""),
     unit_details[Sqft],$P668,
     unit_details[Property Name],$F668)
 ),"")</f>
        <v/>
      </c>
      <c r="V668" s="27" t="str">
        <f t="shared" si="120"/>
        <v/>
      </c>
      <c r="W668" s="526">
        <f>IFERROR(
  IF($F668="Total",
    SUM(INDEX(W:W, ROW()-COUNTIF($F$6:INDEX($F:$F, ROW()-1), $F667)) : INDEX(W:W, ROW()-1)),
    COUNTIFS(
      unit_details[Leased Date], "&gt;="&amp;($AM$2-T$5),
      unit_details[Leased Date], "&lt;"&amp;$AM$2,
      unit_details[Beds], $L668,
      unit_details[Baths], $M668,
      unit_details[Partial Baths], IF(ISNUMBER($N668), $N668, ""),
      unit_details[Sqft],$P668,
      unit_details[Property Name], $F668
    )
  ),
"")</f>
        <v>0</v>
      </c>
      <c r="X668" s="531" t="str">
        <f>IFERROR(
 IF($F668="Total",
   SUMPRODUCT(
   INDEX(X:X, ROW()-COUNTIF($F$6:INDEX($F:$F, ROW()-1), $F667)) : INDEX(X:X, ROW()-1),
   INDEX(AA:AA, ROW()-COUNTIF($F$6:INDEX($F:$F, ROW()-1), $F667)) : INDEX(AA:AA, ROW()-1)
   )
   /SUM(INDEX(AA:AA, ROW()-COUNTIF($F$6:INDEX($F:$F, ROW()-1), $F667)) : INDEX(AA:AA, ROW()-1)),
   AVERAGEIFS(
     INDEX((unit_details[Asking Rent],unit_details[Asking PSF]),0,1,IF($U$3="Chunk Rent",1,2)),
     unit_details[Leased Date],"&gt;="&amp;($AM$2-X$5),
     unit_details[Leased Date],"&lt;"&amp;$AM$2,
     unit_details[Beds],$L668,
     unit_details[Baths],$M668,
     unit_details[Partial Baths],IF(ISNUMBER($N668),$N668,""),
     unit_details[Sqft],$P668,
     unit_details[Property Name],$F668)
 ),"")</f>
        <v/>
      </c>
      <c r="Y668" s="552" t="str">
        <f>IFERROR(
 IF($F668="Total",
   SUMPRODUCT(
   INDEX(Y:Y, ROW()-COUNTIF($F$6:INDEX($F:$F, ROW()-1), $F667)) : INDEX(Y:Y, ROW()-1),
   INDEX(AA:AA, ROW()-COUNTIF($F$6:INDEX($F:$F, ROW()-1), $F667)) : INDEX(AA:AA, ROW()-1)
   )
   /SUM(INDEX(AA:AA, ROW()-COUNTIF($F$6:INDEX($F:$F, ROW()-1), $F667)) : INDEX(AA:AA, ROW()-1)),
   AVERAGEIFS(
     INDEX((unit_details[Effective Rent],unit_details[Effective PSF]),0,1,IF($U$3="Chunk Rent",1,2)),
     unit_details[Leased Date],"&gt;="&amp;($AM$2-X$5),
     unit_details[Leased Date],"&lt;"&amp;$AM$2,
     unit_details[Beds],$L668,
     unit_details[Baths],$M668,
     unit_details[Partial Baths],IF(ISNUMBER($N668),$N668,""),
     unit_details[Sqft],$P668,
     unit_details[Property Name],$F668)
 ),"")</f>
        <v/>
      </c>
      <c r="Z668" s="27" t="str">
        <f t="shared" si="121"/>
        <v/>
      </c>
      <c r="AA668" s="526">
        <f>IFERROR(
  IF($F668="Total",
    SUM(INDEX(AA:AA, ROW()-COUNTIF($F$6:INDEX($F:$F, ROW()-1), $F667)) : INDEX(AA:AA, ROW()-1)),
    COUNTIFS(
      unit_details[Leased Date], "&gt;="&amp;($AM$2-X$5),
      unit_details[Leased Date], "&lt;"&amp;$AM$2,
      unit_details[Beds], $L668,
      unit_details[Baths], $M668,
      unit_details[Partial Baths], IF(ISNUMBER($N668), $N668, ""),
      unit_details[Sqft],$P668,
      unit_details[Property Name], $F668
    )
  ),
"")</f>
        <v>0</v>
      </c>
      <c r="AB668" s="290">
        <f>IF($F668="Total",
SUM(INDEX(AB:AB, ROW()-COUNTIF($F$6:INDEX($F:$F, ROW()-1), $F667)) : INDEX(AB:AB, ROW()-1)),
COUNTIFS(unit_details[Active Listing?],TRUE,
          unit_details[Property Name], $F668,
          unit_details[Beds], $L668,
          unit_details[Baths], $M668,
          unit_details[Partial Baths],IF(ISNUMBER($N668),$N668,""),
          unit_details[Sqft],$P668))</f>
        <v>0</v>
      </c>
      <c r="AC668" s="27" t="str">
        <f t="shared" si="113"/>
        <v/>
      </c>
      <c r="AD668" s="293" t="str">
        <f>IFERROR(IF(AE668="","",IF($F668="Total",
SUMPRODUCT(
   INDEX(AD:AD, ROW()-COUNTIF($F$6:INDEX($F:$F, ROW()-1), $F667)) : INDEX(AD:AD, ROW()-1),
   INDEX(AB:AB, ROW()-COUNTIF($F$6:INDEX($F:$F, ROW()-1), $F667)) : INDEX(AB:AB, ROW()-1)
   )
   /SUM(INDEX(AB:AB, ROW()-COUNTIF($F$6:INDEX($F:$F, ROW()-1), $F667)) : INDEX(AB:AB, ROW()-1)),
          _xlfn.MINIFS(unit_details[Asking Rent],
          unit_details[Active Listing?],TRUE,
          unit_details[Property Name], $F668,
          unit_details[Beds], $L668,
          unit_details[Baths], $M668,
          unit_details[Partial Baths], IF(ISNUMBER($N668),$N668,""),
          unit_details[Sqft],$P668
))),"")</f>
        <v/>
      </c>
      <c r="AE668" s="5" t="str">
        <f>IFERROR(IF($F668="Total",
          SUMPRODUCT(
   INDEX(AE:AE, ROW()-COUNTIF($F$6:INDEX($F:$F, ROW()-1), $F667)) : INDEX(AE:AE, ROW()-1),
   INDEX(AB:AB, ROW()-COUNTIF($F$6:INDEX($F:$F, ROW()-1), $F667)) : INDEX(AB:AB, ROW()-1)
   )
   /SUM(INDEX(AB:AB, ROW()-COUNTIF($F$6:INDEX($F:$F, ROW()-1), $F667)) : INDEX(AB:AB, ROW()-1)),
          AVERAGEIFS(unit_details[Asking Rent],
          unit_details[Active Listing?],TRUE,
          unit_details[Property Name], $F668,
          unit_details[Beds], $L668,
          unit_details[Baths], $M668,
          unit_details[Partial Baths], IF(ISNUMBER($N668),$N668,""),
          unit_details[Sqft],$P668
)),"")</f>
        <v/>
      </c>
      <c r="AF668" s="5" t="str">
        <f>IFERROR(IF(AE668="","",IF($F668="Total",
SUMPRODUCT(
   INDEX(AF:AF, ROW()-COUNTIF($F$6:INDEX($F:$F, ROW()-1), $F667)) : INDEX(AF:AF, ROW()-1),
   INDEX(AB:AB, ROW()-COUNTIF($F$6:INDEX($F:$F, ROW()-1), $F667)) : INDEX(AB:AB, ROW()-1)
   )
   /SUM(INDEX(AB:AB, ROW()-COUNTIF($F$6:INDEX($F:$F, ROW()-1), $F667)) : INDEX(AB:AB, ROW()-1)),
           _xlfn.MAXIFS(unit_details[Asking Rent],
          unit_details[Active Listing?],TRUE,
          unit_details[Property Name], $F668,
          unit_details[Beds], $L668,
          unit_details[Baths], $M668,
          unit_details[Partial Baths], IF(ISNUMBER($N668),$N668,""),
          unit_details[Sqft],$P668
))),"")</f>
        <v/>
      </c>
      <c r="AG668" s="6" t="str">
        <f>IFERROR(IF($F668="Total",
         SUMPRODUCT(
         INDEX(AG:AG, ROW()-COUNTIF($F$6:INDEX($F:$F, ROW()-1), $F667)) : INDEX(AG:AG, ROW()-1),
         INDEX(AB:AB, ROW()-COUNTIF($F$6:INDEX($F:$F, ROW()-1), $F667)) : INDEX(AB:AB, ROW()-1)
         )
         /SUM(INDEX(AB:AB, ROW()-COUNTIF($F$6:INDEX($F:$F, ROW()-1), $F667)) : INDEX(AB:AB, ROW()-1)),
          AVERAGEIFS(unit_details[Asking PSF],
          unit_details[Active Listing?],TRUE,
          unit_details[Property Name], $F668,
          unit_details[Beds], $L668,
          unit_details[Baths], $M668,
          unit_details[Partial Baths], IF(ISNUMBER($N668),$N668,""),
          unit_details[Sqft],$P668
)),"")</f>
        <v/>
      </c>
      <c r="AH668" s="293" t="str">
        <f>IFERROR(IF($F668="Total",
         SUMPRODUCT(
         INDEX(AH:AH, ROW()-COUNTIF($F$6:INDEX($F:$F, ROW()-1), $F667)) : INDEX(AH:AH, ROW()-1),
         INDEX(AB:AB, ROW()-COUNTIF($F$6:INDEX($F:$F, ROW()-1), $F667)) : INDEX(AB:AB, ROW()-1)
         )
         /SUM(INDEX(AB:AB, ROW()-COUNTIF($F$6:INDEX($F:$F, ROW()-1), $F667)) : INDEX(AB:AB, ROW()-1)),
          AVERAGEIFS(unit_details[Effective Rent],
          unit_details[Active Listing?],TRUE,
          unit_details[Property Name], $F668,
          unit_details[Beds], $L668,
          unit_details[Baths], $M668,
          unit_details[Partial Baths], IF(ISNUMBER($N668),$N668,""),
          unit_details[Sqft],$P668
)),"")</f>
        <v/>
      </c>
      <c r="AI668" s="6" t="str">
        <f>IFERROR(IF($F668="Total",
         SUMPRODUCT(
         INDEX(AI:AI, ROW()-COUNTIF($F$6:INDEX($F:$F, ROW()-1), $F667)) : INDEX(AI:AI, ROW()-1),
         INDEX(AB:AB, ROW()-COUNTIF($F$6:INDEX($F:$F, ROW()-1), $F667)) : INDEX(AB:AB, ROW()-1)
         )
         /SUM(INDEX(AB:AB, ROW()-COUNTIF($F$6:INDEX($F:$F, ROW()-1), $F667)) : INDEX(AB:AB, ROW()-1)),
           AVERAGEIFS(unit_details[Effective PSF],
          unit_details[Active Listing?],TRUE,
          unit_details[Property Name], $F668,
          unit_details[Beds], $L668,
          unit_details[Baths], $M668,
          unit_details[Partial Baths], IF(ISNUMBER($N668),$N668,""),
          unit_details[Sqft],$P668
)),"")</f>
        <v/>
      </c>
      <c r="AJ668" s="824" t="str">
        <f t="shared" si="114"/>
        <v/>
      </c>
      <c r="AK668" s="531" t="str">
        <f t="shared" si="115"/>
        <v/>
      </c>
      <c r="AL668" s="714" t="str">
        <f t="shared" si="116"/>
        <v/>
      </c>
      <c r="AM668" s="531" t="str">
        <f t="shared" si="117"/>
        <v/>
      </c>
      <c r="AN668" s="716" t="str">
        <f t="shared" si="118"/>
        <v/>
      </c>
    </row>
    <row r="669" spans="6:40" x14ac:dyDescent="0.2">
      <c r="F669" s="1" t="str">
        <f t="shared" si="111"/>
        <v/>
      </c>
      <c r="G669" s="713" t="str">
        <f t="shared" si="119"/>
        <v/>
      </c>
      <c r="H669" s="17" t="str">
        <f>IFERROR(VLOOKUP($G669,Table1[[Property]:[Exposure %]],4,0),"")</f>
        <v/>
      </c>
      <c r="I669" s="3" t="str">
        <f>IFERROR(VLOOKUP($G669,Table1[[Property]:[Exposure %]],6,0),"")</f>
        <v/>
      </c>
      <c r="J669" s="3" t="str">
        <f>IFERROR(VLOOKUP($G669,Table1[[Property]:[Exposure %]],7,0),"")</f>
        <v/>
      </c>
      <c r="R669" s="4" t="str">
        <f>IFERROR(VLOOKUP(IF(F669="Total",F668,F669),Table1[[Property]:['# Units]],7,0)*S669,"")</f>
        <v/>
      </c>
      <c r="S669" s="27" t="str">
        <f t="shared" si="112"/>
        <v/>
      </c>
      <c r="T669" s="531" t="str">
        <f>IFERROR(
 IF($F669="Total",
   SUMPRODUCT(
   INDEX(T:T, ROW()-COUNTIF($F$6:INDEX($F:$F, ROW()-1), $F668)) : INDEX(T:T, ROW()-1),
   INDEX(W:W, ROW()-COUNTIF($F$6:INDEX($F:$F, ROW()-1), $F668)) : INDEX(W:W, ROW()-1)
   )
   /SUM(INDEX(W:W, ROW()-COUNTIF($F$6:INDEX($F:$F, ROW()-1), $F668)) : INDEX(W:W, ROW()-1)),
   AVERAGEIFS(
     INDEX((unit_details[Asking Rent],unit_details[Asking PSF]),0,1,IF($U$3="Chunk Rent",1,2)),
     unit_details[Leased Date],"&gt;="&amp;($AM$2-T$5),
     unit_details[Leased Date],"&lt;"&amp;$AM$2,
     unit_details[Beds],$L669,
     unit_details[Baths],$M669,
     unit_details[Partial Baths],IF(ISNUMBER($N669),$N669,""),
     unit_details[Sqft],$P669,
     unit_details[Property Name],$F669)
 ),"")</f>
        <v/>
      </c>
      <c r="U669" s="552" t="str">
        <f>IFERROR(
 IF($F669="Total",
   SUMPRODUCT(
   INDEX(U:U, ROW()-COUNTIF($F$6:INDEX($F:$F, ROW()-1), $F668)) : INDEX(U:U, ROW()-1),
   INDEX(W:W, ROW()-COUNTIF($F$6:INDEX($F:$F, ROW()-1), $F668)) : INDEX(W:W, ROW()-1)
   )
   /SUM(INDEX(W:W, ROW()-COUNTIF($F$6:INDEX($F:$F, ROW()-1), $F668)) : INDEX(W:W, ROW()-1)),
   AVERAGEIFS(
     INDEX((unit_details[Effective Rent],unit_details[Effective PSF]),0,1,IF($U$3="Chunk Rent",1,2)),
     unit_details[Leased Date],"&gt;="&amp;($AM$2-T$5),
     unit_details[Leased Date],"&lt;"&amp;$AM$2,
     unit_details[Beds],$L669,
     unit_details[Baths],$M669,
     unit_details[Partial Baths],IF(ISNUMBER($N669),$N669,""),
     unit_details[Sqft],$P669,
     unit_details[Property Name],$F669)
 ),"")</f>
        <v/>
      </c>
      <c r="V669" s="27" t="str">
        <f t="shared" si="120"/>
        <v/>
      </c>
      <c r="W669" s="526">
        <f>IFERROR(
  IF($F669="Total",
    SUM(INDEX(W:W, ROW()-COUNTIF($F$6:INDEX($F:$F, ROW()-1), $F668)) : INDEX(W:W, ROW()-1)),
    COUNTIFS(
      unit_details[Leased Date], "&gt;="&amp;($AM$2-T$5),
      unit_details[Leased Date], "&lt;"&amp;$AM$2,
      unit_details[Beds], $L669,
      unit_details[Baths], $M669,
      unit_details[Partial Baths], IF(ISNUMBER($N669), $N669, ""),
      unit_details[Sqft],$P669,
      unit_details[Property Name], $F669
    )
  ),
"")</f>
        <v>0</v>
      </c>
      <c r="X669" s="531" t="str">
        <f>IFERROR(
 IF($F669="Total",
   SUMPRODUCT(
   INDEX(X:X, ROW()-COUNTIF($F$6:INDEX($F:$F, ROW()-1), $F668)) : INDEX(X:X, ROW()-1),
   INDEX(AA:AA, ROW()-COUNTIF($F$6:INDEX($F:$F, ROW()-1), $F668)) : INDEX(AA:AA, ROW()-1)
   )
   /SUM(INDEX(AA:AA, ROW()-COUNTIF($F$6:INDEX($F:$F, ROW()-1), $F668)) : INDEX(AA:AA, ROW()-1)),
   AVERAGEIFS(
     INDEX((unit_details[Asking Rent],unit_details[Asking PSF]),0,1,IF($U$3="Chunk Rent",1,2)),
     unit_details[Leased Date],"&gt;="&amp;($AM$2-X$5),
     unit_details[Leased Date],"&lt;"&amp;$AM$2,
     unit_details[Beds],$L669,
     unit_details[Baths],$M669,
     unit_details[Partial Baths],IF(ISNUMBER($N669),$N669,""),
     unit_details[Sqft],$P669,
     unit_details[Property Name],$F669)
 ),"")</f>
        <v/>
      </c>
      <c r="Y669" s="552" t="str">
        <f>IFERROR(
 IF($F669="Total",
   SUMPRODUCT(
   INDEX(Y:Y, ROW()-COUNTIF($F$6:INDEX($F:$F, ROW()-1), $F668)) : INDEX(Y:Y, ROW()-1),
   INDEX(AA:AA, ROW()-COUNTIF($F$6:INDEX($F:$F, ROW()-1), $F668)) : INDEX(AA:AA, ROW()-1)
   )
   /SUM(INDEX(AA:AA, ROW()-COUNTIF($F$6:INDEX($F:$F, ROW()-1), $F668)) : INDEX(AA:AA, ROW()-1)),
   AVERAGEIFS(
     INDEX((unit_details[Effective Rent],unit_details[Effective PSF]),0,1,IF($U$3="Chunk Rent",1,2)),
     unit_details[Leased Date],"&gt;="&amp;($AM$2-X$5),
     unit_details[Leased Date],"&lt;"&amp;$AM$2,
     unit_details[Beds],$L669,
     unit_details[Baths],$M669,
     unit_details[Partial Baths],IF(ISNUMBER($N669),$N669,""),
     unit_details[Sqft],$P669,
     unit_details[Property Name],$F669)
 ),"")</f>
        <v/>
      </c>
      <c r="Z669" s="27" t="str">
        <f t="shared" si="121"/>
        <v/>
      </c>
      <c r="AA669" s="526">
        <f>IFERROR(
  IF($F669="Total",
    SUM(INDEX(AA:AA, ROW()-COUNTIF($F$6:INDEX($F:$F, ROW()-1), $F668)) : INDEX(AA:AA, ROW()-1)),
    COUNTIFS(
      unit_details[Leased Date], "&gt;="&amp;($AM$2-X$5),
      unit_details[Leased Date], "&lt;"&amp;$AM$2,
      unit_details[Beds], $L669,
      unit_details[Baths], $M669,
      unit_details[Partial Baths], IF(ISNUMBER($N669), $N669, ""),
      unit_details[Sqft],$P669,
      unit_details[Property Name], $F669
    )
  ),
"")</f>
        <v>0</v>
      </c>
      <c r="AB669" s="290">
        <f>IF($F669="Total",
SUM(INDEX(AB:AB, ROW()-COUNTIF($F$6:INDEX($F:$F, ROW()-1), $F668)) : INDEX(AB:AB, ROW()-1)),
COUNTIFS(unit_details[Active Listing?],TRUE,
          unit_details[Property Name], $F669,
          unit_details[Beds], $L669,
          unit_details[Baths], $M669,
          unit_details[Partial Baths],IF(ISNUMBER($N669),$N669,""),
          unit_details[Sqft],$P669))</f>
        <v>0</v>
      </c>
      <c r="AC669" s="27" t="str">
        <f t="shared" si="113"/>
        <v/>
      </c>
      <c r="AD669" s="293" t="str">
        <f>IFERROR(IF(AE669="","",IF($F669="Total",
SUMPRODUCT(
   INDEX(AD:AD, ROW()-COUNTIF($F$6:INDEX($F:$F, ROW()-1), $F668)) : INDEX(AD:AD, ROW()-1),
   INDEX(AB:AB, ROW()-COUNTIF($F$6:INDEX($F:$F, ROW()-1), $F668)) : INDEX(AB:AB, ROW()-1)
   )
   /SUM(INDEX(AB:AB, ROW()-COUNTIF($F$6:INDEX($F:$F, ROW()-1), $F668)) : INDEX(AB:AB, ROW()-1)),
          _xlfn.MINIFS(unit_details[Asking Rent],
          unit_details[Active Listing?],TRUE,
          unit_details[Property Name], $F669,
          unit_details[Beds], $L669,
          unit_details[Baths], $M669,
          unit_details[Partial Baths], IF(ISNUMBER($N669),$N669,""),
          unit_details[Sqft],$P669
))),"")</f>
        <v/>
      </c>
      <c r="AE669" s="5" t="str">
        <f>IFERROR(IF($F669="Total",
          SUMPRODUCT(
   INDEX(AE:AE, ROW()-COUNTIF($F$6:INDEX($F:$F, ROW()-1), $F668)) : INDEX(AE:AE, ROW()-1),
   INDEX(AB:AB, ROW()-COUNTIF($F$6:INDEX($F:$F, ROW()-1), $F668)) : INDEX(AB:AB, ROW()-1)
   )
   /SUM(INDEX(AB:AB, ROW()-COUNTIF($F$6:INDEX($F:$F, ROW()-1), $F668)) : INDEX(AB:AB, ROW()-1)),
          AVERAGEIFS(unit_details[Asking Rent],
          unit_details[Active Listing?],TRUE,
          unit_details[Property Name], $F669,
          unit_details[Beds], $L669,
          unit_details[Baths], $M669,
          unit_details[Partial Baths], IF(ISNUMBER($N669),$N669,""),
          unit_details[Sqft],$P669
)),"")</f>
        <v/>
      </c>
      <c r="AF669" s="5" t="str">
        <f>IFERROR(IF(AE669="","",IF($F669="Total",
SUMPRODUCT(
   INDEX(AF:AF, ROW()-COUNTIF($F$6:INDEX($F:$F, ROW()-1), $F668)) : INDEX(AF:AF, ROW()-1),
   INDEX(AB:AB, ROW()-COUNTIF($F$6:INDEX($F:$F, ROW()-1), $F668)) : INDEX(AB:AB, ROW()-1)
   )
   /SUM(INDEX(AB:AB, ROW()-COUNTIF($F$6:INDEX($F:$F, ROW()-1), $F668)) : INDEX(AB:AB, ROW()-1)),
           _xlfn.MAXIFS(unit_details[Asking Rent],
          unit_details[Active Listing?],TRUE,
          unit_details[Property Name], $F669,
          unit_details[Beds], $L669,
          unit_details[Baths], $M669,
          unit_details[Partial Baths], IF(ISNUMBER($N669),$N669,""),
          unit_details[Sqft],$P669
))),"")</f>
        <v/>
      </c>
      <c r="AG669" s="6" t="str">
        <f>IFERROR(IF($F669="Total",
         SUMPRODUCT(
         INDEX(AG:AG, ROW()-COUNTIF($F$6:INDEX($F:$F, ROW()-1), $F668)) : INDEX(AG:AG, ROW()-1),
         INDEX(AB:AB, ROW()-COUNTIF($F$6:INDEX($F:$F, ROW()-1), $F668)) : INDEX(AB:AB, ROW()-1)
         )
         /SUM(INDEX(AB:AB, ROW()-COUNTIF($F$6:INDEX($F:$F, ROW()-1), $F668)) : INDEX(AB:AB, ROW()-1)),
          AVERAGEIFS(unit_details[Asking PSF],
          unit_details[Active Listing?],TRUE,
          unit_details[Property Name], $F669,
          unit_details[Beds], $L669,
          unit_details[Baths], $M669,
          unit_details[Partial Baths], IF(ISNUMBER($N669),$N669,""),
          unit_details[Sqft],$P669
)),"")</f>
        <v/>
      </c>
      <c r="AH669" s="293" t="str">
        <f>IFERROR(IF($F669="Total",
         SUMPRODUCT(
         INDEX(AH:AH, ROW()-COUNTIF($F$6:INDEX($F:$F, ROW()-1), $F668)) : INDEX(AH:AH, ROW()-1),
         INDEX(AB:AB, ROW()-COUNTIF($F$6:INDEX($F:$F, ROW()-1), $F668)) : INDEX(AB:AB, ROW()-1)
         )
         /SUM(INDEX(AB:AB, ROW()-COUNTIF($F$6:INDEX($F:$F, ROW()-1), $F668)) : INDEX(AB:AB, ROW()-1)),
          AVERAGEIFS(unit_details[Effective Rent],
          unit_details[Active Listing?],TRUE,
          unit_details[Property Name], $F669,
          unit_details[Beds], $L669,
          unit_details[Baths], $M669,
          unit_details[Partial Baths], IF(ISNUMBER($N669),$N669,""),
          unit_details[Sqft],$P669
)),"")</f>
        <v/>
      </c>
      <c r="AI669" s="6" t="str">
        <f>IFERROR(IF($F669="Total",
         SUMPRODUCT(
         INDEX(AI:AI, ROW()-COUNTIF($F$6:INDEX($F:$F, ROW()-1), $F668)) : INDEX(AI:AI, ROW()-1),
         INDEX(AB:AB, ROW()-COUNTIF($F$6:INDEX($F:$F, ROW()-1), $F668)) : INDEX(AB:AB, ROW()-1)
         )
         /SUM(INDEX(AB:AB, ROW()-COUNTIF($F$6:INDEX($F:$F, ROW()-1), $F668)) : INDEX(AB:AB, ROW()-1)),
           AVERAGEIFS(unit_details[Effective PSF],
          unit_details[Active Listing?],TRUE,
          unit_details[Property Name], $F669,
          unit_details[Beds], $L669,
          unit_details[Baths], $M669,
          unit_details[Partial Baths], IF(ISNUMBER($N669),$N669,""),
          unit_details[Sqft],$P669
)),"")</f>
        <v/>
      </c>
      <c r="AJ669" s="824" t="str">
        <f t="shared" si="114"/>
        <v/>
      </c>
      <c r="AK669" s="531" t="str">
        <f t="shared" si="115"/>
        <v/>
      </c>
      <c r="AL669" s="714" t="str">
        <f t="shared" si="116"/>
        <v/>
      </c>
      <c r="AM669" s="531" t="str">
        <f t="shared" si="117"/>
        <v/>
      </c>
      <c r="AN669" s="716" t="str">
        <f t="shared" si="118"/>
        <v/>
      </c>
    </row>
    <row r="670" spans="6:40" x14ac:dyDescent="0.2">
      <c r="F670" s="1" t="str">
        <f t="shared" si="111"/>
        <v/>
      </c>
      <c r="G670" s="713" t="str">
        <f t="shared" si="119"/>
        <v/>
      </c>
      <c r="H670" s="17" t="str">
        <f>IFERROR(VLOOKUP($G670,Table1[[Property]:[Exposure %]],4,0),"")</f>
        <v/>
      </c>
      <c r="I670" s="3" t="str">
        <f>IFERROR(VLOOKUP($G670,Table1[[Property]:[Exposure %]],6,0),"")</f>
        <v/>
      </c>
      <c r="J670" s="3" t="str">
        <f>IFERROR(VLOOKUP($G670,Table1[[Property]:[Exposure %]],7,0),"")</f>
        <v/>
      </c>
      <c r="R670" s="4" t="str">
        <f>IFERROR(VLOOKUP(IF(F670="Total",F669,F670),Table1[[Property]:['# Units]],7,0)*S670,"")</f>
        <v/>
      </c>
      <c r="S670" s="27" t="str">
        <f t="shared" si="112"/>
        <v/>
      </c>
      <c r="T670" s="531" t="str">
        <f>IFERROR(
 IF($F670="Total",
   SUMPRODUCT(
   INDEX(T:T, ROW()-COUNTIF($F$6:INDEX($F:$F, ROW()-1), $F669)) : INDEX(T:T, ROW()-1),
   INDEX(W:W, ROW()-COUNTIF($F$6:INDEX($F:$F, ROW()-1), $F669)) : INDEX(W:W, ROW()-1)
   )
   /SUM(INDEX(W:W, ROW()-COUNTIF($F$6:INDEX($F:$F, ROW()-1), $F669)) : INDEX(W:W, ROW()-1)),
   AVERAGEIFS(
     INDEX((unit_details[Asking Rent],unit_details[Asking PSF]),0,1,IF($U$3="Chunk Rent",1,2)),
     unit_details[Leased Date],"&gt;="&amp;($AM$2-T$5),
     unit_details[Leased Date],"&lt;"&amp;$AM$2,
     unit_details[Beds],$L670,
     unit_details[Baths],$M670,
     unit_details[Partial Baths],IF(ISNUMBER($N670),$N670,""),
     unit_details[Sqft],$P670,
     unit_details[Property Name],$F670)
 ),"")</f>
        <v/>
      </c>
      <c r="U670" s="552" t="str">
        <f>IFERROR(
 IF($F670="Total",
   SUMPRODUCT(
   INDEX(U:U, ROW()-COUNTIF($F$6:INDEX($F:$F, ROW()-1), $F669)) : INDEX(U:U, ROW()-1),
   INDEX(W:W, ROW()-COUNTIF($F$6:INDEX($F:$F, ROW()-1), $F669)) : INDEX(W:W, ROW()-1)
   )
   /SUM(INDEX(W:W, ROW()-COUNTIF($F$6:INDEX($F:$F, ROW()-1), $F669)) : INDEX(W:W, ROW()-1)),
   AVERAGEIFS(
     INDEX((unit_details[Effective Rent],unit_details[Effective PSF]),0,1,IF($U$3="Chunk Rent",1,2)),
     unit_details[Leased Date],"&gt;="&amp;($AM$2-T$5),
     unit_details[Leased Date],"&lt;"&amp;$AM$2,
     unit_details[Beds],$L670,
     unit_details[Baths],$M670,
     unit_details[Partial Baths],IF(ISNUMBER($N670),$N670,""),
     unit_details[Sqft],$P670,
     unit_details[Property Name],$F670)
 ),"")</f>
        <v/>
      </c>
      <c r="V670" s="27" t="str">
        <f t="shared" si="120"/>
        <v/>
      </c>
      <c r="W670" s="526">
        <f>IFERROR(
  IF($F670="Total",
    SUM(INDEX(W:W, ROW()-COUNTIF($F$6:INDEX($F:$F, ROW()-1), $F669)) : INDEX(W:W, ROW()-1)),
    COUNTIFS(
      unit_details[Leased Date], "&gt;="&amp;($AM$2-T$5),
      unit_details[Leased Date], "&lt;"&amp;$AM$2,
      unit_details[Beds], $L670,
      unit_details[Baths], $M670,
      unit_details[Partial Baths], IF(ISNUMBER($N670), $N670, ""),
      unit_details[Sqft],$P670,
      unit_details[Property Name], $F670
    )
  ),
"")</f>
        <v>0</v>
      </c>
      <c r="X670" s="531" t="str">
        <f>IFERROR(
 IF($F670="Total",
   SUMPRODUCT(
   INDEX(X:X, ROW()-COUNTIF($F$6:INDEX($F:$F, ROW()-1), $F669)) : INDEX(X:X, ROW()-1),
   INDEX(AA:AA, ROW()-COUNTIF($F$6:INDEX($F:$F, ROW()-1), $F669)) : INDEX(AA:AA, ROW()-1)
   )
   /SUM(INDEX(AA:AA, ROW()-COUNTIF($F$6:INDEX($F:$F, ROW()-1), $F669)) : INDEX(AA:AA, ROW()-1)),
   AVERAGEIFS(
     INDEX((unit_details[Asking Rent],unit_details[Asking PSF]),0,1,IF($U$3="Chunk Rent",1,2)),
     unit_details[Leased Date],"&gt;="&amp;($AM$2-X$5),
     unit_details[Leased Date],"&lt;"&amp;$AM$2,
     unit_details[Beds],$L670,
     unit_details[Baths],$M670,
     unit_details[Partial Baths],IF(ISNUMBER($N670),$N670,""),
     unit_details[Sqft],$P670,
     unit_details[Property Name],$F670)
 ),"")</f>
        <v/>
      </c>
      <c r="Y670" s="552" t="str">
        <f>IFERROR(
 IF($F670="Total",
   SUMPRODUCT(
   INDEX(Y:Y, ROW()-COUNTIF($F$6:INDEX($F:$F, ROW()-1), $F669)) : INDEX(Y:Y, ROW()-1),
   INDEX(AA:AA, ROW()-COUNTIF($F$6:INDEX($F:$F, ROW()-1), $F669)) : INDEX(AA:AA, ROW()-1)
   )
   /SUM(INDEX(AA:AA, ROW()-COUNTIF($F$6:INDEX($F:$F, ROW()-1), $F669)) : INDEX(AA:AA, ROW()-1)),
   AVERAGEIFS(
     INDEX((unit_details[Effective Rent],unit_details[Effective PSF]),0,1,IF($U$3="Chunk Rent",1,2)),
     unit_details[Leased Date],"&gt;="&amp;($AM$2-X$5),
     unit_details[Leased Date],"&lt;"&amp;$AM$2,
     unit_details[Beds],$L670,
     unit_details[Baths],$M670,
     unit_details[Partial Baths],IF(ISNUMBER($N670),$N670,""),
     unit_details[Sqft],$P670,
     unit_details[Property Name],$F670)
 ),"")</f>
        <v/>
      </c>
      <c r="Z670" s="27" t="str">
        <f t="shared" si="121"/>
        <v/>
      </c>
      <c r="AA670" s="526">
        <f>IFERROR(
  IF($F670="Total",
    SUM(INDEX(AA:AA, ROW()-COUNTIF($F$6:INDEX($F:$F, ROW()-1), $F669)) : INDEX(AA:AA, ROW()-1)),
    COUNTIFS(
      unit_details[Leased Date], "&gt;="&amp;($AM$2-X$5),
      unit_details[Leased Date], "&lt;"&amp;$AM$2,
      unit_details[Beds], $L670,
      unit_details[Baths], $M670,
      unit_details[Partial Baths], IF(ISNUMBER($N670), $N670, ""),
      unit_details[Sqft],$P670,
      unit_details[Property Name], $F670
    )
  ),
"")</f>
        <v>0</v>
      </c>
      <c r="AB670" s="290">
        <f>IF($F670="Total",
SUM(INDEX(AB:AB, ROW()-COUNTIF($F$6:INDEX($F:$F, ROW()-1), $F669)) : INDEX(AB:AB, ROW()-1)),
COUNTIFS(unit_details[Active Listing?],TRUE,
          unit_details[Property Name], $F670,
          unit_details[Beds], $L670,
          unit_details[Baths], $M670,
          unit_details[Partial Baths],IF(ISNUMBER($N670),$N670,""),
          unit_details[Sqft],$P670))</f>
        <v>0</v>
      </c>
      <c r="AC670" s="27" t="str">
        <f t="shared" si="113"/>
        <v/>
      </c>
      <c r="AD670" s="293" t="str">
        <f>IFERROR(IF(AE670="","",IF($F670="Total",
SUMPRODUCT(
   INDEX(AD:AD, ROW()-COUNTIF($F$6:INDEX($F:$F, ROW()-1), $F669)) : INDEX(AD:AD, ROW()-1),
   INDEX(AB:AB, ROW()-COUNTIF($F$6:INDEX($F:$F, ROW()-1), $F669)) : INDEX(AB:AB, ROW()-1)
   )
   /SUM(INDEX(AB:AB, ROW()-COUNTIF($F$6:INDEX($F:$F, ROW()-1), $F669)) : INDEX(AB:AB, ROW()-1)),
          _xlfn.MINIFS(unit_details[Asking Rent],
          unit_details[Active Listing?],TRUE,
          unit_details[Property Name], $F670,
          unit_details[Beds], $L670,
          unit_details[Baths], $M670,
          unit_details[Partial Baths], IF(ISNUMBER($N670),$N670,""),
          unit_details[Sqft],$P670
))),"")</f>
        <v/>
      </c>
      <c r="AE670" s="5" t="str">
        <f>IFERROR(IF($F670="Total",
          SUMPRODUCT(
   INDEX(AE:AE, ROW()-COUNTIF($F$6:INDEX($F:$F, ROW()-1), $F669)) : INDEX(AE:AE, ROW()-1),
   INDEX(AB:AB, ROW()-COUNTIF($F$6:INDEX($F:$F, ROW()-1), $F669)) : INDEX(AB:AB, ROW()-1)
   )
   /SUM(INDEX(AB:AB, ROW()-COUNTIF($F$6:INDEX($F:$F, ROW()-1), $F669)) : INDEX(AB:AB, ROW()-1)),
          AVERAGEIFS(unit_details[Asking Rent],
          unit_details[Active Listing?],TRUE,
          unit_details[Property Name], $F670,
          unit_details[Beds], $L670,
          unit_details[Baths], $M670,
          unit_details[Partial Baths], IF(ISNUMBER($N670),$N670,""),
          unit_details[Sqft],$P670
)),"")</f>
        <v/>
      </c>
      <c r="AF670" s="5" t="str">
        <f>IFERROR(IF(AE670="","",IF($F670="Total",
SUMPRODUCT(
   INDEX(AF:AF, ROW()-COUNTIF($F$6:INDEX($F:$F, ROW()-1), $F669)) : INDEX(AF:AF, ROW()-1),
   INDEX(AB:AB, ROW()-COUNTIF($F$6:INDEX($F:$F, ROW()-1), $F669)) : INDEX(AB:AB, ROW()-1)
   )
   /SUM(INDEX(AB:AB, ROW()-COUNTIF($F$6:INDEX($F:$F, ROW()-1), $F669)) : INDEX(AB:AB, ROW()-1)),
           _xlfn.MAXIFS(unit_details[Asking Rent],
          unit_details[Active Listing?],TRUE,
          unit_details[Property Name], $F670,
          unit_details[Beds], $L670,
          unit_details[Baths], $M670,
          unit_details[Partial Baths], IF(ISNUMBER($N670),$N670,""),
          unit_details[Sqft],$P670
))),"")</f>
        <v/>
      </c>
      <c r="AG670" s="6" t="str">
        <f>IFERROR(IF($F670="Total",
         SUMPRODUCT(
         INDEX(AG:AG, ROW()-COUNTIF($F$6:INDEX($F:$F, ROW()-1), $F669)) : INDEX(AG:AG, ROW()-1),
         INDEX(AB:AB, ROW()-COUNTIF($F$6:INDEX($F:$F, ROW()-1), $F669)) : INDEX(AB:AB, ROW()-1)
         )
         /SUM(INDEX(AB:AB, ROW()-COUNTIF($F$6:INDEX($F:$F, ROW()-1), $F669)) : INDEX(AB:AB, ROW()-1)),
          AVERAGEIFS(unit_details[Asking PSF],
          unit_details[Active Listing?],TRUE,
          unit_details[Property Name], $F670,
          unit_details[Beds], $L670,
          unit_details[Baths], $M670,
          unit_details[Partial Baths], IF(ISNUMBER($N670),$N670,""),
          unit_details[Sqft],$P670
)),"")</f>
        <v/>
      </c>
      <c r="AH670" s="293" t="str">
        <f>IFERROR(IF($F670="Total",
         SUMPRODUCT(
         INDEX(AH:AH, ROW()-COUNTIF($F$6:INDEX($F:$F, ROW()-1), $F669)) : INDEX(AH:AH, ROW()-1),
         INDEX(AB:AB, ROW()-COUNTIF($F$6:INDEX($F:$F, ROW()-1), $F669)) : INDEX(AB:AB, ROW()-1)
         )
         /SUM(INDEX(AB:AB, ROW()-COUNTIF($F$6:INDEX($F:$F, ROW()-1), $F669)) : INDEX(AB:AB, ROW()-1)),
          AVERAGEIFS(unit_details[Effective Rent],
          unit_details[Active Listing?],TRUE,
          unit_details[Property Name], $F670,
          unit_details[Beds], $L670,
          unit_details[Baths], $M670,
          unit_details[Partial Baths], IF(ISNUMBER($N670),$N670,""),
          unit_details[Sqft],$P670
)),"")</f>
        <v/>
      </c>
      <c r="AI670" s="6" t="str">
        <f>IFERROR(IF($F670="Total",
         SUMPRODUCT(
         INDEX(AI:AI, ROW()-COUNTIF($F$6:INDEX($F:$F, ROW()-1), $F669)) : INDEX(AI:AI, ROW()-1),
         INDEX(AB:AB, ROW()-COUNTIF($F$6:INDEX($F:$F, ROW()-1), $F669)) : INDEX(AB:AB, ROW()-1)
         )
         /SUM(INDEX(AB:AB, ROW()-COUNTIF($F$6:INDEX($F:$F, ROW()-1), $F669)) : INDEX(AB:AB, ROW()-1)),
           AVERAGEIFS(unit_details[Effective PSF],
          unit_details[Active Listing?],TRUE,
          unit_details[Property Name], $F670,
          unit_details[Beds], $L670,
          unit_details[Baths], $M670,
          unit_details[Partial Baths], IF(ISNUMBER($N670),$N670,""),
          unit_details[Sqft],$P670
)),"")</f>
        <v/>
      </c>
      <c r="AJ670" s="824" t="str">
        <f t="shared" si="114"/>
        <v/>
      </c>
      <c r="AK670" s="531" t="str">
        <f t="shared" si="115"/>
        <v/>
      </c>
      <c r="AL670" s="714" t="str">
        <f t="shared" si="116"/>
        <v/>
      </c>
      <c r="AM670" s="531" t="str">
        <f t="shared" si="117"/>
        <v/>
      </c>
      <c r="AN670" s="716" t="str">
        <f t="shared" si="118"/>
        <v/>
      </c>
    </row>
    <row r="671" spans="6:40" x14ac:dyDescent="0.2">
      <c r="F671" s="1" t="str">
        <f t="shared" si="111"/>
        <v/>
      </c>
      <c r="G671" s="713" t="str">
        <f t="shared" si="119"/>
        <v/>
      </c>
      <c r="H671" s="17" t="str">
        <f>IFERROR(VLOOKUP($G671,Table1[[Property]:[Exposure %]],4,0),"")</f>
        <v/>
      </c>
      <c r="I671" s="3" t="str">
        <f>IFERROR(VLOOKUP($G671,Table1[[Property]:[Exposure %]],6,0),"")</f>
        <v/>
      </c>
      <c r="J671" s="3" t="str">
        <f>IFERROR(VLOOKUP($G671,Table1[[Property]:[Exposure %]],7,0),"")</f>
        <v/>
      </c>
      <c r="R671" s="4" t="str">
        <f>IFERROR(VLOOKUP(IF(F671="Total",F670,F671),Table1[[Property]:['# Units]],7,0)*S671,"")</f>
        <v/>
      </c>
      <c r="S671" s="27" t="str">
        <f t="shared" si="112"/>
        <v/>
      </c>
      <c r="T671" s="531" t="str">
        <f>IFERROR(
 IF($F671="Total",
   SUMPRODUCT(
   INDEX(T:T, ROW()-COUNTIF($F$6:INDEX($F:$F, ROW()-1), $F670)) : INDEX(T:T, ROW()-1),
   INDEX(W:W, ROW()-COUNTIF($F$6:INDEX($F:$F, ROW()-1), $F670)) : INDEX(W:W, ROW()-1)
   )
   /SUM(INDEX(W:W, ROW()-COUNTIF($F$6:INDEX($F:$F, ROW()-1), $F670)) : INDEX(W:W, ROW()-1)),
   AVERAGEIFS(
     INDEX((unit_details[Asking Rent],unit_details[Asking PSF]),0,1,IF($U$3="Chunk Rent",1,2)),
     unit_details[Leased Date],"&gt;="&amp;($AM$2-T$5),
     unit_details[Leased Date],"&lt;"&amp;$AM$2,
     unit_details[Beds],$L671,
     unit_details[Baths],$M671,
     unit_details[Partial Baths],IF(ISNUMBER($N671),$N671,""),
     unit_details[Sqft],$P671,
     unit_details[Property Name],$F671)
 ),"")</f>
        <v/>
      </c>
      <c r="U671" s="552" t="str">
        <f>IFERROR(
 IF($F671="Total",
   SUMPRODUCT(
   INDEX(U:U, ROW()-COUNTIF($F$6:INDEX($F:$F, ROW()-1), $F670)) : INDEX(U:U, ROW()-1),
   INDEX(W:W, ROW()-COUNTIF($F$6:INDEX($F:$F, ROW()-1), $F670)) : INDEX(W:W, ROW()-1)
   )
   /SUM(INDEX(W:W, ROW()-COUNTIF($F$6:INDEX($F:$F, ROW()-1), $F670)) : INDEX(W:W, ROW()-1)),
   AVERAGEIFS(
     INDEX((unit_details[Effective Rent],unit_details[Effective PSF]),0,1,IF($U$3="Chunk Rent",1,2)),
     unit_details[Leased Date],"&gt;="&amp;($AM$2-T$5),
     unit_details[Leased Date],"&lt;"&amp;$AM$2,
     unit_details[Beds],$L671,
     unit_details[Baths],$M671,
     unit_details[Partial Baths],IF(ISNUMBER($N671),$N671,""),
     unit_details[Sqft],$P671,
     unit_details[Property Name],$F671)
 ),"")</f>
        <v/>
      </c>
      <c r="V671" s="27" t="str">
        <f t="shared" si="120"/>
        <v/>
      </c>
      <c r="W671" s="526">
        <f>IFERROR(
  IF($F671="Total",
    SUM(INDEX(W:W, ROW()-COUNTIF($F$6:INDEX($F:$F, ROW()-1), $F670)) : INDEX(W:W, ROW()-1)),
    COUNTIFS(
      unit_details[Leased Date], "&gt;="&amp;($AM$2-T$5),
      unit_details[Leased Date], "&lt;"&amp;$AM$2,
      unit_details[Beds], $L671,
      unit_details[Baths], $M671,
      unit_details[Partial Baths], IF(ISNUMBER($N671), $N671, ""),
      unit_details[Sqft],$P671,
      unit_details[Property Name], $F671
    )
  ),
"")</f>
        <v>0</v>
      </c>
      <c r="X671" s="531" t="str">
        <f>IFERROR(
 IF($F671="Total",
   SUMPRODUCT(
   INDEX(X:X, ROW()-COUNTIF($F$6:INDEX($F:$F, ROW()-1), $F670)) : INDEX(X:X, ROW()-1),
   INDEX(AA:AA, ROW()-COUNTIF($F$6:INDEX($F:$F, ROW()-1), $F670)) : INDEX(AA:AA, ROW()-1)
   )
   /SUM(INDEX(AA:AA, ROW()-COUNTIF($F$6:INDEX($F:$F, ROW()-1), $F670)) : INDEX(AA:AA, ROW()-1)),
   AVERAGEIFS(
     INDEX((unit_details[Asking Rent],unit_details[Asking PSF]),0,1,IF($U$3="Chunk Rent",1,2)),
     unit_details[Leased Date],"&gt;="&amp;($AM$2-X$5),
     unit_details[Leased Date],"&lt;"&amp;$AM$2,
     unit_details[Beds],$L671,
     unit_details[Baths],$M671,
     unit_details[Partial Baths],IF(ISNUMBER($N671),$N671,""),
     unit_details[Sqft],$P671,
     unit_details[Property Name],$F671)
 ),"")</f>
        <v/>
      </c>
      <c r="Y671" s="552" t="str">
        <f>IFERROR(
 IF($F671="Total",
   SUMPRODUCT(
   INDEX(Y:Y, ROW()-COUNTIF($F$6:INDEX($F:$F, ROW()-1), $F670)) : INDEX(Y:Y, ROW()-1),
   INDEX(AA:AA, ROW()-COUNTIF($F$6:INDEX($F:$F, ROW()-1), $F670)) : INDEX(AA:AA, ROW()-1)
   )
   /SUM(INDEX(AA:AA, ROW()-COUNTIF($F$6:INDEX($F:$F, ROW()-1), $F670)) : INDEX(AA:AA, ROW()-1)),
   AVERAGEIFS(
     INDEX((unit_details[Effective Rent],unit_details[Effective PSF]),0,1,IF($U$3="Chunk Rent",1,2)),
     unit_details[Leased Date],"&gt;="&amp;($AM$2-X$5),
     unit_details[Leased Date],"&lt;"&amp;$AM$2,
     unit_details[Beds],$L671,
     unit_details[Baths],$M671,
     unit_details[Partial Baths],IF(ISNUMBER($N671),$N671,""),
     unit_details[Sqft],$P671,
     unit_details[Property Name],$F671)
 ),"")</f>
        <v/>
      </c>
      <c r="Z671" s="27" t="str">
        <f t="shared" si="121"/>
        <v/>
      </c>
      <c r="AA671" s="526">
        <f>IFERROR(
  IF($F671="Total",
    SUM(INDEX(AA:AA, ROW()-COUNTIF($F$6:INDEX($F:$F, ROW()-1), $F670)) : INDEX(AA:AA, ROW()-1)),
    COUNTIFS(
      unit_details[Leased Date], "&gt;="&amp;($AM$2-X$5),
      unit_details[Leased Date], "&lt;"&amp;$AM$2,
      unit_details[Beds], $L671,
      unit_details[Baths], $M671,
      unit_details[Partial Baths], IF(ISNUMBER($N671), $N671, ""),
      unit_details[Sqft],$P671,
      unit_details[Property Name], $F671
    )
  ),
"")</f>
        <v>0</v>
      </c>
      <c r="AB671" s="290">
        <f>IF($F671="Total",
SUM(INDEX(AB:AB, ROW()-COUNTIF($F$6:INDEX($F:$F, ROW()-1), $F670)) : INDEX(AB:AB, ROW()-1)),
COUNTIFS(unit_details[Active Listing?],TRUE,
          unit_details[Property Name], $F671,
          unit_details[Beds], $L671,
          unit_details[Baths], $M671,
          unit_details[Partial Baths],IF(ISNUMBER($N671),$N671,""),
          unit_details[Sqft],$P671))</f>
        <v>0</v>
      </c>
      <c r="AC671" s="27" t="str">
        <f t="shared" si="113"/>
        <v/>
      </c>
      <c r="AD671" s="293" t="str">
        <f>IFERROR(IF(AE671="","",IF($F671="Total",
SUMPRODUCT(
   INDEX(AD:AD, ROW()-COUNTIF($F$6:INDEX($F:$F, ROW()-1), $F670)) : INDEX(AD:AD, ROW()-1),
   INDEX(AB:AB, ROW()-COUNTIF($F$6:INDEX($F:$F, ROW()-1), $F670)) : INDEX(AB:AB, ROW()-1)
   )
   /SUM(INDEX(AB:AB, ROW()-COUNTIF($F$6:INDEX($F:$F, ROW()-1), $F670)) : INDEX(AB:AB, ROW()-1)),
          _xlfn.MINIFS(unit_details[Asking Rent],
          unit_details[Active Listing?],TRUE,
          unit_details[Property Name], $F671,
          unit_details[Beds], $L671,
          unit_details[Baths], $M671,
          unit_details[Partial Baths], IF(ISNUMBER($N671),$N671,""),
          unit_details[Sqft],$P671
))),"")</f>
        <v/>
      </c>
      <c r="AE671" s="5" t="str">
        <f>IFERROR(IF($F671="Total",
          SUMPRODUCT(
   INDEX(AE:AE, ROW()-COUNTIF($F$6:INDEX($F:$F, ROW()-1), $F670)) : INDEX(AE:AE, ROW()-1),
   INDEX(AB:AB, ROW()-COUNTIF($F$6:INDEX($F:$F, ROW()-1), $F670)) : INDEX(AB:AB, ROW()-1)
   )
   /SUM(INDEX(AB:AB, ROW()-COUNTIF($F$6:INDEX($F:$F, ROW()-1), $F670)) : INDEX(AB:AB, ROW()-1)),
          AVERAGEIFS(unit_details[Asking Rent],
          unit_details[Active Listing?],TRUE,
          unit_details[Property Name], $F671,
          unit_details[Beds], $L671,
          unit_details[Baths], $M671,
          unit_details[Partial Baths], IF(ISNUMBER($N671),$N671,""),
          unit_details[Sqft],$P671
)),"")</f>
        <v/>
      </c>
      <c r="AF671" s="5" t="str">
        <f>IFERROR(IF(AE671="","",IF($F671="Total",
SUMPRODUCT(
   INDEX(AF:AF, ROW()-COUNTIF($F$6:INDEX($F:$F, ROW()-1), $F670)) : INDEX(AF:AF, ROW()-1),
   INDEX(AB:AB, ROW()-COUNTIF($F$6:INDEX($F:$F, ROW()-1), $F670)) : INDEX(AB:AB, ROW()-1)
   )
   /SUM(INDEX(AB:AB, ROW()-COUNTIF($F$6:INDEX($F:$F, ROW()-1), $F670)) : INDEX(AB:AB, ROW()-1)),
           _xlfn.MAXIFS(unit_details[Asking Rent],
          unit_details[Active Listing?],TRUE,
          unit_details[Property Name], $F671,
          unit_details[Beds], $L671,
          unit_details[Baths], $M671,
          unit_details[Partial Baths], IF(ISNUMBER($N671),$N671,""),
          unit_details[Sqft],$P671
))),"")</f>
        <v/>
      </c>
      <c r="AG671" s="6" t="str">
        <f>IFERROR(IF($F671="Total",
         SUMPRODUCT(
         INDEX(AG:AG, ROW()-COUNTIF($F$6:INDEX($F:$F, ROW()-1), $F670)) : INDEX(AG:AG, ROW()-1),
         INDEX(AB:AB, ROW()-COUNTIF($F$6:INDEX($F:$F, ROW()-1), $F670)) : INDEX(AB:AB, ROW()-1)
         )
         /SUM(INDEX(AB:AB, ROW()-COUNTIF($F$6:INDEX($F:$F, ROW()-1), $F670)) : INDEX(AB:AB, ROW()-1)),
          AVERAGEIFS(unit_details[Asking PSF],
          unit_details[Active Listing?],TRUE,
          unit_details[Property Name], $F671,
          unit_details[Beds], $L671,
          unit_details[Baths], $M671,
          unit_details[Partial Baths], IF(ISNUMBER($N671),$N671,""),
          unit_details[Sqft],$P671
)),"")</f>
        <v/>
      </c>
      <c r="AH671" s="293" t="str">
        <f>IFERROR(IF($F671="Total",
         SUMPRODUCT(
         INDEX(AH:AH, ROW()-COUNTIF($F$6:INDEX($F:$F, ROW()-1), $F670)) : INDEX(AH:AH, ROW()-1),
         INDEX(AB:AB, ROW()-COUNTIF($F$6:INDEX($F:$F, ROW()-1), $F670)) : INDEX(AB:AB, ROW()-1)
         )
         /SUM(INDEX(AB:AB, ROW()-COUNTIF($F$6:INDEX($F:$F, ROW()-1), $F670)) : INDEX(AB:AB, ROW()-1)),
          AVERAGEIFS(unit_details[Effective Rent],
          unit_details[Active Listing?],TRUE,
          unit_details[Property Name], $F671,
          unit_details[Beds], $L671,
          unit_details[Baths], $M671,
          unit_details[Partial Baths], IF(ISNUMBER($N671),$N671,""),
          unit_details[Sqft],$P671
)),"")</f>
        <v/>
      </c>
      <c r="AI671" s="6" t="str">
        <f>IFERROR(IF($F671="Total",
         SUMPRODUCT(
         INDEX(AI:AI, ROW()-COUNTIF($F$6:INDEX($F:$F, ROW()-1), $F670)) : INDEX(AI:AI, ROW()-1),
         INDEX(AB:AB, ROW()-COUNTIF($F$6:INDEX($F:$F, ROW()-1), $F670)) : INDEX(AB:AB, ROW()-1)
         )
         /SUM(INDEX(AB:AB, ROW()-COUNTIF($F$6:INDEX($F:$F, ROW()-1), $F670)) : INDEX(AB:AB, ROW()-1)),
           AVERAGEIFS(unit_details[Effective PSF],
          unit_details[Active Listing?],TRUE,
          unit_details[Property Name], $F671,
          unit_details[Beds], $L671,
          unit_details[Baths], $M671,
          unit_details[Partial Baths], IF(ISNUMBER($N671),$N671,""),
          unit_details[Sqft],$P671
)),"")</f>
        <v/>
      </c>
      <c r="AJ671" s="824" t="str">
        <f t="shared" si="114"/>
        <v/>
      </c>
      <c r="AK671" s="531" t="str">
        <f t="shared" si="115"/>
        <v/>
      </c>
      <c r="AL671" s="714" t="str">
        <f t="shared" si="116"/>
        <v/>
      </c>
      <c r="AM671" s="531" t="str">
        <f t="shared" si="117"/>
        <v/>
      </c>
      <c r="AN671" s="716" t="str">
        <f t="shared" si="118"/>
        <v/>
      </c>
    </row>
    <row r="672" spans="6:40" x14ac:dyDescent="0.2">
      <c r="F672" s="1" t="str">
        <f t="shared" si="111"/>
        <v/>
      </c>
      <c r="G672" s="713" t="str">
        <f t="shared" si="119"/>
        <v/>
      </c>
      <c r="H672" s="17" t="str">
        <f>IFERROR(VLOOKUP($G672,Table1[[Property]:[Exposure %]],4,0),"")</f>
        <v/>
      </c>
      <c r="I672" s="3" t="str">
        <f>IFERROR(VLOOKUP($G672,Table1[[Property]:[Exposure %]],6,0),"")</f>
        <v/>
      </c>
      <c r="J672" s="3" t="str">
        <f>IFERROR(VLOOKUP($G672,Table1[[Property]:[Exposure %]],7,0),"")</f>
        <v/>
      </c>
      <c r="R672" s="4" t="str">
        <f>IFERROR(VLOOKUP(IF(F672="Total",F671,F672),Table1[[Property]:['# Units]],7,0)*S672,"")</f>
        <v/>
      </c>
      <c r="S672" s="27" t="str">
        <f t="shared" si="112"/>
        <v/>
      </c>
      <c r="T672" s="531" t="str">
        <f>IFERROR(
 IF($F672="Total",
   SUMPRODUCT(
   INDEX(T:T, ROW()-COUNTIF($F$6:INDEX($F:$F, ROW()-1), $F671)) : INDEX(T:T, ROW()-1),
   INDEX(W:W, ROW()-COUNTIF($F$6:INDEX($F:$F, ROW()-1), $F671)) : INDEX(W:W, ROW()-1)
   )
   /SUM(INDEX(W:W, ROW()-COUNTIF($F$6:INDEX($F:$F, ROW()-1), $F671)) : INDEX(W:W, ROW()-1)),
   AVERAGEIFS(
     INDEX((unit_details[Asking Rent],unit_details[Asking PSF]),0,1,IF($U$3="Chunk Rent",1,2)),
     unit_details[Leased Date],"&gt;="&amp;($AM$2-T$5),
     unit_details[Leased Date],"&lt;"&amp;$AM$2,
     unit_details[Beds],$L672,
     unit_details[Baths],$M672,
     unit_details[Partial Baths],IF(ISNUMBER($N672),$N672,""),
     unit_details[Sqft],$P672,
     unit_details[Property Name],$F672)
 ),"")</f>
        <v/>
      </c>
      <c r="U672" s="552" t="str">
        <f>IFERROR(
 IF($F672="Total",
   SUMPRODUCT(
   INDEX(U:U, ROW()-COUNTIF($F$6:INDEX($F:$F, ROW()-1), $F671)) : INDEX(U:U, ROW()-1),
   INDEX(W:W, ROW()-COUNTIF($F$6:INDEX($F:$F, ROW()-1), $F671)) : INDEX(W:W, ROW()-1)
   )
   /SUM(INDEX(W:W, ROW()-COUNTIF($F$6:INDEX($F:$F, ROW()-1), $F671)) : INDEX(W:W, ROW()-1)),
   AVERAGEIFS(
     INDEX((unit_details[Effective Rent],unit_details[Effective PSF]),0,1,IF($U$3="Chunk Rent",1,2)),
     unit_details[Leased Date],"&gt;="&amp;($AM$2-T$5),
     unit_details[Leased Date],"&lt;"&amp;$AM$2,
     unit_details[Beds],$L672,
     unit_details[Baths],$M672,
     unit_details[Partial Baths],IF(ISNUMBER($N672),$N672,""),
     unit_details[Sqft],$P672,
     unit_details[Property Name],$F672)
 ),"")</f>
        <v/>
      </c>
      <c r="V672" s="27" t="str">
        <f t="shared" si="120"/>
        <v/>
      </c>
      <c r="W672" s="526">
        <f>IFERROR(
  IF($F672="Total",
    SUM(INDEX(W:W, ROW()-COUNTIF($F$6:INDEX($F:$F, ROW()-1), $F671)) : INDEX(W:W, ROW()-1)),
    COUNTIFS(
      unit_details[Leased Date], "&gt;="&amp;($AM$2-T$5),
      unit_details[Leased Date], "&lt;"&amp;$AM$2,
      unit_details[Beds], $L672,
      unit_details[Baths], $M672,
      unit_details[Partial Baths], IF(ISNUMBER($N672), $N672, ""),
      unit_details[Sqft],$P672,
      unit_details[Property Name], $F672
    )
  ),
"")</f>
        <v>0</v>
      </c>
      <c r="X672" s="531" t="str">
        <f>IFERROR(
 IF($F672="Total",
   SUMPRODUCT(
   INDEX(X:X, ROW()-COUNTIF($F$6:INDEX($F:$F, ROW()-1), $F671)) : INDEX(X:X, ROW()-1),
   INDEX(AA:AA, ROW()-COUNTIF($F$6:INDEX($F:$F, ROW()-1), $F671)) : INDEX(AA:AA, ROW()-1)
   )
   /SUM(INDEX(AA:AA, ROW()-COUNTIF($F$6:INDEX($F:$F, ROW()-1), $F671)) : INDEX(AA:AA, ROW()-1)),
   AVERAGEIFS(
     INDEX((unit_details[Asking Rent],unit_details[Asking PSF]),0,1,IF($U$3="Chunk Rent",1,2)),
     unit_details[Leased Date],"&gt;="&amp;($AM$2-X$5),
     unit_details[Leased Date],"&lt;"&amp;$AM$2,
     unit_details[Beds],$L672,
     unit_details[Baths],$M672,
     unit_details[Partial Baths],IF(ISNUMBER($N672),$N672,""),
     unit_details[Sqft],$P672,
     unit_details[Property Name],$F672)
 ),"")</f>
        <v/>
      </c>
      <c r="Y672" s="552" t="str">
        <f>IFERROR(
 IF($F672="Total",
   SUMPRODUCT(
   INDEX(Y:Y, ROW()-COUNTIF($F$6:INDEX($F:$F, ROW()-1), $F671)) : INDEX(Y:Y, ROW()-1),
   INDEX(AA:AA, ROW()-COUNTIF($F$6:INDEX($F:$F, ROW()-1), $F671)) : INDEX(AA:AA, ROW()-1)
   )
   /SUM(INDEX(AA:AA, ROW()-COUNTIF($F$6:INDEX($F:$F, ROW()-1), $F671)) : INDEX(AA:AA, ROW()-1)),
   AVERAGEIFS(
     INDEX((unit_details[Effective Rent],unit_details[Effective PSF]),0,1,IF($U$3="Chunk Rent",1,2)),
     unit_details[Leased Date],"&gt;="&amp;($AM$2-X$5),
     unit_details[Leased Date],"&lt;"&amp;$AM$2,
     unit_details[Beds],$L672,
     unit_details[Baths],$M672,
     unit_details[Partial Baths],IF(ISNUMBER($N672),$N672,""),
     unit_details[Sqft],$P672,
     unit_details[Property Name],$F672)
 ),"")</f>
        <v/>
      </c>
      <c r="Z672" s="27" t="str">
        <f t="shared" si="121"/>
        <v/>
      </c>
      <c r="AA672" s="526">
        <f>IFERROR(
  IF($F672="Total",
    SUM(INDEX(AA:AA, ROW()-COUNTIF($F$6:INDEX($F:$F, ROW()-1), $F671)) : INDEX(AA:AA, ROW()-1)),
    COUNTIFS(
      unit_details[Leased Date], "&gt;="&amp;($AM$2-X$5),
      unit_details[Leased Date], "&lt;"&amp;$AM$2,
      unit_details[Beds], $L672,
      unit_details[Baths], $M672,
      unit_details[Partial Baths], IF(ISNUMBER($N672), $N672, ""),
      unit_details[Sqft],$P672,
      unit_details[Property Name], $F672
    )
  ),
"")</f>
        <v>0</v>
      </c>
      <c r="AB672" s="290">
        <f>IF($F672="Total",
SUM(INDEX(AB:AB, ROW()-COUNTIF($F$6:INDEX($F:$F, ROW()-1), $F671)) : INDEX(AB:AB, ROW()-1)),
COUNTIFS(unit_details[Active Listing?],TRUE,
          unit_details[Property Name], $F672,
          unit_details[Beds], $L672,
          unit_details[Baths], $M672,
          unit_details[Partial Baths],IF(ISNUMBER($N672),$N672,""),
          unit_details[Sqft],$P672))</f>
        <v>0</v>
      </c>
      <c r="AC672" s="27" t="str">
        <f t="shared" si="113"/>
        <v/>
      </c>
      <c r="AD672" s="293" t="str">
        <f>IFERROR(IF(AE672="","",IF($F672="Total",
SUMPRODUCT(
   INDEX(AD:AD, ROW()-COUNTIF($F$6:INDEX($F:$F, ROW()-1), $F671)) : INDEX(AD:AD, ROW()-1),
   INDEX(AB:AB, ROW()-COUNTIF($F$6:INDEX($F:$F, ROW()-1), $F671)) : INDEX(AB:AB, ROW()-1)
   )
   /SUM(INDEX(AB:AB, ROW()-COUNTIF($F$6:INDEX($F:$F, ROW()-1), $F671)) : INDEX(AB:AB, ROW()-1)),
          _xlfn.MINIFS(unit_details[Asking Rent],
          unit_details[Active Listing?],TRUE,
          unit_details[Property Name], $F672,
          unit_details[Beds], $L672,
          unit_details[Baths], $M672,
          unit_details[Partial Baths], IF(ISNUMBER($N672),$N672,""),
          unit_details[Sqft],$P672
))),"")</f>
        <v/>
      </c>
      <c r="AE672" s="5" t="str">
        <f>IFERROR(IF($F672="Total",
          SUMPRODUCT(
   INDEX(AE:AE, ROW()-COUNTIF($F$6:INDEX($F:$F, ROW()-1), $F671)) : INDEX(AE:AE, ROW()-1),
   INDEX(AB:AB, ROW()-COUNTIF($F$6:INDEX($F:$F, ROW()-1), $F671)) : INDEX(AB:AB, ROW()-1)
   )
   /SUM(INDEX(AB:AB, ROW()-COUNTIF($F$6:INDEX($F:$F, ROW()-1), $F671)) : INDEX(AB:AB, ROW()-1)),
          AVERAGEIFS(unit_details[Asking Rent],
          unit_details[Active Listing?],TRUE,
          unit_details[Property Name], $F672,
          unit_details[Beds], $L672,
          unit_details[Baths], $M672,
          unit_details[Partial Baths], IF(ISNUMBER($N672),$N672,""),
          unit_details[Sqft],$P672
)),"")</f>
        <v/>
      </c>
      <c r="AF672" s="5" t="str">
        <f>IFERROR(IF(AE672="","",IF($F672="Total",
SUMPRODUCT(
   INDEX(AF:AF, ROW()-COUNTIF($F$6:INDEX($F:$F, ROW()-1), $F671)) : INDEX(AF:AF, ROW()-1),
   INDEX(AB:AB, ROW()-COUNTIF($F$6:INDEX($F:$F, ROW()-1), $F671)) : INDEX(AB:AB, ROW()-1)
   )
   /SUM(INDEX(AB:AB, ROW()-COUNTIF($F$6:INDEX($F:$F, ROW()-1), $F671)) : INDEX(AB:AB, ROW()-1)),
           _xlfn.MAXIFS(unit_details[Asking Rent],
          unit_details[Active Listing?],TRUE,
          unit_details[Property Name], $F672,
          unit_details[Beds], $L672,
          unit_details[Baths], $M672,
          unit_details[Partial Baths], IF(ISNUMBER($N672),$N672,""),
          unit_details[Sqft],$P672
))),"")</f>
        <v/>
      </c>
      <c r="AG672" s="6" t="str">
        <f>IFERROR(IF($F672="Total",
         SUMPRODUCT(
         INDEX(AG:AG, ROW()-COUNTIF($F$6:INDEX($F:$F, ROW()-1), $F671)) : INDEX(AG:AG, ROW()-1),
         INDEX(AB:AB, ROW()-COUNTIF($F$6:INDEX($F:$F, ROW()-1), $F671)) : INDEX(AB:AB, ROW()-1)
         )
         /SUM(INDEX(AB:AB, ROW()-COUNTIF($F$6:INDEX($F:$F, ROW()-1), $F671)) : INDEX(AB:AB, ROW()-1)),
          AVERAGEIFS(unit_details[Asking PSF],
          unit_details[Active Listing?],TRUE,
          unit_details[Property Name], $F672,
          unit_details[Beds], $L672,
          unit_details[Baths], $M672,
          unit_details[Partial Baths], IF(ISNUMBER($N672),$N672,""),
          unit_details[Sqft],$P672
)),"")</f>
        <v/>
      </c>
      <c r="AH672" s="293" t="str">
        <f>IFERROR(IF($F672="Total",
         SUMPRODUCT(
         INDEX(AH:AH, ROW()-COUNTIF($F$6:INDEX($F:$F, ROW()-1), $F671)) : INDEX(AH:AH, ROW()-1),
         INDEX(AB:AB, ROW()-COUNTIF($F$6:INDEX($F:$F, ROW()-1), $F671)) : INDEX(AB:AB, ROW()-1)
         )
         /SUM(INDEX(AB:AB, ROW()-COUNTIF($F$6:INDEX($F:$F, ROW()-1), $F671)) : INDEX(AB:AB, ROW()-1)),
          AVERAGEIFS(unit_details[Effective Rent],
          unit_details[Active Listing?],TRUE,
          unit_details[Property Name], $F672,
          unit_details[Beds], $L672,
          unit_details[Baths], $M672,
          unit_details[Partial Baths], IF(ISNUMBER($N672),$N672,""),
          unit_details[Sqft],$P672
)),"")</f>
        <v/>
      </c>
      <c r="AI672" s="6" t="str">
        <f>IFERROR(IF($F672="Total",
         SUMPRODUCT(
         INDEX(AI:AI, ROW()-COUNTIF($F$6:INDEX($F:$F, ROW()-1), $F671)) : INDEX(AI:AI, ROW()-1),
         INDEX(AB:AB, ROW()-COUNTIF($F$6:INDEX($F:$F, ROW()-1), $F671)) : INDEX(AB:AB, ROW()-1)
         )
         /SUM(INDEX(AB:AB, ROW()-COUNTIF($F$6:INDEX($F:$F, ROW()-1), $F671)) : INDEX(AB:AB, ROW()-1)),
           AVERAGEIFS(unit_details[Effective PSF],
          unit_details[Active Listing?],TRUE,
          unit_details[Property Name], $F672,
          unit_details[Beds], $L672,
          unit_details[Baths], $M672,
          unit_details[Partial Baths], IF(ISNUMBER($N672),$N672,""),
          unit_details[Sqft],$P672
)),"")</f>
        <v/>
      </c>
      <c r="AJ672" s="824" t="str">
        <f t="shared" si="114"/>
        <v/>
      </c>
      <c r="AK672" s="531" t="str">
        <f t="shared" si="115"/>
        <v/>
      </c>
      <c r="AL672" s="714" t="str">
        <f t="shared" si="116"/>
        <v/>
      </c>
      <c r="AM672" s="531" t="str">
        <f t="shared" si="117"/>
        <v/>
      </c>
      <c r="AN672" s="716" t="str">
        <f t="shared" si="118"/>
        <v/>
      </c>
    </row>
    <row r="673" spans="6:40" x14ac:dyDescent="0.2">
      <c r="F673" s="1" t="str">
        <f t="shared" si="111"/>
        <v/>
      </c>
      <c r="G673" s="713" t="str">
        <f t="shared" si="119"/>
        <v/>
      </c>
      <c r="H673" s="17" t="str">
        <f>IFERROR(VLOOKUP($G673,Table1[[Property]:[Exposure %]],4,0),"")</f>
        <v/>
      </c>
      <c r="I673" s="3" t="str">
        <f>IFERROR(VLOOKUP($G673,Table1[[Property]:[Exposure %]],6,0),"")</f>
        <v/>
      </c>
      <c r="J673" s="3" t="str">
        <f>IFERROR(VLOOKUP($G673,Table1[[Property]:[Exposure %]],7,0),"")</f>
        <v/>
      </c>
      <c r="R673" s="4" t="str">
        <f>IFERROR(VLOOKUP(IF(F673="Total",F672,F673),Table1[[Property]:['# Units]],7,0)*S673,"")</f>
        <v/>
      </c>
      <c r="S673" s="27" t="str">
        <f t="shared" si="112"/>
        <v/>
      </c>
      <c r="T673" s="531" t="str">
        <f>IFERROR(
 IF($F673="Total",
   SUMPRODUCT(
   INDEX(T:T, ROW()-COUNTIF($F$6:INDEX($F:$F, ROW()-1), $F672)) : INDEX(T:T, ROW()-1),
   INDEX(W:W, ROW()-COUNTIF($F$6:INDEX($F:$F, ROW()-1), $F672)) : INDEX(W:W, ROW()-1)
   )
   /SUM(INDEX(W:W, ROW()-COUNTIF($F$6:INDEX($F:$F, ROW()-1), $F672)) : INDEX(W:W, ROW()-1)),
   AVERAGEIFS(
     INDEX((unit_details[Asking Rent],unit_details[Asking PSF]),0,1,IF($U$3="Chunk Rent",1,2)),
     unit_details[Leased Date],"&gt;="&amp;($AM$2-T$5),
     unit_details[Leased Date],"&lt;"&amp;$AM$2,
     unit_details[Beds],$L673,
     unit_details[Baths],$M673,
     unit_details[Partial Baths],IF(ISNUMBER($N673),$N673,""),
     unit_details[Sqft],$P673,
     unit_details[Property Name],$F673)
 ),"")</f>
        <v/>
      </c>
      <c r="U673" s="552" t="str">
        <f>IFERROR(
 IF($F673="Total",
   SUMPRODUCT(
   INDEX(U:U, ROW()-COUNTIF($F$6:INDEX($F:$F, ROW()-1), $F672)) : INDEX(U:U, ROW()-1),
   INDEX(W:W, ROW()-COUNTIF($F$6:INDEX($F:$F, ROW()-1), $F672)) : INDEX(W:W, ROW()-1)
   )
   /SUM(INDEX(W:W, ROW()-COUNTIF($F$6:INDEX($F:$F, ROW()-1), $F672)) : INDEX(W:W, ROW()-1)),
   AVERAGEIFS(
     INDEX((unit_details[Effective Rent],unit_details[Effective PSF]),0,1,IF($U$3="Chunk Rent",1,2)),
     unit_details[Leased Date],"&gt;="&amp;($AM$2-T$5),
     unit_details[Leased Date],"&lt;"&amp;$AM$2,
     unit_details[Beds],$L673,
     unit_details[Baths],$M673,
     unit_details[Partial Baths],IF(ISNUMBER($N673),$N673,""),
     unit_details[Sqft],$P673,
     unit_details[Property Name],$F673)
 ),"")</f>
        <v/>
      </c>
      <c r="V673" s="27" t="str">
        <f t="shared" si="120"/>
        <v/>
      </c>
      <c r="W673" s="526">
        <f>IFERROR(
  IF($F673="Total",
    SUM(INDEX(W:W, ROW()-COUNTIF($F$6:INDEX($F:$F, ROW()-1), $F672)) : INDEX(W:W, ROW()-1)),
    COUNTIFS(
      unit_details[Leased Date], "&gt;="&amp;($AM$2-T$5),
      unit_details[Leased Date], "&lt;"&amp;$AM$2,
      unit_details[Beds], $L673,
      unit_details[Baths], $M673,
      unit_details[Partial Baths], IF(ISNUMBER($N673), $N673, ""),
      unit_details[Sqft],$P673,
      unit_details[Property Name], $F673
    )
  ),
"")</f>
        <v>0</v>
      </c>
      <c r="X673" s="531" t="str">
        <f>IFERROR(
 IF($F673="Total",
   SUMPRODUCT(
   INDEX(X:X, ROW()-COUNTIF($F$6:INDEX($F:$F, ROW()-1), $F672)) : INDEX(X:X, ROW()-1),
   INDEX(AA:AA, ROW()-COUNTIF($F$6:INDEX($F:$F, ROW()-1), $F672)) : INDEX(AA:AA, ROW()-1)
   )
   /SUM(INDEX(AA:AA, ROW()-COUNTIF($F$6:INDEX($F:$F, ROW()-1), $F672)) : INDEX(AA:AA, ROW()-1)),
   AVERAGEIFS(
     INDEX((unit_details[Asking Rent],unit_details[Asking PSF]),0,1,IF($U$3="Chunk Rent",1,2)),
     unit_details[Leased Date],"&gt;="&amp;($AM$2-X$5),
     unit_details[Leased Date],"&lt;"&amp;$AM$2,
     unit_details[Beds],$L673,
     unit_details[Baths],$M673,
     unit_details[Partial Baths],IF(ISNUMBER($N673),$N673,""),
     unit_details[Sqft],$P673,
     unit_details[Property Name],$F673)
 ),"")</f>
        <v/>
      </c>
      <c r="Y673" s="552" t="str">
        <f>IFERROR(
 IF($F673="Total",
   SUMPRODUCT(
   INDEX(Y:Y, ROW()-COUNTIF($F$6:INDEX($F:$F, ROW()-1), $F672)) : INDEX(Y:Y, ROW()-1),
   INDEX(AA:AA, ROW()-COUNTIF($F$6:INDEX($F:$F, ROW()-1), $F672)) : INDEX(AA:AA, ROW()-1)
   )
   /SUM(INDEX(AA:AA, ROW()-COUNTIF($F$6:INDEX($F:$F, ROW()-1), $F672)) : INDEX(AA:AA, ROW()-1)),
   AVERAGEIFS(
     INDEX((unit_details[Effective Rent],unit_details[Effective PSF]),0,1,IF($U$3="Chunk Rent",1,2)),
     unit_details[Leased Date],"&gt;="&amp;($AM$2-X$5),
     unit_details[Leased Date],"&lt;"&amp;$AM$2,
     unit_details[Beds],$L673,
     unit_details[Baths],$M673,
     unit_details[Partial Baths],IF(ISNUMBER($N673),$N673,""),
     unit_details[Sqft],$P673,
     unit_details[Property Name],$F673)
 ),"")</f>
        <v/>
      </c>
      <c r="Z673" s="27" t="str">
        <f t="shared" si="121"/>
        <v/>
      </c>
      <c r="AA673" s="526">
        <f>IFERROR(
  IF($F673="Total",
    SUM(INDEX(AA:AA, ROW()-COUNTIF($F$6:INDEX($F:$F, ROW()-1), $F672)) : INDEX(AA:AA, ROW()-1)),
    COUNTIFS(
      unit_details[Leased Date], "&gt;="&amp;($AM$2-X$5),
      unit_details[Leased Date], "&lt;"&amp;$AM$2,
      unit_details[Beds], $L673,
      unit_details[Baths], $M673,
      unit_details[Partial Baths], IF(ISNUMBER($N673), $N673, ""),
      unit_details[Sqft],$P673,
      unit_details[Property Name], $F673
    )
  ),
"")</f>
        <v>0</v>
      </c>
      <c r="AB673" s="290">
        <f>IF($F673="Total",
SUM(INDEX(AB:AB, ROW()-COUNTIF($F$6:INDEX($F:$F, ROW()-1), $F672)) : INDEX(AB:AB, ROW()-1)),
COUNTIFS(unit_details[Active Listing?],TRUE,
          unit_details[Property Name], $F673,
          unit_details[Beds], $L673,
          unit_details[Baths], $M673,
          unit_details[Partial Baths],IF(ISNUMBER($N673),$N673,""),
          unit_details[Sqft],$P673))</f>
        <v>0</v>
      </c>
      <c r="AC673" s="27" t="str">
        <f t="shared" si="113"/>
        <v/>
      </c>
      <c r="AD673" s="293" t="str">
        <f>IFERROR(IF(AE673="","",IF($F673="Total",
SUMPRODUCT(
   INDEX(AD:AD, ROW()-COUNTIF($F$6:INDEX($F:$F, ROW()-1), $F672)) : INDEX(AD:AD, ROW()-1),
   INDEX(AB:AB, ROW()-COUNTIF($F$6:INDEX($F:$F, ROW()-1), $F672)) : INDEX(AB:AB, ROW()-1)
   )
   /SUM(INDEX(AB:AB, ROW()-COUNTIF($F$6:INDEX($F:$F, ROW()-1), $F672)) : INDEX(AB:AB, ROW()-1)),
          _xlfn.MINIFS(unit_details[Asking Rent],
          unit_details[Active Listing?],TRUE,
          unit_details[Property Name], $F673,
          unit_details[Beds], $L673,
          unit_details[Baths], $M673,
          unit_details[Partial Baths], IF(ISNUMBER($N673),$N673,""),
          unit_details[Sqft],$P673
))),"")</f>
        <v/>
      </c>
      <c r="AE673" s="5" t="str">
        <f>IFERROR(IF($F673="Total",
          SUMPRODUCT(
   INDEX(AE:AE, ROW()-COUNTIF($F$6:INDEX($F:$F, ROW()-1), $F672)) : INDEX(AE:AE, ROW()-1),
   INDEX(AB:AB, ROW()-COUNTIF($F$6:INDEX($F:$F, ROW()-1), $F672)) : INDEX(AB:AB, ROW()-1)
   )
   /SUM(INDEX(AB:AB, ROW()-COUNTIF($F$6:INDEX($F:$F, ROW()-1), $F672)) : INDEX(AB:AB, ROW()-1)),
          AVERAGEIFS(unit_details[Asking Rent],
          unit_details[Active Listing?],TRUE,
          unit_details[Property Name], $F673,
          unit_details[Beds], $L673,
          unit_details[Baths], $M673,
          unit_details[Partial Baths], IF(ISNUMBER($N673),$N673,""),
          unit_details[Sqft],$P673
)),"")</f>
        <v/>
      </c>
      <c r="AF673" s="5" t="str">
        <f>IFERROR(IF(AE673="","",IF($F673="Total",
SUMPRODUCT(
   INDEX(AF:AF, ROW()-COUNTIF($F$6:INDEX($F:$F, ROW()-1), $F672)) : INDEX(AF:AF, ROW()-1),
   INDEX(AB:AB, ROW()-COUNTIF($F$6:INDEX($F:$F, ROW()-1), $F672)) : INDEX(AB:AB, ROW()-1)
   )
   /SUM(INDEX(AB:AB, ROW()-COUNTIF($F$6:INDEX($F:$F, ROW()-1), $F672)) : INDEX(AB:AB, ROW()-1)),
           _xlfn.MAXIFS(unit_details[Asking Rent],
          unit_details[Active Listing?],TRUE,
          unit_details[Property Name], $F673,
          unit_details[Beds], $L673,
          unit_details[Baths], $M673,
          unit_details[Partial Baths], IF(ISNUMBER($N673),$N673,""),
          unit_details[Sqft],$P673
))),"")</f>
        <v/>
      </c>
      <c r="AG673" s="6" t="str">
        <f>IFERROR(IF($F673="Total",
         SUMPRODUCT(
         INDEX(AG:AG, ROW()-COUNTIF($F$6:INDEX($F:$F, ROW()-1), $F672)) : INDEX(AG:AG, ROW()-1),
         INDEX(AB:AB, ROW()-COUNTIF($F$6:INDEX($F:$F, ROW()-1), $F672)) : INDEX(AB:AB, ROW()-1)
         )
         /SUM(INDEX(AB:AB, ROW()-COUNTIF($F$6:INDEX($F:$F, ROW()-1), $F672)) : INDEX(AB:AB, ROW()-1)),
          AVERAGEIFS(unit_details[Asking PSF],
          unit_details[Active Listing?],TRUE,
          unit_details[Property Name], $F673,
          unit_details[Beds], $L673,
          unit_details[Baths], $M673,
          unit_details[Partial Baths], IF(ISNUMBER($N673),$N673,""),
          unit_details[Sqft],$P673
)),"")</f>
        <v/>
      </c>
      <c r="AH673" s="293" t="str">
        <f>IFERROR(IF($F673="Total",
         SUMPRODUCT(
         INDEX(AH:AH, ROW()-COUNTIF($F$6:INDEX($F:$F, ROW()-1), $F672)) : INDEX(AH:AH, ROW()-1),
         INDEX(AB:AB, ROW()-COUNTIF($F$6:INDEX($F:$F, ROW()-1), $F672)) : INDEX(AB:AB, ROW()-1)
         )
         /SUM(INDEX(AB:AB, ROW()-COUNTIF($F$6:INDEX($F:$F, ROW()-1), $F672)) : INDEX(AB:AB, ROW()-1)),
          AVERAGEIFS(unit_details[Effective Rent],
          unit_details[Active Listing?],TRUE,
          unit_details[Property Name], $F673,
          unit_details[Beds], $L673,
          unit_details[Baths], $M673,
          unit_details[Partial Baths], IF(ISNUMBER($N673),$N673,""),
          unit_details[Sqft],$P673
)),"")</f>
        <v/>
      </c>
      <c r="AI673" s="6" t="str">
        <f>IFERROR(IF($F673="Total",
         SUMPRODUCT(
         INDEX(AI:AI, ROW()-COUNTIF($F$6:INDEX($F:$F, ROW()-1), $F672)) : INDEX(AI:AI, ROW()-1),
         INDEX(AB:AB, ROW()-COUNTIF($F$6:INDEX($F:$F, ROW()-1), $F672)) : INDEX(AB:AB, ROW()-1)
         )
         /SUM(INDEX(AB:AB, ROW()-COUNTIF($F$6:INDEX($F:$F, ROW()-1), $F672)) : INDEX(AB:AB, ROW()-1)),
           AVERAGEIFS(unit_details[Effective PSF],
          unit_details[Active Listing?],TRUE,
          unit_details[Property Name], $F673,
          unit_details[Beds], $L673,
          unit_details[Baths], $M673,
          unit_details[Partial Baths], IF(ISNUMBER($N673),$N673,""),
          unit_details[Sqft],$P673
)),"")</f>
        <v/>
      </c>
      <c r="AJ673" s="824" t="str">
        <f t="shared" si="114"/>
        <v/>
      </c>
      <c r="AK673" s="531" t="str">
        <f t="shared" si="115"/>
        <v/>
      </c>
      <c r="AL673" s="714" t="str">
        <f t="shared" si="116"/>
        <v/>
      </c>
      <c r="AM673" s="531" t="str">
        <f t="shared" si="117"/>
        <v/>
      </c>
      <c r="AN673" s="716" t="str">
        <f t="shared" si="118"/>
        <v/>
      </c>
    </row>
    <row r="674" spans="6:40" x14ac:dyDescent="0.2">
      <c r="F674" s="1" t="str">
        <f t="shared" si="111"/>
        <v/>
      </c>
      <c r="G674" s="713" t="str">
        <f t="shared" si="119"/>
        <v/>
      </c>
      <c r="H674" s="17" t="str">
        <f>IFERROR(VLOOKUP($G674,Table1[[Property]:[Exposure %]],4,0),"")</f>
        <v/>
      </c>
      <c r="I674" s="3" t="str">
        <f>IFERROR(VLOOKUP($G674,Table1[[Property]:[Exposure %]],6,0),"")</f>
        <v/>
      </c>
      <c r="J674" s="3" t="str">
        <f>IFERROR(VLOOKUP($G674,Table1[[Property]:[Exposure %]],7,0),"")</f>
        <v/>
      </c>
      <c r="R674" s="4" t="str">
        <f>IFERROR(VLOOKUP(IF(F674="Total",F673,F674),Table1[[Property]:['# Units]],7,0)*S674,"")</f>
        <v/>
      </c>
      <c r="S674" s="27" t="str">
        <f t="shared" si="112"/>
        <v/>
      </c>
      <c r="T674" s="531" t="str">
        <f>IFERROR(
 IF($F674="Total",
   SUMPRODUCT(
   INDEX(T:T, ROW()-COUNTIF($F$6:INDEX($F:$F, ROW()-1), $F673)) : INDEX(T:T, ROW()-1),
   INDEX(W:W, ROW()-COUNTIF($F$6:INDEX($F:$F, ROW()-1), $F673)) : INDEX(W:W, ROW()-1)
   )
   /SUM(INDEX(W:W, ROW()-COUNTIF($F$6:INDEX($F:$F, ROW()-1), $F673)) : INDEX(W:W, ROW()-1)),
   AVERAGEIFS(
     INDEX((unit_details[Asking Rent],unit_details[Asking PSF]),0,1,IF($U$3="Chunk Rent",1,2)),
     unit_details[Leased Date],"&gt;="&amp;($AM$2-T$5),
     unit_details[Leased Date],"&lt;"&amp;$AM$2,
     unit_details[Beds],$L674,
     unit_details[Baths],$M674,
     unit_details[Partial Baths],IF(ISNUMBER($N674),$N674,""),
     unit_details[Sqft],$P674,
     unit_details[Property Name],$F674)
 ),"")</f>
        <v/>
      </c>
      <c r="U674" s="552" t="str">
        <f>IFERROR(
 IF($F674="Total",
   SUMPRODUCT(
   INDEX(U:U, ROW()-COUNTIF($F$6:INDEX($F:$F, ROW()-1), $F673)) : INDEX(U:U, ROW()-1),
   INDEX(W:W, ROW()-COUNTIF($F$6:INDEX($F:$F, ROW()-1), $F673)) : INDEX(W:W, ROW()-1)
   )
   /SUM(INDEX(W:W, ROW()-COUNTIF($F$6:INDEX($F:$F, ROW()-1), $F673)) : INDEX(W:W, ROW()-1)),
   AVERAGEIFS(
     INDEX((unit_details[Effective Rent],unit_details[Effective PSF]),0,1,IF($U$3="Chunk Rent",1,2)),
     unit_details[Leased Date],"&gt;="&amp;($AM$2-T$5),
     unit_details[Leased Date],"&lt;"&amp;$AM$2,
     unit_details[Beds],$L674,
     unit_details[Baths],$M674,
     unit_details[Partial Baths],IF(ISNUMBER($N674),$N674,""),
     unit_details[Sqft],$P674,
     unit_details[Property Name],$F674)
 ),"")</f>
        <v/>
      </c>
      <c r="V674" s="27" t="str">
        <f t="shared" si="120"/>
        <v/>
      </c>
      <c r="W674" s="526">
        <f>IFERROR(
  IF($F674="Total",
    SUM(INDEX(W:W, ROW()-COUNTIF($F$6:INDEX($F:$F, ROW()-1), $F673)) : INDEX(W:W, ROW()-1)),
    COUNTIFS(
      unit_details[Leased Date], "&gt;="&amp;($AM$2-T$5),
      unit_details[Leased Date], "&lt;"&amp;$AM$2,
      unit_details[Beds], $L674,
      unit_details[Baths], $M674,
      unit_details[Partial Baths], IF(ISNUMBER($N674), $N674, ""),
      unit_details[Sqft],$P674,
      unit_details[Property Name], $F674
    )
  ),
"")</f>
        <v>0</v>
      </c>
      <c r="X674" s="531" t="str">
        <f>IFERROR(
 IF($F674="Total",
   SUMPRODUCT(
   INDEX(X:X, ROW()-COUNTIF($F$6:INDEX($F:$F, ROW()-1), $F673)) : INDEX(X:X, ROW()-1),
   INDEX(AA:AA, ROW()-COUNTIF($F$6:INDEX($F:$F, ROW()-1), $F673)) : INDEX(AA:AA, ROW()-1)
   )
   /SUM(INDEX(AA:AA, ROW()-COUNTIF($F$6:INDEX($F:$F, ROW()-1), $F673)) : INDEX(AA:AA, ROW()-1)),
   AVERAGEIFS(
     INDEX((unit_details[Asking Rent],unit_details[Asking PSF]),0,1,IF($U$3="Chunk Rent",1,2)),
     unit_details[Leased Date],"&gt;="&amp;($AM$2-X$5),
     unit_details[Leased Date],"&lt;"&amp;$AM$2,
     unit_details[Beds],$L674,
     unit_details[Baths],$M674,
     unit_details[Partial Baths],IF(ISNUMBER($N674),$N674,""),
     unit_details[Sqft],$P674,
     unit_details[Property Name],$F674)
 ),"")</f>
        <v/>
      </c>
      <c r="Y674" s="552" t="str">
        <f>IFERROR(
 IF($F674="Total",
   SUMPRODUCT(
   INDEX(Y:Y, ROW()-COUNTIF($F$6:INDEX($F:$F, ROW()-1), $F673)) : INDEX(Y:Y, ROW()-1),
   INDEX(AA:AA, ROW()-COUNTIF($F$6:INDEX($F:$F, ROW()-1), $F673)) : INDEX(AA:AA, ROW()-1)
   )
   /SUM(INDEX(AA:AA, ROW()-COUNTIF($F$6:INDEX($F:$F, ROW()-1), $F673)) : INDEX(AA:AA, ROW()-1)),
   AVERAGEIFS(
     INDEX((unit_details[Effective Rent],unit_details[Effective PSF]),0,1,IF($U$3="Chunk Rent",1,2)),
     unit_details[Leased Date],"&gt;="&amp;($AM$2-X$5),
     unit_details[Leased Date],"&lt;"&amp;$AM$2,
     unit_details[Beds],$L674,
     unit_details[Baths],$M674,
     unit_details[Partial Baths],IF(ISNUMBER($N674),$N674,""),
     unit_details[Sqft],$P674,
     unit_details[Property Name],$F674)
 ),"")</f>
        <v/>
      </c>
      <c r="Z674" s="27" t="str">
        <f t="shared" si="121"/>
        <v/>
      </c>
      <c r="AA674" s="526">
        <f>IFERROR(
  IF($F674="Total",
    SUM(INDEX(AA:AA, ROW()-COUNTIF($F$6:INDEX($F:$F, ROW()-1), $F673)) : INDEX(AA:AA, ROW()-1)),
    COUNTIFS(
      unit_details[Leased Date], "&gt;="&amp;($AM$2-X$5),
      unit_details[Leased Date], "&lt;"&amp;$AM$2,
      unit_details[Beds], $L674,
      unit_details[Baths], $M674,
      unit_details[Partial Baths], IF(ISNUMBER($N674), $N674, ""),
      unit_details[Sqft],$P674,
      unit_details[Property Name], $F674
    )
  ),
"")</f>
        <v>0</v>
      </c>
      <c r="AB674" s="290">
        <f>IF($F674="Total",
SUM(INDEX(AB:AB, ROW()-COUNTIF($F$6:INDEX($F:$F, ROW()-1), $F673)) : INDEX(AB:AB, ROW()-1)),
COUNTIFS(unit_details[Active Listing?],TRUE,
          unit_details[Property Name], $F674,
          unit_details[Beds], $L674,
          unit_details[Baths], $M674,
          unit_details[Partial Baths],IF(ISNUMBER($N674),$N674,""),
          unit_details[Sqft],$P674))</f>
        <v>0</v>
      </c>
      <c r="AC674" s="27" t="str">
        <f t="shared" si="113"/>
        <v/>
      </c>
      <c r="AD674" s="293" t="str">
        <f>IFERROR(IF(AE674="","",IF($F674="Total",
SUMPRODUCT(
   INDEX(AD:AD, ROW()-COUNTIF($F$6:INDEX($F:$F, ROW()-1), $F673)) : INDEX(AD:AD, ROW()-1),
   INDEX(AB:AB, ROW()-COUNTIF($F$6:INDEX($F:$F, ROW()-1), $F673)) : INDEX(AB:AB, ROW()-1)
   )
   /SUM(INDEX(AB:AB, ROW()-COUNTIF($F$6:INDEX($F:$F, ROW()-1), $F673)) : INDEX(AB:AB, ROW()-1)),
          _xlfn.MINIFS(unit_details[Asking Rent],
          unit_details[Active Listing?],TRUE,
          unit_details[Property Name], $F674,
          unit_details[Beds], $L674,
          unit_details[Baths], $M674,
          unit_details[Partial Baths], IF(ISNUMBER($N674),$N674,""),
          unit_details[Sqft],$P674
))),"")</f>
        <v/>
      </c>
      <c r="AE674" s="5" t="str">
        <f>IFERROR(IF($F674="Total",
          SUMPRODUCT(
   INDEX(AE:AE, ROW()-COUNTIF($F$6:INDEX($F:$F, ROW()-1), $F673)) : INDEX(AE:AE, ROW()-1),
   INDEX(AB:AB, ROW()-COUNTIF($F$6:INDEX($F:$F, ROW()-1), $F673)) : INDEX(AB:AB, ROW()-1)
   )
   /SUM(INDEX(AB:AB, ROW()-COUNTIF($F$6:INDEX($F:$F, ROW()-1), $F673)) : INDEX(AB:AB, ROW()-1)),
          AVERAGEIFS(unit_details[Asking Rent],
          unit_details[Active Listing?],TRUE,
          unit_details[Property Name], $F674,
          unit_details[Beds], $L674,
          unit_details[Baths], $M674,
          unit_details[Partial Baths], IF(ISNUMBER($N674),$N674,""),
          unit_details[Sqft],$P674
)),"")</f>
        <v/>
      </c>
      <c r="AF674" s="5" t="str">
        <f>IFERROR(IF(AE674="","",IF($F674="Total",
SUMPRODUCT(
   INDEX(AF:AF, ROW()-COUNTIF($F$6:INDEX($F:$F, ROW()-1), $F673)) : INDEX(AF:AF, ROW()-1),
   INDEX(AB:AB, ROW()-COUNTIF($F$6:INDEX($F:$F, ROW()-1), $F673)) : INDEX(AB:AB, ROW()-1)
   )
   /SUM(INDEX(AB:AB, ROW()-COUNTIF($F$6:INDEX($F:$F, ROW()-1), $F673)) : INDEX(AB:AB, ROW()-1)),
           _xlfn.MAXIFS(unit_details[Asking Rent],
          unit_details[Active Listing?],TRUE,
          unit_details[Property Name], $F674,
          unit_details[Beds], $L674,
          unit_details[Baths], $M674,
          unit_details[Partial Baths], IF(ISNUMBER($N674),$N674,""),
          unit_details[Sqft],$P674
))),"")</f>
        <v/>
      </c>
      <c r="AG674" s="6" t="str">
        <f>IFERROR(IF($F674="Total",
         SUMPRODUCT(
         INDEX(AG:AG, ROW()-COUNTIF($F$6:INDEX($F:$F, ROW()-1), $F673)) : INDEX(AG:AG, ROW()-1),
         INDEX(AB:AB, ROW()-COUNTIF($F$6:INDEX($F:$F, ROW()-1), $F673)) : INDEX(AB:AB, ROW()-1)
         )
         /SUM(INDEX(AB:AB, ROW()-COUNTIF($F$6:INDEX($F:$F, ROW()-1), $F673)) : INDEX(AB:AB, ROW()-1)),
          AVERAGEIFS(unit_details[Asking PSF],
          unit_details[Active Listing?],TRUE,
          unit_details[Property Name], $F674,
          unit_details[Beds], $L674,
          unit_details[Baths], $M674,
          unit_details[Partial Baths], IF(ISNUMBER($N674),$N674,""),
          unit_details[Sqft],$P674
)),"")</f>
        <v/>
      </c>
      <c r="AH674" s="293" t="str">
        <f>IFERROR(IF($F674="Total",
         SUMPRODUCT(
         INDEX(AH:AH, ROW()-COUNTIF($F$6:INDEX($F:$F, ROW()-1), $F673)) : INDEX(AH:AH, ROW()-1),
         INDEX(AB:AB, ROW()-COUNTIF($F$6:INDEX($F:$F, ROW()-1), $F673)) : INDEX(AB:AB, ROW()-1)
         )
         /SUM(INDEX(AB:AB, ROW()-COUNTIF($F$6:INDEX($F:$F, ROW()-1), $F673)) : INDEX(AB:AB, ROW()-1)),
          AVERAGEIFS(unit_details[Effective Rent],
          unit_details[Active Listing?],TRUE,
          unit_details[Property Name], $F674,
          unit_details[Beds], $L674,
          unit_details[Baths], $M674,
          unit_details[Partial Baths], IF(ISNUMBER($N674),$N674,""),
          unit_details[Sqft],$P674
)),"")</f>
        <v/>
      </c>
      <c r="AI674" s="6" t="str">
        <f>IFERROR(IF($F674="Total",
         SUMPRODUCT(
         INDEX(AI:AI, ROW()-COUNTIF($F$6:INDEX($F:$F, ROW()-1), $F673)) : INDEX(AI:AI, ROW()-1),
         INDEX(AB:AB, ROW()-COUNTIF($F$6:INDEX($F:$F, ROW()-1), $F673)) : INDEX(AB:AB, ROW()-1)
         )
         /SUM(INDEX(AB:AB, ROW()-COUNTIF($F$6:INDEX($F:$F, ROW()-1), $F673)) : INDEX(AB:AB, ROW()-1)),
           AVERAGEIFS(unit_details[Effective PSF],
          unit_details[Active Listing?],TRUE,
          unit_details[Property Name], $F674,
          unit_details[Beds], $L674,
          unit_details[Baths], $M674,
          unit_details[Partial Baths], IF(ISNUMBER($N674),$N674,""),
          unit_details[Sqft],$P674
)),"")</f>
        <v/>
      </c>
      <c r="AJ674" s="824" t="str">
        <f t="shared" si="114"/>
        <v/>
      </c>
      <c r="AK674" s="531" t="str">
        <f t="shared" si="115"/>
        <v/>
      </c>
      <c r="AL674" s="714" t="str">
        <f t="shared" si="116"/>
        <v/>
      </c>
      <c r="AM674" s="531" t="str">
        <f t="shared" si="117"/>
        <v/>
      </c>
      <c r="AN674" s="716" t="str">
        <f t="shared" si="118"/>
        <v/>
      </c>
    </row>
    <row r="675" spans="6:40" x14ac:dyDescent="0.2">
      <c r="F675" s="1" t="str">
        <f t="shared" si="111"/>
        <v/>
      </c>
      <c r="G675" s="713" t="str">
        <f t="shared" si="119"/>
        <v/>
      </c>
      <c r="H675" s="17" t="str">
        <f>IFERROR(VLOOKUP($G675,Table1[[Property]:[Exposure %]],4,0),"")</f>
        <v/>
      </c>
      <c r="I675" s="3" t="str">
        <f>IFERROR(VLOOKUP($G675,Table1[[Property]:[Exposure %]],6,0),"")</f>
        <v/>
      </c>
      <c r="J675" s="3" t="str">
        <f>IFERROR(VLOOKUP($G675,Table1[[Property]:[Exposure %]],7,0),"")</f>
        <v/>
      </c>
      <c r="R675" s="4" t="str">
        <f>IFERROR(VLOOKUP(IF(F675="Total",F674,F675),Table1[[Property]:['# Units]],7,0)*S675,"")</f>
        <v/>
      </c>
      <c r="S675" s="27" t="str">
        <f t="shared" si="112"/>
        <v/>
      </c>
      <c r="T675" s="531" t="str">
        <f>IFERROR(
 IF($F675="Total",
   SUMPRODUCT(
   INDEX(T:T, ROW()-COUNTIF($F$6:INDEX($F:$F, ROW()-1), $F674)) : INDEX(T:T, ROW()-1),
   INDEX(W:W, ROW()-COUNTIF($F$6:INDEX($F:$F, ROW()-1), $F674)) : INDEX(W:W, ROW()-1)
   )
   /SUM(INDEX(W:W, ROW()-COUNTIF($F$6:INDEX($F:$F, ROW()-1), $F674)) : INDEX(W:W, ROW()-1)),
   AVERAGEIFS(
     INDEX((unit_details[Asking Rent],unit_details[Asking PSF]),0,1,IF($U$3="Chunk Rent",1,2)),
     unit_details[Leased Date],"&gt;="&amp;($AM$2-T$5),
     unit_details[Leased Date],"&lt;"&amp;$AM$2,
     unit_details[Beds],$L675,
     unit_details[Baths],$M675,
     unit_details[Partial Baths],IF(ISNUMBER($N675),$N675,""),
     unit_details[Sqft],$P675,
     unit_details[Property Name],$F675)
 ),"")</f>
        <v/>
      </c>
      <c r="U675" s="552" t="str">
        <f>IFERROR(
 IF($F675="Total",
   SUMPRODUCT(
   INDEX(U:U, ROW()-COUNTIF($F$6:INDEX($F:$F, ROW()-1), $F674)) : INDEX(U:U, ROW()-1),
   INDEX(W:W, ROW()-COUNTIF($F$6:INDEX($F:$F, ROW()-1), $F674)) : INDEX(W:W, ROW()-1)
   )
   /SUM(INDEX(W:W, ROW()-COUNTIF($F$6:INDEX($F:$F, ROW()-1), $F674)) : INDEX(W:W, ROW()-1)),
   AVERAGEIFS(
     INDEX((unit_details[Effective Rent],unit_details[Effective PSF]),0,1,IF($U$3="Chunk Rent",1,2)),
     unit_details[Leased Date],"&gt;="&amp;($AM$2-T$5),
     unit_details[Leased Date],"&lt;"&amp;$AM$2,
     unit_details[Beds],$L675,
     unit_details[Baths],$M675,
     unit_details[Partial Baths],IF(ISNUMBER($N675),$N675,""),
     unit_details[Sqft],$P675,
     unit_details[Property Name],$F675)
 ),"")</f>
        <v/>
      </c>
      <c r="V675" s="27" t="str">
        <f t="shared" si="120"/>
        <v/>
      </c>
      <c r="W675" s="526">
        <f>IFERROR(
  IF($F675="Total",
    SUM(INDEX(W:W, ROW()-COUNTIF($F$6:INDEX($F:$F, ROW()-1), $F674)) : INDEX(W:W, ROW()-1)),
    COUNTIFS(
      unit_details[Leased Date], "&gt;="&amp;($AM$2-T$5),
      unit_details[Leased Date], "&lt;"&amp;$AM$2,
      unit_details[Beds], $L675,
      unit_details[Baths], $M675,
      unit_details[Partial Baths], IF(ISNUMBER($N675), $N675, ""),
      unit_details[Sqft],$P675,
      unit_details[Property Name], $F675
    )
  ),
"")</f>
        <v>0</v>
      </c>
      <c r="X675" s="531" t="str">
        <f>IFERROR(
 IF($F675="Total",
   SUMPRODUCT(
   INDEX(X:X, ROW()-COUNTIF($F$6:INDEX($F:$F, ROW()-1), $F674)) : INDEX(X:X, ROW()-1),
   INDEX(AA:AA, ROW()-COUNTIF($F$6:INDEX($F:$F, ROW()-1), $F674)) : INDEX(AA:AA, ROW()-1)
   )
   /SUM(INDEX(AA:AA, ROW()-COUNTIF($F$6:INDEX($F:$F, ROW()-1), $F674)) : INDEX(AA:AA, ROW()-1)),
   AVERAGEIFS(
     INDEX((unit_details[Asking Rent],unit_details[Asking PSF]),0,1,IF($U$3="Chunk Rent",1,2)),
     unit_details[Leased Date],"&gt;="&amp;($AM$2-X$5),
     unit_details[Leased Date],"&lt;"&amp;$AM$2,
     unit_details[Beds],$L675,
     unit_details[Baths],$M675,
     unit_details[Partial Baths],IF(ISNUMBER($N675),$N675,""),
     unit_details[Sqft],$P675,
     unit_details[Property Name],$F675)
 ),"")</f>
        <v/>
      </c>
      <c r="Y675" s="552" t="str">
        <f>IFERROR(
 IF($F675="Total",
   SUMPRODUCT(
   INDEX(Y:Y, ROW()-COUNTIF($F$6:INDEX($F:$F, ROW()-1), $F674)) : INDEX(Y:Y, ROW()-1),
   INDEX(AA:AA, ROW()-COUNTIF($F$6:INDEX($F:$F, ROW()-1), $F674)) : INDEX(AA:AA, ROW()-1)
   )
   /SUM(INDEX(AA:AA, ROW()-COUNTIF($F$6:INDEX($F:$F, ROW()-1), $F674)) : INDEX(AA:AA, ROW()-1)),
   AVERAGEIFS(
     INDEX((unit_details[Effective Rent],unit_details[Effective PSF]),0,1,IF($U$3="Chunk Rent",1,2)),
     unit_details[Leased Date],"&gt;="&amp;($AM$2-X$5),
     unit_details[Leased Date],"&lt;"&amp;$AM$2,
     unit_details[Beds],$L675,
     unit_details[Baths],$M675,
     unit_details[Partial Baths],IF(ISNUMBER($N675),$N675,""),
     unit_details[Sqft],$P675,
     unit_details[Property Name],$F675)
 ),"")</f>
        <v/>
      </c>
      <c r="Z675" s="27" t="str">
        <f t="shared" si="121"/>
        <v/>
      </c>
      <c r="AA675" s="526">
        <f>IFERROR(
  IF($F675="Total",
    SUM(INDEX(AA:AA, ROW()-COUNTIF($F$6:INDEX($F:$F, ROW()-1), $F674)) : INDEX(AA:AA, ROW()-1)),
    COUNTIFS(
      unit_details[Leased Date], "&gt;="&amp;($AM$2-X$5),
      unit_details[Leased Date], "&lt;"&amp;$AM$2,
      unit_details[Beds], $L675,
      unit_details[Baths], $M675,
      unit_details[Partial Baths], IF(ISNUMBER($N675), $N675, ""),
      unit_details[Sqft],$P675,
      unit_details[Property Name], $F675
    )
  ),
"")</f>
        <v>0</v>
      </c>
      <c r="AB675" s="290">
        <f>IF($F675="Total",
SUM(INDEX(AB:AB, ROW()-COUNTIF($F$6:INDEX($F:$F, ROW()-1), $F674)) : INDEX(AB:AB, ROW()-1)),
COUNTIFS(unit_details[Active Listing?],TRUE,
          unit_details[Property Name], $F675,
          unit_details[Beds], $L675,
          unit_details[Baths], $M675,
          unit_details[Partial Baths],IF(ISNUMBER($N675),$N675,""),
          unit_details[Sqft],$P675))</f>
        <v>0</v>
      </c>
      <c r="AC675" s="27" t="str">
        <f t="shared" si="113"/>
        <v/>
      </c>
      <c r="AD675" s="293" t="str">
        <f>IFERROR(IF(AE675="","",IF($F675="Total",
SUMPRODUCT(
   INDEX(AD:AD, ROW()-COUNTIF($F$6:INDEX($F:$F, ROW()-1), $F674)) : INDEX(AD:AD, ROW()-1),
   INDEX(AB:AB, ROW()-COUNTIF($F$6:INDEX($F:$F, ROW()-1), $F674)) : INDEX(AB:AB, ROW()-1)
   )
   /SUM(INDEX(AB:AB, ROW()-COUNTIF($F$6:INDEX($F:$F, ROW()-1), $F674)) : INDEX(AB:AB, ROW()-1)),
          _xlfn.MINIFS(unit_details[Asking Rent],
          unit_details[Active Listing?],TRUE,
          unit_details[Property Name], $F675,
          unit_details[Beds], $L675,
          unit_details[Baths], $M675,
          unit_details[Partial Baths], IF(ISNUMBER($N675),$N675,""),
          unit_details[Sqft],$P675
))),"")</f>
        <v/>
      </c>
      <c r="AE675" s="5" t="str">
        <f>IFERROR(IF($F675="Total",
          SUMPRODUCT(
   INDEX(AE:AE, ROW()-COUNTIF($F$6:INDEX($F:$F, ROW()-1), $F674)) : INDEX(AE:AE, ROW()-1),
   INDEX(AB:AB, ROW()-COUNTIF($F$6:INDEX($F:$F, ROW()-1), $F674)) : INDEX(AB:AB, ROW()-1)
   )
   /SUM(INDEX(AB:AB, ROW()-COUNTIF($F$6:INDEX($F:$F, ROW()-1), $F674)) : INDEX(AB:AB, ROW()-1)),
          AVERAGEIFS(unit_details[Asking Rent],
          unit_details[Active Listing?],TRUE,
          unit_details[Property Name], $F675,
          unit_details[Beds], $L675,
          unit_details[Baths], $M675,
          unit_details[Partial Baths], IF(ISNUMBER($N675),$N675,""),
          unit_details[Sqft],$P675
)),"")</f>
        <v/>
      </c>
      <c r="AF675" s="5" t="str">
        <f>IFERROR(IF(AE675="","",IF($F675="Total",
SUMPRODUCT(
   INDEX(AF:AF, ROW()-COUNTIF($F$6:INDEX($F:$F, ROW()-1), $F674)) : INDEX(AF:AF, ROW()-1),
   INDEX(AB:AB, ROW()-COUNTIF($F$6:INDEX($F:$F, ROW()-1), $F674)) : INDEX(AB:AB, ROW()-1)
   )
   /SUM(INDEX(AB:AB, ROW()-COUNTIF($F$6:INDEX($F:$F, ROW()-1), $F674)) : INDEX(AB:AB, ROW()-1)),
           _xlfn.MAXIFS(unit_details[Asking Rent],
          unit_details[Active Listing?],TRUE,
          unit_details[Property Name], $F675,
          unit_details[Beds], $L675,
          unit_details[Baths], $M675,
          unit_details[Partial Baths], IF(ISNUMBER($N675),$N675,""),
          unit_details[Sqft],$P675
))),"")</f>
        <v/>
      </c>
      <c r="AG675" s="6" t="str">
        <f>IFERROR(IF($F675="Total",
         SUMPRODUCT(
         INDEX(AG:AG, ROW()-COUNTIF($F$6:INDEX($F:$F, ROW()-1), $F674)) : INDEX(AG:AG, ROW()-1),
         INDEX(AB:AB, ROW()-COUNTIF($F$6:INDEX($F:$F, ROW()-1), $F674)) : INDEX(AB:AB, ROW()-1)
         )
         /SUM(INDEX(AB:AB, ROW()-COUNTIF($F$6:INDEX($F:$F, ROW()-1), $F674)) : INDEX(AB:AB, ROW()-1)),
          AVERAGEIFS(unit_details[Asking PSF],
          unit_details[Active Listing?],TRUE,
          unit_details[Property Name], $F675,
          unit_details[Beds], $L675,
          unit_details[Baths], $M675,
          unit_details[Partial Baths], IF(ISNUMBER($N675),$N675,""),
          unit_details[Sqft],$P675
)),"")</f>
        <v/>
      </c>
      <c r="AH675" s="293" t="str">
        <f>IFERROR(IF($F675="Total",
         SUMPRODUCT(
         INDEX(AH:AH, ROW()-COUNTIF($F$6:INDEX($F:$F, ROW()-1), $F674)) : INDEX(AH:AH, ROW()-1),
         INDEX(AB:AB, ROW()-COUNTIF($F$6:INDEX($F:$F, ROW()-1), $F674)) : INDEX(AB:AB, ROW()-1)
         )
         /SUM(INDEX(AB:AB, ROW()-COUNTIF($F$6:INDEX($F:$F, ROW()-1), $F674)) : INDEX(AB:AB, ROW()-1)),
          AVERAGEIFS(unit_details[Effective Rent],
          unit_details[Active Listing?],TRUE,
          unit_details[Property Name], $F675,
          unit_details[Beds], $L675,
          unit_details[Baths], $M675,
          unit_details[Partial Baths], IF(ISNUMBER($N675),$N675,""),
          unit_details[Sqft],$P675
)),"")</f>
        <v/>
      </c>
      <c r="AI675" s="6" t="str">
        <f>IFERROR(IF($F675="Total",
         SUMPRODUCT(
         INDEX(AI:AI, ROW()-COUNTIF($F$6:INDEX($F:$F, ROW()-1), $F674)) : INDEX(AI:AI, ROW()-1),
         INDEX(AB:AB, ROW()-COUNTIF($F$6:INDEX($F:$F, ROW()-1), $F674)) : INDEX(AB:AB, ROW()-1)
         )
         /SUM(INDEX(AB:AB, ROW()-COUNTIF($F$6:INDEX($F:$F, ROW()-1), $F674)) : INDEX(AB:AB, ROW()-1)),
           AVERAGEIFS(unit_details[Effective PSF],
          unit_details[Active Listing?],TRUE,
          unit_details[Property Name], $F675,
          unit_details[Beds], $L675,
          unit_details[Baths], $M675,
          unit_details[Partial Baths], IF(ISNUMBER($N675),$N675,""),
          unit_details[Sqft],$P675
)),"")</f>
        <v/>
      </c>
      <c r="AJ675" s="824" t="str">
        <f t="shared" si="114"/>
        <v/>
      </c>
      <c r="AK675" s="531" t="str">
        <f t="shared" si="115"/>
        <v/>
      </c>
      <c r="AL675" s="714" t="str">
        <f t="shared" si="116"/>
        <v/>
      </c>
      <c r="AM675" s="531" t="str">
        <f t="shared" si="117"/>
        <v/>
      </c>
      <c r="AN675" s="716" t="str">
        <f t="shared" si="118"/>
        <v/>
      </c>
    </row>
    <row r="676" spans="6:40" x14ac:dyDescent="0.2">
      <c r="F676" s="1" t="str">
        <f t="shared" si="111"/>
        <v/>
      </c>
      <c r="G676" s="713" t="str">
        <f t="shared" si="119"/>
        <v/>
      </c>
      <c r="H676" s="17" t="str">
        <f>IFERROR(VLOOKUP($G676,Table1[[Property]:[Exposure %]],4,0),"")</f>
        <v/>
      </c>
      <c r="I676" s="3" t="str">
        <f>IFERROR(VLOOKUP($G676,Table1[[Property]:[Exposure %]],6,0),"")</f>
        <v/>
      </c>
      <c r="J676" s="3" t="str">
        <f>IFERROR(VLOOKUP($G676,Table1[[Property]:[Exposure %]],7,0),"")</f>
        <v/>
      </c>
      <c r="R676" s="4" t="str">
        <f>IFERROR(VLOOKUP(IF(F676="Total",F675,F676),Table1[[Property]:['# Units]],7,0)*S676,"")</f>
        <v/>
      </c>
      <c r="S676" s="27" t="str">
        <f t="shared" si="112"/>
        <v/>
      </c>
      <c r="T676" s="531" t="str">
        <f>IFERROR(
 IF($F676="Total",
   SUMPRODUCT(
   INDEX(T:T, ROW()-COUNTIF($F$6:INDEX($F:$F, ROW()-1), $F675)) : INDEX(T:T, ROW()-1),
   INDEX(W:W, ROW()-COUNTIF($F$6:INDEX($F:$F, ROW()-1), $F675)) : INDEX(W:W, ROW()-1)
   )
   /SUM(INDEX(W:W, ROW()-COUNTIF($F$6:INDEX($F:$F, ROW()-1), $F675)) : INDEX(W:W, ROW()-1)),
   AVERAGEIFS(
     INDEX((unit_details[Asking Rent],unit_details[Asking PSF]),0,1,IF($U$3="Chunk Rent",1,2)),
     unit_details[Leased Date],"&gt;="&amp;($AM$2-T$5),
     unit_details[Leased Date],"&lt;"&amp;$AM$2,
     unit_details[Beds],$L676,
     unit_details[Baths],$M676,
     unit_details[Partial Baths],IF(ISNUMBER($N676),$N676,""),
     unit_details[Sqft],$P676,
     unit_details[Property Name],$F676)
 ),"")</f>
        <v/>
      </c>
      <c r="U676" s="552" t="str">
        <f>IFERROR(
 IF($F676="Total",
   SUMPRODUCT(
   INDEX(U:U, ROW()-COUNTIF($F$6:INDEX($F:$F, ROW()-1), $F675)) : INDEX(U:U, ROW()-1),
   INDEX(W:W, ROW()-COUNTIF($F$6:INDEX($F:$F, ROW()-1), $F675)) : INDEX(W:W, ROW()-1)
   )
   /SUM(INDEX(W:W, ROW()-COUNTIF($F$6:INDEX($F:$F, ROW()-1), $F675)) : INDEX(W:W, ROW()-1)),
   AVERAGEIFS(
     INDEX((unit_details[Effective Rent],unit_details[Effective PSF]),0,1,IF($U$3="Chunk Rent",1,2)),
     unit_details[Leased Date],"&gt;="&amp;($AM$2-T$5),
     unit_details[Leased Date],"&lt;"&amp;$AM$2,
     unit_details[Beds],$L676,
     unit_details[Baths],$M676,
     unit_details[Partial Baths],IF(ISNUMBER($N676),$N676,""),
     unit_details[Sqft],$P676,
     unit_details[Property Name],$F676)
 ),"")</f>
        <v/>
      </c>
      <c r="V676" s="27" t="str">
        <f t="shared" si="120"/>
        <v/>
      </c>
      <c r="W676" s="526">
        <f>IFERROR(
  IF($F676="Total",
    SUM(INDEX(W:W, ROW()-COUNTIF($F$6:INDEX($F:$F, ROW()-1), $F675)) : INDEX(W:W, ROW()-1)),
    COUNTIFS(
      unit_details[Leased Date], "&gt;="&amp;($AM$2-T$5),
      unit_details[Leased Date], "&lt;"&amp;$AM$2,
      unit_details[Beds], $L676,
      unit_details[Baths], $M676,
      unit_details[Partial Baths], IF(ISNUMBER($N676), $N676, ""),
      unit_details[Sqft],$P676,
      unit_details[Property Name], $F676
    )
  ),
"")</f>
        <v>0</v>
      </c>
      <c r="X676" s="531" t="str">
        <f>IFERROR(
 IF($F676="Total",
   SUMPRODUCT(
   INDEX(X:X, ROW()-COUNTIF($F$6:INDEX($F:$F, ROW()-1), $F675)) : INDEX(X:X, ROW()-1),
   INDEX(AA:AA, ROW()-COUNTIF($F$6:INDEX($F:$F, ROW()-1), $F675)) : INDEX(AA:AA, ROW()-1)
   )
   /SUM(INDEX(AA:AA, ROW()-COUNTIF($F$6:INDEX($F:$F, ROW()-1), $F675)) : INDEX(AA:AA, ROW()-1)),
   AVERAGEIFS(
     INDEX((unit_details[Asking Rent],unit_details[Asking PSF]),0,1,IF($U$3="Chunk Rent",1,2)),
     unit_details[Leased Date],"&gt;="&amp;($AM$2-X$5),
     unit_details[Leased Date],"&lt;"&amp;$AM$2,
     unit_details[Beds],$L676,
     unit_details[Baths],$M676,
     unit_details[Partial Baths],IF(ISNUMBER($N676),$N676,""),
     unit_details[Sqft],$P676,
     unit_details[Property Name],$F676)
 ),"")</f>
        <v/>
      </c>
      <c r="Y676" s="552" t="str">
        <f>IFERROR(
 IF($F676="Total",
   SUMPRODUCT(
   INDEX(Y:Y, ROW()-COUNTIF($F$6:INDEX($F:$F, ROW()-1), $F675)) : INDEX(Y:Y, ROW()-1),
   INDEX(AA:AA, ROW()-COUNTIF($F$6:INDEX($F:$F, ROW()-1), $F675)) : INDEX(AA:AA, ROW()-1)
   )
   /SUM(INDEX(AA:AA, ROW()-COUNTIF($F$6:INDEX($F:$F, ROW()-1), $F675)) : INDEX(AA:AA, ROW()-1)),
   AVERAGEIFS(
     INDEX((unit_details[Effective Rent],unit_details[Effective PSF]),0,1,IF($U$3="Chunk Rent",1,2)),
     unit_details[Leased Date],"&gt;="&amp;($AM$2-X$5),
     unit_details[Leased Date],"&lt;"&amp;$AM$2,
     unit_details[Beds],$L676,
     unit_details[Baths],$M676,
     unit_details[Partial Baths],IF(ISNUMBER($N676),$N676,""),
     unit_details[Sqft],$P676,
     unit_details[Property Name],$F676)
 ),"")</f>
        <v/>
      </c>
      <c r="Z676" s="27" t="str">
        <f t="shared" si="121"/>
        <v/>
      </c>
      <c r="AA676" s="526">
        <f>IFERROR(
  IF($F676="Total",
    SUM(INDEX(AA:AA, ROW()-COUNTIF($F$6:INDEX($F:$F, ROW()-1), $F675)) : INDEX(AA:AA, ROW()-1)),
    COUNTIFS(
      unit_details[Leased Date], "&gt;="&amp;($AM$2-X$5),
      unit_details[Leased Date], "&lt;"&amp;$AM$2,
      unit_details[Beds], $L676,
      unit_details[Baths], $M676,
      unit_details[Partial Baths], IF(ISNUMBER($N676), $N676, ""),
      unit_details[Sqft],$P676,
      unit_details[Property Name], $F676
    )
  ),
"")</f>
        <v>0</v>
      </c>
      <c r="AB676" s="290">
        <f>IF($F676="Total",
SUM(INDEX(AB:AB, ROW()-COUNTIF($F$6:INDEX($F:$F, ROW()-1), $F675)) : INDEX(AB:AB, ROW()-1)),
COUNTIFS(unit_details[Active Listing?],TRUE,
          unit_details[Property Name], $F676,
          unit_details[Beds], $L676,
          unit_details[Baths], $M676,
          unit_details[Partial Baths],IF(ISNUMBER($N676),$N676,""),
          unit_details[Sqft],$P676))</f>
        <v>0</v>
      </c>
      <c r="AC676" s="27" t="str">
        <f t="shared" si="113"/>
        <v/>
      </c>
      <c r="AD676" s="293" t="str">
        <f>IFERROR(IF(AE676="","",IF($F676="Total",
SUMPRODUCT(
   INDEX(AD:AD, ROW()-COUNTIF($F$6:INDEX($F:$F, ROW()-1), $F675)) : INDEX(AD:AD, ROW()-1),
   INDEX(AB:AB, ROW()-COUNTIF($F$6:INDEX($F:$F, ROW()-1), $F675)) : INDEX(AB:AB, ROW()-1)
   )
   /SUM(INDEX(AB:AB, ROW()-COUNTIF($F$6:INDEX($F:$F, ROW()-1), $F675)) : INDEX(AB:AB, ROW()-1)),
          _xlfn.MINIFS(unit_details[Asking Rent],
          unit_details[Active Listing?],TRUE,
          unit_details[Property Name], $F676,
          unit_details[Beds], $L676,
          unit_details[Baths], $M676,
          unit_details[Partial Baths], IF(ISNUMBER($N676),$N676,""),
          unit_details[Sqft],$P676
))),"")</f>
        <v/>
      </c>
      <c r="AE676" s="5" t="str">
        <f>IFERROR(IF($F676="Total",
          SUMPRODUCT(
   INDEX(AE:AE, ROW()-COUNTIF($F$6:INDEX($F:$F, ROW()-1), $F675)) : INDEX(AE:AE, ROW()-1),
   INDEX(AB:AB, ROW()-COUNTIF($F$6:INDEX($F:$F, ROW()-1), $F675)) : INDEX(AB:AB, ROW()-1)
   )
   /SUM(INDEX(AB:AB, ROW()-COUNTIF($F$6:INDEX($F:$F, ROW()-1), $F675)) : INDEX(AB:AB, ROW()-1)),
          AVERAGEIFS(unit_details[Asking Rent],
          unit_details[Active Listing?],TRUE,
          unit_details[Property Name], $F676,
          unit_details[Beds], $L676,
          unit_details[Baths], $M676,
          unit_details[Partial Baths], IF(ISNUMBER($N676),$N676,""),
          unit_details[Sqft],$P676
)),"")</f>
        <v/>
      </c>
      <c r="AF676" s="5" t="str">
        <f>IFERROR(IF(AE676="","",IF($F676="Total",
SUMPRODUCT(
   INDEX(AF:AF, ROW()-COUNTIF($F$6:INDEX($F:$F, ROW()-1), $F675)) : INDEX(AF:AF, ROW()-1),
   INDEX(AB:AB, ROW()-COUNTIF($F$6:INDEX($F:$F, ROW()-1), $F675)) : INDEX(AB:AB, ROW()-1)
   )
   /SUM(INDEX(AB:AB, ROW()-COUNTIF($F$6:INDEX($F:$F, ROW()-1), $F675)) : INDEX(AB:AB, ROW()-1)),
           _xlfn.MAXIFS(unit_details[Asking Rent],
          unit_details[Active Listing?],TRUE,
          unit_details[Property Name], $F676,
          unit_details[Beds], $L676,
          unit_details[Baths], $M676,
          unit_details[Partial Baths], IF(ISNUMBER($N676),$N676,""),
          unit_details[Sqft],$P676
))),"")</f>
        <v/>
      </c>
      <c r="AG676" s="6" t="str">
        <f>IFERROR(IF($F676="Total",
         SUMPRODUCT(
         INDEX(AG:AG, ROW()-COUNTIF($F$6:INDEX($F:$F, ROW()-1), $F675)) : INDEX(AG:AG, ROW()-1),
         INDEX(AB:AB, ROW()-COUNTIF($F$6:INDEX($F:$F, ROW()-1), $F675)) : INDEX(AB:AB, ROW()-1)
         )
         /SUM(INDEX(AB:AB, ROW()-COUNTIF($F$6:INDEX($F:$F, ROW()-1), $F675)) : INDEX(AB:AB, ROW()-1)),
          AVERAGEIFS(unit_details[Asking PSF],
          unit_details[Active Listing?],TRUE,
          unit_details[Property Name], $F676,
          unit_details[Beds], $L676,
          unit_details[Baths], $M676,
          unit_details[Partial Baths], IF(ISNUMBER($N676),$N676,""),
          unit_details[Sqft],$P676
)),"")</f>
        <v/>
      </c>
      <c r="AH676" s="293" t="str">
        <f>IFERROR(IF($F676="Total",
         SUMPRODUCT(
         INDEX(AH:AH, ROW()-COUNTIF($F$6:INDEX($F:$F, ROW()-1), $F675)) : INDEX(AH:AH, ROW()-1),
         INDEX(AB:AB, ROW()-COUNTIF($F$6:INDEX($F:$F, ROW()-1), $F675)) : INDEX(AB:AB, ROW()-1)
         )
         /SUM(INDEX(AB:AB, ROW()-COUNTIF($F$6:INDEX($F:$F, ROW()-1), $F675)) : INDEX(AB:AB, ROW()-1)),
          AVERAGEIFS(unit_details[Effective Rent],
          unit_details[Active Listing?],TRUE,
          unit_details[Property Name], $F676,
          unit_details[Beds], $L676,
          unit_details[Baths], $M676,
          unit_details[Partial Baths], IF(ISNUMBER($N676),$N676,""),
          unit_details[Sqft],$P676
)),"")</f>
        <v/>
      </c>
      <c r="AI676" s="6" t="str">
        <f>IFERROR(IF($F676="Total",
         SUMPRODUCT(
         INDEX(AI:AI, ROW()-COUNTIF($F$6:INDEX($F:$F, ROW()-1), $F675)) : INDEX(AI:AI, ROW()-1),
         INDEX(AB:AB, ROW()-COUNTIF($F$6:INDEX($F:$F, ROW()-1), $F675)) : INDEX(AB:AB, ROW()-1)
         )
         /SUM(INDEX(AB:AB, ROW()-COUNTIF($F$6:INDEX($F:$F, ROW()-1), $F675)) : INDEX(AB:AB, ROW()-1)),
           AVERAGEIFS(unit_details[Effective PSF],
          unit_details[Active Listing?],TRUE,
          unit_details[Property Name], $F676,
          unit_details[Beds], $L676,
          unit_details[Baths], $M676,
          unit_details[Partial Baths], IF(ISNUMBER($N676),$N676,""),
          unit_details[Sqft],$P676
)),"")</f>
        <v/>
      </c>
      <c r="AJ676" s="824" t="str">
        <f t="shared" si="114"/>
        <v/>
      </c>
      <c r="AK676" s="531" t="str">
        <f t="shared" si="115"/>
        <v/>
      </c>
      <c r="AL676" s="714" t="str">
        <f t="shared" si="116"/>
        <v/>
      </c>
      <c r="AM676" s="531" t="str">
        <f t="shared" si="117"/>
        <v/>
      </c>
      <c r="AN676" s="716" t="str">
        <f t="shared" si="118"/>
        <v/>
      </c>
    </row>
    <row r="677" spans="6:40" x14ac:dyDescent="0.2">
      <c r="F677" s="1" t="str">
        <f t="shared" si="111"/>
        <v/>
      </c>
      <c r="G677" s="713" t="str">
        <f t="shared" si="119"/>
        <v/>
      </c>
      <c r="H677" s="17" t="str">
        <f>IFERROR(VLOOKUP($G677,Table1[[Property]:[Exposure %]],4,0),"")</f>
        <v/>
      </c>
      <c r="I677" s="3" t="str">
        <f>IFERROR(VLOOKUP($G677,Table1[[Property]:[Exposure %]],6,0),"")</f>
        <v/>
      </c>
      <c r="J677" s="3" t="str">
        <f>IFERROR(VLOOKUP($G677,Table1[[Property]:[Exposure %]],7,0),"")</f>
        <v/>
      </c>
      <c r="R677" s="4" t="str">
        <f>IFERROR(VLOOKUP(IF(F677="Total",F676,F677),Table1[[Property]:['# Units]],7,0)*S677,"")</f>
        <v/>
      </c>
      <c r="S677" s="27" t="str">
        <f t="shared" si="112"/>
        <v/>
      </c>
      <c r="T677" s="531" t="str">
        <f>IFERROR(
 IF($F677="Total",
   SUMPRODUCT(
   INDEX(T:T, ROW()-COUNTIF($F$6:INDEX($F:$F, ROW()-1), $F676)) : INDEX(T:T, ROW()-1),
   INDEX(W:W, ROW()-COUNTIF($F$6:INDEX($F:$F, ROW()-1), $F676)) : INDEX(W:W, ROW()-1)
   )
   /SUM(INDEX(W:W, ROW()-COUNTIF($F$6:INDEX($F:$F, ROW()-1), $F676)) : INDEX(W:W, ROW()-1)),
   AVERAGEIFS(
     INDEX((unit_details[Asking Rent],unit_details[Asking PSF]),0,1,IF($U$3="Chunk Rent",1,2)),
     unit_details[Leased Date],"&gt;="&amp;($AM$2-T$5),
     unit_details[Leased Date],"&lt;"&amp;$AM$2,
     unit_details[Beds],$L677,
     unit_details[Baths],$M677,
     unit_details[Partial Baths],IF(ISNUMBER($N677),$N677,""),
     unit_details[Sqft],$P677,
     unit_details[Property Name],$F677)
 ),"")</f>
        <v/>
      </c>
      <c r="U677" s="552" t="str">
        <f>IFERROR(
 IF($F677="Total",
   SUMPRODUCT(
   INDEX(U:U, ROW()-COUNTIF($F$6:INDEX($F:$F, ROW()-1), $F676)) : INDEX(U:U, ROW()-1),
   INDEX(W:W, ROW()-COUNTIF($F$6:INDEX($F:$F, ROW()-1), $F676)) : INDEX(W:W, ROW()-1)
   )
   /SUM(INDEX(W:W, ROW()-COUNTIF($F$6:INDEX($F:$F, ROW()-1), $F676)) : INDEX(W:W, ROW()-1)),
   AVERAGEIFS(
     INDEX((unit_details[Effective Rent],unit_details[Effective PSF]),0,1,IF($U$3="Chunk Rent",1,2)),
     unit_details[Leased Date],"&gt;="&amp;($AM$2-T$5),
     unit_details[Leased Date],"&lt;"&amp;$AM$2,
     unit_details[Beds],$L677,
     unit_details[Baths],$M677,
     unit_details[Partial Baths],IF(ISNUMBER($N677),$N677,""),
     unit_details[Sqft],$P677,
     unit_details[Property Name],$F677)
 ),"")</f>
        <v/>
      </c>
      <c r="V677" s="27" t="str">
        <f t="shared" si="120"/>
        <v/>
      </c>
      <c r="W677" s="526">
        <f>IFERROR(
  IF($F677="Total",
    SUM(INDEX(W:W, ROW()-COUNTIF($F$6:INDEX($F:$F, ROW()-1), $F676)) : INDEX(W:W, ROW()-1)),
    COUNTIFS(
      unit_details[Leased Date], "&gt;="&amp;($AM$2-T$5),
      unit_details[Leased Date], "&lt;"&amp;$AM$2,
      unit_details[Beds], $L677,
      unit_details[Baths], $M677,
      unit_details[Partial Baths], IF(ISNUMBER($N677), $N677, ""),
      unit_details[Sqft],$P677,
      unit_details[Property Name], $F677
    )
  ),
"")</f>
        <v>0</v>
      </c>
      <c r="X677" s="531" t="str">
        <f>IFERROR(
 IF($F677="Total",
   SUMPRODUCT(
   INDEX(X:X, ROW()-COUNTIF($F$6:INDEX($F:$F, ROW()-1), $F676)) : INDEX(X:X, ROW()-1),
   INDEX(AA:AA, ROW()-COUNTIF($F$6:INDEX($F:$F, ROW()-1), $F676)) : INDEX(AA:AA, ROW()-1)
   )
   /SUM(INDEX(AA:AA, ROW()-COUNTIF($F$6:INDEX($F:$F, ROW()-1), $F676)) : INDEX(AA:AA, ROW()-1)),
   AVERAGEIFS(
     INDEX((unit_details[Asking Rent],unit_details[Asking PSF]),0,1,IF($U$3="Chunk Rent",1,2)),
     unit_details[Leased Date],"&gt;="&amp;($AM$2-X$5),
     unit_details[Leased Date],"&lt;"&amp;$AM$2,
     unit_details[Beds],$L677,
     unit_details[Baths],$M677,
     unit_details[Partial Baths],IF(ISNUMBER($N677),$N677,""),
     unit_details[Sqft],$P677,
     unit_details[Property Name],$F677)
 ),"")</f>
        <v/>
      </c>
      <c r="Y677" s="552" t="str">
        <f>IFERROR(
 IF($F677="Total",
   SUMPRODUCT(
   INDEX(Y:Y, ROW()-COUNTIF($F$6:INDEX($F:$F, ROW()-1), $F676)) : INDEX(Y:Y, ROW()-1),
   INDEX(AA:AA, ROW()-COUNTIF($F$6:INDEX($F:$F, ROW()-1), $F676)) : INDEX(AA:AA, ROW()-1)
   )
   /SUM(INDEX(AA:AA, ROW()-COUNTIF($F$6:INDEX($F:$F, ROW()-1), $F676)) : INDEX(AA:AA, ROW()-1)),
   AVERAGEIFS(
     INDEX((unit_details[Effective Rent],unit_details[Effective PSF]),0,1,IF($U$3="Chunk Rent",1,2)),
     unit_details[Leased Date],"&gt;="&amp;($AM$2-X$5),
     unit_details[Leased Date],"&lt;"&amp;$AM$2,
     unit_details[Beds],$L677,
     unit_details[Baths],$M677,
     unit_details[Partial Baths],IF(ISNUMBER($N677),$N677,""),
     unit_details[Sqft],$P677,
     unit_details[Property Name],$F677)
 ),"")</f>
        <v/>
      </c>
      <c r="Z677" s="27" t="str">
        <f t="shared" si="121"/>
        <v/>
      </c>
      <c r="AA677" s="526">
        <f>IFERROR(
  IF($F677="Total",
    SUM(INDEX(AA:AA, ROW()-COUNTIF($F$6:INDEX($F:$F, ROW()-1), $F676)) : INDEX(AA:AA, ROW()-1)),
    COUNTIFS(
      unit_details[Leased Date], "&gt;="&amp;($AM$2-X$5),
      unit_details[Leased Date], "&lt;"&amp;$AM$2,
      unit_details[Beds], $L677,
      unit_details[Baths], $M677,
      unit_details[Partial Baths], IF(ISNUMBER($N677), $N677, ""),
      unit_details[Sqft],$P677,
      unit_details[Property Name], $F677
    )
  ),
"")</f>
        <v>0</v>
      </c>
      <c r="AB677" s="290">
        <f>IF($F677="Total",
SUM(INDEX(AB:AB, ROW()-COUNTIF($F$6:INDEX($F:$F, ROW()-1), $F676)) : INDEX(AB:AB, ROW()-1)),
COUNTIFS(unit_details[Active Listing?],TRUE,
          unit_details[Property Name], $F677,
          unit_details[Beds], $L677,
          unit_details[Baths], $M677,
          unit_details[Partial Baths],IF(ISNUMBER($N677),$N677,""),
          unit_details[Sqft],$P677))</f>
        <v>0</v>
      </c>
      <c r="AC677" s="27" t="str">
        <f t="shared" si="113"/>
        <v/>
      </c>
      <c r="AD677" s="293" t="str">
        <f>IFERROR(IF(AE677="","",IF($F677="Total",
SUMPRODUCT(
   INDEX(AD:AD, ROW()-COUNTIF($F$6:INDEX($F:$F, ROW()-1), $F676)) : INDEX(AD:AD, ROW()-1),
   INDEX(AB:AB, ROW()-COUNTIF($F$6:INDEX($F:$F, ROW()-1), $F676)) : INDEX(AB:AB, ROW()-1)
   )
   /SUM(INDEX(AB:AB, ROW()-COUNTIF($F$6:INDEX($F:$F, ROW()-1), $F676)) : INDEX(AB:AB, ROW()-1)),
          _xlfn.MINIFS(unit_details[Asking Rent],
          unit_details[Active Listing?],TRUE,
          unit_details[Property Name], $F677,
          unit_details[Beds], $L677,
          unit_details[Baths], $M677,
          unit_details[Partial Baths], IF(ISNUMBER($N677),$N677,""),
          unit_details[Sqft],$P677
))),"")</f>
        <v/>
      </c>
      <c r="AE677" s="5" t="str">
        <f>IFERROR(IF($F677="Total",
          SUMPRODUCT(
   INDEX(AE:AE, ROW()-COUNTIF($F$6:INDEX($F:$F, ROW()-1), $F676)) : INDEX(AE:AE, ROW()-1),
   INDEX(AB:AB, ROW()-COUNTIF($F$6:INDEX($F:$F, ROW()-1), $F676)) : INDEX(AB:AB, ROW()-1)
   )
   /SUM(INDEX(AB:AB, ROW()-COUNTIF($F$6:INDEX($F:$F, ROW()-1), $F676)) : INDEX(AB:AB, ROW()-1)),
          AVERAGEIFS(unit_details[Asking Rent],
          unit_details[Active Listing?],TRUE,
          unit_details[Property Name], $F677,
          unit_details[Beds], $L677,
          unit_details[Baths], $M677,
          unit_details[Partial Baths], IF(ISNUMBER($N677),$N677,""),
          unit_details[Sqft],$P677
)),"")</f>
        <v/>
      </c>
      <c r="AF677" s="5" t="str">
        <f>IFERROR(IF(AE677="","",IF($F677="Total",
SUMPRODUCT(
   INDEX(AF:AF, ROW()-COUNTIF($F$6:INDEX($F:$F, ROW()-1), $F676)) : INDEX(AF:AF, ROW()-1),
   INDEX(AB:AB, ROW()-COUNTIF($F$6:INDEX($F:$F, ROW()-1), $F676)) : INDEX(AB:AB, ROW()-1)
   )
   /SUM(INDEX(AB:AB, ROW()-COUNTIF($F$6:INDEX($F:$F, ROW()-1), $F676)) : INDEX(AB:AB, ROW()-1)),
           _xlfn.MAXIFS(unit_details[Asking Rent],
          unit_details[Active Listing?],TRUE,
          unit_details[Property Name], $F677,
          unit_details[Beds], $L677,
          unit_details[Baths], $M677,
          unit_details[Partial Baths], IF(ISNUMBER($N677),$N677,""),
          unit_details[Sqft],$P677
))),"")</f>
        <v/>
      </c>
      <c r="AG677" s="6" t="str">
        <f>IFERROR(IF($F677="Total",
         SUMPRODUCT(
         INDEX(AG:AG, ROW()-COUNTIF($F$6:INDEX($F:$F, ROW()-1), $F676)) : INDEX(AG:AG, ROW()-1),
         INDEX(AB:AB, ROW()-COUNTIF($F$6:INDEX($F:$F, ROW()-1), $F676)) : INDEX(AB:AB, ROW()-1)
         )
         /SUM(INDEX(AB:AB, ROW()-COUNTIF($F$6:INDEX($F:$F, ROW()-1), $F676)) : INDEX(AB:AB, ROW()-1)),
          AVERAGEIFS(unit_details[Asking PSF],
          unit_details[Active Listing?],TRUE,
          unit_details[Property Name], $F677,
          unit_details[Beds], $L677,
          unit_details[Baths], $M677,
          unit_details[Partial Baths], IF(ISNUMBER($N677),$N677,""),
          unit_details[Sqft],$P677
)),"")</f>
        <v/>
      </c>
      <c r="AH677" s="293" t="str">
        <f>IFERROR(IF($F677="Total",
         SUMPRODUCT(
         INDEX(AH:AH, ROW()-COUNTIF($F$6:INDEX($F:$F, ROW()-1), $F676)) : INDEX(AH:AH, ROW()-1),
         INDEX(AB:AB, ROW()-COUNTIF($F$6:INDEX($F:$F, ROW()-1), $F676)) : INDEX(AB:AB, ROW()-1)
         )
         /SUM(INDEX(AB:AB, ROW()-COUNTIF($F$6:INDEX($F:$F, ROW()-1), $F676)) : INDEX(AB:AB, ROW()-1)),
          AVERAGEIFS(unit_details[Effective Rent],
          unit_details[Active Listing?],TRUE,
          unit_details[Property Name], $F677,
          unit_details[Beds], $L677,
          unit_details[Baths], $M677,
          unit_details[Partial Baths], IF(ISNUMBER($N677),$N677,""),
          unit_details[Sqft],$P677
)),"")</f>
        <v/>
      </c>
      <c r="AI677" s="6" t="str">
        <f>IFERROR(IF($F677="Total",
         SUMPRODUCT(
         INDEX(AI:AI, ROW()-COUNTIF($F$6:INDEX($F:$F, ROW()-1), $F676)) : INDEX(AI:AI, ROW()-1),
         INDEX(AB:AB, ROW()-COUNTIF($F$6:INDEX($F:$F, ROW()-1), $F676)) : INDEX(AB:AB, ROW()-1)
         )
         /SUM(INDEX(AB:AB, ROW()-COUNTIF($F$6:INDEX($F:$F, ROW()-1), $F676)) : INDEX(AB:AB, ROW()-1)),
           AVERAGEIFS(unit_details[Effective PSF],
          unit_details[Active Listing?],TRUE,
          unit_details[Property Name], $F677,
          unit_details[Beds], $L677,
          unit_details[Baths], $M677,
          unit_details[Partial Baths], IF(ISNUMBER($N677),$N677,""),
          unit_details[Sqft],$P677
)),"")</f>
        <v/>
      </c>
      <c r="AJ677" s="824" t="str">
        <f t="shared" si="114"/>
        <v/>
      </c>
      <c r="AK677" s="531" t="str">
        <f t="shared" si="115"/>
        <v/>
      </c>
      <c r="AL677" s="714" t="str">
        <f t="shared" si="116"/>
        <v/>
      </c>
      <c r="AM677" s="531" t="str">
        <f t="shared" si="117"/>
        <v/>
      </c>
      <c r="AN677" s="716" t="str">
        <f t="shared" si="118"/>
        <v/>
      </c>
    </row>
    <row r="678" spans="6:40" x14ac:dyDescent="0.2">
      <c r="F678" s="1" t="str">
        <f t="shared" si="111"/>
        <v/>
      </c>
      <c r="G678" s="713" t="str">
        <f t="shared" si="119"/>
        <v/>
      </c>
      <c r="H678" s="17" t="str">
        <f>IFERROR(VLOOKUP($G678,Table1[[Property]:[Exposure %]],4,0),"")</f>
        <v/>
      </c>
      <c r="I678" s="3" t="str">
        <f>IFERROR(VLOOKUP($G678,Table1[[Property]:[Exposure %]],6,0),"")</f>
        <v/>
      </c>
      <c r="J678" s="3" t="str">
        <f>IFERROR(VLOOKUP($G678,Table1[[Property]:[Exposure %]],7,0),"")</f>
        <v/>
      </c>
      <c r="R678" s="4" t="str">
        <f>IFERROR(VLOOKUP(IF(F678="Total",F677,F678),Table1[[Property]:['# Units]],7,0)*S678,"")</f>
        <v/>
      </c>
      <c r="S678" s="27" t="str">
        <f t="shared" si="112"/>
        <v/>
      </c>
      <c r="T678" s="531" t="str">
        <f>IFERROR(
 IF($F678="Total",
   SUMPRODUCT(
   INDEX(T:T, ROW()-COUNTIF($F$6:INDEX($F:$F, ROW()-1), $F677)) : INDEX(T:T, ROW()-1),
   INDEX(W:W, ROW()-COUNTIF($F$6:INDEX($F:$F, ROW()-1), $F677)) : INDEX(W:W, ROW()-1)
   )
   /SUM(INDEX(W:W, ROW()-COUNTIF($F$6:INDEX($F:$F, ROW()-1), $F677)) : INDEX(W:W, ROW()-1)),
   AVERAGEIFS(
     INDEX((unit_details[Asking Rent],unit_details[Asking PSF]),0,1,IF($U$3="Chunk Rent",1,2)),
     unit_details[Leased Date],"&gt;="&amp;($AM$2-T$5),
     unit_details[Leased Date],"&lt;"&amp;$AM$2,
     unit_details[Beds],$L678,
     unit_details[Baths],$M678,
     unit_details[Partial Baths],IF(ISNUMBER($N678),$N678,""),
     unit_details[Sqft],$P678,
     unit_details[Property Name],$F678)
 ),"")</f>
        <v/>
      </c>
      <c r="U678" s="552" t="str">
        <f>IFERROR(
 IF($F678="Total",
   SUMPRODUCT(
   INDEX(U:U, ROW()-COUNTIF($F$6:INDEX($F:$F, ROW()-1), $F677)) : INDEX(U:U, ROW()-1),
   INDEX(W:W, ROW()-COUNTIF($F$6:INDEX($F:$F, ROW()-1), $F677)) : INDEX(W:W, ROW()-1)
   )
   /SUM(INDEX(W:W, ROW()-COUNTIF($F$6:INDEX($F:$F, ROW()-1), $F677)) : INDEX(W:W, ROW()-1)),
   AVERAGEIFS(
     INDEX((unit_details[Effective Rent],unit_details[Effective PSF]),0,1,IF($U$3="Chunk Rent",1,2)),
     unit_details[Leased Date],"&gt;="&amp;($AM$2-T$5),
     unit_details[Leased Date],"&lt;"&amp;$AM$2,
     unit_details[Beds],$L678,
     unit_details[Baths],$M678,
     unit_details[Partial Baths],IF(ISNUMBER($N678),$N678,""),
     unit_details[Sqft],$P678,
     unit_details[Property Name],$F678)
 ),"")</f>
        <v/>
      </c>
      <c r="V678" s="27" t="str">
        <f t="shared" si="120"/>
        <v/>
      </c>
      <c r="W678" s="526">
        <f>IFERROR(
  IF($F678="Total",
    SUM(INDEX(W:W, ROW()-COUNTIF($F$6:INDEX($F:$F, ROW()-1), $F677)) : INDEX(W:W, ROW()-1)),
    COUNTIFS(
      unit_details[Leased Date], "&gt;="&amp;($AM$2-T$5),
      unit_details[Leased Date], "&lt;"&amp;$AM$2,
      unit_details[Beds], $L678,
      unit_details[Baths], $M678,
      unit_details[Partial Baths], IF(ISNUMBER($N678), $N678, ""),
      unit_details[Sqft],$P678,
      unit_details[Property Name], $F678
    )
  ),
"")</f>
        <v>0</v>
      </c>
      <c r="X678" s="531" t="str">
        <f>IFERROR(
 IF($F678="Total",
   SUMPRODUCT(
   INDEX(X:X, ROW()-COUNTIF($F$6:INDEX($F:$F, ROW()-1), $F677)) : INDEX(X:X, ROW()-1),
   INDEX(AA:AA, ROW()-COUNTIF($F$6:INDEX($F:$F, ROW()-1), $F677)) : INDEX(AA:AA, ROW()-1)
   )
   /SUM(INDEX(AA:AA, ROW()-COUNTIF($F$6:INDEX($F:$F, ROW()-1), $F677)) : INDEX(AA:AA, ROW()-1)),
   AVERAGEIFS(
     INDEX((unit_details[Asking Rent],unit_details[Asking PSF]),0,1,IF($U$3="Chunk Rent",1,2)),
     unit_details[Leased Date],"&gt;="&amp;($AM$2-X$5),
     unit_details[Leased Date],"&lt;"&amp;$AM$2,
     unit_details[Beds],$L678,
     unit_details[Baths],$M678,
     unit_details[Partial Baths],IF(ISNUMBER($N678),$N678,""),
     unit_details[Sqft],$P678,
     unit_details[Property Name],$F678)
 ),"")</f>
        <v/>
      </c>
      <c r="Y678" s="552" t="str">
        <f>IFERROR(
 IF($F678="Total",
   SUMPRODUCT(
   INDEX(Y:Y, ROW()-COUNTIF($F$6:INDEX($F:$F, ROW()-1), $F677)) : INDEX(Y:Y, ROW()-1),
   INDEX(AA:AA, ROW()-COUNTIF($F$6:INDEX($F:$F, ROW()-1), $F677)) : INDEX(AA:AA, ROW()-1)
   )
   /SUM(INDEX(AA:AA, ROW()-COUNTIF($F$6:INDEX($F:$F, ROW()-1), $F677)) : INDEX(AA:AA, ROW()-1)),
   AVERAGEIFS(
     INDEX((unit_details[Effective Rent],unit_details[Effective PSF]),0,1,IF($U$3="Chunk Rent",1,2)),
     unit_details[Leased Date],"&gt;="&amp;($AM$2-X$5),
     unit_details[Leased Date],"&lt;"&amp;$AM$2,
     unit_details[Beds],$L678,
     unit_details[Baths],$M678,
     unit_details[Partial Baths],IF(ISNUMBER($N678),$N678,""),
     unit_details[Sqft],$P678,
     unit_details[Property Name],$F678)
 ),"")</f>
        <v/>
      </c>
      <c r="Z678" s="27" t="str">
        <f t="shared" si="121"/>
        <v/>
      </c>
      <c r="AA678" s="526">
        <f>IFERROR(
  IF($F678="Total",
    SUM(INDEX(AA:AA, ROW()-COUNTIF($F$6:INDEX($F:$F, ROW()-1), $F677)) : INDEX(AA:AA, ROW()-1)),
    COUNTIFS(
      unit_details[Leased Date], "&gt;="&amp;($AM$2-X$5),
      unit_details[Leased Date], "&lt;"&amp;$AM$2,
      unit_details[Beds], $L678,
      unit_details[Baths], $M678,
      unit_details[Partial Baths], IF(ISNUMBER($N678), $N678, ""),
      unit_details[Sqft],$P678,
      unit_details[Property Name], $F678
    )
  ),
"")</f>
        <v>0</v>
      </c>
      <c r="AB678" s="290">
        <f>IF($F678="Total",
SUM(INDEX(AB:AB, ROW()-COUNTIF($F$6:INDEX($F:$F, ROW()-1), $F677)) : INDEX(AB:AB, ROW()-1)),
COUNTIFS(unit_details[Active Listing?],TRUE,
          unit_details[Property Name], $F678,
          unit_details[Beds], $L678,
          unit_details[Baths], $M678,
          unit_details[Partial Baths],IF(ISNUMBER($N678),$N678,""),
          unit_details[Sqft],$P678))</f>
        <v>0</v>
      </c>
      <c r="AC678" s="27" t="str">
        <f t="shared" si="113"/>
        <v/>
      </c>
      <c r="AD678" s="293" t="str">
        <f>IFERROR(IF(AE678="","",IF($F678="Total",
SUMPRODUCT(
   INDEX(AD:AD, ROW()-COUNTIF($F$6:INDEX($F:$F, ROW()-1), $F677)) : INDEX(AD:AD, ROW()-1),
   INDEX(AB:AB, ROW()-COUNTIF($F$6:INDEX($F:$F, ROW()-1), $F677)) : INDEX(AB:AB, ROW()-1)
   )
   /SUM(INDEX(AB:AB, ROW()-COUNTIF($F$6:INDEX($F:$F, ROW()-1), $F677)) : INDEX(AB:AB, ROW()-1)),
          _xlfn.MINIFS(unit_details[Asking Rent],
          unit_details[Active Listing?],TRUE,
          unit_details[Property Name], $F678,
          unit_details[Beds], $L678,
          unit_details[Baths], $M678,
          unit_details[Partial Baths], IF(ISNUMBER($N678),$N678,""),
          unit_details[Sqft],$P678
))),"")</f>
        <v/>
      </c>
      <c r="AE678" s="5" t="str">
        <f>IFERROR(IF($F678="Total",
          SUMPRODUCT(
   INDEX(AE:AE, ROW()-COUNTIF($F$6:INDEX($F:$F, ROW()-1), $F677)) : INDEX(AE:AE, ROW()-1),
   INDEX(AB:AB, ROW()-COUNTIF($F$6:INDEX($F:$F, ROW()-1), $F677)) : INDEX(AB:AB, ROW()-1)
   )
   /SUM(INDEX(AB:AB, ROW()-COUNTIF($F$6:INDEX($F:$F, ROW()-1), $F677)) : INDEX(AB:AB, ROW()-1)),
          AVERAGEIFS(unit_details[Asking Rent],
          unit_details[Active Listing?],TRUE,
          unit_details[Property Name], $F678,
          unit_details[Beds], $L678,
          unit_details[Baths], $M678,
          unit_details[Partial Baths], IF(ISNUMBER($N678),$N678,""),
          unit_details[Sqft],$P678
)),"")</f>
        <v/>
      </c>
      <c r="AF678" s="5" t="str">
        <f>IFERROR(IF(AE678="","",IF($F678="Total",
SUMPRODUCT(
   INDEX(AF:AF, ROW()-COUNTIF($F$6:INDEX($F:$F, ROW()-1), $F677)) : INDEX(AF:AF, ROW()-1),
   INDEX(AB:AB, ROW()-COUNTIF($F$6:INDEX($F:$F, ROW()-1), $F677)) : INDEX(AB:AB, ROW()-1)
   )
   /SUM(INDEX(AB:AB, ROW()-COUNTIF($F$6:INDEX($F:$F, ROW()-1), $F677)) : INDEX(AB:AB, ROW()-1)),
           _xlfn.MAXIFS(unit_details[Asking Rent],
          unit_details[Active Listing?],TRUE,
          unit_details[Property Name], $F678,
          unit_details[Beds], $L678,
          unit_details[Baths], $M678,
          unit_details[Partial Baths], IF(ISNUMBER($N678),$N678,""),
          unit_details[Sqft],$P678
))),"")</f>
        <v/>
      </c>
      <c r="AG678" s="6" t="str">
        <f>IFERROR(IF($F678="Total",
         SUMPRODUCT(
         INDEX(AG:AG, ROW()-COUNTIF($F$6:INDEX($F:$F, ROW()-1), $F677)) : INDEX(AG:AG, ROW()-1),
         INDEX(AB:AB, ROW()-COUNTIF($F$6:INDEX($F:$F, ROW()-1), $F677)) : INDEX(AB:AB, ROW()-1)
         )
         /SUM(INDEX(AB:AB, ROW()-COUNTIF($F$6:INDEX($F:$F, ROW()-1), $F677)) : INDEX(AB:AB, ROW()-1)),
          AVERAGEIFS(unit_details[Asking PSF],
          unit_details[Active Listing?],TRUE,
          unit_details[Property Name], $F678,
          unit_details[Beds], $L678,
          unit_details[Baths], $M678,
          unit_details[Partial Baths], IF(ISNUMBER($N678),$N678,""),
          unit_details[Sqft],$P678
)),"")</f>
        <v/>
      </c>
      <c r="AH678" s="293" t="str">
        <f>IFERROR(IF($F678="Total",
         SUMPRODUCT(
         INDEX(AH:AH, ROW()-COUNTIF($F$6:INDEX($F:$F, ROW()-1), $F677)) : INDEX(AH:AH, ROW()-1),
         INDEX(AB:AB, ROW()-COUNTIF($F$6:INDEX($F:$F, ROW()-1), $F677)) : INDEX(AB:AB, ROW()-1)
         )
         /SUM(INDEX(AB:AB, ROW()-COUNTIF($F$6:INDEX($F:$F, ROW()-1), $F677)) : INDEX(AB:AB, ROW()-1)),
          AVERAGEIFS(unit_details[Effective Rent],
          unit_details[Active Listing?],TRUE,
          unit_details[Property Name], $F678,
          unit_details[Beds], $L678,
          unit_details[Baths], $M678,
          unit_details[Partial Baths], IF(ISNUMBER($N678),$N678,""),
          unit_details[Sqft],$P678
)),"")</f>
        <v/>
      </c>
      <c r="AI678" s="6" t="str">
        <f>IFERROR(IF($F678="Total",
         SUMPRODUCT(
         INDEX(AI:AI, ROW()-COUNTIF($F$6:INDEX($F:$F, ROW()-1), $F677)) : INDEX(AI:AI, ROW()-1),
         INDEX(AB:AB, ROW()-COUNTIF($F$6:INDEX($F:$F, ROW()-1), $F677)) : INDEX(AB:AB, ROW()-1)
         )
         /SUM(INDEX(AB:AB, ROW()-COUNTIF($F$6:INDEX($F:$F, ROW()-1), $F677)) : INDEX(AB:AB, ROW()-1)),
           AVERAGEIFS(unit_details[Effective PSF],
          unit_details[Active Listing?],TRUE,
          unit_details[Property Name], $F678,
          unit_details[Beds], $L678,
          unit_details[Baths], $M678,
          unit_details[Partial Baths], IF(ISNUMBER($N678),$N678,""),
          unit_details[Sqft],$P678
)),"")</f>
        <v/>
      </c>
      <c r="AJ678" s="824" t="str">
        <f t="shared" si="114"/>
        <v/>
      </c>
      <c r="AK678" s="531" t="str">
        <f t="shared" si="115"/>
        <v/>
      </c>
      <c r="AL678" s="714" t="str">
        <f t="shared" si="116"/>
        <v/>
      </c>
      <c r="AM678" s="531" t="str">
        <f t="shared" si="117"/>
        <v/>
      </c>
      <c r="AN678" s="716" t="str">
        <f t="shared" si="118"/>
        <v/>
      </c>
    </row>
    <row r="679" spans="6:40" x14ac:dyDescent="0.2">
      <c r="F679" s="1" t="str">
        <f t="shared" si="111"/>
        <v/>
      </c>
      <c r="G679" s="713" t="str">
        <f t="shared" si="119"/>
        <v/>
      </c>
      <c r="H679" s="17" t="str">
        <f>IFERROR(VLOOKUP($G679,Table1[[Property]:[Exposure %]],4,0),"")</f>
        <v/>
      </c>
      <c r="I679" s="3" t="str">
        <f>IFERROR(VLOOKUP($G679,Table1[[Property]:[Exposure %]],6,0),"")</f>
        <v/>
      </c>
      <c r="J679" s="3" t="str">
        <f>IFERROR(VLOOKUP($G679,Table1[[Property]:[Exposure %]],7,0),"")</f>
        <v/>
      </c>
      <c r="R679" s="4" t="str">
        <f>IFERROR(VLOOKUP(IF(F679="Total",F678,F679),Table1[[Property]:['# Units]],7,0)*S679,"")</f>
        <v/>
      </c>
      <c r="S679" s="27" t="str">
        <f t="shared" si="112"/>
        <v/>
      </c>
      <c r="T679" s="531" t="str">
        <f>IFERROR(
 IF($F679="Total",
   SUMPRODUCT(
   INDEX(T:T, ROW()-COUNTIF($F$6:INDEX($F:$F, ROW()-1), $F678)) : INDEX(T:T, ROW()-1),
   INDEX(W:W, ROW()-COUNTIF($F$6:INDEX($F:$F, ROW()-1), $F678)) : INDEX(W:W, ROW()-1)
   )
   /SUM(INDEX(W:W, ROW()-COUNTIF($F$6:INDEX($F:$F, ROW()-1), $F678)) : INDEX(W:W, ROW()-1)),
   AVERAGEIFS(
     INDEX((unit_details[Asking Rent],unit_details[Asking PSF]),0,1,IF($U$3="Chunk Rent",1,2)),
     unit_details[Leased Date],"&gt;="&amp;($AM$2-T$5),
     unit_details[Leased Date],"&lt;"&amp;$AM$2,
     unit_details[Beds],$L679,
     unit_details[Baths],$M679,
     unit_details[Partial Baths],IF(ISNUMBER($N679),$N679,""),
     unit_details[Sqft],$P679,
     unit_details[Property Name],$F679)
 ),"")</f>
        <v/>
      </c>
      <c r="U679" s="552" t="str">
        <f>IFERROR(
 IF($F679="Total",
   SUMPRODUCT(
   INDEX(U:U, ROW()-COUNTIF($F$6:INDEX($F:$F, ROW()-1), $F678)) : INDEX(U:U, ROW()-1),
   INDEX(W:W, ROW()-COUNTIF($F$6:INDEX($F:$F, ROW()-1), $F678)) : INDEX(W:W, ROW()-1)
   )
   /SUM(INDEX(W:W, ROW()-COUNTIF($F$6:INDEX($F:$F, ROW()-1), $F678)) : INDEX(W:W, ROW()-1)),
   AVERAGEIFS(
     INDEX((unit_details[Effective Rent],unit_details[Effective PSF]),0,1,IF($U$3="Chunk Rent",1,2)),
     unit_details[Leased Date],"&gt;="&amp;($AM$2-T$5),
     unit_details[Leased Date],"&lt;"&amp;$AM$2,
     unit_details[Beds],$L679,
     unit_details[Baths],$M679,
     unit_details[Partial Baths],IF(ISNUMBER($N679),$N679,""),
     unit_details[Sqft],$P679,
     unit_details[Property Name],$F679)
 ),"")</f>
        <v/>
      </c>
      <c r="V679" s="27" t="str">
        <f t="shared" si="120"/>
        <v/>
      </c>
      <c r="W679" s="526">
        <f>IFERROR(
  IF($F679="Total",
    SUM(INDEX(W:W, ROW()-COUNTIF($F$6:INDEX($F:$F, ROW()-1), $F678)) : INDEX(W:W, ROW()-1)),
    COUNTIFS(
      unit_details[Leased Date], "&gt;="&amp;($AM$2-T$5),
      unit_details[Leased Date], "&lt;"&amp;$AM$2,
      unit_details[Beds], $L679,
      unit_details[Baths], $M679,
      unit_details[Partial Baths], IF(ISNUMBER($N679), $N679, ""),
      unit_details[Sqft],$P679,
      unit_details[Property Name], $F679
    )
  ),
"")</f>
        <v>0</v>
      </c>
      <c r="X679" s="531" t="str">
        <f>IFERROR(
 IF($F679="Total",
   SUMPRODUCT(
   INDEX(X:X, ROW()-COUNTIF($F$6:INDEX($F:$F, ROW()-1), $F678)) : INDEX(X:X, ROW()-1),
   INDEX(AA:AA, ROW()-COUNTIF($F$6:INDEX($F:$F, ROW()-1), $F678)) : INDEX(AA:AA, ROW()-1)
   )
   /SUM(INDEX(AA:AA, ROW()-COUNTIF($F$6:INDEX($F:$F, ROW()-1), $F678)) : INDEX(AA:AA, ROW()-1)),
   AVERAGEIFS(
     INDEX((unit_details[Asking Rent],unit_details[Asking PSF]),0,1,IF($U$3="Chunk Rent",1,2)),
     unit_details[Leased Date],"&gt;="&amp;($AM$2-X$5),
     unit_details[Leased Date],"&lt;"&amp;$AM$2,
     unit_details[Beds],$L679,
     unit_details[Baths],$M679,
     unit_details[Partial Baths],IF(ISNUMBER($N679),$N679,""),
     unit_details[Sqft],$P679,
     unit_details[Property Name],$F679)
 ),"")</f>
        <v/>
      </c>
      <c r="Y679" s="552" t="str">
        <f>IFERROR(
 IF($F679="Total",
   SUMPRODUCT(
   INDEX(Y:Y, ROW()-COUNTIF($F$6:INDEX($F:$F, ROW()-1), $F678)) : INDEX(Y:Y, ROW()-1),
   INDEX(AA:AA, ROW()-COUNTIF($F$6:INDEX($F:$F, ROW()-1), $F678)) : INDEX(AA:AA, ROW()-1)
   )
   /SUM(INDEX(AA:AA, ROW()-COUNTIF($F$6:INDEX($F:$F, ROW()-1), $F678)) : INDEX(AA:AA, ROW()-1)),
   AVERAGEIFS(
     INDEX((unit_details[Effective Rent],unit_details[Effective PSF]),0,1,IF($U$3="Chunk Rent",1,2)),
     unit_details[Leased Date],"&gt;="&amp;($AM$2-X$5),
     unit_details[Leased Date],"&lt;"&amp;$AM$2,
     unit_details[Beds],$L679,
     unit_details[Baths],$M679,
     unit_details[Partial Baths],IF(ISNUMBER($N679),$N679,""),
     unit_details[Sqft],$P679,
     unit_details[Property Name],$F679)
 ),"")</f>
        <v/>
      </c>
      <c r="Z679" s="27" t="str">
        <f t="shared" si="121"/>
        <v/>
      </c>
      <c r="AA679" s="526">
        <f>IFERROR(
  IF($F679="Total",
    SUM(INDEX(AA:AA, ROW()-COUNTIF($F$6:INDEX($F:$F, ROW()-1), $F678)) : INDEX(AA:AA, ROW()-1)),
    COUNTIFS(
      unit_details[Leased Date], "&gt;="&amp;($AM$2-X$5),
      unit_details[Leased Date], "&lt;"&amp;$AM$2,
      unit_details[Beds], $L679,
      unit_details[Baths], $M679,
      unit_details[Partial Baths], IF(ISNUMBER($N679), $N679, ""),
      unit_details[Sqft],$P679,
      unit_details[Property Name], $F679
    )
  ),
"")</f>
        <v>0</v>
      </c>
      <c r="AB679" s="290">
        <f>IF($F679="Total",
SUM(INDEX(AB:AB, ROW()-COUNTIF($F$6:INDEX($F:$F, ROW()-1), $F678)) : INDEX(AB:AB, ROW()-1)),
COUNTIFS(unit_details[Active Listing?],TRUE,
          unit_details[Property Name], $F679,
          unit_details[Beds], $L679,
          unit_details[Baths], $M679,
          unit_details[Partial Baths],IF(ISNUMBER($N679),$N679,""),
          unit_details[Sqft],$P679))</f>
        <v>0</v>
      </c>
      <c r="AC679" s="27" t="str">
        <f t="shared" si="113"/>
        <v/>
      </c>
      <c r="AD679" s="293" t="str">
        <f>IFERROR(IF(AE679="","",IF($F679="Total",
SUMPRODUCT(
   INDEX(AD:AD, ROW()-COUNTIF($F$6:INDEX($F:$F, ROW()-1), $F678)) : INDEX(AD:AD, ROW()-1),
   INDEX(AB:AB, ROW()-COUNTIF($F$6:INDEX($F:$F, ROW()-1), $F678)) : INDEX(AB:AB, ROW()-1)
   )
   /SUM(INDEX(AB:AB, ROW()-COUNTIF($F$6:INDEX($F:$F, ROW()-1), $F678)) : INDEX(AB:AB, ROW()-1)),
          _xlfn.MINIFS(unit_details[Asking Rent],
          unit_details[Active Listing?],TRUE,
          unit_details[Property Name], $F679,
          unit_details[Beds], $L679,
          unit_details[Baths], $M679,
          unit_details[Partial Baths], IF(ISNUMBER($N679),$N679,""),
          unit_details[Sqft],$P679
))),"")</f>
        <v/>
      </c>
      <c r="AE679" s="5" t="str">
        <f>IFERROR(IF($F679="Total",
          SUMPRODUCT(
   INDEX(AE:AE, ROW()-COUNTIF($F$6:INDEX($F:$F, ROW()-1), $F678)) : INDEX(AE:AE, ROW()-1),
   INDEX(AB:AB, ROW()-COUNTIF($F$6:INDEX($F:$F, ROW()-1), $F678)) : INDEX(AB:AB, ROW()-1)
   )
   /SUM(INDEX(AB:AB, ROW()-COUNTIF($F$6:INDEX($F:$F, ROW()-1), $F678)) : INDEX(AB:AB, ROW()-1)),
          AVERAGEIFS(unit_details[Asking Rent],
          unit_details[Active Listing?],TRUE,
          unit_details[Property Name], $F679,
          unit_details[Beds], $L679,
          unit_details[Baths], $M679,
          unit_details[Partial Baths], IF(ISNUMBER($N679),$N679,""),
          unit_details[Sqft],$P679
)),"")</f>
        <v/>
      </c>
      <c r="AF679" s="5" t="str">
        <f>IFERROR(IF(AE679="","",IF($F679="Total",
SUMPRODUCT(
   INDEX(AF:AF, ROW()-COUNTIF($F$6:INDEX($F:$F, ROW()-1), $F678)) : INDEX(AF:AF, ROW()-1),
   INDEX(AB:AB, ROW()-COUNTIF($F$6:INDEX($F:$F, ROW()-1), $F678)) : INDEX(AB:AB, ROW()-1)
   )
   /SUM(INDEX(AB:AB, ROW()-COUNTIF($F$6:INDEX($F:$F, ROW()-1), $F678)) : INDEX(AB:AB, ROW()-1)),
           _xlfn.MAXIFS(unit_details[Asking Rent],
          unit_details[Active Listing?],TRUE,
          unit_details[Property Name], $F679,
          unit_details[Beds], $L679,
          unit_details[Baths], $M679,
          unit_details[Partial Baths], IF(ISNUMBER($N679),$N679,""),
          unit_details[Sqft],$P679
))),"")</f>
        <v/>
      </c>
      <c r="AG679" s="6" t="str">
        <f>IFERROR(IF($F679="Total",
         SUMPRODUCT(
         INDEX(AG:AG, ROW()-COUNTIF($F$6:INDEX($F:$F, ROW()-1), $F678)) : INDEX(AG:AG, ROW()-1),
         INDEX(AB:AB, ROW()-COUNTIF($F$6:INDEX($F:$F, ROW()-1), $F678)) : INDEX(AB:AB, ROW()-1)
         )
         /SUM(INDEX(AB:AB, ROW()-COUNTIF($F$6:INDEX($F:$F, ROW()-1), $F678)) : INDEX(AB:AB, ROW()-1)),
          AVERAGEIFS(unit_details[Asking PSF],
          unit_details[Active Listing?],TRUE,
          unit_details[Property Name], $F679,
          unit_details[Beds], $L679,
          unit_details[Baths], $M679,
          unit_details[Partial Baths], IF(ISNUMBER($N679),$N679,""),
          unit_details[Sqft],$P679
)),"")</f>
        <v/>
      </c>
      <c r="AH679" s="293" t="str">
        <f>IFERROR(IF($F679="Total",
         SUMPRODUCT(
         INDEX(AH:AH, ROW()-COUNTIF($F$6:INDEX($F:$F, ROW()-1), $F678)) : INDEX(AH:AH, ROW()-1),
         INDEX(AB:AB, ROW()-COUNTIF($F$6:INDEX($F:$F, ROW()-1), $F678)) : INDEX(AB:AB, ROW()-1)
         )
         /SUM(INDEX(AB:AB, ROW()-COUNTIF($F$6:INDEX($F:$F, ROW()-1), $F678)) : INDEX(AB:AB, ROW()-1)),
          AVERAGEIFS(unit_details[Effective Rent],
          unit_details[Active Listing?],TRUE,
          unit_details[Property Name], $F679,
          unit_details[Beds], $L679,
          unit_details[Baths], $M679,
          unit_details[Partial Baths], IF(ISNUMBER($N679),$N679,""),
          unit_details[Sqft],$P679
)),"")</f>
        <v/>
      </c>
      <c r="AI679" s="6" t="str">
        <f>IFERROR(IF($F679="Total",
         SUMPRODUCT(
         INDEX(AI:AI, ROW()-COUNTIF($F$6:INDEX($F:$F, ROW()-1), $F678)) : INDEX(AI:AI, ROW()-1),
         INDEX(AB:AB, ROW()-COUNTIF($F$6:INDEX($F:$F, ROW()-1), $F678)) : INDEX(AB:AB, ROW()-1)
         )
         /SUM(INDEX(AB:AB, ROW()-COUNTIF($F$6:INDEX($F:$F, ROW()-1), $F678)) : INDEX(AB:AB, ROW()-1)),
           AVERAGEIFS(unit_details[Effective PSF],
          unit_details[Active Listing?],TRUE,
          unit_details[Property Name], $F679,
          unit_details[Beds], $L679,
          unit_details[Baths], $M679,
          unit_details[Partial Baths], IF(ISNUMBER($N679),$N679,""),
          unit_details[Sqft],$P679
)),"")</f>
        <v/>
      </c>
      <c r="AJ679" s="824" t="str">
        <f t="shared" si="114"/>
        <v/>
      </c>
      <c r="AK679" s="531" t="str">
        <f t="shared" si="115"/>
        <v/>
      </c>
      <c r="AL679" s="714" t="str">
        <f t="shared" si="116"/>
        <v/>
      </c>
      <c r="AM679" s="531" t="str">
        <f t="shared" si="117"/>
        <v/>
      </c>
      <c r="AN679" s="716" t="str">
        <f t="shared" si="118"/>
        <v/>
      </c>
    </row>
    <row r="680" spans="6:40" x14ac:dyDescent="0.2">
      <c r="F680" s="1" t="str">
        <f t="shared" si="111"/>
        <v/>
      </c>
      <c r="G680" s="713" t="str">
        <f t="shared" si="119"/>
        <v/>
      </c>
      <c r="H680" s="17" t="str">
        <f>IFERROR(VLOOKUP($G680,Table1[[Property]:[Exposure %]],4,0),"")</f>
        <v/>
      </c>
      <c r="I680" s="3" t="str">
        <f>IFERROR(VLOOKUP($G680,Table1[[Property]:[Exposure %]],6,0),"")</f>
        <v/>
      </c>
      <c r="J680" s="3" t="str">
        <f>IFERROR(VLOOKUP($G680,Table1[[Property]:[Exposure %]],7,0),"")</f>
        <v/>
      </c>
      <c r="R680" s="4" t="str">
        <f>IFERROR(VLOOKUP(IF(F680="Total",F679,F680),Table1[[Property]:['# Units]],7,0)*S680,"")</f>
        <v/>
      </c>
      <c r="S680" s="27" t="str">
        <f t="shared" si="112"/>
        <v/>
      </c>
      <c r="T680" s="531" t="str">
        <f>IFERROR(
 IF($F680="Total",
   SUMPRODUCT(
   INDEX(T:T, ROW()-COUNTIF($F$6:INDEX($F:$F, ROW()-1), $F679)) : INDEX(T:T, ROW()-1),
   INDEX(W:W, ROW()-COUNTIF($F$6:INDEX($F:$F, ROW()-1), $F679)) : INDEX(W:W, ROW()-1)
   )
   /SUM(INDEX(W:W, ROW()-COUNTIF($F$6:INDEX($F:$F, ROW()-1), $F679)) : INDEX(W:W, ROW()-1)),
   AVERAGEIFS(
     INDEX((unit_details[Asking Rent],unit_details[Asking PSF]),0,1,IF($U$3="Chunk Rent",1,2)),
     unit_details[Leased Date],"&gt;="&amp;($AM$2-T$5),
     unit_details[Leased Date],"&lt;"&amp;$AM$2,
     unit_details[Beds],$L680,
     unit_details[Baths],$M680,
     unit_details[Partial Baths],IF(ISNUMBER($N680),$N680,""),
     unit_details[Sqft],$P680,
     unit_details[Property Name],$F680)
 ),"")</f>
        <v/>
      </c>
      <c r="U680" s="552" t="str">
        <f>IFERROR(
 IF($F680="Total",
   SUMPRODUCT(
   INDEX(U:U, ROW()-COUNTIF($F$6:INDEX($F:$F, ROW()-1), $F679)) : INDEX(U:U, ROW()-1),
   INDEX(W:W, ROW()-COUNTIF($F$6:INDEX($F:$F, ROW()-1), $F679)) : INDEX(W:W, ROW()-1)
   )
   /SUM(INDEX(W:W, ROW()-COUNTIF($F$6:INDEX($F:$F, ROW()-1), $F679)) : INDEX(W:W, ROW()-1)),
   AVERAGEIFS(
     INDEX((unit_details[Effective Rent],unit_details[Effective PSF]),0,1,IF($U$3="Chunk Rent",1,2)),
     unit_details[Leased Date],"&gt;="&amp;($AM$2-T$5),
     unit_details[Leased Date],"&lt;"&amp;$AM$2,
     unit_details[Beds],$L680,
     unit_details[Baths],$M680,
     unit_details[Partial Baths],IF(ISNUMBER($N680),$N680,""),
     unit_details[Sqft],$P680,
     unit_details[Property Name],$F680)
 ),"")</f>
        <v/>
      </c>
      <c r="V680" s="27" t="str">
        <f t="shared" si="120"/>
        <v/>
      </c>
      <c r="W680" s="526">
        <f>IFERROR(
  IF($F680="Total",
    SUM(INDEX(W:W, ROW()-COUNTIF($F$6:INDEX($F:$F, ROW()-1), $F679)) : INDEX(W:W, ROW()-1)),
    COUNTIFS(
      unit_details[Leased Date], "&gt;="&amp;($AM$2-T$5),
      unit_details[Leased Date], "&lt;"&amp;$AM$2,
      unit_details[Beds], $L680,
      unit_details[Baths], $M680,
      unit_details[Partial Baths], IF(ISNUMBER($N680), $N680, ""),
      unit_details[Sqft],$P680,
      unit_details[Property Name], $F680
    )
  ),
"")</f>
        <v>0</v>
      </c>
      <c r="X680" s="531" t="str">
        <f>IFERROR(
 IF($F680="Total",
   SUMPRODUCT(
   INDEX(X:X, ROW()-COUNTIF($F$6:INDEX($F:$F, ROW()-1), $F679)) : INDEX(X:X, ROW()-1),
   INDEX(AA:AA, ROW()-COUNTIF($F$6:INDEX($F:$F, ROW()-1), $F679)) : INDEX(AA:AA, ROW()-1)
   )
   /SUM(INDEX(AA:AA, ROW()-COUNTIF($F$6:INDEX($F:$F, ROW()-1), $F679)) : INDEX(AA:AA, ROW()-1)),
   AVERAGEIFS(
     INDEX((unit_details[Asking Rent],unit_details[Asking PSF]),0,1,IF($U$3="Chunk Rent",1,2)),
     unit_details[Leased Date],"&gt;="&amp;($AM$2-X$5),
     unit_details[Leased Date],"&lt;"&amp;$AM$2,
     unit_details[Beds],$L680,
     unit_details[Baths],$M680,
     unit_details[Partial Baths],IF(ISNUMBER($N680),$N680,""),
     unit_details[Sqft],$P680,
     unit_details[Property Name],$F680)
 ),"")</f>
        <v/>
      </c>
      <c r="Y680" s="552" t="str">
        <f>IFERROR(
 IF($F680="Total",
   SUMPRODUCT(
   INDEX(Y:Y, ROW()-COUNTIF($F$6:INDEX($F:$F, ROW()-1), $F679)) : INDEX(Y:Y, ROW()-1),
   INDEX(AA:AA, ROW()-COUNTIF($F$6:INDEX($F:$F, ROW()-1), $F679)) : INDEX(AA:AA, ROW()-1)
   )
   /SUM(INDEX(AA:AA, ROW()-COUNTIF($F$6:INDEX($F:$F, ROW()-1), $F679)) : INDEX(AA:AA, ROW()-1)),
   AVERAGEIFS(
     INDEX((unit_details[Effective Rent],unit_details[Effective PSF]),0,1,IF($U$3="Chunk Rent",1,2)),
     unit_details[Leased Date],"&gt;="&amp;($AM$2-X$5),
     unit_details[Leased Date],"&lt;"&amp;$AM$2,
     unit_details[Beds],$L680,
     unit_details[Baths],$M680,
     unit_details[Partial Baths],IF(ISNUMBER($N680),$N680,""),
     unit_details[Sqft],$P680,
     unit_details[Property Name],$F680)
 ),"")</f>
        <v/>
      </c>
      <c r="Z680" s="27" t="str">
        <f t="shared" si="121"/>
        <v/>
      </c>
      <c r="AA680" s="526">
        <f>IFERROR(
  IF($F680="Total",
    SUM(INDEX(AA:AA, ROW()-COUNTIF($F$6:INDEX($F:$F, ROW()-1), $F679)) : INDEX(AA:AA, ROW()-1)),
    COUNTIFS(
      unit_details[Leased Date], "&gt;="&amp;($AM$2-X$5),
      unit_details[Leased Date], "&lt;"&amp;$AM$2,
      unit_details[Beds], $L680,
      unit_details[Baths], $M680,
      unit_details[Partial Baths], IF(ISNUMBER($N680), $N680, ""),
      unit_details[Sqft],$P680,
      unit_details[Property Name], $F680
    )
  ),
"")</f>
        <v>0</v>
      </c>
      <c r="AB680" s="290">
        <f>IF($F680="Total",
SUM(INDEX(AB:AB, ROW()-COUNTIF($F$6:INDEX($F:$F, ROW()-1), $F679)) : INDEX(AB:AB, ROW()-1)),
COUNTIFS(unit_details[Active Listing?],TRUE,
          unit_details[Property Name], $F680,
          unit_details[Beds], $L680,
          unit_details[Baths], $M680,
          unit_details[Partial Baths],IF(ISNUMBER($N680),$N680,""),
          unit_details[Sqft],$P680))</f>
        <v>0</v>
      </c>
      <c r="AC680" s="27" t="str">
        <f t="shared" si="113"/>
        <v/>
      </c>
      <c r="AD680" s="293" t="str">
        <f>IFERROR(IF(AE680="","",IF($F680="Total",
SUMPRODUCT(
   INDEX(AD:AD, ROW()-COUNTIF($F$6:INDEX($F:$F, ROW()-1), $F679)) : INDEX(AD:AD, ROW()-1),
   INDEX(AB:AB, ROW()-COUNTIF($F$6:INDEX($F:$F, ROW()-1), $F679)) : INDEX(AB:AB, ROW()-1)
   )
   /SUM(INDEX(AB:AB, ROW()-COUNTIF($F$6:INDEX($F:$F, ROW()-1), $F679)) : INDEX(AB:AB, ROW()-1)),
          _xlfn.MINIFS(unit_details[Asking Rent],
          unit_details[Active Listing?],TRUE,
          unit_details[Property Name], $F680,
          unit_details[Beds], $L680,
          unit_details[Baths], $M680,
          unit_details[Partial Baths], IF(ISNUMBER($N680),$N680,""),
          unit_details[Sqft],$P680
))),"")</f>
        <v/>
      </c>
      <c r="AE680" s="5" t="str">
        <f>IFERROR(IF($F680="Total",
          SUMPRODUCT(
   INDEX(AE:AE, ROW()-COUNTIF($F$6:INDEX($F:$F, ROW()-1), $F679)) : INDEX(AE:AE, ROW()-1),
   INDEX(AB:AB, ROW()-COUNTIF($F$6:INDEX($F:$F, ROW()-1), $F679)) : INDEX(AB:AB, ROW()-1)
   )
   /SUM(INDEX(AB:AB, ROW()-COUNTIF($F$6:INDEX($F:$F, ROW()-1), $F679)) : INDEX(AB:AB, ROW()-1)),
          AVERAGEIFS(unit_details[Asking Rent],
          unit_details[Active Listing?],TRUE,
          unit_details[Property Name], $F680,
          unit_details[Beds], $L680,
          unit_details[Baths], $M680,
          unit_details[Partial Baths], IF(ISNUMBER($N680),$N680,""),
          unit_details[Sqft],$P680
)),"")</f>
        <v/>
      </c>
      <c r="AF680" s="5" t="str">
        <f>IFERROR(IF(AE680="","",IF($F680="Total",
SUMPRODUCT(
   INDEX(AF:AF, ROW()-COUNTIF($F$6:INDEX($F:$F, ROW()-1), $F679)) : INDEX(AF:AF, ROW()-1),
   INDEX(AB:AB, ROW()-COUNTIF($F$6:INDEX($F:$F, ROW()-1), $F679)) : INDEX(AB:AB, ROW()-1)
   )
   /SUM(INDEX(AB:AB, ROW()-COUNTIF($F$6:INDEX($F:$F, ROW()-1), $F679)) : INDEX(AB:AB, ROW()-1)),
           _xlfn.MAXIFS(unit_details[Asking Rent],
          unit_details[Active Listing?],TRUE,
          unit_details[Property Name], $F680,
          unit_details[Beds], $L680,
          unit_details[Baths], $M680,
          unit_details[Partial Baths], IF(ISNUMBER($N680),$N680,""),
          unit_details[Sqft],$P680
))),"")</f>
        <v/>
      </c>
      <c r="AG680" s="6" t="str">
        <f>IFERROR(IF($F680="Total",
         SUMPRODUCT(
         INDEX(AG:AG, ROW()-COUNTIF($F$6:INDEX($F:$F, ROW()-1), $F679)) : INDEX(AG:AG, ROW()-1),
         INDEX(AB:AB, ROW()-COUNTIF($F$6:INDEX($F:$F, ROW()-1), $F679)) : INDEX(AB:AB, ROW()-1)
         )
         /SUM(INDEX(AB:AB, ROW()-COUNTIF($F$6:INDEX($F:$F, ROW()-1), $F679)) : INDEX(AB:AB, ROW()-1)),
          AVERAGEIFS(unit_details[Asking PSF],
          unit_details[Active Listing?],TRUE,
          unit_details[Property Name], $F680,
          unit_details[Beds], $L680,
          unit_details[Baths], $M680,
          unit_details[Partial Baths], IF(ISNUMBER($N680),$N680,""),
          unit_details[Sqft],$P680
)),"")</f>
        <v/>
      </c>
      <c r="AH680" s="293" t="str">
        <f>IFERROR(IF($F680="Total",
         SUMPRODUCT(
         INDEX(AH:AH, ROW()-COUNTIF($F$6:INDEX($F:$F, ROW()-1), $F679)) : INDEX(AH:AH, ROW()-1),
         INDEX(AB:AB, ROW()-COUNTIF($F$6:INDEX($F:$F, ROW()-1), $F679)) : INDEX(AB:AB, ROW()-1)
         )
         /SUM(INDEX(AB:AB, ROW()-COUNTIF($F$6:INDEX($F:$F, ROW()-1), $F679)) : INDEX(AB:AB, ROW()-1)),
          AVERAGEIFS(unit_details[Effective Rent],
          unit_details[Active Listing?],TRUE,
          unit_details[Property Name], $F680,
          unit_details[Beds], $L680,
          unit_details[Baths], $M680,
          unit_details[Partial Baths], IF(ISNUMBER($N680),$N680,""),
          unit_details[Sqft],$P680
)),"")</f>
        <v/>
      </c>
      <c r="AI680" s="6" t="str">
        <f>IFERROR(IF($F680="Total",
         SUMPRODUCT(
         INDEX(AI:AI, ROW()-COUNTIF($F$6:INDEX($F:$F, ROW()-1), $F679)) : INDEX(AI:AI, ROW()-1),
         INDEX(AB:AB, ROW()-COUNTIF($F$6:INDEX($F:$F, ROW()-1), $F679)) : INDEX(AB:AB, ROW()-1)
         )
         /SUM(INDEX(AB:AB, ROW()-COUNTIF($F$6:INDEX($F:$F, ROW()-1), $F679)) : INDEX(AB:AB, ROW()-1)),
           AVERAGEIFS(unit_details[Effective PSF],
          unit_details[Active Listing?],TRUE,
          unit_details[Property Name], $F680,
          unit_details[Beds], $L680,
          unit_details[Baths], $M680,
          unit_details[Partial Baths], IF(ISNUMBER($N680),$N680,""),
          unit_details[Sqft],$P680
)),"")</f>
        <v/>
      </c>
      <c r="AJ680" s="824" t="str">
        <f t="shared" si="114"/>
        <v/>
      </c>
      <c r="AK680" s="531" t="str">
        <f t="shared" si="115"/>
        <v/>
      </c>
      <c r="AL680" s="714" t="str">
        <f t="shared" si="116"/>
        <v/>
      </c>
      <c r="AM680" s="531" t="str">
        <f t="shared" si="117"/>
        <v/>
      </c>
      <c r="AN680" s="716" t="str">
        <f t="shared" si="118"/>
        <v/>
      </c>
    </row>
    <row r="681" spans="6:40" x14ac:dyDescent="0.2">
      <c r="F681" s="1" t="str">
        <f t="shared" si="111"/>
        <v/>
      </c>
      <c r="G681" s="713" t="str">
        <f t="shared" si="119"/>
        <v/>
      </c>
      <c r="H681" s="17" t="str">
        <f>IFERROR(VLOOKUP($G681,Table1[[Property]:[Exposure %]],4,0),"")</f>
        <v/>
      </c>
      <c r="I681" s="3" t="str">
        <f>IFERROR(VLOOKUP($G681,Table1[[Property]:[Exposure %]],6,0),"")</f>
        <v/>
      </c>
      <c r="J681" s="3" t="str">
        <f>IFERROR(VLOOKUP($G681,Table1[[Property]:[Exposure %]],7,0),"")</f>
        <v/>
      </c>
      <c r="R681" s="4" t="str">
        <f>IFERROR(VLOOKUP(IF(F681="Total",F680,F681),Table1[[Property]:['# Units]],7,0)*S681,"")</f>
        <v/>
      </c>
      <c r="S681" s="27" t="str">
        <f t="shared" si="112"/>
        <v/>
      </c>
      <c r="T681" s="531" t="str">
        <f>IFERROR(
 IF($F681="Total",
   SUMPRODUCT(
   INDEX(T:T, ROW()-COUNTIF($F$6:INDEX($F:$F, ROW()-1), $F680)) : INDEX(T:T, ROW()-1),
   INDEX(W:W, ROW()-COUNTIF($F$6:INDEX($F:$F, ROW()-1), $F680)) : INDEX(W:W, ROW()-1)
   )
   /SUM(INDEX(W:W, ROW()-COUNTIF($F$6:INDEX($F:$F, ROW()-1), $F680)) : INDEX(W:W, ROW()-1)),
   AVERAGEIFS(
     INDEX((unit_details[Asking Rent],unit_details[Asking PSF]),0,1,IF($U$3="Chunk Rent",1,2)),
     unit_details[Leased Date],"&gt;="&amp;($AM$2-T$5),
     unit_details[Leased Date],"&lt;"&amp;$AM$2,
     unit_details[Beds],$L681,
     unit_details[Baths],$M681,
     unit_details[Partial Baths],IF(ISNUMBER($N681),$N681,""),
     unit_details[Sqft],$P681,
     unit_details[Property Name],$F681)
 ),"")</f>
        <v/>
      </c>
      <c r="U681" s="552" t="str">
        <f>IFERROR(
 IF($F681="Total",
   SUMPRODUCT(
   INDEX(U:U, ROW()-COUNTIF($F$6:INDEX($F:$F, ROW()-1), $F680)) : INDEX(U:U, ROW()-1),
   INDEX(W:W, ROW()-COUNTIF($F$6:INDEX($F:$F, ROW()-1), $F680)) : INDEX(W:W, ROW()-1)
   )
   /SUM(INDEX(W:W, ROW()-COUNTIF($F$6:INDEX($F:$F, ROW()-1), $F680)) : INDEX(W:W, ROW()-1)),
   AVERAGEIFS(
     INDEX((unit_details[Effective Rent],unit_details[Effective PSF]),0,1,IF($U$3="Chunk Rent",1,2)),
     unit_details[Leased Date],"&gt;="&amp;($AM$2-T$5),
     unit_details[Leased Date],"&lt;"&amp;$AM$2,
     unit_details[Beds],$L681,
     unit_details[Baths],$M681,
     unit_details[Partial Baths],IF(ISNUMBER($N681),$N681,""),
     unit_details[Sqft],$P681,
     unit_details[Property Name],$F681)
 ),"")</f>
        <v/>
      </c>
      <c r="V681" s="27" t="str">
        <f t="shared" si="120"/>
        <v/>
      </c>
      <c r="W681" s="526">
        <f>IFERROR(
  IF($F681="Total",
    SUM(INDEX(W:W, ROW()-COUNTIF($F$6:INDEX($F:$F, ROW()-1), $F680)) : INDEX(W:W, ROW()-1)),
    COUNTIFS(
      unit_details[Leased Date], "&gt;="&amp;($AM$2-T$5),
      unit_details[Leased Date], "&lt;"&amp;$AM$2,
      unit_details[Beds], $L681,
      unit_details[Baths], $M681,
      unit_details[Partial Baths], IF(ISNUMBER($N681), $N681, ""),
      unit_details[Sqft],$P681,
      unit_details[Property Name], $F681
    )
  ),
"")</f>
        <v>0</v>
      </c>
      <c r="X681" s="531" t="str">
        <f>IFERROR(
 IF($F681="Total",
   SUMPRODUCT(
   INDEX(X:X, ROW()-COUNTIF($F$6:INDEX($F:$F, ROW()-1), $F680)) : INDEX(X:X, ROW()-1),
   INDEX(AA:AA, ROW()-COUNTIF($F$6:INDEX($F:$F, ROW()-1), $F680)) : INDEX(AA:AA, ROW()-1)
   )
   /SUM(INDEX(AA:AA, ROW()-COUNTIF($F$6:INDEX($F:$F, ROW()-1), $F680)) : INDEX(AA:AA, ROW()-1)),
   AVERAGEIFS(
     INDEX((unit_details[Asking Rent],unit_details[Asking PSF]),0,1,IF($U$3="Chunk Rent",1,2)),
     unit_details[Leased Date],"&gt;="&amp;($AM$2-X$5),
     unit_details[Leased Date],"&lt;"&amp;$AM$2,
     unit_details[Beds],$L681,
     unit_details[Baths],$M681,
     unit_details[Partial Baths],IF(ISNUMBER($N681),$N681,""),
     unit_details[Sqft],$P681,
     unit_details[Property Name],$F681)
 ),"")</f>
        <v/>
      </c>
      <c r="Y681" s="552" t="str">
        <f>IFERROR(
 IF($F681="Total",
   SUMPRODUCT(
   INDEX(Y:Y, ROW()-COUNTIF($F$6:INDEX($F:$F, ROW()-1), $F680)) : INDEX(Y:Y, ROW()-1),
   INDEX(AA:AA, ROW()-COUNTIF($F$6:INDEX($F:$F, ROW()-1), $F680)) : INDEX(AA:AA, ROW()-1)
   )
   /SUM(INDEX(AA:AA, ROW()-COUNTIF($F$6:INDEX($F:$F, ROW()-1), $F680)) : INDEX(AA:AA, ROW()-1)),
   AVERAGEIFS(
     INDEX((unit_details[Effective Rent],unit_details[Effective PSF]),0,1,IF($U$3="Chunk Rent",1,2)),
     unit_details[Leased Date],"&gt;="&amp;($AM$2-X$5),
     unit_details[Leased Date],"&lt;"&amp;$AM$2,
     unit_details[Beds],$L681,
     unit_details[Baths],$M681,
     unit_details[Partial Baths],IF(ISNUMBER($N681),$N681,""),
     unit_details[Sqft],$P681,
     unit_details[Property Name],$F681)
 ),"")</f>
        <v/>
      </c>
      <c r="Z681" s="27" t="str">
        <f t="shared" si="121"/>
        <v/>
      </c>
      <c r="AA681" s="526">
        <f>IFERROR(
  IF($F681="Total",
    SUM(INDEX(AA:AA, ROW()-COUNTIF($F$6:INDEX($F:$F, ROW()-1), $F680)) : INDEX(AA:AA, ROW()-1)),
    COUNTIFS(
      unit_details[Leased Date], "&gt;="&amp;($AM$2-X$5),
      unit_details[Leased Date], "&lt;"&amp;$AM$2,
      unit_details[Beds], $L681,
      unit_details[Baths], $M681,
      unit_details[Partial Baths], IF(ISNUMBER($N681), $N681, ""),
      unit_details[Sqft],$P681,
      unit_details[Property Name], $F681
    )
  ),
"")</f>
        <v>0</v>
      </c>
      <c r="AB681" s="290">
        <f>IF($F681="Total",
SUM(INDEX(AB:AB, ROW()-COUNTIF($F$6:INDEX($F:$F, ROW()-1), $F680)) : INDEX(AB:AB, ROW()-1)),
COUNTIFS(unit_details[Active Listing?],TRUE,
          unit_details[Property Name], $F681,
          unit_details[Beds], $L681,
          unit_details[Baths], $M681,
          unit_details[Partial Baths],IF(ISNUMBER($N681),$N681,""),
          unit_details[Sqft],$P681))</f>
        <v>0</v>
      </c>
      <c r="AC681" s="27" t="str">
        <f t="shared" si="113"/>
        <v/>
      </c>
      <c r="AD681" s="293" t="str">
        <f>IFERROR(IF(AE681="","",IF($F681="Total",
SUMPRODUCT(
   INDEX(AD:AD, ROW()-COUNTIF($F$6:INDEX($F:$F, ROW()-1), $F680)) : INDEX(AD:AD, ROW()-1),
   INDEX(AB:AB, ROW()-COUNTIF($F$6:INDEX($F:$F, ROW()-1), $F680)) : INDEX(AB:AB, ROW()-1)
   )
   /SUM(INDEX(AB:AB, ROW()-COUNTIF($F$6:INDEX($F:$F, ROW()-1), $F680)) : INDEX(AB:AB, ROW()-1)),
          _xlfn.MINIFS(unit_details[Asking Rent],
          unit_details[Active Listing?],TRUE,
          unit_details[Property Name], $F681,
          unit_details[Beds], $L681,
          unit_details[Baths], $M681,
          unit_details[Partial Baths], IF(ISNUMBER($N681),$N681,""),
          unit_details[Sqft],$P681
))),"")</f>
        <v/>
      </c>
      <c r="AE681" s="5" t="str">
        <f>IFERROR(IF($F681="Total",
          SUMPRODUCT(
   INDEX(AE:AE, ROW()-COUNTIF($F$6:INDEX($F:$F, ROW()-1), $F680)) : INDEX(AE:AE, ROW()-1),
   INDEX(AB:AB, ROW()-COUNTIF($F$6:INDEX($F:$F, ROW()-1), $F680)) : INDEX(AB:AB, ROW()-1)
   )
   /SUM(INDEX(AB:AB, ROW()-COUNTIF($F$6:INDEX($F:$F, ROW()-1), $F680)) : INDEX(AB:AB, ROW()-1)),
          AVERAGEIFS(unit_details[Asking Rent],
          unit_details[Active Listing?],TRUE,
          unit_details[Property Name], $F681,
          unit_details[Beds], $L681,
          unit_details[Baths], $M681,
          unit_details[Partial Baths], IF(ISNUMBER($N681),$N681,""),
          unit_details[Sqft],$P681
)),"")</f>
        <v/>
      </c>
      <c r="AF681" s="5" t="str">
        <f>IFERROR(IF(AE681="","",IF($F681="Total",
SUMPRODUCT(
   INDEX(AF:AF, ROW()-COUNTIF($F$6:INDEX($F:$F, ROW()-1), $F680)) : INDEX(AF:AF, ROW()-1),
   INDEX(AB:AB, ROW()-COUNTIF($F$6:INDEX($F:$F, ROW()-1), $F680)) : INDEX(AB:AB, ROW()-1)
   )
   /SUM(INDEX(AB:AB, ROW()-COUNTIF($F$6:INDEX($F:$F, ROW()-1), $F680)) : INDEX(AB:AB, ROW()-1)),
           _xlfn.MAXIFS(unit_details[Asking Rent],
          unit_details[Active Listing?],TRUE,
          unit_details[Property Name], $F681,
          unit_details[Beds], $L681,
          unit_details[Baths], $M681,
          unit_details[Partial Baths], IF(ISNUMBER($N681),$N681,""),
          unit_details[Sqft],$P681
))),"")</f>
        <v/>
      </c>
      <c r="AG681" s="6" t="str">
        <f>IFERROR(IF($F681="Total",
         SUMPRODUCT(
         INDEX(AG:AG, ROW()-COUNTIF($F$6:INDEX($F:$F, ROW()-1), $F680)) : INDEX(AG:AG, ROW()-1),
         INDEX(AB:AB, ROW()-COUNTIF($F$6:INDEX($F:$F, ROW()-1), $F680)) : INDEX(AB:AB, ROW()-1)
         )
         /SUM(INDEX(AB:AB, ROW()-COUNTIF($F$6:INDEX($F:$F, ROW()-1), $F680)) : INDEX(AB:AB, ROW()-1)),
          AVERAGEIFS(unit_details[Asking PSF],
          unit_details[Active Listing?],TRUE,
          unit_details[Property Name], $F681,
          unit_details[Beds], $L681,
          unit_details[Baths], $M681,
          unit_details[Partial Baths], IF(ISNUMBER($N681),$N681,""),
          unit_details[Sqft],$P681
)),"")</f>
        <v/>
      </c>
      <c r="AH681" s="293" t="str">
        <f>IFERROR(IF($F681="Total",
         SUMPRODUCT(
         INDEX(AH:AH, ROW()-COUNTIF($F$6:INDEX($F:$F, ROW()-1), $F680)) : INDEX(AH:AH, ROW()-1),
         INDEX(AB:AB, ROW()-COUNTIF($F$6:INDEX($F:$F, ROW()-1), $F680)) : INDEX(AB:AB, ROW()-1)
         )
         /SUM(INDEX(AB:AB, ROW()-COUNTIF($F$6:INDEX($F:$F, ROW()-1), $F680)) : INDEX(AB:AB, ROW()-1)),
          AVERAGEIFS(unit_details[Effective Rent],
          unit_details[Active Listing?],TRUE,
          unit_details[Property Name], $F681,
          unit_details[Beds], $L681,
          unit_details[Baths], $M681,
          unit_details[Partial Baths], IF(ISNUMBER($N681),$N681,""),
          unit_details[Sqft],$P681
)),"")</f>
        <v/>
      </c>
      <c r="AI681" s="6" t="str">
        <f>IFERROR(IF($F681="Total",
         SUMPRODUCT(
         INDEX(AI:AI, ROW()-COUNTIF($F$6:INDEX($F:$F, ROW()-1), $F680)) : INDEX(AI:AI, ROW()-1),
         INDEX(AB:AB, ROW()-COUNTIF($F$6:INDEX($F:$F, ROW()-1), $F680)) : INDEX(AB:AB, ROW()-1)
         )
         /SUM(INDEX(AB:AB, ROW()-COUNTIF($F$6:INDEX($F:$F, ROW()-1), $F680)) : INDEX(AB:AB, ROW()-1)),
           AVERAGEIFS(unit_details[Effective PSF],
          unit_details[Active Listing?],TRUE,
          unit_details[Property Name], $F681,
          unit_details[Beds], $L681,
          unit_details[Baths], $M681,
          unit_details[Partial Baths], IF(ISNUMBER($N681),$N681,""),
          unit_details[Sqft],$P681
)),"")</f>
        <v/>
      </c>
      <c r="AJ681" s="824" t="str">
        <f t="shared" si="114"/>
        <v/>
      </c>
      <c r="AK681" s="531" t="str">
        <f t="shared" si="115"/>
        <v/>
      </c>
      <c r="AL681" s="714" t="str">
        <f t="shared" si="116"/>
        <v/>
      </c>
      <c r="AM681" s="531" t="str">
        <f t="shared" si="117"/>
        <v/>
      </c>
      <c r="AN681" s="716" t="str">
        <f t="shared" si="118"/>
        <v/>
      </c>
    </row>
    <row r="682" spans="6:40" x14ac:dyDescent="0.2">
      <c r="F682" s="1" t="str">
        <f t="shared" si="111"/>
        <v/>
      </c>
      <c r="G682" s="713" t="str">
        <f t="shared" si="119"/>
        <v/>
      </c>
      <c r="H682" s="17" t="str">
        <f>IFERROR(VLOOKUP($G682,Table1[[Property]:[Exposure %]],4,0),"")</f>
        <v/>
      </c>
      <c r="I682" s="3" t="str">
        <f>IFERROR(VLOOKUP($G682,Table1[[Property]:[Exposure %]],6,0),"")</f>
        <v/>
      </c>
      <c r="J682" s="3" t="str">
        <f>IFERROR(VLOOKUP($G682,Table1[[Property]:[Exposure %]],7,0),"")</f>
        <v/>
      </c>
      <c r="R682" s="4" t="str">
        <f>IFERROR(VLOOKUP(IF(F682="Total",F681,F682),Table1[[Property]:['# Units]],7,0)*S682,"")</f>
        <v/>
      </c>
      <c r="S682" s="27" t="str">
        <f t="shared" si="112"/>
        <v/>
      </c>
      <c r="T682" s="531" t="str">
        <f>IFERROR(
 IF($F682="Total",
   SUMPRODUCT(
   INDEX(T:T, ROW()-COUNTIF($F$6:INDEX($F:$F, ROW()-1), $F681)) : INDEX(T:T, ROW()-1),
   INDEX(W:W, ROW()-COUNTIF($F$6:INDEX($F:$F, ROW()-1), $F681)) : INDEX(W:W, ROW()-1)
   )
   /SUM(INDEX(W:W, ROW()-COUNTIF($F$6:INDEX($F:$F, ROW()-1), $F681)) : INDEX(W:W, ROW()-1)),
   AVERAGEIFS(
     INDEX((unit_details[Asking Rent],unit_details[Asking PSF]),0,1,IF($U$3="Chunk Rent",1,2)),
     unit_details[Leased Date],"&gt;="&amp;($AM$2-T$5),
     unit_details[Leased Date],"&lt;"&amp;$AM$2,
     unit_details[Beds],$L682,
     unit_details[Baths],$M682,
     unit_details[Partial Baths],IF(ISNUMBER($N682),$N682,""),
     unit_details[Sqft],$P682,
     unit_details[Property Name],$F682)
 ),"")</f>
        <v/>
      </c>
      <c r="U682" s="552" t="str">
        <f>IFERROR(
 IF($F682="Total",
   SUMPRODUCT(
   INDEX(U:U, ROW()-COUNTIF($F$6:INDEX($F:$F, ROW()-1), $F681)) : INDEX(U:U, ROW()-1),
   INDEX(W:W, ROW()-COUNTIF($F$6:INDEX($F:$F, ROW()-1), $F681)) : INDEX(W:W, ROW()-1)
   )
   /SUM(INDEX(W:W, ROW()-COUNTIF($F$6:INDEX($F:$F, ROW()-1), $F681)) : INDEX(W:W, ROW()-1)),
   AVERAGEIFS(
     INDEX((unit_details[Effective Rent],unit_details[Effective PSF]),0,1,IF($U$3="Chunk Rent",1,2)),
     unit_details[Leased Date],"&gt;="&amp;($AM$2-T$5),
     unit_details[Leased Date],"&lt;"&amp;$AM$2,
     unit_details[Beds],$L682,
     unit_details[Baths],$M682,
     unit_details[Partial Baths],IF(ISNUMBER($N682),$N682,""),
     unit_details[Sqft],$P682,
     unit_details[Property Name],$F682)
 ),"")</f>
        <v/>
      </c>
      <c r="V682" s="27" t="str">
        <f t="shared" si="120"/>
        <v/>
      </c>
      <c r="W682" s="526">
        <f>IFERROR(
  IF($F682="Total",
    SUM(INDEX(W:W, ROW()-COUNTIF($F$6:INDEX($F:$F, ROW()-1), $F681)) : INDEX(W:W, ROW()-1)),
    COUNTIFS(
      unit_details[Leased Date], "&gt;="&amp;($AM$2-T$5),
      unit_details[Leased Date], "&lt;"&amp;$AM$2,
      unit_details[Beds], $L682,
      unit_details[Baths], $M682,
      unit_details[Partial Baths], IF(ISNUMBER($N682), $N682, ""),
      unit_details[Sqft],$P682,
      unit_details[Property Name], $F682
    )
  ),
"")</f>
        <v>0</v>
      </c>
      <c r="X682" s="531" t="str">
        <f>IFERROR(
 IF($F682="Total",
   SUMPRODUCT(
   INDEX(X:X, ROW()-COUNTIF($F$6:INDEX($F:$F, ROW()-1), $F681)) : INDEX(X:X, ROW()-1),
   INDEX(AA:AA, ROW()-COUNTIF($F$6:INDEX($F:$F, ROW()-1), $F681)) : INDEX(AA:AA, ROW()-1)
   )
   /SUM(INDEX(AA:AA, ROW()-COUNTIF($F$6:INDEX($F:$F, ROW()-1), $F681)) : INDEX(AA:AA, ROW()-1)),
   AVERAGEIFS(
     INDEX((unit_details[Asking Rent],unit_details[Asking PSF]),0,1,IF($U$3="Chunk Rent",1,2)),
     unit_details[Leased Date],"&gt;="&amp;($AM$2-X$5),
     unit_details[Leased Date],"&lt;"&amp;$AM$2,
     unit_details[Beds],$L682,
     unit_details[Baths],$M682,
     unit_details[Partial Baths],IF(ISNUMBER($N682),$N682,""),
     unit_details[Sqft],$P682,
     unit_details[Property Name],$F682)
 ),"")</f>
        <v/>
      </c>
      <c r="Y682" s="552" t="str">
        <f>IFERROR(
 IF($F682="Total",
   SUMPRODUCT(
   INDEX(Y:Y, ROW()-COUNTIF($F$6:INDEX($F:$F, ROW()-1), $F681)) : INDEX(Y:Y, ROW()-1),
   INDEX(AA:AA, ROW()-COUNTIF($F$6:INDEX($F:$F, ROW()-1), $F681)) : INDEX(AA:AA, ROW()-1)
   )
   /SUM(INDEX(AA:AA, ROW()-COUNTIF($F$6:INDEX($F:$F, ROW()-1), $F681)) : INDEX(AA:AA, ROW()-1)),
   AVERAGEIFS(
     INDEX((unit_details[Effective Rent],unit_details[Effective PSF]),0,1,IF($U$3="Chunk Rent",1,2)),
     unit_details[Leased Date],"&gt;="&amp;($AM$2-X$5),
     unit_details[Leased Date],"&lt;"&amp;$AM$2,
     unit_details[Beds],$L682,
     unit_details[Baths],$M682,
     unit_details[Partial Baths],IF(ISNUMBER($N682),$N682,""),
     unit_details[Sqft],$P682,
     unit_details[Property Name],$F682)
 ),"")</f>
        <v/>
      </c>
      <c r="Z682" s="27" t="str">
        <f t="shared" si="121"/>
        <v/>
      </c>
      <c r="AA682" s="526">
        <f>IFERROR(
  IF($F682="Total",
    SUM(INDEX(AA:AA, ROW()-COUNTIF($F$6:INDEX($F:$F, ROW()-1), $F681)) : INDEX(AA:AA, ROW()-1)),
    COUNTIFS(
      unit_details[Leased Date], "&gt;="&amp;($AM$2-X$5),
      unit_details[Leased Date], "&lt;"&amp;$AM$2,
      unit_details[Beds], $L682,
      unit_details[Baths], $M682,
      unit_details[Partial Baths], IF(ISNUMBER($N682), $N682, ""),
      unit_details[Sqft],$P682,
      unit_details[Property Name], $F682
    )
  ),
"")</f>
        <v>0</v>
      </c>
      <c r="AB682" s="290">
        <f>IF($F682="Total",
SUM(INDEX(AB:AB, ROW()-COUNTIF($F$6:INDEX($F:$F, ROW()-1), $F681)) : INDEX(AB:AB, ROW()-1)),
COUNTIFS(unit_details[Active Listing?],TRUE,
          unit_details[Property Name], $F682,
          unit_details[Beds], $L682,
          unit_details[Baths], $M682,
          unit_details[Partial Baths],IF(ISNUMBER($N682),$N682,""),
          unit_details[Sqft],$P682))</f>
        <v>0</v>
      </c>
      <c r="AC682" s="27" t="str">
        <f t="shared" si="113"/>
        <v/>
      </c>
      <c r="AD682" s="293" t="str">
        <f>IFERROR(IF(AE682="","",IF($F682="Total",
SUMPRODUCT(
   INDEX(AD:AD, ROW()-COUNTIF($F$6:INDEX($F:$F, ROW()-1), $F681)) : INDEX(AD:AD, ROW()-1),
   INDEX(AB:AB, ROW()-COUNTIF($F$6:INDEX($F:$F, ROW()-1), $F681)) : INDEX(AB:AB, ROW()-1)
   )
   /SUM(INDEX(AB:AB, ROW()-COUNTIF($F$6:INDEX($F:$F, ROW()-1), $F681)) : INDEX(AB:AB, ROW()-1)),
          _xlfn.MINIFS(unit_details[Asking Rent],
          unit_details[Active Listing?],TRUE,
          unit_details[Property Name], $F682,
          unit_details[Beds], $L682,
          unit_details[Baths], $M682,
          unit_details[Partial Baths], IF(ISNUMBER($N682),$N682,""),
          unit_details[Sqft],$P682
))),"")</f>
        <v/>
      </c>
      <c r="AE682" s="5" t="str">
        <f>IFERROR(IF($F682="Total",
          SUMPRODUCT(
   INDEX(AE:AE, ROW()-COUNTIF($F$6:INDEX($F:$F, ROW()-1), $F681)) : INDEX(AE:AE, ROW()-1),
   INDEX(AB:AB, ROW()-COUNTIF($F$6:INDEX($F:$F, ROW()-1), $F681)) : INDEX(AB:AB, ROW()-1)
   )
   /SUM(INDEX(AB:AB, ROW()-COUNTIF($F$6:INDEX($F:$F, ROW()-1), $F681)) : INDEX(AB:AB, ROW()-1)),
          AVERAGEIFS(unit_details[Asking Rent],
          unit_details[Active Listing?],TRUE,
          unit_details[Property Name], $F682,
          unit_details[Beds], $L682,
          unit_details[Baths], $M682,
          unit_details[Partial Baths], IF(ISNUMBER($N682),$N682,""),
          unit_details[Sqft],$P682
)),"")</f>
        <v/>
      </c>
      <c r="AF682" s="5" t="str">
        <f>IFERROR(IF(AE682="","",IF($F682="Total",
SUMPRODUCT(
   INDEX(AF:AF, ROW()-COUNTIF($F$6:INDEX($F:$F, ROW()-1), $F681)) : INDEX(AF:AF, ROW()-1),
   INDEX(AB:AB, ROW()-COUNTIF($F$6:INDEX($F:$F, ROW()-1), $F681)) : INDEX(AB:AB, ROW()-1)
   )
   /SUM(INDEX(AB:AB, ROW()-COUNTIF($F$6:INDEX($F:$F, ROW()-1), $F681)) : INDEX(AB:AB, ROW()-1)),
           _xlfn.MAXIFS(unit_details[Asking Rent],
          unit_details[Active Listing?],TRUE,
          unit_details[Property Name], $F682,
          unit_details[Beds], $L682,
          unit_details[Baths], $M682,
          unit_details[Partial Baths], IF(ISNUMBER($N682),$N682,""),
          unit_details[Sqft],$P682
))),"")</f>
        <v/>
      </c>
      <c r="AG682" s="6" t="str">
        <f>IFERROR(IF($F682="Total",
         SUMPRODUCT(
         INDEX(AG:AG, ROW()-COUNTIF($F$6:INDEX($F:$F, ROW()-1), $F681)) : INDEX(AG:AG, ROW()-1),
         INDEX(AB:AB, ROW()-COUNTIF($F$6:INDEX($F:$F, ROW()-1), $F681)) : INDEX(AB:AB, ROW()-1)
         )
         /SUM(INDEX(AB:AB, ROW()-COUNTIF($F$6:INDEX($F:$F, ROW()-1), $F681)) : INDEX(AB:AB, ROW()-1)),
          AVERAGEIFS(unit_details[Asking PSF],
          unit_details[Active Listing?],TRUE,
          unit_details[Property Name], $F682,
          unit_details[Beds], $L682,
          unit_details[Baths], $M682,
          unit_details[Partial Baths], IF(ISNUMBER($N682),$N682,""),
          unit_details[Sqft],$P682
)),"")</f>
        <v/>
      </c>
      <c r="AH682" s="293" t="str">
        <f>IFERROR(IF($F682="Total",
         SUMPRODUCT(
         INDEX(AH:AH, ROW()-COUNTIF($F$6:INDEX($F:$F, ROW()-1), $F681)) : INDEX(AH:AH, ROW()-1),
         INDEX(AB:AB, ROW()-COUNTIF($F$6:INDEX($F:$F, ROW()-1), $F681)) : INDEX(AB:AB, ROW()-1)
         )
         /SUM(INDEX(AB:AB, ROW()-COUNTIF($F$6:INDEX($F:$F, ROW()-1), $F681)) : INDEX(AB:AB, ROW()-1)),
          AVERAGEIFS(unit_details[Effective Rent],
          unit_details[Active Listing?],TRUE,
          unit_details[Property Name], $F682,
          unit_details[Beds], $L682,
          unit_details[Baths], $M682,
          unit_details[Partial Baths], IF(ISNUMBER($N682),$N682,""),
          unit_details[Sqft],$P682
)),"")</f>
        <v/>
      </c>
      <c r="AI682" s="6" t="str">
        <f>IFERROR(IF($F682="Total",
         SUMPRODUCT(
         INDEX(AI:AI, ROW()-COUNTIF($F$6:INDEX($F:$F, ROW()-1), $F681)) : INDEX(AI:AI, ROW()-1),
         INDEX(AB:AB, ROW()-COUNTIF($F$6:INDEX($F:$F, ROW()-1), $F681)) : INDEX(AB:AB, ROW()-1)
         )
         /SUM(INDEX(AB:AB, ROW()-COUNTIF($F$6:INDEX($F:$F, ROW()-1), $F681)) : INDEX(AB:AB, ROW()-1)),
           AVERAGEIFS(unit_details[Effective PSF],
          unit_details[Active Listing?],TRUE,
          unit_details[Property Name], $F682,
          unit_details[Beds], $L682,
          unit_details[Baths], $M682,
          unit_details[Partial Baths], IF(ISNUMBER($N682),$N682,""),
          unit_details[Sqft],$P682
)),"")</f>
        <v/>
      </c>
      <c r="AJ682" s="824" t="str">
        <f t="shared" si="114"/>
        <v/>
      </c>
      <c r="AK682" s="531" t="str">
        <f t="shared" si="115"/>
        <v/>
      </c>
      <c r="AL682" s="714" t="str">
        <f t="shared" si="116"/>
        <v/>
      </c>
      <c r="AM682" s="531" t="str">
        <f t="shared" si="117"/>
        <v/>
      </c>
      <c r="AN682" s="716" t="str">
        <f t="shared" si="118"/>
        <v/>
      </c>
    </row>
    <row r="683" spans="6:40" x14ac:dyDescent="0.2">
      <c r="F683" s="1" t="str">
        <f t="shared" si="111"/>
        <v/>
      </c>
      <c r="G683" s="713" t="str">
        <f t="shared" si="119"/>
        <v/>
      </c>
      <c r="H683" s="17" t="str">
        <f>IFERROR(VLOOKUP($G683,Table1[[Property]:[Exposure %]],4,0),"")</f>
        <v/>
      </c>
      <c r="I683" s="3" t="str">
        <f>IFERROR(VLOOKUP($G683,Table1[[Property]:[Exposure %]],6,0),"")</f>
        <v/>
      </c>
      <c r="J683" s="3" t="str">
        <f>IFERROR(VLOOKUP($G683,Table1[[Property]:[Exposure %]],7,0),"")</f>
        <v/>
      </c>
      <c r="R683" s="4" t="str">
        <f>IFERROR(VLOOKUP(IF(F683="Total",F682,F683),Table1[[Property]:['# Units]],7,0)*S683,"")</f>
        <v/>
      </c>
      <c r="S683" s="27" t="str">
        <f t="shared" si="112"/>
        <v/>
      </c>
      <c r="T683" s="531" t="str">
        <f>IFERROR(
 IF($F683="Total",
   SUMPRODUCT(
   INDEX(T:T, ROW()-COUNTIF($F$6:INDEX($F:$F, ROW()-1), $F682)) : INDEX(T:T, ROW()-1),
   INDEX(W:W, ROW()-COUNTIF($F$6:INDEX($F:$F, ROW()-1), $F682)) : INDEX(W:W, ROW()-1)
   )
   /SUM(INDEX(W:W, ROW()-COUNTIF($F$6:INDEX($F:$F, ROW()-1), $F682)) : INDEX(W:W, ROW()-1)),
   AVERAGEIFS(
     INDEX((unit_details[Asking Rent],unit_details[Asking PSF]),0,1,IF($U$3="Chunk Rent",1,2)),
     unit_details[Leased Date],"&gt;="&amp;($AM$2-T$5),
     unit_details[Leased Date],"&lt;"&amp;$AM$2,
     unit_details[Beds],$L683,
     unit_details[Baths],$M683,
     unit_details[Partial Baths],IF(ISNUMBER($N683),$N683,""),
     unit_details[Sqft],$P683,
     unit_details[Property Name],$F683)
 ),"")</f>
        <v/>
      </c>
      <c r="U683" s="552" t="str">
        <f>IFERROR(
 IF($F683="Total",
   SUMPRODUCT(
   INDEX(U:U, ROW()-COUNTIF($F$6:INDEX($F:$F, ROW()-1), $F682)) : INDEX(U:U, ROW()-1),
   INDEX(W:W, ROW()-COUNTIF($F$6:INDEX($F:$F, ROW()-1), $F682)) : INDEX(W:W, ROW()-1)
   )
   /SUM(INDEX(W:W, ROW()-COUNTIF($F$6:INDEX($F:$F, ROW()-1), $F682)) : INDEX(W:W, ROW()-1)),
   AVERAGEIFS(
     INDEX((unit_details[Effective Rent],unit_details[Effective PSF]),0,1,IF($U$3="Chunk Rent",1,2)),
     unit_details[Leased Date],"&gt;="&amp;($AM$2-T$5),
     unit_details[Leased Date],"&lt;"&amp;$AM$2,
     unit_details[Beds],$L683,
     unit_details[Baths],$M683,
     unit_details[Partial Baths],IF(ISNUMBER($N683),$N683,""),
     unit_details[Sqft],$P683,
     unit_details[Property Name],$F683)
 ),"")</f>
        <v/>
      </c>
      <c r="V683" s="27" t="str">
        <f t="shared" si="120"/>
        <v/>
      </c>
      <c r="W683" s="526">
        <f>IFERROR(
  IF($F683="Total",
    SUM(INDEX(W:W, ROW()-COUNTIF($F$6:INDEX($F:$F, ROW()-1), $F682)) : INDEX(W:W, ROW()-1)),
    COUNTIFS(
      unit_details[Leased Date], "&gt;="&amp;($AM$2-T$5),
      unit_details[Leased Date], "&lt;"&amp;$AM$2,
      unit_details[Beds], $L683,
      unit_details[Baths], $M683,
      unit_details[Partial Baths], IF(ISNUMBER($N683), $N683, ""),
      unit_details[Sqft],$P683,
      unit_details[Property Name], $F683
    )
  ),
"")</f>
        <v>0</v>
      </c>
      <c r="X683" s="531" t="str">
        <f>IFERROR(
 IF($F683="Total",
   SUMPRODUCT(
   INDEX(X:X, ROW()-COUNTIF($F$6:INDEX($F:$F, ROW()-1), $F682)) : INDEX(X:X, ROW()-1),
   INDEX(AA:AA, ROW()-COUNTIF($F$6:INDEX($F:$F, ROW()-1), $F682)) : INDEX(AA:AA, ROW()-1)
   )
   /SUM(INDEX(AA:AA, ROW()-COUNTIF($F$6:INDEX($F:$F, ROW()-1), $F682)) : INDEX(AA:AA, ROW()-1)),
   AVERAGEIFS(
     INDEX((unit_details[Asking Rent],unit_details[Asking PSF]),0,1,IF($U$3="Chunk Rent",1,2)),
     unit_details[Leased Date],"&gt;="&amp;($AM$2-X$5),
     unit_details[Leased Date],"&lt;"&amp;$AM$2,
     unit_details[Beds],$L683,
     unit_details[Baths],$M683,
     unit_details[Partial Baths],IF(ISNUMBER($N683),$N683,""),
     unit_details[Sqft],$P683,
     unit_details[Property Name],$F683)
 ),"")</f>
        <v/>
      </c>
      <c r="Y683" s="552" t="str">
        <f>IFERROR(
 IF($F683="Total",
   SUMPRODUCT(
   INDEX(Y:Y, ROW()-COUNTIF($F$6:INDEX($F:$F, ROW()-1), $F682)) : INDEX(Y:Y, ROW()-1),
   INDEX(AA:AA, ROW()-COUNTIF($F$6:INDEX($F:$F, ROW()-1), $F682)) : INDEX(AA:AA, ROW()-1)
   )
   /SUM(INDEX(AA:AA, ROW()-COUNTIF($F$6:INDEX($F:$F, ROW()-1), $F682)) : INDEX(AA:AA, ROW()-1)),
   AVERAGEIFS(
     INDEX((unit_details[Effective Rent],unit_details[Effective PSF]),0,1,IF($U$3="Chunk Rent",1,2)),
     unit_details[Leased Date],"&gt;="&amp;($AM$2-X$5),
     unit_details[Leased Date],"&lt;"&amp;$AM$2,
     unit_details[Beds],$L683,
     unit_details[Baths],$M683,
     unit_details[Partial Baths],IF(ISNUMBER($N683),$N683,""),
     unit_details[Sqft],$P683,
     unit_details[Property Name],$F683)
 ),"")</f>
        <v/>
      </c>
      <c r="Z683" s="27" t="str">
        <f t="shared" si="121"/>
        <v/>
      </c>
      <c r="AA683" s="526">
        <f>IFERROR(
  IF($F683="Total",
    SUM(INDEX(AA:AA, ROW()-COUNTIF($F$6:INDEX($F:$F, ROW()-1), $F682)) : INDEX(AA:AA, ROW()-1)),
    COUNTIFS(
      unit_details[Leased Date], "&gt;="&amp;($AM$2-X$5),
      unit_details[Leased Date], "&lt;"&amp;$AM$2,
      unit_details[Beds], $L683,
      unit_details[Baths], $M683,
      unit_details[Partial Baths], IF(ISNUMBER($N683), $N683, ""),
      unit_details[Sqft],$P683,
      unit_details[Property Name], $F683
    )
  ),
"")</f>
        <v>0</v>
      </c>
      <c r="AB683" s="290">
        <f>IF($F683="Total",
SUM(INDEX(AB:AB, ROW()-COUNTIF($F$6:INDEX($F:$F, ROW()-1), $F682)) : INDEX(AB:AB, ROW()-1)),
COUNTIFS(unit_details[Active Listing?],TRUE,
          unit_details[Property Name], $F683,
          unit_details[Beds], $L683,
          unit_details[Baths], $M683,
          unit_details[Partial Baths],IF(ISNUMBER($N683),$N683,""),
          unit_details[Sqft],$P683))</f>
        <v>0</v>
      </c>
      <c r="AC683" s="27" t="str">
        <f t="shared" si="113"/>
        <v/>
      </c>
      <c r="AD683" s="293" t="str">
        <f>IFERROR(IF(AE683="","",IF($F683="Total",
SUMPRODUCT(
   INDEX(AD:AD, ROW()-COUNTIF($F$6:INDEX($F:$F, ROW()-1), $F682)) : INDEX(AD:AD, ROW()-1),
   INDEX(AB:AB, ROW()-COUNTIF($F$6:INDEX($F:$F, ROW()-1), $F682)) : INDEX(AB:AB, ROW()-1)
   )
   /SUM(INDEX(AB:AB, ROW()-COUNTIF($F$6:INDEX($F:$F, ROW()-1), $F682)) : INDEX(AB:AB, ROW()-1)),
          _xlfn.MINIFS(unit_details[Asking Rent],
          unit_details[Active Listing?],TRUE,
          unit_details[Property Name], $F683,
          unit_details[Beds], $L683,
          unit_details[Baths], $M683,
          unit_details[Partial Baths], IF(ISNUMBER($N683),$N683,""),
          unit_details[Sqft],$P683
))),"")</f>
        <v/>
      </c>
      <c r="AE683" s="5" t="str">
        <f>IFERROR(IF($F683="Total",
          SUMPRODUCT(
   INDEX(AE:AE, ROW()-COUNTIF($F$6:INDEX($F:$F, ROW()-1), $F682)) : INDEX(AE:AE, ROW()-1),
   INDEX(AB:AB, ROW()-COUNTIF($F$6:INDEX($F:$F, ROW()-1), $F682)) : INDEX(AB:AB, ROW()-1)
   )
   /SUM(INDEX(AB:AB, ROW()-COUNTIF($F$6:INDEX($F:$F, ROW()-1), $F682)) : INDEX(AB:AB, ROW()-1)),
          AVERAGEIFS(unit_details[Asking Rent],
          unit_details[Active Listing?],TRUE,
          unit_details[Property Name], $F683,
          unit_details[Beds], $L683,
          unit_details[Baths], $M683,
          unit_details[Partial Baths], IF(ISNUMBER($N683),$N683,""),
          unit_details[Sqft],$P683
)),"")</f>
        <v/>
      </c>
      <c r="AF683" s="5" t="str">
        <f>IFERROR(IF(AE683="","",IF($F683="Total",
SUMPRODUCT(
   INDEX(AF:AF, ROW()-COUNTIF($F$6:INDEX($F:$F, ROW()-1), $F682)) : INDEX(AF:AF, ROW()-1),
   INDEX(AB:AB, ROW()-COUNTIF($F$6:INDEX($F:$F, ROW()-1), $F682)) : INDEX(AB:AB, ROW()-1)
   )
   /SUM(INDEX(AB:AB, ROW()-COUNTIF($F$6:INDEX($F:$F, ROW()-1), $F682)) : INDEX(AB:AB, ROW()-1)),
           _xlfn.MAXIFS(unit_details[Asking Rent],
          unit_details[Active Listing?],TRUE,
          unit_details[Property Name], $F683,
          unit_details[Beds], $L683,
          unit_details[Baths], $M683,
          unit_details[Partial Baths], IF(ISNUMBER($N683),$N683,""),
          unit_details[Sqft],$P683
))),"")</f>
        <v/>
      </c>
      <c r="AG683" s="6" t="str">
        <f>IFERROR(IF($F683="Total",
         SUMPRODUCT(
         INDEX(AG:AG, ROW()-COUNTIF($F$6:INDEX($F:$F, ROW()-1), $F682)) : INDEX(AG:AG, ROW()-1),
         INDEX(AB:AB, ROW()-COUNTIF($F$6:INDEX($F:$F, ROW()-1), $F682)) : INDEX(AB:AB, ROW()-1)
         )
         /SUM(INDEX(AB:AB, ROW()-COUNTIF($F$6:INDEX($F:$F, ROW()-1), $F682)) : INDEX(AB:AB, ROW()-1)),
          AVERAGEIFS(unit_details[Asking PSF],
          unit_details[Active Listing?],TRUE,
          unit_details[Property Name], $F683,
          unit_details[Beds], $L683,
          unit_details[Baths], $M683,
          unit_details[Partial Baths], IF(ISNUMBER($N683),$N683,""),
          unit_details[Sqft],$P683
)),"")</f>
        <v/>
      </c>
      <c r="AH683" s="293" t="str">
        <f>IFERROR(IF($F683="Total",
         SUMPRODUCT(
         INDEX(AH:AH, ROW()-COUNTIF($F$6:INDEX($F:$F, ROW()-1), $F682)) : INDEX(AH:AH, ROW()-1),
         INDEX(AB:AB, ROW()-COUNTIF($F$6:INDEX($F:$F, ROW()-1), $F682)) : INDEX(AB:AB, ROW()-1)
         )
         /SUM(INDEX(AB:AB, ROW()-COUNTIF($F$6:INDEX($F:$F, ROW()-1), $F682)) : INDEX(AB:AB, ROW()-1)),
          AVERAGEIFS(unit_details[Effective Rent],
          unit_details[Active Listing?],TRUE,
          unit_details[Property Name], $F683,
          unit_details[Beds], $L683,
          unit_details[Baths], $M683,
          unit_details[Partial Baths], IF(ISNUMBER($N683),$N683,""),
          unit_details[Sqft],$P683
)),"")</f>
        <v/>
      </c>
      <c r="AI683" s="6" t="str">
        <f>IFERROR(IF($F683="Total",
         SUMPRODUCT(
         INDEX(AI:AI, ROW()-COUNTIF($F$6:INDEX($F:$F, ROW()-1), $F682)) : INDEX(AI:AI, ROW()-1),
         INDEX(AB:AB, ROW()-COUNTIF($F$6:INDEX($F:$F, ROW()-1), $F682)) : INDEX(AB:AB, ROW()-1)
         )
         /SUM(INDEX(AB:AB, ROW()-COUNTIF($F$6:INDEX($F:$F, ROW()-1), $F682)) : INDEX(AB:AB, ROW()-1)),
           AVERAGEIFS(unit_details[Effective PSF],
          unit_details[Active Listing?],TRUE,
          unit_details[Property Name], $F683,
          unit_details[Beds], $L683,
          unit_details[Baths], $M683,
          unit_details[Partial Baths], IF(ISNUMBER($N683),$N683,""),
          unit_details[Sqft],$P683
)),"")</f>
        <v/>
      </c>
      <c r="AJ683" s="824" t="str">
        <f t="shared" si="114"/>
        <v/>
      </c>
      <c r="AK683" s="531" t="str">
        <f t="shared" si="115"/>
        <v/>
      </c>
      <c r="AL683" s="714" t="str">
        <f t="shared" si="116"/>
        <v/>
      </c>
      <c r="AM683" s="531" t="str">
        <f t="shared" si="117"/>
        <v/>
      </c>
      <c r="AN683" s="716" t="str">
        <f t="shared" si="118"/>
        <v/>
      </c>
    </row>
    <row r="684" spans="6:40" x14ac:dyDescent="0.2">
      <c r="F684" s="1" t="str">
        <f t="shared" si="111"/>
        <v/>
      </c>
      <c r="G684" s="713" t="str">
        <f t="shared" si="119"/>
        <v/>
      </c>
      <c r="H684" s="17" t="str">
        <f>IFERROR(VLOOKUP($G684,Table1[[Property]:[Exposure %]],4,0),"")</f>
        <v/>
      </c>
      <c r="I684" s="3" t="str">
        <f>IFERROR(VLOOKUP($G684,Table1[[Property]:[Exposure %]],6,0),"")</f>
        <v/>
      </c>
      <c r="J684" s="3" t="str">
        <f>IFERROR(VLOOKUP($G684,Table1[[Property]:[Exposure %]],7,0),"")</f>
        <v/>
      </c>
      <c r="R684" s="4" t="str">
        <f>IFERROR(VLOOKUP(IF(F684="Total",F683,F684),Table1[[Property]:['# Units]],7,0)*S684,"")</f>
        <v/>
      </c>
      <c r="S684" s="27" t="str">
        <f t="shared" si="112"/>
        <v/>
      </c>
      <c r="T684" s="531" t="str">
        <f>IFERROR(
 IF($F684="Total",
   SUMPRODUCT(
   INDEX(T:T, ROW()-COUNTIF($F$6:INDEX($F:$F, ROW()-1), $F683)) : INDEX(T:T, ROW()-1),
   INDEX(W:W, ROW()-COUNTIF($F$6:INDEX($F:$F, ROW()-1), $F683)) : INDEX(W:W, ROW()-1)
   )
   /SUM(INDEX(W:W, ROW()-COUNTIF($F$6:INDEX($F:$F, ROW()-1), $F683)) : INDEX(W:W, ROW()-1)),
   AVERAGEIFS(
     INDEX((unit_details[Asking Rent],unit_details[Asking PSF]),0,1,IF($U$3="Chunk Rent",1,2)),
     unit_details[Leased Date],"&gt;="&amp;($AM$2-T$5),
     unit_details[Leased Date],"&lt;"&amp;$AM$2,
     unit_details[Beds],$L684,
     unit_details[Baths],$M684,
     unit_details[Partial Baths],IF(ISNUMBER($N684),$N684,""),
     unit_details[Sqft],$P684,
     unit_details[Property Name],$F684)
 ),"")</f>
        <v/>
      </c>
      <c r="U684" s="552" t="str">
        <f>IFERROR(
 IF($F684="Total",
   SUMPRODUCT(
   INDEX(U:U, ROW()-COUNTIF($F$6:INDEX($F:$F, ROW()-1), $F683)) : INDEX(U:U, ROW()-1),
   INDEX(W:W, ROW()-COUNTIF($F$6:INDEX($F:$F, ROW()-1), $F683)) : INDEX(W:W, ROW()-1)
   )
   /SUM(INDEX(W:W, ROW()-COUNTIF($F$6:INDEX($F:$F, ROW()-1), $F683)) : INDEX(W:W, ROW()-1)),
   AVERAGEIFS(
     INDEX((unit_details[Effective Rent],unit_details[Effective PSF]),0,1,IF($U$3="Chunk Rent",1,2)),
     unit_details[Leased Date],"&gt;="&amp;($AM$2-T$5),
     unit_details[Leased Date],"&lt;"&amp;$AM$2,
     unit_details[Beds],$L684,
     unit_details[Baths],$M684,
     unit_details[Partial Baths],IF(ISNUMBER($N684),$N684,""),
     unit_details[Sqft],$P684,
     unit_details[Property Name],$F684)
 ),"")</f>
        <v/>
      </c>
      <c r="V684" s="27" t="str">
        <f t="shared" si="120"/>
        <v/>
      </c>
      <c r="W684" s="526">
        <f>IFERROR(
  IF($F684="Total",
    SUM(INDEX(W:W, ROW()-COUNTIF($F$6:INDEX($F:$F, ROW()-1), $F683)) : INDEX(W:W, ROW()-1)),
    COUNTIFS(
      unit_details[Leased Date], "&gt;="&amp;($AM$2-T$5),
      unit_details[Leased Date], "&lt;"&amp;$AM$2,
      unit_details[Beds], $L684,
      unit_details[Baths], $M684,
      unit_details[Partial Baths], IF(ISNUMBER($N684), $N684, ""),
      unit_details[Sqft],$P684,
      unit_details[Property Name], $F684
    )
  ),
"")</f>
        <v>0</v>
      </c>
      <c r="X684" s="531" t="str">
        <f>IFERROR(
 IF($F684="Total",
   SUMPRODUCT(
   INDEX(X:X, ROW()-COUNTIF($F$6:INDEX($F:$F, ROW()-1), $F683)) : INDEX(X:X, ROW()-1),
   INDEX(AA:AA, ROW()-COUNTIF($F$6:INDEX($F:$F, ROW()-1), $F683)) : INDEX(AA:AA, ROW()-1)
   )
   /SUM(INDEX(AA:AA, ROW()-COUNTIF($F$6:INDEX($F:$F, ROW()-1), $F683)) : INDEX(AA:AA, ROW()-1)),
   AVERAGEIFS(
     INDEX((unit_details[Asking Rent],unit_details[Asking PSF]),0,1,IF($U$3="Chunk Rent",1,2)),
     unit_details[Leased Date],"&gt;="&amp;($AM$2-X$5),
     unit_details[Leased Date],"&lt;"&amp;$AM$2,
     unit_details[Beds],$L684,
     unit_details[Baths],$M684,
     unit_details[Partial Baths],IF(ISNUMBER($N684),$N684,""),
     unit_details[Sqft],$P684,
     unit_details[Property Name],$F684)
 ),"")</f>
        <v/>
      </c>
      <c r="Y684" s="552" t="str">
        <f>IFERROR(
 IF($F684="Total",
   SUMPRODUCT(
   INDEX(Y:Y, ROW()-COUNTIF($F$6:INDEX($F:$F, ROW()-1), $F683)) : INDEX(Y:Y, ROW()-1),
   INDEX(AA:AA, ROW()-COUNTIF($F$6:INDEX($F:$F, ROW()-1), $F683)) : INDEX(AA:AA, ROW()-1)
   )
   /SUM(INDEX(AA:AA, ROW()-COUNTIF($F$6:INDEX($F:$F, ROW()-1), $F683)) : INDEX(AA:AA, ROW()-1)),
   AVERAGEIFS(
     INDEX((unit_details[Effective Rent],unit_details[Effective PSF]),0,1,IF($U$3="Chunk Rent",1,2)),
     unit_details[Leased Date],"&gt;="&amp;($AM$2-X$5),
     unit_details[Leased Date],"&lt;"&amp;$AM$2,
     unit_details[Beds],$L684,
     unit_details[Baths],$M684,
     unit_details[Partial Baths],IF(ISNUMBER($N684),$N684,""),
     unit_details[Sqft],$P684,
     unit_details[Property Name],$F684)
 ),"")</f>
        <v/>
      </c>
      <c r="Z684" s="27" t="str">
        <f t="shared" si="121"/>
        <v/>
      </c>
      <c r="AA684" s="526">
        <f>IFERROR(
  IF($F684="Total",
    SUM(INDEX(AA:AA, ROW()-COUNTIF($F$6:INDEX($F:$F, ROW()-1), $F683)) : INDEX(AA:AA, ROW()-1)),
    COUNTIFS(
      unit_details[Leased Date], "&gt;="&amp;($AM$2-X$5),
      unit_details[Leased Date], "&lt;"&amp;$AM$2,
      unit_details[Beds], $L684,
      unit_details[Baths], $M684,
      unit_details[Partial Baths], IF(ISNUMBER($N684), $N684, ""),
      unit_details[Sqft],$P684,
      unit_details[Property Name], $F684
    )
  ),
"")</f>
        <v>0</v>
      </c>
      <c r="AB684" s="290">
        <f>IF($F684="Total",
SUM(INDEX(AB:AB, ROW()-COUNTIF($F$6:INDEX($F:$F, ROW()-1), $F683)) : INDEX(AB:AB, ROW()-1)),
COUNTIFS(unit_details[Active Listing?],TRUE,
          unit_details[Property Name], $F684,
          unit_details[Beds], $L684,
          unit_details[Baths], $M684,
          unit_details[Partial Baths],IF(ISNUMBER($N684),$N684,""),
          unit_details[Sqft],$P684))</f>
        <v>0</v>
      </c>
      <c r="AC684" s="27" t="str">
        <f t="shared" si="113"/>
        <v/>
      </c>
      <c r="AD684" s="293" t="str">
        <f>IFERROR(IF(AE684="","",IF($F684="Total",
SUMPRODUCT(
   INDEX(AD:AD, ROW()-COUNTIF($F$6:INDEX($F:$F, ROW()-1), $F683)) : INDEX(AD:AD, ROW()-1),
   INDEX(AB:AB, ROW()-COUNTIF($F$6:INDEX($F:$F, ROW()-1), $F683)) : INDEX(AB:AB, ROW()-1)
   )
   /SUM(INDEX(AB:AB, ROW()-COUNTIF($F$6:INDEX($F:$F, ROW()-1), $F683)) : INDEX(AB:AB, ROW()-1)),
          _xlfn.MINIFS(unit_details[Asking Rent],
          unit_details[Active Listing?],TRUE,
          unit_details[Property Name], $F684,
          unit_details[Beds], $L684,
          unit_details[Baths], $M684,
          unit_details[Partial Baths], IF(ISNUMBER($N684),$N684,""),
          unit_details[Sqft],$P684
))),"")</f>
        <v/>
      </c>
      <c r="AE684" s="5" t="str">
        <f>IFERROR(IF($F684="Total",
          SUMPRODUCT(
   INDEX(AE:AE, ROW()-COUNTIF($F$6:INDEX($F:$F, ROW()-1), $F683)) : INDEX(AE:AE, ROW()-1),
   INDEX(AB:AB, ROW()-COUNTIF($F$6:INDEX($F:$F, ROW()-1), $F683)) : INDEX(AB:AB, ROW()-1)
   )
   /SUM(INDEX(AB:AB, ROW()-COUNTIF($F$6:INDEX($F:$F, ROW()-1), $F683)) : INDEX(AB:AB, ROW()-1)),
          AVERAGEIFS(unit_details[Asking Rent],
          unit_details[Active Listing?],TRUE,
          unit_details[Property Name], $F684,
          unit_details[Beds], $L684,
          unit_details[Baths], $M684,
          unit_details[Partial Baths], IF(ISNUMBER($N684),$N684,""),
          unit_details[Sqft],$P684
)),"")</f>
        <v/>
      </c>
      <c r="AF684" s="5" t="str">
        <f>IFERROR(IF(AE684="","",IF($F684="Total",
SUMPRODUCT(
   INDEX(AF:AF, ROW()-COUNTIF($F$6:INDEX($F:$F, ROW()-1), $F683)) : INDEX(AF:AF, ROW()-1),
   INDEX(AB:AB, ROW()-COUNTIF($F$6:INDEX($F:$F, ROW()-1), $F683)) : INDEX(AB:AB, ROW()-1)
   )
   /SUM(INDEX(AB:AB, ROW()-COUNTIF($F$6:INDEX($F:$F, ROW()-1), $F683)) : INDEX(AB:AB, ROW()-1)),
           _xlfn.MAXIFS(unit_details[Asking Rent],
          unit_details[Active Listing?],TRUE,
          unit_details[Property Name], $F684,
          unit_details[Beds], $L684,
          unit_details[Baths], $M684,
          unit_details[Partial Baths], IF(ISNUMBER($N684),$N684,""),
          unit_details[Sqft],$P684
))),"")</f>
        <v/>
      </c>
      <c r="AG684" s="6" t="str">
        <f>IFERROR(IF($F684="Total",
         SUMPRODUCT(
         INDEX(AG:AG, ROW()-COUNTIF($F$6:INDEX($F:$F, ROW()-1), $F683)) : INDEX(AG:AG, ROW()-1),
         INDEX(AB:AB, ROW()-COUNTIF($F$6:INDEX($F:$F, ROW()-1), $F683)) : INDEX(AB:AB, ROW()-1)
         )
         /SUM(INDEX(AB:AB, ROW()-COUNTIF($F$6:INDEX($F:$F, ROW()-1), $F683)) : INDEX(AB:AB, ROW()-1)),
          AVERAGEIFS(unit_details[Asking PSF],
          unit_details[Active Listing?],TRUE,
          unit_details[Property Name], $F684,
          unit_details[Beds], $L684,
          unit_details[Baths], $M684,
          unit_details[Partial Baths], IF(ISNUMBER($N684),$N684,""),
          unit_details[Sqft],$P684
)),"")</f>
        <v/>
      </c>
      <c r="AH684" s="293" t="str">
        <f>IFERROR(IF($F684="Total",
         SUMPRODUCT(
         INDEX(AH:AH, ROW()-COUNTIF($F$6:INDEX($F:$F, ROW()-1), $F683)) : INDEX(AH:AH, ROW()-1),
         INDEX(AB:AB, ROW()-COUNTIF($F$6:INDEX($F:$F, ROW()-1), $F683)) : INDEX(AB:AB, ROW()-1)
         )
         /SUM(INDEX(AB:AB, ROW()-COUNTIF($F$6:INDEX($F:$F, ROW()-1), $F683)) : INDEX(AB:AB, ROW()-1)),
          AVERAGEIFS(unit_details[Effective Rent],
          unit_details[Active Listing?],TRUE,
          unit_details[Property Name], $F684,
          unit_details[Beds], $L684,
          unit_details[Baths], $M684,
          unit_details[Partial Baths], IF(ISNUMBER($N684),$N684,""),
          unit_details[Sqft],$P684
)),"")</f>
        <v/>
      </c>
      <c r="AI684" s="6" t="str">
        <f>IFERROR(IF($F684="Total",
         SUMPRODUCT(
         INDEX(AI:AI, ROW()-COUNTIF($F$6:INDEX($F:$F, ROW()-1), $F683)) : INDEX(AI:AI, ROW()-1),
         INDEX(AB:AB, ROW()-COUNTIF($F$6:INDEX($F:$F, ROW()-1), $F683)) : INDEX(AB:AB, ROW()-1)
         )
         /SUM(INDEX(AB:AB, ROW()-COUNTIF($F$6:INDEX($F:$F, ROW()-1), $F683)) : INDEX(AB:AB, ROW()-1)),
           AVERAGEIFS(unit_details[Effective PSF],
          unit_details[Active Listing?],TRUE,
          unit_details[Property Name], $F684,
          unit_details[Beds], $L684,
          unit_details[Baths], $M684,
          unit_details[Partial Baths], IF(ISNUMBER($N684),$N684,""),
          unit_details[Sqft],$P684
)),"")</f>
        <v/>
      </c>
      <c r="AJ684" s="824" t="str">
        <f t="shared" si="114"/>
        <v/>
      </c>
      <c r="AK684" s="531" t="str">
        <f t="shared" si="115"/>
        <v/>
      </c>
      <c r="AL684" s="714" t="str">
        <f t="shared" si="116"/>
        <v/>
      </c>
      <c r="AM684" s="531" t="str">
        <f t="shared" si="117"/>
        <v/>
      </c>
      <c r="AN684" s="716" t="str">
        <f t="shared" si="118"/>
        <v/>
      </c>
    </row>
    <row r="685" spans="6:40" x14ac:dyDescent="0.2">
      <c r="F685" s="1" t="str">
        <f t="shared" si="111"/>
        <v/>
      </c>
      <c r="G685" s="713" t="str">
        <f t="shared" si="119"/>
        <v/>
      </c>
      <c r="H685" s="17" t="str">
        <f>IFERROR(VLOOKUP($G685,Table1[[Property]:[Exposure %]],4,0),"")</f>
        <v/>
      </c>
      <c r="I685" s="3" t="str">
        <f>IFERROR(VLOOKUP($G685,Table1[[Property]:[Exposure %]],6,0),"")</f>
        <v/>
      </c>
      <c r="J685" s="3" t="str">
        <f>IFERROR(VLOOKUP($G685,Table1[[Property]:[Exposure %]],7,0),"")</f>
        <v/>
      </c>
      <c r="R685" s="4" t="str">
        <f>IFERROR(VLOOKUP(IF(F685="Total",F684,F685),Table1[[Property]:['# Units]],7,0)*S685,"")</f>
        <v/>
      </c>
      <c r="S685" s="27" t="str">
        <f t="shared" si="112"/>
        <v/>
      </c>
      <c r="T685" s="531" t="str">
        <f>IFERROR(
 IF($F685="Total",
   SUMPRODUCT(
   INDEX(T:T, ROW()-COUNTIF($F$6:INDEX($F:$F, ROW()-1), $F684)) : INDEX(T:T, ROW()-1),
   INDEX(W:W, ROW()-COUNTIF($F$6:INDEX($F:$F, ROW()-1), $F684)) : INDEX(W:W, ROW()-1)
   )
   /SUM(INDEX(W:W, ROW()-COUNTIF($F$6:INDEX($F:$F, ROW()-1), $F684)) : INDEX(W:W, ROW()-1)),
   AVERAGEIFS(
     INDEX((unit_details[Asking Rent],unit_details[Asking PSF]),0,1,IF($U$3="Chunk Rent",1,2)),
     unit_details[Leased Date],"&gt;="&amp;($AM$2-T$5),
     unit_details[Leased Date],"&lt;"&amp;$AM$2,
     unit_details[Beds],$L685,
     unit_details[Baths],$M685,
     unit_details[Partial Baths],IF(ISNUMBER($N685),$N685,""),
     unit_details[Sqft],$P685,
     unit_details[Property Name],$F685)
 ),"")</f>
        <v/>
      </c>
      <c r="U685" s="552" t="str">
        <f>IFERROR(
 IF($F685="Total",
   SUMPRODUCT(
   INDEX(U:U, ROW()-COUNTIF($F$6:INDEX($F:$F, ROW()-1), $F684)) : INDEX(U:U, ROW()-1),
   INDEX(W:W, ROW()-COUNTIF($F$6:INDEX($F:$F, ROW()-1), $F684)) : INDEX(W:W, ROW()-1)
   )
   /SUM(INDEX(W:W, ROW()-COUNTIF($F$6:INDEX($F:$F, ROW()-1), $F684)) : INDEX(W:W, ROW()-1)),
   AVERAGEIFS(
     INDEX((unit_details[Effective Rent],unit_details[Effective PSF]),0,1,IF($U$3="Chunk Rent",1,2)),
     unit_details[Leased Date],"&gt;="&amp;($AM$2-T$5),
     unit_details[Leased Date],"&lt;"&amp;$AM$2,
     unit_details[Beds],$L685,
     unit_details[Baths],$M685,
     unit_details[Partial Baths],IF(ISNUMBER($N685),$N685,""),
     unit_details[Sqft],$P685,
     unit_details[Property Name],$F685)
 ),"")</f>
        <v/>
      </c>
      <c r="V685" s="27" t="str">
        <f t="shared" si="120"/>
        <v/>
      </c>
      <c r="W685" s="526">
        <f>IFERROR(
  IF($F685="Total",
    SUM(INDEX(W:W, ROW()-COUNTIF($F$6:INDEX($F:$F, ROW()-1), $F684)) : INDEX(W:W, ROW()-1)),
    COUNTIFS(
      unit_details[Leased Date], "&gt;="&amp;($AM$2-T$5),
      unit_details[Leased Date], "&lt;"&amp;$AM$2,
      unit_details[Beds], $L685,
      unit_details[Baths], $M685,
      unit_details[Partial Baths], IF(ISNUMBER($N685), $N685, ""),
      unit_details[Sqft],$P685,
      unit_details[Property Name], $F685
    )
  ),
"")</f>
        <v>0</v>
      </c>
      <c r="X685" s="531" t="str">
        <f>IFERROR(
 IF($F685="Total",
   SUMPRODUCT(
   INDEX(X:X, ROW()-COUNTIF($F$6:INDEX($F:$F, ROW()-1), $F684)) : INDEX(X:X, ROW()-1),
   INDEX(AA:AA, ROW()-COUNTIF($F$6:INDEX($F:$F, ROW()-1), $F684)) : INDEX(AA:AA, ROW()-1)
   )
   /SUM(INDEX(AA:AA, ROW()-COUNTIF($F$6:INDEX($F:$F, ROW()-1), $F684)) : INDEX(AA:AA, ROW()-1)),
   AVERAGEIFS(
     INDEX((unit_details[Asking Rent],unit_details[Asking PSF]),0,1,IF($U$3="Chunk Rent",1,2)),
     unit_details[Leased Date],"&gt;="&amp;($AM$2-X$5),
     unit_details[Leased Date],"&lt;"&amp;$AM$2,
     unit_details[Beds],$L685,
     unit_details[Baths],$M685,
     unit_details[Partial Baths],IF(ISNUMBER($N685),$N685,""),
     unit_details[Sqft],$P685,
     unit_details[Property Name],$F685)
 ),"")</f>
        <v/>
      </c>
      <c r="Y685" s="552" t="str">
        <f>IFERROR(
 IF($F685="Total",
   SUMPRODUCT(
   INDEX(Y:Y, ROW()-COUNTIF($F$6:INDEX($F:$F, ROW()-1), $F684)) : INDEX(Y:Y, ROW()-1),
   INDEX(AA:AA, ROW()-COUNTIF($F$6:INDEX($F:$F, ROW()-1), $F684)) : INDEX(AA:AA, ROW()-1)
   )
   /SUM(INDEX(AA:AA, ROW()-COUNTIF($F$6:INDEX($F:$F, ROW()-1), $F684)) : INDEX(AA:AA, ROW()-1)),
   AVERAGEIFS(
     INDEX((unit_details[Effective Rent],unit_details[Effective PSF]),0,1,IF($U$3="Chunk Rent",1,2)),
     unit_details[Leased Date],"&gt;="&amp;($AM$2-X$5),
     unit_details[Leased Date],"&lt;"&amp;$AM$2,
     unit_details[Beds],$L685,
     unit_details[Baths],$M685,
     unit_details[Partial Baths],IF(ISNUMBER($N685),$N685,""),
     unit_details[Sqft],$P685,
     unit_details[Property Name],$F685)
 ),"")</f>
        <v/>
      </c>
      <c r="Z685" s="27" t="str">
        <f t="shared" si="121"/>
        <v/>
      </c>
      <c r="AA685" s="526">
        <f>IFERROR(
  IF($F685="Total",
    SUM(INDEX(AA:AA, ROW()-COUNTIF($F$6:INDEX($F:$F, ROW()-1), $F684)) : INDEX(AA:AA, ROW()-1)),
    COUNTIFS(
      unit_details[Leased Date], "&gt;="&amp;($AM$2-X$5),
      unit_details[Leased Date], "&lt;"&amp;$AM$2,
      unit_details[Beds], $L685,
      unit_details[Baths], $M685,
      unit_details[Partial Baths], IF(ISNUMBER($N685), $N685, ""),
      unit_details[Sqft],$P685,
      unit_details[Property Name], $F685
    )
  ),
"")</f>
        <v>0</v>
      </c>
      <c r="AB685" s="290">
        <f>IF($F685="Total",
SUM(INDEX(AB:AB, ROW()-COUNTIF($F$6:INDEX($F:$F, ROW()-1), $F684)) : INDEX(AB:AB, ROW()-1)),
COUNTIFS(unit_details[Active Listing?],TRUE,
          unit_details[Property Name], $F685,
          unit_details[Beds], $L685,
          unit_details[Baths], $M685,
          unit_details[Partial Baths],IF(ISNUMBER($N685),$N685,""),
          unit_details[Sqft],$P685))</f>
        <v>0</v>
      </c>
      <c r="AC685" s="27" t="str">
        <f t="shared" si="113"/>
        <v/>
      </c>
      <c r="AD685" s="293" t="str">
        <f>IFERROR(IF(AE685="","",IF($F685="Total",
SUMPRODUCT(
   INDEX(AD:AD, ROW()-COUNTIF($F$6:INDEX($F:$F, ROW()-1), $F684)) : INDEX(AD:AD, ROW()-1),
   INDEX(AB:AB, ROW()-COUNTIF($F$6:INDEX($F:$F, ROW()-1), $F684)) : INDEX(AB:AB, ROW()-1)
   )
   /SUM(INDEX(AB:AB, ROW()-COUNTIF($F$6:INDEX($F:$F, ROW()-1), $F684)) : INDEX(AB:AB, ROW()-1)),
          _xlfn.MINIFS(unit_details[Asking Rent],
          unit_details[Active Listing?],TRUE,
          unit_details[Property Name], $F685,
          unit_details[Beds], $L685,
          unit_details[Baths], $M685,
          unit_details[Partial Baths], IF(ISNUMBER($N685),$N685,""),
          unit_details[Sqft],$P685
))),"")</f>
        <v/>
      </c>
      <c r="AE685" s="5" t="str">
        <f>IFERROR(IF($F685="Total",
          SUMPRODUCT(
   INDEX(AE:AE, ROW()-COUNTIF($F$6:INDEX($F:$F, ROW()-1), $F684)) : INDEX(AE:AE, ROW()-1),
   INDEX(AB:AB, ROW()-COUNTIF($F$6:INDEX($F:$F, ROW()-1), $F684)) : INDEX(AB:AB, ROW()-1)
   )
   /SUM(INDEX(AB:AB, ROW()-COUNTIF($F$6:INDEX($F:$F, ROW()-1), $F684)) : INDEX(AB:AB, ROW()-1)),
          AVERAGEIFS(unit_details[Asking Rent],
          unit_details[Active Listing?],TRUE,
          unit_details[Property Name], $F685,
          unit_details[Beds], $L685,
          unit_details[Baths], $M685,
          unit_details[Partial Baths], IF(ISNUMBER($N685),$N685,""),
          unit_details[Sqft],$P685
)),"")</f>
        <v/>
      </c>
      <c r="AF685" s="5" t="str">
        <f>IFERROR(IF(AE685="","",IF($F685="Total",
SUMPRODUCT(
   INDEX(AF:AF, ROW()-COUNTIF($F$6:INDEX($F:$F, ROW()-1), $F684)) : INDEX(AF:AF, ROW()-1),
   INDEX(AB:AB, ROW()-COUNTIF($F$6:INDEX($F:$F, ROW()-1), $F684)) : INDEX(AB:AB, ROW()-1)
   )
   /SUM(INDEX(AB:AB, ROW()-COUNTIF($F$6:INDEX($F:$F, ROW()-1), $F684)) : INDEX(AB:AB, ROW()-1)),
           _xlfn.MAXIFS(unit_details[Asking Rent],
          unit_details[Active Listing?],TRUE,
          unit_details[Property Name], $F685,
          unit_details[Beds], $L685,
          unit_details[Baths], $M685,
          unit_details[Partial Baths], IF(ISNUMBER($N685),$N685,""),
          unit_details[Sqft],$P685
))),"")</f>
        <v/>
      </c>
      <c r="AG685" s="6" t="str">
        <f>IFERROR(IF($F685="Total",
         SUMPRODUCT(
         INDEX(AG:AG, ROW()-COUNTIF($F$6:INDEX($F:$F, ROW()-1), $F684)) : INDEX(AG:AG, ROW()-1),
         INDEX(AB:AB, ROW()-COUNTIF($F$6:INDEX($F:$F, ROW()-1), $F684)) : INDEX(AB:AB, ROW()-1)
         )
         /SUM(INDEX(AB:AB, ROW()-COUNTIF($F$6:INDEX($F:$F, ROW()-1), $F684)) : INDEX(AB:AB, ROW()-1)),
          AVERAGEIFS(unit_details[Asking PSF],
          unit_details[Active Listing?],TRUE,
          unit_details[Property Name], $F685,
          unit_details[Beds], $L685,
          unit_details[Baths], $M685,
          unit_details[Partial Baths], IF(ISNUMBER($N685),$N685,""),
          unit_details[Sqft],$P685
)),"")</f>
        <v/>
      </c>
      <c r="AH685" s="293" t="str">
        <f>IFERROR(IF($F685="Total",
         SUMPRODUCT(
         INDEX(AH:AH, ROW()-COUNTIF($F$6:INDEX($F:$F, ROW()-1), $F684)) : INDEX(AH:AH, ROW()-1),
         INDEX(AB:AB, ROW()-COUNTIF($F$6:INDEX($F:$F, ROW()-1), $F684)) : INDEX(AB:AB, ROW()-1)
         )
         /SUM(INDEX(AB:AB, ROW()-COUNTIF($F$6:INDEX($F:$F, ROW()-1), $F684)) : INDEX(AB:AB, ROW()-1)),
          AVERAGEIFS(unit_details[Effective Rent],
          unit_details[Active Listing?],TRUE,
          unit_details[Property Name], $F685,
          unit_details[Beds], $L685,
          unit_details[Baths], $M685,
          unit_details[Partial Baths], IF(ISNUMBER($N685),$N685,""),
          unit_details[Sqft],$P685
)),"")</f>
        <v/>
      </c>
      <c r="AI685" s="6" t="str">
        <f>IFERROR(IF($F685="Total",
         SUMPRODUCT(
         INDEX(AI:AI, ROW()-COUNTIF($F$6:INDEX($F:$F, ROW()-1), $F684)) : INDEX(AI:AI, ROW()-1),
         INDEX(AB:AB, ROW()-COUNTIF($F$6:INDEX($F:$F, ROW()-1), $F684)) : INDEX(AB:AB, ROW()-1)
         )
         /SUM(INDEX(AB:AB, ROW()-COUNTIF($F$6:INDEX($F:$F, ROW()-1), $F684)) : INDEX(AB:AB, ROW()-1)),
           AVERAGEIFS(unit_details[Effective PSF],
          unit_details[Active Listing?],TRUE,
          unit_details[Property Name], $F685,
          unit_details[Beds], $L685,
          unit_details[Baths], $M685,
          unit_details[Partial Baths], IF(ISNUMBER($N685),$N685,""),
          unit_details[Sqft],$P685
)),"")</f>
        <v/>
      </c>
      <c r="AJ685" s="824" t="str">
        <f t="shared" si="114"/>
        <v/>
      </c>
      <c r="AK685" s="531" t="str">
        <f t="shared" si="115"/>
        <v/>
      </c>
      <c r="AL685" s="714" t="str">
        <f t="shared" si="116"/>
        <v/>
      </c>
      <c r="AM685" s="531" t="str">
        <f t="shared" si="117"/>
        <v/>
      </c>
      <c r="AN685" s="716" t="str">
        <f t="shared" si="118"/>
        <v/>
      </c>
    </row>
    <row r="686" spans="6:40" x14ac:dyDescent="0.2">
      <c r="F686" s="1" t="str">
        <f t="shared" si="111"/>
        <v/>
      </c>
      <c r="G686" s="713" t="str">
        <f t="shared" si="119"/>
        <v/>
      </c>
      <c r="H686" s="17" t="str">
        <f>IFERROR(VLOOKUP($G686,Table1[[Property]:[Exposure %]],4,0),"")</f>
        <v/>
      </c>
      <c r="I686" s="3" t="str">
        <f>IFERROR(VLOOKUP($G686,Table1[[Property]:[Exposure %]],6,0),"")</f>
        <v/>
      </c>
      <c r="J686" s="3" t="str">
        <f>IFERROR(VLOOKUP($G686,Table1[[Property]:[Exposure %]],7,0),"")</f>
        <v/>
      </c>
      <c r="R686" s="4" t="str">
        <f>IFERROR(VLOOKUP(IF(F686="Total",F685,F686),Table1[[Property]:['# Units]],7,0)*S686,"")</f>
        <v/>
      </c>
      <c r="S686" s="27" t="str">
        <f t="shared" si="112"/>
        <v/>
      </c>
      <c r="T686" s="531" t="str">
        <f>IFERROR(
 IF($F686="Total",
   SUMPRODUCT(
   INDEX(T:T, ROW()-COUNTIF($F$6:INDEX($F:$F, ROW()-1), $F685)) : INDEX(T:T, ROW()-1),
   INDEX(W:W, ROW()-COUNTIF($F$6:INDEX($F:$F, ROW()-1), $F685)) : INDEX(W:W, ROW()-1)
   )
   /SUM(INDEX(W:W, ROW()-COUNTIF($F$6:INDEX($F:$F, ROW()-1), $F685)) : INDEX(W:W, ROW()-1)),
   AVERAGEIFS(
     INDEX((unit_details[Asking Rent],unit_details[Asking PSF]),0,1,IF($U$3="Chunk Rent",1,2)),
     unit_details[Leased Date],"&gt;="&amp;($AM$2-T$5),
     unit_details[Leased Date],"&lt;"&amp;$AM$2,
     unit_details[Beds],$L686,
     unit_details[Baths],$M686,
     unit_details[Partial Baths],IF(ISNUMBER($N686),$N686,""),
     unit_details[Sqft],$P686,
     unit_details[Property Name],$F686)
 ),"")</f>
        <v/>
      </c>
      <c r="U686" s="552" t="str">
        <f>IFERROR(
 IF($F686="Total",
   SUMPRODUCT(
   INDEX(U:U, ROW()-COUNTIF($F$6:INDEX($F:$F, ROW()-1), $F685)) : INDEX(U:U, ROW()-1),
   INDEX(W:W, ROW()-COUNTIF($F$6:INDEX($F:$F, ROW()-1), $F685)) : INDEX(W:W, ROW()-1)
   )
   /SUM(INDEX(W:W, ROW()-COUNTIF($F$6:INDEX($F:$F, ROW()-1), $F685)) : INDEX(W:W, ROW()-1)),
   AVERAGEIFS(
     INDEX((unit_details[Effective Rent],unit_details[Effective PSF]),0,1,IF($U$3="Chunk Rent",1,2)),
     unit_details[Leased Date],"&gt;="&amp;($AM$2-T$5),
     unit_details[Leased Date],"&lt;"&amp;$AM$2,
     unit_details[Beds],$L686,
     unit_details[Baths],$M686,
     unit_details[Partial Baths],IF(ISNUMBER($N686),$N686,""),
     unit_details[Sqft],$P686,
     unit_details[Property Name],$F686)
 ),"")</f>
        <v/>
      </c>
      <c r="V686" s="27" t="str">
        <f t="shared" si="120"/>
        <v/>
      </c>
      <c r="W686" s="526">
        <f>IFERROR(
  IF($F686="Total",
    SUM(INDEX(W:W, ROW()-COUNTIF($F$6:INDEX($F:$F, ROW()-1), $F685)) : INDEX(W:W, ROW()-1)),
    COUNTIFS(
      unit_details[Leased Date], "&gt;="&amp;($AM$2-T$5),
      unit_details[Leased Date], "&lt;"&amp;$AM$2,
      unit_details[Beds], $L686,
      unit_details[Baths], $M686,
      unit_details[Partial Baths], IF(ISNUMBER($N686), $N686, ""),
      unit_details[Sqft],$P686,
      unit_details[Property Name], $F686
    )
  ),
"")</f>
        <v>0</v>
      </c>
      <c r="X686" s="531" t="str">
        <f>IFERROR(
 IF($F686="Total",
   SUMPRODUCT(
   INDEX(X:X, ROW()-COUNTIF($F$6:INDEX($F:$F, ROW()-1), $F685)) : INDEX(X:X, ROW()-1),
   INDEX(AA:AA, ROW()-COUNTIF($F$6:INDEX($F:$F, ROW()-1), $F685)) : INDEX(AA:AA, ROW()-1)
   )
   /SUM(INDEX(AA:AA, ROW()-COUNTIF($F$6:INDEX($F:$F, ROW()-1), $F685)) : INDEX(AA:AA, ROW()-1)),
   AVERAGEIFS(
     INDEX((unit_details[Asking Rent],unit_details[Asking PSF]),0,1,IF($U$3="Chunk Rent",1,2)),
     unit_details[Leased Date],"&gt;="&amp;($AM$2-X$5),
     unit_details[Leased Date],"&lt;"&amp;$AM$2,
     unit_details[Beds],$L686,
     unit_details[Baths],$M686,
     unit_details[Partial Baths],IF(ISNUMBER($N686),$N686,""),
     unit_details[Sqft],$P686,
     unit_details[Property Name],$F686)
 ),"")</f>
        <v/>
      </c>
      <c r="Y686" s="552" t="str">
        <f>IFERROR(
 IF($F686="Total",
   SUMPRODUCT(
   INDEX(Y:Y, ROW()-COUNTIF($F$6:INDEX($F:$F, ROW()-1), $F685)) : INDEX(Y:Y, ROW()-1),
   INDEX(AA:AA, ROW()-COUNTIF($F$6:INDEX($F:$F, ROW()-1), $F685)) : INDEX(AA:AA, ROW()-1)
   )
   /SUM(INDEX(AA:AA, ROW()-COUNTIF($F$6:INDEX($F:$F, ROW()-1), $F685)) : INDEX(AA:AA, ROW()-1)),
   AVERAGEIFS(
     INDEX((unit_details[Effective Rent],unit_details[Effective PSF]),0,1,IF($U$3="Chunk Rent",1,2)),
     unit_details[Leased Date],"&gt;="&amp;($AM$2-X$5),
     unit_details[Leased Date],"&lt;"&amp;$AM$2,
     unit_details[Beds],$L686,
     unit_details[Baths],$M686,
     unit_details[Partial Baths],IF(ISNUMBER($N686),$N686,""),
     unit_details[Sqft],$P686,
     unit_details[Property Name],$F686)
 ),"")</f>
        <v/>
      </c>
      <c r="Z686" s="27" t="str">
        <f t="shared" si="121"/>
        <v/>
      </c>
      <c r="AA686" s="526">
        <f>IFERROR(
  IF($F686="Total",
    SUM(INDEX(AA:AA, ROW()-COUNTIF($F$6:INDEX($F:$F, ROW()-1), $F685)) : INDEX(AA:AA, ROW()-1)),
    COUNTIFS(
      unit_details[Leased Date], "&gt;="&amp;($AM$2-X$5),
      unit_details[Leased Date], "&lt;"&amp;$AM$2,
      unit_details[Beds], $L686,
      unit_details[Baths], $M686,
      unit_details[Partial Baths], IF(ISNUMBER($N686), $N686, ""),
      unit_details[Sqft],$P686,
      unit_details[Property Name], $F686
    )
  ),
"")</f>
        <v>0</v>
      </c>
      <c r="AB686" s="290">
        <f>IF($F686="Total",
SUM(INDEX(AB:AB, ROW()-COUNTIF($F$6:INDEX($F:$F, ROW()-1), $F685)) : INDEX(AB:AB, ROW()-1)),
COUNTIFS(unit_details[Active Listing?],TRUE,
          unit_details[Property Name], $F686,
          unit_details[Beds], $L686,
          unit_details[Baths], $M686,
          unit_details[Partial Baths],IF(ISNUMBER($N686),$N686,""),
          unit_details[Sqft],$P686))</f>
        <v>0</v>
      </c>
      <c r="AC686" s="27" t="str">
        <f t="shared" si="113"/>
        <v/>
      </c>
      <c r="AD686" s="293" t="str">
        <f>IFERROR(IF(AE686="","",IF($F686="Total",
SUMPRODUCT(
   INDEX(AD:AD, ROW()-COUNTIF($F$6:INDEX($F:$F, ROW()-1), $F685)) : INDEX(AD:AD, ROW()-1),
   INDEX(AB:AB, ROW()-COUNTIF($F$6:INDEX($F:$F, ROW()-1), $F685)) : INDEX(AB:AB, ROW()-1)
   )
   /SUM(INDEX(AB:AB, ROW()-COUNTIF($F$6:INDEX($F:$F, ROW()-1), $F685)) : INDEX(AB:AB, ROW()-1)),
          _xlfn.MINIFS(unit_details[Asking Rent],
          unit_details[Active Listing?],TRUE,
          unit_details[Property Name], $F686,
          unit_details[Beds], $L686,
          unit_details[Baths], $M686,
          unit_details[Partial Baths], IF(ISNUMBER($N686),$N686,""),
          unit_details[Sqft],$P686
))),"")</f>
        <v/>
      </c>
      <c r="AE686" s="5" t="str">
        <f>IFERROR(IF($F686="Total",
          SUMPRODUCT(
   INDEX(AE:AE, ROW()-COUNTIF($F$6:INDEX($F:$F, ROW()-1), $F685)) : INDEX(AE:AE, ROW()-1),
   INDEX(AB:AB, ROW()-COUNTIF($F$6:INDEX($F:$F, ROW()-1), $F685)) : INDEX(AB:AB, ROW()-1)
   )
   /SUM(INDEX(AB:AB, ROW()-COUNTIF($F$6:INDEX($F:$F, ROW()-1), $F685)) : INDEX(AB:AB, ROW()-1)),
          AVERAGEIFS(unit_details[Asking Rent],
          unit_details[Active Listing?],TRUE,
          unit_details[Property Name], $F686,
          unit_details[Beds], $L686,
          unit_details[Baths], $M686,
          unit_details[Partial Baths], IF(ISNUMBER($N686),$N686,""),
          unit_details[Sqft],$P686
)),"")</f>
        <v/>
      </c>
      <c r="AF686" s="5" t="str">
        <f>IFERROR(IF(AE686="","",IF($F686="Total",
SUMPRODUCT(
   INDEX(AF:AF, ROW()-COUNTIF($F$6:INDEX($F:$F, ROW()-1), $F685)) : INDEX(AF:AF, ROW()-1),
   INDEX(AB:AB, ROW()-COUNTIF($F$6:INDEX($F:$F, ROW()-1), $F685)) : INDEX(AB:AB, ROW()-1)
   )
   /SUM(INDEX(AB:AB, ROW()-COUNTIF($F$6:INDEX($F:$F, ROW()-1), $F685)) : INDEX(AB:AB, ROW()-1)),
           _xlfn.MAXIFS(unit_details[Asking Rent],
          unit_details[Active Listing?],TRUE,
          unit_details[Property Name], $F686,
          unit_details[Beds], $L686,
          unit_details[Baths], $M686,
          unit_details[Partial Baths], IF(ISNUMBER($N686),$N686,""),
          unit_details[Sqft],$P686
))),"")</f>
        <v/>
      </c>
      <c r="AG686" s="6" t="str">
        <f>IFERROR(IF($F686="Total",
         SUMPRODUCT(
         INDEX(AG:AG, ROW()-COUNTIF($F$6:INDEX($F:$F, ROW()-1), $F685)) : INDEX(AG:AG, ROW()-1),
         INDEX(AB:AB, ROW()-COUNTIF($F$6:INDEX($F:$F, ROW()-1), $F685)) : INDEX(AB:AB, ROW()-1)
         )
         /SUM(INDEX(AB:AB, ROW()-COUNTIF($F$6:INDEX($F:$F, ROW()-1), $F685)) : INDEX(AB:AB, ROW()-1)),
          AVERAGEIFS(unit_details[Asking PSF],
          unit_details[Active Listing?],TRUE,
          unit_details[Property Name], $F686,
          unit_details[Beds], $L686,
          unit_details[Baths], $M686,
          unit_details[Partial Baths], IF(ISNUMBER($N686),$N686,""),
          unit_details[Sqft],$P686
)),"")</f>
        <v/>
      </c>
      <c r="AH686" s="293" t="str">
        <f>IFERROR(IF($F686="Total",
         SUMPRODUCT(
         INDEX(AH:AH, ROW()-COUNTIF($F$6:INDEX($F:$F, ROW()-1), $F685)) : INDEX(AH:AH, ROW()-1),
         INDEX(AB:AB, ROW()-COUNTIF($F$6:INDEX($F:$F, ROW()-1), $F685)) : INDEX(AB:AB, ROW()-1)
         )
         /SUM(INDEX(AB:AB, ROW()-COUNTIF($F$6:INDEX($F:$F, ROW()-1), $F685)) : INDEX(AB:AB, ROW()-1)),
          AVERAGEIFS(unit_details[Effective Rent],
          unit_details[Active Listing?],TRUE,
          unit_details[Property Name], $F686,
          unit_details[Beds], $L686,
          unit_details[Baths], $M686,
          unit_details[Partial Baths], IF(ISNUMBER($N686),$N686,""),
          unit_details[Sqft],$P686
)),"")</f>
        <v/>
      </c>
      <c r="AI686" s="6" t="str">
        <f>IFERROR(IF($F686="Total",
         SUMPRODUCT(
         INDEX(AI:AI, ROW()-COUNTIF($F$6:INDEX($F:$F, ROW()-1), $F685)) : INDEX(AI:AI, ROW()-1),
         INDEX(AB:AB, ROW()-COUNTIF($F$6:INDEX($F:$F, ROW()-1), $F685)) : INDEX(AB:AB, ROW()-1)
         )
         /SUM(INDEX(AB:AB, ROW()-COUNTIF($F$6:INDEX($F:$F, ROW()-1), $F685)) : INDEX(AB:AB, ROW()-1)),
           AVERAGEIFS(unit_details[Effective PSF],
          unit_details[Active Listing?],TRUE,
          unit_details[Property Name], $F686,
          unit_details[Beds], $L686,
          unit_details[Baths], $M686,
          unit_details[Partial Baths], IF(ISNUMBER($N686),$N686,""),
          unit_details[Sqft],$P686
)),"")</f>
        <v/>
      </c>
      <c r="AJ686" s="824" t="str">
        <f t="shared" si="114"/>
        <v/>
      </c>
      <c r="AK686" s="531" t="str">
        <f t="shared" si="115"/>
        <v/>
      </c>
      <c r="AL686" s="714" t="str">
        <f t="shared" si="116"/>
        <v/>
      </c>
      <c r="AM686" s="531" t="str">
        <f t="shared" si="117"/>
        <v/>
      </c>
      <c r="AN686" s="716" t="str">
        <f t="shared" si="118"/>
        <v/>
      </c>
    </row>
    <row r="687" spans="6:40" x14ac:dyDescent="0.2">
      <c r="F687" s="1" t="str">
        <f t="shared" si="111"/>
        <v/>
      </c>
      <c r="G687" s="713" t="str">
        <f t="shared" si="119"/>
        <v/>
      </c>
      <c r="H687" s="17" t="str">
        <f>IFERROR(VLOOKUP($G687,Table1[[Property]:[Exposure %]],4,0),"")</f>
        <v/>
      </c>
      <c r="I687" s="3" t="str">
        <f>IFERROR(VLOOKUP($G687,Table1[[Property]:[Exposure %]],6,0),"")</f>
        <v/>
      </c>
      <c r="J687" s="3" t="str">
        <f>IFERROR(VLOOKUP($G687,Table1[[Property]:[Exposure %]],7,0),"")</f>
        <v/>
      </c>
      <c r="R687" s="4" t="str">
        <f>IFERROR(VLOOKUP(IF(F687="Total",F686,F687),Table1[[Property]:['# Units]],7,0)*S687,"")</f>
        <v/>
      </c>
      <c r="S687" s="27" t="str">
        <f t="shared" si="112"/>
        <v/>
      </c>
      <c r="T687" s="531" t="str">
        <f>IFERROR(
 IF($F687="Total",
   SUMPRODUCT(
   INDEX(T:T, ROW()-COUNTIF($F$6:INDEX($F:$F, ROW()-1), $F686)) : INDEX(T:T, ROW()-1),
   INDEX(W:W, ROW()-COUNTIF($F$6:INDEX($F:$F, ROW()-1), $F686)) : INDEX(W:W, ROW()-1)
   )
   /SUM(INDEX(W:W, ROW()-COUNTIF($F$6:INDEX($F:$F, ROW()-1), $F686)) : INDEX(W:W, ROW()-1)),
   AVERAGEIFS(
     INDEX((unit_details[Asking Rent],unit_details[Asking PSF]),0,1,IF($U$3="Chunk Rent",1,2)),
     unit_details[Leased Date],"&gt;="&amp;($AM$2-T$5),
     unit_details[Leased Date],"&lt;"&amp;$AM$2,
     unit_details[Beds],$L687,
     unit_details[Baths],$M687,
     unit_details[Partial Baths],IF(ISNUMBER($N687),$N687,""),
     unit_details[Sqft],$P687,
     unit_details[Property Name],$F687)
 ),"")</f>
        <v/>
      </c>
      <c r="U687" s="552" t="str">
        <f>IFERROR(
 IF($F687="Total",
   SUMPRODUCT(
   INDEX(U:U, ROW()-COUNTIF($F$6:INDEX($F:$F, ROW()-1), $F686)) : INDEX(U:U, ROW()-1),
   INDEX(W:W, ROW()-COUNTIF($F$6:INDEX($F:$F, ROW()-1), $F686)) : INDEX(W:W, ROW()-1)
   )
   /SUM(INDEX(W:W, ROW()-COUNTIF($F$6:INDEX($F:$F, ROW()-1), $F686)) : INDEX(W:W, ROW()-1)),
   AVERAGEIFS(
     INDEX((unit_details[Effective Rent],unit_details[Effective PSF]),0,1,IF($U$3="Chunk Rent",1,2)),
     unit_details[Leased Date],"&gt;="&amp;($AM$2-T$5),
     unit_details[Leased Date],"&lt;"&amp;$AM$2,
     unit_details[Beds],$L687,
     unit_details[Baths],$M687,
     unit_details[Partial Baths],IF(ISNUMBER($N687),$N687,""),
     unit_details[Sqft],$P687,
     unit_details[Property Name],$F687)
 ),"")</f>
        <v/>
      </c>
      <c r="V687" s="27" t="str">
        <f t="shared" si="120"/>
        <v/>
      </c>
      <c r="W687" s="526">
        <f>IFERROR(
  IF($F687="Total",
    SUM(INDEX(W:W, ROW()-COUNTIF($F$6:INDEX($F:$F, ROW()-1), $F686)) : INDEX(W:W, ROW()-1)),
    COUNTIFS(
      unit_details[Leased Date], "&gt;="&amp;($AM$2-T$5),
      unit_details[Leased Date], "&lt;"&amp;$AM$2,
      unit_details[Beds], $L687,
      unit_details[Baths], $M687,
      unit_details[Partial Baths], IF(ISNUMBER($N687), $N687, ""),
      unit_details[Sqft],$P687,
      unit_details[Property Name], $F687
    )
  ),
"")</f>
        <v>0</v>
      </c>
      <c r="X687" s="531" t="str">
        <f>IFERROR(
 IF($F687="Total",
   SUMPRODUCT(
   INDEX(X:X, ROW()-COUNTIF($F$6:INDEX($F:$F, ROW()-1), $F686)) : INDEX(X:X, ROW()-1),
   INDEX(AA:AA, ROW()-COUNTIF($F$6:INDEX($F:$F, ROW()-1), $F686)) : INDEX(AA:AA, ROW()-1)
   )
   /SUM(INDEX(AA:AA, ROW()-COUNTIF($F$6:INDEX($F:$F, ROW()-1), $F686)) : INDEX(AA:AA, ROW()-1)),
   AVERAGEIFS(
     INDEX((unit_details[Asking Rent],unit_details[Asking PSF]),0,1,IF($U$3="Chunk Rent",1,2)),
     unit_details[Leased Date],"&gt;="&amp;($AM$2-X$5),
     unit_details[Leased Date],"&lt;"&amp;$AM$2,
     unit_details[Beds],$L687,
     unit_details[Baths],$M687,
     unit_details[Partial Baths],IF(ISNUMBER($N687),$N687,""),
     unit_details[Sqft],$P687,
     unit_details[Property Name],$F687)
 ),"")</f>
        <v/>
      </c>
      <c r="Y687" s="552" t="str">
        <f>IFERROR(
 IF($F687="Total",
   SUMPRODUCT(
   INDEX(Y:Y, ROW()-COUNTIF($F$6:INDEX($F:$F, ROW()-1), $F686)) : INDEX(Y:Y, ROW()-1),
   INDEX(AA:AA, ROW()-COUNTIF($F$6:INDEX($F:$F, ROW()-1), $F686)) : INDEX(AA:AA, ROW()-1)
   )
   /SUM(INDEX(AA:AA, ROW()-COUNTIF($F$6:INDEX($F:$F, ROW()-1), $F686)) : INDEX(AA:AA, ROW()-1)),
   AVERAGEIFS(
     INDEX((unit_details[Effective Rent],unit_details[Effective PSF]),0,1,IF($U$3="Chunk Rent",1,2)),
     unit_details[Leased Date],"&gt;="&amp;($AM$2-X$5),
     unit_details[Leased Date],"&lt;"&amp;$AM$2,
     unit_details[Beds],$L687,
     unit_details[Baths],$M687,
     unit_details[Partial Baths],IF(ISNUMBER($N687),$N687,""),
     unit_details[Sqft],$P687,
     unit_details[Property Name],$F687)
 ),"")</f>
        <v/>
      </c>
      <c r="Z687" s="27" t="str">
        <f t="shared" si="121"/>
        <v/>
      </c>
      <c r="AA687" s="526">
        <f>IFERROR(
  IF($F687="Total",
    SUM(INDEX(AA:AA, ROW()-COUNTIF($F$6:INDEX($F:$F, ROW()-1), $F686)) : INDEX(AA:AA, ROW()-1)),
    COUNTIFS(
      unit_details[Leased Date], "&gt;="&amp;($AM$2-X$5),
      unit_details[Leased Date], "&lt;"&amp;$AM$2,
      unit_details[Beds], $L687,
      unit_details[Baths], $M687,
      unit_details[Partial Baths], IF(ISNUMBER($N687), $N687, ""),
      unit_details[Sqft],$P687,
      unit_details[Property Name], $F687
    )
  ),
"")</f>
        <v>0</v>
      </c>
      <c r="AB687" s="290">
        <f>IF($F687="Total",
SUM(INDEX(AB:AB, ROW()-COUNTIF($F$6:INDEX($F:$F, ROW()-1), $F686)) : INDEX(AB:AB, ROW()-1)),
COUNTIFS(unit_details[Active Listing?],TRUE,
          unit_details[Property Name], $F687,
          unit_details[Beds], $L687,
          unit_details[Baths], $M687,
          unit_details[Partial Baths],IF(ISNUMBER($N687),$N687,""),
          unit_details[Sqft],$P687))</f>
        <v>0</v>
      </c>
      <c r="AC687" s="27" t="str">
        <f t="shared" si="113"/>
        <v/>
      </c>
      <c r="AD687" s="293" t="str">
        <f>IFERROR(IF(AE687="","",IF($F687="Total",
SUMPRODUCT(
   INDEX(AD:AD, ROW()-COUNTIF($F$6:INDEX($F:$F, ROW()-1), $F686)) : INDEX(AD:AD, ROW()-1),
   INDEX(AB:AB, ROW()-COUNTIF($F$6:INDEX($F:$F, ROW()-1), $F686)) : INDEX(AB:AB, ROW()-1)
   )
   /SUM(INDEX(AB:AB, ROW()-COUNTIF($F$6:INDEX($F:$F, ROW()-1), $F686)) : INDEX(AB:AB, ROW()-1)),
          _xlfn.MINIFS(unit_details[Asking Rent],
          unit_details[Active Listing?],TRUE,
          unit_details[Property Name], $F687,
          unit_details[Beds], $L687,
          unit_details[Baths], $M687,
          unit_details[Partial Baths], IF(ISNUMBER($N687),$N687,""),
          unit_details[Sqft],$P687
))),"")</f>
        <v/>
      </c>
      <c r="AE687" s="5" t="str">
        <f>IFERROR(IF($F687="Total",
          SUMPRODUCT(
   INDEX(AE:AE, ROW()-COUNTIF($F$6:INDEX($F:$F, ROW()-1), $F686)) : INDEX(AE:AE, ROW()-1),
   INDEX(AB:AB, ROW()-COUNTIF($F$6:INDEX($F:$F, ROW()-1), $F686)) : INDEX(AB:AB, ROW()-1)
   )
   /SUM(INDEX(AB:AB, ROW()-COUNTIF($F$6:INDEX($F:$F, ROW()-1), $F686)) : INDEX(AB:AB, ROW()-1)),
          AVERAGEIFS(unit_details[Asking Rent],
          unit_details[Active Listing?],TRUE,
          unit_details[Property Name], $F687,
          unit_details[Beds], $L687,
          unit_details[Baths], $M687,
          unit_details[Partial Baths], IF(ISNUMBER($N687),$N687,""),
          unit_details[Sqft],$P687
)),"")</f>
        <v/>
      </c>
      <c r="AF687" s="5" t="str">
        <f>IFERROR(IF(AE687="","",IF($F687="Total",
SUMPRODUCT(
   INDEX(AF:AF, ROW()-COUNTIF($F$6:INDEX($F:$F, ROW()-1), $F686)) : INDEX(AF:AF, ROW()-1),
   INDEX(AB:AB, ROW()-COUNTIF($F$6:INDEX($F:$F, ROW()-1), $F686)) : INDEX(AB:AB, ROW()-1)
   )
   /SUM(INDEX(AB:AB, ROW()-COUNTIF($F$6:INDEX($F:$F, ROW()-1), $F686)) : INDEX(AB:AB, ROW()-1)),
           _xlfn.MAXIFS(unit_details[Asking Rent],
          unit_details[Active Listing?],TRUE,
          unit_details[Property Name], $F687,
          unit_details[Beds], $L687,
          unit_details[Baths], $M687,
          unit_details[Partial Baths], IF(ISNUMBER($N687),$N687,""),
          unit_details[Sqft],$P687
))),"")</f>
        <v/>
      </c>
      <c r="AG687" s="6" t="str">
        <f>IFERROR(IF($F687="Total",
         SUMPRODUCT(
         INDEX(AG:AG, ROW()-COUNTIF($F$6:INDEX($F:$F, ROW()-1), $F686)) : INDEX(AG:AG, ROW()-1),
         INDEX(AB:AB, ROW()-COUNTIF($F$6:INDEX($F:$F, ROW()-1), $F686)) : INDEX(AB:AB, ROW()-1)
         )
         /SUM(INDEX(AB:AB, ROW()-COUNTIF($F$6:INDEX($F:$F, ROW()-1), $F686)) : INDEX(AB:AB, ROW()-1)),
          AVERAGEIFS(unit_details[Asking PSF],
          unit_details[Active Listing?],TRUE,
          unit_details[Property Name], $F687,
          unit_details[Beds], $L687,
          unit_details[Baths], $M687,
          unit_details[Partial Baths], IF(ISNUMBER($N687),$N687,""),
          unit_details[Sqft],$P687
)),"")</f>
        <v/>
      </c>
      <c r="AH687" s="293" t="str">
        <f>IFERROR(IF($F687="Total",
         SUMPRODUCT(
         INDEX(AH:AH, ROW()-COUNTIF($F$6:INDEX($F:$F, ROW()-1), $F686)) : INDEX(AH:AH, ROW()-1),
         INDEX(AB:AB, ROW()-COUNTIF($F$6:INDEX($F:$F, ROW()-1), $F686)) : INDEX(AB:AB, ROW()-1)
         )
         /SUM(INDEX(AB:AB, ROW()-COUNTIF($F$6:INDEX($F:$F, ROW()-1), $F686)) : INDEX(AB:AB, ROW()-1)),
          AVERAGEIFS(unit_details[Effective Rent],
          unit_details[Active Listing?],TRUE,
          unit_details[Property Name], $F687,
          unit_details[Beds], $L687,
          unit_details[Baths], $M687,
          unit_details[Partial Baths], IF(ISNUMBER($N687),$N687,""),
          unit_details[Sqft],$P687
)),"")</f>
        <v/>
      </c>
      <c r="AI687" s="6" t="str">
        <f>IFERROR(IF($F687="Total",
         SUMPRODUCT(
         INDEX(AI:AI, ROW()-COUNTIF($F$6:INDEX($F:$F, ROW()-1), $F686)) : INDEX(AI:AI, ROW()-1),
         INDEX(AB:AB, ROW()-COUNTIF($F$6:INDEX($F:$F, ROW()-1), $F686)) : INDEX(AB:AB, ROW()-1)
         )
         /SUM(INDEX(AB:AB, ROW()-COUNTIF($F$6:INDEX($F:$F, ROW()-1), $F686)) : INDEX(AB:AB, ROW()-1)),
           AVERAGEIFS(unit_details[Effective PSF],
          unit_details[Active Listing?],TRUE,
          unit_details[Property Name], $F687,
          unit_details[Beds], $L687,
          unit_details[Baths], $M687,
          unit_details[Partial Baths], IF(ISNUMBER($N687),$N687,""),
          unit_details[Sqft],$P687
)),"")</f>
        <v/>
      </c>
      <c r="AJ687" s="824" t="str">
        <f t="shared" si="114"/>
        <v/>
      </c>
      <c r="AK687" s="531" t="str">
        <f t="shared" si="115"/>
        <v/>
      </c>
      <c r="AL687" s="714" t="str">
        <f t="shared" si="116"/>
        <v/>
      </c>
      <c r="AM687" s="531" t="str">
        <f t="shared" si="117"/>
        <v/>
      </c>
      <c r="AN687" s="716" t="str">
        <f t="shared" si="118"/>
        <v/>
      </c>
    </row>
    <row r="688" spans="6:40" x14ac:dyDescent="0.2">
      <c r="F688" s="1" t="str">
        <f t="shared" si="111"/>
        <v/>
      </c>
      <c r="G688" s="713" t="str">
        <f t="shared" si="119"/>
        <v/>
      </c>
      <c r="H688" s="17" t="str">
        <f>IFERROR(VLOOKUP($G688,Table1[[Property]:[Exposure %]],4,0),"")</f>
        <v/>
      </c>
      <c r="I688" s="3" t="str">
        <f>IFERROR(VLOOKUP($G688,Table1[[Property]:[Exposure %]],6,0),"")</f>
        <v/>
      </c>
      <c r="J688" s="3" t="str">
        <f>IFERROR(VLOOKUP($G688,Table1[[Property]:[Exposure %]],7,0),"")</f>
        <v/>
      </c>
      <c r="R688" s="4" t="str">
        <f>IFERROR(VLOOKUP(IF(F688="Total",F687,F688),Table1[[Property]:['# Units]],7,0)*S688,"")</f>
        <v/>
      </c>
      <c r="S688" s="27" t="str">
        <f t="shared" si="112"/>
        <v/>
      </c>
      <c r="T688" s="531" t="str">
        <f>IFERROR(
 IF($F688="Total",
   SUMPRODUCT(
   INDEX(T:T, ROW()-COUNTIF($F$6:INDEX($F:$F, ROW()-1), $F687)) : INDEX(T:T, ROW()-1),
   INDEX(W:W, ROW()-COUNTIF($F$6:INDEX($F:$F, ROW()-1), $F687)) : INDEX(W:W, ROW()-1)
   )
   /SUM(INDEX(W:W, ROW()-COUNTIF($F$6:INDEX($F:$F, ROW()-1), $F687)) : INDEX(W:W, ROW()-1)),
   AVERAGEIFS(
     INDEX((unit_details[Asking Rent],unit_details[Asking PSF]),0,1,IF($U$3="Chunk Rent",1,2)),
     unit_details[Leased Date],"&gt;="&amp;($AM$2-T$5),
     unit_details[Leased Date],"&lt;"&amp;$AM$2,
     unit_details[Beds],$L688,
     unit_details[Baths],$M688,
     unit_details[Partial Baths],IF(ISNUMBER($N688),$N688,""),
     unit_details[Sqft],$P688,
     unit_details[Property Name],$F688)
 ),"")</f>
        <v/>
      </c>
      <c r="U688" s="552" t="str">
        <f>IFERROR(
 IF($F688="Total",
   SUMPRODUCT(
   INDEX(U:U, ROW()-COUNTIF($F$6:INDEX($F:$F, ROW()-1), $F687)) : INDEX(U:U, ROW()-1),
   INDEX(W:W, ROW()-COUNTIF($F$6:INDEX($F:$F, ROW()-1), $F687)) : INDEX(W:W, ROW()-1)
   )
   /SUM(INDEX(W:W, ROW()-COUNTIF($F$6:INDEX($F:$F, ROW()-1), $F687)) : INDEX(W:W, ROW()-1)),
   AVERAGEIFS(
     INDEX((unit_details[Effective Rent],unit_details[Effective PSF]),0,1,IF($U$3="Chunk Rent",1,2)),
     unit_details[Leased Date],"&gt;="&amp;($AM$2-T$5),
     unit_details[Leased Date],"&lt;"&amp;$AM$2,
     unit_details[Beds],$L688,
     unit_details[Baths],$M688,
     unit_details[Partial Baths],IF(ISNUMBER($N688),$N688,""),
     unit_details[Sqft],$P688,
     unit_details[Property Name],$F688)
 ),"")</f>
        <v/>
      </c>
      <c r="V688" s="27" t="str">
        <f t="shared" si="120"/>
        <v/>
      </c>
      <c r="W688" s="526">
        <f>IFERROR(
  IF($F688="Total",
    SUM(INDEX(W:W, ROW()-COUNTIF($F$6:INDEX($F:$F, ROW()-1), $F687)) : INDEX(W:W, ROW()-1)),
    COUNTIFS(
      unit_details[Leased Date], "&gt;="&amp;($AM$2-T$5),
      unit_details[Leased Date], "&lt;"&amp;$AM$2,
      unit_details[Beds], $L688,
      unit_details[Baths], $M688,
      unit_details[Partial Baths], IF(ISNUMBER($N688), $N688, ""),
      unit_details[Sqft],$P688,
      unit_details[Property Name], $F688
    )
  ),
"")</f>
        <v>0</v>
      </c>
      <c r="X688" s="531" t="str">
        <f>IFERROR(
 IF($F688="Total",
   SUMPRODUCT(
   INDEX(X:X, ROW()-COUNTIF($F$6:INDEX($F:$F, ROW()-1), $F687)) : INDEX(X:X, ROW()-1),
   INDEX(AA:AA, ROW()-COUNTIF($F$6:INDEX($F:$F, ROW()-1), $F687)) : INDEX(AA:AA, ROW()-1)
   )
   /SUM(INDEX(AA:AA, ROW()-COUNTIF($F$6:INDEX($F:$F, ROW()-1), $F687)) : INDEX(AA:AA, ROW()-1)),
   AVERAGEIFS(
     INDEX((unit_details[Asking Rent],unit_details[Asking PSF]),0,1,IF($U$3="Chunk Rent",1,2)),
     unit_details[Leased Date],"&gt;="&amp;($AM$2-X$5),
     unit_details[Leased Date],"&lt;"&amp;$AM$2,
     unit_details[Beds],$L688,
     unit_details[Baths],$M688,
     unit_details[Partial Baths],IF(ISNUMBER($N688),$N688,""),
     unit_details[Sqft],$P688,
     unit_details[Property Name],$F688)
 ),"")</f>
        <v/>
      </c>
      <c r="Y688" s="552" t="str">
        <f>IFERROR(
 IF($F688="Total",
   SUMPRODUCT(
   INDEX(Y:Y, ROW()-COUNTIF($F$6:INDEX($F:$F, ROW()-1), $F687)) : INDEX(Y:Y, ROW()-1),
   INDEX(AA:AA, ROW()-COUNTIF($F$6:INDEX($F:$F, ROW()-1), $F687)) : INDEX(AA:AA, ROW()-1)
   )
   /SUM(INDEX(AA:AA, ROW()-COUNTIF($F$6:INDEX($F:$F, ROW()-1), $F687)) : INDEX(AA:AA, ROW()-1)),
   AVERAGEIFS(
     INDEX((unit_details[Effective Rent],unit_details[Effective PSF]),0,1,IF($U$3="Chunk Rent",1,2)),
     unit_details[Leased Date],"&gt;="&amp;($AM$2-X$5),
     unit_details[Leased Date],"&lt;"&amp;$AM$2,
     unit_details[Beds],$L688,
     unit_details[Baths],$M688,
     unit_details[Partial Baths],IF(ISNUMBER($N688),$N688,""),
     unit_details[Sqft],$P688,
     unit_details[Property Name],$F688)
 ),"")</f>
        <v/>
      </c>
      <c r="Z688" s="27" t="str">
        <f t="shared" si="121"/>
        <v/>
      </c>
      <c r="AA688" s="526">
        <f>IFERROR(
  IF($F688="Total",
    SUM(INDEX(AA:AA, ROW()-COUNTIF($F$6:INDEX($F:$F, ROW()-1), $F687)) : INDEX(AA:AA, ROW()-1)),
    COUNTIFS(
      unit_details[Leased Date], "&gt;="&amp;($AM$2-X$5),
      unit_details[Leased Date], "&lt;"&amp;$AM$2,
      unit_details[Beds], $L688,
      unit_details[Baths], $M688,
      unit_details[Partial Baths], IF(ISNUMBER($N688), $N688, ""),
      unit_details[Sqft],$P688,
      unit_details[Property Name], $F688
    )
  ),
"")</f>
        <v>0</v>
      </c>
      <c r="AB688" s="290">
        <f>IF($F688="Total",
SUM(INDEX(AB:AB, ROW()-COUNTIF($F$6:INDEX($F:$F, ROW()-1), $F687)) : INDEX(AB:AB, ROW()-1)),
COUNTIFS(unit_details[Active Listing?],TRUE,
          unit_details[Property Name], $F688,
          unit_details[Beds], $L688,
          unit_details[Baths], $M688,
          unit_details[Partial Baths],IF(ISNUMBER($N688),$N688,""),
          unit_details[Sqft],$P688))</f>
        <v>0</v>
      </c>
      <c r="AC688" s="27" t="str">
        <f t="shared" si="113"/>
        <v/>
      </c>
      <c r="AD688" s="293" t="str">
        <f>IFERROR(IF(AE688="","",IF($F688="Total",
SUMPRODUCT(
   INDEX(AD:AD, ROW()-COUNTIF($F$6:INDEX($F:$F, ROW()-1), $F687)) : INDEX(AD:AD, ROW()-1),
   INDEX(AB:AB, ROW()-COUNTIF($F$6:INDEX($F:$F, ROW()-1), $F687)) : INDEX(AB:AB, ROW()-1)
   )
   /SUM(INDEX(AB:AB, ROW()-COUNTIF($F$6:INDEX($F:$F, ROW()-1), $F687)) : INDEX(AB:AB, ROW()-1)),
          _xlfn.MINIFS(unit_details[Asking Rent],
          unit_details[Active Listing?],TRUE,
          unit_details[Property Name], $F688,
          unit_details[Beds], $L688,
          unit_details[Baths], $M688,
          unit_details[Partial Baths], IF(ISNUMBER($N688),$N688,""),
          unit_details[Sqft],$P688
))),"")</f>
        <v/>
      </c>
      <c r="AE688" s="5" t="str">
        <f>IFERROR(IF($F688="Total",
          SUMPRODUCT(
   INDEX(AE:AE, ROW()-COUNTIF($F$6:INDEX($F:$F, ROW()-1), $F687)) : INDEX(AE:AE, ROW()-1),
   INDEX(AB:AB, ROW()-COUNTIF($F$6:INDEX($F:$F, ROW()-1), $F687)) : INDEX(AB:AB, ROW()-1)
   )
   /SUM(INDEX(AB:AB, ROW()-COUNTIF($F$6:INDEX($F:$F, ROW()-1), $F687)) : INDEX(AB:AB, ROW()-1)),
          AVERAGEIFS(unit_details[Asking Rent],
          unit_details[Active Listing?],TRUE,
          unit_details[Property Name], $F688,
          unit_details[Beds], $L688,
          unit_details[Baths], $M688,
          unit_details[Partial Baths], IF(ISNUMBER($N688),$N688,""),
          unit_details[Sqft],$P688
)),"")</f>
        <v/>
      </c>
      <c r="AF688" s="5" t="str">
        <f>IFERROR(IF(AE688="","",IF($F688="Total",
SUMPRODUCT(
   INDEX(AF:AF, ROW()-COUNTIF($F$6:INDEX($F:$F, ROW()-1), $F687)) : INDEX(AF:AF, ROW()-1),
   INDEX(AB:AB, ROW()-COUNTIF($F$6:INDEX($F:$F, ROW()-1), $F687)) : INDEX(AB:AB, ROW()-1)
   )
   /SUM(INDEX(AB:AB, ROW()-COUNTIF($F$6:INDEX($F:$F, ROW()-1), $F687)) : INDEX(AB:AB, ROW()-1)),
           _xlfn.MAXIFS(unit_details[Asking Rent],
          unit_details[Active Listing?],TRUE,
          unit_details[Property Name], $F688,
          unit_details[Beds], $L688,
          unit_details[Baths], $M688,
          unit_details[Partial Baths], IF(ISNUMBER($N688),$N688,""),
          unit_details[Sqft],$P688
))),"")</f>
        <v/>
      </c>
      <c r="AG688" s="6" t="str">
        <f>IFERROR(IF($F688="Total",
         SUMPRODUCT(
         INDEX(AG:AG, ROW()-COUNTIF($F$6:INDEX($F:$F, ROW()-1), $F687)) : INDEX(AG:AG, ROW()-1),
         INDEX(AB:AB, ROW()-COUNTIF($F$6:INDEX($F:$F, ROW()-1), $F687)) : INDEX(AB:AB, ROW()-1)
         )
         /SUM(INDEX(AB:AB, ROW()-COUNTIF($F$6:INDEX($F:$F, ROW()-1), $F687)) : INDEX(AB:AB, ROW()-1)),
          AVERAGEIFS(unit_details[Asking PSF],
          unit_details[Active Listing?],TRUE,
          unit_details[Property Name], $F688,
          unit_details[Beds], $L688,
          unit_details[Baths], $M688,
          unit_details[Partial Baths], IF(ISNUMBER($N688),$N688,""),
          unit_details[Sqft],$P688
)),"")</f>
        <v/>
      </c>
      <c r="AH688" s="293" t="str">
        <f>IFERROR(IF($F688="Total",
         SUMPRODUCT(
         INDEX(AH:AH, ROW()-COUNTIF($F$6:INDEX($F:$F, ROW()-1), $F687)) : INDEX(AH:AH, ROW()-1),
         INDEX(AB:AB, ROW()-COUNTIF($F$6:INDEX($F:$F, ROW()-1), $F687)) : INDEX(AB:AB, ROW()-1)
         )
         /SUM(INDEX(AB:AB, ROW()-COUNTIF($F$6:INDEX($F:$F, ROW()-1), $F687)) : INDEX(AB:AB, ROW()-1)),
          AVERAGEIFS(unit_details[Effective Rent],
          unit_details[Active Listing?],TRUE,
          unit_details[Property Name], $F688,
          unit_details[Beds], $L688,
          unit_details[Baths], $M688,
          unit_details[Partial Baths], IF(ISNUMBER($N688),$N688,""),
          unit_details[Sqft],$P688
)),"")</f>
        <v/>
      </c>
      <c r="AI688" s="6" t="str">
        <f>IFERROR(IF($F688="Total",
         SUMPRODUCT(
         INDEX(AI:AI, ROW()-COUNTIF($F$6:INDEX($F:$F, ROW()-1), $F687)) : INDEX(AI:AI, ROW()-1),
         INDEX(AB:AB, ROW()-COUNTIF($F$6:INDEX($F:$F, ROW()-1), $F687)) : INDEX(AB:AB, ROW()-1)
         )
         /SUM(INDEX(AB:AB, ROW()-COUNTIF($F$6:INDEX($F:$F, ROW()-1), $F687)) : INDEX(AB:AB, ROW()-1)),
           AVERAGEIFS(unit_details[Effective PSF],
          unit_details[Active Listing?],TRUE,
          unit_details[Property Name], $F688,
          unit_details[Beds], $L688,
          unit_details[Baths], $M688,
          unit_details[Partial Baths], IF(ISNUMBER($N688),$N688,""),
          unit_details[Sqft],$P688
)),"")</f>
        <v/>
      </c>
      <c r="AJ688" s="824" t="str">
        <f t="shared" si="114"/>
        <v/>
      </c>
      <c r="AK688" s="531" t="str">
        <f t="shared" si="115"/>
        <v/>
      </c>
      <c r="AL688" s="714" t="str">
        <f t="shared" si="116"/>
        <v/>
      </c>
      <c r="AM688" s="531" t="str">
        <f t="shared" si="117"/>
        <v/>
      </c>
      <c r="AN688" s="716" t="str">
        <f t="shared" si="118"/>
        <v/>
      </c>
    </row>
    <row r="689" spans="6:40" x14ac:dyDescent="0.2">
      <c r="F689" s="1" t="str">
        <f t="shared" si="111"/>
        <v/>
      </c>
      <c r="G689" s="713" t="str">
        <f t="shared" si="119"/>
        <v/>
      </c>
      <c r="H689" s="17" t="str">
        <f>IFERROR(VLOOKUP($G689,Table1[[Property]:[Exposure %]],4,0),"")</f>
        <v/>
      </c>
      <c r="I689" s="3" t="str">
        <f>IFERROR(VLOOKUP($G689,Table1[[Property]:[Exposure %]],6,0),"")</f>
        <v/>
      </c>
      <c r="J689" s="3" t="str">
        <f>IFERROR(VLOOKUP($G689,Table1[[Property]:[Exposure %]],7,0),"")</f>
        <v/>
      </c>
      <c r="R689" s="4" t="str">
        <f>IFERROR(VLOOKUP(IF(F689="Total",F688,F689),Table1[[Property]:['# Units]],7,0)*S689,"")</f>
        <v/>
      </c>
      <c r="S689" s="27" t="str">
        <f t="shared" si="112"/>
        <v/>
      </c>
      <c r="T689" s="531" t="str">
        <f>IFERROR(
 IF($F689="Total",
   SUMPRODUCT(
   INDEX(T:T, ROW()-COUNTIF($F$6:INDEX($F:$F, ROW()-1), $F688)) : INDEX(T:T, ROW()-1),
   INDEX(W:W, ROW()-COUNTIF($F$6:INDEX($F:$F, ROW()-1), $F688)) : INDEX(W:W, ROW()-1)
   )
   /SUM(INDEX(W:W, ROW()-COUNTIF($F$6:INDEX($F:$F, ROW()-1), $F688)) : INDEX(W:W, ROW()-1)),
   AVERAGEIFS(
     INDEX((unit_details[Asking Rent],unit_details[Asking PSF]),0,1,IF($U$3="Chunk Rent",1,2)),
     unit_details[Leased Date],"&gt;="&amp;($AM$2-T$5),
     unit_details[Leased Date],"&lt;"&amp;$AM$2,
     unit_details[Beds],$L689,
     unit_details[Baths],$M689,
     unit_details[Partial Baths],IF(ISNUMBER($N689),$N689,""),
     unit_details[Sqft],$P689,
     unit_details[Property Name],$F689)
 ),"")</f>
        <v/>
      </c>
      <c r="U689" s="552" t="str">
        <f>IFERROR(
 IF($F689="Total",
   SUMPRODUCT(
   INDEX(U:U, ROW()-COUNTIF($F$6:INDEX($F:$F, ROW()-1), $F688)) : INDEX(U:U, ROW()-1),
   INDEX(W:W, ROW()-COUNTIF($F$6:INDEX($F:$F, ROW()-1), $F688)) : INDEX(W:W, ROW()-1)
   )
   /SUM(INDEX(W:W, ROW()-COUNTIF($F$6:INDEX($F:$F, ROW()-1), $F688)) : INDEX(W:W, ROW()-1)),
   AVERAGEIFS(
     INDEX((unit_details[Effective Rent],unit_details[Effective PSF]),0,1,IF($U$3="Chunk Rent",1,2)),
     unit_details[Leased Date],"&gt;="&amp;($AM$2-T$5),
     unit_details[Leased Date],"&lt;"&amp;$AM$2,
     unit_details[Beds],$L689,
     unit_details[Baths],$M689,
     unit_details[Partial Baths],IF(ISNUMBER($N689),$N689,""),
     unit_details[Sqft],$P689,
     unit_details[Property Name],$F689)
 ),"")</f>
        <v/>
      </c>
      <c r="V689" s="27" t="str">
        <f t="shared" si="120"/>
        <v/>
      </c>
      <c r="W689" s="526">
        <f>IFERROR(
  IF($F689="Total",
    SUM(INDEX(W:W, ROW()-COUNTIF($F$6:INDEX($F:$F, ROW()-1), $F688)) : INDEX(W:W, ROW()-1)),
    COUNTIFS(
      unit_details[Leased Date], "&gt;="&amp;($AM$2-T$5),
      unit_details[Leased Date], "&lt;"&amp;$AM$2,
      unit_details[Beds], $L689,
      unit_details[Baths], $M689,
      unit_details[Partial Baths], IF(ISNUMBER($N689), $N689, ""),
      unit_details[Sqft],$P689,
      unit_details[Property Name], $F689
    )
  ),
"")</f>
        <v>0</v>
      </c>
      <c r="X689" s="531" t="str">
        <f>IFERROR(
 IF($F689="Total",
   SUMPRODUCT(
   INDEX(X:X, ROW()-COUNTIF($F$6:INDEX($F:$F, ROW()-1), $F688)) : INDEX(X:X, ROW()-1),
   INDEX(AA:AA, ROW()-COUNTIF($F$6:INDEX($F:$F, ROW()-1), $F688)) : INDEX(AA:AA, ROW()-1)
   )
   /SUM(INDEX(AA:AA, ROW()-COUNTIF($F$6:INDEX($F:$F, ROW()-1), $F688)) : INDEX(AA:AA, ROW()-1)),
   AVERAGEIFS(
     INDEX((unit_details[Asking Rent],unit_details[Asking PSF]),0,1,IF($U$3="Chunk Rent",1,2)),
     unit_details[Leased Date],"&gt;="&amp;($AM$2-X$5),
     unit_details[Leased Date],"&lt;"&amp;$AM$2,
     unit_details[Beds],$L689,
     unit_details[Baths],$M689,
     unit_details[Partial Baths],IF(ISNUMBER($N689),$N689,""),
     unit_details[Sqft],$P689,
     unit_details[Property Name],$F689)
 ),"")</f>
        <v/>
      </c>
      <c r="Y689" s="552" t="str">
        <f>IFERROR(
 IF($F689="Total",
   SUMPRODUCT(
   INDEX(Y:Y, ROW()-COUNTIF($F$6:INDEX($F:$F, ROW()-1), $F688)) : INDEX(Y:Y, ROW()-1),
   INDEX(AA:AA, ROW()-COUNTIF($F$6:INDEX($F:$F, ROW()-1), $F688)) : INDEX(AA:AA, ROW()-1)
   )
   /SUM(INDEX(AA:AA, ROW()-COUNTIF($F$6:INDEX($F:$F, ROW()-1), $F688)) : INDEX(AA:AA, ROW()-1)),
   AVERAGEIFS(
     INDEX((unit_details[Effective Rent],unit_details[Effective PSF]),0,1,IF($U$3="Chunk Rent",1,2)),
     unit_details[Leased Date],"&gt;="&amp;($AM$2-X$5),
     unit_details[Leased Date],"&lt;"&amp;$AM$2,
     unit_details[Beds],$L689,
     unit_details[Baths],$M689,
     unit_details[Partial Baths],IF(ISNUMBER($N689),$N689,""),
     unit_details[Sqft],$P689,
     unit_details[Property Name],$F689)
 ),"")</f>
        <v/>
      </c>
      <c r="Z689" s="27" t="str">
        <f t="shared" si="121"/>
        <v/>
      </c>
      <c r="AA689" s="526">
        <f>IFERROR(
  IF($F689="Total",
    SUM(INDEX(AA:AA, ROW()-COUNTIF($F$6:INDEX($F:$F, ROW()-1), $F688)) : INDEX(AA:AA, ROW()-1)),
    COUNTIFS(
      unit_details[Leased Date], "&gt;="&amp;($AM$2-X$5),
      unit_details[Leased Date], "&lt;"&amp;$AM$2,
      unit_details[Beds], $L689,
      unit_details[Baths], $M689,
      unit_details[Partial Baths], IF(ISNUMBER($N689), $N689, ""),
      unit_details[Sqft],$P689,
      unit_details[Property Name], $F689
    )
  ),
"")</f>
        <v>0</v>
      </c>
      <c r="AB689" s="290">
        <f>IF($F689="Total",
SUM(INDEX(AB:AB, ROW()-COUNTIF($F$6:INDEX($F:$F, ROW()-1), $F688)) : INDEX(AB:AB, ROW()-1)),
COUNTIFS(unit_details[Active Listing?],TRUE,
          unit_details[Property Name], $F689,
          unit_details[Beds], $L689,
          unit_details[Baths], $M689,
          unit_details[Partial Baths],IF(ISNUMBER($N689),$N689,""),
          unit_details[Sqft],$P689))</f>
        <v>0</v>
      </c>
      <c r="AC689" s="27" t="str">
        <f t="shared" si="113"/>
        <v/>
      </c>
      <c r="AD689" s="293" t="str">
        <f>IFERROR(IF(AE689="","",IF($F689="Total",
SUMPRODUCT(
   INDEX(AD:AD, ROW()-COUNTIF($F$6:INDEX($F:$F, ROW()-1), $F688)) : INDEX(AD:AD, ROW()-1),
   INDEX(AB:AB, ROW()-COUNTIF($F$6:INDEX($F:$F, ROW()-1), $F688)) : INDEX(AB:AB, ROW()-1)
   )
   /SUM(INDEX(AB:AB, ROW()-COUNTIF($F$6:INDEX($F:$F, ROW()-1), $F688)) : INDEX(AB:AB, ROW()-1)),
          _xlfn.MINIFS(unit_details[Asking Rent],
          unit_details[Active Listing?],TRUE,
          unit_details[Property Name], $F689,
          unit_details[Beds], $L689,
          unit_details[Baths], $M689,
          unit_details[Partial Baths], IF(ISNUMBER($N689),$N689,""),
          unit_details[Sqft],$P689
))),"")</f>
        <v/>
      </c>
      <c r="AE689" s="5" t="str">
        <f>IFERROR(IF($F689="Total",
          SUMPRODUCT(
   INDEX(AE:AE, ROW()-COUNTIF($F$6:INDEX($F:$F, ROW()-1), $F688)) : INDEX(AE:AE, ROW()-1),
   INDEX(AB:AB, ROW()-COUNTIF($F$6:INDEX($F:$F, ROW()-1), $F688)) : INDEX(AB:AB, ROW()-1)
   )
   /SUM(INDEX(AB:AB, ROW()-COUNTIF($F$6:INDEX($F:$F, ROW()-1), $F688)) : INDEX(AB:AB, ROW()-1)),
          AVERAGEIFS(unit_details[Asking Rent],
          unit_details[Active Listing?],TRUE,
          unit_details[Property Name], $F689,
          unit_details[Beds], $L689,
          unit_details[Baths], $M689,
          unit_details[Partial Baths], IF(ISNUMBER($N689),$N689,""),
          unit_details[Sqft],$P689
)),"")</f>
        <v/>
      </c>
      <c r="AF689" s="5" t="str">
        <f>IFERROR(IF(AE689="","",IF($F689="Total",
SUMPRODUCT(
   INDEX(AF:AF, ROW()-COUNTIF($F$6:INDEX($F:$F, ROW()-1), $F688)) : INDEX(AF:AF, ROW()-1),
   INDEX(AB:AB, ROW()-COUNTIF($F$6:INDEX($F:$F, ROW()-1), $F688)) : INDEX(AB:AB, ROW()-1)
   )
   /SUM(INDEX(AB:AB, ROW()-COUNTIF($F$6:INDEX($F:$F, ROW()-1), $F688)) : INDEX(AB:AB, ROW()-1)),
           _xlfn.MAXIFS(unit_details[Asking Rent],
          unit_details[Active Listing?],TRUE,
          unit_details[Property Name], $F689,
          unit_details[Beds], $L689,
          unit_details[Baths], $M689,
          unit_details[Partial Baths], IF(ISNUMBER($N689),$N689,""),
          unit_details[Sqft],$P689
))),"")</f>
        <v/>
      </c>
      <c r="AG689" s="6" t="str">
        <f>IFERROR(IF($F689="Total",
         SUMPRODUCT(
         INDEX(AG:AG, ROW()-COUNTIF($F$6:INDEX($F:$F, ROW()-1), $F688)) : INDEX(AG:AG, ROW()-1),
         INDEX(AB:AB, ROW()-COUNTIF($F$6:INDEX($F:$F, ROW()-1), $F688)) : INDEX(AB:AB, ROW()-1)
         )
         /SUM(INDEX(AB:AB, ROW()-COUNTIF($F$6:INDEX($F:$F, ROW()-1), $F688)) : INDEX(AB:AB, ROW()-1)),
          AVERAGEIFS(unit_details[Asking PSF],
          unit_details[Active Listing?],TRUE,
          unit_details[Property Name], $F689,
          unit_details[Beds], $L689,
          unit_details[Baths], $M689,
          unit_details[Partial Baths], IF(ISNUMBER($N689),$N689,""),
          unit_details[Sqft],$P689
)),"")</f>
        <v/>
      </c>
      <c r="AH689" s="293" t="str">
        <f>IFERROR(IF($F689="Total",
         SUMPRODUCT(
         INDEX(AH:AH, ROW()-COUNTIF($F$6:INDEX($F:$F, ROW()-1), $F688)) : INDEX(AH:AH, ROW()-1),
         INDEX(AB:AB, ROW()-COUNTIF($F$6:INDEX($F:$F, ROW()-1), $F688)) : INDEX(AB:AB, ROW()-1)
         )
         /SUM(INDEX(AB:AB, ROW()-COUNTIF($F$6:INDEX($F:$F, ROW()-1), $F688)) : INDEX(AB:AB, ROW()-1)),
          AVERAGEIFS(unit_details[Effective Rent],
          unit_details[Active Listing?],TRUE,
          unit_details[Property Name], $F689,
          unit_details[Beds], $L689,
          unit_details[Baths], $M689,
          unit_details[Partial Baths], IF(ISNUMBER($N689),$N689,""),
          unit_details[Sqft],$P689
)),"")</f>
        <v/>
      </c>
      <c r="AI689" s="6" t="str">
        <f>IFERROR(IF($F689="Total",
         SUMPRODUCT(
         INDEX(AI:AI, ROW()-COUNTIF($F$6:INDEX($F:$F, ROW()-1), $F688)) : INDEX(AI:AI, ROW()-1),
         INDEX(AB:AB, ROW()-COUNTIF($F$6:INDEX($F:$F, ROW()-1), $F688)) : INDEX(AB:AB, ROW()-1)
         )
         /SUM(INDEX(AB:AB, ROW()-COUNTIF($F$6:INDEX($F:$F, ROW()-1), $F688)) : INDEX(AB:AB, ROW()-1)),
           AVERAGEIFS(unit_details[Effective PSF],
          unit_details[Active Listing?],TRUE,
          unit_details[Property Name], $F689,
          unit_details[Beds], $L689,
          unit_details[Baths], $M689,
          unit_details[Partial Baths], IF(ISNUMBER($N689),$N689,""),
          unit_details[Sqft],$P689
)),"")</f>
        <v/>
      </c>
      <c r="AJ689" s="824" t="str">
        <f t="shared" si="114"/>
        <v/>
      </c>
      <c r="AK689" s="531" t="str">
        <f t="shared" si="115"/>
        <v/>
      </c>
      <c r="AL689" s="714" t="str">
        <f t="shared" si="116"/>
        <v/>
      </c>
      <c r="AM689" s="531" t="str">
        <f t="shared" si="117"/>
        <v/>
      </c>
      <c r="AN689" s="716" t="str">
        <f t="shared" si="118"/>
        <v/>
      </c>
    </row>
    <row r="690" spans="6:40" x14ac:dyDescent="0.2">
      <c r="F690" s="1" t="str">
        <f t="shared" si="111"/>
        <v/>
      </c>
      <c r="G690" s="713" t="str">
        <f t="shared" si="119"/>
        <v/>
      </c>
      <c r="H690" s="17" t="str">
        <f>IFERROR(VLOOKUP($G690,Table1[[Property]:[Exposure %]],4,0),"")</f>
        <v/>
      </c>
      <c r="I690" s="3" t="str">
        <f>IFERROR(VLOOKUP($G690,Table1[[Property]:[Exposure %]],6,0),"")</f>
        <v/>
      </c>
      <c r="J690" s="3" t="str">
        <f>IFERROR(VLOOKUP($G690,Table1[[Property]:[Exposure %]],7,0),"")</f>
        <v/>
      </c>
      <c r="R690" s="4" t="str">
        <f>IFERROR(VLOOKUP(IF(F690="Total",F689,F690),Table1[[Property]:['# Units]],7,0)*S690,"")</f>
        <v/>
      </c>
      <c r="S690" s="27" t="str">
        <f t="shared" si="112"/>
        <v/>
      </c>
      <c r="T690" s="531" t="str">
        <f>IFERROR(
 IF($F690="Total",
   SUMPRODUCT(
   INDEX(T:T, ROW()-COUNTIF($F$6:INDEX($F:$F, ROW()-1), $F689)) : INDEX(T:T, ROW()-1),
   INDEX(W:W, ROW()-COUNTIF($F$6:INDEX($F:$F, ROW()-1), $F689)) : INDEX(W:W, ROW()-1)
   )
   /SUM(INDEX(W:W, ROW()-COUNTIF($F$6:INDEX($F:$F, ROW()-1), $F689)) : INDEX(W:W, ROW()-1)),
   AVERAGEIFS(
     INDEX((unit_details[Asking Rent],unit_details[Asking PSF]),0,1,IF($U$3="Chunk Rent",1,2)),
     unit_details[Leased Date],"&gt;="&amp;($AM$2-T$5),
     unit_details[Leased Date],"&lt;"&amp;$AM$2,
     unit_details[Beds],$L690,
     unit_details[Baths],$M690,
     unit_details[Partial Baths],IF(ISNUMBER($N690),$N690,""),
     unit_details[Sqft],$P690,
     unit_details[Property Name],$F690)
 ),"")</f>
        <v/>
      </c>
      <c r="U690" s="552" t="str">
        <f>IFERROR(
 IF($F690="Total",
   SUMPRODUCT(
   INDEX(U:U, ROW()-COUNTIF($F$6:INDEX($F:$F, ROW()-1), $F689)) : INDEX(U:U, ROW()-1),
   INDEX(W:W, ROW()-COUNTIF($F$6:INDEX($F:$F, ROW()-1), $F689)) : INDEX(W:W, ROW()-1)
   )
   /SUM(INDEX(W:W, ROW()-COUNTIF($F$6:INDEX($F:$F, ROW()-1), $F689)) : INDEX(W:W, ROW()-1)),
   AVERAGEIFS(
     INDEX((unit_details[Effective Rent],unit_details[Effective PSF]),0,1,IF($U$3="Chunk Rent",1,2)),
     unit_details[Leased Date],"&gt;="&amp;($AM$2-T$5),
     unit_details[Leased Date],"&lt;"&amp;$AM$2,
     unit_details[Beds],$L690,
     unit_details[Baths],$M690,
     unit_details[Partial Baths],IF(ISNUMBER($N690),$N690,""),
     unit_details[Sqft],$P690,
     unit_details[Property Name],$F690)
 ),"")</f>
        <v/>
      </c>
      <c r="V690" s="27" t="str">
        <f t="shared" si="120"/>
        <v/>
      </c>
      <c r="W690" s="526">
        <f>IFERROR(
  IF($F690="Total",
    SUM(INDEX(W:W, ROW()-COUNTIF($F$6:INDEX($F:$F, ROW()-1), $F689)) : INDEX(W:W, ROW()-1)),
    COUNTIFS(
      unit_details[Leased Date], "&gt;="&amp;($AM$2-T$5),
      unit_details[Leased Date], "&lt;"&amp;$AM$2,
      unit_details[Beds], $L690,
      unit_details[Baths], $M690,
      unit_details[Partial Baths], IF(ISNUMBER($N690), $N690, ""),
      unit_details[Sqft],$P690,
      unit_details[Property Name], $F690
    )
  ),
"")</f>
        <v>0</v>
      </c>
      <c r="X690" s="531" t="str">
        <f>IFERROR(
 IF($F690="Total",
   SUMPRODUCT(
   INDEX(X:X, ROW()-COUNTIF($F$6:INDEX($F:$F, ROW()-1), $F689)) : INDEX(X:X, ROW()-1),
   INDEX(AA:AA, ROW()-COUNTIF($F$6:INDEX($F:$F, ROW()-1), $F689)) : INDEX(AA:AA, ROW()-1)
   )
   /SUM(INDEX(AA:AA, ROW()-COUNTIF($F$6:INDEX($F:$F, ROW()-1), $F689)) : INDEX(AA:AA, ROW()-1)),
   AVERAGEIFS(
     INDEX((unit_details[Asking Rent],unit_details[Asking PSF]),0,1,IF($U$3="Chunk Rent",1,2)),
     unit_details[Leased Date],"&gt;="&amp;($AM$2-X$5),
     unit_details[Leased Date],"&lt;"&amp;$AM$2,
     unit_details[Beds],$L690,
     unit_details[Baths],$M690,
     unit_details[Partial Baths],IF(ISNUMBER($N690),$N690,""),
     unit_details[Sqft],$P690,
     unit_details[Property Name],$F690)
 ),"")</f>
        <v/>
      </c>
      <c r="Y690" s="552" t="str">
        <f>IFERROR(
 IF($F690="Total",
   SUMPRODUCT(
   INDEX(Y:Y, ROW()-COUNTIF($F$6:INDEX($F:$F, ROW()-1), $F689)) : INDEX(Y:Y, ROW()-1),
   INDEX(AA:AA, ROW()-COUNTIF($F$6:INDEX($F:$F, ROW()-1), $F689)) : INDEX(AA:AA, ROW()-1)
   )
   /SUM(INDEX(AA:AA, ROW()-COUNTIF($F$6:INDEX($F:$F, ROW()-1), $F689)) : INDEX(AA:AA, ROW()-1)),
   AVERAGEIFS(
     INDEX((unit_details[Effective Rent],unit_details[Effective PSF]),0,1,IF($U$3="Chunk Rent",1,2)),
     unit_details[Leased Date],"&gt;="&amp;($AM$2-X$5),
     unit_details[Leased Date],"&lt;"&amp;$AM$2,
     unit_details[Beds],$L690,
     unit_details[Baths],$M690,
     unit_details[Partial Baths],IF(ISNUMBER($N690),$N690,""),
     unit_details[Sqft],$P690,
     unit_details[Property Name],$F690)
 ),"")</f>
        <v/>
      </c>
      <c r="Z690" s="27" t="str">
        <f t="shared" si="121"/>
        <v/>
      </c>
      <c r="AA690" s="526">
        <f>IFERROR(
  IF($F690="Total",
    SUM(INDEX(AA:AA, ROW()-COUNTIF($F$6:INDEX($F:$F, ROW()-1), $F689)) : INDEX(AA:AA, ROW()-1)),
    COUNTIFS(
      unit_details[Leased Date], "&gt;="&amp;($AM$2-X$5),
      unit_details[Leased Date], "&lt;"&amp;$AM$2,
      unit_details[Beds], $L690,
      unit_details[Baths], $M690,
      unit_details[Partial Baths], IF(ISNUMBER($N690), $N690, ""),
      unit_details[Sqft],$P690,
      unit_details[Property Name], $F690
    )
  ),
"")</f>
        <v>0</v>
      </c>
      <c r="AB690" s="290">
        <f>IF($F690="Total",
SUM(INDEX(AB:AB, ROW()-COUNTIF($F$6:INDEX($F:$F, ROW()-1), $F689)) : INDEX(AB:AB, ROW()-1)),
COUNTIFS(unit_details[Active Listing?],TRUE,
          unit_details[Property Name], $F690,
          unit_details[Beds], $L690,
          unit_details[Baths], $M690,
          unit_details[Partial Baths],IF(ISNUMBER($N690),$N690,""),
          unit_details[Sqft],$P690))</f>
        <v>0</v>
      </c>
      <c r="AC690" s="27" t="str">
        <f t="shared" si="113"/>
        <v/>
      </c>
      <c r="AD690" s="293" t="str">
        <f>IFERROR(IF(AE690="","",IF($F690="Total",
SUMPRODUCT(
   INDEX(AD:AD, ROW()-COUNTIF($F$6:INDEX($F:$F, ROW()-1), $F689)) : INDEX(AD:AD, ROW()-1),
   INDEX(AB:AB, ROW()-COUNTIF($F$6:INDEX($F:$F, ROW()-1), $F689)) : INDEX(AB:AB, ROW()-1)
   )
   /SUM(INDEX(AB:AB, ROW()-COUNTIF($F$6:INDEX($F:$F, ROW()-1), $F689)) : INDEX(AB:AB, ROW()-1)),
          _xlfn.MINIFS(unit_details[Asking Rent],
          unit_details[Active Listing?],TRUE,
          unit_details[Property Name], $F690,
          unit_details[Beds], $L690,
          unit_details[Baths], $M690,
          unit_details[Partial Baths], IF(ISNUMBER($N690),$N690,""),
          unit_details[Sqft],$P690
))),"")</f>
        <v/>
      </c>
      <c r="AE690" s="5" t="str">
        <f>IFERROR(IF($F690="Total",
          SUMPRODUCT(
   INDEX(AE:AE, ROW()-COUNTIF($F$6:INDEX($F:$F, ROW()-1), $F689)) : INDEX(AE:AE, ROW()-1),
   INDEX(AB:AB, ROW()-COUNTIF($F$6:INDEX($F:$F, ROW()-1), $F689)) : INDEX(AB:AB, ROW()-1)
   )
   /SUM(INDEX(AB:AB, ROW()-COUNTIF($F$6:INDEX($F:$F, ROW()-1), $F689)) : INDEX(AB:AB, ROW()-1)),
          AVERAGEIFS(unit_details[Asking Rent],
          unit_details[Active Listing?],TRUE,
          unit_details[Property Name], $F690,
          unit_details[Beds], $L690,
          unit_details[Baths], $M690,
          unit_details[Partial Baths], IF(ISNUMBER($N690),$N690,""),
          unit_details[Sqft],$P690
)),"")</f>
        <v/>
      </c>
      <c r="AF690" s="5" t="str">
        <f>IFERROR(IF(AE690="","",IF($F690="Total",
SUMPRODUCT(
   INDEX(AF:AF, ROW()-COUNTIF($F$6:INDEX($F:$F, ROW()-1), $F689)) : INDEX(AF:AF, ROW()-1),
   INDEX(AB:AB, ROW()-COUNTIF($F$6:INDEX($F:$F, ROW()-1), $F689)) : INDEX(AB:AB, ROW()-1)
   )
   /SUM(INDEX(AB:AB, ROW()-COUNTIF($F$6:INDEX($F:$F, ROW()-1), $F689)) : INDEX(AB:AB, ROW()-1)),
           _xlfn.MAXIFS(unit_details[Asking Rent],
          unit_details[Active Listing?],TRUE,
          unit_details[Property Name], $F690,
          unit_details[Beds], $L690,
          unit_details[Baths], $M690,
          unit_details[Partial Baths], IF(ISNUMBER($N690),$N690,""),
          unit_details[Sqft],$P690
))),"")</f>
        <v/>
      </c>
      <c r="AG690" s="6" t="str">
        <f>IFERROR(IF($F690="Total",
         SUMPRODUCT(
         INDEX(AG:AG, ROW()-COUNTIF($F$6:INDEX($F:$F, ROW()-1), $F689)) : INDEX(AG:AG, ROW()-1),
         INDEX(AB:AB, ROW()-COUNTIF($F$6:INDEX($F:$F, ROW()-1), $F689)) : INDEX(AB:AB, ROW()-1)
         )
         /SUM(INDEX(AB:AB, ROW()-COUNTIF($F$6:INDEX($F:$F, ROW()-1), $F689)) : INDEX(AB:AB, ROW()-1)),
          AVERAGEIFS(unit_details[Asking PSF],
          unit_details[Active Listing?],TRUE,
          unit_details[Property Name], $F690,
          unit_details[Beds], $L690,
          unit_details[Baths], $M690,
          unit_details[Partial Baths], IF(ISNUMBER($N690),$N690,""),
          unit_details[Sqft],$P690
)),"")</f>
        <v/>
      </c>
      <c r="AH690" s="293" t="str">
        <f>IFERROR(IF($F690="Total",
         SUMPRODUCT(
         INDEX(AH:AH, ROW()-COUNTIF($F$6:INDEX($F:$F, ROW()-1), $F689)) : INDEX(AH:AH, ROW()-1),
         INDEX(AB:AB, ROW()-COUNTIF($F$6:INDEX($F:$F, ROW()-1), $F689)) : INDEX(AB:AB, ROW()-1)
         )
         /SUM(INDEX(AB:AB, ROW()-COUNTIF($F$6:INDEX($F:$F, ROW()-1), $F689)) : INDEX(AB:AB, ROW()-1)),
          AVERAGEIFS(unit_details[Effective Rent],
          unit_details[Active Listing?],TRUE,
          unit_details[Property Name], $F690,
          unit_details[Beds], $L690,
          unit_details[Baths], $M690,
          unit_details[Partial Baths], IF(ISNUMBER($N690),$N690,""),
          unit_details[Sqft],$P690
)),"")</f>
        <v/>
      </c>
      <c r="AI690" s="6" t="str">
        <f>IFERROR(IF($F690="Total",
         SUMPRODUCT(
         INDEX(AI:AI, ROW()-COUNTIF($F$6:INDEX($F:$F, ROW()-1), $F689)) : INDEX(AI:AI, ROW()-1),
         INDEX(AB:AB, ROW()-COUNTIF($F$6:INDEX($F:$F, ROW()-1), $F689)) : INDEX(AB:AB, ROW()-1)
         )
         /SUM(INDEX(AB:AB, ROW()-COUNTIF($F$6:INDEX($F:$F, ROW()-1), $F689)) : INDEX(AB:AB, ROW()-1)),
           AVERAGEIFS(unit_details[Effective PSF],
          unit_details[Active Listing?],TRUE,
          unit_details[Property Name], $F690,
          unit_details[Beds], $L690,
          unit_details[Baths], $M690,
          unit_details[Partial Baths], IF(ISNUMBER($N690),$N690,""),
          unit_details[Sqft],$P690
)),"")</f>
        <v/>
      </c>
      <c r="AJ690" s="824" t="str">
        <f t="shared" si="114"/>
        <v/>
      </c>
      <c r="AK690" s="531" t="str">
        <f t="shared" si="115"/>
        <v/>
      </c>
      <c r="AL690" s="714" t="str">
        <f t="shared" si="116"/>
        <v/>
      </c>
      <c r="AM690" s="531" t="str">
        <f t="shared" si="117"/>
        <v/>
      </c>
      <c r="AN690" s="716" t="str">
        <f t="shared" si="118"/>
        <v/>
      </c>
    </row>
    <row r="691" spans="6:40" x14ac:dyDescent="0.2">
      <c r="F691" s="1" t="str">
        <f t="shared" si="111"/>
        <v/>
      </c>
      <c r="G691" s="713" t="str">
        <f t="shared" si="119"/>
        <v/>
      </c>
      <c r="H691" s="17" t="str">
        <f>IFERROR(VLOOKUP($G691,Table1[[Property]:[Exposure %]],4,0),"")</f>
        <v/>
      </c>
      <c r="I691" s="3" t="str">
        <f>IFERROR(VLOOKUP($G691,Table1[[Property]:[Exposure %]],6,0),"")</f>
        <v/>
      </c>
      <c r="J691" s="3" t="str">
        <f>IFERROR(VLOOKUP($G691,Table1[[Property]:[Exposure %]],7,0),"")</f>
        <v/>
      </c>
      <c r="R691" s="4" t="str">
        <f>IFERROR(VLOOKUP(IF(F691="Total",F690,F691),Table1[[Property]:['# Units]],7,0)*S691,"")</f>
        <v/>
      </c>
      <c r="S691" s="27" t="str">
        <f t="shared" si="112"/>
        <v/>
      </c>
      <c r="T691" s="531" t="str">
        <f>IFERROR(
 IF($F691="Total",
   SUMPRODUCT(
   INDEX(T:T, ROW()-COUNTIF($F$6:INDEX($F:$F, ROW()-1), $F690)) : INDEX(T:T, ROW()-1),
   INDEX(W:W, ROW()-COUNTIF($F$6:INDEX($F:$F, ROW()-1), $F690)) : INDEX(W:W, ROW()-1)
   )
   /SUM(INDEX(W:W, ROW()-COUNTIF($F$6:INDEX($F:$F, ROW()-1), $F690)) : INDEX(W:W, ROW()-1)),
   AVERAGEIFS(
     INDEX((unit_details[Asking Rent],unit_details[Asking PSF]),0,1,IF($U$3="Chunk Rent",1,2)),
     unit_details[Leased Date],"&gt;="&amp;($AM$2-T$5),
     unit_details[Leased Date],"&lt;"&amp;$AM$2,
     unit_details[Beds],$L691,
     unit_details[Baths],$M691,
     unit_details[Partial Baths],IF(ISNUMBER($N691),$N691,""),
     unit_details[Sqft],$P691,
     unit_details[Property Name],$F691)
 ),"")</f>
        <v/>
      </c>
      <c r="U691" s="552" t="str">
        <f>IFERROR(
 IF($F691="Total",
   SUMPRODUCT(
   INDEX(U:U, ROW()-COUNTIF($F$6:INDEX($F:$F, ROW()-1), $F690)) : INDEX(U:U, ROW()-1),
   INDEX(W:W, ROW()-COUNTIF($F$6:INDEX($F:$F, ROW()-1), $F690)) : INDEX(W:W, ROW()-1)
   )
   /SUM(INDEX(W:W, ROW()-COUNTIF($F$6:INDEX($F:$F, ROW()-1), $F690)) : INDEX(W:W, ROW()-1)),
   AVERAGEIFS(
     INDEX((unit_details[Effective Rent],unit_details[Effective PSF]),0,1,IF($U$3="Chunk Rent",1,2)),
     unit_details[Leased Date],"&gt;="&amp;($AM$2-T$5),
     unit_details[Leased Date],"&lt;"&amp;$AM$2,
     unit_details[Beds],$L691,
     unit_details[Baths],$M691,
     unit_details[Partial Baths],IF(ISNUMBER($N691),$N691,""),
     unit_details[Sqft],$P691,
     unit_details[Property Name],$F691)
 ),"")</f>
        <v/>
      </c>
      <c r="V691" s="27" t="str">
        <f t="shared" si="120"/>
        <v/>
      </c>
      <c r="W691" s="526">
        <f>IFERROR(
  IF($F691="Total",
    SUM(INDEX(W:W, ROW()-COUNTIF($F$6:INDEX($F:$F, ROW()-1), $F690)) : INDEX(W:W, ROW()-1)),
    COUNTIFS(
      unit_details[Leased Date], "&gt;="&amp;($AM$2-T$5),
      unit_details[Leased Date], "&lt;"&amp;$AM$2,
      unit_details[Beds], $L691,
      unit_details[Baths], $M691,
      unit_details[Partial Baths], IF(ISNUMBER($N691), $N691, ""),
      unit_details[Sqft],$P691,
      unit_details[Property Name], $F691
    )
  ),
"")</f>
        <v>0</v>
      </c>
      <c r="X691" s="531" t="str">
        <f>IFERROR(
 IF($F691="Total",
   SUMPRODUCT(
   INDEX(X:X, ROW()-COUNTIF($F$6:INDEX($F:$F, ROW()-1), $F690)) : INDEX(X:X, ROW()-1),
   INDEX(AA:AA, ROW()-COUNTIF($F$6:INDEX($F:$F, ROW()-1), $F690)) : INDEX(AA:AA, ROW()-1)
   )
   /SUM(INDEX(AA:AA, ROW()-COUNTIF($F$6:INDEX($F:$F, ROW()-1), $F690)) : INDEX(AA:AA, ROW()-1)),
   AVERAGEIFS(
     INDEX((unit_details[Asking Rent],unit_details[Asking PSF]),0,1,IF($U$3="Chunk Rent",1,2)),
     unit_details[Leased Date],"&gt;="&amp;($AM$2-X$5),
     unit_details[Leased Date],"&lt;"&amp;$AM$2,
     unit_details[Beds],$L691,
     unit_details[Baths],$M691,
     unit_details[Partial Baths],IF(ISNUMBER($N691),$N691,""),
     unit_details[Sqft],$P691,
     unit_details[Property Name],$F691)
 ),"")</f>
        <v/>
      </c>
      <c r="Y691" s="552" t="str">
        <f>IFERROR(
 IF($F691="Total",
   SUMPRODUCT(
   INDEX(Y:Y, ROW()-COUNTIF($F$6:INDEX($F:$F, ROW()-1), $F690)) : INDEX(Y:Y, ROW()-1),
   INDEX(AA:AA, ROW()-COUNTIF($F$6:INDEX($F:$F, ROW()-1), $F690)) : INDEX(AA:AA, ROW()-1)
   )
   /SUM(INDEX(AA:AA, ROW()-COUNTIF($F$6:INDEX($F:$F, ROW()-1), $F690)) : INDEX(AA:AA, ROW()-1)),
   AVERAGEIFS(
     INDEX((unit_details[Effective Rent],unit_details[Effective PSF]),0,1,IF($U$3="Chunk Rent",1,2)),
     unit_details[Leased Date],"&gt;="&amp;($AM$2-X$5),
     unit_details[Leased Date],"&lt;"&amp;$AM$2,
     unit_details[Beds],$L691,
     unit_details[Baths],$M691,
     unit_details[Partial Baths],IF(ISNUMBER($N691),$N691,""),
     unit_details[Sqft],$P691,
     unit_details[Property Name],$F691)
 ),"")</f>
        <v/>
      </c>
      <c r="Z691" s="27" t="str">
        <f t="shared" si="121"/>
        <v/>
      </c>
      <c r="AA691" s="526">
        <f>IFERROR(
  IF($F691="Total",
    SUM(INDEX(AA:AA, ROW()-COUNTIF($F$6:INDEX($F:$F, ROW()-1), $F690)) : INDEX(AA:AA, ROW()-1)),
    COUNTIFS(
      unit_details[Leased Date], "&gt;="&amp;($AM$2-X$5),
      unit_details[Leased Date], "&lt;"&amp;$AM$2,
      unit_details[Beds], $L691,
      unit_details[Baths], $M691,
      unit_details[Partial Baths], IF(ISNUMBER($N691), $N691, ""),
      unit_details[Sqft],$P691,
      unit_details[Property Name], $F691
    )
  ),
"")</f>
        <v>0</v>
      </c>
      <c r="AB691" s="290">
        <f>IF($F691="Total",
SUM(INDEX(AB:AB, ROW()-COUNTIF($F$6:INDEX($F:$F, ROW()-1), $F690)) : INDEX(AB:AB, ROW()-1)),
COUNTIFS(unit_details[Active Listing?],TRUE,
          unit_details[Property Name], $F691,
          unit_details[Beds], $L691,
          unit_details[Baths], $M691,
          unit_details[Partial Baths],IF(ISNUMBER($N691),$N691,""),
          unit_details[Sqft],$P691))</f>
        <v>0</v>
      </c>
      <c r="AC691" s="27" t="str">
        <f t="shared" si="113"/>
        <v/>
      </c>
      <c r="AD691" s="293" t="str">
        <f>IFERROR(IF(AE691="","",IF($F691="Total",
SUMPRODUCT(
   INDEX(AD:AD, ROW()-COUNTIF($F$6:INDEX($F:$F, ROW()-1), $F690)) : INDEX(AD:AD, ROW()-1),
   INDEX(AB:AB, ROW()-COUNTIF($F$6:INDEX($F:$F, ROW()-1), $F690)) : INDEX(AB:AB, ROW()-1)
   )
   /SUM(INDEX(AB:AB, ROW()-COUNTIF($F$6:INDEX($F:$F, ROW()-1), $F690)) : INDEX(AB:AB, ROW()-1)),
          _xlfn.MINIFS(unit_details[Asking Rent],
          unit_details[Active Listing?],TRUE,
          unit_details[Property Name], $F691,
          unit_details[Beds], $L691,
          unit_details[Baths], $M691,
          unit_details[Partial Baths], IF(ISNUMBER($N691),$N691,""),
          unit_details[Sqft],$P691
))),"")</f>
        <v/>
      </c>
      <c r="AE691" s="5" t="str">
        <f>IFERROR(IF($F691="Total",
          SUMPRODUCT(
   INDEX(AE:AE, ROW()-COUNTIF($F$6:INDEX($F:$F, ROW()-1), $F690)) : INDEX(AE:AE, ROW()-1),
   INDEX(AB:AB, ROW()-COUNTIF($F$6:INDEX($F:$F, ROW()-1), $F690)) : INDEX(AB:AB, ROW()-1)
   )
   /SUM(INDEX(AB:AB, ROW()-COUNTIF($F$6:INDEX($F:$F, ROW()-1), $F690)) : INDEX(AB:AB, ROW()-1)),
          AVERAGEIFS(unit_details[Asking Rent],
          unit_details[Active Listing?],TRUE,
          unit_details[Property Name], $F691,
          unit_details[Beds], $L691,
          unit_details[Baths], $M691,
          unit_details[Partial Baths], IF(ISNUMBER($N691),$N691,""),
          unit_details[Sqft],$P691
)),"")</f>
        <v/>
      </c>
      <c r="AF691" s="5" t="str">
        <f>IFERROR(IF(AE691="","",IF($F691="Total",
SUMPRODUCT(
   INDEX(AF:AF, ROW()-COUNTIF($F$6:INDEX($F:$F, ROW()-1), $F690)) : INDEX(AF:AF, ROW()-1),
   INDEX(AB:AB, ROW()-COUNTIF($F$6:INDEX($F:$F, ROW()-1), $F690)) : INDEX(AB:AB, ROW()-1)
   )
   /SUM(INDEX(AB:AB, ROW()-COUNTIF($F$6:INDEX($F:$F, ROW()-1), $F690)) : INDEX(AB:AB, ROW()-1)),
           _xlfn.MAXIFS(unit_details[Asking Rent],
          unit_details[Active Listing?],TRUE,
          unit_details[Property Name], $F691,
          unit_details[Beds], $L691,
          unit_details[Baths], $M691,
          unit_details[Partial Baths], IF(ISNUMBER($N691),$N691,""),
          unit_details[Sqft],$P691
))),"")</f>
        <v/>
      </c>
      <c r="AG691" s="6" t="str">
        <f>IFERROR(IF($F691="Total",
         SUMPRODUCT(
         INDEX(AG:AG, ROW()-COUNTIF($F$6:INDEX($F:$F, ROW()-1), $F690)) : INDEX(AG:AG, ROW()-1),
         INDEX(AB:AB, ROW()-COUNTIF($F$6:INDEX($F:$F, ROW()-1), $F690)) : INDEX(AB:AB, ROW()-1)
         )
         /SUM(INDEX(AB:AB, ROW()-COUNTIF($F$6:INDEX($F:$F, ROW()-1), $F690)) : INDEX(AB:AB, ROW()-1)),
          AVERAGEIFS(unit_details[Asking PSF],
          unit_details[Active Listing?],TRUE,
          unit_details[Property Name], $F691,
          unit_details[Beds], $L691,
          unit_details[Baths], $M691,
          unit_details[Partial Baths], IF(ISNUMBER($N691),$N691,""),
          unit_details[Sqft],$P691
)),"")</f>
        <v/>
      </c>
      <c r="AH691" s="293" t="str">
        <f>IFERROR(IF($F691="Total",
         SUMPRODUCT(
         INDEX(AH:AH, ROW()-COUNTIF($F$6:INDEX($F:$F, ROW()-1), $F690)) : INDEX(AH:AH, ROW()-1),
         INDEX(AB:AB, ROW()-COUNTIF($F$6:INDEX($F:$F, ROW()-1), $F690)) : INDEX(AB:AB, ROW()-1)
         )
         /SUM(INDEX(AB:AB, ROW()-COUNTIF($F$6:INDEX($F:$F, ROW()-1), $F690)) : INDEX(AB:AB, ROW()-1)),
          AVERAGEIFS(unit_details[Effective Rent],
          unit_details[Active Listing?],TRUE,
          unit_details[Property Name], $F691,
          unit_details[Beds], $L691,
          unit_details[Baths], $M691,
          unit_details[Partial Baths], IF(ISNUMBER($N691),$N691,""),
          unit_details[Sqft],$P691
)),"")</f>
        <v/>
      </c>
      <c r="AI691" s="6" t="str">
        <f>IFERROR(IF($F691="Total",
         SUMPRODUCT(
         INDEX(AI:AI, ROW()-COUNTIF($F$6:INDEX($F:$F, ROW()-1), $F690)) : INDEX(AI:AI, ROW()-1),
         INDEX(AB:AB, ROW()-COUNTIF($F$6:INDEX($F:$F, ROW()-1), $F690)) : INDEX(AB:AB, ROW()-1)
         )
         /SUM(INDEX(AB:AB, ROW()-COUNTIF($F$6:INDEX($F:$F, ROW()-1), $F690)) : INDEX(AB:AB, ROW()-1)),
           AVERAGEIFS(unit_details[Effective PSF],
          unit_details[Active Listing?],TRUE,
          unit_details[Property Name], $F691,
          unit_details[Beds], $L691,
          unit_details[Baths], $M691,
          unit_details[Partial Baths], IF(ISNUMBER($N691),$N691,""),
          unit_details[Sqft],$P691
)),"")</f>
        <v/>
      </c>
      <c r="AJ691" s="824" t="str">
        <f t="shared" si="114"/>
        <v/>
      </c>
      <c r="AK691" s="531" t="str">
        <f t="shared" si="115"/>
        <v/>
      </c>
      <c r="AL691" s="714" t="str">
        <f t="shared" si="116"/>
        <v/>
      </c>
      <c r="AM691" s="531" t="str">
        <f t="shared" si="117"/>
        <v/>
      </c>
      <c r="AN691" s="716" t="str">
        <f t="shared" si="118"/>
        <v/>
      </c>
    </row>
    <row r="692" spans="6:40" x14ac:dyDescent="0.2">
      <c r="F692" s="1" t="str">
        <f t="shared" si="111"/>
        <v/>
      </c>
      <c r="G692" s="713" t="str">
        <f t="shared" si="119"/>
        <v/>
      </c>
      <c r="H692" s="17" t="str">
        <f>IFERROR(VLOOKUP($G692,Table1[[Property]:[Exposure %]],4,0),"")</f>
        <v/>
      </c>
      <c r="I692" s="3" t="str">
        <f>IFERROR(VLOOKUP($G692,Table1[[Property]:[Exposure %]],6,0),"")</f>
        <v/>
      </c>
      <c r="J692" s="3" t="str">
        <f>IFERROR(VLOOKUP($G692,Table1[[Property]:[Exposure %]],7,0),"")</f>
        <v/>
      </c>
      <c r="R692" s="4" t="str">
        <f>IFERROR(VLOOKUP(IF(F692="Total",F691,F692),Table1[[Property]:['# Units]],7,0)*S692,"")</f>
        <v/>
      </c>
      <c r="S692" s="27" t="str">
        <f t="shared" si="112"/>
        <v/>
      </c>
      <c r="T692" s="531" t="str">
        <f>IFERROR(
 IF($F692="Total",
   SUMPRODUCT(
   INDEX(T:T, ROW()-COUNTIF($F$6:INDEX($F:$F, ROW()-1), $F691)) : INDEX(T:T, ROW()-1),
   INDEX(W:W, ROW()-COUNTIF($F$6:INDEX($F:$F, ROW()-1), $F691)) : INDEX(W:W, ROW()-1)
   )
   /SUM(INDEX(W:W, ROW()-COUNTIF($F$6:INDEX($F:$F, ROW()-1), $F691)) : INDEX(W:W, ROW()-1)),
   AVERAGEIFS(
     INDEX((unit_details[Asking Rent],unit_details[Asking PSF]),0,1,IF($U$3="Chunk Rent",1,2)),
     unit_details[Leased Date],"&gt;="&amp;($AM$2-T$5),
     unit_details[Leased Date],"&lt;"&amp;$AM$2,
     unit_details[Beds],$L692,
     unit_details[Baths],$M692,
     unit_details[Partial Baths],IF(ISNUMBER($N692),$N692,""),
     unit_details[Sqft],$P692,
     unit_details[Property Name],$F692)
 ),"")</f>
        <v/>
      </c>
      <c r="U692" s="552" t="str">
        <f>IFERROR(
 IF($F692="Total",
   SUMPRODUCT(
   INDEX(U:U, ROW()-COUNTIF($F$6:INDEX($F:$F, ROW()-1), $F691)) : INDEX(U:U, ROW()-1),
   INDEX(W:W, ROW()-COUNTIF($F$6:INDEX($F:$F, ROW()-1), $F691)) : INDEX(W:W, ROW()-1)
   )
   /SUM(INDEX(W:W, ROW()-COUNTIF($F$6:INDEX($F:$F, ROW()-1), $F691)) : INDEX(W:W, ROW()-1)),
   AVERAGEIFS(
     INDEX((unit_details[Effective Rent],unit_details[Effective PSF]),0,1,IF($U$3="Chunk Rent",1,2)),
     unit_details[Leased Date],"&gt;="&amp;($AM$2-T$5),
     unit_details[Leased Date],"&lt;"&amp;$AM$2,
     unit_details[Beds],$L692,
     unit_details[Baths],$M692,
     unit_details[Partial Baths],IF(ISNUMBER($N692),$N692,""),
     unit_details[Sqft],$P692,
     unit_details[Property Name],$F692)
 ),"")</f>
        <v/>
      </c>
      <c r="V692" s="27" t="str">
        <f t="shared" si="120"/>
        <v/>
      </c>
      <c r="W692" s="526">
        <f>IFERROR(
  IF($F692="Total",
    SUM(INDEX(W:W, ROW()-COUNTIF($F$6:INDEX($F:$F, ROW()-1), $F691)) : INDEX(W:W, ROW()-1)),
    COUNTIFS(
      unit_details[Leased Date], "&gt;="&amp;($AM$2-T$5),
      unit_details[Leased Date], "&lt;"&amp;$AM$2,
      unit_details[Beds], $L692,
      unit_details[Baths], $M692,
      unit_details[Partial Baths], IF(ISNUMBER($N692), $N692, ""),
      unit_details[Sqft],$P692,
      unit_details[Property Name], $F692
    )
  ),
"")</f>
        <v>0</v>
      </c>
      <c r="X692" s="531" t="str">
        <f>IFERROR(
 IF($F692="Total",
   SUMPRODUCT(
   INDEX(X:X, ROW()-COUNTIF($F$6:INDEX($F:$F, ROW()-1), $F691)) : INDEX(X:X, ROW()-1),
   INDEX(AA:AA, ROW()-COUNTIF($F$6:INDEX($F:$F, ROW()-1), $F691)) : INDEX(AA:AA, ROW()-1)
   )
   /SUM(INDEX(AA:AA, ROW()-COUNTIF($F$6:INDEX($F:$F, ROW()-1), $F691)) : INDEX(AA:AA, ROW()-1)),
   AVERAGEIFS(
     INDEX((unit_details[Asking Rent],unit_details[Asking PSF]),0,1,IF($U$3="Chunk Rent",1,2)),
     unit_details[Leased Date],"&gt;="&amp;($AM$2-X$5),
     unit_details[Leased Date],"&lt;"&amp;$AM$2,
     unit_details[Beds],$L692,
     unit_details[Baths],$M692,
     unit_details[Partial Baths],IF(ISNUMBER($N692),$N692,""),
     unit_details[Sqft],$P692,
     unit_details[Property Name],$F692)
 ),"")</f>
        <v/>
      </c>
      <c r="Y692" s="552" t="str">
        <f>IFERROR(
 IF($F692="Total",
   SUMPRODUCT(
   INDEX(Y:Y, ROW()-COUNTIF($F$6:INDEX($F:$F, ROW()-1), $F691)) : INDEX(Y:Y, ROW()-1),
   INDEX(AA:AA, ROW()-COUNTIF($F$6:INDEX($F:$F, ROW()-1), $F691)) : INDEX(AA:AA, ROW()-1)
   )
   /SUM(INDEX(AA:AA, ROW()-COUNTIF($F$6:INDEX($F:$F, ROW()-1), $F691)) : INDEX(AA:AA, ROW()-1)),
   AVERAGEIFS(
     INDEX((unit_details[Effective Rent],unit_details[Effective PSF]),0,1,IF($U$3="Chunk Rent",1,2)),
     unit_details[Leased Date],"&gt;="&amp;($AM$2-X$5),
     unit_details[Leased Date],"&lt;"&amp;$AM$2,
     unit_details[Beds],$L692,
     unit_details[Baths],$M692,
     unit_details[Partial Baths],IF(ISNUMBER($N692),$N692,""),
     unit_details[Sqft],$P692,
     unit_details[Property Name],$F692)
 ),"")</f>
        <v/>
      </c>
      <c r="Z692" s="27" t="str">
        <f t="shared" si="121"/>
        <v/>
      </c>
      <c r="AA692" s="526">
        <f>IFERROR(
  IF($F692="Total",
    SUM(INDEX(AA:AA, ROW()-COUNTIF($F$6:INDEX($F:$F, ROW()-1), $F691)) : INDEX(AA:AA, ROW()-1)),
    COUNTIFS(
      unit_details[Leased Date], "&gt;="&amp;($AM$2-X$5),
      unit_details[Leased Date], "&lt;"&amp;$AM$2,
      unit_details[Beds], $L692,
      unit_details[Baths], $M692,
      unit_details[Partial Baths], IF(ISNUMBER($N692), $N692, ""),
      unit_details[Sqft],$P692,
      unit_details[Property Name], $F692
    )
  ),
"")</f>
        <v>0</v>
      </c>
      <c r="AB692" s="290">
        <f>IF($F692="Total",
SUM(INDEX(AB:AB, ROW()-COUNTIF($F$6:INDEX($F:$F, ROW()-1), $F691)) : INDEX(AB:AB, ROW()-1)),
COUNTIFS(unit_details[Active Listing?],TRUE,
          unit_details[Property Name], $F692,
          unit_details[Beds], $L692,
          unit_details[Baths], $M692,
          unit_details[Partial Baths],IF(ISNUMBER($N692),$N692,""),
          unit_details[Sqft],$P692))</f>
        <v>0</v>
      </c>
      <c r="AC692" s="27" t="str">
        <f t="shared" si="113"/>
        <v/>
      </c>
      <c r="AD692" s="293" t="str">
        <f>IFERROR(IF(AE692="","",IF($F692="Total",
SUMPRODUCT(
   INDEX(AD:AD, ROW()-COUNTIF($F$6:INDEX($F:$F, ROW()-1), $F691)) : INDEX(AD:AD, ROW()-1),
   INDEX(AB:AB, ROW()-COUNTIF($F$6:INDEX($F:$F, ROW()-1), $F691)) : INDEX(AB:AB, ROW()-1)
   )
   /SUM(INDEX(AB:AB, ROW()-COUNTIF($F$6:INDEX($F:$F, ROW()-1), $F691)) : INDEX(AB:AB, ROW()-1)),
          _xlfn.MINIFS(unit_details[Asking Rent],
          unit_details[Active Listing?],TRUE,
          unit_details[Property Name], $F692,
          unit_details[Beds], $L692,
          unit_details[Baths], $M692,
          unit_details[Partial Baths], IF(ISNUMBER($N692),$N692,""),
          unit_details[Sqft],$P692
))),"")</f>
        <v/>
      </c>
      <c r="AE692" s="5" t="str">
        <f>IFERROR(IF($F692="Total",
          SUMPRODUCT(
   INDEX(AE:AE, ROW()-COUNTIF($F$6:INDEX($F:$F, ROW()-1), $F691)) : INDEX(AE:AE, ROW()-1),
   INDEX(AB:AB, ROW()-COUNTIF($F$6:INDEX($F:$F, ROW()-1), $F691)) : INDEX(AB:AB, ROW()-1)
   )
   /SUM(INDEX(AB:AB, ROW()-COUNTIF($F$6:INDEX($F:$F, ROW()-1), $F691)) : INDEX(AB:AB, ROW()-1)),
          AVERAGEIFS(unit_details[Asking Rent],
          unit_details[Active Listing?],TRUE,
          unit_details[Property Name], $F692,
          unit_details[Beds], $L692,
          unit_details[Baths], $M692,
          unit_details[Partial Baths], IF(ISNUMBER($N692),$N692,""),
          unit_details[Sqft],$P692
)),"")</f>
        <v/>
      </c>
      <c r="AF692" s="5" t="str">
        <f>IFERROR(IF(AE692="","",IF($F692="Total",
SUMPRODUCT(
   INDEX(AF:AF, ROW()-COUNTIF($F$6:INDEX($F:$F, ROW()-1), $F691)) : INDEX(AF:AF, ROW()-1),
   INDEX(AB:AB, ROW()-COUNTIF($F$6:INDEX($F:$F, ROW()-1), $F691)) : INDEX(AB:AB, ROW()-1)
   )
   /SUM(INDEX(AB:AB, ROW()-COUNTIF($F$6:INDEX($F:$F, ROW()-1), $F691)) : INDEX(AB:AB, ROW()-1)),
           _xlfn.MAXIFS(unit_details[Asking Rent],
          unit_details[Active Listing?],TRUE,
          unit_details[Property Name], $F692,
          unit_details[Beds], $L692,
          unit_details[Baths], $M692,
          unit_details[Partial Baths], IF(ISNUMBER($N692),$N692,""),
          unit_details[Sqft],$P692
))),"")</f>
        <v/>
      </c>
      <c r="AG692" s="6" t="str">
        <f>IFERROR(IF($F692="Total",
         SUMPRODUCT(
         INDEX(AG:AG, ROW()-COUNTIF($F$6:INDEX($F:$F, ROW()-1), $F691)) : INDEX(AG:AG, ROW()-1),
         INDEX(AB:AB, ROW()-COUNTIF($F$6:INDEX($F:$F, ROW()-1), $F691)) : INDEX(AB:AB, ROW()-1)
         )
         /SUM(INDEX(AB:AB, ROW()-COUNTIF($F$6:INDEX($F:$F, ROW()-1), $F691)) : INDEX(AB:AB, ROW()-1)),
          AVERAGEIFS(unit_details[Asking PSF],
          unit_details[Active Listing?],TRUE,
          unit_details[Property Name], $F692,
          unit_details[Beds], $L692,
          unit_details[Baths], $M692,
          unit_details[Partial Baths], IF(ISNUMBER($N692),$N692,""),
          unit_details[Sqft],$P692
)),"")</f>
        <v/>
      </c>
      <c r="AH692" s="293" t="str">
        <f>IFERROR(IF($F692="Total",
         SUMPRODUCT(
         INDEX(AH:AH, ROW()-COUNTIF($F$6:INDEX($F:$F, ROW()-1), $F691)) : INDEX(AH:AH, ROW()-1),
         INDEX(AB:AB, ROW()-COUNTIF($F$6:INDEX($F:$F, ROW()-1), $F691)) : INDEX(AB:AB, ROW()-1)
         )
         /SUM(INDEX(AB:AB, ROW()-COUNTIF($F$6:INDEX($F:$F, ROW()-1), $F691)) : INDEX(AB:AB, ROW()-1)),
          AVERAGEIFS(unit_details[Effective Rent],
          unit_details[Active Listing?],TRUE,
          unit_details[Property Name], $F692,
          unit_details[Beds], $L692,
          unit_details[Baths], $M692,
          unit_details[Partial Baths], IF(ISNUMBER($N692),$N692,""),
          unit_details[Sqft],$P692
)),"")</f>
        <v/>
      </c>
      <c r="AI692" s="6" t="str">
        <f>IFERROR(IF($F692="Total",
         SUMPRODUCT(
         INDEX(AI:AI, ROW()-COUNTIF($F$6:INDEX($F:$F, ROW()-1), $F691)) : INDEX(AI:AI, ROW()-1),
         INDEX(AB:AB, ROW()-COUNTIF($F$6:INDEX($F:$F, ROW()-1), $F691)) : INDEX(AB:AB, ROW()-1)
         )
         /SUM(INDEX(AB:AB, ROW()-COUNTIF($F$6:INDEX($F:$F, ROW()-1), $F691)) : INDEX(AB:AB, ROW()-1)),
           AVERAGEIFS(unit_details[Effective PSF],
          unit_details[Active Listing?],TRUE,
          unit_details[Property Name], $F692,
          unit_details[Beds], $L692,
          unit_details[Baths], $M692,
          unit_details[Partial Baths], IF(ISNUMBER($N692),$N692,""),
          unit_details[Sqft],$P692
)),"")</f>
        <v/>
      </c>
      <c r="AJ692" s="824" t="str">
        <f t="shared" si="114"/>
        <v/>
      </c>
      <c r="AK692" s="531" t="str">
        <f t="shared" si="115"/>
        <v/>
      </c>
      <c r="AL692" s="714" t="str">
        <f t="shared" si="116"/>
        <v/>
      </c>
      <c r="AM692" s="531" t="str">
        <f t="shared" si="117"/>
        <v/>
      </c>
      <c r="AN692" s="716" t="str">
        <f t="shared" si="118"/>
        <v/>
      </c>
    </row>
    <row r="693" spans="6:40" x14ac:dyDescent="0.2">
      <c r="F693" s="1" t="str">
        <f t="shared" si="111"/>
        <v/>
      </c>
      <c r="G693" s="713" t="str">
        <f t="shared" si="119"/>
        <v/>
      </c>
      <c r="H693" s="17" t="str">
        <f>IFERROR(VLOOKUP($G693,Table1[[Property]:[Exposure %]],4,0),"")</f>
        <v/>
      </c>
      <c r="I693" s="3" t="str">
        <f>IFERROR(VLOOKUP($G693,Table1[[Property]:[Exposure %]],6,0),"")</f>
        <v/>
      </c>
      <c r="J693" s="3" t="str">
        <f>IFERROR(VLOOKUP($G693,Table1[[Property]:[Exposure %]],7,0),"")</f>
        <v/>
      </c>
      <c r="R693" s="4" t="str">
        <f>IFERROR(VLOOKUP(IF(F693="Total",F692,F693),Table1[[Property]:['# Units]],7,0)*S693,"")</f>
        <v/>
      </c>
      <c r="S693" s="27" t="str">
        <f t="shared" si="112"/>
        <v/>
      </c>
      <c r="T693" s="531" t="str">
        <f>IFERROR(
 IF($F693="Total",
   SUMPRODUCT(
   INDEX(T:T, ROW()-COUNTIF($F$6:INDEX($F:$F, ROW()-1), $F692)) : INDEX(T:T, ROW()-1),
   INDEX(W:W, ROW()-COUNTIF($F$6:INDEX($F:$F, ROW()-1), $F692)) : INDEX(W:W, ROW()-1)
   )
   /SUM(INDEX(W:W, ROW()-COUNTIF($F$6:INDEX($F:$F, ROW()-1), $F692)) : INDEX(W:W, ROW()-1)),
   AVERAGEIFS(
     INDEX((unit_details[Asking Rent],unit_details[Asking PSF]),0,1,IF($U$3="Chunk Rent",1,2)),
     unit_details[Leased Date],"&gt;="&amp;($AM$2-T$5),
     unit_details[Leased Date],"&lt;"&amp;$AM$2,
     unit_details[Beds],$L693,
     unit_details[Baths],$M693,
     unit_details[Partial Baths],IF(ISNUMBER($N693),$N693,""),
     unit_details[Sqft],$P693,
     unit_details[Property Name],$F693)
 ),"")</f>
        <v/>
      </c>
      <c r="U693" s="552" t="str">
        <f>IFERROR(
 IF($F693="Total",
   SUMPRODUCT(
   INDEX(U:U, ROW()-COUNTIF($F$6:INDEX($F:$F, ROW()-1), $F692)) : INDEX(U:U, ROW()-1),
   INDEX(W:W, ROW()-COUNTIF($F$6:INDEX($F:$F, ROW()-1), $F692)) : INDEX(W:W, ROW()-1)
   )
   /SUM(INDEX(W:W, ROW()-COUNTIF($F$6:INDEX($F:$F, ROW()-1), $F692)) : INDEX(W:W, ROW()-1)),
   AVERAGEIFS(
     INDEX((unit_details[Effective Rent],unit_details[Effective PSF]),0,1,IF($U$3="Chunk Rent",1,2)),
     unit_details[Leased Date],"&gt;="&amp;($AM$2-T$5),
     unit_details[Leased Date],"&lt;"&amp;$AM$2,
     unit_details[Beds],$L693,
     unit_details[Baths],$M693,
     unit_details[Partial Baths],IF(ISNUMBER($N693),$N693,""),
     unit_details[Sqft],$P693,
     unit_details[Property Name],$F693)
 ),"")</f>
        <v/>
      </c>
      <c r="V693" s="27" t="str">
        <f t="shared" si="120"/>
        <v/>
      </c>
      <c r="W693" s="526">
        <f>IFERROR(
  IF($F693="Total",
    SUM(INDEX(W:W, ROW()-COUNTIF($F$6:INDEX($F:$F, ROW()-1), $F692)) : INDEX(W:W, ROW()-1)),
    COUNTIFS(
      unit_details[Leased Date], "&gt;="&amp;($AM$2-T$5),
      unit_details[Leased Date], "&lt;"&amp;$AM$2,
      unit_details[Beds], $L693,
      unit_details[Baths], $M693,
      unit_details[Partial Baths], IF(ISNUMBER($N693), $N693, ""),
      unit_details[Sqft],$P693,
      unit_details[Property Name], $F693
    )
  ),
"")</f>
        <v>0</v>
      </c>
      <c r="X693" s="531" t="str">
        <f>IFERROR(
 IF($F693="Total",
   SUMPRODUCT(
   INDEX(X:X, ROW()-COUNTIF($F$6:INDEX($F:$F, ROW()-1), $F692)) : INDEX(X:X, ROW()-1),
   INDEX(AA:AA, ROW()-COUNTIF($F$6:INDEX($F:$F, ROW()-1), $F692)) : INDEX(AA:AA, ROW()-1)
   )
   /SUM(INDEX(AA:AA, ROW()-COUNTIF($F$6:INDEX($F:$F, ROW()-1), $F692)) : INDEX(AA:AA, ROW()-1)),
   AVERAGEIFS(
     INDEX((unit_details[Asking Rent],unit_details[Asking PSF]),0,1,IF($U$3="Chunk Rent",1,2)),
     unit_details[Leased Date],"&gt;="&amp;($AM$2-X$5),
     unit_details[Leased Date],"&lt;"&amp;$AM$2,
     unit_details[Beds],$L693,
     unit_details[Baths],$M693,
     unit_details[Partial Baths],IF(ISNUMBER($N693),$N693,""),
     unit_details[Sqft],$P693,
     unit_details[Property Name],$F693)
 ),"")</f>
        <v/>
      </c>
      <c r="Y693" s="552" t="str">
        <f>IFERROR(
 IF($F693="Total",
   SUMPRODUCT(
   INDEX(Y:Y, ROW()-COUNTIF($F$6:INDEX($F:$F, ROW()-1), $F692)) : INDEX(Y:Y, ROW()-1),
   INDEX(AA:AA, ROW()-COUNTIF($F$6:INDEX($F:$F, ROW()-1), $F692)) : INDEX(AA:AA, ROW()-1)
   )
   /SUM(INDEX(AA:AA, ROW()-COUNTIF($F$6:INDEX($F:$F, ROW()-1), $F692)) : INDEX(AA:AA, ROW()-1)),
   AVERAGEIFS(
     INDEX((unit_details[Effective Rent],unit_details[Effective PSF]),0,1,IF($U$3="Chunk Rent",1,2)),
     unit_details[Leased Date],"&gt;="&amp;($AM$2-X$5),
     unit_details[Leased Date],"&lt;"&amp;$AM$2,
     unit_details[Beds],$L693,
     unit_details[Baths],$M693,
     unit_details[Partial Baths],IF(ISNUMBER($N693),$N693,""),
     unit_details[Sqft],$P693,
     unit_details[Property Name],$F693)
 ),"")</f>
        <v/>
      </c>
      <c r="Z693" s="27" t="str">
        <f t="shared" si="121"/>
        <v/>
      </c>
      <c r="AA693" s="526">
        <f>IFERROR(
  IF($F693="Total",
    SUM(INDEX(AA:AA, ROW()-COUNTIF($F$6:INDEX($F:$F, ROW()-1), $F692)) : INDEX(AA:AA, ROW()-1)),
    COUNTIFS(
      unit_details[Leased Date], "&gt;="&amp;($AM$2-X$5),
      unit_details[Leased Date], "&lt;"&amp;$AM$2,
      unit_details[Beds], $L693,
      unit_details[Baths], $M693,
      unit_details[Partial Baths], IF(ISNUMBER($N693), $N693, ""),
      unit_details[Sqft],$P693,
      unit_details[Property Name], $F693
    )
  ),
"")</f>
        <v>0</v>
      </c>
      <c r="AB693" s="290">
        <f>IF($F693="Total",
SUM(INDEX(AB:AB, ROW()-COUNTIF($F$6:INDEX($F:$F, ROW()-1), $F692)) : INDEX(AB:AB, ROW()-1)),
COUNTIFS(unit_details[Active Listing?],TRUE,
          unit_details[Property Name], $F693,
          unit_details[Beds], $L693,
          unit_details[Baths], $M693,
          unit_details[Partial Baths],IF(ISNUMBER($N693),$N693,""),
          unit_details[Sqft],$P693))</f>
        <v>0</v>
      </c>
      <c r="AC693" s="27" t="str">
        <f t="shared" si="113"/>
        <v/>
      </c>
      <c r="AD693" s="293" t="str">
        <f>IFERROR(IF(AE693="","",IF($F693="Total",
SUMPRODUCT(
   INDEX(AD:AD, ROW()-COUNTIF($F$6:INDEX($F:$F, ROW()-1), $F692)) : INDEX(AD:AD, ROW()-1),
   INDEX(AB:AB, ROW()-COUNTIF($F$6:INDEX($F:$F, ROW()-1), $F692)) : INDEX(AB:AB, ROW()-1)
   )
   /SUM(INDEX(AB:AB, ROW()-COUNTIF($F$6:INDEX($F:$F, ROW()-1), $F692)) : INDEX(AB:AB, ROW()-1)),
          _xlfn.MINIFS(unit_details[Asking Rent],
          unit_details[Active Listing?],TRUE,
          unit_details[Property Name], $F693,
          unit_details[Beds], $L693,
          unit_details[Baths], $M693,
          unit_details[Partial Baths], IF(ISNUMBER($N693),$N693,""),
          unit_details[Sqft],$P693
))),"")</f>
        <v/>
      </c>
      <c r="AE693" s="5" t="str">
        <f>IFERROR(IF($F693="Total",
          SUMPRODUCT(
   INDEX(AE:AE, ROW()-COUNTIF($F$6:INDEX($F:$F, ROW()-1), $F692)) : INDEX(AE:AE, ROW()-1),
   INDEX(AB:AB, ROW()-COUNTIF($F$6:INDEX($F:$F, ROW()-1), $F692)) : INDEX(AB:AB, ROW()-1)
   )
   /SUM(INDEX(AB:AB, ROW()-COUNTIF($F$6:INDEX($F:$F, ROW()-1), $F692)) : INDEX(AB:AB, ROW()-1)),
          AVERAGEIFS(unit_details[Asking Rent],
          unit_details[Active Listing?],TRUE,
          unit_details[Property Name], $F693,
          unit_details[Beds], $L693,
          unit_details[Baths], $M693,
          unit_details[Partial Baths], IF(ISNUMBER($N693),$N693,""),
          unit_details[Sqft],$P693
)),"")</f>
        <v/>
      </c>
      <c r="AF693" s="5" t="str">
        <f>IFERROR(IF(AE693="","",IF($F693="Total",
SUMPRODUCT(
   INDEX(AF:AF, ROW()-COUNTIF($F$6:INDEX($F:$F, ROW()-1), $F692)) : INDEX(AF:AF, ROW()-1),
   INDEX(AB:AB, ROW()-COUNTIF($F$6:INDEX($F:$F, ROW()-1), $F692)) : INDEX(AB:AB, ROW()-1)
   )
   /SUM(INDEX(AB:AB, ROW()-COUNTIF($F$6:INDEX($F:$F, ROW()-1), $F692)) : INDEX(AB:AB, ROW()-1)),
           _xlfn.MAXIFS(unit_details[Asking Rent],
          unit_details[Active Listing?],TRUE,
          unit_details[Property Name], $F693,
          unit_details[Beds], $L693,
          unit_details[Baths], $M693,
          unit_details[Partial Baths], IF(ISNUMBER($N693),$N693,""),
          unit_details[Sqft],$P693
))),"")</f>
        <v/>
      </c>
      <c r="AG693" s="6" t="str">
        <f>IFERROR(IF($F693="Total",
         SUMPRODUCT(
         INDEX(AG:AG, ROW()-COUNTIF($F$6:INDEX($F:$F, ROW()-1), $F692)) : INDEX(AG:AG, ROW()-1),
         INDEX(AB:AB, ROW()-COUNTIF($F$6:INDEX($F:$F, ROW()-1), $F692)) : INDEX(AB:AB, ROW()-1)
         )
         /SUM(INDEX(AB:AB, ROW()-COUNTIF($F$6:INDEX($F:$F, ROW()-1), $F692)) : INDEX(AB:AB, ROW()-1)),
          AVERAGEIFS(unit_details[Asking PSF],
          unit_details[Active Listing?],TRUE,
          unit_details[Property Name], $F693,
          unit_details[Beds], $L693,
          unit_details[Baths], $M693,
          unit_details[Partial Baths], IF(ISNUMBER($N693),$N693,""),
          unit_details[Sqft],$P693
)),"")</f>
        <v/>
      </c>
      <c r="AH693" s="293" t="str">
        <f>IFERROR(IF($F693="Total",
         SUMPRODUCT(
         INDEX(AH:AH, ROW()-COUNTIF($F$6:INDEX($F:$F, ROW()-1), $F692)) : INDEX(AH:AH, ROW()-1),
         INDEX(AB:AB, ROW()-COUNTIF($F$6:INDEX($F:$F, ROW()-1), $F692)) : INDEX(AB:AB, ROW()-1)
         )
         /SUM(INDEX(AB:AB, ROW()-COUNTIF($F$6:INDEX($F:$F, ROW()-1), $F692)) : INDEX(AB:AB, ROW()-1)),
          AVERAGEIFS(unit_details[Effective Rent],
          unit_details[Active Listing?],TRUE,
          unit_details[Property Name], $F693,
          unit_details[Beds], $L693,
          unit_details[Baths], $M693,
          unit_details[Partial Baths], IF(ISNUMBER($N693),$N693,""),
          unit_details[Sqft],$P693
)),"")</f>
        <v/>
      </c>
      <c r="AI693" s="6" t="str">
        <f>IFERROR(IF($F693="Total",
         SUMPRODUCT(
         INDEX(AI:AI, ROW()-COUNTIF($F$6:INDEX($F:$F, ROW()-1), $F692)) : INDEX(AI:AI, ROW()-1),
         INDEX(AB:AB, ROW()-COUNTIF($F$6:INDEX($F:$F, ROW()-1), $F692)) : INDEX(AB:AB, ROW()-1)
         )
         /SUM(INDEX(AB:AB, ROW()-COUNTIF($F$6:INDEX($F:$F, ROW()-1), $F692)) : INDEX(AB:AB, ROW()-1)),
           AVERAGEIFS(unit_details[Effective PSF],
          unit_details[Active Listing?],TRUE,
          unit_details[Property Name], $F693,
          unit_details[Beds], $L693,
          unit_details[Baths], $M693,
          unit_details[Partial Baths], IF(ISNUMBER($N693),$N693,""),
          unit_details[Sqft],$P693
)),"")</f>
        <v/>
      </c>
      <c r="AJ693" s="824" t="str">
        <f t="shared" si="114"/>
        <v/>
      </c>
      <c r="AK693" s="531" t="str">
        <f t="shared" si="115"/>
        <v/>
      </c>
      <c r="AL693" s="714" t="str">
        <f t="shared" si="116"/>
        <v/>
      </c>
      <c r="AM693" s="531" t="str">
        <f t="shared" si="117"/>
        <v/>
      </c>
      <c r="AN693" s="716" t="str">
        <f t="shared" si="118"/>
        <v/>
      </c>
    </row>
    <row r="694" spans="6:40" x14ac:dyDescent="0.2">
      <c r="F694" s="1" t="str">
        <f t="shared" si="111"/>
        <v/>
      </c>
      <c r="G694" s="713" t="str">
        <f t="shared" si="119"/>
        <v/>
      </c>
      <c r="H694" s="17" t="str">
        <f>IFERROR(VLOOKUP($G694,Table1[[Property]:[Exposure %]],4,0),"")</f>
        <v/>
      </c>
      <c r="I694" s="3" t="str">
        <f>IFERROR(VLOOKUP($G694,Table1[[Property]:[Exposure %]],6,0),"")</f>
        <v/>
      </c>
      <c r="J694" s="3" t="str">
        <f>IFERROR(VLOOKUP($G694,Table1[[Property]:[Exposure %]],7,0),"")</f>
        <v/>
      </c>
      <c r="R694" s="4" t="str">
        <f>IFERROR(VLOOKUP(IF(F694="Total",F693,F694),Table1[[Property]:['# Units]],7,0)*S694,"")</f>
        <v/>
      </c>
      <c r="S694" s="27" t="str">
        <f t="shared" si="112"/>
        <v/>
      </c>
      <c r="T694" s="531" t="str">
        <f>IFERROR(
 IF($F694="Total",
   SUMPRODUCT(
   INDEX(T:T, ROW()-COUNTIF($F$6:INDEX($F:$F, ROW()-1), $F693)) : INDEX(T:T, ROW()-1),
   INDEX(W:W, ROW()-COUNTIF($F$6:INDEX($F:$F, ROW()-1), $F693)) : INDEX(W:W, ROW()-1)
   )
   /SUM(INDEX(W:W, ROW()-COUNTIF($F$6:INDEX($F:$F, ROW()-1), $F693)) : INDEX(W:W, ROW()-1)),
   AVERAGEIFS(
     INDEX((unit_details[Asking Rent],unit_details[Asking PSF]),0,1,IF($U$3="Chunk Rent",1,2)),
     unit_details[Leased Date],"&gt;="&amp;($AM$2-T$5),
     unit_details[Leased Date],"&lt;"&amp;$AM$2,
     unit_details[Beds],$L694,
     unit_details[Baths],$M694,
     unit_details[Partial Baths],IF(ISNUMBER($N694),$N694,""),
     unit_details[Sqft],$P694,
     unit_details[Property Name],$F694)
 ),"")</f>
        <v/>
      </c>
      <c r="U694" s="552" t="str">
        <f>IFERROR(
 IF($F694="Total",
   SUMPRODUCT(
   INDEX(U:U, ROW()-COUNTIF($F$6:INDEX($F:$F, ROW()-1), $F693)) : INDEX(U:U, ROW()-1),
   INDEX(W:W, ROW()-COUNTIF($F$6:INDEX($F:$F, ROW()-1), $F693)) : INDEX(W:W, ROW()-1)
   )
   /SUM(INDEX(W:W, ROW()-COUNTIF($F$6:INDEX($F:$F, ROW()-1), $F693)) : INDEX(W:W, ROW()-1)),
   AVERAGEIFS(
     INDEX((unit_details[Effective Rent],unit_details[Effective PSF]),0,1,IF($U$3="Chunk Rent",1,2)),
     unit_details[Leased Date],"&gt;="&amp;($AM$2-T$5),
     unit_details[Leased Date],"&lt;"&amp;$AM$2,
     unit_details[Beds],$L694,
     unit_details[Baths],$M694,
     unit_details[Partial Baths],IF(ISNUMBER($N694),$N694,""),
     unit_details[Sqft],$P694,
     unit_details[Property Name],$F694)
 ),"")</f>
        <v/>
      </c>
      <c r="V694" s="27" t="str">
        <f t="shared" si="120"/>
        <v/>
      </c>
      <c r="W694" s="526">
        <f>IFERROR(
  IF($F694="Total",
    SUM(INDEX(W:W, ROW()-COUNTIF($F$6:INDEX($F:$F, ROW()-1), $F693)) : INDEX(W:W, ROW()-1)),
    COUNTIFS(
      unit_details[Leased Date], "&gt;="&amp;($AM$2-T$5),
      unit_details[Leased Date], "&lt;"&amp;$AM$2,
      unit_details[Beds], $L694,
      unit_details[Baths], $M694,
      unit_details[Partial Baths], IF(ISNUMBER($N694), $N694, ""),
      unit_details[Sqft],$P694,
      unit_details[Property Name], $F694
    )
  ),
"")</f>
        <v>0</v>
      </c>
      <c r="X694" s="531" t="str">
        <f>IFERROR(
 IF($F694="Total",
   SUMPRODUCT(
   INDEX(X:X, ROW()-COUNTIF($F$6:INDEX($F:$F, ROW()-1), $F693)) : INDEX(X:X, ROW()-1),
   INDEX(AA:AA, ROW()-COUNTIF($F$6:INDEX($F:$F, ROW()-1), $F693)) : INDEX(AA:AA, ROW()-1)
   )
   /SUM(INDEX(AA:AA, ROW()-COUNTIF($F$6:INDEX($F:$F, ROW()-1), $F693)) : INDEX(AA:AA, ROW()-1)),
   AVERAGEIFS(
     INDEX((unit_details[Asking Rent],unit_details[Asking PSF]),0,1,IF($U$3="Chunk Rent",1,2)),
     unit_details[Leased Date],"&gt;="&amp;($AM$2-X$5),
     unit_details[Leased Date],"&lt;"&amp;$AM$2,
     unit_details[Beds],$L694,
     unit_details[Baths],$M694,
     unit_details[Partial Baths],IF(ISNUMBER($N694),$N694,""),
     unit_details[Sqft],$P694,
     unit_details[Property Name],$F694)
 ),"")</f>
        <v/>
      </c>
      <c r="Y694" s="552" t="str">
        <f>IFERROR(
 IF($F694="Total",
   SUMPRODUCT(
   INDEX(Y:Y, ROW()-COUNTIF($F$6:INDEX($F:$F, ROW()-1), $F693)) : INDEX(Y:Y, ROW()-1),
   INDEX(AA:AA, ROW()-COUNTIF($F$6:INDEX($F:$F, ROW()-1), $F693)) : INDEX(AA:AA, ROW()-1)
   )
   /SUM(INDEX(AA:AA, ROW()-COUNTIF($F$6:INDEX($F:$F, ROW()-1), $F693)) : INDEX(AA:AA, ROW()-1)),
   AVERAGEIFS(
     INDEX((unit_details[Effective Rent],unit_details[Effective PSF]),0,1,IF($U$3="Chunk Rent",1,2)),
     unit_details[Leased Date],"&gt;="&amp;($AM$2-X$5),
     unit_details[Leased Date],"&lt;"&amp;$AM$2,
     unit_details[Beds],$L694,
     unit_details[Baths],$M694,
     unit_details[Partial Baths],IF(ISNUMBER($N694),$N694,""),
     unit_details[Sqft],$P694,
     unit_details[Property Name],$F694)
 ),"")</f>
        <v/>
      </c>
      <c r="Z694" s="27" t="str">
        <f t="shared" si="121"/>
        <v/>
      </c>
      <c r="AA694" s="526">
        <f>IFERROR(
  IF($F694="Total",
    SUM(INDEX(AA:AA, ROW()-COUNTIF($F$6:INDEX($F:$F, ROW()-1), $F693)) : INDEX(AA:AA, ROW()-1)),
    COUNTIFS(
      unit_details[Leased Date], "&gt;="&amp;($AM$2-X$5),
      unit_details[Leased Date], "&lt;"&amp;$AM$2,
      unit_details[Beds], $L694,
      unit_details[Baths], $M694,
      unit_details[Partial Baths], IF(ISNUMBER($N694), $N694, ""),
      unit_details[Sqft],$P694,
      unit_details[Property Name], $F694
    )
  ),
"")</f>
        <v>0</v>
      </c>
      <c r="AB694" s="290">
        <f>IF($F694="Total",
SUM(INDEX(AB:AB, ROW()-COUNTIF($F$6:INDEX($F:$F, ROW()-1), $F693)) : INDEX(AB:AB, ROW()-1)),
COUNTIFS(unit_details[Active Listing?],TRUE,
          unit_details[Property Name], $F694,
          unit_details[Beds], $L694,
          unit_details[Baths], $M694,
          unit_details[Partial Baths],IF(ISNUMBER($N694),$N694,""),
          unit_details[Sqft],$P694))</f>
        <v>0</v>
      </c>
      <c r="AC694" s="27" t="str">
        <f t="shared" si="113"/>
        <v/>
      </c>
      <c r="AD694" s="293" t="str">
        <f>IFERROR(IF(AE694="","",IF($F694="Total",
SUMPRODUCT(
   INDEX(AD:AD, ROW()-COUNTIF($F$6:INDEX($F:$F, ROW()-1), $F693)) : INDEX(AD:AD, ROW()-1),
   INDEX(AB:AB, ROW()-COUNTIF($F$6:INDEX($F:$F, ROW()-1), $F693)) : INDEX(AB:AB, ROW()-1)
   )
   /SUM(INDEX(AB:AB, ROW()-COUNTIF($F$6:INDEX($F:$F, ROW()-1), $F693)) : INDEX(AB:AB, ROW()-1)),
          _xlfn.MINIFS(unit_details[Asking Rent],
          unit_details[Active Listing?],TRUE,
          unit_details[Property Name], $F694,
          unit_details[Beds], $L694,
          unit_details[Baths], $M694,
          unit_details[Partial Baths], IF(ISNUMBER($N694),$N694,""),
          unit_details[Sqft],$P694
))),"")</f>
        <v/>
      </c>
      <c r="AE694" s="5" t="str">
        <f>IFERROR(IF($F694="Total",
          SUMPRODUCT(
   INDEX(AE:AE, ROW()-COUNTIF($F$6:INDEX($F:$F, ROW()-1), $F693)) : INDEX(AE:AE, ROW()-1),
   INDEX(AB:AB, ROW()-COUNTIF($F$6:INDEX($F:$F, ROW()-1), $F693)) : INDEX(AB:AB, ROW()-1)
   )
   /SUM(INDEX(AB:AB, ROW()-COUNTIF($F$6:INDEX($F:$F, ROW()-1), $F693)) : INDEX(AB:AB, ROW()-1)),
          AVERAGEIFS(unit_details[Asking Rent],
          unit_details[Active Listing?],TRUE,
          unit_details[Property Name], $F694,
          unit_details[Beds], $L694,
          unit_details[Baths], $M694,
          unit_details[Partial Baths], IF(ISNUMBER($N694),$N694,""),
          unit_details[Sqft],$P694
)),"")</f>
        <v/>
      </c>
      <c r="AF694" s="5" t="str">
        <f>IFERROR(IF(AE694="","",IF($F694="Total",
SUMPRODUCT(
   INDEX(AF:AF, ROW()-COUNTIF($F$6:INDEX($F:$F, ROW()-1), $F693)) : INDEX(AF:AF, ROW()-1),
   INDEX(AB:AB, ROW()-COUNTIF($F$6:INDEX($F:$F, ROW()-1), $F693)) : INDEX(AB:AB, ROW()-1)
   )
   /SUM(INDEX(AB:AB, ROW()-COUNTIF($F$6:INDEX($F:$F, ROW()-1), $F693)) : INDEX(AB:AB, ROW()-1)),
           _xlfn.MAXIFS(unit_details[Asking Rent],
          unit_details[Active Listing?],TRUE,
          unit_details[Property Name], $F694,
          unit_details[Beds], $L694,
          unit_details[Baths], $M694,
          unit_details[Partial Baths], IF(ISNUMBER($N694),$N694,""),
          unit_details[Sqft],$P694
))),"")</f>
        <v/>
      </c>
      <c r="AG694" s="6" t="str">
        <f>IFERROR(IF($F694="Total",
         SUMPRODUCT(
         INDEX(AG:AG, ROW()-COUNTIF($F$6:INDEX($F:$F, ROW()-1), $F693)) : INDEX(AG:AG, ROW()-1),
         INDEX(AB:AB, ROW()-COUNTIF($F$6:INDEX($F:$F, ROW()-1), $F693)) : INDEX(AB:AB, ROW()-1)
         )
         /SUM(INDEX(AB:AB, ROW()-COUNTIF($F$6:INDEX($F:$F, ROW()-1), $F693)) : INDEX(AB:AB, ROW()-1)),
          AVERAGEIFS(unit_details[Asking PSF],
          unit_details[Active Listing?],TRUE,
          unit_details[Property Name], $F694,
          unit_details[Beds], $L694,
          unit_details[Baths], $M694,
          unit_details[Partial Baths], IF(ISNUMBER($N694),$N694,""),
          unit_details[Sqft],$P694
)),"")</f>
        <v/>
      </c>
      <c r="AH694" s="293" t="str">
        <f>IFERROR(IF($F694="Total",
         SUMPRODUCT(
         INDEX(AH:AH, ROW()-COUNTIF($F$6:INDEX($F:$F, ROW()-1), $F693)) : INDEX(AH:AH, ROW()-1),
         INDEX(AB:AB, ROW()-COUNTIF($F$6:INDEX($F:$F, ROW()-1), $F693)) : INDEX(AB:AB, ROW()-1)
         )
         /SUM(INDEX(AB:AB, ROW()-COUNTIF($F$6:INDEX($F:$F, ROW()-1), $F693)) : INDEX(AB:AB, ROW()-1)),
          AVERAGEIFS(unit_details[Effective Rent],
          unit_details[Active Listing?],TRUE,
          unit_details[Property Name], $F694,
          unit_details[Beds], $L694,
          unit_details[Baths], $M694,
          unit_details[Partial Baths], IF(ISNUMBER($N694),$N694,""),
          unit_details[Sqft],$P694
)),"")</f>
        <v/>
      </c>
      <c r="AI694" s="6" t="str">
        <f>IFERROR(IF($F694="Total",
         SUMPRODUCT(
         INDEX(AI:AI, ROW()-COUNTIF($F$6:INDEX($F:$F, ROW()-1), $F693)) : INDEX(AI:AI, ROW()-1),
         INDEX(AB:AB, ROW()-COUNTIF($F$6:INDEX($F:$F, ROW()-1), $F693)) : INDEX(AB:AB, ROW()-1)
         )
         /SUM(INDEX(AB:AB, ROW()-COUNTIF($F$6:INDEX($F:$F, ROW()-1), $F693)) : INDEX(AB:AB, ROW()-1)),
           AVERAGEIFS(unit_details[Effective PSF],
          unit_details[Active Listing?],TRUE,
          unit_details[Property Name], $F694,
          unit_details[Beds], $L694,
          unit_details[Baths], $M694,
          unit_details[Partial Baths], IF(ISNUMBER($N694),$N694,""),
          unit_details[Sqft],$P694
)),"")</f>
        <v/>
      </c>
      <c r="AJ694" s="824" t="str">
        <f t="shared" si="114"/>
        <v/>
      </c>
      <c r="AK694" s="531" t="str">
        <f t="shared" si="115"/>
        <v/>
      </c>
      <c r="AL694" s="714" t="str">
        <f t="shared" si="116"/>
        <v/>
      </c>
      <c r="AM694" s="531" t="str">
        <f t="shared" si="117"/>
        <v/>
      </c>
      <c r="AN694" s="716" t="str">
        <f t="shared" si="118"/>
        <v/>
      </c>
    </row>
    <row r="695" spans="6:40" x14ac:dyDescent="0.2">
      <c r="F695" s="1" t="str">
        <f t="shared" si="111"/>
        <v/>
      </c>
      <c r="G695" s="713" t="str">
        <f t="shared" si="119"/>
        <v/>
      </c>
      <c r="H695" s="17" t="str">
        <f>IFERROR(VLOOKUP($G695,Table1[[Property]:[Exposure %]],4,0),"")</f>
        <v/>
      </c>
      <c r="I695" s="3" t="str">
        <f>IFERROR(VLOOKUP($G695,Table1[[Property]:[Exposure %]],6,0),"")</f>
        <v/>
      </c>
      <c r="J695" s="3" t="str">
        <f>IFERROR(VLOOKUP($G695,Table1[[Property]:[Exposure %]],7,0),"")</f>
        <v/>
      </c>
      <c r="R695" s="4" t="str">
        <f>IFERROR(VLOOKUP(IF(F695="Total",F694,F695),Table1[[Property]:['# Units]],7,0)*S695,"")</f>
        <v/>
      </c>
      <c r="S695" s="27" t="str">
        <f t="shared" si="112"/>
        <v/>
      </c>
      <c r="T695" s="531" t="str">
        <f>IFERROR(
 IF($F695="Total",
   SUMPRODUCT(
   INDEX(T:T, ROW()-COUNTIF($F$6:INDEX($F:$F, ROW()-1), $F694)) : INDEX(T:T, ROW()-1),
   INDEX(W:W, ROW()-COUNTIF($F$6:INDEX($F:$F, ROW()-1), $F694)) : INDEX(W:W, ROW()-1)
   )
   /SUM(INDEX(W:W, ROW()-COUNTIF($F$6:INDEX($F:$F, ROW()-1), $F694)) : INDEX(W:W, ROW()-1)),
   AVERAGEIFS(
     INDEX((unit_details[Asking Rent],unit_details[Asking PSF]),0,1,IF($U$3="Chunk Rent",1,2)),
     unit_details[Leased Date],"&gt;="&amp;($AM$2-T$5),
     unit_details[Leased Date],"&lt;"&amp;$AM$2,
     unit_details[Beds],$L695,
     unit_details[Baths],$M695,
     unit_details[Partial Baths],IF(ISNUMBER($N695),$N695,""),
     unit_details[Sqft],$P695,
     unit_details[Property Name],$F695)
 ),"")</f>
        <v/>
      </c>
      <c r="U695" s="552" t="str">
        <f>IFERROR(
 IF($F695="Total",
   SUMPRODUCT(
   INDEX(U:U, ROW()-COUNTIF($F$6:INDEX($F:$F, ROW()-1), $F694)) : INDEX(U:U, ROW()-1),
   INDEX(W:W, ROW()-COUNTIF($F$6:INDEX($F:$F, ROW()-1), $F694)) : INDEX(W:W, ROW()-1)
   )
   /SUM(INDEX(W:W, ROW()-COUNTIF($F$6:INDEX($F:$F, ROW()-1), $F694)) : INDEX(W:W, ROW()-1)),
   AVERAGEIFS(
     INDEX((unit_details[Effective Rent],unit_details[Effective PSF]),0,1,IF($U$3="Chunk Rent",1,2)),
     unit_details[Leased Date],"&gt;="&amp;($AM$2-T$5),
     unit_details[Leased Date],"&lt;"&amp;$AM$2,
     unit_details[Beds],$L695,
     unit_details[Baths],$M695,
     unit_details[Partial Baths],IF(ISNUMBER($N695),$N695,""),
     unit_details[Sqft],$P695,
     unit_details[Property Name],$F695)
 ),"")</f>
        <v/>
      </c>
      <c r="V695" s="27" t="str">
        <f t="shared" si="120"/>
        <v/>
      </c>
      <c r="W695" s="526">
        <f>IFERROR(
  IF($F695="Total",
    SUM(INDEX(W:W, ROW()-COUNTIF($F$6:INDEX($F:$F, ROW()-1), $F694)) : INDEX(W:W, ROW()-1)),
    COUNTIFS(
      unit_details[Leased Date], "&gt;="&amp;($AM$2-T$5),
      unit_details[Leased Date], "&lt;"&amp;$AM$2,
      unit_details[Beds], $L695,
      unit_details[Baths], $M695,
      unit_details[Partial Baths], IF(ISNUMBER($N695), $N695, ""),
      unit_details[Sqft],$P695,
      unit_details[Property Name], $F695
    )
  ),
"")</f>
        <v>0</v>
      </c>
      <c r="X695" s="531" t="str">
        <f>IFERROR(
 IF($F695="Total",
   SUMPRODUCT(
   INDEX(X:X, ROW()-COUNTIF($F$6:INDEX($F:$F, ROW()-1), $F694)) : INDEX(X:X, ROW()-1),
   INDEX(AA:AA, ROW()-COUNTIF($F$6:INDEX($F:$F, ROW()-1), $F694)) : INDEX(AA:AA, ROW()-1)
   )
   /SUM(INDEX(AA:AA, ROW()-COUNTIF($F$6:INDEX($F:$F, ROW()-1), $F694)) : INDEX(AA:AA, ROW()-1)),
   AVERAGEIFS(
     INDEX((unit_details[Asking Rent],unit_details[Asking PSF]),0,1,IF($U$3="Chunk Rent",1,2)),
     unit_details[Leased Date],"&gt;="&amp;($AM$2-X$5),
     unit_details[Leased Date],"&lt;"&amp;$AM$2,
     unit_details[Beds],$L695,
     unit_details[Baths],$M695,
     unit_details[Partial Baths],IF(ISNUMBER($N695),$N695,""),
     unit_details[Sqft],$P695,
     unit_details[Property Name],$F695)
 ),"")</f>
        <v/>
      </c>
      <c r="Y695" s="552" t="str">
        <f>IFERROR(
 IF($F695="Total",
   SUMPRODUCT(
   INDEX(Y:Y, ROW()-COUNTIF($F$6:INDEX($F:$F, ROW()-1), $F694)) : INDEX(Y:Y, ROW()-1),
   INDEX(AA:AA, ROW()-COUNTIF($F$6:INDEX($F:$F, ROW()-1), $F694)) : INDEX(AA:AA, ROW()-1)
   )
   /SUM(INDEX(AA:AA, ROW()-COUNTIF($F$6:INDEX($F:$F, ROW()-1), $F694)) : INDEX(AA:AA, ROW()-1)),
   AVERAGEIFS(
     INDEX((unit_details[Effective Rent],unit_details[Effective PSF]),0,1,IF($U$3="Chunk Rent",1,2)),
     unit_details[Leased Date],"&gt;="&amp;($AM$2-X$5),
     unit_details[Leased Date],"&lt;"&amp;$AM$2,
     unit_details[Beds],$L695,
     unit_details[Baths],$M695,
     unit_details[Partial Baths],IF(ISNUMBER($N695),$N695,""),
     unit_details[Sqft],$P695,
     unit_details[Property Name],$F695)
 ),"")</f>
        <v/>
      </c>
      <c r="Z695" s="27" t="str">
        <f t="shared" si="121"/>
        <v/>
      </c>
      <c r="AA695" s="526">
        <f>IFERROR(
  IF($F695="Total",
    SUM(INDEX(AA:AA, ROW()-COUNTIF($F$6:INDEX($F:$F, ROW()-1), $F694)) : INDEX(AA:AA, ROW()-1)),
    COUNTIFS(
      unit_details[Leased Date], "&gt;="&amp;($AM$2-X$5),
      unit_details[Leased Date], "&lt;"&amp;$AM$2,
      unit_details[Beds], $L695,
      unit_details[Baths], $M695,
      unit_details[Partial Baths], IF(ISNUMBER($N695), $N695, ""),
      unit_details[Sqft],$P695,
      unit_details[Property Name], $F695
    )
  ),
"")</f>
        <v>0</v>
      </c>
      <c r="AB695" s="290">
        <f>IF($F695="Total",
SUM(INDEX(AB:AB, ROW()-COUNTIF($F$6:INDEX($F:$F, ROW()-1), $F694)) : INDEX(AB:AB, ROW()-1)),
COUNTIFS(unit_details[Active Listing?],TRUE,
          unit_details[Property Name], $F695,
          unit_details[Beds], $L695,
          unit_details[Baths], $M695,
          unit_details[Partial Baths],IF(ISNUMBER($N695),$N695,""),
          unit_details[Sqft],$P695))</f>
        <v>0</v>
      </c>
      <c r="AC695" s="27" t="str">
        <f t="shared" si="113"/>
        <v/>
      </c>
      <c r="AD695" s="293" t="str">
        <f>IFERROR(IF(AE695="","",IF($F695="Total",
SUMPRODUCT(
   INDEX(AD:AD, ROW()-COUNTIF($F$6:INDEX($F:$F, ROW()-1), $F694)) : INDEX(AD:AD, ROW()-1),
   INDEX(AB:AB, ROW()-COUNTIF($F$6:INDEX($F:$F, ROW()-1), $F694)) : INDEX(AB:AB, ROW()-1)
   )
   /SUM(INDEX(AB:AB, ROW()-COUNTIF($F$6:INDEX($F:$F, ROW()-1), $F694)) : INDEX(AB:AB, ROW()-1)),
          _xlfn.MINIFS(unit_details[Asking Rent],
          unit_details[Active Listing?],TRUE,
          unit_details[Property Name], $F695,
          unit_details[Beds], $L695,
          unit_details[Baths], $M695,
          unit_details[Partial Baths], IF(ISNUMBER($N695),$N695,""),
          unit_details[Sqft],$P695
))),"")</f>
        <v/>
      </c>
      <c r="AE695" s="5" t="str">
        <f>IFERROR(IF($F695="Total",
          SUMPRODUCT(
   INDEX(AE:AE, ROW()-COUNTIF($F$6:INDEX($F:$F, ROW()-1), $F694)) : INDEX(AE:AE, ROW()-1),
   INDEX(AB:AB, ROW()-COUNTIF($F$6:INDEX($F:$F, ROW()-1), $F694)) : INDEX(AB:AB, ROW()-1)
   )
   /SUM(INDEX(AB:AB, ROW()-COUNTIF($F$6:INDEX($F:$F, ROW()-1), $F694)) : INDEX(AB:AB, ROW()-1)),
          AVERAGEIFS(unit_details[Asking Rent],
          unit_details[Active Listing?],TRUE,
          unit_details[Property Name], $F695,
          unit_details[Beds], $L695,
          unit_details[Baths], $M695,
          unit_details[Partial Baths], IF(ISNUMBER($N695),$N695,""),
          unit_details[Sqft],$P695
)),"")</f>
        <v/>
      </c>
      <c r="AF695" s="5" t="str">
        <f>IFERROR(IF(AE695="","",IF($F695="Total",
SUMPRODUCT(
   INDEX(AF:AF, ROW()-COUNTIF($F$6:INDEX($F:$F, ROW()-1), $F694)) : INDEX(AF:AF, ROW()-1),
   INDEX(AB:AB, ROW()-COUNTIF($F$6:INDEX($F:$F, ROW()-1), $F694)) : INDEX(AB:AB, ROW()-1)
   )
   /SUM(INDEX(AB:AB, ROW()-COUNTIF($F$6:INDEX($F:$F, ROW()-1), $F694)) : INDEX(AB:AB, ROW()-1)),
           _xlfn.MAXIFS(unit_details[Asking Rent],
          unit_details[Active Listing?],TRUE,
          unit_details[Property Name], $F695,
          unit_details[Beds], $L695,
          unit_details[Baths], $M695,
          unit_details[Partial Baths], IF(ISNUMBER($N695),$N695,""),
          unit_details[Sqft],$P695
))),"")</f>
        <v/>
      </c>
      <c r="AG695" s="6" t="str">
        <f>IFERROR(IF($F695="Total",
         SUMPRODUCT(
         INDEX(AG:AG, ROW()-COUNTIF($F$6:INDEX($F:$F, ROW()-1), $F694)) : INDEX(AG:AG, ROW()-1),
         INDEX(AB:AB, ROW()-COUNTIF($F$6:INDEX($F:$F, ROW()-1), $F694)) : INDEX(AB:AB, ROW()-1)
         )
         /SUM(INDEX(AB:AB, ROW()-COUNTIF($F$6:INDEX($F:$F, ROW()-1), $F694)) : INDEX(AB:AB, ROW()-1)),
          AVERAGEIFS(unit_details[Asking PSF],
          unit_details[Active Listing?],TRUE,
          unit_details[Property Name], $F695,
          unit_details[Beds], $L695,
          unit_details[Baths], $M695,
          unit_details[Partial Baths], IF(ISNUMBER($N695),$N695,""),
          unit_details[Sqft],$P695
)),"")</f>
        <v/>
      </c>
      <c r="AH695" s="293" t="str">
        <f>IFERROR(IF($F695="Total",
         SUMPRODUCT(
         INDEX(AH:AH, ROW()-COUNTIF($F$6:INDEX($F:$F, ROW()-1), $F694)) : INDEX(AH:AH, ROW()-1),
         INDEX(AB:AB, ROW()-COUNTIF($F$6:INDEX($F:$F, ROW()-1), $F694)) : INDEX(AB:AB, ROW()-1)
         )
         /SUM(INDEX(AB:AB, ROW()-COUNTIF($F$6:INDEX($F:$F, ROW()-1), $F694)) : INDEX(AB:AB, ROW()-1)),
          AVERAGEIFS(unit_details[Effective Rent],
          unit_details[Active Listing?],TRUE,
          unit_details[Property Name], $F695,
          unit_details[Beds], $L695,
          unit_details[Baths], $M695,
          unit_details[Partial Baths], IF(ISNUMBER($N695),$N695,""),
          unit_details[Sqft],$P695
)),"")</f>
        <v/>
      </c>
      <c r="AI695" s="6" t="str">
        <f>IFERROR(IF($F695="Total",
         SUMPRODUCT(
         INDEX(AI:AI, ROW()-COUNTIF($F$6:INDEX($F:$F, ROW()-1), $F694)) : INDEX(AI:AI, ROW()-1),
         INDEX(AB:AB, ROW()-COUNTIF($F$6:INDEX($F:$F, ROW()-1), $F694)) : INDEX(AB:AB, ROW()-1)
         )
         /SUM(INDEX(AB:AB, ROW()-COUNTIF($F$6:INDEX($F:$F, ROW()-1), $F694)) : INDEX(AB:AB, ROW()-1)),
           AVERAGEIFS(unit_details[Effective PSF],
          unit_details[Active Listing?],TRUE,
          unit_details[Property Name], $F695,
          unit_details[Beds], $L695,
          unit_details[Baths], $M695,
          unit_details[Partial Baths], IF(ISNUMBER($N695),$N695,""),
          unit_details[Sqft],$P695
)),"")</f>
        <v/>
      </c>
      <c r="AJ695" s="824" t="str">
        <f t="shared" si="114"/>
        <v/>
      </c>
      <c r="AK695" s="531" t="str">
        <f t="shared" si="115"/>
        <v/>
      </c>
      <c r="AL695" s="714" t="str">
        <f t="shared" si="116"/>
        <v/>
      </c>
      <c r="AM695" s="531" t="str">
        <f t="shared" si="117"/>
        <v/>
      </c>
      <c r="AN695" s="716" t="str">
        <f t="shared" si="118"/>
        <v/>
      </c>
    </row>
    <row r="696" spans="6:40" x14ac:dyDescent="0.2">
      <c r="F696" s="1" t="str">
        <f t="shared" si="111"/>
        <v/>
      </c>
      <c r="G696" s="713" t="str">
        <f t="shared" si="119"/>
        <v/>
      </c>
      <c r="H696" s="17" t="str">
        <f>IFERROR(VLOOKUP($G696,Table1[[Property]:[Exposure %]],4,0),"")</f>
        <v/>
      </c>
      <c r="I696" s="3" t="str">
        <f>IFERROR(VLOOKUP($G696,Table1[[Property]:[Exposure %]],6,0),"")</f>
        <v/>
      </c>
      <c r="J696" s="3" t="str">
        <f>IFERROR(VLOOKUP($G696,Table1[[Property]:[Exposure %]],7,0),"")</f>
        <v/>
      </c>
      <c r="R696" s="4" t="str">
        <f>IFERROR(VLOOKUP(IF(F696="Total",F695,F696),Table1[[Property]:['# Units]],7,0)*S696,"")</f>
        <v/>
      </c>
      <c r="S696" s="27" t="str">
        <f t="shared" si="112"/>
        <v/>
      </c>
      <c r="T696" s="531" t="str">
        <f>IFERROR(
 IF($F696="Total",
   SUMPRODUCT(
   INDEX(T:T, ROW()-COUNTIF($F$6:INDEX($F:$F, ROW()-1), $F695)) : INDEX(T:T, ROW()-1),
   INDEX(W:W, ROW()-COUNTIF($F$6:INDEX($F:$F, ROW()-1), $F695)) : INDEX(W:W, ROW()-1)
   )
   /SUM(INDEX(W:W, ROW()-COUNTIF($F$6:INDEX($F:$F, ROW()-1), $F695)) : INDEX(W:W, ROW()-1)),
   AVERAGEIFS(
     INDEX((unit_details[Asking Rent],unit_details[Asking PSF]),0,1,IF($U$3="Chunk Rent",1,2)),
     unit_details[Leased Date],"&gt;="&amp;($AM$2-T$5),
     unit_details[Leased Date],"&lt;"&amp;$AM$2,
     unit_details[Beds],$L696,
     unit_details[Baths],$M696,
     unit_details[Partial Baths],IF(ISNUMBER($N696),$N696,""),
     unit_details[Sqft],$P696,
     unit_details[Property Name],$F696)
 ),"")</f>
        <v/>
      </c>
      <c r="U696" s="552" t="str">
        <f>IFERROR(
 IF($F696="Total",
   SUMPRODUCT(
   INDEX(U:U, ROW()-COUNTIF($F$6:INDEX($F:$F, ROW()-1), $F695)) : INDEX(U:U, ROW()-1),
   INDEX(W:W, ROW()-COUNTIF($F$6:INDEX($F:$F, ROW()-1), $F695)) : INDEX(W:W, ROW()-1)
   )
   /SUM(INDEX(W:W, ROW()-COUNTIF($F$6:INDEX($F:$F, ROW()-1), $F695)) : INDEX(W:W, ROW()-1)),
   AVERAGEIFS(
     INDEX((unit_details[Effective Rent],unit_details[Effective PSF]),0,1,IF($U$3="Chunk Rent",1,2)),
     unit_details[Leased Date],"&gt;="&amp;($AM$2-T$5),
     unit_details[Leased Date],"&lt;"&amp;$AM$2,
     unit_details[Beds],$L696,
     unit_details[Baths],$M696,
     unit_details[Partial Baths],IF(ISNUMBER($N696),$N696,""),
     unit_details[Sqft],$P696,
     unit_details[Property Name],$F696)
 ),"")</f>
        <v/>
      </c>
      <c r="V696" s="27" t="str">
        <f t="shared" si="120"/>
        <v/>
      </c>
      <c r="W696" s="526">
        <f>IFERROR(
  IF($F696="Total",
    SUM(INDEX(W:W, ROW()-COUNTIF($F$6:INDEX($F:$F, ROW()-1), $F695)) : INDEX(W:W, ROW()-1)),
    COUNTIFS(
      unit_details[Leased Date], "&gt;="&amp;($AM$2-T$5),
      unit_details[Leased Date], "&lt;"&amp;$AM$2,
      unit_details[Beds], $L696,
      unit_details[Baths], $M696,
      unit_details[Partial Baths], IF(ISNUMBER($N696), $N696, ""),
      unit_details[Sqft],$P696,
      unit_details[Property Name], $F696
    )
  ),
"")</f>
        <v>0</v>
      </c>
      <c r="X696" s="531" t="str">
        <f>IFERROR(
 IF($F696="Total",
   SUMPRODUCT(
   INDEX(X:X, ROW()-COUNTIF($F$6:INDEX($F:$F, ROW()-1), $F695)) : INDEX(X:X, ROW()-1),
   INDEX(AA:AA, ROW()-COUNTIF($F$6:INDEX($F:$F, ROW()-1), $F695)) : INDEX(AA:AA, ROW()-1)
   )
   /SUM(INDEX(AA:AA, ROW()-COUNTIF($F$6:INDEX($F:$F, ROW()-1), $F695)) : INDEX(AA:AA, ROW()-1)),
   AVERAGEIFS(
     INDEX((unit_details[Asking Rent],unit_details[Asking PSF]),0,1,IF($U$3="Chunk Rent",1,2)),
     unit_details[Leased Date],"&gt;="&amp;($AM$2-X$5),
     unit_details[Leased Date],"&lt;"&amp;$AM$2,
     unit_details[Beds],$L696,
     unit_details[Baths],$M696,
     unit_details[Partial Baths],IF(ISNUMBER($N696),$N696,""),
     unit_details[Sqft],$P696,
     unit_details[Property Name],$F696)
 ),"")</f>
        <v/>
      </c>
      <c r="Y696" s="552" t="str">
        <f>IFERROR(
 IF($F696="Total",
   SUMPRODUCT(
   INDEX(Y:Y, ROW()-COUNTIF($F$6:INDEX($F:$F, ROW()-1), $F695)) : INDEX(Y:Y, ROW()-1),
   INDEX(AA:AA, ROW()-COUNTIF($F$6:INDEX($F:$F, ROW()-1), $F695)) : INDEX(AA:AA, ROW()-1)
   )
   /SUM(INDEX(AA:AA, ROW()-COUNTIF($F$6:INDEX($F:$F, ROW()-1), $F695)) : INDEX(AA:AA, ROW()-1)),
   AVERAGEIFS(
     INDEX((unit_details[Effective Rent],unit_details[Effective PSF]),0,1,IF($U$3="Chunk Rent",1,2)),
     unit_details[Leased Date],"&gt;="&amp;($AM$2-X$5),
     unit_details[Leased Date],"&lt;"&amp;$AM$2,
     unit_details[Beds],$L696,
     unit_details[Baths],$M696,
     unit_details[Partial Baths],IF(ISNUMBER($N696),$N696,""),
     unit_details[Sqft],$P696,
     unit_details[Property Name],$F696)
 ),"")</f>
        <v/>
      </c>
      <c r="Z696" s="27" t="str">
        <f t="shared" si="121"/>
        <v/>
      </c>
      <c r="AA696" s="526">
        <f>IFERROR(
  IF($F696="Total",
    SUM(INDEX(AA:AA, ROW()-COUNTIF($F$6:INDEX($F:$F, ROW()-1), $F695)) : INDEX(AA:AA, ROW()-1)),
    COUNTIFS(
      unit_details[Leased Date], "&gt;="&amp;($AM$2-X$5),
      unit_details[Leased Date], "&lt;"&amp;$AM$2,
      unit_details[Beds], $L696,
      unit_details[Baths], $M696,
      unit_details[Partial Baths], IF(ISNUMBER($N696), $N696, ""),
      unit_details[Sqft],$P696,
      unit_details[Property Name], $F696
    )
  ),
"")</f>
        <v>0</v>
      </c>
      <c r="AB696" s="290">
        <f>IF($F696="Total",
SUM(INDEX(AB:AB, ROW()-COUNTIF($F$6:INDEX($F:$F, ROW()-1), $F695)) : INDEX(AB:AB, ROW()-1)),
COUNTIFS(unit_details[Active Listing?],TRUE,
          unit_details[Property Name], $F696,
          unit_details[Beds], $L696,
          unit_details[Baths], $M696,
          unit_details[Partial Baths],IF(ISNUMBER($N696),$N696,""),
          unit_details[Sqft],$P696))</f>
        <v>0</v>
      </c>
      <c r="AC696" s="27" t="str">
        <f t="shared" si="113"/>
        <v/>
      </c>
      <c r="AD696" s="293" t="str">
        <f>IFERROR(IF(AE696="","",IF($F696="Total",
SUMPRODUCT(
   INDEX(AD:AD, ROW()-COUNTIF($F$6:INDEX($F:$F, ROW()-1), $F695)) : INDEX(AD:AD, ROW()-1),
   INDEX(AB:AB, ROW()-COUNTIF($F$6:INDEX($F:$F, ROW()-1), $F695)) : INDEX(AB:AB, ROW()-1)
   )
   /SUM(INDEX(AB:AB, ROW()-COUNTIF($F$6:INDEX($F:$F, ROW()-1), $F695)) : INDEX(AB:AB, ROW()-1)),
          _xlfn.MINIFS(unit_details[Asking Rent],
          unit_details[Active Listing?],TRUE,
          unit_details[Property Name], $F696,
          unit_details[Beds], $L696,
          unit_details[Baths], $M696,
          unit_details[Partial Baths], IF(ISNUMBER($N696),$N696,""),
          unit_details[Sqft],$P696
))),"")</f>
        <v/>
      </c>
      <c r="AE696" s="5" t="str">
        <f>IFERROR(IF($F696="Total",
          SUMPRODUCT(
   INDEX(AE:AE, ROW()-COUNTIF($F$6:INDEX($F:$F, ROW()-1), $F695)) : INDEX(AE:AE, ROW()-1),
   INDEX(AB:AB, ROW()-COUNTIF($F$6:INDEX($F:$F, ROW()-1), $F695)) : INDEX(AB:AB, ROW()-1)
   )
   /SUM(INDEX(AB:AB, ROW()-COUNTIF($F$6:INDEX($F:$F, ROW()-1), $F695)) : INDEX(AB:AB, ROW()-1)),
          AVERAGEIFS(unit_details[Asking Rent],
          unit_details[Active Listing?],TRUE,
          unit_details[Property Name], $F696,
          unit_details[Beds], $L696,
          unit_details[Baths], $M696,
          unit_details[Partial Baths], IF(ISNUMBER($N696),$N696,""),
          unit_details[Sqft],$P696
)),"")</f>
        <v/>
      </c>
      <c r="AF696" s="5" t="str">
        <f>IFERROR(IF(AE696="","",IF($F696="Total",
SUMPRODUCT(
   INDEX(AF:AF, ROW()-COUNTIF($F$6:INDEX($F:$F, ROW()-1), $F695)) : INDEX(AF:AF, ROW()-1),
   INDEX(AB:AB, ROW()-COUNTIF($F$6:INDEX($F:$F, ROW()-1), $F695)) : INDEX(AB:AB, ROW()-1)
   )
   /SUM(INDEX(AB:AB, ROW()-COUNTIF($F$6:INDEX($F:$F, ROW()-1), $F695)) : INDEX(AB:AB, ROW()-1)),
           _xlfn.MAXIFS(unit_details[Asking Rent],
          unit_details[Active Listing?],TRUE,
          unit_details[Property Name], $F696,
          unit_details[Beds], $L696,
          unit_details[Baths], $M696,
          unit_details[Partial Baths], IF(ISNUMBER($N696),$N696,""),
          unit_details[Sqft],$P696
))),"")</f>
        <v/>
      </c>
      <c r="AG696" s="6" t="str">
        <f>IFERROR(IF($F696="Total",
         SUMPRODUCT(
         INDEX(AG:AG, ROW()-COUNTIF($F$6:INDEX($F:$F, ROW()-1), $F695)) : INDEX(AG:AG, ROW()-1),
         INDEX(AB:AB, ROW()-COUNTIF($F$6:INDEX($F:$F, ROW()-1), $F695)) : INDEX(AB:AB, ROW()-1)
         )
         /SUM(INDEX(AB:AB, ROW()-COUNTIF($F$6:INDEX($F:$F, ROW()-1), $F695)) : INDEX(AB:AB, ROW()-1)),
          AVERAGEIFS(unit_details[Asking PSF],
          unit_details[Active Listing?],TRUE,
          unit_details[Property Name], $F696,
          unit_details[Beds], $L696,
          unit_details[Baths], $M696,
          unit_details[Partial Baths], IF(ISNUMBER($N696),$N696,""),
          unit_details[Sqft],$P696
)),"")</f>
        <v/>
      </c>
      <c r="AH696" s="293" t="str">
        <f>IFERROR(IF($F696="Total",
         SUMPRODUCT(
         INDEX(AH:AH, ROW()-COUNTIF($F$6:INDEX($F:$F, ROW()-1), $F695)) : INDEX(AH:AH, ROW()-1),
         INDEX(AB:AB, ROW()-COUNTIF($F$6:INDEX($F:$F, ROW()-1), $F695)) : INDEX(AB:AB, ROW()-1)
         )
         /SUM(INDEX(AB:AB, ROW()-COUNTIF($F$6:INDEX($F:$F, ROW()-1), $F695)) : INDEX(AB:AB, ROW()-1)),
          AVERAGEIFS(unit_details[Effective Rent],
          unit_details[Active Listing?],TRUE,
          unit_details[Property Name], $F696,
          unit_details[Beds], $L696,
          unit_details[Baths], $M696,
          unit_details[Partial Baths], IF(ISNUMBER($N696),$N696,""),
          unit_details[Sqft],$P696
)),"")</f>
        <v/>
      </c>
      <c r="AI696" s="6" t="str">
        <f>IFERROR(IF($F696="Total",
         SUMPRODUCT(
         INDEX(AI:AI, ROW()-COUNTIF($F$6:INDEX($F:$F, ROW()-1), $F695)) : INDEX(AI:AI, ROW()-1),
         INDEX(AB:AB, ROW()-COUNTIF($F$6:INDEX($F:$F, ROW()-1), $F695)) : INDEX(AB:AB, ROW()-1)
         )
         /SUM(INDEX(AB:AB, ROW()-COUNTIF($F$6:INDEX($F:$F, ROW()-1), $F695)) : INDEX(AB:AB, ROW()-1)),
           AVERAGEIFS(unit_details[Effective PSF],
          unit_details[Active Listing?],TRUE,
          unit_details[Property Name], $F696,
          unit_details[Beds], $L696,
          unit_details[Baths], $M696,
          unit_details[Partial Baths], IF(ISNUMBER($N696),$N696,""),
          unit_details[Sqft],$P696
)),"")</f>
        <v/>
      </c>
      <c r="AJ696" s="824" t="str">
        <f t="shared" si="114"/>
        <v/>
      </c>
      <c r="AK696" s="531" t="str">
        <f t="shared" si="115"/>
        <v/>
      </c>
      <c r="AL696" s="714" t="str">
        <f t="shared" si="116"/>
        <v/>
      </c>
      <c r="AM696" s="531" t="str">
        <f t="shared" si="117"/>
        <v/>
      </c>
      <c r="AN696" s="716" t="str">
        <f t="shared" si="118"/>
        <v/>
      </c>
    </row>
    <row r="697" spans="6:40" x14ac:dyDescent="0.2">
      <c r="F697" s="1" t="str">
        <f t="shared" si="111"/>
        <v/>
      </c>
      <c r="G697" s="713" t="str">
        <f t="shared" si="119"/>
        <v/>
      </c>
      <c r="H697" s="17" t="str">
        <f>IFERROR(VLOOKUP($G697,Table1[[Property]:[Exposure %]],4,0),"")</f>
        <v/>
      </c>
      <c r="I697" s="3" t="str">
        <f>IFERROR(VLOOKUP($G697,Table1[[Property]:[Exposure %]],6,0),"")</f>
        <v/>
      </c>
      <c r="J697" s="3" t="str">
        <f>IFERROR(VLOOKUP($G697,Table1[[Property]:[Exposure %]],7,0),"")</f>
        <v/>
      </c>
      <c r="R697" s="4" t="str">
        <f>IFERROR(VLOOKUP(IF(F697="Total",F696,F697),Table1[[Property]:['# Units]],7,0)*S697,"")</f>
        <v/>
      </c>
      <c r="S697" s="27" t="str">
        <f t="shared" si="112"/>
        <v/>
      </c>
      <c r="T697" s="531" t="str">
        <f>IFERROR(
 IF($F697="Total",
   SUMPRODUCT(
   INDEX(T:T, ROW()-COUNTIF($F$6:INDEX($F:$F, ROW()-1), $F696)) : INDEX(T:T, ROW()-1),
   INDEX(W:W, ROW()-COUNTIF($F$6:INDEX($F:$F, ROW()-1), $F696)) : INDEX(W:W, ROW()-1)
   )
   /SUM(INDEX(W:W, ROW()-COUNTIF($F$6:INDEX($F:$F, ROW()-1), $F696)) : INDEX(W:W, ROW()-1)),
   AVERAGEIFS(
     INDEX((unit_details[Asking Rent],unit_details[Asking PSF]),0,1,IF($U$3="Chunk Rent",1,2)),
     unit_details[Leased Date],"&gt;="&amp;($AM$2-T$5),
     unit_details[Leased Date],"&lt;"&amp;$AM$2,
     unit_details[Beds],$L697,
     unit_details[Baths],$M697,
     unit_details[Partial Baths],IF(ISNUMBER($N697),$N697,""),
     unit_details[Sqft],$P697,
     unit_details[Property Name],$F697)
 ),"")</f>
        <v/>
      </c>
      <c r="U697" s="552" t="str">
        <f>IFERROR(
 IF($F697="Total",
   SUMPRODUCT(
   INDEX(U:U, ROW()-COUNTIF($F$6:INDEX($F:$F, ROW()-1), $F696)) : INDEX(U:U, ROW()-1),
   INDEX(W:W, ROW()-COUNTIF($F$6:INDEX($F:$F, ROW()-1), $F696)) : INDEX(W:W, ROW()-1)
   )
   /SUM(INDEX(W:W, ROW()-COUNTIF($F$6:INDEX($F:$F, ROW()-1), $F696)) : INDEX(W:W, ROW()-1)),
   AVERAGEIFS(
     INDEX((unit_details[Effective Rent],unit_details[Effective PSF]),0,1,IF($U$3="Chunk Rent",1,2)),
     unit_details[Leased Date],"&gt;="&amp;($AM$2-T$5),
     unit_details[Leased Date],"&lt;"&amp;$AM$2,
     unit_details[Beds],$L697,
     unit_details[Baths],$M697,
     unit_details[Partial Baths],IF(ISNUMBER($N697),$N697,""),
     unit_details[Sqft],$P697,
     unit_details[Property Name],$F697)
 ),"")</f>
        <v/>
      </c>
      <c r="V697" s="27" t="str">
        <f t="shared" si="120"/>
        <v/>
      </c>
      <c r="W697" s="526">
        <f>IFERROR(
  IF($F697="Total",
    SUM(INDEX(W:W, ROW()-COUNTIF($F$6:INDEX($F:$F, ROW()-1), $F696)) : INDEX(W:W, ROW()-1)),
    COUNTIFS(
      unit_details[Leased Date], "&gt;="&amp;($AM$2-T$5),
      unit_details[Leased Date], "&lt;"&amp;$AM$2,
      unit_details[Beds], $L697,
      unit_details[Baths], $M697,
      unit_details[Partial Baths], IF(ISNUMBER($N697), $N697, ""),
      unit_details[Sqft],$P697,
      unit_details[Property Name], $F697
    )
  ),
"")</f>
        <v>0</v>
      </c>
      <c r="X697" s="531" t="str">
        <f>IFERROR(
 IF($F697="Total",
   SUMPRODUCT(
   INDEX(X:X, ROW()-COUNTIF($F$6:INDEX($F:$F, ROW()-1), $F696)) : INDEX(X:X, ROW()-1),
   INDEX(AA:AA, ROW()-COUNTIF($F$6:INDEX($F:$F, ROW()-1), $F696)) : INDEX(AA:AA, ROW()-1)
   )
   /SUM(INDEX(AA:AA, ROW()-COUNTIF($F$6:INDEX($F:$F, ROW()-1), $F696)) : INDEX(AA:AA, ROW()-1)),
   AVERAGEIFS(
     INDEX((unit_details[Asking Rent],unit_details[Asking PSF]),0,1,IF($U$3="Chunk Rent",1,2)),
     unit_details[Leased Date],"&gt;="&amp;($AM$2-X$5),
     unit_details[Leased Date],"&lt;"&amp;$AM$2,
     unit_details[Beds],$L697,
     unit_details[Baths],$M697,
     unit_details[Partial Baths],IF(ISNUMBER($N697),$N697,""),
     unit_details[Sqft],$P697,
     unit_details[Property Name],$F697)
 ),"")</f>
        <v/>
      </c>
      <c r="Y697" s="552" t="str">
        <f>IFERROR(
 IF($F697="Total",
   SUMPRODUCT(
   INDEX(Y:Y, ROW()-COUNTIF($F$6:INDEX($F:$F, ROW()-1), $F696)) : INDEX(Y:Y, ROW()-1),
   INDEX(AA:AA, ROW()-COUNTIF($F$6:INDEX($F:$F, ROW()-1), $F696)) : INDEX(AA:AA, ROW()-1)
   )
   /SUM(INDEX(AA:AA, ROW()-COUNTIF($F$6:INDEX($F:$F, ROW()-1), $F696)) : INDEX(AA:AA, ROW()-1)),
   AVERAGEIFS(
     INDEX((unit_details[Effective Rent],unit_details[Effective PSF]),0,1,IF($U$3="Chunk Rent",1,2)),
     unit_details[Leased Date],"&gt;="&amp;($AM$2-X$5),
     unit_details[Leased Date],"&lt;"&amp;$AM$2,
     unit_details[Beds],$L697,
     unit_details[Baths],$M697,
     unit_details[Partial Baths],IF(ISNUMBER($N697),$N697,""),
     unit_details[Sqft],$P697,
     unit_details[Property Name],$F697)
 ),"")</f>
        <v/>
      </c>
      <c r="Z697" s="27" t="str">
        <f t="shared" si="121"/>
        <v/>
      </c>
      <c r="AA697" s="526">
        <f>IFERROR(
  IF($F697="Total",
    SUM(INDEX(AA:AA, ROW()-COUNTIF($F$6:INDEX($F:$F, ROW()-1), $F696)) : INDEX(AA:AA, ROW()-1)),
    COUNTIFS(
      unit_details[Leased Date], "&gt;="&amp;($AM$2-X$5),
      unit_details[Leased Date], "&lt;"&amp;$AM$2,
      unit_details[Beds], $L697,
      unit_details[Baths], $M697,
      unit_details[Partial Baths], IF(ISNUMBER($N697), $N697, ""),
      unit_details[Sqft],$P697,
      unit_details[Property Name], $F697
    )
  ),
"")</f>
        <v>0</v>
      </c>
      <c r="AB697" s="290">
        <f>IF($F697="Total",
SUM(INDEX(AB:AB, ROW()-COUNTIF($F$6:INDEX($F:$F, ROW()-1), $F696)) : INDEX(AB:AB, ROW()-1)),
COUNTIFS(unit_details[Active Listing?],TRUE,
          unit_details[Property Name], $F697,
          unit_details[Beds], $L697,
          unit_details[Baths], $M697,
          unit_details[Partial Baths],IF(ISNUMBER($N697),$N697,""),
          unit_details[Sqft],$P697))</f>
        <v>0</v>
      </c>
      <c r="AC697" s="27" t="str">
        <f t="shared" si="113"/>
        <v/>
      </c>
      <c r="AD697" s="293" t="str">
        <f>IFERROR(IF(AE697="","",IF($F697="Total",
SUMPRODUCT(
   INDEX(AD:AD, ROW()-COUNTIF($F$6:INDEX($F:$F, ROW()-1), $F696)) : INDEX(AD:AD, ROW()-1),
   INDEX(AB:AB, ROW()-COUNTIF($F$6:INDEX($F:$F, ROW()-1), $F696)) : INDEX(AB:AB, ROW()-1)
   )
   /SUM(INDEX(AB:AB, ROW()-COUNTIF($F$6:INDEX($F:$F, ROW()-1), $F696)) : INDEX(AB:AB, ROW()-1)),
          _xlfn.MINIFS(unit_details[Asking Rent],
          unit_details[Active Listing?],TRUE,
          unit_details[Property Name], $F697,
          unit_details[Beds], $L697,
          unit_details[Baths], $M697,
          unit_details[Partial Baths], IF(ISNUMBER($N697),$N697,""),
          unit_details[Sqft],$P697
))),"")</f>
        <v/>
      </c>
      <c r="AE697" s="5" t="str">
        <f>IFERROR(IF($F697="Total",
          SUMPRODUCT(
   INDEX(AE:AE, ROW()-COUNTIF($F$6:INDEX($F:$F, ROW()-1), $F696)) : INDEX(AE:AE, ROW()-1),
   INDEX(AB:AB, ROW()-COUNTIF($F$6:INDEX($F:$F, ROW()-1), $F696)) : INDEX(AB:AB, ROW()-1)
   )
   /SUM(INDEX(AB:AB, ROW()-COUNTIF($F$6:INDEX($F:$F, ROW()-1), $F696)) : INDEX(AB:AB, ROW()-1)),
          AVERAGEIFS(unit_details[Asking Rent],
          unit_details[Active Listing?],TRUE,
          unit_details[Property Name], $F697,
          unit_details[Beds], $L697,
          unit_details[Baths], $M697,
          unit_details[Partial Baths], IF(ISNUMBER($N697),$N697,""),
          unit_details[Sqft],$P697
)),"")</f>
        <v/>
      </c>
      <c r="AF697" s="5" t="str">
        <f>IFERROR(IF(AE697="","",IF($F697="Total",
SUMPRODUCT(
   INDEX(AF:AF, ROW()-COUNTIF($F$6:INDEX($F:$F, ROW()-1), $F696)) : INDEX(AF:AF, ROW()-1),
   INDEX(AB:AB, ROW()-COUNTIF($F$6:INDEX($F:$F, ROW()-1), $F696)) : INDEX(AB:AB, ROW()-1)
   )
   /SUM(INDEX(AB:AB, ROW()-COUNTIF($F$6:INDEX($F:$F, ROW()-1), $F696)) : INDEX(AB:AB, ROW()-1)),
           _xlfn.MAXIFS(unit_details[Asking Rent],
          unit_details[Active Listing?],TRUE,
          unit_details[Property Name], $F697,
          unit_details[Beds], $L697,
          unit_details[Baths], $M697,
          unit_details[Partial Baths], IF(ISNUMBER($N697),$N697,""),
          unit_details[Sqft],$P697
))),"")</f>
        <v/>
      </c>
      <c r="AG697" s="6" t="str">
        <f>IFERROR(IF($F697="Total",
         SUMPRODUCT(
         INDEX(AG:AG, ROW()-COUNTIF($F$6:INDEX($F:$F, ROW()-1), $F696)) : INDEX(AG:AG, ROW()-1),
         INDEX(AB:AB, ROW()-COUNTIF($F$6:INDEX($F:$F, ROW()-1), $F696)) : INDEX(AB:AB, ROW()-1)
         )
         /SUM(INDEX(AB:AB, ROW()-COUNTIF($F$6:INDEX($F:$F, ROW()-1), $F696)) : INDEX(AB:AB, ROW()-1)),
          AVERAGEIFS(unit_details[Asking PSF],
          unit_details[Active Listing?],TRUE,
          unit_details[Property Name], $F697,
          unit_details[Beds], $L697,
          unit_details[Baths], $M697,
          unit_details[Partial Baths], IF(ISNUMBER($N697),$N697,""),
          unit_details[Sqft],$P697
)),"")</f>
        <v/>
      </c>
      <c r="AH697" s="293" t="str">
        <f>IFERROR(IF($F697="Total",
         SUMPRODUCT(
         INDEX(AH:AH, ROW()-COUNTIF($F$6:INDEX($F:$F, ROW()-1), $F696)) : INDEX(AH:AH, ROW()-1),
         INDEX(AB:AB, ROW()-COUNTIF($F$6:INDEX($F:$F, ROW()-1), $F696)) : INDEX(AB:AB, ROW()-1)
         )
         /SUM(INDEX(AB:AB, ROW()-COUNTIF($F$6:INDEX($F:$F, ROW()-1), $F696)) : INDEX(AB:AB, ROW()-1)),
          AVERAGEIFS(unit_details[Effective Rent],
          unit_details[Active Listing?],TRUE,
          unit_details[Property Name], $F697,
          unit_details[Beds], $L697,
          unit_details[Baths], $M697,
          unit_details[Partial Baths], IF(ISNUMBER($N697),$N697,""),
          unit_details[Sqft],$P697
)),"")</f>
        <v/>
      </c>
      <c r="AI697" s="6" t="str">
        <f>IFERROR(IF($F697="Total",
         SUMPRODUCT(
         INDEX(AI:AI, ROW()-COUNTIF($F$6:INDEX($F:$F, ROW()-1), $F696)) : INDEX(AI:AI, ROW()-1),
         INDEX(AB:AB, ROW()-COUNTIF($F$6:INDEX($F:$F, ROW()-1), $F696)) : INDEX(AB:AB, ROW()-1)
         )
         /SUM(INDEX(AB:AB, ROW()-COUNTIF($F$6:INDEX($F:$F, ROW()-1), $F696)) : INDEX(AB:AB, ROW()-1)),
           AVERAGEIFS(unit_details[Effective PSF],
          unit_details[Active Listing?],TRUE,
          unit_details[Property Name], $F697,
          unit_details[Beds], $L697,
          unit_details[Baths], $M697,
          unit_details[Partial Baths], IF(ISNUMBER($N697),$N697,""),
          unit_details[Sqft],$P697
)),"")</f>
        <v/>
      </c>
      <c r="AJ697" s="824" t="str">
        <f t="shared" si="114"/>
        <v/>
      </c>
      <c r="AK697" s="531" t="str">
        <f t="shared" si="115"/>
        <v/>
      </c>
      <c r="AL697" s="714" t="str">
        <f t="shared" si="116"/>
        <v/>
      </c>
      <c r="AM697" s="531" t="str">
        <f t="shared" si="117"/>
        <v/>
      </c>
      <c r="AN697" s="716" t="str">
        <f t="shared" si="118"/>
        <v/>
      </c>
    </row>
    <row r="698" spans="6:40" x14ac:dyDescent="0.2">
      <c r="F698" s="1" t="str">
        <f t="shared" si="111"/>
        <v/>
      </c>
      <c r="G698" s="713" t="str">
        <f t="shared" si="119"/>
        <v/>
      </c>
      <c r="H698" s="17" t="str">
        <f>IFERROR(VLOOKUP($G698,Table1[[Property]:[Exposure %]],4,0),"")</f>
        <v/>
      </c>
      <c r="I698" s="3" t="str">
        <f>IFERROR(VLOOKUP($G698,Table1[[Property]:[Exposure %]],6,0),"")</f>
        <v/>
      </c>
      <c r="J698" s="3" t="str">
        <f>IFERROR(VLOOKUP($G698,Table1[[Property]:[Exposure %]],7,0),"")</f>
        <v/>
      </c>
      <c r="R698" s="4" t="str">
        <f>IFERROR(VLOOKUP(IF(F698="Total",F697,F698),Table1[[Property]:['# Units]],7,0)*S698,"")</f>
        <v/>
      </c>
      <c r="S698" s="27" t="str">
        <f t="shared" si="112"/>
        <v/>
      </c>
      <c r="T698" s="531" t="str">
        <f>IFERROR(
 IF($F698="Total",
   SUMPRODUCT(
   INDEX(T:T, ROW()-COUNTIF($F$6:INDEX($F:$F, ROW()-1), $F697)) : INDEX(T:T, ROW()-1),
   INDEX(W:W, ROW()-COUNTIF($F$6:INDEX($F:$F, ROW()-1), $F697)) : INDEX(W:W, ROW()-1)
   )
   /SUM(INDEX(W:W, ROW()-COUNTIF($F$6:INDEX($F:$F, ROW()-1), $F697)) : INDEX(W:W, ROW()-1)),
   AVERAGEIFS(
     INDEX((unit_details[Asking Rent],unit_details[Asking PSF]),0,1,IF($U$3="Chunk Rent",1,2)),
     unit_details[Leased Date],"&gt;="&amp;($AM$2-T$5),
     unit_details[Leased Date],"&lt;"&amp;$AM$2,
     unit_details[Beds],$L698,
     unit_details[Baths],$M698,
     unit_details[Partial Baths],IF(ISNUMBER($N698),$N698,""),
     unit_details[Sqft],$P698,
     unit_details[Property Name],$F698)
 ),"")</f>
        <v/>
      </c>
      <c r="U698" s="552" t="str">
        <f>IFERROR(
 IF($F698="Total",
   SUMPRODUCT(
   INDEX(U:U, ROW()-COUNTIF($F$6:INDEX($F:$F, ROW()-1), $F697)) : INDEX(U:U, ROW()-1),
   INDEX(W:W, ROW()-COUNTIF($F$6:INDEX($F:$F, ROW()-1), $F697)) : INDEX(W:W, ROW()-1)
   )
   /SUM(INDEX(W:W, ROW()-COUNTIF($F$6:INDEX($F:$F, ROW()-1), $F697)) : INDEX(W:W, ROW()-1)),
   AVERAGEIFS(
     INDEX((unit_details[Effective Rent],unit_details[Effective PSF]),0,1,IF($U$3="Chunk Rent",1,2)),
     unit_details[Leased Date],"&gt;="&amp;($AM$2-T$5),
     unit_details[Leased Date],"&lt;"&amp;$AM$2,
     unit_details[Beds],$L698,
     unit_details[Baths],$M698,
     unit_details[Partial Baths],IF(ISNUMBER($N698),$N698,""),
     unit_details[Sqft],$P698,
     unit_details[Property Name],$F698)
 ),"")</f>
        <v/>
      </c>
      <c r="V698" s="27" t="str">
        <f t="shared" si="120"/>
        <v/>
      </c>
      <c r="W698" s="526">
        <f>IFERROR(
  IF($F698="Total",
    SUM(INDEX(W:W, ROW()-COUNTIF($F$6:INDEX($F:$F, ROW()-1), $F697)) : INDEX(W:W, ROW()-1)),
    COUNTIFS(
      unit_details[Leased Date], "&gt;="&amp;($AM$2-T$5),
      unit_details[Leased Date], "&lt;"&amp;$AM$2,
      unit_details[Beds], $L698,
      unit_details[Baths], $M698,
      unit_details[Partial Baths], IF(ISNUMBER($N698), $N698, ""),
      unit_details[Sqft],$P698,
      unit_details[Property Name], $F698
    )
  ),
"")</f>
        <v>0</v>
      </c>
      <c r="X698" s="531" t="str">
        <f>IFERROR(
 IF($F698="Total",
   SUMPRODUCT(
   INDEX(X:X, ROW()-COUNTIF($F$6:INDEX($F:$F, ROW()-1), $F697)) : INDEX(X:X, ROW()-1),
   INDEX(AA:AA, ROW()-COUNTIF($F$6:INDEX($F:$F, ROW()-1), $F697)) : INDEX(AA:AA, ROW()-1)
   )
   /SUM(INDEX(AA:AA, ROW()-COUNTIF($F$6:INDEX($F:$F, ROW()-1), $F697)) : INDEX(AA:AA, ROW()-1)),
   AVERAGEIFS(
     INDEX((unit_details[Asking Rent],unit_details[Asking PSF]),0,1,IF($U$3="Chunk Rent",1,2)),
     unit_details[Leased Date],"&gt;="&amp;($AM$2-X$5),
     unit_details[Leased Date],"&lt;"&amp;$AM$2,
     unit_details[Beds],$L698,
     unit_details[Baths],$M698,
     unit_details[Partial Baths],IF(ISNUMBER($N698),$N698,""),
     unit_details[Sqft],$P698,
     unit_details[Property Name],$F698)
 ),"")</f>
        <v/>
      </c>
      <c r="Y698" s="552" t="str">
        <f>IFERROR(
 IF($F698="Total",
   SUMPRODUCT(
   INDEX(Y:Y, ROW()-COUNTIF($F$6:INDEX($F:$F, ROW()-1), $F697)) : INDEX(Y:Y, ROW()-1),
   INDEX(AA:AA, ROW()-COUNTIF($F$6:INDEX($F:$F, ROW()-1), $F697)) : INDEX(AA:AA, ROW()-1)
   )
   /SUM(INDEX(AA:AA, ROW()-COUNTIF($F$6:INDEX($F:$F, ROW()-1), $F697)) : INDEX(AA:AA, ROW()-1)),
   AVERAGEIFS(
     INDEX((unit_details[Effective Rent],unit_details[Effective PSF]),0,1,IF($U$3="Chunk Rent",1,2)),
     unit_details[Leased Date],"&gt;="&amp;($AM$2-X$5),
     unit_details[Leased Date],"&lt;"&amp;$AM$2,
     unit_details[Beds],$L698,
     unit_details[Baths],$M698,
     unit_details[Partial Baths],IF(ISNUMBER($N698),$N698,""),
     unit_details[Sqft],$P698,
     unit_details[Property Name],$F698)
 ),"")</f>
        <v/>
      </c>
      <c r="Z698" s="27" t="str">
        <f t="shared" si="121"/>
        <v/>
      </c>
      <c r="AA698" s="526">
        <f>IFERROR(
  IF($F698="Total",
    SUM(INDEX(AA:AA, ROW()-COUNTIF($F$6:INDEX($F:$F, ROW()-1), $F697)) : INDEX(AA:AA, ROW()-1)),
    COUNTIFS(
      unit_details[Leased Date], "&gt;="&amp;($AM$2-X$5),
      unit_details[Leased Date], "&lt;"&amp;$AM$2,
      unit_details[Beds], $L698,
      unit_details[Baths], $M698,
      unit_details[Partial Baths], IF(ISNUMBER($N698), $N698, ""),
      unit_details[Sqft],$P698,
      unit_details[Property Name], $F698
    )
  ),
"")</f>
        <v>0</v>
      </c>
      <c r="AB698" s="290">
        <f>IF($F698="Total",
SUM(INDEX(AB:AB, ROW()-COUNTIF($F$6:INDEX($F:$F, ROW()-1), $F697)) : INDEX(AB:AB, ROW()-1)),
COUNTIFS(unit_details[Active Listing?],TRUE,
          unit_details[Property Name], $F698,
          unit_details[Beds], $L698,
          unit_details[Baths], $M698,
          unit_details[Partial Baths],IF(ISNUMBER($N698),$N698,""),
          unit_details[Sqft],$P698))</f>
        <v>0</v>
      </c>
      <c r="AC698" s="27" t="str">
        <f t="shared" si="113"/>
        <v/>
      </c>
      <c r="AD698" s="293" t="str">
        <f>IFERROR(IF(AE698="","",IF($F698="Total",
SUMPRODUCT(
   INDEX(AD:AD, ROW()-COUNTIF($F$6:INDEX($F:$F, ROW()-1), $F697)) : INDEX(AD:AD, ROW()-1),
   INDEX(AB:AB, ROW()-COUNTIF($F$6:INDEX($F:$F, ROW()-1), $F697)) : INDEX(AB:AB, ROW()-1)
   )
   /SUM(INDEX(AB:AB, ROW()-COUNTIF($F$6:INDEX($F:$F, ROW()-1), $F697)) : INDEX(AB:AB, ROW()-1)),
          _xlfn.MINIFS(unit_details[Asking Rent],
          unit_details[Active Listing?],TRUE,
          unit_details[Property Name], $F698,
          unit_details[Beds], $L698,
          unit_details[Baths], $M698,
          unit_details[Partial Baths], IF(ISNUMBER($N698),$N698,""),
          unit_details[Sqft],$P698
))),"")</f>
        <v/>
      </c>
      <c r="AE698" s="5" t="str">
        <f>IFERROR(IF($F698="Total",
          SUMPRODUCT(
   INDEX(AE:AE, ROW()-COUNTIF($F$6:INDEX($F:$F, ROW()-1), $F697)) : INDEX(AE:AE, ROW()-1),
   INDEX(AB:AB, ROW()-COUNTIF($F$6:INDEX($F:$F, ROW()-1), $F697)) : INDEX(AB:AB, ROW()-1)
   )
   /SUM(INDEX(AB:AB, ROW()-COUNTIF($F$6:INDEX($F:$F, ROW()-1), $F697)) : INDEX(AB:AB, ROW()-1)),
          AVERAGEIFS(unit_details[Asking Rent],
          unit_details[Active Listing?],TRUE,
          unit_details[Property Name], $F698,
          unit_details[Beds], $L698,
          unit_details[Baths], $M698,
          unit_details[Partial Baths], IF(ISNUMBER($N698),$N698,""),
          unit_details[Sqft],$P698
)),"")</f>
        <v/>
      </c>
      <c r="AF698" s="5" t="str">
        <f>IFERROR(IF(AE698="","",IF($F698="Total",
SUMPRODUCT(
   INDEX(AF:AF, ROW()-COUNTIF($F$6:INDEX($F:$F, ROW()-1), $F697)) : INDEX(AF:AF, ROW()-1),
   INDEX(AB:AB, ROW()-COUNTIF($F$6:INDEX($F:$F, ROW()-1), $F697)) : INDEX(AB:AB, ROW()-1)
   )
   /SUM(INDEX(AB:AB, ROW()-COUNTIF($F$6:INDEX($F:$F, ROW()-1), $F697)) : INDEX(AB:AB, ROW()-1)),
           _xlfn.MAXIFS(unit_details[Asking Rent],
          unit_details[Active Listing?],TRUE,
          unit_details[Property Name], $F698,
          unit_details[Beds], $L698,
          unit_details[Baths], $M698,
          unit_details[Partial Baths], IF(ISNUMBER($N698),$N698,""),
          unit_details[Sqft],$P698
))),"")</f>
        <v/>
      </c>
      <c r="AG698" s="6" t="str">
        <f>IFERROR(IF($F698="Total",
         SUMPRODUCT(
         INDEX(AG:AG, ROW()-COUNTIF($F$6:INDEX($F:$F, ROW()-1), $F697)) : INDEX(AG:AG, ROW()-1),
         INDEX(AB:AB, ROW()-COUNTIF($F$6:INDEX($F:$F, ROW()-1), $F697)) : INDEX(AB:AB, ROW()-1)
         )
         /SUM(INDEX(AB:AB, ROW()-COUNTIF($F$6:INDEX($F:$F, ROW()-1), $F697)) : INDEX(AB:AB, ROW()-1)),
          AVERAGEIFS(unit_details[Asking PSF],
          unit_details[Active Listing?],TRUE,
          unit_details[Property Name], $F698,
          unit_details[Beds], $L698,
          unit_details[Baths], $M698,
          unit_details[Partial Baths], IF(ISNUMBER($N698),$N698,""),
          unit_details[Sqft],$P698
)),"")</f>
        <v/>
      </c>
      <c r="AH698" s="293" t="str">
        <f>IFERROR(IF($F698="Total",
         SUMPRODUCT(
         INDEX(AH:AH, ROW()-COUNTIF($F$6:INDEX($F:$F, ROW()-1), $F697)) : INDEX(AH:AH, ROW()-1),
         INDEX(AB:AB, ROW()-COUNTIF($F$6:INDEX($F:$F, ROW()-1), $F697)) : INDEX(AB:AB, ROW()-1)
         )
         /SUM(INDEX(AB:AB, ROW()-COUNTIF($F$6:INDEX($F:$F, ROW()-1), $F697)) : INDEX(AB:AB, ROW()-1)),
          AVERAGEIFS(unit_details[Effective Rent],
          unit_details[Active Listing?],TRUE,
          unit_details[Property Name], $F698,
          unit_details[Beds], $L698,
          unit_details[Baths], $M698,
          unit_details[Partial Baths], IF(ISNUMBER($N698),$N698,""),
          unit_details[Sqft],$P698
)),"")</f>
        <v/>
      </c>
      <c r="AI698" s="6" t="str">
        <f>IFERROR(IF($F698="Total",
         SUMPRODUCT(
         INDEX(AI:AI, ROW()-COUNTIF($F$6:INDEX($F:$F, ROW()-1), $F697)) : INDEX(AI:AI, ROW()-1),
         INDEX(AB:AB, ROW()-COUNTIF($F$6:INDEX($F:$F, ROW()-1), $F697)) : INDEX(AB:AB, ROW()-1)
         )
         /SUM(INDEX(AB:AB, ROW()-COUNTIF($F$6:INDEX($F:$F, ROW()-1), $F697)) : INDEX(AB:AB, ROW()-1)),
           AVERAGEIFS(unit_details[Effective PSF],
          unit_details[Active Listing?],TRUE,
          unit_details[Property Name], $F698,
          unit_details[Beds], $L698,
          unit_details[Baths], $M698,
          unit_details[Partial Baths], IF(ISNUMBER($N698),$N698,""),
          unit_details[Sqft],$P698
)),"")</f>
        <v/>
      </c>
      <c r="AJ698" s="824" t="str">
        <f t="shared" si="114"/>
        <v/>
      </c>
      <c r="AK698" s="531" t="str">
        <f t="shared" si="115"/>
        <v/>
      </c>
      <c r="AL698" s="714" t="str">
        <f t="shared" si="116"/>
        <v/>
      </c>
      <c r="AM698" s="531" t="str">
        <f t="shared" si="117"/>
        <v/>
      </c>
      <c r="AN698" s="716" t="str">
        <f t="shared" si="118"/>
        <v/>
      </c>
    </row>
    <row r="699" spans="6:40" x14ac:dyDescent="0.2">
      <c r="F699" s="1" t="str">
        <f t="shared" si="111"/>
        <v/>
      </c>
      <c r="G699" s="713" t="str">
        <f t="shared" si="119"/>
        <v/>
      </c>
      <c r="H699" s="17" t="str">
        <f>IFERROR(VLOOKUP($G699,Table1[[Property]:[Exposure %]],4,0),"")</f>
        <v/>
      </c>
      <c r="I699" s="3" t="str">
        <f>IFERROR(VLOOKUP($G699,Table1[[Property]:[Exposure %]],6,0),"")</f>
        <v/>
      </c>
      <c r="J699" s="3" t="str">
        <f>IFERROR(VLOOKUP($G699,Table1[[Property]:[Exposure %]],7,0),"")</f>
        <v/>
      </c>
      <c r="R699" s="4" t="str">
        <f>IFERROR(VLOOKUP(IF(F699="Total",F698,F699),Table1[[Property]:['# Units]],7,0)*S699,"")</f>
        <v/>
      </c>
      <c r="S699" s="27" t="str">
        <f t="shared" si="112"/>
        <v/>
      </c>
      <c r="T699" s="531" t="str">
        <f>IFERROR(
 IF($F699="Total",
   SUMPRODUCT(
   INDEX(T:T, ROW()-COUNTIF($F$6:INDEX($F:$F, ROW()-1), $F698)) : INDEX(T:T, ROW()-1),
   INDEX(W:W, ROW()-COUNTIF($F$6:INDEX($F:$F, ROW()-1), $F698)) : INDEX(W:W, ROW()-1)
   )
   /SUM(INDEX(W:W, ROW()-COUNTIF($F$6:INDEX($F:$F, ROW()-1), $F698)) : INDEX(W:W, ROW()-1)),
   AVERAGEIFS(
     INDEX((unit_details[Asking Rent],unit_details[Asking PSF]),0,1,IF($U$3="Chunk Rent",1,2)),
     unit_details[Leased Date],"&gt;="&amp;($AM$2-T$5),
     unit_details[Leased Date],"&lt;"&amp;$AM$2,
     unit_details[Beds],$L699,
     unit_details[Baths],$M699,
     unit_details[Partial Baths],IF(ISNUMBER($N699),$N699,""),
     unit_details[Sqft],$P699,
     unit_details[Property Name],$F699)
 ),"")</f>
        <v/>
      </c>
      <c r="U699" s="552" t="str">
        <f>IFERROR(
 IF($F699="Total",
   SUMPRODUCT(
   INDEX(U:U, ROW()-COUNTIF($F$6:INDEX($F:$F, ROW()-1), $F698)) : INDEX(U:U, ROW()-1),
   INDEX(W:W, ROW()-COUNTIF($F$6:INDEX($F:$F, ROW()-1), $F698)) : INDEX(W:W, ROW()-1)
   )
   /SUM(INDEX(W:W, ROW()-COUNTIF($F$6:INDEX($F:$F, ROW()-1), $F698)) : INDEX(W:W, ROW()-1)),
   AVERAGEIFS(
     INDEX((unit_details[Effective Rent],unit_details[Effective PSF]),0,1,IF($U$3="Chunk Rent",1,2)),
     unit_details[Leased Date],"&gt;="&amp;($AM$2-T$5),
     unit_details[Leased Date],"&lt;"&amp;$AM$2,
     unit_details[Beds],$L699,
     unit_details[Baths],$M699,
     unit_details[Partial Baths],IF(ISNUMBER($N699),$N699,""),
     unit_details[Sqft],$P699,
     unit_details[Property Name],$F699)
 ),"")</f>
        <v/>
      </c>
      <c r="V699" s="27" t="str">
        <f t="shared" si="120"/>
        <v/>
      </c>
      <c r="W699" s="526">
        <f>IFERROR(
  IF($F699="Total",
    SUM(INDEX(W:W, ROW()-COUNTIF($F$6:INDEX($F:$F, ROW()-1), $F698)) : INDEX(W:W, ROW()-1)),
    COUNTIFS(
      unit_details[Leased Date], "&gt;="&amp;($AM$2-T$5),
      unit_details[Leased Date], "&lt;"&amp;$AM$2,
      unit_details[Beds], $L699,
      unit_details[Baths], $M699,
      unit_details[Partial Baths], IF(ISNUMBER($N699), $N699, ""),
      unit_details[Sqft],$P699,
      unit_details[Property Name], $F699
    )
  ),
"")</f>
        <v>0</v>
      </c>
      <c r="X699" s="531" t="str">
        <f>IFERROR(
 IF($F699="Total",
   SUMPRODUCT(
   INDEX(X:X, ROW()-COUNTIF($F$6:INDEX($F:$F, ROW()-1), $F698)) : INDEX(X:X, ROW()-1),
   INDEX(AA:AA, ROW()-COUNTIF($F$6:INDEX($F:$F, ROW()-1), $F698)) : INDEX(AA:AA, ROW()-1)
   )
   /SUM(INDEX(AA:AA, ROW()-COUNTIF($F$6:INDEX($F:$F, ROW()-1), $F698)) : INDEX(AA:AA, ROW()-1)),
   AVERAGEIFS(
     INDEX((unit_details[Asking Rent],unit_details[Asking PSF]),0,1,IF($U$3="Chunk Rent",1,2)),
     unit_details[Leased Date],"&gt;="&amp;($AM$2-X$5),
     unit_details[Leased Date],"&lt;"&amp;$AM$2,
     unit_details[Beds],$L699,
     unit_details[Baths],$M699,
     unit_details[Partial Baths],IF(ISNUMBER($N699),$N699,""),
     unit_details[Sqft],$P699,
     unit_details[Property Name],$F699)
 ),"")</f>
        <v/>
      </c>
      <c r="Y699" s="552" t="str">
        <f>IFERROR(
 IF($F699="Total",
   SUMPRODUCT(
   INDEX(Y:Y, ROW()-COUNTIF($F$6:INDEX($F:$F, ROW()-1), $F698)) : INDEX(Y:Y, ROW()-1),
   INDEX(AA:AA, ROW()-COUNTIF($F$6:INDEX($F:$F, ROW()-1), $F698)) : INDEX(AA:AA, ROW()-1)
   )
   /SUM(INDEX(AA:AA, ROW()-COUNTIF($F$6:INDEX($F:$F, ROW()-1), $F698)) : INDEX(AA:AA, ROW()-1)),
   AVERAGEIFS(
     INDEX((unit_details[Effective Rent],unit_details[Effective PSF]),0,1,IF($U$3="Chunk Rent",1,2)),
     unit_details[Leased Date],"&gt;="&amp;($AM$2-X$5),
     unit_details[Leased Date],"&lt;"&amp;$AM$2,
     unit_details[Beds],$L699,
     unit_details[Baths],$M699,
     unit_details[Partial Baths],IF(ISNUMBER($N699),$N699,""),
     unit_details[Sqft],$P699,
     unit_details[Property Name],$F699)
 ),"")</f>
        <v/>
      </c>
      <c r="Z699" s="27" t="str">
        <f t="shared" si="121"/>
        <v/>
      </c>
      <c r="AA699" s="526">
        <f>IFERROR(
  IF($F699="Total",
    SUM(INDEX(AA:AA, ROW()-COUNTIF($F$6:INDEX($F:$F, ROW()-1), $F698)) : INDEX(AA:AA, ROW()-1)),
    COUNTIFS(
      unit_details[Leased Date], "&gt;="&amp;($AM$2-X$5),
      unit_details[Leased Date], "&lt;"&amp;$AM$2,
      unit_details[Beds], $L699,
      unit_details[Baths], $M699,
      unit_details[Partial Baths], IF(ISNUMBER($N699), $N699, ""),
      unit_details[Sqft],$P699,
      unit_details[Property Name], $F699
    )
  ),
"")</f>
        <v>0</v>
      </c>
      <c r="AB699" s="290">
        <f>IF($F699="Total",
SUM(INDEX(AB:AB, ROW()-COUNTIF($F$6:INDEX($F:$F, ROW()-1), $F698)) : INDEX(AB:AB, ROW()-1)),
COUNTIFS(unit_details[Active Listing?],TRUE,
          unit_details[Property Name], $F699,
          unit_details[Beds], $L699,
          unit_details[Baths], $M699,
          unit_details[Partial Baths],IF(ISNUMBER($N699),$N699,""),
          unit_details[Sqft],$P699))</f>
        <v>0</v>
      </c>
      <c r="AC699" s="27" t="str">
        <f t="shared" si="113"/>
        <v/>
      </c>
      <c r="AD699" s="293" t="str">
        <f>IFERROR(IF(AE699="","",IF($F699="Total",
SUMPRODUCT(
   INDEX(AD:AD, ROW()-COUNTIF($F$6:INDEX($F:$F, ROW()-1), $F698)) : INDEX(AD:AD, ROW()-1),
   INDEX(AB:AB, ROW()-COUNTIF($F$6:INDEX($F:$F, ROW()-1), $F698)) : INDEX(AB:AB, ROW()-1)
   )
   /SUM(INDEX(AB:AB, ROW()-COUNTIF($F$6:INDEX($F:$F, ROW()-1), $F698)) : INDEX(AB:AB, ROW()-1)),
          _xlfn.MINIFS(unit_details[Asking Rent],
          unit_details[Active Listing?],TRUE,
          unit_details[Property Name], $F699,
          unit_details[Beds], $L699,
          unit_details[Baths], $M699,
          unit_details[Partial Baths], IF(ISNUMBER($N699),$N699,""),
          unit_details[Sqft],$P699
))),"")</f>
        <v/>
      </c>
      <c r="AE699" s="5" t="str">
        <f>IFERROR(IF($F699="Total",
          SUMPRODUCT(
   INDEX(AE:AE, ROW()-COUNTIF($F$6:INDEX($F:$F, ROW()-1), $F698)) : INDEX(AE:AE, ROW()-1),
   INDEX(AB:AB, ROW()-COUNTIF($F$6:INDEX($F:$F, ROW()-1), $F698)) : INDEX(AB:AB, ROW()-1)
   )
   /SUM(INDEX(AB:AB, ROW()-COUNTIF($F$6:INDEX($F:$F, ROW()-1), $F698)) : INDEX(AB:AB, ROW()-1)),
          AVERAGEIFS(unit_details[Asking Rent],
          unit_details[Active Listing?],TRUE,
          unit_details[Property Name], $F699,
          unit_details[Beds], $L699,
          unit_details[Baths], $M699,
          unit_details[Partial Baths], IF(ISNUMBER($N699),$N699,""),
          unit_details[Sqft],$P699
)),"")</f>
        <v/>
      </c>
      <c r="AF699" s="5" t="str">
        <f>IFERROR(IF(AE699="","",IF($F699="Total",
SUMPRODUCT(
   INDEX(AF:AF, ROW()-COUNTIF($F$6:INDEX($F:$F, ROW()-1), $F698)) : INDEX(AF:AF, ROW()-1),
   INDEX(AB:AB, ROW()-COUNTIF($F$6:INDEX($F:$F, ROW()-1), $F698)) : INDEX(AB:AB, ROW()-1)
   )
   /SUM(INDEX(AB:AB, ROW()-COUNTIF($F$6:INDEX($F:$F, ROW()-1), $F698)) : INDEX(AB:AB, ROW()-1)),
           _xlfn.MAXIFS(unit_details[Asking Rent],
          unit_details[Active Listing?],TRUE,
          unit_details[Property Name], $F699,
          unit_details[Beds], $L699,
          unit_details[Baths], $M699,
          unit_details[Partial Baths], IF(ISNUMBER($N699),$N699,""),
          unit_details[Sqft],$P699
))),"")</f>
        <v/>
      </c>
      <c r="AG699" s="6" t="str">
        <f>IFERROR(IF($F699="Total",
         SUMPRODUCT(
         INDEX(AG:AG, ROW()-COUNTIF($F$6:INDEX($F:$F, ROW()-1), $F698)) : INDEX(AG:AG, ROW()-1),
         INDEX(AB:AB, ROW()-COUNTIF($F$6:INDEX($F:$F, ROW()-1), $F698)) : INDEX(AB:AB, ROW()-1)
         )
         /SUM(INDEX(AB:AB, ROW()-COUNTIF($F$6:INDEX($F:$F, ROW()-1), $F698)) : INDEX(AB:AB, ROW()-1)),
          AVERAGEIFS(unit_details[Asking PSF],
          unit_details[Active Listing?],TRUE,
          unit_details[Property Name], $F699,
          unit_details[Beds], $L699,
          unit_details[Baths], $M699,
          unit_details[Partial Baths], IF(ISNUMBER($N699),$N699,""),
          unit_details[Sqft],$P699
)),"")</f>
        <v/>
      </c>
      <c r="AH699" s="293" t="str">
        <f>IFERROR(IF($F699="Total",
         SUMPRODUCT(
         INDEX(AH:AH, ROW()-COUNTIF($F$6:INDEX($F:$F, ROW()-1), $F698)) : INDEX(AH:AH, ROW()-1),
         INDEX(AB:AB, ROW()-COUNTIF($F$6:INDEX($F:$F, ROW()-1), $F698)) : INDEX(AB:AB, ROW()-1)
         )
         /SUM(INDEX(AB:AB, ROW()-COUNTIF($F$6:INDEX($F:$F, ROW()-1), $F698)) : INDEX(AB:AB, ROW()-1)),
          AVERAGEIFS(unit_details[Effective Rent],
          unit_details[Active Listing?],TRUE,
          unit_details[Property Name], $F699,
          unit_details[Beds], $L699,
          unit_details[Baths], $M699,
          unit_details[Partial Baths], IF(ISNUMBER($N699),$N699,""),
          unit_details[Sqft],$P699
)),"")</f>
        <v/>
      </c>
      <c r="AI699" s="6" t="str">
        <f>IFERROR(IF($F699="Total",
         SUMPRODUCT(
         INDEX(AI:AI, ROW()-COUNTIF($F$6:INDEX($F:$F, ROW()-1), $F698)) : INDEX(AI:AI, ROW()-1),
         INDEX(AB:AB, ROW()-COUNTIF($F$6:INDEX($F:$F, ROW()-1), $F698)) : INDEX(AB:AB, ROW()-1)
         )
         /SUM(INDEX(AB:AB, ROW()-COUNTIF($F$6:INDEX($F:$F, ROW()-1), $F698)) : INDEX(AB:AB, ROW()-1)),
           AVERAGEIFS(unit_details[Effective PSF],
          unit_details[Active Listing?],TRUE,
          unit_details[Property Name], $F699,
          unit_details[Beds], $L699,
          unit_details[Baths], $M699,
          unit_details[Partial Baths], IF(ISNUMBER($N699),$N699,""),
          unit_details[Sqft],$P699
)),"")</f>
        <v/>
      </c>
      <c r="AJ699" s="824" t="str">
        <f t="shared" si="114"/>
        <v/>
      </c>
      <c r="AK699" s="531" t="str">
        <f t="shared" si="115"/>
        <v/>
      </c>
      <c r="AL699" s="714" t="str">
        <f t="shared" si="116"/>
        <v/>
      </c>
      <c r="AM699" s="531" t="str">
        <f t="shared" si="117"/>
        <v/>
      </c>
      <c r="AN699" s="716" t="str">
        <f t="shared" si="118"/>
        <v/>
      </c>
    </row>
    <row r="700" spans="6:40" x14ac:dyDescent="0.2">
      <c r="F700" s="1" t="str">
        <f t="shared" si="111"/>
        <v/>
      </c>
      <c r="G700" s="713" t="str">
        <f t="shared" si="119"/>
        <v/>
      </c>
      <c r="H700" s="17" t="str">
        <f>IFERROR(VLOOKUP($G700,Table1[[Property]:[Exposure %]],4,0),"")</f>
        <v/>
      </c>
      <c r="I700" s="3" t="str">
        <f>IFERROR(VLOOKUP($G700,Table1[[Property]:[Exposure %]],6,0),"")</f>
        <v/>
      </c>
      <c r="J700" s="3" t="str">
        <f>IFERROR(VLOOKUP($G700,Table1[[Property]:[Exposure %]],7,0),"")</f>
        <v/>
      </c>
      <c r="R700" s="4" t="str">
        <f>IFERROR(VLOOKUP(IF(F700="Total",F699,F700),Table1[[Property]:['# Units]],7,0)*S700,"")</f>
        <v/>
      </c>
      <c r="S700" s="27" t="str">
        <f t="shared" si="112"/>
        <v/>
      </c>
      <c r="T700" s="531" t="str">
        <f>IFERROR(
 IF($F700="Total",
   SUMPRODUCT(
   INDEX(T:T, ROW()-COUNTIF($F$6:INDEX($F:$F, ROW()-1), $F699)) : INDEX(T:T, ROW()-1),
   INDEX(W:W, ROW()-COUNTIF($F$6:INDEX($F:$F, ROW()-1), $F699)) : INDEX(W:W, ROW()-1)
   )
   /SUM(INDEX(W:W, ROW()-COUNTIF($F$6:INDEX($F:$F, ROW()-1), $F699)) : INDEX(W:W, ROW()-1)),
   AVERAGEIFS(
     INDEX((unit_details[Asking Rent],unit_details[Asking PSF]),0,1,IF($U$3="Chunk Rent",1,2)),
     unit_details[Leased Date],"&gt;="&amp;($AM$2-T$5),
     unit_details[Leased Date],"&lt;"&amp;$AM$2,
     unit_details[Beds],$L700,
     unit_details[Baths],$M700,
     unit_details[Partial Baths],IF(ISNUMBER($N700),$N700,""),
     unit_details[Sqft],$P700,
     unit_details[Property Name],$F700)
 ),"")</f>
        <v/>
      </c>
      <c r="U700" s="552" t="str">
        <f>IFERROR(
 IF($F700="Total",
   SUMPRODUCT(
   INDEX(U:U, ROW()-COUNTIF($F$6:INDEX($F:$F, ROW()-1), $F699)) : INDEX(U:U, ROW()-1),
   INDEX(W:W, ROW()-COUNTIF($F$6:INDEX($F:$F, ROW()-1), $F699)) : INDEX(W:W, ROW()-1)
   )
   /SUM(INDEX(W:W, ROW()-COUNTIF($F$6:INDEX($F:$F, ROW()-1), $F699)) : INDEX(W:W, ROW()-1)),
   AVERAGEIFS(
     INDEX((unit_details[Effective Rent],unit_details[Effective PSF]),0,1,IF($U$3="Chunk Rent",1,2)),
     unit_details[Leased Date],"&gt;="&amp;($AM$2-T$5),
     unit_details[Leased Date],"&lt;"&amp;$AM$2,
     unit_details[Beds],$L700,
     unit_details[Baths],$M700,
     unit_details[Partial Baths],IF(ISNUMBER($N700),$N700,""),
     unit_details[Sqft],$P700,
     unit_details[Property Name],$F700)
 ),"")</f>
        <v/>
      </c>
      <c r="V700" s="27" t="str">
        <f t="shared" si="120"/>
        <v/>
      </c>
      <c r="W700" s="526">
        <f>IFERROR(
  IF($F700="Total",
    SUM(INDEX(W:W, ROW()-COUNTIF($F$6:INDEX($F:$F, ROW()-1), $F699)) : INDEX(W:W, ROW()-1)),
    COUNTIFS(
      unit_details[Leased Date], "&gt;="&amp;($AM$2-T$5),
      unit_details[Leased Date], "&lt;"&amp;$AM$2,
      unit_details[Beds], $L700,
      unit_details[Baths], $M700,
      unit_details[Partial Baths], IF(ISNUMBER($N700), $N700, ""),
      unit_details[Sqft],$P700,
      unit_details[Property Name], $F700
    )
  ),
"")</f>
        <v>0</v>
      </c>
      <c r="X700" s="531" t="str">
        <f>IFERROR(
 IF($F700="Total",
   SUMPRODUCT(
   INDEX(X:X, ROW()-COUNTIF($F$6:INDEX($F:$F, ROW()-1), $F699)) : INDEX(X:X, ROW()-1),
   INDEX(AA:AA, ROW()-COUNTIF($F$6:INDEX($F:$F, ROW()-1), $F699)) : INDEX(AA:AA, ROW()-1)
   )
   /SUM(INDEX(AA:AA, ROW()-COUNTIF($F$6:INDEX($F:$F, ROW()-1), $F699)) : INDEX(AA:AA, ROW()-1)),
   AVERAGEIFS(
     INDEX((unit_details[Asking Rent],unit_details[Asking PSF]),0,1,IF($U$3="Chunk Rent",1,2)),
     unit_details[Leased Date],"&gt;="&amp;($AM$2-X$5),
     unit_details[Leased Date],"&lt;"&amp;$AM$2,
     unit_details[Beds],$L700,
     unit_details[Baths],$M700,
     unit_details[Partial Baths],IF(ISNUMBER($N700),$N700,""),
     unit_details[Sqft],$P700,
     unit_details[Property Name],$F700)
 ),"")</f>
        <v/>
      </c>
      <c r="Y700" s="552" t="str">
        <f>IFERROR(
 IF($F700="Total",
   SUMPRODUCT(
   INDEX(Y:Y, ROW()-COUNTIF($F$6:INDEX($F:$F, ROW()-1), $F699)) : INDEX(Y:Y, ROW()-1),
   INDEX(AA:AA, ROW()-COUNTIF($F$6:INDEX($F:$F, ROW()-1), $F699)) : INDEX(AA:AA, ROW()-1)
   )
   /SUM(INDEX(AA:AA, ROW()-COUNTIF($F$6:INDEX($F:$F, ROW()-1), $F699)) : INDEX(AA:AA, ROW()-1)),
   AVERAGEIFS(
     INDEX((unit_details[Effective Rent],unit_details[Effective PSF]),0,1,IF($U$3="Chunk Rent",1,2)),
     unit_details[Leased Date],"&gt;="&amp;($AM$2-X$5),
     unit_details[Leased Date],"&lt;"&amp;$AM$2,
     unit_details[Beds],$L700,
     unit_details[Baths],$M700,
     unit_details[Partial Baths],IF(ISNUMBER($N700),$N700,""),
     unit_details[Sqft],$P700,
     unit_details[Property Name],$F700)
 ),"")</f>
        <v/>
      </c>
      <c r="Z700" s="27" t="str">
        <f t="shared" si="121"/>
        <v/>
      </c>
      <c r="AA700" s="526">
        <f>IFERROR(
  IF($F700="Total",
    SUM(INDEX(AA:AA, ROW()-COUNTIF($F$6:INDEX($F:$F, ROW()-1), $F699)) : INDEX(AA:AA, ROW()-1)),
    COUNTIFS(
      unit_details[Leased Date], "&gt;="&amp;($AM$2-X$5),
      unit_details[Leased Date], "&lt;"&amp;$AM$2,
      unit_details[Beds], $L700,
      unit_details[Baths], $M700,
      unit_details[Partial Baths], IF(ISNUMBER($N700), $N700, ""),
      unit_details[Sqft],$P700,
      unit_details[Property Name], $F700
    )
  ),
"")</f>
        <v>0</v>
      </c>
      <c r="AB700" s="290">
        <f>IF($F700="Total",
SUM(INDEX(AB:AB, ROW()-COUNTIF($F$6:INDEX($F:$F, ROW()-1), $F699)) : INDEX(AB:AB, ROW()-1)),
COUNTIFS(unit_details[Active Listing?],TRUE,
          unit_details[Property Name], $F700,
          unit_details[Beds], $L700,
          unit_details[Baths], $M700,
          unit_details[Partial Baths],IF(ISNUMBER($N700),$N700,""),
          unit_details[Sqft],$P700))</f>
        <v>0</v>
      </c>
      <c r="AC700" s="27" t="str">
        <f t="shared" si="113"/>
        <v/>
      </c>
      <c r="AD700" s="293" t="str">
        <f>IFERROR(IF(AE700="","",IF($F700="Total",
SUMPRODUCT(
   INDEX(AD:AD, ROW()-COUNTIF($F$6:INDEX($F:$F, ROW()-1), $F699)) : INDEX(AD:AD, ROW()-1),
   INDEX(AB:AB, ROW()-COUNTIF($F$6:INDEX($F:$F, ROW()-1), $F699)) : INDEX(AB:AB, ROW()-1)
   )
   /SUM(INDEX(AB:AB, ROW()-COUNTIF($F$6:INDEX($F:$F, ROW()-1), $F699)) : INDEX(AB:AB, ROW()-1)),
          _xlfn.MINIFS(unit_details[Asking Rent],
          unit_details[Active Listing?],TRUE,
          unit_details[Property Name], $F700,
          unit_details[Beds], $L700,
          unit_details[Baths], $M700,
          unit_details[Partial Baths], IF(ISNUMBER($N700),$N700,""),
          unit_details[Sqft],$P700
))),"")</f>
        <v/>
      </c>
      <c r="AE700" s="5" t="str">
        <f>IFERROR(IF($F700="Total",
          SUMPRODUCT(
   INDEX(AE:AE, ROW()-COUNTIF($F$6:INDEX($F:$F, ROW()-1), $F699)) : INDEX(AE:AE, ROW()-1),
   INDEX(AB:AB, ROW()-COUNTIF($F$6:INDEX($F:$F, ROW()-1), $F699)) : INDEX(AB:AB, ROW()-1)
   )
   /SUM(INDEX(AB:AB, ROW()-COUNTIF($F$6:INDEX($F:$F, ROW()-1), $F699)) : INDEX(AB:AB, ROW()-1)),
          AVERAGEIFS(unit_details[Asking Rent],
          unit_details[Active Listing?],TRUE,
          unit_details[Property Name], $F700,
          unit_details[Beds], $L700,
          unit_details[Baths], $M700,
          unit_details[Partial Baths], IF(ISNUMBER($N700),$N700,""),
          unit_details[Sqft],$P700
)),"")</f>
        <v/>
      </c>
      <c r="AF700" s="5" t="str">
        <f>IFERROR(IF(AE700="","",IF($F700="Total",
SUMPRODUCT(
   INDEX(AF:AF, ROW()-COUNTIF($F$6:INDEX($F:$F, ROW()-1), $F699)) : INDEX(AF:AF, ROW()-1),
   INDEX(AB:AB, ROW()-COUNTIF($F$6:INDEX($F:$F, ROW()-1), $F699)) : INDEX(AB:AB, ROW()-1)
   )
   /SUM(INDEX(AB:AB, ROW()-COUNTIF($F$6:INDEX($F:$F, ROW()-1), $F699)) : INDEX(AB:AB, ROW()-1)),
           _xlfn.MAXIFS(unit_details[Asking Rent],
          unit_details[Active Listing?],TRUE,
          unit_details[Property Name], $F700,
          unit_details[Beds], $L700,
          unit_details[Baths], $M700,
          unit_details[Partial Baths], IF(ISNUMBER($N700),$N700,""),
          unit_details[Sqft],$P700
))),"")</f>
        <v/>
      </c>
      <c r="AG700" s="6" t="str">
        <f>IFERROR(IF($F700="Total",
         SUMPRODUCT(
         INDEX(AG:AG, ROW()-COUNTIF($F$6:INDEX($F:$F, ROW()-1), $F699)) : INDEX(AG:AG, ROW()-1),
         INDEX(AB:AB, ROW()-COUNTIF($F$6:INDEX($F:$F, ROW()-1), $F699)) : INDEX(AB:AB, ROW()-1)
         )
         /SUM(INDEX(AB:AB, ROW()-COUNTIF($F$6:INDEX($F:$F, ROW()-1), $F699)) : INDEX(AB:AB, ROW()-1)),
          AVERAGEIFS(unit_details[Asking PSF],
          unit_details[Active Listing?],TRUE,
          unit_details[Property Name], $F700,
          unit_details[Beds], $L700,
          unit_details[Baths], $M700,
          unit_details[Partial Baths], IF(ISNUMBER($N700),$N700,""),
          unit_details[Sqft],$P700
)),"")</f>
        <v/>
      </c>
      <c r="AH700" s="293" t="str">
        <f>IFERROR(IF($F700="Total",
         SUMPRODUCT(
         INDEX(AH:AH, ROW()-COUNTIF($F$6:INDEX($F:$F, ROW()-1), $F699)) : INDEX(AH:AH, ROW()-1),
         INDEX(AB:AB, ROW()-COUNTIF($F$6:INDEX($F:$F, ROW()-1), $F699)) : INDEX(AB:AB, ROW()-1)
         )
         /SUM(INDEX(AB:AB, ROW()-COUNTIF($F$6:INDEX($F:$F, ROW()-1), $F699)) : INDEX(AB:AB, ROW()-1)),
          AVERAGEIFS(unit_details[Effective Rent],
          unit_details[Active Listing?],TRUE,
          unit_details[Property Name], $F700,
          unit_details[Beds], $L700,
          unit_details[Baths], $M700,
          unit_details[Partial Baths], IF(ISNUMBER($N700),$N700,""),
          unit_details[Sqft],$P700
)),"")</f>
        <v/>
      </c>
      <c r="AI700" s="6" t="str">
        <f>IFERROR(IF($F700="Total",
         SUMPRODUCT(
         INDEX(AI:AI, ROW()-COUNTIF($F$6:INDEX($F:$F, ROW()-1), $F699)) : INDEX(AI:AI, ROW()-1),
         INDEX(AB:AB, ROW()-COUNTIF($F$6:INDEX($F:$F, ROW()-1), $F699)) : INDEX(AB:AB, ROW()-1)
         )
         /SUM(INDEX(AB:AB, ROW()-COUNTIF($F$6:INDEX($F:$F, ROW()-1), $F699)) : INDEX(AB:AB, ROW()-1)),
           AVERAGEIFS(unit_details[Effective PSF],
          unit_details[Active Listing?],TRUE,
          unit_details[Property Name], $F700,
          unit_details[Beds], $L700,
          unit_details[Baths], $M700,
          unit_details[Partial Baths], IF(ISNUMBER($N700),$N700,""),
          unit_details[Sqft],$P700
)),"")</f>
        <v/>
      </c>
      <c r="AJ700" s="824" t="str">
        <f t="shared" si="114"/>
        <v/>
      </c>
      <c r="AK700" s="531" t="str">
        <f t="shared" si="115"/>
        <v/>
      </c>
      <c r="AL700" s="714" t="str">
        <f t="shared" si="116"/>
        <v/>
      </c>
      <c r="AM700" s="531" t="str">
        <f t="shared" si="117"/>
        <v/>
      </c>
      <c r="AN700" s="716" t="str">
        <f t="shared" si="118"/>
        <v/>
      </c>
    </row>
    <row r="701" spans="6:40" x14ac:dyDescent="0.2">
      <c r="F701" s="1" t="str">
        <f t="shared" si="111"/>
        <v/>
      </c>
      <c r="G701" s="713" t="str">
        <f t="shared" si="119"/>
        <v/>
      </c>
      <c r="H701" s="17" t="str">
        <f>IFERROR(VLOOKUP($G701,Table1[[Property]:[Exposure %]],4,0),"")</f>
        <v/>
      </c>
      <c r="I701" s="3" t="str">
        <f>IFERROR(VLOOKUP($G701,Table1[[Property]:[Exposure %]],6,0),"")</f>
        <v/>
      </c>
      <c r="J701" s="3" t="str">
        <f>IFERROR(VLOOKUP($G701,Table1[[Property]:[Exposure %]],7,0),"")</f>
        <v/>
      </c>
      <c r="R701" s="4" t="str">
        <f>IFERROR(VLOOKUP(IF(F701="Total",F700,F701),Table1[[Property]:['# Units]],7,0)*S701,"")</f>
        <v/>
      </c>
      <c r="S701" s="27" t="str">
        <f t="shared" si="112"/>
        <v/>
      </c>
      <c r="T701" s="531" t="str">
        <f>IFERROR(
 IF($F701="Total",
   SUMPRODUCT(
   INDEX(T:T, ROW()-COUNTIF($F$6:INDEX($F:$F, ROW()-1), $F700)) : INDEX(T:T, ROW()-1),
   INDEX(W:W, ROW()-COUNTIF($F$6:INDEX($F:$F, ROW()-1), $F700)) : INDEX(W:W, ROW()-1)
   )
   /SUM(INDEX(W:W, ROW()-COUNTIF($F$6:INDEX($F:$F, ROW()-1), $F700)) : INDEX(W:W, ROW()-1)),
   AVERAGEIFS(
     INDEX((unit_details[Asking Rent],unit_details[Asking PSF]),0,1,IF($U$3="Chunk Rent",1,2)),
     unit_details[Leased Date],"&gt;="&amp;($AM$2-T$5),
     unit_details[Leased Date],"&lt;"&amp;$AM$2,
     unit_details[Beds],$L701,
     unit_details[Baths],$M701,
     unit_details[Partial Baths],IF(ISNUMBER($N701),$N701,""),
     unit_details[Sqft],$P701,
     unit_details[Property Name],$F701)
 ),"")</f>
        <v/>
      </c>
      <c r="U701" s="552" t="str">
        <f>IFERROR(
 IF($F701="Total",
   SUMPRODUCT(
   INDEX(U:U, ROW()-COUNTIF($F$6:INDEX($F:$F, ROW()-1), $F700)) : INDEX(U:U, ROW()-1),
   INDEX(W:W, ROW()-COUNTIF($F$6:INDEX($F:$F, ROW()-1), $F700)) : INDEX(W:W, ROW()-1)
   )
   /SUM(INDEX(W:W, ROW()-COUNTIF($F$6:INDEX($F:$F, ROW()-1), $F700)) : INDEX(W:W, ROW()-1)),
   AVERAGEIFS(
     INDEX((unit_details[Effective Rent],unit_details[Effective PSF]),0,1,IF($U$3="Chunk Rent",1,2)),
     unit_details[Leased Date],"&gt;="&amp;($AM$2-T$5),
     unit_details[Leased Date],"&lt;"&amp;$AM$2,
     unit_details[Beds],$L701,
     unit_details[Baths],$M701,
     unit_details[Partial Baths],IF(ISNUMBER($N701),$N701,""),
     unit_details[Sqft],$P701,
     unit_details[Property Name],$F701)
 ),"")</f>
        <v/>
      </c>
      <c r="V701" s="27" t="str">
        <f t="shared" si="120"/>
        <v/>
      </c>
      <c r="W701" s="526">
        <f>IFERROR(
  IF($F701="Total",
    SUM(INDEX(W:W, ROW()-COUNTIF($F$6:INDEX($F:$F, ROW()-1), $F700)) : INDEX(W:W, ROW()-1)),
    COUNTIFS(
      unit_details[Leased Date], "&gt;="&amp;($AM$2-T$5),
      unit_details[Leased Date], "&lt;"&amp;$AM$2,
      unit_details[Beds], $L701,
      unit_details[Baths], $M701,
      unit_details[Partial Baths], IF(ISNUMBER($N701), $N701, ""),
      unit_details[Sqft],$P701,
      unit_details[Property Name], $F701
    )
  ),
"")</f>
        <v>0</v>
      </c>
      <c r="X701" s="531" t="str">
        <f>IFERROR(
 IF($F701="Total",
   SUMPRODUCT(
   INDEX(X:X, ROW()-COUNTIF($F$6:INDEX($F:$F, ROW()-1), $F700)) : INDEX(X:X, ROW()-1),
   INDEX(AA:AA, ROW()-COUNTIF($F$6:INDEX($F:$F, ROW()-1), $F700)) : INDEX(AA:AA, ROW()-1)
   )
   /SUM(INDEX(AA:AA, ROW()-COUNTIF($F$6:INDEX($F:$F, ROW()-1), $F700)) : INDEX(AA:AA, ROW()-1)),
   AVERAGEIFS(
     INDEX((unit_details[Asking Rent],unit_details[Asking PSF]),0,1,IF($U$3="Chunk Rent",1,2)),
     unit_details[Leased Date],"&gt;="&amp;($AM$2-X$5),
     unit_details[Leased Date],"&lt;"&amp;$AM$2,
     unit_details[Beds],$L701,
     unit_details[Baths],$M701,
     unit_details[Partial Baths],IF(ISNUMBER($N701),$N701,""),
     unit_details[Sqft],$P701,
     unit_details[Property Name],$F701)
 ),"")</f>
        <v/>
      </c>
      <c r="Y701" s="552" t="str">
        <f>IFERROR(
 IF($F701="Total",
   SUMPRODUCT(
   INDEX(Y:Y, ROW()-COUNTIF($F$6:INDEX($F:$F, ROW()-1), $F700)) : INDEX(Y:Y, ROW()-1),
   INDEX(AA:AA, ROW()-COUNTIF($F$6:INDEX($F:$F, ROW()-1), $F700)) : INDEX(AA:AA, ROW()-1)
   )
   /SUM(INDEX(AA:AA, ROW()-COUNTIF($F$6:INDEX($F:$F, ROW()-1), $F700)) : INDEX(AA:AA, ROW()-1)),
   AVERAGEIFS(
     INDEX((unit_details[Effective Rent],unit_details[Effective PSF]),0,1,IF($U$3="Chunk Rent",1,2)),
     unit_details[Leased Date],"&gt;="&amp;($AM$2-X$5),
     unit_details[Leased Date],"&lt;"&amp;$AM$2,
     unit_details[Beds],$L701,
     unit_details[Baths],$M701,
     unit_details[Partial Baths],IF(ISNUMBER($N701),$N701,""),
     unit_details[Sqft],$P701,
     unit_details[Property Name],$F701)
 ),"")</f>
        <v/>
      </c>
      <c r="Z701" s="27" t="str">
        <f t="shared" si="121"/>
        <v/>
      </c>
      <c r="AA701" s="526">
        <f>IFERROR(
  IF($F701="Total",
    SUM(INDEX(AA:AA, ROW()-COUNTIF($F$6:INDEX($F:$F, ROW()-1), $F700)) : INDEX(AA:AA, ROW()-1)),
    COUNTIFS(
      unit_details[Leased Date], "&gt;="&amp;($AM$2-X$5),
      unit_details[Leased Date], "&lt;"&amp;$AM$2,
      unit_details[Beds], $L701,
      unit_details[Baths], $M701,
      unit_details[Partial Baths], IF(ISNUMBER($N701), $N701, ""),
      unit_details[Sqft],$P701,
      unit_details[Property Name], $F701
    )
  ),
"")</f>
        <v>0</v>
      </c>
      <c r="AB701" s="290">
        <f>IF($F701="Total",
SUM(INDEX(AB:AB, ROW()-COUNTIF($F$6:INDEX($F:$F, ROW()-1), $F700)) : INDEX(AB:AB, ROW()-1)),
COUNTIFS(unit_details[Active Listing?],TRUE,
          unit_details[Property Name], $F701,
          unit_details[Beds], $L701,
          unit_details[Baths], $M701,
          unit_details[Partial Baths],IF(ISNUMBER($N701),$N701,""),
          unit_details[Sqft],$P701))</f>
        <v>0</v>
      </c>
      <c r="AC701" s="27" t="str">
        <f t="shared" si="113"/>
        <v/>
      </c>
      <c r="AD701" s="293" t="str">
        <f>IFERROR(IF(AE701="","",IF($F701="Total",
SUMPRODUCT(
   INDEX(AD:AD, ROW()-COUNTIF($F$6:INDEX($F:$F, ROW()-1), $F700)) : INDEX(AD:AD, ROW()-1),
   INDEX(AB:AB, ROW()-COUNTIF($F$6:INDEX($F:$F, ROW()-1), $F700)) : INDEX(AB:AB, ROW()-1)
   )
   /SUM(INDEX(AB:AB, ROW()-COUNTIF($F$6:INDEX($F:$F, ROW()-1), $F700)) : INDEX(AB:AB, ROW()-1)),
          _xlfn.MINIFS(unit_details[Asking Rent],
          unit_details[Active Listing?],TRUE,
          unit_details[Property Name], $F701,
          unit_details[Beds], $L701,
          unit_details[Baths], $M701,
          unit_details[Partial Baths], IF(ISNUMBER($N701),$N701,""),
          unit_details[Sqft],$P701
))),"")</f>
        <v/>
      </c>
      <c r="AE701" s="5" t="str">
        <f>IFERROR(IF($F701="Total",
          SUMPRODUCT(
   INDEX(AE:AE, ROW()-COUNTIF($F$6:INDEX($F:$F, ROW()-1), $F700)) : INDEX(AE:AE, ROW()-1),
   INDEX(AB:AB, ROW()-COUNTIF($F$6:INDEX($F:$F, ROW()-1), $F700)) : INDEX(AB:AB, ROW()-1)
   )
   /SUM(INDEX(AB:AB, ROW()-COUNTIF($F$6:INDEX($F:$F, ROW()-1), $F700)) : INDEX(AB:AB, ROW()-1)),
          AVERAGEIFS(unit_details[Asking Rent],
          unit_details[Active Listing?],TRUE,
          unit_details[Property Name], $F701,
          unit_details[Beds], $L701,
          unit_details[Baths], $M701,
          unit_details[Partial Baths], IF(ISNUMBER($N701),$N701,""),
          unit_details[Sqft],$P701
)),"")</f>
        <v/>
      </c>
      <c r="AF701" s="5" t="str">
        <f>IFERROR(IF(AE701="","",IF($F701="Total",
SUMPRODUCT(
   INDEX(AF:AF, ROW()-COUNTIF($F$6:INDEX($F:$F, ROW()-1), $F700)) : INDEX(AF:AF, ROW()-1),
   INDEX(AB:AB, ROW()-COUNTIF($F$6:INDEX($F:$F, ROW()-1), $F700)) : INDEX(AB:AB, ROW()-1)
   )
   /SUM(INDEX(AB:AB, ROW()-COUNTIF($F$6:INDEX($F:$F, ROW()-1), $F700)) : INDEX(AB:AB, ROW()-1)),
           _xlfn.MAXIFS(unit_details[Asking Rent],
          unit_details[Active Listing?],TRUE,
          unit_details[Property Name], $F701,
          unit_details[Beds], $L701,
          unit_details[Baths], $M701,
          unit_details[Partial Baths], IF(ISNUMBER($N701),$N701,""),
          unit_details[Sqft],$P701
))),"")</f>
        <v/>
      </c>
      <c r="AG701" s="6" t="str">
        <f>IFERROR(IF($F701="Total",
         SUMPRODUCT(
         INDEX(AG:AG, ROW()-COUNTIF($F$6:INDEX($F:$F, ROW()-1), $F700)) : INDEX(AG:AG, ROW()-1),
         INDEX(AB:AB, ROW()-COUNTIF($F$6:INDEX($F:$F, ROW()-1), $F700)) : INDEX(AB:AB, ROW()-1)
         )
         /SUM(INDEX(AB:AB, ROW()-COUNTIF($F$6:INDEX($F:$F, ROW()-1), $F700)) : INDEX(AB:AB, ROW()-1)),
          AVERAGEIFS(unit_details[Asking PSF],
          unit_details[Active Listing?],TRUE,
          unit_details[Property Name], $F701,
          unit_details[Beds], $L701,
          unit_details[Baths], $M701,
          unit_details[Partial Baths], IF(ISNUMBER($N701),$N701,""),
          unit_details[Sqft],$P701
)),"")</f>
        <v/>
      </c>
      <c r="AH701" s="293" t="str">
        <f>IFERROR(IF($F701="Total",
         SUMPRODUCT(
         INDEX(AH:AH, ROW()-COUNTIF($F$6:INDEX($F:$F, ROW()-1), $F700)) : INDEX(AH:AH, ROW()-1),
         INDEX(AB:AB, ROW()-COUNTIF($F$6:INDEX($F:$F, ROW()-1), $F700)) : INDEX(AB:AB, ROW()-1)
         )
         /SUM(INDEX(AB:AB, ROW()-COUNTIF($F$6:INDEX($F:$F, ROW()-1), $F700)) : INDEX(AB:AB, ROW()-1)),
          AVERAGEIFS(unit_details[Effective Rent],
          unit_details[Active Listing?],TRUE,
          unit_details[Property Name], $F701,
          unit_details[Beds], $L701,
          unit_details[Baths], $M701,
          unit_details[Partial Baths], IF(ISNUMBER($N701),$N701,""),
          unit_details[Sqft],$P701
)),"")</f>
        <v/>
      </c>
      <c r="AI701" s="6" t="str">
        <f>IFERROR(IF($F701="Total",
         SUMPRODUCT(
         INDEX(AI:AI, ROW()-COUNTIF($F$6:INDEX($F:$F, ROW()-1), $F700)) : INDEX(AI:AI, ROW()-1),
         INDEX(AB:AB, ROW()-COUNTIF($F$6:INDEX($F:$F, ROW()-1), $F700)) : INDEX(AB:AB, ROW()-1)
         )
         /SUM(INDEX(AB:AB, ROW()-COUNTIF($F$6:INDEX($F:$F, ROW()-1), $F700)) : INDEX(AB:AB, ROW()-1)),
           AVERAGEIFS(unit_details[Effective PSF],
          unit_details[Active Listing?],TRUE,
          unit_details[Property Name], $F701,
          unit_details[Beds], $L701,
          unit_details[Baths], $M701,
          unit_details[Partial Baths], IF(ISNUMBER($N701),$N701,""),
          unit_details[Sqft],$P701
)),"")</f>
        <v/>
      </c>
      <c r="AJ701" s="824" t="str">
        <f t="shared" si="114"/>
        <v/>
      </c>
      <c r="AK701" s="531" t="str">
        <f t="shared" si="115"/>
        <v/>
      </c>
      <c r="AL701" s="714" t="str">
        <f t="shared" si="116"/>
        <v/>
      </c>
      <c r="AM701" s="531" t="str">
        <f t="shared" si="117"/>
        <v/>
      </c>
      <c r="AN701" s="716" t="str">
        <f t="shared" si="118"/>
        <v/>
      </c>
    </row>
    <row r="702" spans="6:40" x14ac:dyDescent="0.2">
      <c r="F702" s="1" t="str">
        <f t="shared" si="111"/>
        <v/>
      </c>
      <c r="G702" s="713" t="str">
        <f t="shared" si="119"/>
        <v/>
      </c>
      <c r="H702" s="17" t="str">
        <f>IFERROR(VLOOKUP($G702,Table1[[Property]:[Exposure %]],4,0),"")</f>
        <v/>
      </c>
      <c r="I702" s="3" t="str">
        <f>IFERROR(VLOOKUP($G702,Table1[[Property]:[Exposure %]],6,0),"")</f>
        <v/>
      </c>
      <c r="J702" s="3" t="str">
        <f>IFERROR(VLOOKUP($G702,Table1[[Property]:[Exposure %]],7,0),"")</f>
        <v/>
      </c>
      <c r="R702" s="4" t="str">
        <f>IFERROR(VLOOKUP(IF(F702="Total",F701,F702),Table1[[Property]:['# Units]],7,0)*S702,"")</f>
        <v/>
      </c>
      <c r="S702" s="27" t="str">
        <f t="shared" si="112"/>
        <v/>
      </c>
      <c r="T702" s="531" t="str">
        <f>IFERROR(
 IF($F702="Total",
   SUMPRODUCT(
   INDEX(T:T, ROW()-COUNTIF($F$6:INDEX($F:$F, ROW()-1), $F701)) : INDEX(T:T, ROW()-1),
   INDEX(W:W, ROW()-COUNTIF($F$6:INDEX($F:$F, ROW()-1), $F701)) : INDEX(W:W, ROW()-1)
   )
   /SUM(INDEX(W:W, ROW()-COUNTIF($F$6:INDEX($F:$F, ROW()-1), $F701)) : INDEX(W:W, ROW()-1)),
   AVERAGEIFS(
     INDEX((unit_details[Asking Rent],unit_details[Asking PSF]),0,1,IF($U$3="Chunk Rent",1,2)),
     unit_details[Leased Date],"&gt;="&amp;($AM$2-T$5),
     unit_details[Leased Date],"&lt;"&amp;$AM$2,
     unit_details[Beds],$L702,
     unit_details[Baths],$M702,
     unit_details[Partial Baths],IF(ISNUMBER($N702),$N702,""),
     unit_details[Sqft],$P702,
     unit_details[Property Name],$F702)
 ),"")</f>
        <v/>
      </c>
      <c r="U702" s="552" t="str">
        <f>IFERROR(
 IF($F702="Total",
   SUMPRODUCT(
   INDEX(U:U, ROW()-COUNTIF($F$6:INDEX($F:$F, ROW()-1), $F701)) : INDEX(U:U, ROW()-1),
   INDEX(W:W, ROW()-COUNTIF($F$6:INDEX($F:$F, ROW()-1), $F701)) : INDEX(W:W, ROW()-1)
   )
   /SUM(INDEX(W:W, ROW()-COUNTIF($F$6:INDEX($F:$F, ROW()-1), $F701)) : INDEX(W:W, ROW()-1)),
   AVERAGEIFS(
     INDEX((unit_details[Effective Rent],unit_details[Effective PSF]),0,1,IF($U$3="Chunk Rent",1,2)),
     unit_details[Leased Date],"&gt;="&amp;($AM$2-T$5),
     unit_details[Leased Date],"&lt;"&amp;$AM$2,
     unit_details[Beds],$L702,
     unit_details[Baths],$M702,
     unit_details[Partial Baths],IF(ISNUMBER($N702),$N702,""),
     unit_details[Sqft],$P702,
     unit_details[Property Name],$F702)
 ),"")</f>
        <v/>
      </c>
      <c r="V702" s="27" t="str">
        <f t="shared" si="120"/>
        <v/>
      </c>
      <c r="W702" s="526">
        <f>IFERROR(
  IF($F702="Total",
    SUM(INDEX(W:W, ROW()-COUNTIF($F$6:INDEX($F:$F, ROW()-1), $F701)) : INDEX(W:W, ROW()-1)),
    COUNTIFS(
      unit_details[Leased Date], "&gt;="&amp;($AM$2-T$5),
      unit_details[Leased Date], "&lt;"&amp;$AM$2,
      unit_details[Beds], $L702,
      unit_details[Baths], $M702,
      unit_details[Partial Baths], IF(ISNUMBER($N702), $N702, ""),
      unit_details[Sqft],$P702,
      unit_details[Property Name], $F702
    )
  ),
"")</f>
        <v>0</v>
      </c>
      <c r="X702" s="531" t="str">
        <f>IFERROR(
 IF($F702="Total",
   SUMPRODUCT(
   INDEX(X:X, ROW()-COUNTIF($F$6:INDEX($F:$F, ROW()-1), $F701)) : INDEX(X:X, ROW()-1),
   INDEX(AA:AA, ROW()-COUNTIF($F$6:INDEX($F:$F, ROW()-1), $F701)) : INDEX(AA:AA, ROW()-1)
   )
   /SUM(INDEX(AA:AA, ROW()-COUNTIF($F$6:INDEX($F:$F, ROW()-1), $F701)) : INDEX(AA:AA, ROW()-1)),
   AVERAGEIFS(
     INDEX((unit_details[Asking Rent],unit_details[Asking PSF]),0,1,IF($U$3="Chunk Rent",1,2)),
     unit_details[Leased Date],"&gt;="&amp;($AM$2-X$5),
     unit_details[Leased Date],"&lt;"&amp;$AM$2,
     unit_details[Beds],$L702,
     unit_details[Baths],$M702,
     unit_details[Partial Baths],IF(ISNUMBER($N702),$N702,""),
     unit_details[Sqft],$P702,
     unit_details[Property Name],$F702)
 ),"")</f>
        <v/>
      </c>
      <c r="Y702" s="552" t="str">
        <f>IFERROR(
 IF($F702="Total",
   SUMPRODUCT(
   INDEX(Y:Y, ROW()-COUNTIF($F$6:INDEX($F:$F, ROW()-1), $F701)) : INDEX(Y:Y, ROW()-1),
   INDEX(AA:AA, ROW()-COUNTIF($F$6:INDEX($F:$F, ROW()-1), $F701)) : INDEX(AA:AA, ROW()-1)
   )
   /SUM(INDEX(AA:AA, ROW()-COUNTIF($F$6:INDEX($F:$F, ROW()-1), $F701)) : INDEX(AA:AA, ROW()-1)),
   AVERAGEIFS(
     INDEX((unit_details[Effective Rent],unit_details[Effective PSF]),0,1,IF($U$3="Chunk Rent",1,2)),
     unit_details[Leased Date],"&gt;="&amp;($AM$2-X$5),
     unit_details[Leased Date],"&lt;"&amp;$AM$2,
     unit_details[Beds],$L702,
     unit_details[Baths],$M702,
     unit_details[Partial Baths],IF(ISNUMBER($N702),$N702,""),
     unit_details[Sqft],$P702,
     unit_details[Property Name],$F702)
 ),"")</f>
        <v/>
      </c>
      <c r="Z702" s="27" t="str">
        <f t="shared" si="121"/>
        <v/>
      </c>
      <c r="AA702" s="526">
        <f>IFERROR(
  IF($F702="Total",
    SUM(INDEX(AA:AA, ROW()-COUNTIF($F$6:INDEX($F:$F, ROW()-1), $F701)) : INDEX(AA:AA, ROW()-1)),
    COUNTIFS(
      unit_details[Leased Date], "&gt;="&amp;($AM$2-X$5),
      unit_details[Leased Date], "&lt;"&amp;$AM$2,
      unit_details[Beds], $L702,
      unit_details[Baths], $M702,
      unit_details[Partial Baths], IF(ISNUMBER($N702), $N702, ""),
      unit_details[Sqft],$P702,
      unit_details[Property Name], $F702
    )
  ),
"")</f>
        <v>0</v>
      </c>
      <c r="AB702" s="290">
        <f>IF($F702="Total",
SUM(INDEX(AB:AB, ROW()-COUNTIF($F$6:INDEX($F:$F, ROW()-1), $F701)) : INDEX(AB:AB, ROW()-1)),
COUNTIFS(unit_details[Active Listing?],TRUE,
          unit_details[Property Name], $F702,
          unit_details[Beds], $L702,
          unit_details[Baths], $M702,
          unit_details[Partial Baths],IF(ISNUMBER($N702),$N702,""),
          unit_details[Sqft],$P702))</f>
        <v>0</v>
      </c>
      <c r="AC702" s="27" t="str">
        <f t="shared" si="113"/>
        <v/>
      </c>
      <c r="AD702" s="293" t="str">
        <f>IFERROR(IF(AE702="","",IF($F702="Total",
SUMPRODUCT(
   INDEX(AD:AD, ROW()-COUNTIF($F$6:INDEX($F:$F, ROW()-1), $F701)) : INDEX(AD:AD, ROW()-1),
   INDEX(AB:AB, ROW()-COUNTIF($F$6:INDEX($F:$F, ROW()-1), $F701)) : INDEX(AB:AB, ROW()-1)
   )
   /SUM(INDEX(AB:AB, ROW()-COUNTIF($F$6:INDEX($F:$F, ROW()-1), $F701)) : INDEX(AB:AB, ROW()-1)),
          _xlfn.MINIFS(unit_details[Asking Rent],
          unit_details[Active Listing?],TRUE,
          unit_details[Property Name], $F702,
          unit_details[Beds], $L702,
          unit_details[Baths], $M702,
          unit_details[Partial Baths], IF(ISNUMBER($N702),$N702,""),
          unit_details[Sqft],$P702
))),"")</f>
        <v/>
      </c>
      <c r="AE702" s="5" t="str">
        <f>IFERROR(IF($F702="Total",
          SUMPRODUCT(
   INDEX(AE:AE, ROW()-COUNTIF($F$6:INDEX($F:$F, ROW()-1), $F701)) : INDEX(AE:AE, ROW()-1),
   INDEX(AB:AB, ROW()-COUNTIF($F$6:INDEX($F:$F, ROW()-1), $F701)) : INDEX(AB:AB, ROW()-1)
   )
   /SUM(INDEX(AB:AB, ROW()-COUNTIF($F$6:INDEX($F:$F, ROW()-1), $F701)) : INDEX(AB:AB, ROW()-1)),
          AVERAGEIFS(unit_details[Asking Rent],
          unit_details[Active Listing?],TRUE,
          unit_details[Property Name], $F702,
          unit_details[Beds], $L702,
          unit_details[Baths], $M702,
          unit_details[Partial Baths], IF(ISNUMBER($N702),$N702,""),
          unit_details[Sqft],$P702
)),"")</f>
        <v/>
      </c>
      <c r="AF702" s="5" t="str">
        <f>IFERROR(IF(AE702="","",IF($F702="Total",
SUMPRODUCT(
   INDEX(AF:AF, ROW()-COUNTIF($F$6:INDEX($F:$F, ROW()-1), $F701)) : INDEX(AF:AF, ROW()-1),
   INDEX(AB:AB, ROW()-COUNTIF($F$6:INDEX($F:$F, ROW()-1), $F701)) : INDEX(AB:AB, ROW()-1)
   )
   /SUM(INDEX(AB:AB, ROW()-COUNTIF($F$6:INDEX($F:$F, ROW()-1), $F701)) : INDEX(AB:AB, ROW()-1)),
           _xlfn.MAXIFS(unit_details[Asking Rent],
          unit_details[Active Listing?],TRUE,
          unit_details[Property Name], $F702,
          unit_details[Beds], $L702,
          unit_details[Baths], $M702,
          unit_details[Partial Baths], IF(ISNUMBER($N702),$N702,""),
          unit_details[Sqft],$P702
))),"")</f>
        <v/>
      </c>
      <c r="AG702" s="6" t="str">
        <f>IFERROR(IF($F702="Total",
         SUMPRODUCT(
         INDEX(AG:AG, ROW()-COUNTIF($F$6:INDEX($F:$F, ROW()-1), $F701)) : INDEX(AG:AG, ROW()-1),
         INDEX(AB:AB, ROW()-COUNTIF($F$6:INDEX($F:$F, ROW()-1), $F701)) : INDEX(AB:AB, ROW()-1)
         )
         /SUM(INDEX(AB:AB, ROW()-COUNTIF($F$6:INDEX($F:$F, ROW()-1), $F701)) : INDEX(AB:AB, ROW()-1)),
          AVERAGEIFS(unit_details[Asking PSF],
          unit_details[Active Listing?],TRUE,
          unit_details[Property Name], $F702,
          unit_details[Beds], $L702,
          unit_details[Baths], $M702,
          unit_details[Partial Baths], IF(ISNUMBER($N702),$N702,""),
          unit_details[Sqft],$P702
)),"")</f>
        <v/>
      </c>
      <c r="AH702" s="293" t="str">
        <f>IFERROR(IF($F702="Total",
         SUMPRODUCT(
         INDEX(AH:AH, ROW()-COUNTIF($F$6:INDEX($F:$F, ROW()-1), $F701)) : INDEX(AH:AH, ROW()-1),
         INDEX(AB:AB, ROW()-COUNTIF($F$6:INDEX($F:$F, ROW()-1), $F701)) : INDEX(AB:AB, ROW()-1)
         )
         /SUM(INDEX(AB:AB, ROW()-COUNTIF($F$6:INDEX($F:$F, ROW()-1), $F701)) : INDEX(AB:AB, ROW()-1)),
          AVERAGEIFS(unit_details[Effective Rent],
          unit_details[Active Listing?],TRUE,
          unit_details[Property Name], $F702,
          unit_details[Beds], $L702,
          unit_details[Baths], $M702,
          unit_details[Partial Baths], IF(ISNUMBER($N702),$N702,""),
          unit_details[Sqft],$P702
)),"")</f>
        <v/>
      </c>
      <c r="AI702" s="6" t="str">
        <f>IFERROR(IF($F702="Total",
         SUMPRODUCT(
         INDEX(AI:AI, ROW()-COUNTIF($F$6:INDEX($F:$F, ROW()-1), $F701)) : INDEX(AI:AI, ROW()-1),
         INDEX(AB:AB, ROW()-COUNTIF($F$6:INDEX($F:$F, ROW()-1), $F701)) : INDEX(AB:AB, ROW()-1)
         )
         /SUM(INDEX(AB:AB, ROW()-COUNTIF($F$6:INDEX($F:$F, ROW()-1), $F701)) : INDEX(AB:AB, ROW()-1)),
           AVERAGEIFS(unit_details[Effective PSF],
          unit_details[Active Listing?],TRUE,
          unit_details[Property Name], $F702,
          unit_details[Beds], $L702,
          unit_details[Baths], $M702,
          unit_details[Partial Baths], IF(ISNUMBER($N702),$N702,""),
          unit_details[Sqft],$P702
)),"")</f>
        <v/>
      </c>
      <c r="AJ702" s="824" t="str">
        <f t="shared" si="114"/>
        <v/>
      </c>
      <c r="AK702" s="531" t="str">
        <f t="shared" si="115"/>
        <v/>
      </c>
      <c r="AL702" s="714" t="str">
        <f t="shared" si="116"/>
        <v/>
      </c>
      <c r="AM702" s="531" t="str">
        <f t="shared" si="117"/>
        <v/>
      </c>
      <c r="AN702" s="716" t="str">
        <f t="shared" si="118"/>
        <v/>
      </c>
    </row>
    <row r="703" spans="6:40" x14ac:dyDescent="0.2">
      <c r="F703" s="1" t="str">
        <f t="shared" si="111"/>
        <v/>
      </c>
      <c r="G703" s="713" t="str">
        <f t="shared" si="119"/>
        <v/>
      </c>
      <c r="H703" s="17" t="str">
        <f>IFERROR(VLOOKUP($G703,Table1[[Property]:[Exposure %]],4,0),"")</f>
        <v/>
      </c>
      <c r="I703" s="3" t="str">
        <f>IFERROR(VLOOKUP($G703,Table1[[Property]:[Exposure %]],6,0),"")</f>
        <v/>
      </c>
      <c r="J703" s="3" t="str">
        <f>IFERROR(VLOOKUP($G703,Table1[[Property]:[Exposure %]],7,0),"")</f>
        <v/>
      </c>
      <c r="R703" s="4" t="str">
        <f>IFERROR(VLOOKUP(IF(F703="Total",F702,F703),Table1[[Property]:['# Units]],7,0)*S703,"")</f>
        <v/>
      </c>
      <c r="S703" s="27" t="str">
        <f t="shared" si="112"/>
        <v/>
      </c>
      <c r="T703" s="531" t="str">
        <f>IFERROR(
 IF($F703="Total",
   SUMPRODUCT(
   INDEX(T:T, ROW()-COUNTIF($F$6:INDEX($F:$F, ROW()-1), $F702)) : INDEX(T:T, ROW()-1),
   INDEX(W:W, ROW()-COUNTIF($F$6:INDEX($F:$F, ROW()-1), $F702)) : INDEX(W:W, ROW()-1)
   )
   /SUM(INDEX(W:W, ROW()-COUNTIF($F$6:INDEX($F:$F, ROW()-1), $F702)) : INDEX(W:W, ROW()-1)),
   AVERAGEIFS(
     INDEX((unit_details[Asking Rent],unit_details[Asking PSF]),0,1,IF($U$3="Chunk Rent",1,2)),
     unit_details[Leased Date],"&gt;="&amp;($AM$2-T$5),
     unit_details[Leased Date],"&lt;"&amp;$AM$2,
     unit_details[Beds],$L703,
     unit_details[Baths],$M703,
     unit_details[Partial Baths],IF(ISNUMBER($N703),$N703,""),
     unit_details[Sqft],$P703,
     unit_details[Property Name],$F703)
 ),"")</f>
        <v/>
      </c>
      <c r="U703" s="552" t="str">
        <f>IFERROR(
 IF($F703="Total",
   SUMPRODUCT(
   INDEX(U:U, ROW()-COUNTIF($F$6:INDEX($F:$F, ROW()-1), $F702)) : INDEX(U:U, ROW()-1),
   INDEX(W:W, ROW()-COUNTIF($F$6:INDEX($F:$F, ROW()-1), $F702)) : INDEX(W:W, ROW()-1)
   )
   /SUM(INDEX(W:W, ROW()-COUNTIF($F$6:INDEX($F:$F, ROW()-1), $F702)) : INDEX(W:W, ROW()-1)),
   AVERAGEIFS(
     INDEX((unit_details[Effective Rent],unit_details[Effective PSF]),0,1,IF($U$3="Chunk Rent",1,2)),
     unit_details[Leased Date],"&gt;="&amp;($AM$2-T$5),
     unit_details[Leased Date],"&lt;"&amp;$AM$2,
     unit_details[Beds],$L703,
     unit_details[Baths],$M703,
     unit_details[Partial Baths],IF(ISNUMBER($N703),$N703,""),
     unit_details[Sqft],$P703,
     unit_details[Property Name],$F703)
 ),"")</f>
        <v/>
      </c>
      <c r="V703" s="27" t="str">
        <f t="shared" si="120"/>
        <v/>
      </c>
      <c r="W703" s="526">
        <f>IFERROR(
  IF($F703="Total",
    SUM(INDEX(W:W, ROW()-COUNTIF($F$6:INDEX($F:$F, ROW()-1), $F702)) : INDEX(W:W, ROW()-1)),
    COUNTIFS(
      unit_details[Leased Date], "&gt;="&amp;($AM$2-T$5),
      unit_details[Leased Date], "&lt;"&amp;$AM$2,
      unit_details[Beds], $L703,
      unit_details[Baths], $M703,
      unit_details[Partial Baths], IF(ISNUMBER($N703), $N703, ""),
      unit_details[Sqft],$P703,
      unit_details[Property Name], $F703
    )
  ),
"")</f>
        <v>0</v>
      </c>
      <c r="X703" s="531" t="str">
        <f>IFERROR(
 IF($F703="Total",
   SUMPRODUCT(
   INDEX(X:X, ROW()-COUNTIF($F$6:INDEX($F:$F, ROW()-1), $F702)) : INDEX(X:X, ROW()-1),
   INDEX(AA:AA, ROW()-COUNTIF($F$6:INDEX($F:$F, ROW()-1), $F702)) : INDEX(AA:AA, ROW()-1)
   )
   /SUM(INDEX(AA:AA, ROW()-COUNTIF($F$6:INDEX($F:$F, ROW()-1), $F702)) : INDEX(AA:AA, ROW()-1)),
   AVERAGEIFS(
     INDEX((unit_details[Asking Rent],unit_details[Asking PSF]),0,1,IF($U$3="Chunk Rent",1,2)),
     unit_details[Leased Date],"&gt;="&amp;($AM$2-X$5),
     unit_details[Leased Date],"&lt;"&amp;$AM$2,
     unit_details[Beds],$L703,
     unit_details[Baths],$M703,
     unit_details[Partial Baths],IF(ISNUMBER($N703),$N703,""),
     unit_details[Sqft],$P703,
     unit_details[Property Name],$F703)
 ),"")</f>
        <v/>
      </c>
      <c r="Y703" s="552" t="str">
        <f>IFERROR(
 IF($F703="Total",
   SUMPRODUCT(
   INDEX(Y:Y, ROW()-COUNTIF($F$6:INDEX($F:$F, ROW()-1), $F702)) : INDEX(Y:Y, ROW()-1),
   INDEX(AA:AA, ROW()-COUNTIF($F$6:INDEX($F:$F, ROW()-1), $F702)) : INDEX(AA:AA, ROW()-1)
   )
   /SUM(INDEX(AA:AA, ROW()-COUNTIF($F$6:INDEX($F:$F, ROW()-1), $F702)) : INDEX(AA:AA, ROW()-1)),
   AVERAGEIFS(
     INDEX((unit_details[Effective Rent],unit_details[Effective PSF]),0,1,IF($U$3="Chunk Rent",1,2)),
     unit_details[Leased Date],"&gt;="&amp;($AM$2-X$5),
     unit_details[Leased Date],"&lt;"&amp;$AM$2,
     unit_details[Beds],$L703,
     unit_details[Baths],$M703,
     unit_details[Partial Baths],IF(ISNUMBER($N703),$N703,""),
     unit_details[Sqft],$P703,
     unit_details[Property Name],$F703)
 ),"")</f>
        <v/>
      </c>
      <c r="Z703" s="27" t="str">
        <f t="shared" si="121"/>
        <v/>
      </c>
      <c r="AA703" s="526">
        <f>IFERROR(
  IF($F703="Total",
    SUM(INDEX(AA:AA, ROW()-COUNTIF($F$6:INDEX($F:$F, ROW()-1), $F702)) : INDEX(AA:AA, ROW()-1)),
    COUNTIFS(
      unit_details[Leased Date], "&gt;="&amp;($AM$2-X$5),
      unit_details[Leased Date], "&lt;"&amp;$AM$2,
      unit_details[Beds], $L703,
      unit_details[Baths], $M703,
      unit_details[Partial Baths], IF(ISNUMBER($N703), $N703, ""),
      unit_details[Sqft],$P703,
      unit_details[Property Name], $F703
    )
  ),
"")</f>
        <v>0</v>
      </c>
      <c r="AB703" s="290">
        <f>IF($F703="Total",
SUM(INDEX(AB:AB, ROW()-COUNTIF($F$6:INDEX($F:$F, ROW()-1), $F702)) : INDEX(AB:AB, ROW()-1)),
COUNTIFS(unit_details[Active Listing?],TRUE,
          unit_details[Property Name], $F703,
          unit_details[Beds], $L703,
          unit_details[Baths], $M703,
          unit_details[Partial Baths],IF(ISNUMBER($N703),$N703,""),
          unit_details[Sqft],$P703))</f>
        <v>0</v>
      </c>
      <c r="AC703" s="27" t="str">
        <f t="shared" si="113"/>
        <v/>
      </c>
      <c r="AD703" s="293" t="str">
        <f>IFERROR(IF(AE703="","",IF($F703="Total",
SUMPRODUCT(
   INDEX(AD:AD, ROW()-COUNTIF($F$6:INDEX($F:$F, ROW()-1), $F702)) : INDEX(AD:AD, ROW()-1),
   INDEX(AB:AB, ROW()-COUNTIF($F$6:INDEX($F:$F, ROW()-1), $F702)) : INDEX(AB:AB, ROW()-1)
   )
   /SUM(INDEX(AB:AB, ROW()-COUNTIF($F$6:INDEX($F:$F, ROW()-1), $F702)) : INDEX(AB:AB, ROW()-1)),
          _xlfn.MINIFS(unit_details[Asking Rent],
          unit_details[Active Listing?],TRUE,
          unit_details[Property Name], $F703,
          unit_details[Beds], $L703,
          unit_details[Baths], $M703,
          unit_details[Partial Baths], IF(ISNUMBER($N703),$N703,""),
          unit_details[Sqft],$P703
))),"")</f>
        <v/>
      </c>
      <c r="AE703" s="5" t="str">
        <f>IFERROR(IF($F703="Total",
          SUMPRODUCT(
   INDEX(AE:AE, ROW()-COUNTIF($F$6:INDEX($F:$F, ROW()-1), $F702)) : INDEX(AE:AE, ROW()-1),
   INDEX(AB:AB, ROW()-COUNTIF($F$6:INDEX($F:$F, ROW()-1), $F702)) : INDEX(AB:AB, ROW()-1)
   )
   /SUM(INDEX(AB:AB, ROW()-COUNTIF($F$6:INDEX($F:$F, ROW()-1), $F702)) : INDEX(AB:AB, ROW()-1)),
          AVERAGEIFS(unit_details[Asking Rent],
          unit_details[Active Listing?],TRUE,
          unit_details[Property Name], $F703,
          unit_details[Beds], $L703,
          unit_details[Baths], $M703,
          unit_details[Partial Baths], IF(ISNUMBER($N703),$N703,""),
          unit_details[Sqft],$P703
)),"")</f>
        <v/>
      </c>
      <c r="AF703" s="5" t="str">
        <f>IFERROR(IF(AE703="","",IF($F703="Total",
SUMPRODUCT(
   INDEX(AF:AF, ROW()-COUNTIF($F$6:INDEX($F:$F, ROW()-1), $F702)) : INDEX(AF:AF, ROW()-1),
   INDEX(AB:AB, ROW()-COUNTIF($F$6:INDEX($F:$F, ROW()-1), $F702)) : INDEX(AB:AB, ROW()-1)
   )
   /SUM(INDEX(AB:AB, ROW()-COUNTIF($F$6:INDEX($F:$F, ROW()-1), $F702)) : INDEX(AB:AB, ROW()-1)),
           _xlfn.MAXIFS(unit_details[Asking Rent],
          unit_details[Active Listing?],TRUE,
          unit_details[Property Name], $F703,
          unit_details[Beds], $L703,
          unit_details[Baths], $M703,
          unit_details[Partial Baths], IF(ISNUMBER($N703),$N703,""),
          unit_details[Sqft],$P703
))),"")</f>
        <v/>
      </c>
      <c r="AG703" s="6" t="str">
        <f>IFERROR(IF($F703="Total",
         SUMPRODUCT(
         INDEX(AG:AG, ROW()-COUNTIF($F$6:INDEX($F:$F, ROW()-1), $F702)) : INDEX(AG:AG, ROW()-1),
         INDEX(AB:AB, ROW()-COUNTIF($F$6:INDEX($F:$F, ROW()-1), $F702)) : INDEX(AB:AB, ROW()-1)
         )
         /SUM(INDEX(AB:AB, ROW()-COUNTIF($F$6:INDEX($F:$F, ROW()-1), $F702)) : INDEX(AB:AB, ROW()-1)),
          AVERAGEIFS(unit_details[Asking PSF],
          unit_details[Active Listing?],TRUE,
          unit_details[Property Name], $F703,
          unit_details[Beds], $L703,
          unit_details[Baths], $M703,
          unit_details[Partial Baths], IF(ISNUMBER($N703),$N703,""),
          unit_details[Sqft],$P703
)),"")</f>
        <v/>
      </c>
      <c r="AH703" s="293" t="str">
        <f>IFERROR(IF($F703="Total",
         SUMPRODUCT(
         INDEX(AH:AH, ROW()-COUNTIF($F$6:INDEX($F:$F, ROW()-1), $F702)) : INDEX(AH:AH, ROW()-1),
         INDEX(AB:AB, ROW()-COUNTIF($F$6:INDEX($F:$F, ROW()-1), $F702)) : INDEX(AB:AB, ROW()-1)
         )
         /SUM(INDEX(AB:AB, ROW()-COUNTIF($F$6:INDEX($F:$F, ROW()-1), $F702)) : INDEX(AB:AB, ROW()-1)),
          AVERAGEIFS(unit_details[Effective Rent],
          unit_details[Active Listing?],TRUE,
          unit_details[Property Name], $F703,
          unit_details[Beds], $L703,
          unit_details[Baths], $M703,
          unit_details[Partial Baths], IF(ISNUMBER($N703),$N703,""),
          unit_details[Sqft],$P703
)),"")</f>
        <v/>
      </c>
      <c r="AI703" s="6" t="str">
        <f>IFERROR(IF($F703="Total",
         SUMPRODUCT(
         INDEX(AI:AI, ROW()-COUNTIF($F$6:INDEX($F:$F, ROW()-1), $F702)) : INDEX(AI:AI, ROW()-1),
         INDEX(AB:AB, ROW()-COUNTIF($F$6:INDEX($F:$F, ROW()-1), $F702)) : INDEX(AB:AB, ROW()-1)
         )
         /SUM(INDEX(AB:AB, ROW()-COUNTIF($F$6:INDEX($F:$F, ROW()-1), $F702)) : INDEX(AB:AB, ROW()-1)),
           AVERAGEIFS(unit_details[Effective PSF],
          unit_details[Active Listing?],TRUE,
          unit_details[Property Name], $F703,
          unit_details[Beds], $L703,
          unit_details[Baths], $M703,
          unit_details[Partial Baths], IF(ISNUMBER($N703),$N703,""),
          unit_details[Sqft],$P703
)),"")</f>
        <v/>
      </c>
      <c r="AJ703" s="824" t="str">
        <f t="shared" si="114"/>
        <v/>
      </c>
      <c r="AK703" s="531" t="str">
        <f t="shared" si="115"/>
        <v/>
      </c>
      <c r="AL703" s="714" t="str">
        <f t="shared" si="116"/>
        <v/>
      </c>
      <c r="AM703" s="531" t="str">
        <f t="shared" si="117"/>
        <v/>
      </c>
      <c r="AN703" s="716" t="str">
        <f t="shared" si="118"/>
        <v/>
      </c>
    </row>
    <row r="704" spans="6:40" x14ac:dyDescent="0.2">
      <c r="F704" s="1" t="str">
        <f t="shared" si="111"/>
        <v/>
      </c>
      <c r="G704" s="713" t="str">
        <f t="shared" si="119"/>
        <v/>
      </c>
      <c r="H704" s="17" t="str">
        <f>IFERROR(VLOOKUP($G704,Table1[[Property]:[Exposure %]],4,0),"")</f>
        <v/>
      </c>
      <c r="I704" s="3" t="str">
        <f>IFERROR(VLOOKUP($G704,Table1[[Property]:[Exposure %]],6,0),"")</f>
        <v/>
      </c>
      <c r="J704" s="3" t="str">
        <f>IFERROR(VLOOKUP($G704,Table1[[Property]:[Exposure %]],7,0),"")</f>
        <v/>
      </c>
      <c r="R704" s="4" t="str">
        <f>IFERROR(VLOOKUP(IF(F704="Total",F703,F704),Table1[[Property]:['# Units]],7,0)*S704,"")</f>
        <v/>
      </c>
      <c r="S704" s="27" t="str">
        <f t="shared" si="112"/>
        <v/>
      </c>
      <c r="T704" s="531" t="str">
        <f>IFERROR(
 IF($F704="Total",
   SUMPRODUCT(
   INDEX(T:T, ROW()-COUNTIF($F$6:INDEX($F:$F, ROW()-1), $F703)) : INDEX(T:T, ROW()-1),
   INDEX(W:W, ROW()-COUNTIF($F$6:INDEX($F:$F, ROW()-1), $F703)) : INDEX(W:W, ROW()-1)
   )
   /SUM(INDEX(W:W, ROW()-COUNTIF($F$6:INDEX($F:$F, ROW()-1), $F703)) : INDEX(W:W, ROW()-1)),
   AVERAGEIFS(
     INDEX((unit_details[Asking Rent],unit_details[Asking PSF]),0,1,IF($U$3="Chunk Rent",1,2)),
     unit_details[Leased Date],"&gt;="&amp;($AM$2-T$5),
     unit_details[Leased Date],"&lt;"&amp;$AM$2,
     unit_details[Beds],$L704,
     unit_details[Baths],$M704,
     unit_details[Partial Baths],IF(ISNUMBER($N704),$N704,""),
     unit_details[Sqft],$P704,
     unit_details[Property Name],$F704)
 ),"")</f>
        <v/>
      </c>
      <c r="U704" s="552" t="str">
        <f>IFERROR(
 IF($F704="Total",
   SUMPRODUCT(
   INDEX(U:U, ROW()-COUNTIF($F$6:INDEX($F:$F, ROW()-1), $F703)) : INDEX(U:U, ROW()-1),
   INDEX(W:W, ROW()-COUNTIF($F$6:INDEX($F:$F, ROW()-1), $F703)) : INDEX(W:W, ROW()-1)
   )
   /SUM(INDEX(W:W, ROW()-COUNTIF($F$6:INDEX($F:$F, ROW()-1), $F703)) : INDEX(W:W, ROW()-1)),
   AVERAGEIFS(
     INDEX((unit_details[Effective Rent],unit_details[Effective PSF]),0,1,IF($U$3="Chunk Rent",1,2)),
     unit_details[Leased Date],"&gt;="&amp;($AM$2-T$5),
     unit_details[Leased Date],"&lt;"&amp;$AM$2,
     unit_details[Beds],$L704,
     unit_details[Baths],$M704,
     unit_details[Partial Baths],IF(ISNUMBER($N704),$N704,""),
     unit_details[Sqft],$P704,
     unit_details[Property Name],$F704)
 ),"")</f>
        <v/>
      </c>
      <c r="V704" s="27" t="str">
        <f t="shared" si="120"/>
        <v/>
      </c>
      <c r="W704" s="526">
        <f>IFERROR(
  IF($F704="Total",
    SUM(INDEX(W:W, ROW()-COUNTIF($F$6:INDEX($F:$F, ROW()-1), $F703)) : INDEX(W:W, ROW()-1)),
    COUNTIFS(
      unit_details[Leased Date], "&gt;="&amp;($AM$2-T$5),
      unit_details[Leased Date], "&lt;"&amp;$AM$2,
      unit_details[Beds], $L704,
      unit_details[Baths], $M704,
      unit_details[Partial Baths], IF(ISNUMBER($N704), $N704, ""),
      unit_details[Sqft],$P704,
      unit_details[Property Name], $F704
    )
  ),
"")</f>
        <v>0</v>
      </c>
      <c r="X704" s="531" t="str">
        <f>IFERROR(
 IF($F704="Total",
   SUMPRODUCT(
   INDEX(X:X, ROW()-COUNTIF($F$6:INDEX($F:$F, ROW()-1), $F703)) : INDEX(X:X, ROW()-1),
   INDEX(AA:AA, ROW()-COUNTIF($F$6:INDEX($F:$F, ROW()-1), $F703)) : INDEX(AA:AA, ROW()-1)
   )
   /SUM(INDEX(AA:AA, ROW()-COUNTIF($F$6:INDEX($F:$F, ROW()-1), $F703)) : INDEX(AA:AA, ROW()-1)),
   AVERAGEIFS(
     INDEX((unit_details[Asking Rent],unit_details[Asking PSF]),0,1,IF($U$3="Chunk Rent",1,2)),
     unit_details[Leased Date],"&gt;="&amp;($AM$2-X$5),
     unit_details[Leased Date],"&lt;"&amp;$AM$2,
     unit_details[Beds],$L704,
     unit_details[Baths],$M704,
     unit_details[Partial Baths],IF(ISNUMBER($N704),$N704,""),
     unit_details[Sqft],$P704,
     unit_details[Property Name],$F704)
 ),"")</f>
        <v/>
      </c>
      <c r="Y704" s="552" t="str">
        <f>IFERROR(
 IF($F704="Total",
   SUMPRODUCT(
   INDEX(Y:Y, ROW()-COUNTIF($F$6:INDEX($F:$F, ROW()-1), $F703)) : INDEX(Y:Y, ROW()-1),
   INDEX(AA:AA, ROW()-COUNTIF($F$6:INDEX($F:$F, ROW()-1), $F703)) : INDEX(AA:AA, ROW()-1)
   )
   /SUM(INDEX(AA:AA, ROW()-COUNTIF($F$6:INDEX($F:$F, ROW()-1), $F703)) : INDEX(AA:AA, ROW()-1)),
   AVERAGEIFS(
     INDEX((unit_details[Effective Rent],unit_details[Effective PSF]),0,1,IF($U$3="Chunk Rent",1,2)),
     unit_details[Leased Date],"&gt;="&amp;($AM$2-X$5),
     unit_details[Leased Date],"&lt;"&amp;$AM$2,
     unit_details[Beds],$L704,
     unit_details[Baths],$M704,
     unit_details[Partial Baths],IF(ISNUMBER($N704),$N704,""),
     unit_details[Sqft],$P704,
     unit_details[Property Name],$F704)
 ),"")</f>
        <v/>
      </c>
      <c r="Z704" s="27" t="str">
        <f t="shared" si="121"/>
        <v/>
      </c>
      <c r="AA704" s="526">
        <f>IFERROR(
  IF($F704="Total",
    SUM(INDEX(AA:AA, ROW()-COUNTIF($F$6:INDEX($F:$F, ROW()-1), $F703)) : INDEX(AA:AA, ROW()-1)),
    COUNTIFS(
      unit_details[Leased Date], "&gt;="&amp;($AM$2-X$5),
      unit_details[Leased Date], "&lt;"&amp;$AM$2,
      unit_details[Beds], $L704,
      unit_details[Baths], $M704,
      unit_details[Partial Baths], IF(ISNUMBER($N704), $N704, ""),
      unit_details[Sqft],$P704,
      unit_details[Property Name], $F704
    )
  ),
"")</f>
        <v>0</v>
      </c>
      <c r="AB704" s="290">
        <f>IF($F704="Total",
SUM(INDEX(AB:AB, ROW()-COUNTIF($F$6:INDEX($F:$F, ROW()-1), $F703)) : INDEX(AB:AB, ROW()-1)),
COUNTIFS(unit_details[Active Listing?],TRUE,
          unit_details[Property Name], $F704,
          unit_details[Beds], $L704,
          unit_details[Baths], $M704,
          unit_details[Partial Baths],IF(ISNUMBER($N704),$N704,""),
          unit_details[Sqft],$P704))</f>
        <v>0</v>
      </c>
      <c r="AC704" s="27" t="str">
        <f t="shared" si="113"/>
        <v/>
      </c>
      <c r="AD704" s="293" t="str">
        <f>IFERROR(IF(AE704="","",IF($F704="Total",
SUMPRODUCT(
   INDEX(AD:AD, ROW()-COUNTIF($F$6:INDEX($F:$F, ROW()-1), $F703)) : INDEX(AD:AD, ROW()-1),
   INDEX(AB:AB, ROW()-COUNTIF($F$6:INDEX($F:$F, ROW()-1), $F703)) : INDEX(AB:AB, ROW()-1)
   )
   /SUM(INDEX(AB:AB, ROW()-COUNTIF($F$6:INDEX($F:$F, ROW()-1), $F703)) : INDEX(AB:AB, ROW()-1)),
          _xlfn.MINIFS(unit_details[Asking Rent],
          unit_details[Active Listing?],TRUE,
          unit_details[Property Name], $F704,
          unit_details[Beds], $L704,
          unit_details[Baths], $M704,
          unit_details[Partial Baths], IF(ISNUMBER($N704),$N704,""),
          unit_details[Sqft],$P704
))),"")</f>
        <v/>
      </c>
      <c r="AE704" s="5" t="str">
        <f>IFERROR(IF($F704="Total",
          SUMPRODUCT(
   INDEX(AE:AE, ROW()-COUNTIF($F$6:INDEX($F:$F, ROW()-1), $F703)) : INDEX(AE:AE, ROW()-1),
   INDEX(AB:AB, ROW()-COUNTIF($F$6:INDEX($F:$F, ROW()-1), $F703)) : INDEX(AB:AB, ROW()-1)
   )
   /SUM(INDEX(AB:AB, ROW()-COUNTIF($F$6:INDEX($F:$F, ROW()-1), $F703)) : INDEX(AB:AB, ROW()-1)),
          AVERAGEIFS(unit_details[Asking Rent],
          unit_details[Active Listing?],TRUE,
          unit_details[Property Name], $F704,
          unit_details[Beds], $L704,
          unit_details[Baths], $M704,
          unit_details[Partial Baths], IF(ISNUMBER($N704),$N704,""),
          unit_details[Sqft],$P704
)),"")</f>
        <v/>
      </c>
      <c r="AF704" s="5" t="str">
        <f>IFERROR(IF(AE704="","",IF($F704="Total",
SUMPRODUCT(
   INDEX(AF:AF, ROW()-COUNTIF($F$6:INDEX($F:$F, ROW()-1), $F703)) : INDEX(AF:AF, ROW()-1),
   INDEX(AB:AB, ROW()-COUNTIF($F$6:INDEX($F:$F, ROW()-1), $F703)) : INDEX(AB:AB, ROW()-1)
   )
   /SUM(INDEX(AB:AB, ROW()-COUNTIF($F$6:INDEX($F:$F, ROW()-1), $F703)) : INDEX(AB:AB, ROW()-1)),
           _xlfn.MAXIFS(unit_details[Asking Rent],
          unit_details[Active Listing?],TRUE,
          unit_details[Property Name], $F704,
          unit_details[Beds], $L704,
          unit_details[Baths], $M704,
          unit_details[Partial Baths], IF(ISNUMBER($N704),$N704,""),
          unit_details[Sqft],$P704
))),"")</f>
        <v/>
      </c>
      <c r="AG704" s="6" t="str">
        <f>IFERROR(IF($F704="Total",
         SUMPRODUCT(
         INDEX(AG:AG, ROW()-COUNTIF($F$6:INDEX($F:$F, ROW()-1), $F703)) : INDEX(AG:AG, ROW()-1),
         INDEX(AB:AB, ROW()-COUNTIF($F$6:INDEX($F:$F, ROW()-1), $F703)) : INDEX(AB:AB, ROW()-1)
         )
         /SUM(INDEX(AB:AB, ROW()-COUNTIF($F$6:INDEX($F:$F, ROW()-1), $F703)) : INDEX(AB:AB, ROW()-1)),
          AVERAGEIFS(unit_details[Asking PSF],
          unit_details[Active Listing?],TRUE,
          unit_details[Property Name], $F704,
          unit_details[Beds], $L704,
          unit_details[Baths], $M704,
          unit_details[Partial Baths], IF(ISNUMBER($N704),$N704,""),
          unit_details[Sqft],$P704
)),"")</f>
        <v/>
      </c>
      <c r="AH704" s="293" t="str">
        <f>IFERROR(IF($F704="Total",
         SUMPRODUCT(
         INDEX(AH:AH, ROW()-COUNTIF($F$6:INDEX($F:$F, ROW()-1), $F703)) : INDEX(AH:AH, ROW()-1),
         INDEX(AB:AB, ROW()-COUNTIF($F$6:INDEX($F:$F, ROW()-1), $F703)) : INDEX(AB:AB, ROW()-1)
         )
         /SUM(INDEX(AB:AB, ROW()-COUNTIF($F$6:INDEX($F:$F, ROW()-1), $F703)) : INDEX(AB:AB, ROW()-1)),
          AVERAGEIFS(unit_details[Effective Rent],
          unit_details[Active Listing?],TRUE,
          unit_details[Property Name], $F704,
          unit_details[Beds], $L704,
          unit_details[Baths], $M704,
          unit_details[Partial Baths], IF(ISNUMBER($N704),$N704,""),
          unit_details[Sqft],$P704
)),"")</f>
        <v/>
      </c>
      <c r="AI704" s="6" t="str">
        <f>IFERROR(IF($F704="Total",
         SUMPRODUCT(
         INDEX(AI:AI, ROW()-COUNTIF($F$6:INDEX($F:$F, ROW()-1), $F703)) : INDEX(AI:AI, ROW()-1),
         INDEX(AB:AB, ROW()-COUNTIF($F$6:INDEX($F:$F, ROW()-1), $F703)) : INDEX(AB:AB, ROW()-1)
         )
         /SUM(INDEX(AB:AB, ROW()-COUNTIF($F$6:INDEX($F:$F, ROW()-1), $F703)) : INDEX(AB:AB, ROW()-1)),
           AVERAGEIFS(unit_details[Effective PSF],
          unit_details[Active Listing?],TRUE,
          unit_details[Property Name], $F704,
          unit_details[Beds], $L704,
          unit_details[Baths], $M704,
          unit_details[Partial Baths], IF(ISNUMBER($N704),$N704,""),
          unit_details[Sqft],$P704
)),"")</f>
        <v/>
      </c>
      <c r="AJ704" s="824" t="str">
        <f t="shared" si="114"/>
        <v/>
      </c>
      <c r="AK704" s="531" t="str">
        <f t="shared" si="115"/>
        <v/>
      </c>
      <c r="AL704" s="714" t="str">
        <f t="shared" si="116"/>
        <v/>
      </c>
      <c r="AM704" s="531" t="str">
        <f t="shared" si="117"/>
        <v/>
      </c>
      <c r="AN704" s="716" t="str">
        <f t="shared" si="118"/>
        <v/>
      </c>
    </row>
    <row r="705" spans="6:40" x14ac:dyDescent="0.2">
      <c r="F705" s="1" t="str">
        <f t="shared" si="111"/>
        <v/>
      </c>
      <c r="G705" s="713" t="str">
        <f t="shared" si="119"/>
        <v/>
      </c>
      <c r="H705" s="17" t="str">
        <f>IFERROR(VLOOKUP($G705,Table1[[Property]:[Exposure %]],4,0),"")</f>
        <v/>
      </c>
      <c r="I705" s="3" t="str">
        <f>IFERROR(VLOOKUP($G705,Table1[[Property]:[Exposure %]],6,0),"")</f>
        <v/>
      </c>
      <c r="J705" s="3" t="str">
        <f>IFERROR(VLOOKUP($G705,Table1[[Property]:[Exposure %]],7,0),"")</f>
        <v/>
      </c>
      <c r="R705" s="4" t="str">
        <f>IFERROR(VLOOKUP(IF(F705="Total",F704,F705),Table1[[Property]:['# Units]],7,0)*S705,"")</f>
        <v/>
      </c>
      <c r="S705" s="27" t="str">
        <f t="shared" si="112"/>
        <v/>
      </c>
      <c r="T705" s="531" t="str">
        <f>IFERROR(
 IF($F705="Total",
   SUMPRODUCT(
   INDEX(T:T, ROW()-COUNTIF($F$6:INDEX($F:$F, ROW()-1), $F704)) : INDEX(T:T, ROW()-1),
   INDEX(W:W, ROW()-COUNTIF($F$6:INDEX($F:$F, ROW()-1), $F704)) : INDEX(W:W, ROW()-1)
   )
   /SUM(INDEX(W:W, ROW()-COUNTIF($F$6:INDEX($F:$F, ROW()-1), $F704)) : INDEX(W:W, ROW()-1)),
   AVERAGEIFS(
     INDEX((unit_details[Asking Rent],unit_details[Asking PSF]),0,1,IF($U$3="Chunk Rent",1,2)),
     unit_details[Leased Date],"&gt;="&amp;($AM$2-T$5),
     unit_details[Leased Date],"&lt;"&amp;$AM$2,
     unit_details[Beds],$L705,
     unit_details[Baths],$M705,
     unit_details[Partial Baths],IF(ISNUMBER($N705),$N705,""),
     unit_details[Sqft],$P705,
     unit_details[Property Name],$F705)
 ),"")</f>
        <v/>
      </c>
      <c r="U705" s="552" t="str">
        <f>IFERROR(
 IF($F705="Total",
   SUMPRODUCT(
   INDEX(U:U, ROW()-COUNTIF($F$6:INDEX($F:$F, ROW()-1), $F704)) : INDEX(U:U, ROW()-1),
   INDEX(W:W, ROW()-COUNTIF($F$6:INDEX($F:$F, ROW()-1), $F704)) : INDEX(W:W, ROW()-1)
   )
   /SUM(INDEX(W:W, ROW()-COUNTIF($F$6:INDEX($F:$F, ROW()-1), $F704)) : INDEX(W:W, ROW()-1)),
   AVERAGEIFS(
     INDEX((unit_details[Effective Rent],unit_details[Effective PSF]),0,1,IF($U$3="Chunk Rent",1,2)),
     unit_details[Leased Date],"&gt;="&amp;($AM$2-T$5),
     unit_details[Leased Date],"&lt;"&amp;$AM$2,
     unit_details[Beds],$L705,
     unit_details[Baths],$M705,
     unit_details[Partial Baths],IF(ISNUMBER($N705),$N705,""),
     unit_details[Sqft],$P705,
     unit_details[Property Name],$F705)
 ),"")</f>
        <v/>
      </c>
      <c r="V705" s="27" t="str">
        <f t="shared" si="120"/>
        <v/>
      </c>
      <c r="W705" s="526">
        <f>IFERROR(
  IF($F705="Total",
    SUM(INDEX(W:W, ROW()-COUNTIF($F$6:INDEX($F:$F, ROW()-1), $F704)) : INDEX(W:W, ROW()-1)),
    COUNTIFS(
      unit_details[Leased Date], "&gt;="&amp;($AM$2-T$5),
      unit_details[Leased Date], "&lt;"&amp;$AM$2,
      unit_details[Beds], $L705,
      unit_details[Baths], $M705,
      unit_details[Partial Baths], IF(ISNUMBER($N705), $N705, ""),
      unit_details[Sqft],$P705,
      unit_details[Property Name], $F705
    )
  ),
"")</f>
        <v>0</v>
      </c>
      <c r="X705" s="531" t="str">
        <f>IFERROR(
 IF($F705="Total",
   SUMPRODUCT(
   INDEX(X:X, ROW()-COUNTIF($F$6:INDEX($F:$F, ROW()-1), $F704)) : INDEX(X:X, ROW()-1),
   INDEX(AA:AA, ROW()-COUNTIF($F$6:INDEX($F:$F, ROW()-1), $F704)) : INDEX(AA:AA, ROW()-1)
   )
   /SUM(INDEX(AA:AA, ROW()-COUNTIF($F$6:INDEX($F:$F, ROW()-1), $F704)) : INDEX(AA:AA, ROW()-1)),
   AVERAGEIFS(
     INDEX((unit_details[Asking Rent],unit_details[Asking PSF]),0,1,IF($U$3="Chunk Rent",1,2)),
     unit_details[Leased Date],"&gt;="&amp;($AM$2-X$5),
     unit_details[Leased Date],"&lt;"&amp;$AM$2,
     unit_details[Beds],$L705,
     unit_details[Baths],$M705,
     unit_details[Partial Baths],IF(ISNUMBER($N705),$N705,""),
     unit_details[Sqft],$P705,
     unit_details[Property Name],$F705)
 ),"")</f>
        <v/>
      </c>
      <c r="Y705" s="552" t="str">
        <f>IFERROR(
 IF($F705="Total",
   SUMPRODUCT(
   INDEX(Y:Y, ROW()-COUNTIF($F$6:INDEX($F:$F, ROW()-1), $F704)) : INDEX(Y:Y, ROW()-1),
   INDEX(AA:AA, ROW()-COUNTIF($F$6:INDEX($F:$F, ROW()-1), $F704)) : INDEX(AA:AA, ROW()-1)
   )
   /SUM(INDEX(AA:AA, ROW()-COUNTIF($F$6:INDEX($F:$F, ROW()-1), $F704)) : INDEX(AA:AA, ROW()-1)),
   AVERAGEIFS(
     INDEX((unit_details[Effective Rent],unit_details[Effective PSF]),0,1,IF($U$3="Chunk Rent",1,2)),
     unit_details[Leased Date],"&gt;="&amp;($AM$2-X$5),
     unit_details[Leased Date],"&lt;"&amp;$AM$2,
     unit_details[Beds],$L705,
     unit_details[Baths],$M705,
     unit_details[Partial Baths],IF(ISNUMBER($N705),$N705,""),
     unit_details[Sqft],$P705,
     unit_details[Property Name],$F705)
 ),"")</f>
        <v/>
      </c>
      <c r="Z705" s="27" t="str">
        <f t="shared" si="121"/>
        <v/>
      </c>
      <c r="AA705" s="526">
        <f>IFERROR(
  IF($F705="Total",
    SUM(INDEX(AA:AA, ROW()-COUNTIF($F$6:INDEX($F:$F, ROW()-1), $F704)) : INDEX(AA:AA, ROW()-1)),
    COUNTIFS(
      unit_details[Leased Date], "&gt;="&amp;($AM$2-X$5),
      unit_details[Leased Date], "&lt;"&amp;$AM$2,
      unit_details[Beds], $L705,
      unit_details[Baths], $M705,
      unit_details[Partial Baths], IF(ISNUMBER($N705), $N705, ""),
      unit_details[Sqft],$P705,
      unit_details[Property Name], $F705
    )
  ),
"")</f>
        <v>0</v>
      </c>
      <c r="AB705" s="290">
        <f>IF($F705="Total",
SUM(INDEX(AB:AB, ROW()-COUNTIF($F$6:INDEX($F:$F, ROW()-1), $F704)) : INDEX(AB:AB, ROW()-1)),
COUNTIFS(unit_details[Active Listing?],TRUE,
          unit_details[Property Name], $F705,
          unit_details[Beds], $L705,
          unit_details[Baths], $M705,
          unit_details[Partial Baths],IF(ISNUMBER($N705),$N705,""),
          unit_details[Sqft],$P705))</f>
        <v>0</v>
      </c>
      <c r="AC705" s="27" t="str">
        <f t="shared" si="113"/>
        <v/>
      </c>
      <c r="AD705" s="293" t="str">
        <f>IFERROR(IF(AE705="","",IF($F705="Total",
SUMPRODUCT(
   INDEX(AD:AD, ROW()-COUNTIF($F$6:INDEX($F:$F, ROW()-1), $F704)) : INDEX(AD:AD, ROW()-1),
   INDEX(AB:AB, ROW()-COUNTIF($F$6:INDEX($F:$F, ROW()-1), $F704)) : INDEX(AB:AB, ROW()-1)
   )
   /SUM(INDEX(AB:AB, ROW()-COUNTIF($F$6:INDEX($F:$F, ROW()-1), $F704)) : INDEX(AB:AB, ROW()-1)),
          _xlfn.MINIFS(unit_details[Asking Rent],
          unit_details[Active Listing?],TRUE,
          unit_details[Property Name], $F705,
          unit_details[Beds], $L705,
          unit_details[Baths], $M705,
          unit_details[Partial Baths], IF(ISNUMBER($N705),$N705,""),
          unit_details[Sqft],$P705
))),"")</f>
        <v/>
      </c>
      <c r="AE705" s="5" t="str">
        <f>IFERROR(IF($F705="Total",
          SUMPRODUCT(
   INDEX(AE:AE, ROW()-COUNTIF($F$6:INDEX($F:$F, ROW()-1), $F704)) : INDEX(AE:AE, ROW()-1),
   INDEX(AB:AB, ROW()-COUNTIF($F$6:INDEX($F:$F, ROW()-1), $F704)) : INDEX(AB:AB, ROW()-1)
   )
   /SUM(INDEX(AB:AB, ROW()-COUNTIF($F$6:INDEX($F:$F, ROW()-1), $F704)) : INDEX(AB:AB, ROW()-1)),
          AVERAGEIFS(unit_details[Asking Rent],
          unit_details[Active Listing?],TRUE,
          unit_details[Property Name], $F705,
          unit_details[Beds], $L705,
          unit_details[Baths], $M705,
          unit_details[Partial Baths], IF(ISNUMBER($N705),$N705,""),
          unit_details[Sqft],$P705
)),"")</f>
        <v/>
      </c>
      <c r="AF705" s="5" t="str">
        <f>IFERROR(IF(AE705="","",IF($F705="Total",
SUMPRODUCT(
   INDEX(AF:AF, ROW()-COUNTIF($F$6:INDEX($F:$F, ROW()-1), $F704)) : INDEX(AF:AF, ROW()-1),
   INDEX(AB:AB, ROW()-COUNTIF($F$6:INDEX($F:$F, ROW()-1), $F704)) : INDEX(AB:AB, ROW()-1)
   )
   /SUM(INDEX(AB:AB, ROW()-COUNTIF($F$6:INDEX($F:$F, ROW()-1), $F704)) : INDEX(AB:AB, ROW()-1)),
           _xlfn.MAXIFS(unit_details[Asking Rent],
          unit_details[Active Listing?],TRUE,
          unit_details[Property Name], $F705,
          unit_details[Beds], $L705,
          unit_details[Baths], $M705,
          unit_details[Partial Baths], IF(ISNUMBER($N705),$N705,""),
          unit_details[Sqft],$P705
))),"")</f>
        <v/>
      </c>
      <c r="AG705" s="6" t="str">
        <f>IFERROR(IF($F705="Total",
         SUMPRODUCT(
         INDEX(AG:AG, ROW()-COUNTIF($F$6:INDEX($F:$F, ROW()-1), $F704)) : INDEX(AG:AG, ROW()-1),
         INDEX(AB:AB, ROW()-COUNTIF($F$6:INDEX($F:$F, ROW()-1), $F704)) : INDEX(AB:AB, ROW()-1)
         )
         /SUM(INDEX(AB:AB, ROW()-COUNTIF($F$6:INDEX($F:$F, ROW()-1), $F704)) : INDEX(AB:AB, ROW()-1)),
          AVERAGEIFS(unit_details[Asking PSF],
          unit_details[Active Listing?],TRUE,
          unit_details[Property Name], $F705,
          unit_details[Beds], $L705,
          unit_details[Baths], $M705,
          unit_details[Partial Baths], IF(ISNUMBER($N705),$N705,""),
          unit_details[Sqft],$P705
)),"")</f>
        <v/>
      </c>
      <c r="AH705" s="293" t="str">
        <f>IFERROR(IF($F705="Total",
         SUMPRODUCT(
         INDEX(AH:AH, ROW()-COUNTIF($F$6:INDEX($F:$F, ROW()-1), $F704)) : INDEX(AH:AH, ROW()-1),
         INDEX(AB:AB, ROW()-COUNTIF($F$6:INDEX($F:$F, ROW()-1), $F704)) : INDEX(AB:AB, ROW()-1)
         )
         /SUM(INDEX(AB:AB, ROW()-COUNTIF($F$6:INDEX($F:$F, ROW()-1), $F704)) : INDEX(AB:AB, ROW()-1)),
          AVERAGEIFS(unit_details[Effective Rent],
          unit_details[Active Listing?],TRUE,
          unit_details[Property Name], $F705,
          unit_details[Beds], $L705,
          unit_details[Baths], $M705,
          unit_details[Partial Baths], IF(ISNUMBER($N705),$N705,""),
          unit_details[Sqft],$P705
)),"")</f>
        <v/>
      </c>
      <c r="AI705" s="6" t="str">
        <f>IFERROR(IF($F705="Total",
         SUMPRODUCT(
         INDEX(AI:AI, ROW()-COUNTIF($F$6:INDEX($F:$F, ROW()-1), $F704)) : INDEX(AI:AI, ROW()-1),
         INDEX(AB:AB, ROW()-COUNTIF($F$6:INDEX($F:$F, ROW()-1), $F704)) : INDEX(AB:AB, ROW()-1)
         )
         /SUM(INDEX(AB:AB, ROW()-COUNTIF($F$6:INDEX($F:$F, ROW()-1), $F704)) : INDEX(AB:AB, ROW()-1)),
           AVERAGEIFS(unit_details[Effective PSF],
          unit_details[Active Listing?],TRUE,
          unit_details[Property Name], $F705,
          unit_details[Beds], $L705,
          unit_details[Baths], $M705,
          unit_details[Partial Baths], IF(ISNUMBER($N705),$N705,""),
          unit_details[Sqft],$P705
)),"")</f>
        <v/>
      </c>
      <c r="AJ705" s="824" t="str">
        <f t="shared" si="114"/>
        <v/>
      </c>
      <c r="AK705" s="531" t="str">
        <f t="shared" si="115"/>
        <v/>
      </c>
      <c r="AL705" s="714" t="str">
        <f t="shared" si="116"/>
        <v/>
      </c>
      <c r="AM705" s="531" t="str">
        <f t="shared" si="117"/>
        <v/>
      </c>
      <c r="AN705" s="716" t="str">
        <f t="shared" si="118"/>
        <v/>
      </c>
    </row>
    <row r="706" spans="6:40" x14ac:dyDescent="0.2">
      <c r="F706" s="1" t="str">
        <f t="shared" si="111"/>
        <v/>
      </c>
      <c r="G706" s="713" t="str">
        <f t="shared" si="119"/>
        <v/>
      </c>
      <c r="H706" s="17" t="str">
        <f>IFERROR(VLOOKUP($G706,Table1[[Property]:[Exposure %]],4,0),"")</f>
        <v/>
      </c>
      <c r="I706" s="3" t="str">
        <f>IFERROR(VLOOKUP($G706,Table1[[Property]:[Exposure %]],6,0),"")</f>
        <v/>
      </c>
      <c r="J706" s="3" t="str">
        <f>IFERROR(VLOOKUP($G706,Table1[[Property]:[Exposure %]],7,0),"")</f>
        <v/>
      </c>
      <c r="R706" s="4" t="str">
        <f>IFERROR(VLOOKUP(IF(F706="Total",F705,F706),Table1[[Property]:['# Units]],7,0)*S706,"")</f>
        <v/>
      </c>
      <c r="S706" s="27" t="str">
        <f t="shared" si="112"/>
        <v/>
      </c>
      <c r="T706" s="531" t="str">
        <f>IFERROR(
 IF($F706="Total",
   SUMPRODUCT(
   INDEX(T:T, ROW()-COUNTIF($F$6:INDEX($F:$F, ROW()-1), $F705)) : INDEX(T:T, ROW()-1),
   INDEX(W:W, ROW()-COUNTIF($F$6:INDEX($F:$F, ROW()-1), $F705)) : INDEX(W:W, ROW()-1)
   )
   /SUM(INDEX(W:W, ROW()-COUNTIF($F$6:INDEX($F:$F, ROW()-1), $F705)) : INDEX(W:W, ROW()-1)),
   AVERAGEIFS(
     INDEX((unit_details[Asking Rent],unit_details[Asking PSF]),0,1,IF($U$3="Chunk Rent",1,2)),
     unit_details[Leased Date],"&gt;="&amp;($AM$2-T$5),
     unit_details[Leased Date],"&lt;"&amp;$AM$2,
     unit_details[Beds],$L706,
     unit_details[Baths],$M706,
     unit_details[Partial Baths],IF(ISNUMBER($N706),$N706,""),
     unit_details[Sqft],$P706,
     unit_details[Property Name],$F706)
 ),"")</f>
        <v/>
      </c>
      <c r="U706" s="552" t="str">
        <f>IFERROR(
 IF($F706="Total",
   SUMPRODUCT(
   INDEX(U:U, ROW()-COUNTIF($F$6:INDEX($F:$F, ROW()-1), $F705)) : INDEX(U:U, ROW()-1),
   INDEX(W:W, ROW()-COUNTIF($F$6:INDEX($F:$F, ROW()-1), $F705)) : INDEX(W:W, ROW()-1)
   )
   /SUM(INDEX(W:W, ROW()-COUNTIF($F$6:INDEX($F:$F, ROW()-1), $F705)) : INDEX(W:W, ROW()-1)),
   AVERAGEIFS(
     INDEX((unit_details[Effective Rent],unit_details[Effective PSF]),0,1,IF($U$3="Chunk Rent",1,2)),
     unit_details[Leased Date],"&gt;="&amp;($AM$2-T$5),
     unit_details[Leased Date],"&lt;"&amp;$AM$2,
     unit_details[Beds],$L706,
     unit_details[Baths],$M706,
     unit_details[Partial Baths],IF(ISNUMBER($N706),$N706,""),
     unit_details[Sqft],$P706,
     unit_details[Property Name],$F706)
 ),"")</f>
        <v/>
      </c>
      <c r="V706" s="27" t="str">
        <f t="shared" si="120"/>
        <v/>
      </c>
      <c r="W706" s="526">
        <f>IFERROR(
  IF($F706="Total",
    SUM(INDEX(W:W, ROW()-COUNTIF($F$6:INDEX($F:$F, ROW()-1), $F705)) : INDEX(W:W, ROW()-1)),
    COUNTIFS(
      unit_details[Leased Date], "&gt;="&amp;($AM$2-T$5),
      unit_details[Leased Date], "&lt;"&amp;$AM$2,
      unit_details[Beds], $L706,
      unit_details[Baths], $M706,
      unit_details[Partial Baths], IF(ISNUMBER($N706), $N706, ""),
      unit_details[Sqft],$P706,
      unit_details[Property Name], $F706
    )
  ),
"")</f>
        <v>0</v>
      </c>
      <c r="X706" s="531" t="str">
        <f>IFERROR(
 IF($F706="Total",
   SUMPRODUCT(
   INDEX(X:X, ROW()-COUNTIF($F$6:INDEX($F:$F, ROW()-1), $F705)) : INDEX(X:X, ROW()-1),
   INDEX(AA:AA, ROW()-COUNTIF($F$6:INDEX($F:$F, ROW()-1), $F705)) : INDEX(AA:AA, ROW()-1)
   )
   /SUM(INDEX(AA:AA, ROW()-COUNTIF($F$6:INDEX($F:$F, ROW()-1), $F705)) : INDEX(AA:AA, ROW()-1)),
   AVERAGEIFS(
     INDEX((unit_details[Asking Rent],unit_details[Asking PSF]),0,1,IF($U$3="Chunk Rent",1,2)),
     unit_details[Leased Date],"&gt;="&amp;($AM$2-X$5),
     unit_details[Leased Date],"&lt;"&amp;$AM$2,
     unit_details[Beds],$L706,
     unit_details[Baths],$M706,
     unit_details[Partial Baths],IF(ISNUMBER($N706),$N706,""),
     unit_details[Sqft],$P706,
     unit_details[Property Name],$F706)
 ),"")</f>
        <v/>
      </c>
      <c r="Y706" s="552" t="str">
        <f>IFERROR(
 IF($F706="Total",
   SUMPRODUCT(
   INDEX(Y:Y, ROW()-COUNTIF($F$6:INDEX($F:$F, ROW()-1), $F705)) : INDEX(Y:Y, ROW()-1),
   INDEX(AA:AA, ROW()-COUNTIF($F$6:INDEX($F:$F, ROW()-1), $F705)) : INDEX(AA:AA, ROW()-1)
   )
   /SUM(INDEX(AA:AA, ROW()-COUNTIF($F$6:INDEX($F:$F, ROW()-1), $F705)) : INDEX(AA:AA, ROW()-1)),
   AVERAGEIFS(
     INDEX((unit_details[Effective Rent],unit_details[Effective PSF]),0,1,IF($U$3="Chunk Rent",1,2)),
     unit_details[Leased Date],"&gt;="&amp;($AM$2-X$5),
     unit_details[Leased Date],"&lt;"&amp;$AM$2,
     unit_details[Beds],$L706,
     unit_details[Baths],$M706,
     unit_details[Partial Baths],IF(ISNUMBER($N706),$N706,""),
     unit_details[Sqft],$P706,
     unit_details[Property Name],$F706)
 ),"")</f>
        <v/>
      </c>
      <c r="Z706" s="27" t="str">
        <f t="shared" si="121"/>
        <v/>
      </c>
      <c r="AA706" s="526">
        <f>IFERROR(
  IF($F706="Total",
    SUM(INDEX(AA:AA, ROW()-COUNTIF($F$6:INDEX($F:$F, ROW()-1), $F705)) : INDEX(AA:AA, ROW()-1)),
    COUNTIFS(
      unit_details[Leased Date], "&gt;="&amp;($AM$2-X$5),
      unit_details[Leased Date], "&lt;"&amp;$AM$2,
      unit_details[Beds], $L706,
      unit_details[Baths], $M706,
      unit_details[Partial Baths], IF(ISNUMBER($N706), $N706, ""),
      unit_details[Sqft],$P706,
      unit_details[Property Name], $F706
    )
  ),
"")</f>
        <v>0</v>
      </c>
      <c r="AB706" s="290">
        <f>IF($F706="Total",
SUM(INDEX(AB:AB, ROW()-COUNTIF($F$6:INDEX($F:$F, ROW()-1), $F705)) : INDEX(AB:AB, ROW()-1)),
COUNTIFS(unit_details[Active Listing?],TRUE,
          unit_details[Property Name], $F706,
          unit_details[Beds], $L706,
          unit_details[Baths], $M706,
          unit_details[Partial Baths],IF(ISNUMBER($N706),$N706,""),
          unit_details[Sqft],$P706))</f>
        <v>0</v>
      </c>
      <c r="AC706" s="27" t="str">
        <f t="shared" si="113"/>
        <v/>
      </c>
      <c r="AD706" s="293" t="str">
        <f>IFERROR(IF(AE706="","",IF($F706="Total",
SUMPRODUCT(
   INDEX(AD:AD, ROW()-COUNTIF($F$6:INDEX($F:$F, ROW()-1), $F705)) : INDEX(AD:AD, ROW()-1),
   INDEX(AB:AB, ROW()-COUNTIF($F$6:INDEX($F:$F, ROW()-1), $F705)) : INDEX(AB:AB, ROW()-1)
   )
   /SUM(INDEX(AB:AB, ROW()-COUNTIF($F$6:INDEX($F:$F, ROW()-1), $F705)) : INDEX(AB:AB, ROW()-1)),
          _xlfn.MINIFS(unit_details[Asking Rent],
          unit_details[Active Listing?],TRUE,
          unit_details[Property Name], $F706,
          unit_details[Beds], $L706,
          unit_details[Baths], $M706,
          unit_details[Partial Baths], IF(ISNUMBER($N706),$N706,""),
          unit_details[Sqft],$P706
))),"")</f>
        <v/>
      </c>
      <c r="AE706" s="5" t="str">
        <f>IFERROR(IF($F706="Total",
          SUMPRODUCT(
   INDEX(AE:AE, ROW()-COUNTIF($F$6:INDEX($F:$F, ROW()-1), $F705)) : INDEX(AE:AE, ROW()-1),
   INDEX(AB:AB, ROW()-COUNTIF($F$6:INDEX($F:$F, ROW()-1), $F705)) : INDEX(AB:AB, ROW()-1)
   )
   /SUM(INDEX(AB:AB, ROW()-COUNTIF($F$6:INDEX($F:$F, ROW()-1), $F705)) : INDEX(AB:AB, ROW()-1)),
          AVERAGEIFS(unit_details[Asking Rent],
          unit_details[Active Listing?],TRUE,
          unit_details[Property Name], $F706,
          unit_details[Beds], $L706,
          unit_details[Baths], $M706,
          unit_details[Partial Baths], IF(ISNUMBER($N706),$N706,""),
          unit_details[Sqft],$P706
)),"")</f>
        <v/>
      </c>
      <c r="AF706" s="5" t="str">
        <f>IFERROR(IF(AE706="","",IF($F706="Total",
SUMPRODUCT(
   INDEX(AF:AF, ROW()-COUNTIF($F$6:INDEX($F:$F, ROW()-1), $F705)) : INDEX(AF:AF, ROW()-1),
   INDEX(AB:AB, ROW()-COUNTIF($F$6:INDEX($F:$F, ROW()-1), $F705)) : INDEX(AB:AB, ROW()-1)
   )
   /SUM(INDEX(AB:AB, ROW()-COUNTIF($F$6:INDEX($F:$F, ROW()-1), $F705)) : INDEX(AB:AB, ROW()-1)),
           _xlfn.MAXIFS(unit_details[Asking Rent],
          unit_details[Active Listing?],TRUE,
          unit_details[Property Name], $F706,
          unit_details[Beds], $L706,
          unit_details[Baths], $M706,
          unit_details[Partial Baths], IF(ISNUMBER($N706),$N706,""),
          unit_details[Sqft],$P706
))),"")</f>
        <v/>
      </c>
      <c r="AG706" s="6" t="str">
        <f>IFERROR(IF($F706="Total",
         SUMPRODUCT(
         INDEX(AG:AG, ROW()-COUNTIF($F$6:INDEX($F:$F, ROW()-1), $F705)) : INDEX(AG:AG, ROW()-1),
         INDEX(AB:AB, ROW()-COUNTIF($F$6:INDEX($F:$F, ROW()-1), $F705)) : INDEX(AB:AB, ROW()-1)
         )
         /SUM(INDEX(AB:AB, ROW()-COUNTIF($F$6:INDEX($F:$F, ROW()-1), $F705)) : INDEX(AB:AB, ROW()-1)),
          AVERAGEIFS(unit_details[Asking PSF],
          unit_details[Active Listing?],TRUE,
          unit_details[Property Name], $F706,
          unit_details[Beds], $L706,
          unit_details[Baths], $M706,
          unit_details[Partial Baths], IF(ISNUMBER($N706),$N706,""),
          unit_details[Sqft],$P706
)),"")</f>
        <v/>
      </c>
      <c r="AH706" s="293" t="str">
        <f>IFERROR(IF($F706="Total",
         SUMPRODUCT(
         INDEX(AH:AH, ROW()-COUNTIF($F$6:INDEX($F:$F, ROW()-1), $F705)) : INDEX(AH:AH, ROW()-1),
         INDEX(AB:AB, ROW()-COUNTIF($F$6:INDEX($F:$F, ROW()-1), $F705)) : INDEX(AB:AB, ROW()-1)
         )
         /SUM(INDEX(AB:AB, ROW()-COUNTIF($F$6:INDEX($F:$F, ROW()-1), $F705)) : INDEX(AB:AB, ROW()-1)),
          AVERAGEIFS(unit_details[Effective Rent],
          unit_details[Active Listing?],TRUE,
          unit_details[Property Name], $F706,
          unit_details[Beds], $L706,
          unit_details[Baths], $M706,
          unit_details[Partial Baths], IF(ISNUMBER($N706),$N706,""),
          unit_details[Sqft],$P706
)),"")</f>
        <v/>
      </c>
      <c r="AI706" s="6" t="str">
        <f>IFERROR(IF($F706="Total",
         SUMPRODUCT(
         INDEX(AI:AI, ROW()-COUNTIF($F$6:INDEX($F:$F, ROW()-1), $F705)) : INDEX(AI:AI, ROW()-1),
         INDEX(AB:AB, ROW()-COUNTIF($F$6:INDEX($F:$F, ROW()-1), $F705)) : INDEX(AB:AB, ROW()-1)
         )
         /SUM(INDEX(AB:AB, ROW()-COUNTIF($F$6:INDEX($F:$F, ROW()-1), $F705)) : INDEX(AB:AB, ROW()-1)),
           AVERAGEIFS(unit_details[Effective PSF],
          unit_details[Active Listing?],TRUE,
          unit_details[Property Name], $F706,
          unit_details[Beds], $L706,
          unit_details[Baths], $M706,
          unit_details[Partial Baths], IF(ISNUMBER($N706),$N706,""),
          unit_details[Sqft],$P706
)),"")</f>
        <v/>
      </c>
      <c r="AJ706" s="824" t="str">
        <f t="shared" si="114"/>
        <v/>
      </c>
      <c r="AK706" s="531" t="str">
        <f t="shared" si="115"/>
        <v/>
      </c>
      <c r="AL706" s="714" t="str">
        <f t="shared" si="116"/>
        <v/>
      </c>
      <c r="AM706" s="531" t="str">
        <f t="shared" si="117"/>
        <v/>
      </c>
      <c r="AN706" s="716" t="str">
        <f t="shared" si="118"/>
        <v/>
      </c>
    </row>
    <row r="707" spans="6:40" x14ac:dyDescent="0.2">
      <c r="F707" s="1" t="str">
        <f t="shared" si="111"/>
        <v/>
      </c>
      <c r="G707" s="713" t="str">
        <f t="shared" si="119"/>
        <v/>
      </c>
      <c r="H707" s="17" t="str">
        <f>IFERROR(VLOOKUP($G707,Table1[[Property]:[Exposure %]],4,0),"")</f>
        <v/>
      </c>
      <c r="I707" s="3" t="str">
        <f>IFERROR(VLOOKUP($G707,Table1[[Property]:[Exposure %]],6,0),"")</f>
        <v/>
      </c>
      <c r="J707" s="3" t="str">
        <f>IFERROR(VLOOKUP($G707,Table1[[Property]:[Exposure %]],7,0),"")</f>
        <v/>
      </c>
      <c r="R707" s="4" t="str">
        <f>IFERROR(VLOOKUP(IF(F707="Total",F706,F707),Table1[[Property]:['# Units]],7,0)*S707,"")</f>
        <v/>
      </c>
      <c r="S707" s="27" t="str">
        <f t="shared" si="112"/>
        <v/>
      </c>
      <c r="T707" s="531" t="str">
        <f>IFERROR(
 IF($F707="Total",
   SUMPRODUCT(
   INDEX(T:T, ROW()-COUNTIF($F$6:INDEX($F:$F, ROW()-1), $F706)) : INDEX(T:T, ROW()-1),
   INDEX(W:W, ROW()-COUNTIF($F$6:INDEX($F:$F, ROW()-1), $F706)) : INDEX(W:W, ROW()-1)
   )
   /SUM(INDEX(W:W, ROW()-COUNTIF($F$6:INDEX($F:$F, ROW()-1), $F706)) : INDEX(W:W, ROW()-1)),
   AVERAGEIFS(
     INDEX((unit_details[Asking Rent],unit_details[Asking PSF]),0,1,IF($U$3="Chunk Rent",1,2)),
     unit_details[Leased Date],"&gt;="&amp;($AM$2-T$5),
     unit_details[Leased Date],"&lt;"&amp;$AM$2,
     unit_details[Beds],$L707,
     unit_details[Baths],$M707,
     unit_details[Partial Baths],IF(ISNUMBER($N707),$N707,""),
     unit_details[Sqft],$P707,
     unit_details[Property Name],$F707)
 ),"")</f>
        <v/>
      </c>
      <c r="U707" s="552" t="str">
        <f>IFERROR(
 IF($F707="Total",
   SUMPRODUCT(
   INDEX(U:U, ROW()-COUNTIF($F$6:INDEX($F:$F, ROW()-1), $F706)) : INDEX(U:U, ROW()-1),
   INDEX(W:W, ROW()-COUNTIF($F$6:INDEX($F:$F, ROW()-1), $F706)) : INDEX(W:W, ROW()-1)
   )
   /SUM(INDEX(W:W, ROW()-COUNTIF($F$6:INDEX($F:$F, ROW()-1), $F706)) : INDEX(W:W, ROW()-1)),
   AVERAGEIFS(
     INDEX((unit_details[Effective Rent],unit_details[Effective PSF]),0,1,IF($U$3="Chunk Rent",1,2)),
     unit_details[Leased Date],"&gt;="&amp;($AM$2-T$5),
     unit_details[Leased Date],"&lt;"&amp;$AM$2,
     unit_details[Beds],$L707,
     unit_details[Baths],$M707,
     unit_details[Partial Baths],IF(ISNUMBER($N707),$N707,""),
     unit_details[Sqft],$P707,
     unit_details[Property Name],$F707)
 ),"")</f>
        <v/>
      </c>
      <c r="V707" s="27" t="str">
        <f t="shared" si="120"/>
        <v/>
      </c>
      <c r="W707" s="526">
        <f>IFERROR(
  IF($F707="Total",
    SUM(INDEX(W:W, ROW()-COUNTIF($F$6:INDEX($F:$F, ROW()-1), $F706)) : INDEX(W:W, ROW()-1)),
    COUNTIFS(
      unit_details[Leased Date], "&gt;="&amp;($AM$2-T$5),
      unit_details[Leased Date], "&lt;"&amp;$AM$2,
      unit_details[Beds], $L707,
      unit_details[Baths], $M707,
      unit_details[Partial Baths], IF(ISNUMBER($N707), $N707, ""),
      unit_details[Sqft],$P707,
      unit_details[Property Name], $F707
    )
  ),
"")</f>
        <v>0</v>
      </c>
      <c r="X707" s="531" t="str">
        <f>IFERROR(
 IF($F707="Total",
   SUMPRODUCT(
   INDEX(X:X, ROW()-COUNTIF($F$6:INDEX($F:$F, ROW()-1), $F706)) : INDEX(X:X, ROW()-1),
   INDEX(AA:AA, ROW()-COUNTIF($F$6:INDEX($F:$F, ROW()-1), $F706)) : INDEX(AA:AA, ROW()-1)
   )
   /SUM(INDEX(AA:AA, ROW()-COUNTIF($F$6:INDEX($F:$F, ROW()-1), $F706)) : INDEX(AA:AA, ROW()-1)),
   AVERAGEIFS(
     INDEX((unit_details[Asking Rent],unit_details[Asking PSF]),0,1,IF($U$3="Chunk Rent",1,2)),
     unit_details[Leased Date],"&gt;="&amp;($AM$2-X$5),
     unit_details[Leased Date],"&lt;"&amp;$AM$2,
     unit_details[Beds],$L707,
     unit_details[Baths],$M707,
     unit_details[Partial Baths],IF(ISNUMBER($N707),$N707,""),
     unit_details[Sqft],$P707,
     unit_details[Property Name],$F707)
 ),"")</f>
        <v/>
      </c>
      <c r="Y707" s="552" t="str">
        <f>IFERROR(
 IF($F707="Total",
   SUMPRODUCT(
   INDEX(Y:Y, ROW()-COUNTIF($F$6:INDEX($F:$F, ROW()-1), $F706)) : INDEX(Y:Y, ROW()-1),
   INDEX(AA:AA, ROW()-COUNTIF($F$6:INDEX($F:$F, ROW()-1), $F706)) : INDEX(AA:AA, ROW()-1)
   )
   /SUM(INDEX(AA:AA, ROW()-COUNTIF($F$6:INDEX($F:$F, ROW()-1), $F706)) : INDEX(AA:AA, ROW()-1)),
   AVERAGEIFS(
     INDEX((unit_details[Effective Rent],unit_details[Effective PSF]),0,1,IF($U$3="Chunk Rent",1,2)),
     unit_details[Leased Date],"&gt;="&amp;($AM$2-X$5),
     unit_details[Leased Date],"&lt;"&amp;$AM$2,
     unit_details[Beds],$L707,
     unit_details[Baths],$M707,
     unit_details[Partial Baths],IF(ISNUMBER($N707),$N707,""),
     unit_details[Sqft],$P707,
     unit_details[Property Name],$F707)
 ),"")</f>
        <v/>
      </c>
      <c r="Z707" s="27" t="str">
        <f t="shared" si="121"/>
        <v/>
      </c>
      <c r="AA707" s="526">
        <f>IFERROR(
  IF($F707="Total",
    SUM(INDEX(AA:AA, ROW()-COUNTIF($F$6:INDEX($F:$F, ROW()-1), $F706)) : INDEX(AA:AA, ROW()-1)),
    COUNTIFS(
      unit_details[Leased Date], "&gt;="&amp;($AM$2-X$5),
      unit_details[Leased Date], "&lt;"&amp;$AM$2,
      unit_details[Beds], $L707,
      unit_details[Baths], $M707,
      unit_details[Partial Baths], IF(ISNUMBER($N707), $N707, ""),
      unit_details[Sqft],$P707,
      unit_details[Property Name], $F707
    )
  ),
"")</f>
        <v>0</v>
      </c>
      <c r="AB707" s="290">
        <f>IF($F707="Total",
SUM(INDEX(AB:AB, ROW()-COUNTIF($F$6:INDEX($F:$F, ROW()-1), $F706)) : INDEX(AB:AB, ROW()-1)),
COUNTIFS(unit_details[Active Listing?],TRUE,
          unit_details[Property Name], $F707,
          unit_details[Beds], $L707,
          unit_details[Baths], $M707,
          unit_details[Partial Baths],IF(ISNUMBER($N707),$N707,""),
          unit_details[Sqft],$P707))</f>
        <v>0</v>
      </c>
      <c r="AC707" s="27" t="str">
        <f t="shared" si="113"/>
        <v/>
      </c>
      <c r="AD707" s="293" t="str">
        <f>IFERROR(IF(AE707="","",IF($F707="Total",
SUMPRODUCT(
   INDEX(AD:AD, ROW()-COUNTIF($F$6:INDEX($F:$F, ROW()-1), $F706)) : INDEX(AD:AD, ROW()-1),
   INDEX(AB:AB, ROW()-COUNTIF($F$6:INDEX($F:$F, ROW()-1), $F706)) : INDEX(AB:AB, ROW()-1)
   )
   /SUM(INDEX(AB:AB, ROW()-COUNTIF($F$6:INDEX($F:$F, ROW()-1), $F706)) : INDEX(AB:AB, ROW()-1)),
          _xlfn.MINIFS(unit_details[Asking Rent],
          unit_details[Active Listing?],TRUE,
          unit_details[Property Name], $F707,
          unit_details[Beds], $L707,
          unit_details[Baths], $M707,
          unit_details[Partial Baths], IF(ISNUMBER($N707),$N707,""),
          unit_details[Sqft],$P707
))),"")</f>
        <v/>
      </c>
      <c r="AE707" s="5" t="str">
        <f>IFERROR(IF($F707="Total",
          SUMPRODUCT(
   INDEX(AE:AE, ROW()-COUNTIF($F$6:INDEX($F:$F, ROW()-1), $F706)) : INDEX(AE:AE, ROW()-1),
   INDEX(AB:AB, ROW()-COUNTIF($F$6:INDEX($F:$F, ROW()-1), $F706)) : INDEX(AB:AB, ROW()-1)
   )
   /SUM(INDEX(AB:AB, ROW()-COUNTIF($F$6:INDEX($F:$F, ROW()-1), $F706)) : INDEX(AB:AB, ROW()-1)),
          AVERAGEIFS(unit_details[Asking Rent],
          unit_details[Active Listing?],TRUE,
          unit_details[Property Name], $F707,
          unit_details[Beds], $L707,
          unit_details[Baths], $M707,
          unit_details[Partial Baths], IF(ISNUMBER($N707),$N707,""),
          unit_details[Sqft],$P707
)),"")</f>
        <v/>
      </c>
      <c r="AF707" s="5" t="str">
        <f>IFERROR(IF(AE707="","",IF($F707="Total",
SUMPRODUCT(
   INDEX(AF:AF, ROW()-COUNTIF($F$6:INDEX($F:$F, ROW()-1), $F706)) : INDEX(AF:AF, ROW()-1),
   INDEX(AB:AB, ROW()-COUNTIF($F$6:INDEX($F:$F, ROW()-1), $F706)) : INDEX(AB:AB, ROW()-1)
   )
   /SUM(INDEX(AB:AB, ROW()-COUNTIF($F$6:INDEX($F:$F, ROW()-1), $F706)) : INDEX(AB:AB, ROW()-1)),
           _xlfn.MAXIFS(unit_details[Asking Rent],
          unit_details[Active Listing?],TRUE,
          unit_details[Property Name], $F707,
          unit_details[Beds], $L707,
          unit_details[Baths], $M707,
          unit_details[Partial Baths], IF(ISNUMBER($N707),$N707,""),
          unit_details[Sqft],$P707
))),"")</f>
        <v/>
      </c>
      <c r="AG707" s="6" t="str">
        <f>IFERROR(IF($F707="Total",
         SUMPRODUCT(
         INDEX(AG:AG, ROW()-COUNTIF($F$6:INDEX($F:$F, ROW()-1), $F706)) : INDEX(AG:AG, ROW()-1),
         INDEX(AB:AB, ROW()-COUNTIF($F$6:INDEX($F:$F, ROW()-1), $F706)) : INDEX(AB:AB, ROW()-1)
         )
         /SUM(INDEX(AB:AB, ROW()-COUNTIF($F$6:INDEX($F:$F, ROW()-1), $F706)) : INDEX(AB:AB, ROW()-1)),
          AVERAGEIFS(unit_details[Asking PSF],
          unit_details[Active Listing?],TRUE,
          unit_details[Property Name], $F707,
          unit_details[Beds], $L707,
          unit_details[Baths], $M707,
          unit_details[Partial Baths], IF(ISNUMBER($N707),$N707,""),
          unit_details[Sqft],$P707
)),"")</f>
        <v/>
      </c>
      <c r="AH707" s="293" t="str">
        <f>IFERROR(IF($F707="Total",
         SUMPRODUCT(
         INDEX(AH:AH, ROW()-COUNTIF($F$6:INDEX($F:$F, ROW()-1), $F706)) : INDEX(AH:AH, ROW()-1),
         INDEX(AB:AB, ROW()-COUNTIF($F$6:INDEX($F:$F, ROW()-1), $F706)) : INDEX(AB:AB, ROW()-1)
         )
         /SUM(INDEX(AB:AB, ROW()-COUNTIF($F$6:INDEX($F:$F, ROW()-1), $F706)) : INDEX(AB:AB, ROW()-1)),
          AVERAGEIFS(unit_details[Effective Rent],
          unit_details[Active Listing?],TRUE,
          unit_details[Property Name], $F707,
          unit_details[Beds], $L707,
          unit_details[Baths], $M707,
          unit_details[Partial Baths], IF(ISNUMBER($N707),$N707,""),
          unit_details[Sqft],$P707
)),"")</f>
        <v/>
      </c>
      <c r="AI707" s="6" t="str">
        <f>IFERROR(IF($F707="Total",
         SUMPRODUCT(
         INDEX(AI:AI, ROW()-COUNTIF($F$6:INDEX($F:$F, ROW()-1), $F706)) : INDEX(AI:AI, ROW()-1),
         INDEX(AB:AB, ROW()-COUNTIF($F$6:INDEX($F:$F, ROW()-1), $F706)) : INDEX(AB:AB, ROW()-1)
         )
         /SUM(INDEX(AB:AB, ROW()-COUNTIF($F$6:INDEX($F:$F, ROW()-1), $F706)) : INDEX(AB:AB, ROW()-1)),
           AVERAGEIFS(unit_details[Effective PSF],
          unit_details[Active Listing?],TRUE,
          unit_details[Property Name], $F707,
          unit_details[Beds], $L707,
          unit_details[Baths], $M707,
          unit_details[Partial Baths], IF(ISNUMBER($N707),$N707,""),
          unit_details[Sqft],$P707
)),"")</f>
        <v/>
      </c>
      <c r="AJ707" s="824" t="str">
        <f t="shared" si="114"/>
        <v/>
      </c>
      <c r="AK707" s="531" t="str">
        <f t="shared" si="115"/>
        <v/>
      </c>
      <c r="AL707" s="714" t="str">
        <f t="shared" si="116"/>
        <v/>
      </c>
      <c r="AM707" s="531" t="str">
        <f t="shared" si="117"/>
        <v/>
      </c>
      <c r="AN707" s="716" t="str">
        <f t="shared" si="118"/>
        <v/>
      </c>
    </row>
    <row r="708" spans="6:40" x14ac:dyDescent="0.2">
      <c r="F708" s="1" t="str">
        <f t="shared" si="111"/>
        <v/>
      </c>
      <c r="G708" s="713" t="str">
        <f t="shared" si="119"/>
        <v/>
      </c>
      <c r="H708" s="17" t="str">
        <f>IFERROR(VLOOKUP($G708,Table1[[Property]:[Exposure %]],4,0),"")</f>
        <v/>
      </c>
      <c r="I708" s="3" t="str">
        <f>IFERROR(VLOOKUP($G708,Table1[[Property]:[Exposure %]],6,0),"")</f>
        <v/>
      </c>
      <c r="J708" s="3" t="str">
        <f>IFERROR(VLOOKUP($G708,Table1[[Property]:[Exposure %]],7,0),"")</f>
        <v/>
      </c>
      <c r="R708" s="4" t="str">
        <f>IFERROR(VLOOKUP(IF(F708="Total",F707,F708),Table1[[Property]:['# Units]],7,0)*S708,"")</f>
        <v/>
      </c>
      <c r="S708" s="27" t="str">
        <f t="shared" si="112"/>
        <v/>
      </c>
      <c r="T708" s="531" t="str">
        <f>IFERROR(
 IF($F708="Total",
   SUMPRODUCT(
   INDEX(T:T, ROW()-COUNTIF($F$6:INDEX($F:$F, ROW()-1), $F707)) : INDEX(T:T, ROW()-1),
   INDEX(W:W, ROW()-COUNTIF($F$6:INDEX($F:$F, ROW()-1), $F707)) : INDEX(W:W, ROW()-1)
   )
   /SUM(INDEX(W:W, ROW()-COUNTIF($F$6:INDEX($F:$F, ROW()-1), $F707)) : INDEX(W:W, ROW()-1)),
   AVERAGEIFS(
     INDEX((unit_details[Asking Rent],unit_details[Asking PSF]),0,1,IF($U$3="Chunk Rent",1,2)),
     unit_details[Leased Date],"&gt;="&amp;($AM$2-T$5),
     unit_details[Leased Date],"&lt;"&amp;$AM$2,
     unit_details[Beds],$L708,
     unit_details[Baths],$M708,
     unit_details[Partial Baths],IF(ISNUMBER($N708),$N708,""),
     unit_details[Sqft],$P708,
     unit_details[Property Name],$F708)
 ),"")</f>
        <v/>
      </c>
      <c r="U708" s="552" t="str">
        <f>IFERROR(
 IF($F708="Total",
   SUMPRODUCT(
   INDEX(U:U, ROW()-COUNTIF($F$6:INDEX($F:$F, ROW()-1), $F707)) : INDEX(U:U, ROW()-1),
   INDEX(W:W, ROW()-COUNTIF($F$6:INDEX($F:$F, ROW()-1), $F707)) : INDEX(W:W, ROW()-1)
   )
   /SUM(INDEX(W:W, ROW()-COUNTIF($F$6:INDEX($F:$F, ROW()-1), $F707)) : INDEX(W:W, ROW()-1)),
   AVERAGEIFS(
     INDEX((unit_details[Effective Rent],unit_details[Effective PSF]),0,1,IF($U$3="Chunk Rent",1,2)),
     unit_details[Leased Date],"&gt;="&amp;($AM$2-T$5),
     unit_details[Leased Date],"&lt;"&amp;$AM$2,
     unit_details[Beds],$L708,
     unit_details[Baths],$M708,
     unit_details[Partial Baths],IF(ISNUMBER($N708),$N708,""),
     unit_details[Sqft],$P708,
     unit_details[Property Name],$F708)
 ),"")</f>
        <v/>
      </c>
      <c r="V708" s="27" t="str">
        <f t="shared" si="120"/>
        <v/>
      </c>
      <c r="W708" s="526">
        <f>IFERROR(
  IF($F708="Total",
    SUM(INDEX(W:W, ROW()-COUNTIF($F$6:INDEX($F:$F, ROW()-1), $F707)) : INDEX(W:W, ROW()-1)),
    COUNTIFS(
      unit_details[Leased Date], "&gt;="&amp;($AM$2-T$5),
      unit_details[Leased Date], "&lt;"&amp;$AM$2,
      unit_details[Beds], $L708,
      unit_details[Baths], $M708,
      unit_details[Partial Baths], IF(ISNUMBER($N708), $N708, ""),
      unit_details[Sqft],$P708,
      unit_details[Property Name], $F708
    )
  ),
"")</f>
        <v>0</v>
      </c>
      <c r="X708" s="531" t="str">
        <f>IFERROR(
 IF($F708="Total",
   SUMPRODUCT(
   INDEX(X:X, ROW()-COUNTIF($F$6:INDEX($F:$F, ROW()-1), $F707)) : INDEX(X:X, ROW()-1),
   INDEX(AA:AA, ROW()-COUNTIF($F$6:INDEX($F:$F, ROW()-1), $F707)) : INDEX(AA:AA, ROW()-1)
   )
   /SUM(INDEX(AA:AA, ROW()-COUNTIF($F$6:INDEX($F:$F, ROW()-1), $F707)) : INDEX(AA:AA, ROW()-1)),
   AVERAGEIFS(
     INDEX((unit_details[Asking Rent],unit_details[Asking PSF]),0,1,IF($U$3="Chunk Rent",1,2)),
     unit_details[Leased Date],"&gt;="&amp;($AM$2-X$5),
     unit_details[Leased Date],"&lt;"&amp;$AM$2,
     unit_details[Beds],$L708,
     unit_details[Baths],$M708,
     unit_details[Partial Baths],IF(ISNUMBER($N708),$N708,""),
     unit_details[Sqft],$P708,
     unit_details[Property Name],$F708)
 ),"")</f>
        <v/>
      </c>
      <c r="Y708" s="552" t="str">
        <f>IFERROR(
 IF($F708="Total",
   SUMPRODUCT(
   INDEX(Y:Y, ROW()-COUNTIF($F$6:INDEX($F:$F, ROW()-1), $F707)) : INDEX(Y:Y, ROW()-1),
   INDEX(AA:AA, ROW()-COUNTIF($F$6:INDEX($F:$F, ROW()-1), $F707)) : INDEX(AA:AA, ROW()-1)
   )
   /SUM(INDEX(AA:AA, ROW()-COUNTIF($F$6:INDEX($F:$F, ROW()-1), $F707)) : INDEX(AA:AA, ROW()-1)),
   AVERAGEIFS(
     INDEX((unit_details[Effective Rent],unit_details[Effective PSF]),0,1,IF($U$3="Chunk Rent",1,2)),
     unit_details[Leased Date],"&gt;="&amp;($AM$2-X$5),
     unit_details[Leased Date],"&lt;"&amp;$AM$2,
     unit_details[Beds],$L708,
     unit_details[Baths],$M708,
     unit_details[Partial Baths],IF(ISNUMBER($N708),$N708,""),
     unit_details[Sqft],$P708,
     unit_details[Property Name],$F708)
 ),"")</f>
        <v/>
      </c>
      <c r="Z708" s="27" t="str">
        <f t="shared" si="121"/>
        <v/>
      </c>
      <c r="AA708" s="526">
        <f>IFERROR(
  IF($F708="Total",
    SUM(INDEX(AA:AA, ROW()-COUNTIF($F$6:INDEX($F:$F, ROW()-1), $F707)) : INDEX(AA:AA, ROW()-1)),
    COUNTIFS(
      unit_details[Leased Date], "&gt;="&amp;($AM$2-X$5),
      unit_details[Leased Date], "&lt;"&amp;$AM$2,
      unit_details[Beds], $L708,
      unit_details[Baths], $M708,
      unit_details[Partial Baths], IF(ISNUMBER($N708), $N708, ""),
      unit_details[Sqft],$P708,
      unit_details[Property Name], $F708
    )
  ),
"")</f>
        <v>0</v>
      </c>
      <c r="AB708" s="290">
        <f>IF($F708="Total",
SUM(INDEX(AB:AB, ROW()-COUNTIF($F$6:INDEX($F:$F, ROW()-1), $F707)) : INDEX(AB:AB, ROW()-1)),
COUNTIFS(unit_details[Active Listing?],TRUE,
          unit_details[Property Name], $F708,
          unit_details[Beds], $L708,
          unit_details[Baths], $M708,
          unit_details[Partial Baths],IF(ISNUMBER($N708),$N708,""),
          unit_details[Sqft],$P708))</f>
        <v>0</v>
      </c>
      <c r="AC708" s="27" t="str">
        <f t="shared" si="113"/>
        <v/>
      </c>
      <c r="AD708" s="293" t="str">
        <f>IFERROR(IF(AE708="","",IF($F708="Total",
SUMPRODUCT(
   INDEX(AD:AD, ROW()-COUNTIF($F$6:INDEX($F:$F, ROW()-1), $F707)) : INDEX(AD:AD, ROW()-1),
   INDEX(AB:AB, ROW()-COUNTIF($F$6:INDEX($F:$F, ROW()-1), $F707)) : INDEX(AB:AB, ROW()-1)
   )
   /SUM(INDEX(AB:AB, ROW()-COUNTIF($F$6:INDEX($F:$F, ROW()-1), $F707)) : INDEX(AB:AB, ROW()-1)),
          _xlfn.MINIFS(unit_details[Asking Rent],
          unit_details[Active Listing?],TRUE,
          unit_details[Property Name], $F708,
          unit_details[Beds], $L708,
          unit_details[Baths], $M708,
          unit_details[Partial Baths], IF(ISNUMBER($N708),$N708,""),
          unit_details[Sqft],$P708
))),"")</f>
        <v/>
      </c>
      <c r="AE708" s="5" t="str">
        <f>IFERROR(IF($F708="Total",
          SUMPRODUCT(
   INDEX(AE:AE, ROW()-COUNTIF($F$6:INDEX($F:$F, ROW()-1), $F707)) : INDEX(AE:AE, ROW()-1),
   INDEX(AB:AB, ROW()-COUNTIF($F$6:INDEX($F:$F, ROW()-1), $F707)) : INDEX(AB:AB, ROW()-1)
   )
   /SUM(INDEX(AB:AB, ROW()-COUNTIF($F$6:INDEX($F:$F, ROW()-1), $F707)) : INDEX(AB:AB, ROW()-1)),
          AVERAGEIFS(unit_details[Asking Rent],
          unit_details[Active Listing?],TRUE,
          unit_details[Property Name], $F708,
          unit_details[Beds], $L708,
          unit_details[Baths], $M708,
          unit_details[Partial Baths], IF(ISNUMBER($N708),$N708,""),
          unit_details[Sqft],$P708
)),"")</f>
        <v/>
      </c>
      <c r="AF708" s="5" t="str">
        <f>IFERROR(IF(AE708="","",IF($F708="Total",
SUMPRODUCT(
   INDEX(AF:AF, ROW()-COUNTIF($F$6:INDEX($F:$F, ROW()-1), $F707)) : INDEX(AF:AF, ROW()-1),
   INDEX(AB:AB, ROW()-COUNTIF($F$6:INDEX($F:$F, ROW()-1), $F707)) : INDEX(AB:AB, ROW()-1)
   )
   /SUM(INDEX(AB:AB, ROW()-COUNTIF($F$6:INDEX($F:$F, ROW()-1), $F707)) : INDEX(AB:AB, ROW()-1)),
           _xlfn.MAXIFS(unit_details[Asking Rent],
          unit_details[Active Listing?],TRUE,
          unit_details[Property Name], $F708,
          unit_details[Beds], $L708,
          unit_details[Baths], $M708,
          unit_details[Partial Baths], IF(ISNUMBER($N708),$N708,""),
          unit_details[Sqft],$P708
))),"")</f>
        <v/>
      </c>
      <c r="AG708" s="6" t="str">
        <f>IFERROR(IF($F708="Total",
         SUMPRODUCT(
         INDEX(AG:AG, ROW()-COUNTIF($F$6:INDEX($F:$F, ROW()-1), $F707)) : INDEX(AG:AG, ROW()-1),
         INDEX(AB:AB, ROW()-COUNTIF($F$6:INDEX($F:$F, ROW()-1), $F707)) : INDEX(AB:AB, ROW()-1)
         )
         /SUM(INDEX(AB:AB, ROW()-COUNTIF($F$6:INDEX($F:$F, ROW()-1), $F707)) : INDEX(AB:AB, ROW()-1)),
          AVERAGEIFS(unit_details[Asking PSF],
          unit_details[Active Listing?],TRUE,
          unit_details[Property Name], $F708,
          unit_details[Beds], $L708,
          unit_details[Baths], $M708,
          unit_details[Partial Baths], IF(ISNUMBER($N708),$N708,""),
          unit_details[Sqft],$P708
)),"")</f>
        <v/>
      </c>
      <c r="AH708" s="293" t="str">
        <f>IFERROR(IF($F708="Total",
         SUMPRODUCT(
         INDEX(AH:AH, ROW()-COUNTIF($F$6:INDEX($F:$F, ROW()-1), $F707)) : INDEX(AH:AH, ROW()-1),
         INDEX(AB:AB, ROW()-COUNTIF($F$6:INDEX($F:$F, ROW()-1), $F707)) : INDEX(AB:AB, ROW()-1)
         )
         /SUM(INDEX(AB:AB, ROW()-COUNTIF($F$6:INDEX($F:$F, ROW()-1), $F707)) : INDEX(AB:AB, ROW()-1)),
          AVERAGEIFS(unit_details[Effective Rent],
          unit_details[Active Listing?],TRUE,
          unit_details[Property Name], $F708,
          unit_details[Beds], $L708,
          unit_details[Baths], $M708,
          unit_details[Partial Baths], IF(ISNUMBER($N708),$N708,""),
          unit_details[Sqft],$P708
)),"")</f>
        <v/>
      </c>
      <c r="AI708" s="6" t="str">
        <f>IFERROR(IF($F708="Total",
         SUMPRODUCT(
         INDEX(AI:AI, ROW()-COUNTIF($F$6:INDEX($F:$F, ROW()-1), $F707)) : INDEX(AI:AI, ROW()-1),
         INDEX(AB:AB, ROW()-COUNTIF($F$6:INDEX($F:$F, ROW()-1), $F707)) : INDEX(AB:AB, ROW()-1)
         )
         /SUM(INDEX(AB:AB, ROW()-COUNTIF($F$6:INDEX($F:$F, ROW()-1), $F707)) : INDEX(AB:AB, ROW()-1)),
           AVERAGEIFS(unit_details[Effective PSF],
          unit_details[Active Listing?],TRUE,
          unit_details[Property Name], $F708,
          unit_details[Beds], $L708,
          unit_details[Baths], $M708,
          unit_details[Partial Baths], IF(ISNUMBER($N708),$N708,""),
          unit_details[Sqft],$P708
)),"")</f>
        <v/>
      </c>
      <c r="AJ708" s="824" t="str">
        <f t="shared" si="114"/>
        <v/>
      </c>
      <c r="AK708" s="531" t="str">
        <f t="shared" si="115"/>
        <v/>
      </c>
      <c r="AL708" s="714" t="str">
        <f t="shared" si="116"/>
        <v/>
      </c>
      <c r="AM708" s="531" t="str">
        <f t="shared" si="117"/>
        <v/>
      </c>
      <c r="AN708" s="716" t="str">
        <f t="shared" si="118"/>
        <v/>
      </c>
    </row>
    <row r="709" spans="6:40" x14ac:dyDescent="0.2">
      <c r="F709" s="1" t="str">
        <f t="shared" si="111"/>
        <v/>
      </c>
      <c r="G709" s="713" t="str">
        <f t="shared" si="119"/>
        <v/>
      </c>
      <c r="H709" s="17" t="str">
        <f>IFERROR(VLOOKUP($G709,Table1[[Property]:[Exposure %]],4,0),"")</f>
        <v/>
      </c>
      <c r="I709" s="3" t="str">
        <f>IFERROR(VLOOKUP($G709,Table1[[Property]:[Exposure %]],6,0),"")</f>
        <v/>
      </c>
      <c r="J709" s="3" t="str">
        <f>IFERROR(VLOOKUP($G709,Table1[[Property]:[Exposure %]],7,0),"")</f>
        <v/>
      </c>
      <c r="R709" s="4" t="str">
        <f>IFERROR(VLOOKUP(IF(F709="Total",F708,F709),Table1[[Property]:['# Units]],7,0)*S709,"")</f>
        <v/>
      </c>
      <c r="S709" s="27" t="str">
        <f t="shared" si="112"/>
        <v/>
      </c>
      <c r="T709" s="531" t="str">
        <f>IFERROR(
 IF($F709="Total",
   SUMPRODUCT(
   INDEX(T:T, ROW()-COUNTIF($F$6:INDEX($F:$F, ROW()-1), $F708)) : INDEX(T:T, ROW()-1),
   INDEX(W:W, ROW()-COUNTIF($F$6:INDEX($F:$F, ROW()-1), $F708)) : INDEX(W:W, ROW()-1)
   )
   /SUM(INDEX(W:W, ROW()-COUNTIF($F$6:INDEX($F:$F, ROW()-1), $F708)) : INDEX(W:W, ROW()-1)),
   AVERAGEIFS(
     INDEX((unit_details[Asking Rent],unit_details[Asking PSF]),0,1,IF($U$3="Chunk Rent",1,2)),
     unit_details[Leased Date],"&gt;="&amp;($AM$2-T$5),
     unit_details[Leased Date],"&lt;"&amp;$AM$2,
     unit_details[Beds],$L709,
     unit_details[Baths],$M709,
     unit_details[Partial Baths],IF(ISNUMBER($N709),$N709,""),
     unit_details[Sqft],$P709,
     unit_details[Property Name],$F709)
 ),"")</f>
        <v/>
      </c>
      <c r="U709" s="552" t="str">
        <f>IFERROR(
 IF($F709="Total",
   SUMPRODUCT(
   INDEX(U:U, ROW()-COUNTIF($F$6:INDEX($F:$F, ROW()-1), $F708)) : INDEX(U:U, ROW()-1),
   INDEX(W:W, ROW()-COUNTIF($F$6:INDEX($F:$F, ROW()-1), $F708)) : INDEX(W:W, ROW()-1)
   )
   /SUM(INDEX(W:W, ROW()-COUNTIF($F$6:INDEX($F:$F, ROW()-1), $F708)) : INDEX(W:W, ROW()-1)),
   AVERAGEIFS(
     INDEX((unit_details[Effective Rent],unit_details[Effective PSF]),0,1,IF($U$3="Chunk Rent",1,2)),
     unit_details[Leased Date],"&gt;="&amp;($AM$2-T$5),
     unit_details[Leased Date],"&lt;"&amp;$AM$2,
     unit_details[Beds],$L709,
     unit_details[Baths],$M709,
     unit_details[Partial Baths],IF(ISNUMBER($N709),$N709,""),
     unit_details[Sqft],$P709,
     unit_details[Property Name],$F709)
 ),"")</f>
        <v/>
      </c>
      <c r="V709" s="27" t="str">
        <f t="shared" si="120"/>
        <v/>
      </c>
      <c r="W709" s="526">
        <f>IFERROR(
  IF($F709="Total",
    SUM(INDEX(W:W, ROW()-COUNTIF($F$6:INDEX($F:$F, ROW()-1), $F708)) : INDEX(W:W, ROW()-1)),
    COUNTIFS(
      unit_details[Leased Date], "&gt;="&amp;($AM$2-T$5),
      unit_details[Leased Date], "&lt;"&amp;$AM$2,
      unit_details[Beds], $L709,
      unit_details[Baths], $M709,
      unit_details[Partial Baths], IF(ISNUMBER($N709), $N709, ""),
      unit_details[Sqft],$P709,
      unit_details[Property Name], $F709
    )
  ),
"")</f>
        <v>0</v>
      </c>
      <c r="X709" s="531" t="str">
        <f>IFERROR(
 IF($F709="Total",
   SUMPRODUCT(
   INDEX(X:X, ROW()-COUNTIF($F$6:INDEX($F:$F, ROW()-1), $F708)) : INDEX(X:X, ROW()-1),
   INDEX(AA:AA, ROW()-COUNTIF($F$6:INDEX($F:$F, ROW()-1), $F708)) : INDEX(AA:AA, ROW()-1)
   )
   /SUM(INDEX(AA:AA, ROW()-COUNTIF($F$6:INDEX($F:$F, ROW()-1), $F708)) : INDEX(AA:AA, ROW()-1)),
   AVERAGEIFS(
     INDEX((unit_details[Asking Rent],unit_details[Asking PSF]),0,1,IF($U$3="Chunk Rent",1,2)),
     unit_details[Leased Date],"&gt;="&amp;($AM$2-X$5),
     unit_details[Leased Date],"&lt;"&amp;$AM$2,
     unit_details[Beds],$L709,
     unit_details[Baths],$M709,
     unit_details[Partial Baths],IF(ISNUMBER($N709),$N709,""),
     unit_details[Sqft],$P709,
     unit_details[Property Name],$F709)
 ),"")</f>
        <v/>
      </c>
      <c r="Y709" s="552" t="str">
        <f>IFERROR(
 IF($F709="Total",
   SUMPRODUCT(
   INDEX(Y:Y, ROW()-COUNTIF($F$6:INDEX($F:$F, ROW()-1), $F708)) : INDEX(Y:Y, ROW()-1),
   INDEX(AA:AA, ROW()-COUNTIF($F$6:INDEX($F:$F, ROW()-1), $F708)) : INDEX(AA:AA, ROW()-1)
   )
   /SUM(INDEX(AA:AA, ROW()-COUNTIF($F$6:INDEX($F:$F, ROW()-1), $F708)) : INDEX(AA:AA, ROW()-1)),
   AVERAGEIFS(
     INDEX((unit_details[Effective Rent],unit_details[Effective PSF]),0,1,IF($U$3="Chunk Rent",1,2)),
     unit_details[Leased Date],"&gt;="&amp;($AM$2-X$5),
     unit_details[Leased Date],"&lt;"&amp;$AM$2,
     unit_details[Beds],$L709,
     unit_details[Baths],$M709,
     unit_details[Partial Baths],IF(ISNUMBER($N709),$N709,""),
     unit_details[Sqft],$P709,
     unit_details[Property Name],$F709)
 ),"")</f>
        <v/>
      </c>
      <c r="Z709" s="27" t="str">
        <f t="shared" si="121"/>
        <v/>
      </c>
      <c r="AA709" s="526">
        <f>IFERROR(
  IF($F709="Total",
    SUM(INDEX(AA:AA, ROW()-COUNTIF($F$6:INDEX($F:$F, ROW()-1), $F708)) : INDEX(AA:AA, ROW()-1)),
    COUNTIFS(
      unit_details[Leased Date], "&gt;="&amp;($AM$2-X$5),
      unit_details[Leased Date], "&lt;"&amp;$AM$2,
      unit_details[Beds], $L709,
      unit_details[Baths], $M709,
      unit_details[Partial Baths], IF(ISNUMBER($N709), $N709, ""),
      unit_details[Sqft],$P709,
      unit_details[Property Name], $F709
    )
  ),
"")</f>
        <v>0</v>
      </c>
      <c r="AB709" s="290">
        <f>IF($F709="Total",
SUM(INDEX(AB:AB, ROW()-COUNTIF($F$6:INDEX($F:$F, ROW()-1), $F708)) : INDEX(AB:AB, ROW()-1)),
COUNTIFS(unit_details[Active Listing?],TRUE,
          unit_details[Property Name], $F709,
          unit_details[Beds], $L709,
          unit_details[Baths], $M709,
          unit_details[Partial Baths],IF(ISNUMBER($N709),$N709,""),
          unit_details[Sqft],$P709))</f>
        <v>0</v>
      </c>
      <c r="AC709" s="27" t="str">
        <f t="shared" si="113"/>
        <v/>
      </c>
      <c r="AD709" s="293" t="str">
        <f>IFERROR(IF(AE709="","",IF($F709="Total",
SUMPRODUCT(
   INDEX(AD:AD, ROW()-COUNTIF($F$6:INDEX($F:$F, ROW()-1), $F708)) : INDEX(AD:AD, ROW()-1),
   INDEX(AB:AB, ROW()-COUNTIF($F$6:INDEX($F:$F, ROW()-1), $F708)) : INDEX(AB:AB, ROW()-1)
   )
   /SUM(INDEX(AB:AB, ROW()-COUNTIF($F$6:INDEX($F:$F, ROW()-1), $F708)) : INDEX(AB:AB, ROW()-1)),
          _xlfn.MINIFS(unit_details[Asking Rent],
          unit_details[Active Listing?],TRUE,
          unit_details[Property Name], $F709,
          unit_details[Beds], $L709,
          unit_details[Baths], $M709,
          unit_details[Partial Baths], IF(ISNUMBER($N709),$N709,""),
          unit_details[Sqft],$P709
))),"")</f>
        <v/>
      </c>
      <c r="AE709" s="5" t="str">
        <f>IFERROR(IF($F709="Total",
          SUMPRODUCT(
   INDEX(AE:AE, ROW()-COUNTIF($F$6:INDEX($F:$F, ROW()-1), $F708)) : INDEX(AE:AE, ROW()-1),
   INDEX(AB:AB, ROW()-COUNTIF($F$6:INDEX($F:$F, ROW()-1), $F708)) : INDEX(AB:AB, ROW()-1)
   )
   /SUM(INDEX(AB:AB, ROW()-COUNTIF($F$6:INDEX($F:$F, ROW()-1), $F708)) : INDEX(AB:AB, ROW()-1)),
          AVERAGEIFS(unit_details[Asking Rent],
          unit_details[Active Listing?],TRUE,
          unit_details[Property Name], $F709,
          unit_details[Beds], $L709,
          unit_details[Baths], $M709,
          unit_details[Partial Baths], IF(ISNUMBER($N709),$N709,""),
          unit_details[Sqft],$P709
)),"")</f>
        <v/>
      </c>
      <c r="AF709" s="5" t="str">
        <f>IFERROR(IF(AE709="","",IF($F709="Total",
SUMPRODUCT(
   INDEX(AF:AF, ROW()-COUNTIF($F$6:INDEX($F:$F, ROW()-1), $F708)) : INDEX(AF:AF, ROW()-1),
   INDEX(AB:AB, ROW()-COUNTIF($F$6:INDEX($F:$F, ROW()-1), $F708)) : INDEX(AB:AB, ROW()-1)
   )
   /SUM(INDEX(AB:AB, ROW()-COUNTIF($F$6:INDEX($F:$F, ROW()-1), $F708)) : INDEX(AB:AB, ROW()-1)),
           _xlfn.MAXIFS(unit_details[Asking Rent],
          unit_details[Active Listing?],TRUE,
          unit_details[Property Name], $F709,
          unit_details[Beds], $L709,
          unit_details[Baths], $M709,
          unit_details[Partial Baths], IF(ISNUMBER($N709),$N709,""),
          unit_details[Sqft],$P709
))),"")</f>
        <v/>
      </c>
      <c r="AG709" s="6" t="str">
        <f>IFERROR(IF($F709="Total",
         SUMPRODUCT(
         INDEX(AG:AG, ROW()-COUNTIF($F$6:INDEX($F:$F, ROW()-1), $F708)) : INDEX(AG:AG, ROW()-1),
         INDEX(AB:AB, ROW()-COUNTIF($F$6:INDEX($F:$F, ROW()-1), $F708)) : INDEX(AB:AB, ROW()-1)
         )
         /SUM(INDEX(AB:AB, ROW()-COUNTIF($F$6:INDEX($F:$F, ROW()-1), $F708)) : INDEX(AB:AB, ROW()-1)),
          AVERAGEIFS(unit_details[Asking PSF],
          unit_details[Active Listing?],TRUE,
          unit_details[Property Name], $F709,
          unit_details[Beds], $L709,
          unit_details[Baths], $M709,
          unit_details[Partial Baths], IF(ISNUMBER($N709),$N709,""),
          unit_details[Sqft],$P709
)),"")</f>
        <v/>
      </c>
      <c r="AH709" s="293" t="str">
        <f>IFERROR(IF($F709="Total",
         SUMPRODUCT(
         INDEX(AH:AH, ROW()-COUNTIF($F$6:INDEX($F:$F, ROW()-1), $F708)) : INDEX(AH:AH, ROW()-1),
         INDEX(AB:AB, ROW()-COUNTIF($F$6:INDEX($F:$F, ROW()-1), $F708)) : INDEX(AB:AB, ROW()-1)
         )
         /SUM(INDEX(AB:AB, ROW()-COUNTIF($F$6:INDEX($F:$F, ROW()-1), $F708)) : INDEX(AB:AB, ROW()-1)),
          AVERAGEIFS(unit_details[Effective Rent],
          unit_details[Active Listing?],TRUE,
          unit_details[Property Name], $F709,
          unit_details[Beds], $L709,
          unit_details[Baths], $M709,
          unit_details[Partial Baths], IF(ISNUMBER($N709),$N709,""),
          unit_details[Sqft],$P709
)),"")</f>
        <v/>
      </c>
      <c r="AI709" s="6" t="str">
        <f>IFERROR(IF($F709="Total",
         SUMPRODUCT(
         INDEX(AI:AI, ROW()-COUNTIF($F$6:INDEX($F:$F, ROW()-1), $F708)) : INDEX(AI:AI, ROW()-1),
         INDEX(AB:AB, ROW()-COUNTIF($F$6:INDEX($F:$F, ROW()-1), $F708)) : INDEX(AB:AB, ROW()-1)
         )
         /SUM(INDEX(AB:AB, ROW()-COUNTIF($F$6:INDEX($F:$F, ROW()-1), $F708)) : INDEX(AB:AB, ROW()-1)),
           AVERAGEIFS(unit_details[Effective PSF],
          unit_details[Active Listing?],TRUE,
          unit_details[Property Name], $F709,
          unit_details[Beds], $L709,
          unit_details[Baths], $M709,
          unit_details[Partial Baths], IF(ISNUMBER($N709),$N709,""),
          unit_details[Sqft],$P709
)),"")</f>
        <v/>
      </c>
      <c r="AJ709" s="824" t="str">
        <f t="shared" si="114"/>
        <v/>
      </c>
      <c r="AK709" s="531" t="str">
        <f t="shared" si="115"/>
        <v/>
      </c>
      <c r="AL709" s="714" t="str">
        <f t="shared" si="116"/>
        <v/>
      </c>
      <c r="AM709" s="531" t="str">
        <f t="shared" si="117"/>
        <v/>
      </c>
      <c r="AN709" s="716" t="str">
        <f t="shared" si="118"/>
        <v/>
      </c>
    </row>
    <row r="710" spans="6:40" x14ac:dyDescent="0.2">
      <c r="F710" s="1" t="str">
        <f t="shared" si="111"/>
        <v/>
      </c>
      <c r="G710" s="713" t="str">
        <f t="shared" si="119"/>
        <v/>
      </c>
      <c r="H710" s="17" t="str">
        <f>IFERROR(VLOOKUP($G710,Table1[[Property]:[Exposure %]],4,0),"")</f>
        <v/>
      </c>
      <c r="I710" s="3" t="str">
        <f>IFERROR(VLOOKUP($G710,Table1[[Property]:[Exposure %]],6,0),"")</f>
        <v/>
      </c>
      <c r="J710" s="3" t="str">
        <f>IFERROR(VLOOKUP($G710,Table1[[Property]:[Exposure %]],7,0),"")</f>
        <v/>
      </c>
      <c r="R710" s="4" t="str">
        <f>IFERROR(VLOOKUP(IF(F710="Total",F709,F710),Table1[[Property]:['# Units]],7,0)*S710,"")</f>
        <v/>
      </c>
      <c r="S710" s="27" t="str">
        <f t="shared" si="112"/>
        <v/>
      </c>
      <c r="T710" s="531" t="str">
        <f>IFERROR(
 IF($F710="Total",
   SUMPRODUCT(
   INDEX(T:T, ROW()-COUNTIF($F$6:INDEX($F:$F, ROW()-1), $F709)) : INDEX(T:T, ROW()-1),
   INDEX(W:W, ROW()-COUNTIF($F$6:INDEX($F:$F, ROW()-1), $F709)) : INDEX(W:W, ROW()-1)
   )
   /SUM(INDEX(W:W, ROW()-COUNTIF($F$6:INDEX($F:$F, ROW()-1), $F709)) : INDEX(W:W, ROW()-1)),
   AVERAGEIFS(
     INDEX((unit_details[Asking Rent],unit_details[Asking PSF]),0,1,IF($U$3="Chunk Rent",1,2)),
     unit_details[Leased Date],"&gt;="&amp;($AM$2-T$5),
     unit_details[Leased Date],"&lt;"&amp;$AM$2,
     unit_details[Beds],$L710,
     unit_details[Baths],$M710,
     unit_details[Partial Baths],IF(ISNUMBER($N710),$N710,""),
     unit_details[Sqft],$P710,
     unit_details[Property Name],$F710)
 ),"")</f>
        <v/>
      </c>
      <c r="U710" s="552" t="str">
        <f>IFERROR(
 IF($F710="Total",
   SUMPRODUCT(
   INDEX(U:U, ROW()-COUNTIF($F$6:INDEX($F:$F, ROW()-1), $F709)) : INDEX(U:U, ROW()-1),
   INDEX(W:W, ROW()-COUNTIF($F$6:INDEX($F:$F, ROW()-1), $F709)) : INDEX(W:W, ROW()-1)
   )
   /SUM(INDEX(W:W, ROW()-COUNTIF($F$6:INDEX($F:$F, ROW()-1), $F709)) : INDEX(W:W, ROW()-1)),
   AVERAGEIFS(
     INDEX((unit_details[Effective Rent],unit_details[Effective PSF]),0,1,IF($U$3="Chunk Rent",1,2)),
     unit_details[Leased Date],"&gt;="&amp;($AM$2-T$5),
     unit_details[Leased Date],"&lt;"&amp;$AM$2,
     unit_details[Beds],$L710,
     unit_details[Baths],$M710,
     unit_details[Partial Baths],IF(ISNUMBER($N710),$N710,""),
     unit_details[Sqft],$P710,
     unit_details[Property Name],$F710)
 ),"")</f>
        <v/>
      </c>
      <c r="V710" s="27" t="str">
        <f t="shared" si="120"/>
        <v/>
      </c>
      <c r="W710" s="526">
        <f>IFERROR(
  IF($F710="Total",
    SUM(INDEX(W:W, ROW()-COUNTIF($F$6:INDEX($F:$F, ROW()-1), $F709)) : INDEX(W:W, ROW()-1)),
    COUNTIFS(
      unit_details[Leased Date], "&gt;="&amp;($AM$2-T$5),
      unit_details[Leased Date], "&lt;"&amp;$AM$2,
      unit_details[Beds], $L710,
      unit_details[Baths], $M710,
      unit_details[Partial Baths], IF(ISNUMBER($N710), $N710, ""),
      unit_details[Sqft],$P710,
      unit_details[Property Name], $F710
    )
  ),
"")</f>
        <v>0</v>
      </c>
      <c r="X710" s="531" t="str">
        <f>IFERROR(
 IF($F710="Total",
   SUMPRODUCT(
   INDEX(X:X, ROW()-COUNTIF($F$6:INDEX($F:$F, ROW()-1), $F709)) : INDEX(X:X, ROW()-1),
   INDEX(AA:AA, ROW()-COUNTIF($F$6:INDEX($F:$F, ROW()-1), $F709)) : INDEX(AA:AA, ROW()-1)
   )
   /SUM(INDEX(AA:AA, ROW()-COUNTIF($F$6:INDEX($F:$F, ROW()-1), $F709)) : INDEX(AA:AA, ROW()-1)),
   AVERAGEIFS(
     INDEX((unit_details[Asking Rent],unit_details[Asking PSF]),0,1,IF($U$3="Chunk Rent",1,2)),
     unit_details[Leased Date],"&gt;="&amp;($AM$2-X$5),
     unit_details[Leased Date],"&lt;"&amp;$AM$2,
     unit_details[Beds],$L710,
     unit_details[Baths],$M710,
     unit_details[Partial Baths],IF(ISNUMBER($N710),$N710,""),
     unit_details[Sqft],$P710,
     unit_details[Property Name],$F710)
 ),"")</f>
        <v/>
      </c>
      <c r="Y710" s="552" t="str">
        <f>IFERROR(
 IF($F710="Total",
   SUMPRODUCT(
   INDEX(Y:Y, ROW()-COUNTIF($F$6:INDEX($F:$F, ROW()-1), $F709)) : INDEX(Y:Y, ROW()-1),
   INDEX(AA:AA, ROW()-COUNTIF($F$6:INDEX($F:$F, ROW()-1), $F709)) : INDEX(AA:AA, ROW()-1)
   )
   /SUM(INDEX(AA:AA, ROW()-COUNTIF($F$6:INDEX($F:$F, ROW()-1), $F709)) : INDEX(AA:AA, ROW()-1)),
   AVERAGEIFS(
     INDEX((unit_details[Effective Rent],unit_details[Effective PSF]),0,1,IF($U$3="Chunk Rent",1,2)),
     unit_details[Leased Date],"&gt;="&amp;($AM$2-X$5),
     unit_details[Leased Date],"&lt;"&amp;$AM$2,
     unit_details[Beds],$L710,
     unit_details[Baths],$M710,
     unit_details[Partial Baths],IF(ISNUMBER($N710),$N710,""),
     unit_details[Sqft],$P710,
     unit_details[Property Name],$F710)
 ),"")</f>
        <v/>
      </c>
      <c r="Z710" s="27" t="str">
        <f t="shared" si="121"/>
        <v/>
      </c>
      <c r="AA710" s="526">
        <f>IFERROR(
  IF($F710="Total",
    SUM(INDEX(AA:AA, ROW()-COUNTIF($F$6:INDEX($F:$F, ROW()-1), $F709)) : INDEX(AA:AA, ROW()-1)),
    COUNTIFS(
      unit_details[Leased Date], "&gt;="&amp;($AM$2-X$5),
      unit_details[Leased Date], "&lt;"&amp;$AM$2,
      unit_details[Beds], $L710,
      unit_details[Baths], $M710,
      unit_details[Partial Baths], IF(ISNUMBER($N710), $N710, ""),
      unit_details[Sqft],$P710,
      unit_details[Property Name], $F710
    )
  ),
"")</f>
        <v>0</v>
      </c>
      <c r="AB710" s="290">
        <f>IF($F710="Total",
SUM(INDEX(AB:AB, ROW()-COUNTIF($F$6:INDEX($F:$F, ROW()-1), $F709)) : INDEX(AB:AB, ROW()-1)),
COUNTIFS(unit_details[Active Listing?],TRUE,
          unit_details[Property Name], $F710,
          unit_details[Beds], $L710,
          unit_details[Baths], $M710,
          unit_details[Partial Baths],IF(ISNUMBER($N710),$N710,""),
          unit_details[Sqft],$P710))</f>
        <v>0</v>
      </c>
      <c r="AC710" s="27" t="str">
        <f t="shared" si="113"/>
        <v/>
      </c>
      <c r="AD710" s="293" t="str">
        <f>IFERROR(IF(AE710="","",IF($F710="Total",
SUMPRODUCT(
   INDEX(AD:AD, ROW()-COUNTIF($F$6:INDEX($F:$F, ROW()-1), $F709)) : INDEX(AD:AD, ROW()-1),
   INDEX(AB:AB, ROW()-COUNTIF($F$6:INDEX($F:$F, ROW()-1), $F709)) : INDEX(AB:AB, ROW()-1)
   )
   /SUM(INDEX(AB:AB, ROW()-COUNTIF($F$6:INDEX($F:$F, ROW()-1), $F709)) : INDEX(AB:AB, ROW()-1)),
          _xlfn.MINIFS(unit_details[Asking Rent],
          unit_details[Active Listing?],TRUE,
          unit_details[Property Name], $F710,
          unit_details[Beds], $L710,
          unit_details[Baths], $M710,
          unit_details[Partial Baths], IF(ISNUMBER($N710),$N710,""),
          unit_details[Sqft],$P710
))),"")</f>
        <v/>
      </c>
      <c r="AE710" s="5" t="str">
        <f>IFERROR(IF($F710="Total",
          SUMPRODUCT(
   INDEX(AE:AE, ROW()-COUNTIF($F$6:INDEX($F:$F, ROW()-1), $F709)) : INDEX(AE:AE, ROW()-1),
   INDEX(AB:AB, ROW()-COUNTIF($F$6:INDEX($F:$F, ROW()-1), $F709)) : INDEX(AB:AB, ROW()-1)
   )
   /SUM(INDEX(AB:AB, ROW()-COUNTIF($F$6:INDEX($F:$F, ROW()-1), $F709)) : INDEX(AB:AB, ROW()-1)),
          AVERAGEIFS(unit_details[Asking Rent],
          unit_details[Active Listing?],TRUE,
          unit_details[Property Name], $F710,
          unit_details[Beds], $L710,
          unit_details[Baths], $M710,
          unit_details[Partial Baths], IF(ISNUMBER($N710),$N710,""),
          unit_details[Sqft],$P710
)),"")</f>
        <v/>
      </c>
      <c r="AF710" s="5" t="str">
        <f>IFERROR(IF(AE710="","",IF($F710="Total",
SUMPRODUCT(
   INDEX(AF:AF, ROW()-COUNTIF($F$6:INDEX($F:$F, ROW()-1), $F709)) : INDEX(AF:AF, ROW()-1),
   INDEX(AB:AB, ROW()-COUNTIF($F$6:INDEX($F:$F, ROW()-1), $F709)) : INDEX(AB:AB, ROW()-1)
   )
   /SUM(INDEX(AB:AB, ROW()-COUNTIF($F$6:INDEX($F:$F, ROW()-1), $F709)) : INDEX(AB:AB, ROW()-1)),
           _xlfn.MAXIFS(unit_details[Asking Rent],
          unit_details[Active Listing?],TRUE,
          unit_details[Property Name], $F710,
          unit_details[Beds], $L710,
          unit_details[Baths], $M710,
          unit_details[Partial Baths], IF(ISNUMBER($N710),$N710,""),
          unit_details[Sqft],$P710
))),"")</f>
        <v/>
      </c>
      <c r="AG710" s="6" t="str">
        <f>IFERROR(IF($F710="Total",
         SUMPRODUCT(
         INDEX(AG:AG, ROW()-COUNTIF($F$6:INDEX($F:$F, ROW()-1), $F709)) : INDEX(AG:AG, ROW()-1),
         INDEX(AB:AB, ROW()-COUNTIF($F$6:INDEX($F:$F, ROW()-1), $F709)) : INDEX(AB:AB, ROW()-1)
         )
         /SUM(INDEX(AB:AB, ROW()-COUNTIF($F$6:INDEX($F:$F, ROW()-1), $F709)) : INDEX(AB:AB, ROW()-1)),
          AVERAGEIFS(unit_details[Asking PSF],
          unit_details[Active Listing?],TRUE,
          unit_details[Property Name], $F710,
          unit_details[Beds], $L710,
          unit_details[Baths], $M710,
          unit_details[Partial Baths], IF(ISNUMBER($N710),$N710,""),
          unit_details[Sqft],$P710
)),"")</f>
        <v/>
      </c>
      <c r="AH710" s="293" t="str">
        <f>IFERROR(IF($F710="Total",
         SUMPRODUCT(
         INDEX(AH:AH, ROW()-COUNTIF($F$6:INDEX($F:$F, ROW()-1), $F709)) : INDEX(AH:AH, ROW()-1),
         INDEX(AB:AB, ROW()-COUNTIF($F$6:INDEX($F:$F, ROW()-1), $F709)) : INDEX(AB:AB, ROW()-1)
         )
         /SUM(INDEX(AB:AB, ROW()-COUNTIF($F$6:INDEX($F:$F, ROW()-1), $F709)) : INDEX(AB:AB, ROW()-1)),
          AVERAGEIFS(unit_details[Effective Rent],
          unit_details[Active Listing?],TRUE,
          unit_details[Property Name], $F710,
          unit_details[Beds], $L710,
          unit_details[Baths], $M710,
          unit_details[Partial Baths], IF(ISNUMBER($N710),$N710,""),
          unit_details[Sqft],$P710
)),"")</f>
        <v/>
      </c>
      <c r="AI710" s="6" t="str">
        <f>IFERROR(IF($F710="Total",
         SUMPRODUCT(
         INDEX(AI:AI, ROW()-COUNTIF($F$6:INDEX($F:$F, ROW()-1), $F709)) : INDEX(AI:AI, ROW()-1),
         INDEX(AB:AB, ROW()-COUNTIF($F$6:INDEX($F:$F, ROW()-1), $F709)) : INDEX(AB:AB, ROW()-1)
         )
         /SUM(INDEX(AB:AB, ROW()-COUNTIF($F$6:INDEX($F:$F, ROW()-1), $F709)) : INDEX(AB:AB, ROW()-1)),
           AVERAGEIFS(unit_details[Effective PSF],
          unit_details[Active Listing?],TRUE,
          unit_details[Property Name], $F710,
          unit_details[Beds], $L710,
          unit_details[Baths], $M710,
          unit_details[Partial Baths], IF(ISNUMBER($N710),$N710,""),
          unit_details[Sqft],$P710
)),"")</f>
        <v/>
      </c>
      <c r="AJ710" s="824" t="str">
        <f t="shared" si="114"/>
        <v/>
      </c>
      <c r="AK710" s="531" t="str">
        <f t="shared" si="115"/>
        <v/>
      </c>
      <c r="AL710" s="714" t="str">
        <f t="shared" si="116"/>
        <v/>
      </c>
      <c r="AM710" s="531" t="str">
        <f t="shared" si="117"/>
        <v/>
      </c>
      <c r="AN710" s="716" t="str">
        <f t="shared" si="118"/>
        <v/>
      </c>
    </row>
    <row r="711" spans="6:40" x14ac:dyDescent="0.2">
      <c r="F711" s="1" t="str">
        <f t="shared" ref="F711:F774" si="122">IF(RIGHT(K711,5)="Total","Total",IF(ISTEXT(K711),K711,IF(F710="Total","",F710)))</f>
        <v/>
      </c>
      <c r="G711" s="713" t="str">
        <f t="shared" si="119"/>
        <v/>
      </c>
      <c r="H711" s="17" t="str">
        <f>IFERROR(VLOOKUP($G711,Table1[[Property]:[Exposure %]],4,0),"")</f>
        <v/>
      </c>
      <c r="I711" s="3" t="str">
        <f>IFERROR(VLOOKUP($G711,Table1[[Property]:[Exposure %]],6,0),"")</f>
        <v/>
      </c>
      <c r="J711" s="3" t="str">
        <f>IFERROR(VLOOKUP($G711,Table1[[Property]:[Exposure %]],7,0),"")</f>
        <v/>
      </c>
      <c r="R711" s="4" t="str">
        <f>IFERROR(VLOOKUP(IF(F711="Total",F710,F711),Table1[[Property]:['# Units]],7,0)*S711,"")</f>
        <v/>
      </c>
      <c r="S711" s="27" t="str">
        <f t="shared" ref="S711:S774" si="123">IF(Q711=0,"",Q711)</f>
        <v/>
      </c>
      <c r="T711" s="531" t="str">
        <f>IFERROR(
 IF($F711="Total",
   SUMPRODUCT(
   INDEX(T:T, ROW()-COUNTIF($F$6:INDEX($F:$F, ROW()-1), $F710)) : INDEX(T:T, ROW()-1),
   INDEX(W:W, ROW()-COUNTIF($F$6:INDEX($F:$F, ROW()-1), $F710)) : INDEX(W:W, ROW()-1)
   )
   /SUM(INDEX(W:W, ROW()-COUNTIF($F$6:INDEX($F:$F, ROW()-1), $F710)) : INDEX(W:W, ROW()-1)),
   AVERAGEIFS(
     INDEX((unit_details[Asking Rent],unit_details[Asking PSF]),0,1,IF($U$3="Chunk Rent",1,2)),
     unit_details[Leased Date],"&gt;="&amp;($AM$2-T$5),
     unit_details[Leased Date],"&lt;"&amp;$AM$2,
     unit_details[Beds],$L711,
     unit_details[Baths],$M711,
     unit_details[Partial Baths],IF(ISNUMBER($N711),$N711,""),
     unit_details[Sqft],$P711,
     unit_details[Property Name],$F711)
 ),"")</f>
        <v/>
      </c>
      <c r="U711" s="552" t="str">
        <f>IFERROR(
 IF($F711="Total",
   SUMPRODUCT(
   INDEX(U:U, ROW()-COUNTIF($F$6:INDEX($F:$F, ROW()-1), $F710)) : INDEX(U:U, ROW()-1),
   INDEX(W:W, ROW()-COUNTIF($F$6:INDEX($F:$F, ROW()-1), $F710)) : INDEX(W:W, ROW()-1)
   )
   /SUM(INDEX(W:W, ROW()-COUNTIF($F$6:INDEX($F:$F, ROW()-1), $F710)) : INDEX(W:W, ROW()-1)),
   AVERAGEIFS(
     INDEX((unit_details[Effective Rent],unit_details[Effective PSF]),0,1,IF($U$3="Chunk Rent",1,2)),
     unit_details[Leased Date],"&gt;="&amp;($AM$2-T$5),
     unit_details[Leased Date],"&lt;"&amp;$AM$2,
     unit_details[Beds],$L711,
     unit_details[Baths],$M711,
     unit_details[Partial Baths],IF(ISNUMBER($N711),$N711,""),
     unit_details[Sqft],$P711,
     unit_details[Property Name],$F711)
 ),"")</f>
        <v/>
      </c>
      <c r="V711" s="27" t="str">
        <f t="shared" si="120"/>
        <v/>
      </c>
      <c r="W711" s="526">
        <f>IFERROR(
  IF($F711="Total",
    SUM(INDEX(W:W, ROW()-COUNTIF($F$6:INDEX($F:$F, ROW()-1), $F710)) : INDEX(W:W, ROW()-1)),
    COUNTIFS(
      unit_details[Leased Date], "&gt;="&amp;($AM$2-T$5),
      unit_details[Leased Date], "&lt;"&amp;$AM$2,
      unit_details[Beds], $L711,
      unit_details[Baths], $M711,
      unit_details[Partial Baths], IF(ISNUMBER($N711), $N711, ""),
      unit_details[Sqft],$P711,
      unit_details[Property Name], $F711
    )
  ),
"")</f>
        <v>0</v>
      </c>
      <c r="X711" s="531" t="str">
        <f>IFERROR(
 IF($F711="Total",
   SUMPRODUCT(
   INDEX(X:X, ROW()-COUNTIF($F$6:INDEX($F:$F, ROW()-1), $F710)) : INDEX(X:X, ROW()-1),
   INDEX(AA:AA, ROW()-COUNTIF($F$6:INDEX($F:$F, ROW()-1), $F710)) : INDEX(AA:AA, ROW()-1)
   )
   /SUM(INDEX(AA:AA, ROW()-COUNTIF($F$6:INDEX($F:$F, ROW()-1), $F710)) : INDEX(AA:AA, ROW()-1)),
   AVERAGEIFS(
     INDEX((unit_details[Asking Rent],unit_details[Asking PSF]),0,1,IF($U$3="Chunk Rent",1,2)),
     unit_details[Leased Date],"&gt;="&amp;($AM$2-X$5),
     unit_details[Leased Date],"&lt;"&amp;$AM$2,
     unit_details[Beds],$L711,
     unit_details[Baths],$M711,
     unit_details[Partial Baths],IF(ISNUMBER($N711),$N711,""),
     unit_details[Sqft],$P711,
     unit_details[Property Name],$F711)
 ),"")</f>
        <v/>
      </c>
      <c r="Y711" s="552" t="str">
        <f>IFERROR(
 IF($F711="Total",
   SUMPRODUCT(
   INDEX(Y:Y, ROW()-COUNTIF($F$6:INDEX($F:$F, ROW()-1), $F710)) : INDEX(Y:Y, ROW()-1),
   INDEX(AA:AA, ROW()-COUNTIF($F$6:INDEX($F:$F, ROW()-1), $F710)) : INDEX(AA:AA, ROW()-1)
   )
   /SUM(INDEX(AA:AA, ROW()-COUNTIF($F$6:INDEX($F:$F, ROW()-1), $F710)) : INDEX(AA:AA, ROW()-1)),
   AVERAGEIFS(
     INDEX((unit_details[Effective Rent],unit_details[Effective PSF]),0,1,IF($U$3="Chunk Rent",1,2)),
     unit_details[Leased Date],"&gt;="&amp;($AM$2-X$5),
     unit_details[Leased Date],"&lt;"&amp;$AM$2,
     unit_details[Beds],$L711,
     unit_details[Baths],$M711,
     unit_details[Partial Baths],IF(ISNUMBER($N711),$N711,""),
     unit_details[Sqft],$P711,
     unit_details[Property Name],$F711)
 ),"")</f>
        <v/>
      </c>
      <c r="Z711" s="27" t="str">
        <f t="shared" si="121"/>
        <v/>
      </c>
      <c r="AA711" s="526">
        <f>IFERROR(
  IF($F711="Total",
    SUM(INDEX(AA:AA, ROW()-COUNTIF($F$6:INDEX($F:$F, ROW()-1), $F710)) : INDEX(AA:AA, ROW()-1)),
    COUNTIFS(
      unit_details[Leased Date], "&gt;="&amp;($AM$2-X$5),
      unit_details[Leased Date], "&lt;"&amp;$AM$2,
      unit_details[Beds], $L711,
      unit_details[Baths], $M711,
      unit_details[Partial Baths], IF(ISNUMBER($N711), $N711, ""),
      unit_details[Sqft],$P711,
      unit_details[Property Name], $F711
    )
  ),
"")</f>
        <v>0</v>
      </c>
      <c r="AB711" s="290">
        <f>IF($F711="Total",
SUM(INDEX(AB:AB, ROW()-COUNTIF($F$6:INDEX($F:$F, ROW()-1), $F710)) : INDEX(AB:AB, ROW()-1)),
COUNTIFS(unit_details[Active Listing?],TRUE,
          unit_details[Property Name], $F711,
          unit_details[Beds], $L711,
          unit_details[Baths], $M711,
          unit_details[Partial Baths],IF(ISNUMBER($N711),$N711,""),
          unit_details[Sqft],$P711))</f>
        <v>0</v>
      </c>
      <c r="AC711" s="27" t="str">
        <f t="shared" ref="AC711:AC774" si="124">IFERROR(AB711/R711,"")</f>
        <v/>
      </c>
      <c r="AD711" s="293" t="str">
        <f>IFERROR(IF(AE711="","",IF($F711="Total",
SUMPRODUCT(
   INDEX(AD:AD, ROW()-COUNTIF($F$6:INDEX($F:$F, ROW()-1), $F710)) : INDEX(AD:AD, ROW()-1),
   INDEX(AB:AB, ROW()-COUNTIF($F$6:INDEX($F:$F, ROW()-1), $F710)) : INDEX(AB:AB, ROW()-1)
   )
   /SUM(INDEX(AB:AB, ROW()-COUNTIF($F$6:INDEX($F:$F, ROW()-1), $F710)) : INDEX(AB:AB, ROW()-1)),
          _xlfn.MINIFS(unit_details[Asking Rent],
          unit_details[Active Listing?],TRUE,
          unit_details[Property Name], $F711,
          unit_details[Beds], $L711,
          unit_details[Baths], $M711,
          unit_details[Partial Baths], IF(ISNUMBER($N711),$N711,""),
          unit_details[Sqft],$P711
))),"")</f>
        <v/>
      </c>
      <c r="AE711" s="5" t="str">
        <f>IFERROR(IF($F711="Total",
          SUMPRODUCT(
   INDEX(AE:AE, ROW()-COUNTIF($F$6:INDEX($F:$F, ROW()-1), $F710)) : INDEX(AE:AE, ROW()-1),
   INDEX(AB:AB, ROW()-COUNTIF($F$6:INDEX($F:$F, ROW()-1), $F710)) : INDEX(AB:AB, ROW()-1)
   )
   /SUM(INDEX(AB:AB, ROW()-COUNTIF($F$6:INDEX($F:$F, ROW()-1), $F710)) : INDEX(AB:AB, ROW()-1)),
          AVERAGEIFS(unit_details[Asking Rent],
          unit_details[Active Listing?],TRUE,
          unit_details[Property Name], $F711,
          unit_details[Beds], $L711,
          unit_details[Baths], $M711,
          unit_details[Partial Baths], IF(ISNUMBER($N711),$N711,""),
          unit_details[Sqft],$P711
)),"")</f>
        <v/>
      </c>
      <c r="AF711" s="5" t="str">
        <f>IFERROR(IF(AE711="","",IF($F711="Total",
SUMPRODUCT(
   INDEX(AF:AF, ROW()-COUNTIF($F$6:INDEX($F:$F, ROW()-1), $F710)) : INDEX(AF:AF, ROW()-1),
   INDEX(AB:AB, ROW()-COUNTIF($F$6:INDEX($F:$F, ROW()-1), $F710)) : INDEX(AB:AB, ROW()-1)
   )
   /SUM(INDEX(AB:AB, ROW()-COUNTIF($F$6:INDEX($F:$F, ROW()-1), $F710)) : INDEX(AB:AB, ROW()-1)),
           _xlfn.MAXIFS(unit_details[Asking Rent],
          unit_details[Active Listing?],TRUE,
          unit_details[Property Name], $F711,
          unit_details[Beds], $L711,
          unit_details[Baths], $M711,
          unit_details[Partial Baths], IF(ISNUMBER($N711),$N711,""),
          unit_details[Sqft],$P711
))),"")</f>
        <v/>
      </c>
      <c r="AG711" s="6" t="str">
        <f>IFERROR(IF($F711="Total",
         SUMPRODUCT(
         INDEX(AG:AG, ROW()-COUNTIF($F$6:INDEX($F:$F, ROW()-1), $F710)) : INDEX(AG:AG, ROW()-1),
         INDEX(AB:AB, ROW()-COUNTIF($F$6:INDEX($F:$F, ROW()-1), $F710)) : INDEX(AB:AB, ROW()-1)
         )
         /SUM(INDEX(AB:AB, ROW()-COUNTIF($F$6:INDEX($F:$F, ROW()-1), $F710)) : INDEX(AB:AB, ROW()-1)),
          AVERAGEIFS(unit_details[Asking PSF],
          unit_details[Active Listing?],TRUE,
          unit_details[Property Name], $F711,
          unit_details[Beds], $L711,
          unit_details[Baths], $M711,
          unit_details[Partial Baths], IF(ISNUMBER($N711),$N711,""),
          unit_details[Sqft],$P711
)),"")</f>
        <v/>
      </c>
      <c r="AH711" s="293" t="str">
        <f>IFERROR(IF($F711="Total",
         SUMPRODUCT(
         INDEX(AH:AH, ROW()-COUNTIF($F$6:INDEX($F:$F, ROW()-1), $F710)) : INDEX(AH:AH, ROW()-1),
         INDEX(AB:AB, ROW()-COUNTIF($F$6:INDEX($F:$F, ROW()-1), $F710)) : INDEX(AB:AB, ROW()-1)
         )
         /SUM(INDEX(AB:AB, ROW()-COUNTIF($F$6:INDEX($F:$F, ROW()-1), $F710)) : INDEX(AB:AB, ROW()-1)),
          AVERAGEIFS(unit_details[Effective Rent],
          unit_details[Active Listing?],TRUE,
          unit_details[Property Name], $F711,
          unit_details[Beds], $L711,
          unit_details[Baths], $M711,
          unit_details[Partial Baths], IF(ISNUMBER($N711),$N711,""),
          unit_details[Sqft],$P711
)),"")</f>
        <v/>
      </c>
      <c r="AI711" s="6" t="str">
        <f>IFERROR(IF($F711="Total",
         SUMPRODUCT(
         INDEX(AI:AI, ROW()-COUNTIF($F$6:INDEX($F:$F, ROW()-1), $F710)) : INDEX(AI:AI, ROW()-1),
         INDEX(AB:AB, ROW()-COUNTIF($F$6:INDEX($F:$F, ROW()-1), $F710)) : INDEX(AB:AB, ROW()-1)
         )
         /SUM(INDEX(AB:AB, ROW()-COUNTIF($F$6:INDEX($F:$F, ROW()-1), $F710)) : INDEX(AB:AB, ROW()-1)),
           AVERAGEIFS(unit_details[Effective PSF],
          unit_details[Active Listing?],TRUE,
          unit_details[Property Name], $F711,
          unit_details[Beds], $L711,
          unit_details[Baths], $M711,
          unit_details[Partial Baths], IF(ISNUMBER($N711),$N711,""),
          unit_details[Sqft],$P711
)),"")</f>
        <v/>
      </c>
      <c r="AJ711" s="824" t="str">
        <f t="shared" ref="AJ711:AJ774" si="125">IFERROR((AE711-AH711)/AE711,"")</f>
        <v/>
      </c>
      <c r="AK711" s="531" t="str">
        <f t="shared" ref="AK711:AK774" si="126">IFERROR(
IF(AND($AM$3="Asking Rent",$U$3="Chunk Rent"),$AE711-$T711,
IF(AND($AM$3="Effective Rent",$U$3="Chunk Rent"),$AH711-$U711,
IF(AND($AM$3="Asking Rent",$U$3="Rent PSF"),$AG711-$T711,$AI711-$U711))),"")</f>
        <v/>
      </c>
      <c r="AL711" s="714" t="str">
        <f t="shared" ref="AL711:AL774" si="127">IFERROR(AK711/(IF($AM$3="Asking Rent",T711,U711)),"")</f>
        <v/>
      </c>
      <c r="AM711" s="531" t="str">
        <f t="shared" ref="AM711:AM774" si="128">IFERROR(
IF(AND($AM$3="Asking Rent",$U$3="Chunk Rent"),$AE711-$X711,
IF(AND($AM$3="Effective Rent",$U$3="Chunk Rent"),$AH711-$Y711,
IF(AND($AM$3="Asking Rent",$U$3="Rent PSF"),$AG711-$X711,$AI711-$Y711))),"")</f>
        <v/>
      </c>
      <c r="AN711" s="716" t="str">
        <f t="shared" ref="AN711:AN774" si="129">IFERROR(AM711/(IF($AM$3="Asking Rent",X711,Y711)),"")</f>
        <v/>
      </c>
    </row>
    <row r="712" spans="6:40" x14ac:dyDescent="0.2">
      <c r="F712" s="1" t="str">
        <f t="shared" si="122"/>
        <v/>
      </c>
      <c r="G712" s="713" t="str">
        <f t="shared" ref="G712:G775" si="130">IF(F712=F711,"",F712)</f>
        <v/>
      </c>
      <c r="H712" s="17" t="str">
        <f>IFERROR(VLOOKUP($G712,Table1[[Property]:[Exposure %]],4,0),"")</f>
        <v/>
      </c>
      <c r="I712" s="3" t="str">
        <f>IFERROR(VLOOKUP($G712,Table1[[Property]:[Exposure %]],6,0),"")</f>
        <v/>
      </c>
      <c r="J712" s="3" t="str">
        <f>IFERROR(VLOOKUP($G712,Table1[[Property]:[Exposure %]],7,0),"")</f>
        <v/>
      </c>
      <c r="R712" s="4" t="str">
        <f>IFERROR(VLOOKUP(IF(F712="Total",F711,F712),Table1[[Property]:['# Units]],7,0)*S712,"")</f>
        <v/>
      </c>
      <c r="S712" s="27" t="str">
        <f t="shared" si="123"/>
        <v/>
      </c>
      <c r="T712" s="531" t="str">
        <f>IFERROR(
 IF($F712="Total",
   SUMPRODUCT(
   INDEX(T:T, ROW()-COUNTIF($F$6:INDEX($F:$F, ROW()-1), $F711)) : INDEX(T:T, ROW()-1),
   INDEX(W:W, ROW()-COUNTIF($F$6:INDEX($F:$F, ROW()-1), $F711)) : INDEX(W:W, ROW()-1)
   )
   /SUM(INDEX(W:W, ROW()-COUNTIF($F$6:INDEX($F:$F, ROW()-1), $F711)) : INDEX(W:W, ROW()-1)),
   AVERAGEIFS(
     INDEX((unit_details[Asking Rent],unit_details[Asking PSF]),0,1,IF($U$3="Chunk Rent",1,2)),
     unit_details[Leased Date],"&gt;="&amp;($AM$2-T$5),
     unit_details[Leased Date],"&lt;"&amp;$AM$2,
     unit_details[Beds],$L712,
     unit_details[Baths],$M712,
     unit_details[Partial Baths],IF(ISNUMBER($N712),$N712,""),
     unit_details[Sqft],$P712,
     unit_details[Property Name],$F712)
 ),"")</f>
        <v/>
      </c>
      <c r="U712" s="552" t="str">
        <f>IFERROR(
 IF($F712="Total",
   SUMPRODUCT(
   INDEX(U:U, ROW()-COUNTIF($F$6:INDEX($F:$F, ROW()-1), $F711)) : INDEX(U:U, ROW()-1),
   INDEX(W:W, ROW()-COUNTIF($F$6:INDEX($F:$F, ROW()-1), $F711)) : INDEX(W:W, ROW()-1)
   )
   /SUM(INDEX(W:W, ROW()-COUNTIF($F$6:INDEX($F:$F, ROW()-1), $F711)) : INDEX(W:W, ROW()-1)),
   AVERAGEIFS(
     INDEX((unit_details[Effective Rent],unit_details[Effective PSF]),0,1,IF($U$3="Chunk Rent",1,2)),
     unit_details[Leased Date],"&gt;="&amp;($AM$2-T$5),
     unit_details[Leased Date],"&lt;"&amp;$AM$2,
     unit_details[Beds],$L712,
     unit_details[Baths],$M712,
     unit_details[Partial Baths],IF(ISNUMBER($N712),$N712,""),
     unit_details[Sqft],$P712,
     unit_details[Property Name],$F712)
 ),"")</f>
        <v/>
      </c>
      <c r="V712" s="27" t="str">
        <f t="shared" ref="V712:V775" si="131">IFERROR(IF((T712-U712)/T712=0,"",(T712-U712)/T712),"")</f>
        <v/>
      </c>
      <c r="W712" s="526">
        <f>IFERROR(
  IF($F712="Total",
    SUM(INDEX(W:W, ROW()-COUNTIF($F$6:INDEX($F:$F, ROW()-1), $F711)) : INDEX(W:W, ROW()-1)),
    COUNTIFS(
      unit_details[Leased Date], "&gt;="&amp;($AM$2-T$5),
      unit_details[Leased Date], "&lt;"&amp;$AM$2,
      unit_details[Beds], $L712,
      unit_details[Baths], $M712,
      unit_details[Partial Baths], IF(ISNUMBER($N712), $N712, ""),
      unit_details[Sqft],$P712,
      unit_details[Property Name], $F712
    )
  ),
"")</f>
        <v>0</v>
      </c>
      <c r="X712" s="531" t="str">
        <f>IFERROR(
 IF($F712="Total",
   SUMPRODUCT(
   INDEX(X:X, ROW()-COUNTIF($F$6:INDEX($F:$F, ROW()-1), $F711)) : INDEX(X:X, ROW()-1),
   INDEX(AA:AA, ROW()-COUNTIF($F$6:INDEX($F:$F, ROW()-1), $F711)) : INDEX(AA:AA, ROW()-1)
   )
   /SUM(INDEX(AA:AA, ROW()-COUNTIF($F$6:INDEX($F:$F, ROW()-1), $F711)) : INDEX(AA:AA, ROW()-1)),
   AVERAGEIFS(
     INDEX((unit_details[Asking Rent],unit_details[Asking PSF]),0,1,IF($U$3="Chunk Rent",1,2)),
     unit_details[Leased Date],"&gt;="&amp;($AM$2-X$5),
     unit_details[Leased Date],"&lt;"&amp;$AM$2,
     unit_details[Beds],$L712,
     unit_details[Baths],$M712,
     unit_details[Partial Baths],IF(ISNUMBER($N712),$N712,""),
     unit_details[Sqft],$P712,
     unit_details[Property Name],$F712)
 ),"")</f>
        <v/>
      </c>
      <c r="Y712" s="552" t="str">
        <f>IFERROR(
 IF($F712="Total",
   SUMPRODUCT(
   INDEX(Y:Y, ROW()-COUNTIF($F$6:INDEX($F:$F, ROW()-1), $F711)) : INDEX(Y:Y, ROW()-1),
   INDEX(AA:AA, ROW()-COUNTIF($F$6:INDEX($F:$F, ROW()-1), $F711)) : INDEX(AA:AA, ROW()-1)
   )
   /SUM(INDEX(AA:AA, ROW()-COUNTIF($F$6:INDEX($F:$F, ROW()-1), $F711)) : INDEX(AA:AA, ROW()-1)),
   AVERAGEIFS(
     INDEX((unit_details[Effective Rent],unit_details[Effective PSF]),0,1,IF($U$3="Chunk Rent",1,2)),
     unit_details[Leased Date],"&gt;="&amp;($AM$2-X$5),
     unit_details[Leased Date],"&lt;"&amp;$AM$2,
     unit_details[Beds],$L712,
     unit_details[Baths],$M712,
     unit_details[Partial Baths],IF(ISNUMBER($N712),$N712,""),
     unit_details[Sqft],$P712,
     unit_details[Property Name],$F712)
 ),"")</f>
        <v/>
      </c>
      <c r="Z712" s="27" t="str">
        <f t="shared" ref="Z712:Z775" si="132">IFERROR(IF((X712-Y712)/X712=0,"",(X712-Y712)/X712),"")</f>
        <v/>
      </c>
      <c r="AA712" s="526">
        <f>IFERROR(
  IF($F712="Total",
    SUM(INDEX(AA:AA, ROW()-COUNTIF($F$6:INDEX($F:$F, ROW()-1), $F711)) : INDEX(AA:AA, ROW()-1)),
    COUNTIFS(
      unit_details[Leased Date], "&gt;="&amp;($AM$2-X$5),
      unit_details[Leased Date], "&lt;"&amp;$AM$2,
      unit_details[Beds], $L712,
      unit_details[Baths], $M712,
      unit_details[Partial Baths], IF(ISNUMBER($N712), $N712, ""),
      unit_details[Sqft],$P712,
      unit_details[Property Name], $F712
    )
  ),
"")</f>
        <v>0</v>
      </c>
      <c r="AB712" s="290">
        <f>IF($F712="Total",
SUM(INDEX(AB:AB, ROW()-COUNTIF($F$6:INDEX($F:$F, ROW()-1), $F711)) : INDEX(AB:AB, ROW()-1)),
COUNTIFS(unit_details[Active Listing?],TRUE,
          unit_details[Property Name], $F712,
          unit_details[Beds], $L712,
          unit_details[Baths], $M712,
          unit_details[Partial Baths],IF(ISNUMBER($N712),$N712,""),
          unit_details[Sqft],$P712))</f>
        <v>0</v>
      </c>
      <c r="AC712" s="27" t="str">
        <f t="shared" si="124"/>
        <v/>
      </c>
      <c r="AD712" s="293" t="str">
        <f>IFERROR(IF(AE712="","",IF($F712="Total",
SUMPRODUCT(
   INDEX(AD:AD, ROW()-COUNTIF($F$6:INDEX($F:$F, ROW()-1), $F711)) : INDEX(AD:AD, ROW()-1),
   INDEX(AB:AB, ROW()-COUNTIF($F$6:INDEX($F:$F, ROW()-1), $F711)) : INDEX(AB:AB, ROW()-1)
   )
   /SUM(INDEX(AB:AB, ROW()-COUNTIF($F$6:INDEX($F:$F, ROW()-1), $F711)) : INDEX(AB:AB, ROW()-1)),
          _xlfn.MINIFS(unit_details[Asking Rent],
          unit_details[Active Listing?],TRUE,
          unit_details[Property Name], $F712,
          unit_details[Beds], $L712,
          unit_details[Baths], $M712,
          unit_details[Partial Baths], IF(ISNUMBER($N712),$N712,""),
          unit_details[Sqft],$P712
))),"")</f>
        <v/>
      </c>
      <c r="AE712" s="5" t="str">
        <f>IFERROR(IF($F712="Total",
          SUMPRODUCT(
   INDEX(AE:AE, ROW()-COUNTIF($F$6:INDEX($F:$F, ROW()-1), $F711)) : INDEX(AE:AE, ROW()-1),
   INDEX(AB:AB, ROW()-COUNTIF($F$6:INDEX($F:$F, ROW()-1), $F711)) : INDEX(AB:AB, ROW()-1)
   )
   /SUM(INDEX(AB:AB, ROW()-COUNTIF($F$6:INDEX($F:$F, ROW()-1), $F711)) : INDEX(AB:AB, ROW()-1)),
          AVERAGEIFS(unit_details[Asking Rent],
          unit_details[Active Listing?],TRUE,
          unit_details[Property Name], $F712,
          unit_details[Beds], $L712,
          unit_details[Baths], $M712,
          unit_details[Partial Baths], IF(ISNUMBER($N712),$N712,""),
          unit_details[Sqft],$P712
)),"")</f>
        <v/>
      </c>
      <c r="AF712" s="5" t="str">
        <f>IFERROR(IF(AE712="","",IF($F712="Total",
SUMPRODUCT(
   INDEX(AF:AF, ROW()-COUNTIF($F$6:INDEX($F:$F, ROW()-1), $F711)) : INDEX(AF:AF, ROW()-1),
   INDEX(AB:AB, ROW()-COUNTIF($F$6:INDEX($F:$F, ROW()-1), $F711)) : INDEX(AB:AB, ROW()-1)
   )
   /SUM(INDEX(AB:AB, ROW()-COUNTIF($F$6:INDEX($F:$F, ROW()-1), $F711)) : INDEX(AB:AB, ROW()-1)),
           _xlfn.MAXIFS(unit_details[Asking Rent],
          unit_details[Active Listing?],TRUE,
          unit_details[Property Name], $F712,
          unit_details[Beds], $L712,
          unit_details[Baths], $M712,
          unit_details[Partial Baths], IF(ISNUMBER($N712),$N712,""),
          unit_details[Sqft],$P712
))),"")</f>
        <v/>
      </c>
      <c r="AG712" s="6" t="str">
        <f>IFERROR(IF($F712="Total",
         SUMPRODUCT(
         INDEX(AG:AG, ROW()-COUNTIF($F$6:INDEX($F:$F, ROW()-1), $F711)) : INDEX(AG:AG, ROW()-1),
         INDEX(AB:AB, ROW()-COUNTIF($F$6:INDEX($F:$F, ROW()-1), $F711)) : INDEX(AB:AB, ROW()-1)
         )
         /SUM(INDEX(AB:AB, ROW()-COUNTIF($F$6:INDEX($F:$F, ROW()-1), $F711)) : INDEX(AB:AB, ROW()-1)),
          AVERAGEIFS(unit_details[Asking PSF],
          unit_details[Active Listing?],TRUE,
          unit_details[Property Name], $F712,
          unit_details[Beds], $L712,
          unit_details[Baths], $M712,
          unit_details[Partial Baths], IF(ISNUMBER($N712),$N712,""),
          unit_details[Sqft],$P712
)),"")</f>
        <v/>
      </c>
      <c r="AH712" s="293" t="str">
        <f>IFERROR(IF($F712="Total",
         SUMPRODUCT(
         INDEX(AH:AH, ROW()-COUNTIF($F$6:INDEX($F:$F, ROW()-1), $F711)) : INDEX(AH:AH, ROW()-1),
         INDEX(AB:AB, ROW()-COUNTIF($F$6:INDEX($F:$F, ROW()-1), $F711)) : INDEX(AB:AB, ROW()-1)
         )
         /SUM(INDEX(AB:AB, ROW()-COUNTIF($F$6:INDEX($F:$F, ROW()-1), $F711)) : INDEX(AB:AB, ROW()-1)),
          AVERAGEIFS(unit_details[Effective Rent],
          unit_details[Active Listing?],TRUE,
          unit_details[Property Name], $F712,
          unit_details[Beds], $L712,
          unit_details[Baths], $M712,
          unit_details[Partial Baths], IF(ISNUMBER($N712),$N712,""),
          unit_details[Sqft],$P712
)),"")</f>
        <v/>
      </c>
      <c r="AI712" s="6" t="str">
        <f>IFERROR(IF($F712="Total",
         SUMPRODUCT(
         INDEX(AI:AI, ROW()-COUNTIF($F$6:INDEX($F:$F, ROW()-1), $F711)) : INDEX(AI:AI, ROW()-1),
         INDEX(AB:AB, ROW()-COUNTIF($F$6:INDEX($F:$F, ROW()-1), $F711)) : INDEX(AB:AB, ROW()-1)
         )
         /SUM(INDEX(AB:AB, ROW()-COUNTIF($F$6:INDEX($F:$F, ROW()-1), $F711)) : INDEX(AB:AB, ROW()-1)),
           AVERAGEIFS(unit_details[Effective PSF],
          unit_details[Active Listing?],TRUE,
          unit_details[Property Name], $F712,
          unit_details[Beds], $L712,
          unit_details[Baths], $M712,
          unit_details[Partial Baths], IF(ISNUMBER($N712),$N712,""),
          unit_details[Sqft],$P712
)),"")</f>
        <v/>
      </c>
      <c r="AJ712" s="824" t="str">
        <f t="shared" si="125"/>
        <v/>
      </c>
      <c r="AK712" s="531" t="str">
        <f t="shared" si="126"/>
        <v/>
      </c>
      <c r="AL712" s="714" t="str">
        <f t="shared" si="127"/>
        <v/>
      </c>
      <c r="AM712" s="531" t="str">
        <f t="shared" si="128"/>
        <v/>
      </c>
      <c r="AN712" s="716" t="str">
        <f t="shared" si="129"/>
        <v/>
      </c>
    </row>
    <row r="713" spans="6:40" x14ac:dyDescent="0.2">
      <c r="F713" s="1" t="str">
        <f t="shared" si="122"/>
        <v/>
      </c>
      <c r="G713" s="713" t="str">
        <f t="shared" si="130"/>
        <v/>
      </c>
      <c r="H713" s="17" t="str">
        <f>IFERROR(VLOOKUP($G713,Table1[[Property]:[Exposure %]],4,0),"")</f>
        <v/>
      </c>
      <c r="I713" s="3" t="str">
        <f>IFERROR(VLOOKUP($G713,Table1[[Property]:[Exposure %]],6,0),"")</f>
        <v/>
      </c>
      <c r="J713" s="3" t="str">
        <f>IFERROR(VLOOKUP($G713,Table1[[Property]:[Exposure %]],7,0),"")</f>
        <v/>
      </c>
      <c r="R713" s="4" t="str">
        <f>IFERROR(VLOOKUP(IF(F713="Total",F712,F713),Table1[[Property]:['# Units]],7,0)*S713,"")</f>
        <v/>
      </c>
      <c r="S713" s="27" t="str">
        <f t="shared" si="123"/>
        <v/>
      </c>
      <c r="T713" s="531" t="str">
        <f>IFERROR(
 IF($F713="Total",
   SUMPRODUCT(
   INDEX(T:T, ROW()-COUNTIF($F$6:INDEX($F:$F, ROW()-1), $F712)) : INDEX(T:T, ROW()-1),
   INDEX(W:W, ROW()-COUNTIF($F$6:INDEX($F:$F, ROW()-1), $F712)) : INDEX(W:W, ROW()-1)
   )
   /SUM(INDEX(W:W, ROW()-COUNTIF($F$6:INDEX($F:$F, ROW()-1), $F712)) : INDEX(W:W, ROW()-1)),
   AVERAGEIFS(
     INDEX((unit_details[Asking Rent],unit_details[Asking PSF]),0,1,IF($U$3="Chunk Rent",1,2)),
     unit_details[Leased Date],"&gt;="&amp;($AM$2-T$5),
     unit_details[Leased Date],"&lt;"&amp;$AM$2,
     unit_details[Beds],$L713,
     unit_details[Baths],$M713,
     unit_details[Partial Baths],IF(ISNUMBER($N713),$N713,""),
     unit_details[Sqft],$P713,
     unit_details[Property Name],$F713)
 ),"")</f>
        <v/>
      </c>
      <c r="U713" s="552" t="str">
        <f>IFERROR(
 IF($F713="Total",
   SUMPRODUCT(
   INDEX(U:U, ROW()-COUNTIF($F$6:INDEX($F:$F, ROW()-1), $F712)) : INDEX(U:U, ROW()-1),
   INDEX(W:W, ROW()-COUNTIF($F$6:INDEX($F:$F, ROW()-1), $F712)) : INDEX(W:W, ROW()-1)
   )
   /SUM(INDEX(W:W, ROW()-COUNTIF($F$6:INDEX($F:$F, ROW()-1), $F712)) : INDEX(W:W, ROW()-1)),
   AVERAGEIFS(
     INDEX((unit_details[Effective Rent],unit_details[Effective PSF]),0,1,IF($U$3="Chunk Rent",1,2)),
     unit_details[Leased Date],"&gt;="&amp;($AM$2-T$5),
     unit_details[Leased Date],"&lt;"&amp;$AM$2,
     unit_details[Beds],$L713,
     unit_details[Baths],$M713,
     unit_details[Partial Baths],IF(ISNUMBER($N713),$N713,""),
     unit_details[Sqft],$P713,
     unit_details[Property Name],$F713)
 ),"")</f>
        <v/>
      </c>
      <c r="V713" s="27" t="str">
        <f t="shared" si="131"/>
        <v/>
      </c>
      <c r="W713" s="526">
        <f>IFERROR(
  IF($F713="Total",
    SUM(INDEX(W:W, ROW()-COUNTIF($F$6:INDEX($F:$F, ROW()-1), $F712)) : INDEX(W:W, ROW()-1)),
    COUNTIFS(
      unit_details[Leased Date], "&gt;="&amp;($AM$2-T$5),
      unit_details[Leased Date], "&lt;"&amp;$AM$2,
      unit_details[Beds], $L713,
      unit_details[Baths], $M713,
      unit_details[Partial Baths], IF(ISNUMBER($N713), $N713, ""),
      unit_details[Sqft],$P713,
      unit_details[Property Name], $F713
    )
  ),
"")</f>
        <v>0</v>
      </c>
      <c r="X713" s="531" t="str">
        <f>IFERROR(
 IF($F713="Total",
   SUMPRODUCT(
   INDEX(X:X, ROW()-COUNTIF($F$6:INDEX($F:$F, ROW()-1), $F712)) : INDEX(X:X, ROW()-1),
   INDEX(AA:AA, ROW()-COUNTIF($F$6:INDEX($F:$F, ROW()-1), $F712)) : INDEX(AA:AA, ROW()-1)
   )
   /SUM(INDEX(AA:AA, ROW()-COUNTIF($F$6:INDEX($F:$F, ROW()-1), $F712)) : INDEX(AA:AA, ROW()-1)),
   AVERAGEIFS(
     INDEX((unit_details[Asking Rent],unit_details[Asking PSF]),0,1,IF($U$3="Chunk Rent",1,2)),
     unit_details[Leased Date],"&gt;="&amp;($AM$2-X$5),
     unit_details[Leased Date],"&lt;"&amp;$AM$2,
     unit_details[Beds],$L713,
     unit_details[Baths],$M713,
     unit_details[Partial Baths],IF(ISNUMBER($N713),$N713,""),
     unit_details[Sqft],$P713,
     unit_details[Property Name],$F713)
 ),"")</f>
        <v/>
      </c>
      <c r="Y713" s="552" t="str">
        <f>IFERROR(
 IF($F713="Total",
   SUMPRODUCT(
   INDEX(Y:Y, ROW()-COUNTIF($F$6:INDEX($F:$F, ROW()-1), $F712)) : INDEX(Y:Y, ROW()-1),
   INDEX(AA:AA, ROW()-COUNTIF($F$6:INDEX($F:$F, ROW()-1), $F712)) : INDEX(AA:AA, ROW()-1)
   )
   /SUM(INDEX(AA:AA, ROW()-COUNTIF($F$6:INDEX($F:$F, ROW()-1), $F712)) : INDEX(AA:AA, ROW()-1)),
   AVERAGEIFS(
     INDEX((unit_details[Effective Rent],unit_details[Effective PSF]),0,1,IF($U$3="Chunk Rent",1,2)),
     unit_details[Leased Date],"&gt;="&amp;($AM$2-X$5),
     unit_details[Leased Date],"&lt;"&amp;$AM$2,
     unit_details[Beds],$L713,
     unit_details[Baths],$M713,
     unit_details[Partial Baths],IF(ISNUMBER($N713),$N713,""),
     unit_details[Sqft],$P713,
     unit_details[Property Name],$F713)
 ),"")</f>
        <v/>
      </c>
      <c r="Z713" s="27" t="str">
        <f t="shared" si="132"/>
        <v/>
      </c>
      <c r="AA713" s="526">
        <f>IFERROR(
  IF($F713="Total",
    SUM(INDEX(AA:AA, ROW()-COUNTIF($F$6:INDEX($F:$F, ROW()-1), $F712)) : INDEX(AA:AA, ROW()-1)),
    COUNTIFS(
      unit_details[Leased Date], "&gt;="&amp;($AM$2-X$5),
      unit_details[Leased Date], "&lt;"&amp;$AM$2,
      unit_details[Beds], $L713,
      unit_details[Baths], $M713,
      unit_details[Partial Baths], IF(ISNUMBER($N713), $N713, ""),
      unit_details[Sqft],$P713,
      unit_details[Property Name], $F713
    )
  ),
"")</f>
        <v>0</v>
      </c>
      <c r="AB713" s="290">
        <f>IF($F713="Total",
SUM(INDEX(AB:AB, ROW()-COUNTIF($F$6:INDEX($F:$F, ROW()-1), $F712)) : INDEX(AB:AB, ROW()-1)),
COUNTIFS(unit_details[Active Listing?],TRUE,
          unit_details[Property Name], $F713,
          unit_details[Beds], $L713,
          unit_details[Baths], $M713,
          unit_details[Partial Baths],IF(ISNUMBER($N713),$N713,""),
          unit_details[Sqft],$P713))</f>
        <v>0</v>
      </c>
      <c r="AC713" s="27" t="str">
        <f t="shared" si="124"/>
        <v/>
      </c>
      <c r="AD713" s="293" t="str">
        <f>IFERROR(IF(AE713="","",IF($F713="Total",
SUMPRODUCT(
   INDEX(AD:AD, ROW()-COUNTIF($F$6:INDEX($F:$F, ROW()-1), $F712)) : INDEX(AD:AD, ROW()-1),
   INDEX(AB:AB, ROW()-COUNTIF($F$6:INDEX($F:$F, ROW()-1), $F712)) : INDEX(AB:AB, ROW()-1)
   )
   /SUM(INDEX(AB:AB, ROW()-COUNTIF($F$6:INDEX($F:$F, ROW()-1), $F712)) : INDEX(AB:AB, ROW()-1)),
          _xlfn.MINIFS(unit_details[Asking Rent],
          unit_details[Active Listing?],TRUE,
          unit_details[Property Name], $F713,
          unit_details[Beds], $L713,
          unit_details[Baths], $M713,
          unit_details[Partial Baths], IF(ISNUMBER($N713),$N713,""),
          unit_details[Sqft],$P713
))),"")</f>
        <v/>
      </c>
      <c r="AE713" s="5" t="str">
        <f>IFERROR(IF($F713="Total",
          SUMPRODUCT(
   INDEX(AE:AE, ROW()-COUNTIF($F$6:INDEX($F:$F, ROW()-1), $F712)) : INDEX(AE:AE, ROW()-1),
   INDEX(AB:AB, ROW()-COUNTIF($F$6:INDEX($F:$F, ROW()-1), $F712)) : INDEX(AB:AB, ROW()-1)
   )
   /SUM(INDEX(AB:AB, ROW()-COUNTIF($F$6:INDEX($F:$F, ROW()-1), $F712)) : INDEX(AB:AB, ROW()-1)),
          AVERAGEIFS(unit_details[Asking Rent],
          unit_details[Active Listing?],TRUE,
          unit_details[Property Name], $F713,
          unit_details[Beds], $L713,
          unit_details[Baths], $M713,
          unit_details[Partial Baths], IF(ISNUMBER($N713),$N713,""),
          unit_details[Sqft],$P713
)),"")</f>
        <v/>
      </c>
      <c r="AF713" s="5" t="str">
        <f>IFERROR(IF(AE713="","",IF($F713="Total",
SUMPRODUCT(
   INDEX(AF:AF, ROW()-COUNTIF($F$6:INDEX($F:$F, ROW()-1), $F712)) : INDEX(AF:AF, ROW()-1),
   INDEX(AB:AB, ROW()-COUNTIF($F$6:INDEX($F:$F, ROW()-1), $F712)) : INDEX(AB:AB, ROW()-1)
   )
   /SUM(INDEX(AB:AB, ROW()-COUNTIF($F$6:INDEX($F:$F, ROW()-1), $F712)) : INDEX(AB:AB, ROW()-1)),
           _xlfn.MAXIFS(unit_details[Asking Rent],
          unit_details[Active Listing?],TRUE,
          unit_details[Property Name], $F713,
          unit_details[Beds], $L713,
          unit_details[Baths], $M713,
          unit_details[Partial Baths], IF(ISNUMBER($N713),$N713,""),
          unit_details[Sqft],$P713
))),"")</f>
        <v/>
      </c>
      <c r="AG713" s="6" t="str">
        <f>IFERROR(IF($F713="Total",
         SUMPRODUCT(
         INDEX(AG:AG, ROW()-COUNTIF($F$6:INDEX($F:$F, ROW()-1), $F712)) : INDEX(AG:AG, ROW()-1),
         INDEX(AB:AB, ROW()-COUNTIF($F$6:INDEX($F:$F, ROW()-1), $F712)) : INDEX(AB:AB, ROW()-1)
         )
         /SUM(INDEX(AB:AB, ROW()-COUNTIF($F$6:INDEX($F:$F, ROW()-1), $F712)) : INDEX(AB:AB, ROW()-1)),
          AVERAGEIFS(unit_details[Asking PSF],
          unit_details[Active Listing?],TRUE,
          unit_details[Property Name], $F713,
          unit_details[Beds], $L713,
          unit_details[Baths], $M713,
          unit_details[Partial Baths], IF(ISNUMBER($N713),$N713,""),
          unit_details[Sqft],$P713
)),"")</f>
        <v/>
      </c>
      <c r="AH713" s="293" t="str">
        <f>IFERROR(IF($F713="Total",
         SUMPRODUCT(
         INDEX(AH:AH, ROW()-COUNTIF($F$6:INDEX($F:$F, ROW()-1), $F712)) : INDEX(AH:AH, ROW()-1),
         INDEX(AB:AB, ROW()-COUNTIF($F$6:INDEX($F:$F, ROW()-1), $F712)) : INDEX(AB:AB, ROW()-1)
         )
         /SUM(INDEX(AB:AB, ROW()-COUNTIF($F$6:INDEX($F:$F, ROW()-1), $F712)) : INDEX(AB:AB, ROW()-1)),
          AVERAGEIFS(unit_details[Effective Rent],
          unit_details[Active Listing?],TRUE,
          unit_details[Property Name], $F713,
          unit_details[Beds], $L713,
          unit_details[Baths], $M713,
          unit_details[Partial Baths], IF(ISNUMBER($N713),$N713,""),
          unit_details[Sqft],$P713
)),"")</f>
        <v/>
      </c>
      <c r="AI713" s="6" t="str">
        <f>IFERROR(IF($F713="Total",
         SUMPRODUCT(
         INDEX(AI:AI, ROW()-COUNTIF($F$6:INDEX($F:$F, ROW()-1), $F712)) : INDEX(AI:AI, ROW()-1),
         INDEX(AB:AB, ROW()-COUNTIF($F$6:INDEX($F:$F, ROW()-1), $F712)) : INDEX(AB:AB, ROW()-1)
         )
         /SUM(INDEX(AB:AB, ROW()-COUNTIF($F$6:INDEX($F:$F, ROW()-1), $F712)) : INDEX(AB:AB, ROW()-1)),
           AVERAGEIFS(unit_details[Effective PSF],
          unit_details[Active Listing?],TRUE,
          unit_details[Property Name], $F713,
          unit_details[Beds], $L713,
          unit_details[Baths], $M713,
          unit_details[Partial Baths], IF(ISNUMBER($N713),$N713,""),
          unit_details[Sqft],$P713
)),"")</f>
        <v/>
      </c>
      <c r="AJ713" s="824" t="str">
        <f t="shared" si="125"/>
        <v/>
      </c>
      <c r="AK713" s="531" t="str">
        <f t="shared" si="126"/>
        <v/>
      </c>
      <c r="AL713" s="714" t="str">
        <f t="shared" si="127"/>
        <v/>
      </c>
      <c r="AM713" s="531" t="str">
        <f t="shared" si="128"/>
        <v/>
      </c>
      <c r="AN713" s="716" t="str">
        <f t="shared" si="129"/>
        <v/>
      </c>
    </row>
    <row r="714" spans="6:40" x14ac:dyDescent="0.2">
      <c r="F714" s="1" t="str">
        <f t="shared" si="122"/>
        <v/>
      </c>
      <c r="G714" s="713" t="str">
        <f t="shared" si="130"/>
        <v/>
      </c>
      <c r="H714" s="17" t="str">
        <f>IFERROR(VLOOKUP($G714,Table1[[Property]:[Exposure %]],4,0),"")</f>
        <v/>
      </c>
      <c r="I714" s="3" t="str">
        <f>IFERROR(VLOOKUP($G714,Table1[[Property]:[Exposure %]],6,0),"")</f>
        <v/>
      </c>
      <c r="J714" s="3" t="str">
        <f>IFERROR(VLOOKUP($G714,Table1[[Property]:[Exposure %]],7,0),"")</f>
        <v/>
      </c>
      <c r="R714" s="4" t="str">
        <f>IFERROR(VLOOKUP(IF(F714="Total",F713,F714),Table1[[Property]:['# Units]],7,0)*S714,"")</f>
        <v/>
      </c>
      <c r="S714" s="27" t="str">
        <f t="shared" si="123"/>
        <v/>
      </c>
      <c r="T714" s="531" t="str">
        <f>IFERROR(
 IF($F714="Total",
   SUMPRODUCT(
   INDEX(T:T, ROW()-COUNTIF($F$6:INDEX($F:$F, ROW()-1), $F713)) : INDEX(T:T, ROW()-1),
   INDEX(W:W, ROW()-COUNTIF($F$6:INDEX($F:$F, ROW()-1), $F713)) : INDEX(W:W, ROW()-1)
   )
   /SUM(INDEX(W:W, ROW()-COUNTIF($F$6:INDEX($F:$F, ROW()-1), $F713)) : INDEX(W:W, ROW()-1)),
   AVERAGEIFS(
     INDEX((unit_details[Asking Rent],unit_details[Asking PSF]),0,1,IF($U$3="Chunk Rent",1,2)),
     unit_details[Leased Date],"&gt;="&amp;($AM$2-T$5),
     unit_details[Leased Date],"&lt;"&amp;$AM$2,
     unit_details[Beds],$L714,
     unit_details[Baths],$M714,
     unit_details[Partial Baths],IF(ISNUMBER($N714),$N714,""),
     unit_details[Sqft],$P714,
     unit_details[Property Name],$F714)
 ),"")</f>
        <v/>
      </c>
      <c r="U714" s="552" t="str">
        <f>IFERROR(
 IF($F714="Total",
   SUMPRODUCT(
   INDEX(U:U, ROW()-COUNTIF($F$6:INDEX($F:$F, ROW()-1), $F713)) : INDEX(U:U, ROW()-1),
   INDEX(W:W, ROW()-COUNTIF($F$6:INDEX($F:$F, ROW()-1), $F713)) : INDEX(W:W, ROW()-1)
   )
   /SUM(INDEX(W:W, ROW()-COUNTIF($F$6:INDEX($F:$F, ROW()-1), $F713)) : INDEX(W:W, ROW()-1)),
   AVERAGEIFS(
     INDEX((unit_details[Effective Rent],unit_details[Effective PSF]),0,1,IF($U$3="Chunk Rent",1,2)),
     unit_details[Leased Date],"&gt;="&amp;($AM$2-T$5),
     unit_details[Leased Date],"&lt;"&amp;$AM$2,
     unit_details[Beds],$L714,
     unit_details[Baths],$M714,
     unit_details[Partial Baths],IF(ISNUMBER($N714),$N714,""),
     unit_details[Sqft],$P714,
     unit_details[Property Name],$F714)
 ),"")</f>
        <v/>
      </c>
      <c r="V714" s="27" t="str">
        <f t="shared" si="131"/>
        <v/>
      </c>
      <c r="W714" s="526">
        <f>IFERROR(
  IF($F714="Total",
    SUM(INDEX(W:W, ROW()-COUNTIF($F$6:INDEX($F:$F, ROW()-1), $F713)) : INDEX(W:W, ROW()-1)),
    COUNTIFS(
      unit_details[Leased Date], "&gt;="&amp;($AM$2-T$5),
      unit_details[Leased Date], "&lt;"&amp;$AM$2,
      unit_details[Beds], $L714,
      unit_details[Baths], $M714,
      unit_details[Partial Baths], IF(ISNUMBER($N714), $N714, ""),
      unit_details[Sqft],$P714,
      unit_details[Property Name], $F714
    )
  ),
"")</f>
        <v>0</v>
      </c>
      <c r="X714" s="531" t="str">
        <f>IFERROR(
 IF($F714="Total",
   SUMPRODUCT(
   INDEX(X:X, ROW()-COUNTIF($F$6:INDEX($F:$F, ROW()-1), $F713)) : INDEX(X:X, ROW()-1),
   INDEX(AA:AA, ROW()-COUNTIF($F$6:INDEX($F:$F, ROW()-1), $F713)) : INDEX(AA:AA, ROW()-1)
   )
   /SUM(INDEX(AA:AA, ROW()-COUNTIF($F$6:INDEX($F:$F, ROW()-1), $F713)) : INDEX(AA:AA, ROW()-1)),
   AVERAGEIFS(
     INDEX((unit_details[Asking Rent],unit_details[Asking PSF]),0,1,IF($U$3="Chunk Rent",1,2)),
     unit_details[Leased Date],"&gt;="&amp;($AM$2-X$5),
     unit_details[Leased Date],"&lt;"&amp;$AM$2,
     unit_details[Beds],$L714,
     unit_details[Baths],$M714,
     unit_details[Partial Baths],IF(ISNUMBER($N714),$N714,""),
     unit_details[Sqft],$P714,
     unit_details[Property Name],$F714)
 ),"")</f>
        <v/>
      </c>
      <c r="Y714" s="552" t="str">
        <f>IFERROR(
 IF($F714="Total",
   SUMPRODUCT(
   INDEX(Y:Y, ROW()-COUNTIF($F$6:INDEX($F:$F, ROW()-1), $F713)) : INDEX(Y:Y, ROW()-1),
   INDEX(AA:AA, ROW()-COUNTIF($F$6:INDEX($F:$F, ROW()-1), $F713)) : INDEX(AA:AA, ROW()-1)
   )
   /SUM(INDEX(AA:AA, ROW()-COUNTIF($F$6:INDEX($F:$F, ROW()-1), $F713)) : INDEX(AA:AA, ROW()-1)),
   AVERAGEIFS(
     INDEX((unit_details[Effective Rent],unit_details[Effective PSF]),0,1,IF($U$3="Chunk Rent",1,2)),
     unit_details[Leased Date],"&gt;="&amp;($AM$2-X$5),
     unit_details[Leased Date],"&lt;"&amp;$AM$2,
     unit_details[Beds],$L714,
     unit_details[Baths],$M714,
     unit_details[Partial Baths],IF(ISNUMBER($N714),$N714,""),
     unit_details[Sqft],$P714,
     unit_details[Property Name],$F714)
 ),"")</f>
        <v/>
      </c>
      <c r="Z714" s="27" t="str">
        <f t="shared" si="132"/>
        <v/>
      </c>
      <c r="AA714" s="526">
        <f>IFERROR(
  IF($F714="Total",
    SUM(INDEX(AA:AA, ROW()-COUNTIF($F$6:INDEX($F:$F, ROW()-1), $F713)) : INDEX(AA:AA, ROW()-1)),
    COUNTIFS(
      unit_details[Leased Date], "&gt;="&amp;($AM$2-X$5),
      unit_details[Leased Date], "&lt;"&amp;$AM$2,
      unit_details[Beds], $L714,
      unit_details[Baths], $M714,
      unit_details[Partial Baths], IF(ISNUMBER($N714), $N714, ""),
      unit_details[Sqft],$P714,
      unit_details[Property Name], $F714
    )
  ),
"")</f>
        <v>0</v>
      </c>
      <c r="AB714" s="290">
        <f>IF($F714="Total",
SUM(INDEX(AB:AB, ROW()-COUNTIF($F$6:INDEX($F:$F, ROW()-1), $F713)) : INDEX(AB:AB, ROW()-1)),
COUNTIFS(unit_details[Active Listing?],TRUE,
          unit_details[Property Name], $F714,
          unit_details[Beds], $L714,
          unit_details[Baths], $M714,
          unit_details[Partial Baths],IF(ISNUMBER($N714),$N714,""),
          unit_details[Sqft],$P714))</f>
        <v>0</v>
      </c>
      <c r="AC714" s="27" t="str">
        <f t="shared" si="124"/>
        <v/>
      </c>
      <c r="AD714" s="293" t="str">
        <f>IFERROR(IF(AE714="","",IF($F714="Total",
SUMPRODUCT(
   INDEX(AD:AD, ROW()-COUNTIF($F$6:INDEX($F:$F, ROW()-1), $F713)) : INDEX(AD:AD, ROW()-1),
   INDEX(AB:AB, ROW()-COUNTIF($F$6:INDEX($F:$F, ROW()-1), $F713)) : INDEX(AB:AB, ROW()-1)
   )
   /SUM(INDEX(AB:AB, ROW()-COUNTIF($F$6:INDEX($F:$F, ROW()-1), $F713)) : INDEX(AB:AB, ROW()-1)),
          _xlfn.MINIFS(unit_details[Asking Rent],
          unit_details[Active Listing?],TRUE,
          unit_details[Property Name], $F714,
          unit_details[Beds], $L714,
          unit_details[Baths], $M714,
          unit_details[Partial Baths], IF(ISNUMBER($N714),$N714,""),
          unit_details[Sqft],$P714
))),"")</f>
        <v/>
      </c>
      <c r="AE714" s="5" t="str">
        <f>IFERROR(IF($F714="Total",
          SUMPRODUCT(
   INDEX(AE:AE, ROW()-COUNTIF($F$6:INDEX($F:$F, ROW()-1), $F713)) : INDEX(AE:AE, ROW()-1),
   INDEX(AB:AB, ROW()-COUNTIF($F$6:INDEX($F:$F, ROW()-1), $F713)) : INDEX(AB:AB, ROW()-1)
   )
   /SUM(INDEX(AB:AB, ROW()-COUNTIF($F$6:INDEX($F:$F, ROW()-1), $F713)) : INDEX(AB:AB, ROW()-1)),
          AVERAGEIFS(unit_details[Asking Rent],
          unit_details[Active Listing?],TRUE,
          unit_details[Property Name], $F714,
          unit_details[Beds], $L714,
          unit_details[Baths], $M714,
          unit_details[Partial Baths], IF(ISNUMBER($N714),$N714,""),
          unit_details[Sqft],$P714
)),"")</f>
        <v/>
      </c>
      <c r="AF714" s="5" t="str">
        <f>IFERROR(IF(AE714="","",IF($F714="Total",
SUMPRODUCT(
   INDEX(AF:AF, ROW()-COUNTIF($F$6:INDEX($F:$F, ROW()-1), $F713)) : INDEX(AF:AF, ROW()-1),
   INDEX(AB:AB, ROW()-COUNTIF($F$6:INDEX($F:$F, ROW()-1), $F713)) : INDEX(AB:AB, ROW()-1)
   )
   /SUM(INDEX(AB:AB, ROW()-COUNTIF($F$6:INDEX($F:$F, ROW()-1), $F713)) : INDEX(AB:AB, ROW()-1)),
           _xlfn.MAXIFS(unit_details[Asking Rent],
          unit_details[Active Listing?],TRUE,
          unit_details[Property Name], $F714,
          unit_details[Beds], $L714,
          unit_details[Baths], $M714,
          unit_details[Partial Baths], IF(ISNUMBER($N714),$N714,""),
          unit_details[Sqft],$P714
))),"")</f>
        <v/>
      </c>
      <c r="AG714" s="6" t="str">
        <f>IFERROR(IF($F714="Total",
         SUMPRODUCT(
         INDEX(AG:AG, ROW()-COUNTIF($F$6:INDEX($F:$F, ROW()-1), $F713)) : INDEX(AG:AG, ROW()-1),
         INDEX(AB:AB, ROW()-COUNTIF($F$6:INDEX($F:$F, ROW()-1), $F713)) : INDEX(AB:AB, ROW()-1)
         )
         /SUM(INDEX(AB:AB, ROW()-COUNTIF($F$6:INDEX($F:$F, ROW()-1), $F713)) : INDEX(AB:AB, ROW()-1)),
          AVERAGEIFS(unit_details[Asking PSF],
          unit_details[Active Listing?],TRUE,
          unit_details[Property Name], $F714,
          unit_details[Beds], $L714,
          unit_details[Baths], $M714,
          unit_details[Partial Baths], IF(ISNUMBER($N714),$N714,""),
          unit_details[Sqft],$P714
)),"")</f>
        <v/>
      </c>
      <c r="AH714" s="293" t="str">
        <f>IFERROR(IF($F714="Total",
         SUMPRODUCT(
         INDEX(AH:AH, ROW()-COUNTIF($F$6:INDEX($F:$F, ROW()-1), $F713)) : INDEX(AH:AH, ROW()-1),
         INDEX(AB:AB, ROW()-COUNTIF($F$6:INDEX($F:$F, ROW()-1), $F713)) : INDEX(AB:AB, ROW()-1)
         )
         /SUM(INDEX(AB:AB, ROW()-COUNTIF($F$6:INDEX($F:$F, ROW()-1), $F713)) : INDEX(AB:AB, ROW()-1)),
          AVERAGEIFS(unit_details[Effective Rent],
          unit_details[Active Listing?],TRUE,
          unit_details[Property Name], $F714,
          unit_details[Beds], $L714,
          unit_details[Baths], $M714,
          unit_details[Partial Baths], IF(ISNUMBER($N714),$N714,""),
          unit_details[Sqft],$P714
)),"")</f>
        <v/>
      </c>
      <c r="AI714" s="6" t="str">
        <f>IFERROR(IF($F714="Total",
         SUMPRODUCT(
         INDEX(AI:AI, ROW()-COUNTIF($F$6:INDEX($F:$F, ROW()-1), $F713)) : INDEX(AI:AI, ROW()-1),
         INDEX(AB:AB, ROW()-COUNTIF($F$6:INDEX($F:$F, ROW()-1), $F713)) : INDEX(AB:AB, ROW()-1)
         )
         /SUM(INDEX(AB:AB, ROW()-COUNTIF($F$6:INDEX($F:$F, ROW()-1), $F713)) : INDEX(AB:AB, ROW()-1)),
           AVERAGEIFS(unit_details[Effective PSF],
          unit_details[Active Listing?],TRUE,
          unit_details[Property Name], $F714,
          unit_details[Beds], $L714,
          unit_details[Baths], $M714,
          unit_details[Partial Baths], IF(ISNUMBER($N714),$N714,""),
          unit_details[Sqft],$P714
)),"")</f>
        <v/>
      </c>
      <c r="AJ714" s="824" t="str">
        <f t="shared" si="125"/>
        <v/>
      </c>
      <c r="AK714" s="531" t="str">
        <f t="shared" si="126"/>
        <v/>
      </c>
      <c r="AL714" s="714" t="str">
        <f t="shared" si="127"/>
        <v/>
      </c>
      <c r="AM714" s="531" t="str">
        <f t="shared" si="128"/>
        <v/>
      </c>
      <c r="AN714" s="716" t="str">
        <f t="shared" si="129"/>
        <v/>
      </c>
    </row>
    <row r="715" spans="6:40" x14ac:dyDescent="0.2">
      <c r="F715" s="1" t="str">
        <f t="shared" si="122"/>
        <v/>
      </c>
      <c r="G715" s="713" t="str">
        <f t="shared" si="130"/>
        <v/>
      </c>
      <c r="H715" s="17" t="str">
        <f>IFERROR(VLOOKUP($G715,Table1[[Property]:[Exposure %]],4,0),"")</f>
        <v/>
      </c>
      <c r="I715" s="3" t="str">
        <f>IFERROR(VLOOKUP($G715,Table1[[Property]:[Exposure %]],6,0),"")</f>
        <v/>
      </c>
      <c r="J715" s="3" t="str">
        <f>IFERROR(VLOOKUP($G715,Table1[[Property]:[Exposure %]],7,0),"")</f>
        <v/>
      </c>
      <c r="R715" s="4" t="str">
        <f>IFERROR(VLOOKUP(IF(F715="Total",F714,F715),Table1[[Property]:['# Units]],7,0)*S715,"")</f>
        <v/>
      </c>
      <c r="S715" s="27" t="str">
        <f t="shared" si="123"/>
        <v/>
      </c>
      <c r="T715" s="531" t="str">
        <f>IFERROR(
 IF($F715="Total",
   SUMPRODUCT(
   INDEX(T:T, ROW()-COUNTIF($F$6:INDEX($F:$F, ROW()-1), $F714)) : INDEX(T:T, ROW()-1),
   INDEX(W:W, ROW()-COUNTIF($F$6:INDEX($F:$F, ROW()-1), $F714)) : INDEX(W:W, ROW()-1)
   )
   /SUM(INDEX(W:W, ROW()-COUNTIF($F$6:INDEX($F:$F, ROW()-1), $F714)) : INDEX(W:W, ROW()-1)),
   AVERAGEIFS(
     INDEX((unit_details[Asking Rent],unit_details[Asking PSF]),0,1,IF($U$3="Chunk Rent",1,2)),
     unit_details[Leased Date],"&gt;="&amp;($AM$2-T$5),
     unit_details[Leased Date],"&lt;"&amp;$AM$2,
     unit_details[Beds],$L715,
     unit_details[Baths],$M715,
     unit_details[Partial Baths],IF(ISNUMBER($N715),$N715,""),
     unit_details[Sqft],$P715,
     unit_details[Property Name],$F715)
 ),"")</f>
        <v/>
      </c>
      <c r="U715" s="552" t="str">
        <f>IFERROR(
 IF($F715="Total",
   SUMPRODUCT(
   INDEX(U:U, ROW()-COUNTIF($F$6:INDEX($F:$F, ROW()-1), $F714)) : INDEX(U:U, ROW()-1),
   INDEX(W:W, ROW()-COUNTIF($F$6:INDEX($F:$F, ROW()-1), $F714)) : INDEX(W:W, ROW()-1)
   )
   /SUM(INDEX(W:W, ROW()-COUNTIF($F$6:INDEX($F:$F, ROW()-1), $F714)) : INDEX(W:W, ROW()-1)),
   AVERAGEIFS(
     INDEX((unit_details[Effective Rent],unit_details[Effective PSF]),0,1,IF($U$3="Chunk Rent",1,2)),
     unit_details[Leased Date],"&gt;="&amp;($AM$2-T$5),
     unit_details[Leased Date],"&lt;"&amp;$AM$2,
     unit_details[Beds],$L715,
     unit_details[Baths],$M715,
     unit_details[Partial Baths],IF(ISNUMBER($N715),$N715,""),
     unit_details[Sqft],$P715,
     unit_details[Property Name],$F715)
 ),"")</f>
        <v/>
      </c>
      <c r="V715" s="27" t="str">
        <f t="shared" si="131"/>
        <v/>
      </c>
      <c r="W715" s="526">
        <f>IFERROR(
  IF($F715="Total",
    SUM(INDEX(W:W, ROW()-COUNTIF($F$6:INDEX($F:$F, ROW()-1), $F714)) : INDEX(W:W, ROW()-1)),
    COUNTIFS(
      unit_details[Leased Date], "&gt;="&amp;($AM$2-T$5),
      unit_details[Leased Date], "&lt;"&amp;$AM$2,
      unit_details[Beds], $L715,
      unit_details[Baths], $M715,
      unit_details[Partial Baths], IF(ISNUMBER($N715), $N715, ""),
      unit_details[Sqft],$P715,
      unit_details[Property Name], $F715
    )
  ),
"")</f>
        <v>0</v>
      </c>
      <c r="X715" s="531" t="str">
        <f>IFERROR(
 IF($F715="Total",
   SUMPRODUCT(
   INDEX(X:X, ROW()-COUNTIF($F$6:INDEX($F:$F, ROW()-1), $F714)) : INDEX(X:X, ROW()-1),
   INDEX(AA:AA, ROW()-COUNTIF($F$6:INDEX($F:$F, ROW()-1), $F714)) : INDEX(AA:AA, ROW()-1)
   )
   /SUM(INDEX(AA:AA, ROW()-COUNTIF($F$6:INDEX($F:$F, ROW()-1), $F714)) : INDEX(AA:AA, ROW()-1)),
   AVERAGEIFS(
     INDEX((unit_details[Asking Rent],unit_details[Asking PSF]),0,1,IF($U$3="Chunk Rent",1,2)),
     unit_details[Leased Date],"&gt;="&amp;($AM$2-X$5),
     unit_details[Leased Date],"&lt;"&amp;$AM$2,
     unit_details[Beds],$L715,
     unit_details[Baths],$M715,
     unit_details[Partial Baths],IF(ISNUMBER($N715),$N715,""),
     unit_details[Sqft],$P715,
     unit_details[Property Name],$F715)
 ),"")</f>
        <v/>
      </c>
      <c r="Y715" s="552" t="str">
        <f>IFERROR(
 IF($F715="Total",
   SUMPRODUCT(
   INDEX(Y:Y, ROW()-COUNTIF($F$6:INDEX($F:$F, ROW()-1), $F714)) : INDEX(Y:Y, ROW()-1),
   INDEX(AA:AA, ROW()-COUNTIF($F$6:INDEX($F:$F, ROW()-1), $F714)) : INDEX(AA:AA, ROW()-1)
   )
   /SUM(INDEX(AA:AA, ROW()-COUNTIF($F$6:INDEX($F:$F, ROW()-1), $F714)) : INDEX(AA:AA, ROW()-1)),
   AVERAGEIFS(
     INDEX((unit_details[Effective Rent],unit_details[Effective PSF]),0,1,IF($U$3="Chunk Rent",1,2)),
     unit_details[Leased Date],"&gt;="&amp;($AM$2-X$5),
     unit_details[Leased Date],"&lt;"&amp;$AM$2,
     unit_details[Beds],$L715,
     unit_details[Baths],$M715,
     unit_details[Partial Baths],IF(ISNUMBER($N715),$N715,""),
     unit_details[Sqft],$P715,
     unit_details[Property Name],$F715)
 ),"")</f>
        <v/>
      </c>
      <c r="Z715" s="27" t="str">
        <f t="shared" si="132"/>
        <v/>
      </c>
      <c r="AA715" s="526">
        <f>IFERROR(
  IF($F715="Total",
    SUM(INDEX(AA:AA, ROW()-COUNTIF($F$6:INDEX($F:$F, ROW()-1), $F714)) : INDEX(AA:AA, ROW()-1)),
    COUNTIFS(
      unit_details[Leased Date], "&gt;="&amp;($AM$2-X$5),
      unit_details[Leased Date], "&lt;"&amp;$AM$2,
      unit_details[Beds], $L715,
      unit_details[Baths], $M715,
      unit_details[Partial Baths], IF(ISNUMBER($N715), $N715, ""),
      unit_details[Sqft],$P715,
      unit_details[Property Name], $F715
    )
  ),
"")</f>
        <v>0</v>
      </c>
      <c r="AB715" s="290">
        <f>IF($F715="Total",
SUM(INDEX(AB:AB, ROW()-COUNTIF($F$6:INDEX($F:$F, ROW()-1), $F714)) : INDEX(AB:AB, ROW()-1)),
COUNTIFS(unit_details[Active Listing?],TRUE,
          unit_details[Property Name], $F715,
          unit_details[Beds], $L715,
          unit_details[Baths], $M715,
          unit_details[Partial Baths],IF(ISNUMBER($N715),$N715,""),
          unit_details[Sqft],$P715))</f>
        <v>0</v>
      </c>
      <c r="AC715" s="27" t="str">
        <f t="shared" si="124"/>
        <v/>
      </c>
      <c r="AD715" s="293" t="str">
        <f>IFERROR(IF(AE715="","",IF($F715="Total",
SUMPRODUCT(
   INDEX(AD:AD, ROW()-COUNTIF($F$6:INDEX($F:$F, ROW()-1), $F714)) : INDEX(AD:AD, ROW()-1),
   INDEX(AB:AB, ROW()-COUNTIF($F$6:INDEX($F:$F, ROW()-1), $F714)) : INDEX(AB:AB, ROW()-1)
   )
   /SUM(INDEX(AB:AB, ROW()-COUNTIF($F$6:INDEX($F:$F, ROW()-1), $F714)) : INDEX(AB:AB, ROW()-1)),
          _xlfn.MINIFS(unit_details[Asking Rent],
          unit_details[Active Listing?],TRUE,
          unit_details[Property Name], $F715,
          unit_details[Beds], $L715,
          unit_details[Baths], $M715,
          unit_details[Partial Baths], IF(ISNUMBER($N715),$N715,""),
          unit_details[Sqft],$P715
))),"")</f>
        <v/>
      </c>
      <c r="AE715" s="5" t="str">
        <f>IFERROR(IF($F715="Total",
          SUMPRODUCT(
   INDEX(AE:AE, ROW()-COUNTIF($F$6:INDEX($F:$F, ROW()-1), $F714)) : INDEX(AE:AE, ROW()-1),
   INDEX(AB:AB, ROW()-COUNTIF($F$6:INDEX($F:$F, ROW()-1), $F714)) : INDEX(AB:AB, ROW()-1)
   )
   /SUM(INDEX(AB:AB, ROW()-COUNTIF($F$6:INDEX($F:$F, ROW()-1), $F714)) : INDEX(AB:AB, ROW()-1)),
          AVERAGEIFS(unit_details[Asking Rent],
          unit_details[Active Listing?],TRUE,
          unit_details[Property Name], $F715,
          unit_details[Beds], $L715,
          unit_details[Baths], $M715,
          unit_details[Partial Baths], IF(ISNUMBER($N715),$N715,""),
          unit_details[Sqft],$P715
)),"")</f>
        <v/>
      </c>
      <c r="AF715" s="5" t="str">
        <f>IFERROR(IF(AE715="","",IF($F715="Total",
SUMPRODUCT(
   INDEX(AF:AF, ROW()-COUNTIF($F$6:INDEX($F:$F, ROW()-1), $F714)) : INDEX(AF:AF, ROW()-1),
   INDEX(AB:AB, ROW()-COUNTIF($F$6:INDEX($F:$F, ROW()-1), $F714)) : INDEX(AB:AB, ROW()-1)
   )
   /SUM(INDEX(AB:AB, ROW()-COUNTIF($F$6:INDEX($F:$F, ROW()-1), $F714)) : INDEX(AB:AB, ROW()-1)),
           _xlfn.MAXIFS(unit_details[Asking Rent],
          unit_details[Active Listing?],TRUE,
          unit_details[Property Name], $F715,
          unit_details[Beds], $L715,
          unit_details[Baths], $M715,
          unit_details[Partial Baths], IF(ISNUMBER($N715),$N715,""),
          unit_details[Sqft],$P715
))),"")</f>
        <v/>
      </c>
      <c r="AG715" s="6" t="str">
        <f>IFERROR(IF($F715="Total",
         SUMPRODUCT(
         INDEX(AG:AG, ROW()-COUNTIF($F$6:INDEX($F:$F, ROW()-1), $F714)) : INDEX(AG:AG, ROW()-1),
         INDEX(AB:AB, ROW()-COUNTIF($F$6:INDEX($F:$F, ROW()-1), $F714)) : INDEX(AB:AB, ROW()-1)
         )
         /SUM(INDEX(AB:AB, ROW()-COUNTIF($F$6:INDEX($F:$F, ROW()-1), $F714)) : INDEX(AB:AB, ROW()-1)),
          AVERAGEIFS(unit_details[Asking PSF],
          unit_details[Active Listing?],TRUE,
          unit_details[Property Name], $F715,
          unit_details[Beds], $L715,
          unit_details[Baths], $M715,
          unit_details[Partial Baths], IF(ISNUMBER($N715),$N715,""),
          unit_details[Sqft],$P715
)),"")</f>
        <v/>
      </c>
      <c r="AH715" s="293" t="str">
        <f>IFERROR(IF($F715="Total",
         SUMPRODUCT(
         INDEX(AH:AH, ROW()-COUNTIF($F$6:INDEX($F:$F, ROW()-1), $F714)) : INDEX(AH:AH, ROW()-1),
         INDEX(AB:AB, ROW()-COUNTIF($F$6:INDEX($F:$F, ROW()-1), $F714)) : INDEX(AB:AB, ROW()-1)
         )
         /SUM(INDEX(AB:AB, ROW()-COUNTIF($F$6:INDEX($F:$F, ROW()-1), $F714)) : INDEX(AB:AB, ROW()-1)),
          AVERAGEIFS(unit_details[Effective Rent],
          unit_details[Active Listing?],TRUE,
          unit_details[Property Name], $F715,
          unit_details[Beds], $L715,
          unit_details[Baths], $M715,
          unit_details[Partial Baths], IF(ISNUMBER($N715),$N715,""),
          unit_details[Sqft],$P715
)),"")</f>
        <v/>
      </c>
      <c r="AI715" s="6" t="str">
        <f>IFERROR(IF($F715="Total",
         SUMPRODUCT(
         INDEX(AI:AI, ROW()-COUNTIF($F$6:INDEX($F:$F, ROW()-1), $F714)) : INDEX(AI:AI, ROW()-1),
         INDEX(AB:AB, ROW()-COUNTIF($F$6:INDEX($F:$F, ROW()-1), $F714)) : INDEX(AB:AB, ROW()-1)
         )
         /SUM(INDEX(AB:AB, ROW()-COUNTIF($F$6:INDEX($F:$F, ROW()-1), $F714)) : INDEX(AB:AB, ROW()-1)),
           AVERAGEIFS(unit_details[Effective PSF],
          unit_details[Active Listing?],TRUE,
          unit_details[Property Name], $F715,
          unit_details[Beds], $L715,
          unit_details[Baths], $M715,
          unit_details[Partial Baths], IF(ISNUMBER($N715),$N715,""),
          unit_details[Sqft],$P715
)),"")</f>
        <v/>
      </c>
      <c r="AJ715" s="824" t="str">
        <f t="shared" si="125"/>
        <v/>
      </c>
      <c r="AK715" s="531" t="str">
        <f t="shared" si="126"/>
        <v/>
      </c>
      <c r="AL715" s="714" t="str">
        <f t="shared" si="127"/>
        <v/>
      </c>
      <c r="AM715" s="531" t="str">
        <f t="shared" si="128"/>
        <v/>
      </c>
      <c r="AN715" s="716" t="str">
        <f t="shared" si="129"/>
        <v/>
      </c>
    </row>
    <row r="716" spans="6:40" x14ac:dyDescent="0.2">
      <c r="F716" s="1" t="str">
        <f t="shared" si="122"/>
        <v/>
      </c>
      <c r="G716" s="713" t="str">
        <f t="shared" si="130"/>
        <v/>
      </c>
      <c r="H716" s="17" t="str">
        <f>IFERROR(VLOOKUP($G716,Table1[[Property]:[Exposure %]],4,0),"")</f>
        <v/>
      </c>
      <c r="I716" s="3" t="str">
        <f>IFERROR(VLOOKUP($G716,Table1[[Property]:[Exposure %]],6,0),"")</f>
        <v/>
      </c>
      <c r="J716" s="3" t="str">
        <f>IFERROR(VLOOKUP($G716,Table1[[Property]:[Exposure %]],7,0),"")</f>
        <v/>
      </c>
      <c r="R716" s="4" t="str">
        <f>IFERROR(VLOOKUP(IF(F716="Total",F715,F716),Table1[[Property]:['# Units]],7,0)*S716,"")</f>
        <v/>
      </c>
      <c r="S716" s="27" t="str">
        <f t="shared" si="123"/>
        <v/>
      </c>
      <c r="T716" s="531" t="str">
        <f>IFERROR(
 IF($F716="Total",
   SUMPRODUCT(
   INDEX(T:T, ROW()-COUNTIF($F$6:INDEX($F:$F, ROW()-1), $F715)) : INDEX(T:T, ROW()-1),
   INDEX(W:W, ROW()-COUNTIF($F$6:INDEX($F:$F, ROW()-1), $F715)) : INDEX(W:W, ROW()-1)
   )
   /SUM(INDEX(W:W, ROW()-COUNTIF($F$6:INDEX($F:$F, ROW()-1), $F715)) : INDEX(W:W, ROW()-1)),
   AVERAGEIFS(
     INDEX((unit_details[Asking Rent],unit_details[Asking PSF]),0,1,IF($U$3="Chunk Rent",1,2)),
     unit_details[Leased Date],"&gt;="&amp;($AM$2-T$5),
     unit_details[Leased Date],"&lt;"&amp;$AM$2,
     unit_details[Beds],$L716,
     unit_details[Baths],$M716,
     unit_details[Partial Baths],IF(ISNUMBER($N716),$N716,""),
     unit_details[Sqft],$P716,
     unit_details[Property Name],$F716)
 ),"")</f>
        <v/>
      </c>
      <c r="U716" s="552" t="str">
        <f>IFERROR(
 IF($F716="Total",
   SUMPRODUCT(
   INDEX(U:U, ROW()-COUNTIF($F$6:INDEX($F:$F, ROW()-1), $F715)) : INDEX(U:U, ROW()-1),
   INDEX(W:W, ROW()-COUNTIF($F$6:INDEX($F:$F, ROW()-1), $F715)) : INDEX(W:W, ROW()-1)
   )
   /SUM(INDEX(W:W, ROW()-COUNTIF($F$6:INDEX($F:$F, ROW()-1), $F715)) : INDEX(W:W, ROW()-1)),
   AVERAGEIFS(
     INDEX((unit_details[Effective Rent],unit_details[Effective PSF]),0,1,IF($U$3="Chunk Rent",1,2)),
     unit_details[Leased Date],"&gt;="&amp;($AM$2-T$5),
     unit_details[Leased Date],"&lt;"&amp;$AM$2,
     unit_details[Beds],$L716,
     unit_details[Baths],$M716,
     unit_details[Partial Baths],IF(ISNUMBER($N716),$N716,""),
     unit_details[Sqft],$P716,
     unit_details[Property Name],$F716)
 ),"")</f>
        <v/>
      </c>
      <c r="V716" s="27" t="str">
        <f t="shared" si="131"/>
        <v/>
      </c>
      <c r="W716" s="526">
        <f>IFERROR(
  IF($F716="Total",
    SUM(INDEX(W:W, ROW()-COUNTIF($F$6:INDEX($F:$F, ROW()-1), $F715)) : INDEX(W:W, ROW()-1)),
    COUNTIFS(
      unit_details[Leased Date], "&gt;="&amp;($AM$2-T$5),
      unit_details[Leased Date], "&lt;"&amp;$AM$2,
      unit_details[Beds], $L716,
      unit_details[Baths], $M716,
      unit_details[Partial Baths], IF(ISNUMBER($N716), $N716, ""),
      unit_details[Sqft],$P716,
      unit_details[Property Name], $F716
    )
  ),
"")</f>
        <v>0</v>
      </c>
      <c r="X716" s="531" t="str">
        <f>IFERROR(
 IF($F716="Total",
   SUMPRODUCT(
   INDEX(X:X, ROW()-COUNTIF($F$6:INDEX($F:$F, ROW()-1), $F715)) : INDEX(X:X, ROW()-1),
   INDEX(AA:AA, ROW()-COUNTIF($F$6:INDEX($F:$F, ROW()-1), $F715)) : INDEX(AA:AA, ROW()-1)
   )
   /SUM(INDEX(AA:AA, ROW()-COUNTIF($F$6:INDEX($F:$F, ROW()-1), $F715)) : INDEX(AA:AA, ROW()-1)),
   AVERAGEIFS(
     INDEX((unit_details[Asking Rent],unit_details[Asking PSF]),0,1,IF($U$3="Chunk Rent",1,2)),
     unit_details[Leased Date],"&gt;="&amp;($AM$2-X$5),
     unit_details[Leased Date],"&lt;"&amp;$AM$2,
     unit_details[Beds],$L716,
     unit_details[Baths],$M716,
     unit_details[Partial Baths],IF(ISNUMBER($N716),$N716,""),
     unit_details[Sqft],$P716,
     unit_details[Property Name],$F716)
 ),"")</f>
        <v/>
      </c>
      <c r="Y716" s="552" t="str">
        <f>IFERROR(
 IF($F716="Total",
   SUMPRODUCT(
   INDEX(Y:Y, ROW()-COUNTIF($F$6:INDEX($F:$F, ROW()-1), $F715)) : INDEX(Y:Y, ROW()-1),
   INDEX(AA:AA, ROW()-COUNTIF($F$6:INDEX($F:$F, ROW()-1), $F715)) : INDEX(AA:AA, ROW()-1)
   )
   /SUM(INDEX(AA:AA, ROW()-COUNTIF($F$6:INDEX($F:$F, ROW()-1), $F715)) : INDEX(AA:AA, ROW()-1)),
   AVERAGEIFS(
     INDEX((unit_details[Effective Rent],unit_details[Effective PSF]),0,1,IF($U$3="Chunk Rent",1,2)),
     unit_details[Leased Date],"&gt;="&amp;($AM$2-X$5),
     unit_details[Leased Date],"&lt;"&amp;$AM$2,
     unit_details[Beds],$L716,
     unit_details[Baths],$M716,
     unit_details[Partial Baths],IF(ISNUMBER($N716),$N716,""),
     unit_details[Sqft],$P716,
     unit_details[Property Name],$F716)
 ),"")</f>
        <v/>
      </c>
      <c r="Z716" s="27" t="str">
        <f t="shared" si="132"/>
        <v/>
      </c>
      <c r="AA716" s="526">
        <f>IFERROR(
  IF($F716="Total",
    SUM(INDEX(AA:AA, ROW()-COUNTIF($F$6:INDEX($F:$F, ROW()-1), $F715)) : INDEX(AA:AA, ROW()-1)),
    COUNTIFS(
      unit_details[Leased Date], "&gt;="&amp;($AM$2-X$5),
      unit_details[Leased Date], "&lt;"&amp;$AM$2,
      unit_details[Beds], $L716,
      unit_details[Baths], $M716,
      unit_details[Partial Baths], IF(ISNUMBER($N716), $N716, ""),
      unit_details[Sqft],$P716,
      unit_details[Property Name], $F716
    )
  ),
"")</f>
        <v>0</v>
      </c>
      <c r="AB716" s="290">
        <f>IF($F716="Total",
SUM(INDEX(AB:AB, ROW()-COUNTIF($F$6:INDEX($F:$F, ROW()-1), $F715)) : INDEX(AB:AB, ROW()-1)),
COUNTIFS(unit_details[Active Listing?],TRUE,
          unit_details[Property Name], $F716,
          unit_details[Beds], $L716,
          unit_details[Baths], $M716,
          unit_details[Partial Baths],IF(ISNUMBER($N716),$N716,""),
          unit_details[Sqft],$P716))</f>
        <v>0</v>
      </c>
      <c r="AC716" s="27" t="str">
        <f t="shared" si="124"/>
        <v/>
      </c>
      <c r="AD716" s="293" t="str">
        <f>IFERROR(IF(AE716="","",IF($F716="Total",
SUMPRODUCT(
   INDEX(AD:AD, ROW()-COUNTIF($F$6:INDEX($F:$F, ROW()-1), $F715)) : INDEX(AD:AD, ROW()-1),
   INDEX(AB:AB, ROW()-COUNTIF($F$6:INDEX($F:$F, ROW()-1), $F715)) : INDEX(AB:AB, ROW()-1)
   )
   /SUM(INDEX(AB:AB, ROW()-COUNTIF($F$6:INDEX($F:$F, ROW()-1), $F715)) : INDEX(AB:AB, ROW()-1)),
          _xlfn.MINIFS(unit_details[Asking Rent],
          unit_details[Active Listing?],TRUE,
          unit_details[Property Name], $F716,
          unit_details[Beds], $L716,
          unit_details[Baths], $M716,
          unit_details[Partial Baths], IF(ISNUMBER($N716),$N716,""),
          unit_details[Sqft],$P716
))),"")</f>
        <v/>
      </c>
      <c r="AE716" s="5" t="str">
        <f>IFERROR(IF($F716="Total",
          SUMPRODUCT(
   INDEX(AE:AE, ROW()-COUNTIF($F$6:INDEX($F:$F, ROW()-1), $F715)) : INDEX(AE:AE, ROW()-1),
   INDEX(AB:AB, ROW()-COUNTIF($F$6:INDEX($F:$F, ROW()-1), $F715)) : INDEX(AB:AB, ROW()-1)
   )
   /SUM(INDEX(AB:AB, ROW()-COUNTIF($F$6:INDEX($F:$F, ROW()-1), $F715)) : INDEX(AB:AB, ROW()-1)),
          AVERAGEIFS(unit_details[Asking Rent],
          unit_details[Active Listing?],TRUE,
          unit_details[Property Name], $F716,
          unit_details[Beds], $L716,
          unit_details[Baths], $M716,
          unit_details[Partial Baths], IF(ISNUMBER($N716),$N716,""),
          unit_details[Sqft],$P716
)),"")</f>
        <v/>
      </c>
      <c r="AF716" s="5" t="str">
        <f>IFERROR(IF(AE716="","",IF($F716="Total",
SUMPRODUCT(
   INDEX(AF:AF, ROW()-COUNTIF($F$6:INDEX($F:$F, ROW()-1), $F715)) : INDEX(AF:AF, ROW()-1),
   INDEX(AB:AB, ROW()-COUNTIF($F$6:INDEX($F:$F, ROW()-1), $F715)) : INDEX(AB:AB, ROW()-1)
   )
   /SUM(INDEX(AB:AB, ROW()-COUNTIF($F$6:INDEX($F:$F, ROW()-1), $F715)) : INDEX(AB:AB, ROW()-1)),
           _xlfn.MAXIFS(unit_details[Asking Rent],
          unit_details[Active Listing?],TRUE,
          unit_details[Property Name], $F716,
          unit_details[Beds], $L716,
          unit_details[Baths], $M716,
          unit_details[Partial Baths], IF(ISNUMBER($N716),$N716,""),
          unit_details[Sqft],$P716
))),"")</f>
        <v/>
      </c>
      <c r="AG716" s="6" t="str">
        <f>IFERROR(IF($F716="Total",
         SUMPRODUCT(
         INDEX(AG:AG, ROW()-COUNTIF($F$6:INDEX($F:$F, ROW()-1), $F715)) : INDEX(AG:AG, ROW()-1),
         INDEX(AB:AB, ROW()-COUNTIF($F$6:INDEX($F:$F, ROW()-1), $F715)) : INDEX(AB:AB, ROW()-1)
         )
         /SUM(INDEX(AB:AB, ROW()-COUNTIF($F$6:INDEX($F:$F, ROW()-1), $F715)) : INDEX(AB:AB, ROW()-1)),
          AVERAGEIFS(unit_details[Asking PSF],
          unit_details[Active Listing?],TRUE,
          unit_details[Property Name], $F716,
          unit_details[Beds], $L716,
          unit_details[Baths], $M716,
          unit_details[Partial Baths], IF(ISNUMBER($N716),$N716,""),
          unit_details[Sqft],$P716
)),"")</f>
        <v/>
      </c>
      <c r="AH716" s="293" t="str">
        <f>IFERROR(IF($F716="Total",
         SUMPRODUCT(
         INDEX(AH:AH, ROW()-COUNTIF($F$6:INDEX($F:$F, ROW()-1), $F715)) : INDEX(AH:AH, ROW()-1),
         INDEX(AB:AB, ROW()-COUNTIF($F$6:INDEX($F:$F, ROW()-1), $F715)) : INDEX(AB:AB, ROW()-1)
         )
         /SUM(INDEX(AB:AB, ROW()-COUNTIF($F$6:INDEX($F:$F, ROW()-1), $F715)) : INDEX(AB:AB, ROW()-1)),
          AVERAGEIFS(unit_details[Effective Rent],
          unit_details[Active Listing?],TRUE,
          unit_details[Property Name], $F716,
          unit_details[Beds], $L716,
          unit_details[Baths], $M716,
          unit_details[Partial Baths], IF(ISNUMBER($N716),$N716,""),
          unit_details[Sqft],$P716
)),"")</f>
        <v/>
      </c>
      <c r="AI716" s="6" t="str">
        <f>IFERROR(IF($F716="Total",
         SUMPRODUCT(
         INDEX(AI:AI, ROW()-COUNTIF($F$6:INDEX($F:$F, ROW()-1), $F715)) : INDEX(AI:AI, ROW()-1),
         INDEX(AB:AB, ROW()-COUNTIF($F$6:INDEX($F:$F, ROW()-1), $F715)) : INDEX(AB:AB, ROW()-1)
         )
         /SUM(INDEX(AB:AB, ROW()-COUNTIF($F$6:INDEX($F:$F, ROW()-1), $F715)) : INDEX(AB:AB, ROW()-1)),
           AVERAGEIFS(unit_details[Effective PSF],
          unit_details[Active Listing?],TRUE,
          unit_details[Property Name], $F716,
          unit_details[Beds], $L716,
          unit_details[Baths], $M716,
          unit_details[Partial Baths], IF(ISNUMBER($N716),$N716,""),
          unit_details[Sqft],$P716
)),"")</f>
        <v/>
      </c>
      <c r="AJ716" s="824" t="str">
        <f t="shared" si="125"/>
        <v/>
      </c>
      <c r="AK716" s="531" t="str">
        <f t="shared" si="126"/>
        <v/>
      </c>
      <c r="AL716" s="714" t="str">
        <f t="shared" si="127"/>
        <v/>
      </c>
      <c r="AM716" s="531" t="str">
        <f t="shared" si="128"/>
        <v/>
      </c>
      <c r="AN716" s="716" t="str">
        <f t="shared" si="129"/>
        <v/>
      </c>
    </row>
    <row r="717" spans="6:40" x14ac:dyDescent="0.2">
      <c r="F717" s="1" t="str">
        <f t="shared" si="122"/>
        <v/>
      </c>
      <c r="G717" s="713" t="str">
        <f t="shared" si="130"/>
        <v/>
      </c>
      <c r="H717" s="17" t="str">
        <f>IFERROR(VLOOKUP($G717,Table1[[Property]:[Exposure %]],4,0),"")</f>
        <v/>
      </c>
      <c r="I717" s="3" t="str">
        <f>IFERROR(VLOOKUP($G717,Table1[[Property]:[Exposure %]],6,0),"")</f>
        <v/>
      </c>
      <c r="J717" s="3" t="str">
        <f>IFERROR(VLOOKUP($G717,Table1[[Property]:[Exposure %]],7,0),"")</f>
        <v/>
      </c>
      <c r="R717" s="4" t="str">
        <f>IFERROR(VLOOKUP(IF(F717="Total",F716,F717),Table1[[Property]:['# Units]],7,0)*S717,"")</f>
        <v/>
      </c>
      <c r="S717" s="27" t="str">
        <f t="shared" si="123"/>
        <v/>
      </c>
      <c r="T717" s="531" t="str">
        <f>IFERROR(
 IF($F717="Total",
   SUMPRODUCT(
   INDEX(T:T, ROW()-COUNTIF($F$6:INDEX($F:$F, ROW()-1), $F716)) : INDEX(T:T, ROW()-1),
   INDEX(W:W, ROW()-COUNTIF($F$6:INDEX($F:$F, ROW()-1), $F716)) : INDEX(W:W, ROW()-1)
   )
   /SUM(INDEX(W:W, ROW()-COUNTIF($F$6:INDEX($F:$F, ROW()-1), $F716)) : INDEX(W:W, ROW()-1)),
   AVERAGEIFS(
     INDEX((unit_details[Asking Rent],unit_details[Asking PSF]),0,1,IF($U$3="Chunk Rent",1,2)),
     unit_details[Leased Date],"&gt;="&amp;($AM$2-T$5),
     unit_details[Leased Date],"&lt;"&amp;$AM$2,
     unit_details[Beds],$L717,
     unit_details[Baths],$M717,
     unit_details[Partial Baths],IF(ISNUMBER($N717),$N717,""),
     unit_details[Sqft],$P717,
     unit_details[Property Name],$F717)
 ),"")</f>
        <v/>
      </c>
      <c r="U717" s="552" t="str">
        <f>IFERROR(
 IF($F717="Total",
   SUMPRODUCT(
   INDEX(U:U, ROW()-COUNTIF($F$6:INDEX($F:$F, ROW()-1), $F716)) : INDEX(U:U, ROW()-1),
   INDEX(W:W, ROW()-COUNTIF($F$6:INDEX($F:$F, ROW()-1), $F716)) : INDEX(W:W, ROW()-1)
   )
   /SUM(INDEX(W:W, ROW()-COUNTIF($F$6:INDEX($F:$F, ROW()-1), $F716)) : INDEX(W:W, ROW()-1)),
   AVERAGEIFS(
     INDEX((unit_details[Effective Rent],unit_details[Effective PSF]),0,1,IF($U$3="Chunk Rent",1,2)),
     unit_details[Leased Date],"&gt;="&amp;($AM$2-T$5),
     unit_details[Leased Date],"&lt;"&amp;$AM$2,
     unit_details[Beds],$L717,
     unit_details[Baths],$M717,
     unit_details[Partial Baths],IF(ISNUMBER($N717),$N717,""),
     unit_details[Sqft],$P717,
     unit_details[Property Name],$F717)
 ),"")</f>
        <v/>
      </c>
      <c r="V717" s="27" t="str">
        <f t="shared" si="131"/>
        <v/>
      </c>
      <c r="W717" s="526">
        <f>IFERROR(
  IF($F717="Total",
    SUM(INDEX(W:W, ROW()-COUNTIF($F$6:INDEX($F:$F, ROW()-1), $F716)) : INDEX(W:W, ROW()-1)),
    COUNTIFS(
      unit_details[Leased Date], "&gt;="&amp;($AM$2-T$5),
      unit_details[Leased Date], "&lt;"&amp;$AM$2,
      unit_details[Beds], $L717,
      unit_details[Baths], $M717,
      unit_details[Partial Baths], IF(ISNUMBER($N717), $N717, ""),
      unit_details[Sqft],$P717,
      unit_details[Property Name], $F717
    )
  ),
"")</f>
        <v>0</v>
      </c>
      <c r="X717" s="531" t="str">
        <f>IFERROR(
 IF($F717="Total",
   SUMPRODUCT(
   INDEX(X:X, ROW()-COUNTIF($F$6:INDEX($F:$F, ROW()-1), $F716)) : INDEX(X:X, ROW()-1),
   INDEX(AA:AA, ROW()-COUNTIF($F$6:INDEX($F:$F, ROW()-1), $F716)) : INDEX(AA:AA, ROW()-1)
   )
   /SUM(INDEX(AA:AA, ROW()-COUNTIF($F$6:INDEX($F:$F, ROW()-1), $F716)) : INDEX(AA:AA, ROW()-1)),
   AVERAGEIFS(
     INDEX((unit_details[Asking Rent],unit_details[Asking PSF]),0,1,IF($U$3="Chunk Rent",1,2)),
     unit_details[Leased Date],"&gt;="&amp;($AM$2-X$5),
     unit_details[Leased Date],"&lt;"&amp;$AM$2,
     unit_details[Beds],$L717,
     unit_details[Baths],$M717,
     unit_details[Partial Baths],IF(ISNUMBER($N717),$N717,""),
     unit_details[Sqft],$P717,
     unit_details[Property Name],$F717)
 ),"")</f>
        <v/>
      </c>
      <c r="Y717" s="552" t="str">
        <f>IFERROR(
 IF($F717="Total",
   SUMPRODUCT(
   INDEX(Y:Y, ROW()-COUNTIF($F$6:INDEX($F:$F, ROW()-1), $F716)) : INDEX(Y:Y, ROW()-1),
   INDEX(AA:AA, ROW()-COUNTIF($F$6:INDEX($F:$F, ROW()-1), $F716)) : INDEX(AA:AA, ROW()-1)
   )
   /SUM(INDEX(AA:AA, ROW()-COUNTIF($F$6:INDEX($F:$F, ROW()-1), $F716)) : INDEX(AA:AA, ROW()-1)),
   AVERAGEIFS(
     INDEX((unit_details[Effective Rent],unit_details[Effective PSF]),0,1,IF($U$3="Chunk Rent",1,2)),
     unit_details[Leased Date],"&gt;="&amp;($AM$2-X$5),
     unit_details[Leased Date],"&lt;"&amp;$AM$2,
     unit_details[Beds],$L717,
     unit_details[Baths],$M717,
     unit_details[Partial Baths],IF(ISNUMBER($N717),$N717,""),
     unit_details[Sqft],$P717,
     unit_details[Property Name],$F717)
 ),"")</f>
        <v/>
      </c>
      <c r="Z717" s="27" t="str">
        <f t="shared" si="132"/>
        <v/>
      </c>
      <c r="AA717" s="526">
        <f>IFERROR(
  IF($F717="Total",
    SUM(INDEX(AA:AA, ROW()-COUNTIF($F$6:INDEX($F:$F, ROW()-1), $F716)) : INDEX(AA:AA, ROW()-1)),
    COUNTIFS(
      unit_details[Leased Date], "&gt;="&amp;($AM$2-X$5),
      unit_details[Leased Date], "&lt;"&amp;$AM$2,
      unit_details[Beds], $L717,
      unit_details[Baths], $M717,
      unit_details[Partial Baths], IF(ISNUMBER($N717), $N717, ""),
      unit_details[Sqft],$P717,
      unit_details[Property Name], $F717
    )
  ),
"")</f>
        <v>0</v>
      </c>
      <c r="AB717" s="290">
        <f>IF($F717="Total",
SUM(INDEX(AB:AB, ROW()-COUNTIF($F$6:INDEX($F:$F, ROW()-1), $F716)) : INDEX(AB:AB, ROW()-1)),
COUNTIFS(unit_details[Active Listing?],TRUE,
          unit_details[Property Name], $F717,
          unit_details[Beds], $L717,
          unit_details[Baths], $M717,
          unit_details[Partial Baths],IF(ISNUMBER($N717),$N717,""),
          unit_details[Sqft],$P717))</f>
        <v>0</v>
      </c>
      <c r="AC717" s="27" t="str">
        <f t="shared" si="124"/>
        <v/>
      </c>
      <c r="AD717" s="293" t="str">
        <f>IFERROR(IF(AE717="","",IF($F717="Total",
SUMPRODUCT(
   INDEX(AD:AD, ROW()-COUNTIF($F$6:INDEX($F:$F, ROW()-1), $F716)) : INDEX(AD:AD, ROW()-1),
   INDEX(AB:AB, ROW()-COUNTIF($F$6:INDEX($F:$F, ROW()-1), $F716)) : INDEX(AB:AB, ROW()-1)
   )
   /SUM(INDEX(AB:AB, ROW()-COUNTIF($F$6:INDEX($F:$F, ROW()-1), $F716)) : INDEX(AB:AB, ROW()-1)),
          _xlfn.MINIFS(unit_details[Asking Rent],
          unit_details[Active Listing?],TRUE,
          unit_details[Property Name], $F717,
          unit_details[Beds], $L717,
          unit_details[Baths], $M717,
          unit_details[Partial Baths], IF(ISNUMBER($N717),$N717,""),
          unit_details[Sqft],$P717
))),"")</f>
        <v/>
      </c>
      <c r="AE717" s="5" t="str">
        <f>IFERROR(IF($F717="Total",
          SUMPRODUCT(
   INDEX(AE:AE, ROW()-COUNTIF($F$6:INDEX($F:$F, ROW()-1), $F716)) : INDEX(AE:AE, ROW()-1),
   INDEX(AB:AB, ROW()-COUNTIF($F$6:INDEX($F:$F, ROW()-1), $F716)) : INDEX(AB:AB, ROW()-1)
   )
   /SUM(INDEX(AB:AB, ROW()-COUNTIF($F$6:INDEX($F:$F, ROW()-1), $F716)) : INDEX(AB:AB, ROW()-1)),
          AVERAGEIFS(unit_details[Asking Rent],
          unit_details[Active Listing?],TRUE,
          unit_details[Property Name], $F717,
          unit_details[Beds], $L717,
          unit_details[Baths], $M717,
          unit_details[Partial Baths], IF(ISNUMBER($N717),$N717,""),
          unit_details[Sqft],$P717
)),"")</f>
        <v/>
      </c>
      <c r="AF717" s="5" t="str">
        <f>IFERROR(IF(AE717="","",IF($F717="Total",
SUMPRODUCT(
   INDEX(AF:AF, ROW()-COUNTIF($F$6:INDEX($F:$F, ROW()-1), $F716)) : INDEX(AF:AF, ROW()-1),
   INDEX(AB:AB, ROW()-COUNTIF($F$6:INDEX($F:$F, ROW()-1), $F716)) : INDEX(AB:AB, ROW()-1)
   )
   /SUM(INDEX(AB:AB, ROW()-COUNTIF($F$6:INDEX($F:$F, ROW()-1), $F716)) : INDEX(AB:AB, ROW()-1)),
           _xlfn.MAXIFS(unit_details[Asking Rent],
          unit_details[Active Listing?],TRUE,
          unit_details[Property Name], $F717,
          unit_details[Beds], $L717,
          unit_details[Baths], $M717,
          unit_details[Partial Baths], IF(ISNUMBER($N717),$N717,""),
          unit_details[Sqft],$P717
))),"")</f>
        <v/>
      </c>
      <c r="AG717" s="6" t="str">
        <f>IFERROR(IF($F717="Total",
         SUMPRODUCT(
         INDEX(AG:AG, ROW()-COUNTIF($F$6:INDEX($F:$F, ROW()-1), $F716)) : INDEX(AG:AG, ROW()-1),
         INDEX(AB:AB, ROW()-COUNTIF($F$6:INDEX($F:$F, ROW()-1), $F716)) : INDEX(AB:AB, ROW()-1)
         )
         /SUM(INDEX(AB:AB, ROW()-COUNTIF($F$6:INDEX($F:$F, ROW()-1), $F716)) : INDEX(AB:AB, ROW()-1)),
          AVERAGEIFS(unit_details[Asking PSF],
          unit_details[Active Listing?],TRUE,
          unit_details[Property Name], $F717,
          unit_details[Beds], $L717,
          unit_details[Baths], $M717,
          unit_details[Partial Baths], IF(ISNUMBER($N717),$N717,""),
          unit_details[Sqft],$P717
)),"")</f>
        <v/>
      </c>
      <c r="AH717" s="293" t="str">
        <f>IFERROR(IF($F717="Total",
         SUMPRODUCT(
         INDEX(AH:AH, ROW()-COUNTIF($F$6:INDEX($F:$F, ROW()-1), $F716)) : INDEX(AH:AH, ROW()-1),
         INDEX(AB:AB, ROW()-COUNTIF($F$6:INDEX($F:$F, ROW()-1), $F716)) : INDEX(AB:AB, ROW()-1)
         )
         /SUM(INDEX(AB:AB, ROW()-COUNTIF($F$6:INDEX($F:$F, ROW()-1), $F716)) : INDEX(AB:AB, ROW()-1)),
          AVERAGEIFS(unit_details[Effective Rent],
          unit_details[Active Listing?],TRUE,
          unit_details[Property Name], $F717,
          unit_details[Beds], $L717,
          unit_details[Baths], $M717,
          unit_details[Partial Baths], IF(ISNUMBER($N717),$N717,""),
          unit_details[Sqft],$P717
)),"")</f>
        <v/>
      </c>
      <c r="AI717" s="6" t="str">
        <f>IFERROR(IF($F717="Total",
         SUMPRODUCT(
         INDEX(AI:AI, ROW()-COUNTIF($F$6:INDEX($F:$F, ROW()-1), $F716)) : INDEX(AI:AI, ROW()-1),
         INDEX(AB:AB, ROW()-COUNTIF($F$6:INDEX($F:$F, ROW()-1), $F716)) : INDEX(AB:AB, ROW()-1)
         )
         /SUM(INDEX(AB:AB, ROW()-COUNTIF($F$6:INDEX($F:$F, ROW()-1), $F716)) : INDEX(AB:AB, ROW()-1)),
           AVERAGEIFS(unit_details[Effective PSF],
          unit_details[Active Listing?],TRUE,
          unit_details[Property Name], $F717,
          unit_details[Beds], $L717,
          unit_details[Baths], $M717,
          unit_details[Partial Baths], IF(ISNUMBER($N717),$N717,""),
          unit_details[Sqft],$P717
)),"")</f>
        <v/>
      </c>
      <c r="AJ717" s="824" t="str">
        <f t="shared" si="125"/>
        <v/>
      </c>
      <c r="AK717" s="531" t="str">
        <f t="shared" si="126"/>
        <v/>
      </c>
      <c r="AL717" s="714" t="str">
        <f t="shared" si="127"/>
        <v/>
      </c>
      <c r="AM717" s="531" t="str">
        <f t="shared" si="128"/>
        <v/>
      </c>
      <c r="AN717" s="716" t="str">
        <f t="shared" si="129"/>
        <v/>
      </c>
    </row>
    <row r="718" spans="6:40" x14ac:dyDescent="0.2">
      <c r="F718" s="1" t="str">
        <f t="shared" si="122"/>
        <v/>
      </c>
      <c r="G718" s="713" t="str">
        <f t="shared" si="130"/>
        <v/>
      </c>
      <c r="H718" s="17" t="str">
        <f>IFERROR(VLOOKUP($G718,Table1[[Property]:[Exposure %]],4,0),"")</f>
        <v/>
      </c>
      <c r="I718" s="3" t="str">
        <f>IFERROR(VLOOKUP($G718,Table1[[Property]:[Exposure %]],6,0),"")</f>
        <v/>
      </c>
      <c r="J718" s="3" t="str">
        <f>IFERROR(VLOOKUP($G718,Table1[[Property]:[Exposure %]],7,0),"")</f>
        <v/>
      </c>
      <c r="R718" s="4" t="str">
        <f>IFERROR(VLOOKUP(IF(F718="Total",F717,F718),Table1[[Property]:['# Units]],7,0)*S718,"")</f>
        <v/>
      </c>
      <c r="S718" s="27" t="str">
        <f t="shared" si="123"/>
        <v/>
      </c>
      <c r="T718" s="531" t="str">
        <f>IFERROR(
 IF($F718="Total",
   SUMPRODUCT(
   INDEX(T:T, ROW()-COUNTIF($F$6:INDEX($F:$F, ROW()-1), $F717)) : INDEX(T:T, ROW()-1),
   INDEX(W:W, ROW()-COUNTIF($F$6:INDEX($F:$F, ROW()-1), $F717)) : INDEX(W:W, ROW()-1)
   )
   /SUM(INDEX(W:W, ROW()-COUNTIF($F$6:INDEX($F:$F, ROW()-1), $F717)) : INDEX(W:W, ROW()-1)),
   AVERAGEIFS(
     INDEX((unit_details[Asking Rent],unit_details[Asking PSF]),0,1,IF($U$3="Chunk Rent",1,2)),
     unit_details[Leased Date],"&gt;="&amp;($AM$2-T$5),
     unit_details[Leased Date],"&lt;"&amp;$AM$2,
     unit_details[Beds],$L718,
     unit_details[Baths],$M718,
     unit_details[Partial Baths],IF(ISNUMBER($N718),$N718,""),
     unit_details[Sqft],$P718,
     unit_details[Property Name],$F718)
 ),"")</f>
        <v/>
      </c>
      <c r="U718" s="552" t="str">
        <f>IFERROR(
 IF($F718="Total",
   SUMPRODUCT(
   INDEX(U:U, ROW()-COUNTIF($F$6:INDEX($F:$F, ROW()-1), $F717)) : INDEX(U:U, ROW()-1),
   INDEX(W:W, ROW()-COUNTIF($F$6:INDEX($F:$F, ROW()-1), $F717)) : INDEX(W:W, ROW()-1)
   )
   /SUM(INDEX(W:W, ROW()-COUNTIF($F$6:INDEX($F:$F, ROW()-1), $F717)) : INDEX(W:W, ROW()-1)),
   AVERAGEIFS(
     INDEX((unit_details[Effective Rent],unit_details[Effective PSF]),0,1,IF($U$3="Chunk Rent",1,2)),
     unit_details[Leased Date],"&gt;="&amp;($AM$2-T$5),
     unit_details[Leased Date],"&lt;"&amp;$AM$2,
     unit_details[Beds],$L718,
     unit_details[Baths],$M718,
     unit_details[Partial Baths],IF(ISNUMBER($N718),$N718,""),
     unit_details[Sqft],$P718,
     unit_details[Property Name],$F718)
 ),"")</f>
        <v/>
      </c>
      <c r="V718" s="27" t="str">
        <f t="shared" si="131"/>
        <v/>
      </c>
      <c r="W718" s="526">
        <f>IFERROR(
  IF($F718="Total",
    SUM(INDEX(W:W, ROW()-COUNTIF($F$6:INDEX($F:$F, ROW()-1), $F717)) : INDEX(W:W, ROW()-1)),
    COUNTIFS(
      unit_details[Leased Date], "&gt;="&amp;($AM$2-T$5),
      unit_details[Leased Date], "&lt;"&amp;$AM$2,
      unit_details[Beds], $L718,
      unit_details[Baths], $M718,
      unit_details[Partial Baths], IF(ISNUMBER($N718), $N718, ""),
      unit_details[Sqft],$P718,
      unit_details[Property Name], $F718
    )
  ),
"")</f>
        <v>0</v>
      </c>
      <c r="X718" s="531" t="str">
        <f>IFERROR(
 IF($F718="Total",
   SUMPRODUCT(
   INDEX(X:X, ROW()-COUNTIF($F$6:INDEX($F:$F, ROW()-1), $F717)) : INDEX(X:X, ROW()-1),
   INDEX(AA:AA, ROW()-COUNTIF($F$6:INDEX($F:$F, ROW()-1), $F717)) : INDEX(AA:AA, ROW()-1)
   )
   /SUM(INDEX(AA:AA, ROW()-COUNTIF($F$6:INDEX($F:$F, ROW()-1), $F717)) : INDEX(AA:AA, ROW()-1)),
   AVERAGEIFS(
     INDEX((unit_details[Asking Rent],unit_details[Asking PSF]),0,1,IF($U$3="Chunk Rent",1,2)),
     unit_details[Leased Date],"&gt;="&amp;($AM$2-X$5),
     unit_details[Leased Date],"&lt;"&amp;$AM$2,
     unit_details[Beds],$L718,
     unit_details[Baths],$M718,
     unit_details[Partial Baths],IF(ISNUMBER($N718),$N718,""),
     unit_details[Sqft],$P718,
     unit_details[Property Name],$F718)
 ),"")</f>
        <v/>
      </c>
      <c r="Y718" s="552" t="str">
        <f>IFERROR(
 IF($F718="Total",
   SUMPRODUCT(
   INDEX(Y:Y, ROW()-COUNTIF($F$6:INDEX($F:$F, ROW()-1), $F717)) : INDEX(Y:Y, ROW()-1),
   INDEX(AA:AA, ROW()-COUNTIF($F$6:INDEX($F:$F, ROW()-1), $F717)) : INDEX(AA:AA, ROW()-1)
   )
   /SUM(INDEX(AA:AA, ROW()-COUNTIF($F$6:INDEX($F:$F, ROW()-1), $F717)) : INDEX(AA:AA, ROW()-1)),
   AVERAGEIFS(
     INDEX((unit_details[Effective Rent],unit_details[Effective PSF]),0,1,IF($U$3="Chunk Rent",1,2)),
     unit_details[Leased Date],"&gt;="&amp;($AM$2-X$5),
     unit_details[Leased Date],"&lt;"&amp;$AM$2,
     unit_details[Beds],$L718,
     unit_details[Baths],$M718,
     unit_details[Partial Baths],IF(ISNUMBER($N718),$N718,""),
     unit_details[Sqft],$P718,
     unit_details[Property Name],$F718)
 ),"")</f>
        <v/>
      </c>
      <c r="Z718" s="27" t="str">
        <f t="shared" si="132"/>
        <v/>
      </c>
      <c r="AA718" s="526">
        <f>IFERROR(
  IF($F718="Total",
    SUM(INDEX(AA:AA, ROW()-COUNTIF($F$6:INDEX($F:$F, ROW()-1), $F717)) : INDEX(AA:AA, ROW()-1)),
    COUNTIFS(
      unit_details[Leased Date], "&gt;="&amp;($AM$2-X$5),
      unit_details[Leased Date], "&lt;"&amp;$AM$2,
      unit_details[Beds], $L718,
      unit_details[Baths], $M718,
      unit_details[Partial Baths], IF(ISNUMBER($N718), $N718, ""),
      unit_details[Sqft],$P718,
      unit_details[Property Name], $F718
    )
  ),
"")</f>
        <v>0</v>
      </c>
      <c r="AB718" s="290">
        <f>IF($F718="Total",
SUM(INDEX(AB:AB, ROW()-COUNTIF($F$6:INDEX($F:$F, ROW()-1), $F717)) : INDEX(AB:AB, ROW()-1)),
COUNTIFS(unit_details[Active Listing?],TRUE,
          unit_details[Property Name], $F718,
          unit_details[Beds], $L718,
          unit_details[Baths], $M718,
          unit_details[Partial Baths],IF(ISNUMBER($N718),$N718,""),
          unit_details[Sqft],$P718))</f>
        <v>0</v>
      </c>
      <c r="AC718" s="27" t="str">
        <f t="shared" si="124"/>
        <v/>
      </c>
      <c r="AD718" s="293" t="str">
        <f>IFERROR(IF(AE718="","",IF($F718="Total",
SUMPRODUCT(
   INDEX(AD:AD, ROW()-COUNTIF($F$6:INDEX($F:$F, ROW()-1), $F717)) : INDEX(AD:AD, ROW()-1),
   INDEX(AB:AB, ROW()-COUNTIF($F$6:INDEX($F:$F, ROW()-1), $F717)) : INDEX(AB:AB, ROW()-1)
   )
   /SUM(INDEX(AB:AB, ROW()-COUNTIF($F$6:INDEX($F:$F, ROW()-1), $F717)) : INDEX(AB:AB, ROW()-1)),
          _xlfn.MINIFS(unit_details[Asking Rent],
          unit_details[Active Listing?],TRUE,
          unit_details[Property Name], $F718,
          unit_details[Beds], $L718,
          unit_details[Baths], $M718,
          unit_details[Partial Baths], IF(ISNUMBER($N718),$N718,""),
          unit_details[Sqft],$P718
))),"")</f>
        <v/>
      </c>
      <c r="AE718" s="5" t="str">
        <f>IFERROR(IF($F718="Total",
          SUMPRODUCT(
   INDEX(AE:AE, ROW()-COUNTIF($F$6:INDEX($F:$F, ROW()-1), $F717)) : INDEX(AE:AE, ROW()-1),
   INDEX(AB:AB, ROW()-COUNTIF($F$6:INDEX($F:$F, ROW()-1), $F717)) : INDEX(AB:AB, ROW()-1)
   )
   /SUM(INDEX(AB:AB, ROW()-COUNTIF($F$6:INDEX($F:$F, ROW()-1), $F717)) : INDEX(AB:AB, ROW()-1)),
          AVERAGEIFS(unit_details[Asking Rent],
          unit_details[Active Listing?],TRUE,
          unit_details[Property Name], $F718,
          unit_details[Beds], $L718,
          unit_details[Baths], $M718,
          unit_details[Partial Baths], IF(ISNUMBER($N718),$N718,""),
          unit_details[Sqft],$P718
)),"")</f>
        <v/>
      </c>
      <c r="AF718" s="5" t="str">
        <f>IFERROR(IF(AE718="","",IF($F718="Total",
SUMPRODUCT(
   INDEX(AF:AF, ROW()-COUNTIF($F$6:INDEX($F:$F, ROW()-1), $F717)) : INDEX(AF:AF, ROW()-1),
   INDEX(AB:AB, ROW()-COUNTIF($F$6:INDEX($F:$F, ROW()-1), $F717)) : INDEX(AB:AB, ROW()-1)
   )
   /SUM(INDEX(AB:AB, ROW()-COUNTIF($F$6:INDEX($F:$F, ROW()-1), $F717)) : INDEX(AB:AB, ROW()-1)),
           _xlfn.MAXIFS(unit_details[Asking Rent],
          unit_details[Active Listing?],TRUE,
          unit_details[Property Name], $F718,
          unit_details[Beds], $L718,
          unit_details[Baths], $M718,
          unit_details[Partial Baths], IF(ISNUMBER($N718),$N718,""),
          unit_details[Sqft],$P718
))),"")</f>
        <v/>
      </c>
      <c r="AG718" s="6" t="str">
        <f>IFERROR(IF($F718="Total",
         SUMPRODUCT(
         INDEX(AG:AG, ROW()-COUNTIF($F$6:INDEX($F:$F, ROW()-1), $F717)) : INDEX(AG:AG, ROW()-1),
         INDEX(AB:AB, ROW()-COUNTIF($F$6:INDEX($F:$F, ROW()-1), $F717)) : INDEX(AB:AB, ROW()-1)
         )
         /SUM(INDEX(AB:AB, ROW()-COUNTIF($F$6:INDEX($F:$F, ROW()-1), $F717)) : INDEX(AB:AB, ROW()-1)),
          AVERAGEIFS(unit_details[Asking PSF],
          unit_details[Active Listing?],TRUE,
          unit_details[Property Name], $F718,
          unit_details[Beds], $L718,
          unit_details[Baths], $M718,
          unit_details[Partial Baths], IF(ISNUMBER($N718),$N718,""),
          unit_details[Sqft],$P718
)),"")</f>
        <v/>
      </c>
      <c r="AH718" s="293" t="str">
        <f>IFERROR(IF($F718="Total",
         SUMPRODUCT(
         INDEX(AH:AH, ROW()-COUNTIF($F$6:INDEX($F:$F, ROW()-1), $F717)) : INDEX(AH:AH, ROW()-1),
         INDEX(AB:AB, ROW()-COUNTIF($F$6:INDEX($F:$F, ROW()-1), $F717)) : INDEX(AB:AB, ROW()-1)
         )
         /SUM(INDEX(AB:AB, ROW()-COUNTIF($F$6:INDEX($F:$F, ROW()-1), $F717)) : INDEX(AB:AB, ROW()-1)),
          AVERAGEIFS(unit_details[Effective Rent],
          unit_details[Active Listing?],TRUE,
          unit_details[Property Name], $F718,
          unit_details[Beds], $L718,
          unit_details[Baths], $M718,
          unit_details[Partial Baths], IF(ISNUMBER($N718),$N718,""),
          unit_details[Sqft],$P718
)),"")</f>
        <v/>
      </c>
      <c r="AI718" s="6" t="str">
        <f>IFERROR(IF($F718="Total",
         SUMPRODUCT(
         INDEX(AI:AI, ROW()-COUNTIF($F$6:INDEX($F:$F, ROW()-1), $F717)) : INDEX(AI:AI, ROW()-1),
         INDEX(AB:AB, ROW()-COUNTIF($F$6:INDEX($F:$F, ROW()-1), $F717)) : INDEX(AB:AB, ROW()-1)
         )
         /SUM(INDEX(AB:AB, ROW()-COUNTIF($F$6:INDEX($F:$F, ROW()-1), $F717)) : INDEX(AB:AB, ROW()-1)),
           AVERAGEIFS(unit_details[Effective PSF],
          unit_details[Active Listing?],TRUE,
          unit_details[Property Name], $F718,
          unit_details[Beds], $L718,
          unit_details[Baths], $M718,
          unit_details[Partial Baths], IF(ISNUMBER($N718),$N718,""),
          unit_details[Sqft],$P718
)),"")</f>
        <v/>
      </c>
      <c r="AJ718" s="824" t="str">
        <f t="shared" si="125"/>
        <v/>
      </c>
      <c r="AK718" s="531" t="str">
        <f t="shared" si="126"/>
        <v/>
      </c>
      <c r="AL718" s="714" t="str">
        <f t="shared" si="127"/>
        <v/>
      </c>
      <c r="AM718" s="531" t="str">
        <f t="shared" si="128"/>
        <v/>
      </c>
      <c r="AN718" s="716" t="str">
        <f t="shared" si="129"/>
        <v/>
      </c>
    </row>
    <row r="719" spans="6:40" x14ac:dyDescent="0.2">
      <c r="F719" s="1" t="str">
        <f t="shared" si="122"/>
        <v/>
      </c>
      <c r="G719" s="713" t="str">
        <f t="shared" si="130"/>
        <v/>
      </c>
      <c r="H719" s="17" t="str">
        <f>IFERROR(VLOOKUP($G719,Table1[[Property]:[Exposure %]],4,0),"")</f>
        <v/>
      </c>
      <c r="I719" s="3" t="str">
        <f>IFERROR(VLOOKUP($G719,Table1[[Property]:[Exposure %]],6,0),"")</f>
        <v/>
      </c>
      <c r="J719" s="3" t="str">
        <f>IFERROR(VLOOKUP($G719,Table1[[Property]:[Exposure %]],7,0),"")</f>
        <v/>
      </c>
      <c r="R719" s="4" t="str">
        <f>IFERROR(VLOOKUP(IF(F719="Total",F718,F719),Table1[[Property]:['# Units]],7,0)*S719,"")</f>
        <v/>
      </c>
      <c r="S719" s="27" t="str">
        <f t="shared" si="123"/>
        <v/>
      </c>
      <c r="T719" s="531" t="str">
        <f>IFERROR(
 IF($F719="Total",
   SUMPRODUCT(
   INDEX(T:T, ROW()-COUNTIF($F$6:INDEX($F:$F, ROW()-1), $F718)) : INDEX(T:T, ROW()-1),
   INDEX(W:W, ROW()-COUNTIF($F$6:INDEX($F:$F, ROW()-1), $F718)) : INDEX(W:W, ROW()-1)
   )
   /SUM(INDEX(W:W, ROW()-COUNTIF($F$6:INDEX($F:$F, ROW()-1), $F718)) : INDEX(W:W, ROW()-1)),
   AVERAGEIFS(
     INDEX((unit_details[Asking Rent],unit_details[Asking PSF]),0,1,IF($U$3="Chunk Rent",1,2)),
     unit_details[Leased Date],"&gt;="&amp;($AM$2-T$5),
     unit_details[Leased Date],"&lt;"&amp;$AM$2,
     unit_details[Beds],$L719,
     unit_details[Baths],$M719,
     unit_details[Partial Baths],IF(ISNUMBER($N719),$N719,""),
     unit_details[Sqft],$P719,
     unit_details[Property Name],$F719)
 ),"")</f>
        <v/>
      </c>
      <c r="U719" s="552" t="str">
        <f>IFERROR(
 IF($F719="Total",
   SUMPRODUCT(
   INDEX(U:U, ROW()-COUNTIF($F$6:INDEX($F:$F, ROW()-1), $F718)) : INDEX(U:U, ROW()-1),
   INDEX(W:W, ROW()-COUNTIF($F$6:INDEX($F:$F, ROW()-1), $F718)) : INDEX(W:W, ROW()-1)
   )
   /SUM(INDEX(W:W, ROW()-COUNTIF($F$6:INDEX($F:$F, ROW()-1), $F718)) : INDEX(W:W, ROW()-1)),
   AVERAGEIFS(
     INDEX((unit_details[Effective Rent],unit_details[Effective PSF]),0,1,IF($U$3="Chunk Rent",1,2)),
     unit_details[Leased Date],"&gt;="&amp;($AM$2-T$5),
     unit_details[Leased Date],"&lt;"&amp;$AM$2,
     unit_details[Beds],$L719,
     unit_details[Baths],$M719,
     unit_details[Partial Baths],IF(ISNUMBER($N719),$N719,""),
     unit_details[Sqft],$P719,
     unit_details[Property Name],$F719)
 ),"")</f>
        <v/>
      </c>
      <c r="V719" s="27" t="str">
        <f t="shared" si="131"/>
        <v/>
      </c>
      <c r="W719" s="526">
        <f>IFERROR(
  IF($F719="Total",
    SUM(INDEX(W:W, ROW()-COUNTIF($F$6:INDEX($F:$F, ROW()-1), $F718)) : INDEX(W:W, ROW()-1)),
    COUNTIFS(
      unit_details[Leased Date], "&gt;="&amp;($AM$2-T$5),
      unit_details[Leased Date], "&lt;"&amp;$AM$2,
      unit_details[Beds], $L719,
      unit_details[Baths], $M719,
      unit_details[Partial Baths], IF(ISNUMBER($N719), $N719, ""),
      unit_details[Sqft],$P719,
      unit_details[Property Name], $F719
    )
  ),
"")</f>
        <v>0</v>
      </c>
      <c r="X719" s="531" t="str">
        <f>IFERROR(
 IF($F719="Total",
   SUMPRODUCT(
   INDEX(X:X, ROW()-COUNTIF($F$6:INDEX($F:$F, ROW()-1), $F718)) : INDEX(X:X, ROW()-1),
   INDEX(AA:AA, ROW()-COUNTIF($F$6:INDEX($F:$F, ROW()-1), $F718)) : INDEX(AA:AA, ROW()-1)
   )
   /SUM(INDEX(AA:AA, ROW()-COUNTIF($F$6:INDEX($F:$F, ROW()-1), $F718)) : INDEX(AA:AA, ROW()-1)),
   AVERAGEIFS(
     INDEX((unit_details[Asking Rent],unit_details[Asking PSF]),0,1,IF($U$3="Chunk Rent",1,2)),
     unit_details[Leased Date],"&gt;="&amp;($AM$2-X$5),
     unit_details[Leased Date],"&lt;"&amp;$AM$2,
     unit_details[Beds],$L719,
     unit_details[Baths],$M719,
     unit_details[Partial Baths],IF(ISNUMBER($N719),$N719,""),
     unit_details[Sqft],$P719,
     unit_details[Property Name],$F719)
 ),"")</f>
        <v/>
      </c>
      <c r="Y719" s="552" t="str">
        <f>IFERROR(
 IF($F719="Total",
   SUMPRODUCT(
   INDEX(Y:Y, ROW()-COUNTIF($F$6:INDEX($F:$F, ROW()-1), $F718)) : INDEX(Y:Y, ROW()-1),
   INDEX(AA:AA, ROW()-COUNTIF($F$6:INDEX($F:$F, ROW()-1), $F718)) : INDEX(AA:AA, ROW()-1)
   )
   /SUM(INDEX(AA:AA, ROW()-COUNTIF($F$6:INDEX($F:$F, ROW()-1), $F718)) : INDEX(AA:AA, ROW()-1)),
   AVERAGEIFS(
     INDEX((unit_details[Effective Rent],unit_details[Effective PSF]),0,1,IF($U$3="Chunk Rent",1,2)),
     unit_details[Leased Date],"&gt;="&amp;($AM$2-X$5),
     unit_details[Leased Date],"&lt;"&amp;$AM$2,
     unit_details[Beds],$L719,
     unit_details[Baths],$M719,
     unit_details[Partial Baths],IF(ISNUMBER($N719),$N719,""),
     unit_details[Sqft],$P719,
     unit_details[Property Name],$F719)
 ),"")</f>
        <v/>
      </c>
      <c r="Z719" s="27" t="str">
        <f t="shared" si="132"/>
        <v/>
      </c>
      <c r="AA719" s="526">
        <f>IFERROR(
  IF($F719="Total",
    SUM(INDEX(AA:AA, ROW()-COUNTIF($F$6:INDEX($F:$F, ROW()-1), $F718)) : INDEX(AA:AA, ROW()-1)),
    COUNTIFS(
      unit_details[Leased Date], "&gt;="&amp;($AM$2-X$5),
      unit_details[Leased Date], "&lt;"&amp;$AM$2,
      unit_details[Beds], $L719,
      unit_details[Baths], $M719,
      unit_details[Partial Baths], IF(ISNUMBER($N719), $N719, ""),
      unit_details[Sqft],$P719,
      unit_details[Property Name], $F719
    )
  ),
"")</f>
        <v>0</v>
      </c>
      <c r="AB719" s="290">
        <f>IF($F719="Total",
SUM(INDEX(AB:AB, ROW()-COUNTIF($F$6:INDEX($F:$F, ROW()-1), $F718)) : INDEX(AB:AB, ROW()-1)),
COUNTIFS(unit_details[Active Listing?],TRUE,
          unit_details[Property Name], $F719,
          unit_details[Beds], $L719,
          unit_details[Baths], $M719,
          unit_details[Partial Baths],IF(ISNUMBER($N719),$N719,""),
          unit_details[Sqft],$P719))</f>
        <v>0</v>
      </c>
      <c r="AC719" s="27" t="str">
        <f t="shared" si="124"/>
        <v/>
      </c>
      <c r="AD719" s="293" t="str">
        <f>IFERROR(IF(AE719="","",IF($F719="Total",
SUMPRODUCT(
   INDEX(AD:AD, ROW()-COUNTIF($F$6:INDEX($F:$F, ROW()-1), $F718)) : INDEX(AD:AD, ROW()-1),
   INDEX(AB:AB, ROW()-COUNTIF($F$6:INDEX($F:$F, ROW()-1), $F718)) : INDEX(AB:AB, ROW()-1)
   )
   /SUM(INDEX(AB:AB, ROW()-COUNTIF($F$6:INDEX($F:$F, ROW()-1), $F718)) : INDEX(AB:AB, ROW()-1)),
          _xlfn.MINIFS(unit_details[Asking Rent],
          unit_details[Active Listing?],TRUE,
          unit_details[Property Name], $F719,
          unit_details[Beds], $L719,
          unit_details[Baths], $M719,
          unit_details[Partial Baths], IF(ISNUMBER($N719),$N719,""),
          unit_details[Sqft],$P719
))),"")</f>
        <v/>
      </c>
      <c r="AE719" s="5" t="str">
        <f>IFERROR(IF($F719="Total",
          SUMPRODUCT(
   INDEX(AE:AE, ROW()-COUNTIF($F$6:INDEX($F:$F, ROW()-1), $F718)) : INDEX(AE:AE, ROW()-1),
   INDEX(AB:AB, ROW()-COUNTIF($F$6:INDEX($F:$F, ROW()-1), $F718)) : INDEX(AB:AB, ROW()-1)
   )
   /SUM(INDEX(AB:AB, ROW()-COUNTIF($F$6:INDEX($F:$F, ROW()-1), $F718)) : INDEX(AB:AB, ROW()-1)),
          AVERAGEIFS(unit_details[Asking Rent],
          unit_details[Active Listing?],TRUE,
          unit_details[Property Name], $F719,
          unit_details[Beds], $L719,
          unit_details[Baths], $M719,
          unit_details[Partial Baths], IF(ISNUMBER($N719),$N719,""),
          unit_details[Sqft],$P719
)),"")</f>
        <v/>
      </c>
      <c r="AF719" s="5" t="str">
        <f>IFERROR(IF(AE719="","",IF($F719="Total",
SUMPRODUCT(
   INDEX(AF:AF, ROW()-COUNTIF($F$6:INDEX($F:$F, ROW()-1), $F718)) : INDEX(AF:AF, ROW()-1),
   INDEX(AB:AB, ROW()-COUNTIF($F$6:INDEX($F:$F, ROW()-1), $F718)) : INDEX(AB:AB, ROW()-1)
   )
   /SUM(INDEX(AB:AB, ROW()-COUNTIF($F$6:INDEX($F:$F, ROW()-1), $F718)) : INDEX(AB:AB, ROW()-1)),
           _xlfn.MAXIFS(unit_details[Asking Rent],
          unit_details[Active Listing?],TRUE,
          unit_details[Property Name], $F719,
          unit_details[Beds], $L719,
          unit_details[Baths], $M719,
          unit_details[Partial Baths], IF(ISNUMBER($N719),$N719,""),
          unit_details[Sqft],$P719
))),"")</f>
        <v/>
      </c>
      <c r="AG719" s="6" t="str">
        <f>IFERROR(IF($F719="Total",
         SUMPRODUCT(
         INDEX(AG:AG, ROW()-COUNTIF($F$6:INDEX($F:$F, ROW()-1), $F718)) : INDEX(AG:AG, ROW()-1),
         INDEX(AB:AB, ROW()-COUNTIF($F$6:INDEX($F:$F, ROW()-1), $F718)) : INDEX(AB:AB, ROW()-1)
         )
         /SUM(INDEX(AB:AB, ROW()-COUNTIF($F$6:INDEX($F:$F, ROW()-1), $F718)) : INDEX(AB:AB, ROW()-1)),
          AVERAGEIFS(unit_details[Asking PSF],
          unit_details[Active Listing?],TRUE,
          unit_details[Property Name], $F719,
          unit_details[Beds], $L719,
          unit_details[Baths], $M719,
          unit_details[Partial Baths], IF(ISNUMBER($N719),$N719,""),
          unit_details[Sqft],$P719
)),"")</f>
        <v/>
      </c>
      <c r="AH719" s="293" t="str">
        <f>IFERROR(IF($F719="Total",
         SUMPRODUCT(
         INDEX(AH:AH, ROW()-COUNTIF($F$6:INDEX($F:$F, ROW()-1), $F718)) : INDEX(AH:AH, ROW()-1),
         INDEX(AB:AB, ROW()-COUNTIF($F$6:INDEX($F:$F, ROW()-1), $F718)) : INDEX(AB:AB, ROW()-1)
         )
         /SUM(INDEX(AB:AB, ROW()-COUNTIF($F$6:INDEX($F:$F, ROW()-1), $F718)) : INDEX(AB:AB, ROW()-1)),
          AVERAGEIFS(unit_details[Effective Rent],
          unit_details[Active Listing?],TRUE,
          unit_details[Property Name], $F719,
          unit_details[Beds], $L719,
          unit_details[Baths], $M719,
          unit_details[Partial Baths], IF(ISNUMBER($N719),$N719,""),
          unit_details[Sqft],$P719
)),"")</f>
        <v/>
      </c>
      <c r="AI719" s="6" t="str">
        <f>IFERROR(IF($F719="Total",
         SUMPRODUCT(
         INDEX(AI:AI, ROW()-COUNTIF($F$6:INDEX($F:$F, ROW()-1), $F718)) : INDEX(AI:AI, ROW()-1),
         INDEX(AB:AB, ROW()-COUNTIF($F$6:INDEX($F:$F, ROW()-1), $F718)) : INDEX(AB:AB, ROW()-1)
         )
         /SUM(INDEX(AB:AB, ROW()-COUNTIF($F$6:INDEX($F:$F, ROW()-1), $F718)) : INDEX(AB:AB, ROW()-1)),
           AVERAGEIFS(unit_details[Effective PSF],
          unit_details[Active Listing?],TRUE,
          unit_details[Property Name], $F719,
          unit_details[Beds], $L719,
          unit_details[Baths], $M719,
          unit_details[Partial Baths], IF(ISNUMBER($N719),$N719,""),
          unit_details[Sqft],$P719
)),"")</f>
        <v/>
      </c>
      <c r="AJ719" s="824" t="str">
        <f t="shared" si="125"/>
        <v/>
      </c>
      <c r="AK719" s="531" t="str">
        <f t="shared" si="126"/>
        <v/>
      </c>
      <c r="AL719" s="714" t="str">
        <f t="shared" si="127"/>
        <v/>
      </c>
      <c r="AM719" s="531" t="str">
        <f t="shared" si="128"/>
        <v/>
      </c>
      <c r="AN719" s="716" t="str">
        <f t="shared" si="129"/>
        <v/>
      </c>
    </row>
    <row r="720" spans="6:40" x14ac:dyDescent="0.2">
      <c r="F720" s="1" t="str">
        <f t="shared" si="122"/>
        <v/>
      </c>
      <c r="G720" s="713" t="str">
        <f t="shared" si="130"/>
        <v/>
      </c>
      <c r="H720" s="17" t="str">
        <f>IFERROR(VLOOKUP($G720,Table1[[Property]:[Exposure %]],4,0),"")</f>
        <v/>
      </c>
      <c r="I720" s="3" t="str">
        <f>IFERROR(VLOOKUP($G720,Table1[[Property]:[Exposure %]],6,0),"")</f>
        <v/>
      </c>
      <c r="J720" s="3" t="str">
        <f>IFERROR(VLOOKUP($G720,Table1[[Property]:[Exposure %]],7,0),"")</f>
        <v/>
      </c>
      <c r="R720" s="4" t="str">
        <f>IFERROR(VLOOKUP(IF(F720="Total",F719,F720),Table1[[Property]:['# Units]],7,0)*S720,"")</f>
        <v/>
      </c>
      <c r="S720" s="27" t="str">
        <f t="shared" si="123"/>
        <v/>
      </c>
      <c r="T720" s="531" t="str">
        <f>IFERROR(
 IF($F720="Total",
   SUMPRODUCT(
   INDEX(T:T, ROW()-COUNTIF($F$6:INDEX($F:$F, ROW()-1), $F719)) : INDEX(T:T, ROW()-1),
   INDEX(W:W, ROW()-COUNTIF($F$6:INDEX($F:$F, ROW()-1), $F719)) : INDEX(W:W, ROW()-1)
   )
   /SUM(INDEX(W:W, ROW()-COUNTIF($F$6:INDEX($F:$F, ROW()-1), $F719)) : INDEX(W:W, ROW()-1)),
   AVERAGEIFS(
     INDEX((unit_details[Asking Rent],unit_details[Asking PSF]),0,1,IF($U$3="Chunk Rent",1,2)),
     unit_details[Leased Date],"&gt;="&amp;($AM$2-T$5),
     unit_details[Leased Date],"&lt;"&amp;$AM$2,
     unit_details[Beds],$L720,
     unit_details[Baths],$M720,
     unit_details[Partial Baths],IF(ISNUMBER($N720),$N720,""),
     unit_details[Sqft],$P720,
     unit_details[Property Name],$F720)
 ),"")</f>
        <v/>
      </c>
      <c r="U720" s="552" t="str">
        <f>IFERROR(
 IF($F720="Total",
   SUMPRODUCT(
   INDEX(U:U, ROW()-COUNTIF($F$6:INDEX($F:$F, ROW()-1), $F719)) : INDEX(U:U, ROW()-1),
   INDEX(W:W, ROW()-COUNTIF($F$6:INDEX($F:$F, ROW()-1), $F719)) : INDEX(W:W, ROW()-1)
   )
   /SUM(INDEX(W:W, ROW()-COUNTIF($F$6:INDEX($F:$F, ROW()-1), $F719)) : INDEX(W:W, ROW()-1)),
   AVERAGEIFS(
     INDEX((unit_details[Effective Rent],unit_details[Effective PSF]),0,1,IF($U$3="Chunk Rent",1,2)),
     unit_details[Leased Date],"&gt;="&amp;($AM$2-T$5),
     unit_details[Leased Date],"&lt;"&amp;$AM$2,
     unit_details[Beds],$L720,
     unit_details[Baths],$M720,
     unit_details[Partial Baths],IF(ISNUMBER($N720),$N720,""),
     unit_details[Sqft],$P720,
     unit_details[Property Name],$F720)
 ),"")</f>
        <v/>
      </c>
      <c r="V720" s="27" t="str">
        <f t="shared" si="131"/>
        <v/>
      </c>
      <c r="W720" s="526">
        <f>IFERROR(
  IF($F720="Total",
    SUM(INDEX(W:W, ROW()-COUNTIF($F$6:INDEX($F:$F, ROW()-1), $F719)) : INDEX(W:W, ROW()-1)),
    COUNTIFS(
      unit_details[Leased Date], "&gt;="&amp;($AM$2-T$5),
      unit_details[Leased Date], "&lt;"&amp;$AM$2,
      unit_details[Beds], $L720,
      unit_details[Baths], $M720,
      unit_details[Partial Baths], IF(ISNUMBER($N720), $N720, ""),
      unit_details[Sqft],$P720,
      unit_details[Property Name], $F720
    )
  ),
"")</f>
        <v>0</v>
      </c>
      <c r="X720" s="531" t="str">
        <f>IFERROR(
 IF($F720="Total",
   SUMPRODUCT(
   INDEX(X:X, ROW()-COUNTIF($F$6:INDEX($F:$F, ROW()-1), $F719)) : INDEX(X:X, ROW()-1),
   INDEX(AA:AA, ROW()-COUNTIF($F$6:INDEX($F:$F, ROW()-1), $F719)) : INDEX(AA:AA, ROW()-1)
   )
   /SUM(INDEX(AA:AA, ROW()-COUNTIF($F$6:INDEX($F:$F, ROW()-1), $F719)) : INDEX(AA:AA, ROW()-1)),
   AVERAGEIFS(
     INDEX((unit_details[Asking Rent],unit_details[Asking PSF]),0,1,IF($U$3="Chunk Rent",1,2)),
     unit_details[Leased Date],"&gt;="&amp;($AM$2-X$5),
     unit_details[Leased Date],"&lt;"&amp;$AM$2,
     unit_details[Beds],$L720,
     unit_details[Baths],$M720,
     unit_details[Partial Baths],IF(ISNUMBER($N720),$N720,""),
     unit_details[Sqft],$P720,
     unit_details[Property Name],$F720)
 ),"")</f>
        <v/>
      </c>
      <c r="Y720" s="552" t="str">
        <f>IFERROR(
 IF($F720="Total",
   SUMPRODUCT(
   INDEX(Y:Y, ROW()-COUNTIF($F$6:INDEX($F:$F, ROW()-1), $F719)) : INDEX(Y:Y, ROW()-1),
   INDEX(AA:AA, ROW()-COUNTIF($F$6:INDEX($F:$F, ROW()-1), $F719)) : INDEX(AA:AA, ROW()-1)
   )
   /SUM(INDEX(AA:AA, ROW()-COUNTIF($F$6:INDEX($F:$F, ROW()-1), $F719)) : INDEX(AA:AA, ROW()-1)),
   AVERAGEIFS(
     INDEX((unit_details[Effective Rent],unit_details[Effective PSF]),0,1,IF($U$3="Chunk Rent",1,2)),
     unit_details[Leased Date],"&gt;="&amp;($AM$2-X$5),
     unit_details[Leased Date],"&lt;"&amp;$AM$2,
     unit_details[Beds],$L720,
     unit_details[Baths],$M720,
     unit_details[Partial Baths],IF(ISNUMBER($N720),$N720,""),
     unit_details[Sqft],$P720,
     unit_details[Property Name],$F720)
 ),"")</f>
        <v/>
      </c>
      <c r="Z720" s="27" t="str">
        <f t="shared" si="132"/>
        <v/>
      </c>
      <c r="AA720" s="526">
        <f>IFERROR(
  IF($F720="Total",
    SUM(INDEX(AA:AA, ROW()-COUNTIF($F$6:INDEX($F:$F, ROW()-1), $F719)) : INDEX(AA:AA, ROW()-1)),
    COUNTIFS(
      unit_details[Leased Date], "&gt;="&amp;($AM$2-X$5),
      unit_details[Leased Date], "&lt;"&amp;$AM$2,
      unit_details[Beds], $L720,
      unit_details[Baths], $M720,
      unit_details[Partial Baths], IF(ISNUMBER($N720), $N720, ""),
      unit_details[Sqft],$P720,
      unit_details[Property Name], $F720
    )
  ),
"")</f>
        <v>0</v>
      </c>
      <c r="AB720" s="290">
        <f>IF($F720="Total",
SUM(INDEX(AB:AB, ROW()-COUNTIF($F$6:INDEX($F:$F, ROW()-1), $F719)) : INDEX(AB:AB, ROW()-1)),
COUNTIFS(unit_details[Active Listing?],TRUE,
          unit_details[Property Name], $F720,
          unit_details[Beds], $L720,
          unit_details[Baths], $M720,
          unit_details[Partial Baths],IF(ISNUMBER($N720),$N720,""),
          unit_details[Sqft],$P720))</f>
        <v>0</v>
      </c>
      <c r="AC720" s="27" t="str">
        <f t="shared" si="124"/>
        <v/>
      </c>
      <c r="AD720" s="293" t="str">
        <f>IFERROR(IF(AE720="","",IF($F720="Total",
SUMPRODUCT(
   INDEX(AD:AD, ROW()-COUNTIF($F$6:INDEX($F:$F, ROW()-1), $F719)) : INDEX(AD:AD, ROW()-1),
   INDEX(AB:AB, ROW()-COUNTIF($F$6:INDEX($F:$F, ROW()-1), $F719)) : INDEX(AB:AB, ROW()-1)
   )
   /SUM(INDEX(AB:AB, ROW()-COUNTIF($F$6:INDEX($F:$F, ROW()-1), $F719)) : INDEX(AB:AB, ROW()-1)),
          _xlfn.MINIFS(unit_details[Asking Rent],
          unit_details[Active Listing?],TRUE,
          unit_details[Property Name], $F720,
          unit_details[Beds], $L720,
          unit_details[Baths], $M720,
          unit_details[Partial Baths], IF(ISNUMBER($N720),$N720,""),
          unit_details[Sqft],$P720
))),"")</f>
        <v/>
      </c>
      <c r="AE720" s="5" t="str">
        <f>IFERROR(IF($F720="Total",
          SUMPRODUCT(
   INDEX(AE:AE, ROW()-COUNTIF($F$6:INDEX($F:$F, ROW()-1), $F719)) : INDEX(AE:AE, ROW()-1),
   INDEX(AB:AB, ROW()-COUNTIF($F$6:INDEX($F:$F, ROW()-1), $F719)) : INDEX(AB:AB, ROW()-1)
   )
   /SUM(INDEX(AB:AB, ROW()-COUNTIF($F$6:INDEX($F:$F, ROW()-1), $F719)) : INDEX(AB:AB, ROW()-1)),
          AVERAGEIFS(unit_details[Asking Rent],
          unit_details[Active Listing?],TRUE,
          unit_details[Property Name], $F720,
          unit_details[Beds], $L720,
          unit_details[Baths], $M720,
          unit_details[Partial Baths], IF(ISNUMBER($N720),$N720,""),
          unit_details[Sqft],$P720
)),"")</f>
        <v/>
      </c>
      <c r="AF720" s="5" t="str">
        <f>IFERROR(IF(AE720="","",IF($F720="Total",
SUMPRODUCT(
   INDEX(AF:AF, ROW()-COUNTIF($F$6:INDEX($F:$F, ROW()-1), $F719)) : INDEX(AF:AF, ROW()-1),
   INDEX(AB:AB, ROW()-COUNTIF($F$6:INDEX($F:$F, ROW()-1), $F719)) : INDEX(AB:AB, ROW()-1)
   )
   /SUM(INDEX(AB:AB, ROW()-COUNTIF($F$6:INDEX($F:$F, ROW()-1), $F719)) : INDEX(AB:AB, ROW()-1)),
           _xlfn.MAXIFS(unit_details[Asking Rent],
          unit_details[Active Listing?],TRUE,
          unit_details[Property Name], $F720,
          unit_details[Beds], $L720,
          unit_details[Baths], $M720,
          unit_details[Partial Baths], IF(ISNUMBER($N720),$N720,""),
          unit_details[Sqft],$P720
))),"")</f>
        <v/>
      </c>
      <c r="AG720" s="6" t="str">
        <f>IFERROR(IF($F720="Total",
         SUMPRODUCT(
         INDEX(AG:AG, ROW()-COUNTIF($F$6:INDEX($F:$F, ROW()-1), $F719)) : INDEX(AG:AG, ROW()-1),
         INDEX(AB:AB, ROW()-COUNTIF($F$6:INDEX($F:$F, ROW()-1), $F719)) : INDEX(AB:AB, ROW()-1)
         )
         /SUM(INDEX(AB:AB, ROW()-COUNTIF($F$6:INDEX($F:$F, ROW()-1), $F719)) : INDEX(AB:AB, ROW()-1)),
          AVERAGEIFS(unit_details[Asking PSF],
          unit_details[Active Listing?],TRUE,
          unit_details[Property Name], $F720,
          unit_details[Beds], $L720,
          unit_details[Baths], $M720,
          unit_details[Partial Baths], IF(ISNUMBER($N720),$N720,""),
          unit_details[Sqft],$P720
)),"")</f>
        <v/>
      </c>
      <c r="AH720" s="293" t="str">
        <f>IFERROR(IF($F720="Total",
         SUMPRODUCT(
         INDEX(AH:AH, ROW()-COUNTIF($F$6:INDEX($F:$F, ROW()-1), $F719)) : INDEX(AH:AH, ROW()-1),
         INDEX(AB:AB, ROW()-COUNTIF($F$6:INDEX($F:$F, ROW()-1), $F719)) : INDEX(AB:AB, ROW()-1)
         )
         /SUM(INDEX(AB:AB, ROW()-COUNTIF($F$6:INDEX($F:$F, ROW()-1), $F719)) : INDEX(AB:AB, ROW()-1)),
          AVERAGEIFS(unit_details[Effective Rent],
          unit_details[Active Listing?],TRUE,
          unit_details[Property Name], $F720,
          unit_details[Beds], $L720,
          unit_details[Baths], $M720,
          unit_details[Partial Baths], IF(ISNUMBER($N720),$N720,""),
          unit_details[Sqft],$P720
)),"")</f>
        <v/>
      </c>
      <c r="AI720" s="6" t="str">
        <f>IFERROR(IF($F720="Total",
         SUMPRODUCT(
         INDEX(AI:AI, ROW()-COUNTIF($F$6:INDEX($F:$F, ROW()-1), $F719)) : INDEX(AI:AI, ROW()-1),
         INDEX(AB:AB, ROW()-COUNTIF($F$6:INDEX($F:$F, ROW()-1), $F719)) : INDEX(AB:AB, ROW()-1)
         )
         /SUM(INDEX(AB:AB, ROW()-COUNTIF($F$6:INDEX($F:$F, ROW()-1), $F719)) : INDEX(AB:AB, ROW()-1)),
           AVERAGEIFS(unit_details[Effective PSF],
          unit_details[Active Listing?],TRUE,
          unit_details[Property Name], $F720,
          unit_details[Beds], $L720,
          unit_details[Baths], $M720,
          unit_details[Partial Baths], IF(ISNUMBER($N720),$N720,""),
          unit_details[Sqft],$P720
)),"")</f>
        <v/>
      </c>
      <c r="AJ720" s="824" t="str">
        <f t="shared" si="125"/>
        <v/>
      </c>
      <c r="AK720" s="531" t="str">
        <f t="shared" si="126"/>
        <v/>
      </c>
      <c r="AL720" s="714" t="str">
        <f t="shared" si="127"/>
        <v/>
      </c>
      <c r="AM720" s="531" t="str">
        <f t="shared" si="128"/>
        <v/>
      </c>
      <c r="AN720" s="716" t="str">
        <f t="shared" si="129"/>
        <v/>
      </c>
    </row>
    <row r="721" spans="6:40" x14ac:dyDescent="0.2">
      <c r="F721" s="1" t="str">
        <f t="shared" si="122"/>
        <v/>
      </c>
      <c r="G721" s="713" t="str">
        <f t="shared" si="130"/>
        <v/>
      </c>
      <c r="H721" s="17" t="str">
        <f>IFERROR(VLOOKUP($G721,Table1[[Property]:[Exposure %]],4,0),"")</f>
        <v/>
      </c>
      <c r="I721" s="3" t="str">
        <f>IFERROR(VLOOKUP($G721,Table1[[Property]:[Exposure %]],6,0),"")</f>
        <v/>
      </c>
      <c r="J721" s="3" t="str">
        <f>IFERROR(VLOOKUP($G721,Table1[[Property]:[Exposure %]],7,0),"")</f>
        <v/>
      </c>
      <c r="R721" s="4" t="str">
        <f>IFERROR(VLOOKUP(IF(F721="Total",F720,F721),Table1[[Property]:['# Units]],7,0)*S721,"")</f>
        <v/>
      </c>
      <c r="S721" s="27" t="str">
        <f t="shared" si="123"/>
        <v/>
      </c>
      <c r="T721" s="531" t="str">
        <f>IFERROR(
 IF($F721="Total",
   SUMPRODUCT(
   INDEX(T:T, ROW()-COUNTIF($F$6:INDEX($F:$F, ROW()-1), $F720)) : INDEX(T:T, ROW()-1),
   INDEX(W:W, ROW()-COUNTIF($F$6:INDEX($F:$F, ROW()-1), $F720)) : INDEX(W:W, ROW()-1)
   )
   /SUM(INDEX(W:W, ROW()-COUNTIF($F$6:INDEX($F:$F, ROW()-1), $F720)) : INDEX(W:W, ROW()-1)),
   AVERAGEIFS(
     INDEX((unit_details[Asking Rent],unit_details[Asking PSF]),0,1,IF($U$3="Chunk Rent",1,2)),
     unit_details[Leased Date],"&gt;="&amp;($AM$2-T$5),
     unit_details[Leased Date],"&lt;"&amp;$AM$2,
     unit_details[Beds],$L721,
     unit_details[Baths],$M721,
     unit_details[Partial Baths],IF(ISNUMBER($N721),$N721,""),
     unit_details[Sqft],$P721,
     unit_details[Property Name],$F721)
 ),"")</f>
        <v/>
      </c>
      <c r="U721" s="552" t="str">
        <f>IFERROR(
 IF($F721="Total",
   SUMPRODUCT(
   INDEX(U:U, ROW()-COUNTIF($F$6:INDEX($F:$F, ROW()-1), $F720)) : INDEX(U:U, ROW()-1),
   INDEX(W:W, ROW()-COUNTIF($F$6:INDEX($F:$F, ROW()-1), $F720)) : INDEX(W:W, ROW()-1)
   )
   /SUM(INDEX(W:W, ROW()-COUNTIF($F$6:INDEX($F:$F, ROW()-1), $F720)) : INDEX(W:W, ROW()-1)),
   AVERAGEIFS(
     INDEX((unit_details[Effective Rent],unit_details[Effective PSF]),0,1,IF($U$3="Chunk Rent",1,2)),
     unit_details[Leased Date],"&gt;="&amp;($AM$2-T$5),
     unit_details[Leased Date],"&lt;"&amp;$AM$2,
     unit_details[Beds],$L721,
     unit_details[Baths],$M721,
     unit_details[Partial Baths],IF(ISNUMBER($N721),$N721,""),
     unit_details[Sqft],$P721,
     unit_details[Property Name],$F721)
 ),"")</f>
        <v/>
      </c>
      <c r="V721" s="27" t="str">
        <f t="shared" si="131"/>
        <v/>
      </c>
      <c r="W721" s="526">
        <f>IFERROR(
  IF($F721="Total",
    SUM(INDEX(W:W, ROW()-COUNTIF($F$6:INDEX($F:$F, ROW()-1), $F720)) : INDEX(W:W, ROW()-1)),
    COUNTIFS(
      unit_details[Leased Date], "&gt;="&amp;($AM$2-T$5),
      unit_details[Leased Date], "&lt;"&amp;$AM$2,
      unit_details[Beds], $L721,
      unit_details[Baths], $M721,
      unit_details[Partial Baths], IF(ISNUMBER($N721), $N721, ""),
      unit_details[Sqft],$P721,
      unit_details[Property Name], $F721
    )
  ),
"")</f>
        <v>0</v>
      </c>
      <c r="X721" s="531" t="str">
        <f>IFERROR(
 IF($F721="Total",
   SUMPRODUCT(
   INDEX(X:X, ROW()-COUNTIF($F$6:INDEX($F:$F, ROW()-1), $F720)) : INDEX(X:X, ROW()-1),
   INDEX(AA:AA, ROW()-COUNTIF($F$6:INDEX($F:$F, ROW()-1), $F720)) : INDEX(AA:AA, ROW()-1)
   )
   /SUM(INDEX(AA:AA, ROW()-COUNTIF($F$6:INDEX($F:$F, ROW()-1), $F720)) : INDEX(AA:AA, ROW()-1)),
   AVERAGEIFS(
     INDEX((unit_details[Asking Rent],unit_details[Asking PSF]),0,1,IF($U$3="Chunk Rent",1,2)),
     unit_details[Leased Date],"&gt;="&amp;($AM$2-X$5),
     unit_details[Leased Date],"&lt;"&amp;$AM$2,
     unit_details[Beds],$L721,
     unit_details[Baths],$M721,
     unit_details[Partial Baths],IF(ISNUMBER($N721),$N721,""),
     unit_details[Sqft],$P721,
     unit_details[Property Name],$F721)
 ),"")</f>
        <v/>
      </c>
      <c r="Y721" s="552" t="str">
        <f>IFERROR(
 IF($F721="Total",
   SUMPRODUCT(
   INDEX(Y:Y, ROW()-COUNTIF($F$6:INDEX($F:$F, ROW()-1), $F720)) : INDEX(Y:Y, ROW()-1),
   INDEX(AA:AA, ROW()-COUNTIF($F$6:INDEX($F:$F, ROW()-1), $F720)) : INDEX(AA:AA, ROW()-1)
   )
   /SUM(INDEX(AA:AA, ROW()-COUNTIF($F$6:INDEX($F:$F, ROW()-1), $F720)) : INDEX(AA:AA, ROW()-1)),
   AVERAGEIFS(
     INDEX((unit_details[Effective Rent],unit_details[Effective PSF]),0,1,IF($U$3="Chunk Rent",1,2)),
     unit_details[Leased Date],"&gt;="&amp;($AM$2-X$5),
     unit_details[Leased Date],"&lt;"&amp;$AM$2,
     unit_details[Beds],$L721,
     unit_details[Baths],$M721,
     unit_details[Partial Baths],IF(ISNUMBER($N721),$N721,""),
     unit_details[Sqft],$P721,
     unit_details[Property Name],$F721)
 ),"")</f>
        <v/>
      </c>
      <c r="Z721" s="27" t="str">
        <f t="shared" si="132"/>
        <v/>
      </c>
      <c r="AA721" s="526">
        <f>IFERROR(
  IF($F721="Total",
    SUM(INDEX(AA:AA, ROW()-COUNTIF($F$6:INDEX($F:$F, ROW()-1), $F720)) : INDEX(AA:AA, ROW()-1)),
    COUNTIFS(
      unit_details[Leased Date], "&gt;="&amp;($AM$2-X$5),
      unit_details[Leased Date], "&lt;"&amp;$AM$2,
      unit_details[Beds], $L721,
      unit_details[Baths], $M721,
      unit_details[Partial Baths], IF(ISNUMBER($N721), $N721, ""),
      unit_details[Sqft],$P721,
      unit_details[Property Name], $F721
    )
  ),
"")</f>
        <v>0</v>
      </c>
      <c r="AB721" s="290">
        <f>IF($F721="Total",
SUM(INDEX(AB:AB, ROW()-COUNTIF($F$6:INDEX($F:$F, ROW()-1), $F720)) : INDEX(AB:AB, ROW()-1)),
COUNTIFS(unit_details[Active Listing?],TRUE,
          unit_details[Property Name], $F721,
          unit_details[Beds], $L721,
          unit_details[Baths], $M721,
          unit_details[Partial Baths],IF(ISNUMBER($N721),$N721,""),
          unit_details[Sqft],$P721))</f>
        <v>0</v>
      </c>
      <c r="AC721" s="27" t="str">
        <f t="shared" si="124"/>
        <v/>
      </c>
      <c r="AD721" s="293" t="str">
        <f>IFERROR(IF(AE721="","",IF($F721="Total",
SUMPRODUCT(
   INDEX(AD:AD, ROW()-COUNTIF($F$6:INDEX($F:$F, ROW()-1), $F720)) : INDEX(AD:AD, ROW()-1),
   INDEX(AB:AB, ROW()-COUNTIF($F$6:INDEX($F:$F, ROW()-1), $F720)) : INDEX(AB:AB, ROW()-1)
   )
   /SUM(INDEX(AB:AB, ROW()-COUNTIF($F$6:INDEX($F:$F, ROW()-1), $F720)) : INDEX(AB:AB, ROW()-1)),
          _xlfn.MINIFS(unit_details[Asking Rent],
          unit_details[Active Listing?],TRUE,
          unit_details[Property Name], $F721,
          unit_details[Beds], $L721,
          unit_details[Baths], $M721,
          unit_details[Partial Baths], IF(ISNUMBER($N721),$N721,""),
          unit_details[Sqft],$P721
))),"")</f>
        <v/>
      </c>
      <c r="AE721" s="5" t="str">
        <f>IFERROR(IF($F721="Total",
          SUMPRODUCT(
   INDEX(AE:AE, ROW()-COUNTIF($F$6:INDEX($F:$F, ROW()-1), $F720)) : INDEX(AE:AE, ROW()-1),
   INDEX(AB:AB, ROW()-COUNTIF($F$6:INDEX($F:$F, ROW()-1), $F720)) : INDEX(AB:AB, ROW()-1)
   )
   /SUM(INDEX(AB:AB, ROW()-COUNTIF($F$6:INDEX($F:$F, ROW()-1), $F720)) : INDEX(AB:AB, ROW()-1)),
          AVERAGEIFS(unit_details[Asking Rent],
          unit_details[Active Listing?],TRUE,
          unit_details[Property Name], $F721,
          unit_details[Beds], $L721,
          unit_details[Baths], $M721,
          unit_details[Partial Baths], IF(ISNUMBER($N721),$N721,""),
          unit_details[Sqft],$P721
)),"")</f>
        <v/>
      </c>
      <c r="AF721" s="5" t="str">
        <f>IFERROR(IF(AE721="","",IF($F721="Total",
SUMPRODUCT(
   INDEX(AF:AF, ROW()-COUNTIF($F$6:INDEX($F:$F, ROW()-1), $F720)) : INDEX(AF:AF, ROW()-1),
   INDEX(AB:AB, ROW()-COUNTIF($F$6:INDEX($F:$F, ROW()-1), $F720)) : INDEX(AB:AB, ROW()-1)
   )
   /SUM(INDEX(AB:AB, ROW()-COUNTIF($F$6:INDEX($F:$F, ROW()-1), $F720)) : INDEX(AB:AB, ROW()-1)),
           _xlfn.MAXIFS(unit_details[Asking Rent],
          unit_details[Active Listing?],TRUE,
          unit_details[Property Name], $F721,
          unit_details[Beds], $L721,
          unit_details[Baths], $M721,
          unit_details[Partial Baths], IF(ISNUMBER($N721),$N721,""),
          unit_details[Sqft],$P721
))),"")</f>
        <v/>
      </c>
      <c r="AG721" s="6" t="str">
        <f>IFERROR(IF($F721="Total",
         SUMPRODUCT(
         INDEX(AG:AG, ROW()-COUNTIF($F$6:INDEX($F:$F, ROW()-1), $F720)) : INDEX(AG:AG, ROW()-1),
         INDEX(AB:AB, ROW()-COUNTIF($F$6:INDEX($F:$F, ROW()-1), $F720)) : INDEX(AB:AB, ROW()-1)
         )
         /SUM(INDEX(AB:AB, ROW()-COUNTIF($F$6:INDEX($F:$F, ROW()-1), $F720)) : INDEX(AB:AB, ROW()-1)),
          AVERAGEIFS(unit_details[Asking PSF],
          unit_details[Active Listing?],TRUE,
          unit_details[Property Name], $F721,
          unit_details[Beds], $L721,
          unit_details[Baths], $M721,
          unit_details[Partial Baths], IF(ISNUMBER($N721),$N721,""),
          unit_details[Sqft],$P721
)),"")</f>
        <v/>
      </c>
      <c r="AH721" s="293" t="str">
        <f>IFERROR(IF($F721="Total",
         SUMPRODUCT(
         INDEX(AH:AH, ROW()-COUNTIF($F$6:INDEX($F:$F, ROW()-1), $F720)) : INDEX(AH:AH, ROW()-1),
         INDEX(AB:AB, ROW()-COUNTIF($F$6:INDEX($F:$F, ROW()-1), $F720)) : INDEX(AB:AB, ROW()-1)
         )
         /SUM(INDEX(AB:AB, ROW()-COUNTIF($F$6:INDEX($F:$F, ROW()-1), $F720)) : INDEX(AB:AB, ROW()-1)),
          AVERAGEIFS(unit_details[Effective Rent],
          unit_details[Active Listing?],TRUE,
          unit_details[Property Name], $F721,
          unit_details[Beds], $L721,
          unit_details[Baths], $M721,
          unit_details[Partial Baths], IF(ISNUMBER($N721),$N721,""),
          unit_details[Sqft],$P721
)),"")</f>
        <v/>
      </c>
      <c r="AI721" s="6" t="str">
        <f>IFERROR(IF($F721="Total",
         SUMPRODUCT(
         INDEX(AI:AI, ROW()-COUNTIF($F$6:INDEX($F:$F, ROW()-1), $F720)) : INDEX(AI:AI, ROW()-1),
         INDEX(AB:AB, ROW()-COUNTIF($F$6:INDEX($F:$F, ROW()-1), $F720)) : INDEX(AB:AB, ROW()-1)
         )
         /SUM(INDEX(AB:AB, ROW()-COUNTIF($F$6:INDEX($F:$F, ROW()-1), $F720)) : INDEX(AB:AB, ROW()-1)),
           AVERAGEIFS(unit_details[Effective PSF],
          unit_details[Active Listing?],TRUE,
          unit_details[Property Name], $F721,
          unit_details[Beds], $L721,
          unit_details[Baths], $M721,
          unit_details[Partial Baths], IF(ISNUMBER($N721),$N721,""),
          unit_details[Sqft],$P721
)),"")</f>
        <v/>
      </c>
      <c r="AJ721" s="824" t="str">
        <f t="shared" si="125"/>
        <v/>
      </c>
      <c r="AK721" s="531" t="str">
        <f t="shared" si="126"/>
        <v/>
      </c>
      <c r="AL721" s="714" t="str">
        <f t="shared" si="127"/>
        <v/>
      </c>
      <c r="AM721" s="531" t="str">
        <f t="shared" si="128"/>
        <v/>
      </c>
      <c r="AN721" s="716" t="str">
        <f t="shared" si="129"/>
        <v/>
      </c>
    </row>
    <row r="722" spans="6:40" x14ac:dyDescent="0.2">
      <c r="F722" s="1" t="str">
        <f t="shared" si="122"/>
        <v/>
      </c>
      <c r="G722" s="713" t="str">
        <f t="shared" si="130"/>
        <v/>
      </c>
      <c r="H722" s="17" t="str">
        <f>IFERROR(VLOOKUP($G722,Table1[[Property]:[Exposure %]],4,0),"")</f>
        <v/>
      </c>
      <c r="I722" s="3" t="str">
        <f>IFERROR(VLOOKUP($G722,Table1[[Property]:[Exposure %]],6,0),"")</f>
        <v/>
      </c>
      <c r="J722" s="3" t="str">
        <f>IFERROR(VLOOKUP($G722,Table1[[Property]:[Exposure %]],7,0),"")</f>
        <v/>
      </c>
      <c r="R722" s="4" t="str">
        <f>IFERROR(VLOOKUP(IF(F722="Total",F721,F722),Table1[[Property]:['# Units]],7,0)*S722,"")</f>
        <v/>
      </c>
      <c r="S722" s="27" t="str">
        <f t="shared" si="123"/>
        <v/>
      </c>
      <c r="T722" s="531" t="str">
        <f>IFERROR(
 IF($F722="Total",
   SUMPRODUCT(
   INDEX(T:T, ROW()-COUNTIF($F$6:INDEX($F:$F, ROW()-1), $F721)) : INDEX(T:T, ROW()-1),
   INDEX(W:W, ROW()-COUNTIF($F$6:INDEX($F:$F, ROW()-1), $F721)) : INDEX(W:W, ROW()-1)
   )
   /SUM(INDEX(W:W, ROW()-COUNTIF($F$6:INDEX($F:$F, ROW()-1), $F721)) : INDEX(W:W, ROW()-1)),
   AVERAGEIFS(
     INDEX((unit_details[Asking Rent],unit_details[Asking PSF]),0,1,IF($U$3="Chunk Rent",1,2)),
     unit_details[Leased Date],"&gt;="&amp;($AM$2-T$5),
     unit_details[Leased Date],"&lt;"&amp;$AM$2,
     unit_details[Beds],$L722,
     unit_details[Baths],$M722,
     unit_details[Partial Baths],IF(ISNUMBER($N722),$N722,""),
     unit_details[Sqft],$P722,
     unit_details[Property Name],$F722)
 ),"")</f>
        <v/>
      </c>
      <c r="U722" s="552" t="str">
        <f>IFERROR(
 IF($F722="Total",
   SUMPRODUCT(
   INDEX(U:U, ROW()-COUNTIF($F$6:INDEX($F:$F, ROW()-1), $F721)) : INDEX(U:U, ROW()-1),
   INDEX(W:W, ROW()-COUNTIF($F$6:INDEX($F:$F, ROW()-1), $F721)) : INDEX(W:W, ROW()-1)
   )
   /SUM(INDEX(W:W, ROW()-COUNTIF($F$6:INDEX($F:$F, ROW()-1), $F721)) : INDEX(W:W, ROW()-1)),
   AVERAGEIFS(
     INDEX((unit_details[Effective Rent],unit_details[Effective PSF]),0,1,IF($U$3="Chunk Rent",1,2)),
     unit_details[Leased Date],"&gt;="&amp;($AM$2-T$5),
     unit_details[Leased Date],"&lt;"&amp;$AM$2,
     unit_details[Beds],$L722,
     unit_details[Baths],$M722,
     unit_details[Partial Baths],IF(ISNUMBER($N722),$N722,""),
     unit_details[Sqft],$P722,
     unit_details[Property Name],$F722)
 ),"")</f>
        <v/>
      </c>
      <c r="V722" s="27" t="str">
        <f t="shared" si="131"/>
        <v/>
      </c>
      <c r="W722" s="526">
        <f>IFERROR(
  IF($F722="Total",
    SUM(INDEX(W:W, ROW()-COUNTIF($F$6:INDEX($F:$F, ROW()-1), $F721)) : INDEX(W:W, ROW()-1)),
    COUNTIFS(
      unit_details[Leased Date], "&gt;="&amp;($AM$2-T$5),
      unit_details[Leased Date], "&lt;"&amp;$AM$2,
      unit_details[Beds], $L722,
      unit_details[Baths], $M722,
      unit_details[Partial Baths], IF(ISNUMBER($N722), $N722, ""),
      unit_details[Sqft],$P722,
      unit_details[Property Name], $F722
    )
  ),
"")</f>
        <v>0</v>
      </c>
      <c r="X722" s="531" t="str">
        <f>IFERROR(
 IF($F722="Total",
   SUMPRODUCT(
   INDEX(X:X, ROW()-COUNTIF($F$6:INDEX($F:$F, ROW()-1), $F721)) : INDEX(X:X, ROW()-1),
   INDEX(AA:AA, ROW()-COUNTIF($F$6:INDEX($F:$F, ROW()-1), $F721)) : INDEX(AA:AA, ROW()-1)
   )
   /SUM(INDEX(AA:AA, ROW()-COUNTIF($F$6:INDEX($F:$F, ROW()-1), $F721)) : INDEX(AA:AA, ROW()-1)),
   AVERAGEIFS(
     INDEX((unit_details[Asking Rent],unit_details[Asking PSF]),0,1,IF($U$3="Chunk Rent",1,2)),
     unit_details[Leased Date],"&gt;="&amp;($AM$2-X$5),
     unit_details[Leased Date],"&lt;"&amp;$AM$2,
     unit_details[Beds],$L722,
     unit_details[Baths],$M722,
     unit_details[Partial Baths],IF(ISNUMBER($N722),$N722,""),
     unit_details[Sqft],$P722,
     unit_details[Property Name],$F722)
 ),"")</f>
        <v/>
      </c>
      <c r="Y722" s="552" t="str">
        <f>IFERROR(
 IF($F722="Total",
   SUMPRODUCT(
   INDEX(Y:Y, ROW()-COUNTIF($F$6:INDEX($F:$F, ROW()-1), $F721)) : INDEX(Y:Y, ROW()-1),
   INDEX(AA:AA, ROW()-COUNTIF($F$6:INDEX($F:$F, ROW()-1), $F721)) : INDEX(AA:AA, ROW()-1)
   )
   /SUM(INDEX(AA:AA, ROW()-COUNTIF($F$6:INDEX($F:$F, ROW()-1), $F721)) : INDEX(AA:AA, ROW()-1)),
   AVERAGEIFS(
     INDEX((unit_details[Effective Rent],unit_details[Effective PSF]),0,1,IF($U$3="Chunk Rent",1,2)),
     unit_details[Leased Date],"&gt;="&amp;($AM$2-X$5),
     unit_details[Leased Date],"&lt;"&amp;$AM$2,
     unit_details[Beds],$L722,
     unit_details[Baths],$M722,
     unit_details[Partial Baths],IF(ISNUMBER($N722),$N722,""),
     unit_details[Sqft],$P722,
     unit_details[Property Name],$F722)
 ),"")</f>
        <v/>
      </c>
      <c r="Z722" s="27" t="str">
        <f t="shared" si="132"/>
        <v/>
      </c>
      <c r="AA722" s="526">
        <f>IFERROR(
  IF($F722="Total",
    SUM(INDEX(AA:AA, ROW()-COUNTIF($F$6:INDEX($F:$F, ROW()-1), $F721)) : INDEX(AA:AA, ROW()-1)),
    COUNTIFS(
      unit_details[Leased Date], "&gt;="&amp;($AM$2-X$5),
      unit_details[Leased Date], "&lt;"&amp;$AM$2,
      unit_details[Beds], $L722,
      unit_details[Baths], $M722,
      unit_details[Partial Baths], IF(ISNUMBER($N722), $N722, ""),
      unit_details[Sqft],$P722,
      unit_details[Property Name], $F722
    )
  ),
"")</f>
        <v>0</v>
      </c>
      <c r="AB722" s="290">
        <f>IF($F722="Total",
SUM(INDEX(AB:AB, ROW()-COUNTIF($F$6:INDEX($F:$F, ROW()-1), $F721)) : INDEX(AB:AB, ROW()-1)),
COUNTIFS(unit_details[Active Listing?],TRUE,
          unit_details[Property Name], $F722,
          unit_details[Beds], $L722,
          unit_details[Baths], $M722,
          unit_details[Partial Baths],IF(ISNUMBER($N722),$N722,""),
          unit_details[Sqft],$P722))</f>
        <v>0</v>
      </c>
      <c r="AC722" s="27" t="str">
        <f t="shared" si="124"/>
        <v/>
      </c>
      <c r="AD722" s="293" t="str">
        <f>IFERROR(IF(AE722="","",IF($F722="Total",
SUMPRODUCT(
   INDEX(AD:AD, ROW()-COUNTIF($F$6:INDEX($F:$F, ROW()-1), $F721)) : INDEX(AD:AD, ROW()-1),
   INDEX(AB:AB, ROW()-COUNTIF($F$6:INDEX($F:$F, ROW()-1), $F721)) : INDEX(AB:AB, ROW()-1)
   )
   /SUM(INDEX(AB:AB, ROW()-COUNTIF($F$6:INDEX($F:$F, ROW()-1), $F721)) : INDEX(AB:AB, ROW()-1)),
          _xlfn.MINIFS(unit_details[Asking Rent],
          unit_details[Active Listing?],TRUE,
          unit_details[Property Name], $F722,
          unit_details[Beds], $L722,
          unit_details[Baths], $M722,
          unit_details[Partial Baths], IF(ISNUMBER($N722),$N722,""),
          unit_details[Sqft],$P722
))),"")</f>
        <v/>
      </c>
      <c r="AE722" s="5" t="str">
        <f>IFERROR(IF($F722="Total",
          SUMPRODUCT(
   INDEX(AE:AE, ROW()-COUNTIF($F$6:INDEX($F:$F, ROW()-1), $F721)) : INDEX(AE:AE, ROW()-1),
   INDEX(AB:AB, ROW()-COUNTIF($F$6:INDEX($F:$F, ROW()-1), $F721)) : INDEX(AB:AB, ROW()-1)
   )
   /SUM(INDEX(AB:AB, ROW()-COUNTIF($F$6:INDEX($F:$F, ROW()-1), $F721)) : INDEX(AB:AB, ROW()-1)),
          AVERAGEIFS(unit_details[Asking Rent],
          unit_details[Active Listing?],TRUE,
          unit_details[Property Name], $F722,
          unit_details[Beds], $L722,
          unit_details[Baths], $M722,
          unit_details[Partial Baths], IF(ISNUMBER($N722),$N722,""),
          unit_details[Sqft],$P722
)),"")</f>
        <v/>
      </c>
      <c r="AF722" s="5" t="str">
        <f>IFERROR(IF(AE722="","",IF($F722="Total",
SUMPRODUCT(
   INDEX(AF:AF, ROW()-COUNTIF($F$6:INDEX($F:$F, ROW()-1), $F721)) : INDEX(AF:AF, ROW()-1),
   INDEX(AB:AB, ROW()-COUNTIF($F$6:INDEX($F:$F, ROW()-1), $F721)) : INDEX(AB:AB, ROW()-1)
   )
   /SUM(INDEX(AB:AB, ROW()-COUNTIF($F$6:INDEX($F:$F, ROW()-1), $F721)) : INDEX(AB:AB, ROW()-1)),
           _xlfn.MAXIFS(unit_details[Asking Rent],
          unit_details[Active Listing?],TRUE,
          unit_details[Property Name], $F722,
          unit_details[Beds], $L722,
          unit_details[Baths], $M722,
          unit_details[Partial Baths], IF(ISNUMBER($N722),$N722,""),
          unit_details[Sqft],$P722
))),"")</f>
        <v/>
      </c>
      <c r="AG722" s="6" t="str">
        <f>IFERROR(IF($F722="Total",
         SUMPRODUCT(
         INDEX(AG:AG, ROW()-COUNTIF($F$6:INDEX($F:$F, ROW()-1), $F721)) : INDEX(AG:AG, ROW()-1),
         INDEX(AB:AB, ROW()-COUNTIF($F$6:INDEX($F:$F, ROW()-1), $F721)) : INDEX(AB:AB, ROW()-1)
         )
         /SUM(INDEX(AB:AB, ROW()-COUNTIF($F$6:INDEX($F:$F, ROW()-1), $F721)) : INDEX(AB:AB, ROW()-1)),
          AVERAGEIFS(unit_details[Asking PSF],
          unit_details[Active Listing?],TRUE,
          unit_details[Property Name], $F722,
          unit_details[Beds], $L722,
          unit_details[Baths], $M722,
          unit_details[Partial Baths], IF(ISNUMBER($N722),$N722,""),
          unit_details[Sqft],$P722
)),"")</f>
        <v/>
      </c>
      <c r="AH722" s="293" t="str">
        <f>IFERROR(IF($F722="Total",
         SUMPRODUCT(
         INDEX(AH:AH, ROW()-COUNTIF($F$6:INDEX($F:$F, ROW()-1), $F721)) : INDEX(AH:AH, ROW()-1),
         INDEX(AB:AB, ROW()-COUNTIF($F$6:INDEX($F:$F, ROW()-1), $F721)) : INDEX(AB:AB, ROW()-1)
         )
         /SUM(INDEX(AB:AB, ROW()-COUNTIF($F$6:INDEX($F:$F, ROW()-1), $F721)) : INDEX(AB:AB, ROW()-1)),
          AVERAGEIFS(unit_details[Effective Rent],
          unit_details[Active Listing?],TRUE,
          unit_details[Property Name], $F722,
          unit_details[Beds], $L722,
          unit_details[Baths], $M722,
          unit_details[Partial Baths], IF(ISNUMBER($N722),$N722,""),
          unit_details[Sqft],$P722
)),"")</f>
        <v/>
      </c>
      <c r="AI722" s="6" t="str">
        <f>IFERROR(IF($F722="Total",
         SUMPRODUCT(
         INDEX(AI:AI, ROW()-COUNTIF($F$6:INDEX($F:$F, ROW()-1), $F721)) : INDEX(AI:AI, ROW()-1),
         INDEX(AB:AB, ROW()-COUNTIF($F$6:INDEX($F:$F, ROW()-1), $F721)) : INDEX(AB:AB, ROW()-1)
         )
         /SUM(INDEX(AB:AB, ROW()-COUNTIF($F$6:INDEX($F:$F, ROW()-1), $F721)) : INDEX(AB:AB, ROW()-1)),
           AVERAGEIFS(unit_details[Effective PSF],
          unit_details[Active Listing?],TRUE,
          unit_details[Property Name], $F722,
          unit_details[Beds], $L722,
          unit_details[Baths], $M722,
          unit_details[Partial Baths], IF(ISNUMBER($N722),$N722,""),
          unit_details[Sqft],$P722
)),"")</f>
        <v/>
      </c>
      <c r="AJ722" s="824" t="str">
        <f t="shared" si="125"/>
        <v/>
      </c>
      <c r="AK722" s="531" t="str">
        <f t="shared" si="126"/>
        <v/>
      </c>
      <c r="AL722" s="714" t="str">
        <f t="shared" si="127"/>
        <v/>
      </c>
      <c r="AM722" s="531" t="str">
        <f t="shared" si="128"/>
        <v/>
      </c>
      <c r="AN722" s="716" t="str">
        <f t="shared" si="129"/>
        <v/>
      </c>
    </row>
    <row r="723" spans="6:40" x14ac:dyDescent="0.2">
      <c r="F723" s="1" t="str">
        <f t="shared" si="122"/>
        <v/>
      </c>
      <c r="G723" s="713" t="str">
        <f t="shared" si="130"/>
        <v/>
      </c>
      <c r="H723" s="17" t="str">
        <f>IFERROR(VLOOKUP($G723,Table1[[Property]:[Exposure %]],4,0),"")</f>
        <v/>
      </c>
      <c r="I723" s="3" t="str">
        <f>IFERROR(VLOOKUP($G723,Table1[[Property]:[Exposure %]],6,0),"")</f>
        <v/>
      </c>
      <c r="J723" s="3" t="str">
        <f>IFERROR(VLOOKUP($G723,Table1[[Property]:[Exposure %]],7,0),"")</f>
        <v/>
      </c>
      <c r="R723" s="4" t="str">
        <f>IFERROR(VLOOKUP(IF(F723="Total",F722,F723),Table1[[Property]:['# Units]],7,0)*S723,"")</f>
        <v/>
      </c>
      <c r="S723" s="27" t="str">
        <f t="shared" si="123"/>
        <v/>
      </c>
      <c r="T723" s="531" t="str">
        <f>IFERROR(
 IF($F723="Total",
   SUMPRODUCT(
   INDEX(T:T, ROW()-COUNTIF($F$6:INDEX($F:$F, ROW()-1), $F722)) : INDEX(T:T, ROW()-1),
   INDEX(W:W, ROW()-COUNTIF($F$6:INDEX($F:$F, ROW()-1), $F722)) : INDEX(W:W, ROW()-1)
   )
   /SUM(INDEX(W:W, ROW()-COUNTIF($F$6:INDEX($F:$F, ROW()-1), $F722)) : INDEX(W:W, ROW()-1)),
   AVERAGEIFS(
     INDEX((unit_details[Asking Rent],unit_details[Asking PSF]),0,1,IF($U$3="Chunk Rent",1,2)),
     unit_details[Leased Date],"&gt;="&amp;($AM$2-T$5),
     unit_details[Leased Date],"&lt;"&amp;$AM$2,
     unit_details[Beds],$L723,
     unit_details[Baths],$M723,
     unit_details[Partial Baths],IF(ISNUMBER($N723),$N723,""),
     unit_details[Sqft],$P723,
     unit_details[Property Name],$F723)
 ),"")</f>
        <v/>
      </c>
      <c r="U723" s="552" t="str">
        <f>IFERROR(
 IF($F723="Total",
   SUMPRODUCT(
   INDEX(U:U, ROW()-COUNTIF($F$6:INDEX($F:$F, ROW()-1), $F722)) : INDEX(U:U, ROW()-1),
   INDEX(W:W, ROW()-COUNTIF($F$6:INDEX($F:$F, ROW()-1), $F722)) : INDEX(W:W, ROW()-1)
   )
   /SUM(INDEX(W:W, ROW()-COUNTIF($F$6:INDEX($F:$F, ROW()-1), $F722)) : INDEX(W:W, ROW()-1)),
   AVERAGEIFS(
     INDEX((unit_details[Effective Rent],unit_details[Effective PSF]),0,1,IF($U$3="Chunk Rent",1,2)),
     unit_details[Leased Date],"&gt;="&amp;($AM$2-T$5),
     unit_details[Leased Date],"&lt;"&amp;$AM$2,
     unit_details[Beds],$L723,
     unit_details[Baths],$M723,
     unit_details[Partial Baths],IF(ISNUMBER($N723),$N723,""),
     unit_details[Sqft],$P723,
     unit_details[Property Name],$F723)
 ),"")</f>
        <v/>
      </c>
      <c r="V723" s="27" t="str">
        <f t="shared" si="131"/>
        <v/>
      </c>
      <c r="W723" s="526">
        <f>IFERROR(
  IF($F723="Total",
    SUM(INDEX(W:W, ROW()-COUNTIF($F$6:INDEX($F:$F, ROW()-1), $F722)) : INDEX(W:W, ROW()-1)),
    COUNTIFS(
      unit_details[Leased Date], "&gt;="&amp;($AM$2-T$5),
      unit_details[Leased Date], "&lt;"&amp;$AM$2,
      unit_details[Beds], $L723,
      unit_details[Baths], $M723,
      unit_details[Partial Baths], IF(ISNUMBER($N723), $N723, ""),
      unit_details[Sqft],$P723,
      unit_details[Property Name], $F723
    )
  ),
"")</f>
        <v>0</v>
      </c>
      <c r="X723" s="531" t="str">
        <f>IFERROR(
 IF($F723="Total",
   SUMPRODUCT(
   INDEX(X:X, ROW()-COUNTIF($F$6:INDEX($F:$F, ROW()-1), $F722)) : INDEX(X:X, ROW()-1),
   INDEX(AA:AA, ROW()-COUNTIF($F$6:INDEX($F:$F, ROW()-1), $F722)) : INDEX(AA:AA, ROW()-1)
   )
   /SUM(INDEX(AA:AA, ROW()-COUNTIF($F$6:INDEX($F:$F, ROW()-1), $F722)) : INDEX(AA:AA, ROW()-1)),
   AVERAGEIFS(
     INDEX((unit_details[Asking Rent],unit_details[Asking PSF]),0,1,IF($U$3="Chunk Rent",1,2)),
     unit_details[Leased Date],"&gt;="&amp;($AM$2-X$5),
     unit_details[Leased Date],"&lt;"&amp;$AM$2,
     unit_details[Beds],$L723,
     unit_details[Baths],$M723,
     unit_details[Partial Baths],IF(ISNUMBER($N723),$N723,""),
     unit_details[Sqft],$P723,
     unit_details[Property Name],$F723)
 ),"")</f>
        <v/>
      </c>
      <c r="Y723" s="552" t="str">
        <f>IFERROR(
 IF($F723="Total",
   SUMPRODUCT(
   INDEX(Y:Y, ROW()-COUNTIF($F$6:INDEX($F:$F, ROW()-1), $F722)) : INDEX(Y:Y, ROW()-1),
   INDEX(AA:AA, ROW()-COUNTIF($F$6:INDEX($F:$F, ROW()-1), $F722)) : INDEX(AA:AA, ROW()-1)
   )
   /SUM(INDEX(AA:AA, ROW()-COUNTIF($F$6:INDEX($F:$F, ROW()-1), $F722)) : INDEX(AA:AA, ROW()-1)),
   AVERAGEIFS(
     INDEX((unit_details[Effective Rent],unit_details[Effective PSF]),0,1,IF($U$3="Chunk Rent",1,2)),
     unit_details[Leased Date],"&gt;="&amp;($AM$2-X$5),
     unit_details[Leased Date],"&lt;"&amp;$AM$2,
     unit_details[Beds],$L723,
     unit_details[Baths],$M723,
     unit_details[Partial Baths],IF(ISNUMBER($N723),$N723,""),
     unit_details[Sqft],$P723,
     unit_details[Property Name],$F723)
 ),"")</f>
        <v/>
      </c>
      <c r="Z723" s="27" t="str">
        <f t="shared" si="132"/>
        <v/>
      </c>
      <c r="AA723" s="526">
        <f>IFERROR(
  IF($F723="Total",
    SUM(INDEX(AA:AA, ROW()-COUNTIF($F$6:INDEX($F:$F, ROW()-1), $F722)) : INDEX(AA:AA, ROW()-1)),
    COUNTIFS(
      unit_details[Leased Date], "&gt;="&amp;($AM$2-X$5),
      unit_details[Leased Date], "&lt;"&amp;$AM$2,
      unit_details[Beds], $L723,
      unit_details[Baths], $M723,
      unit_details[Partial Baths], IF(ISNUMBER($N723), $N723, ""),
      unit_details[Sqft],$P723,
      unit_details[Property Name], $F723
    )
  ),
"")</f>
        <v>0</v>
      </c>
      <c r="AB723" s="290">
        <f>IF($F723="Total",
SUM(INDEX(AB:AB, ROW()-COUNTIF($F$6:INDEX($F:$F, ROW()-1), $F722)) : INDEX(AB:AB, ROW()-1)),
COUNTIFS(unit_details[Active Listing?],TRUE,
          unit_details[Property Name], $F723,
          unit_details[Beds], $L723,
          unit_details[Baths], $M723,
          unit_details[Partial Baths],IF(ISNUMBER($N723),$N723,""),
          unit_details[Sqft],$P723))</f>
        <v>0</v>
      </c>
      <c r="AC723" s="27" t="str">
        <f t="shared" si="124"/>
        <v/>
      </c>
      <c r="AD723" s="293" t="str">
        <f>IFERROR(IF(AE723="","",IF($F723="Total",
SUMPRODUCT(
   INDEX(AD:AD, ROW()-COUNTIF($F$6:INDEX($F:$F, ROW()-1), $F722)) : INDEX(AD:AD, ROW()-1),
   INDEX(AB:AB, ROW()-COUNTIF($F$6:INDEX($F:$F, ROW()-1), $F722)) : INDEX(AB:AB, ROW()-1)
   )
   /SUM(INDEX(AB:AB, ROW()-COUNTIF($F$6:INDEX($F:$F, ROW()-1), $F722)) : INDEX(AB:AB, ROW()-1)),
          _xlfn.MINIFS(unit_details[Asking Rent],
          unit_details[Active Listing?],TRUE,
          unit_details[Property Name], $F723,
          unit_details[Beds], $L723,
          unit_details[Baths], $M723,
          unit_details[Partial Baths], IF(ISNUMBER($N723),$N723,""),
          unit_details[Sqft],$P723
))),"")</f>
        <v/>
      </c>
      <c r="AE723" s="5" t="str">
        <f>IFERROR(IF($F723="Total",
          SUMPRODUCT(
   INDEX(AE:AE, ROW()-COUNTIF($F$6:INDEX($F:$F, ROW()-1), $F722)) : INDEX(AE:AE, ROW()-1),
   INDEX(AB:AB, ROW()-COUNTIF($F$6:INDEX($F:$F, ROW()-1), $F722)) : INDEX(AB:AB, ROW()-1)
   )
   /SUM(INDEX(AB:AB, ROW()-COUNTIF($F$6:INDEX($F:$F, ROW()-1), $F722)) : INDEX(AB:AB, ROW()-1)),
          AVERAGEIFS(unit_details[Asking Rent],
          unit_details[Active Listing?],TRUE,
          unit_details[Property Name], $F723,
          unit_details[Beds], $L723,
          unit_details[Baths], $M723,
          unit_details[Partial Baths], IF(ISNUMBER($N723),$N723,""),
          unit_details[Sqft],$P723
)),"")</f>
        <v/>
      </c>
      <c r="AF723" s="5" t="str">
        <f>IFERROR(IF(AE723="","",IF($F723="Total",
SUMPRODUCT(
   INDEX(AF:AF, ROW()-COUNTIF($F$6:INDEX($F:$F, ROW()-1), $F722)) : INDEX(AF:AF, ROW()-1),
   INDEX(AB:AB, ROW()-COUNTIF($F$6:INDEX($F:$F, ROW()-1), $F722)) : INDEX(AB:AB, ROW()-1)
   )
   /SUM(INDEX(AB:AB, ROW()-COUNTIF($F$6:INDEX($F:$F, ROW()-1), $F722)) : INDEX(AB:AB, ROW()-1)),
           _xlfn.MAXIFS(unit_details[Asking Rent],
          unit_details[Active Listing?],TRUE,
          unit_details[Property Name], $F723,
          unit_details[Beds], $L723,
          unit_details[Baths], $M723,
          unit_details[Partial Baths], IF(ISNUMBER($N723),$N723,""),
          unit_details[Sqft],$P723
))),"")</f>
        <v/>
      </c>
      <c r="AG723" s="6" t="str">
        <f>IFERROR(IF($F723="Total",
         SUMPRODUCT(
         INDEX(AG:AG, ROW()-COUNTIF($F$6:INDEX($F:$F, ROW()-1), $F722)) : INDEX(AG:AG, ROW()-1),
         INDEX(AB:AB, ROW()-COUNTIF($F$6:INDEX($F:$F, ROW()-1), $F722)) : INDEX(AB:AB, ROW()-1)
         )
         /SUM(INDEX(AB:AB, ROW()-COUNTIF($F$6:INDEX($F:$F, ROW()-1), $F722)) : INDEX(AB:AB, ROW()-1)),
          AVERAGEIFS(unit_details[Asking PSF],
          unit_details[Active Listing?],TRUE,
          unit_details[Property Name], $F723,
          unit_details[Beds], $L723,
          unit_details[Baths], $M723,
          unit_details[Partial Baths], IF(ISNUMBER($N723),$N723,""),
          unit_details[Sqft],$P723
)),"")</f>
        <v/>
      </c>
      <c r="AH723" s="293" t="str">
        <f>IFERROR(IF($F723="Total",
         SUMPRODUCT(
         INDEX(AH:AH, ROW()-COUNTIF($F$6:INDEX($F:$F, ROW()-1), $F722)) : INDEX(AH:AH, ROW()-1),
         INDEX(AB:AB, ROW()-COUNTIF($F$6:INDEX($F:$F, ROW()-1), $F722)) : INDEX(AB:AB, ROW()-1)
         )
         /SUM(INDEX(AB:AB, ROW()-COUNTIF($F$6:INDEX($F:$F, ROW()-1), $F722)) : INDEX(AB:AB, ROW()-1)),
          AVERAGEIFS(unit_details[Effective Rent],
          unit_details[Active Listing?],TRUE,
          unit_details[Property Name], $F723,
          unit_details[Beds], $L723,
          unit_details[Baths], $M723,
          unit_details[Partial Baths], IF(ISNUMBER($N723),$N723,""),
          unit_details[Sqft],$P723
)),"")</f>
        <v/>
      </c>
      <c r="AI723" s="6" t="str">
        <f>IFERROR(IF($F723="Total",
         SUMPRODUCT(
         INDEX(AI:AI, ROW()-COUNTIF($F$6:INDEX($F:$F, ROW()-1), $F722)) : INDEX(AI:AI, ROW()-1),
         INDEX(AB:AB, ROW()-COUNTIF($F$6:INDEX($F:$F, ROW()-1), $F722)) : INDEX(AB:AB, ROW()-1)
         )
         /SUM(INDEX(AB:AB, ROW()-COUNTIF($F$6:INDEX($F:$F, ROW()-1), $F722)) : INDEX(AB:AB, ROW()-1)),
           AVERAGEIFS(unit_details[Effective PSF],
          unit_details[Active Listing?],TRUE,
          unit_details[Property Name], $F723,
          unit_details[Beds], $L723,
          unit_details[Baths], $M723,
          unit_details[Partial Baths], IF(ISNUMBER($N723),$N723,""),
          unit_details[Sqft],$P723
)),"")</f>
        <v/>
      </c>
      <c r="AJ723" s="824" t="str">
        <f t="shared" si="125"/>
        <v/>
      </c>
      <c r="AK723" s="531" t="str">
        <f t="shared" si="126"/>
        <v/>
      </c>
      <c r="AL723" s="714" t="str">
        <f t="shared" si="127"/>
        <v/>
      </c>
      <c r="AM723" s="531" t="str">
        <f t="shared" si="128"/>
        <v/>
      </c>
      <c r="AN723" s="716" t="str">
        <f t="shared" si="129"/>
        <v/>
      </c>
    </row>
    <row r="724" spans="6:40" x14ac:dyDescent="0.2">
      <c r="F724" s="1" t="str">
        <f t="shared" si="122"/>
        <v/>
      </c>
      <c r="G724" s="713" t="str">
        <f t="shared" si="130"/>
        <v/>
      </c>
      <c r="H724" s="17" t="str">
        <f>IFERROR(VLOOKUP($G724,Table1[[Property]:[Exposure %]],4,0),"")</f>
        <v/>
      </c>
      <c r="I724" s="3" t="str">
        <f>IFERROR(VLOOKUP($G724,Table1[[Property]:[Exposure %]],6,0),"")</f>
        <v/>
      </c>
      <c r="J724" s="3" t="str">
        <f>IFERROR(VLOOKUP($G724,Table1[[Property]:[Exposure %]],7,0),"")</f>
        <v/>
      </c>
      <c r="R724" s="4" t="str">
        <f>IFERROR(VLOOKUP(IF(F724="Total",F723,F724),Table1[[Property]:['# Units]],7,0)*S724,"")</f>
        <v/>
      </c>
      <c r="S724" s="27" t="str">
        <f t="shared" si="123"/>
        <v/>
      </c>
      <c r="T724" s="531" t="str">
        <f>IFERROR(
 IF($F724="Total",
   SUMPRODUCT(
   INDEX(T:T, ROW()-COUNTIF($F$6:INDEX($F:$F, ROW()-1), $F723)) : INDEX(T:T, ROW()-1),
   INDEX(W:W, ROW()-COUNTIF($F$6:INDEX($F:$F, ROW()-1), $F723)) : INDEX(W:W, ROW()-1)
   )
   /SUM(INDEX(W:W, ROW()-COUNTIF($F$6:INDEX($F:$F, ROW()-1), $F723)) : INDEX(W:W, ROW()-1)),
   AVERAGEIFS(
     INDEX((unit_details[Asking Rent],unit_details[Asking PSF]),0,1,IF($U$3="Chunk Rent",1,2)),
     unit_details[Leased Date],"&gt;="&amp;($AM$2-T$5),
     unit_details[Leased Date],"&lt;"&amp;$AM$2,
     unit_details[Beds],$L724,
     unit_details[Baths],$M724,
     unit_details[Partial Baths],IF(ISNUMBER($N724),$N724,""),
     unit_details[Sqft],$P724,
     unit_details[Property Name],$F724)
 ),"")</f>
        <v/>
      </c>
      <c r="U724" s="552" t="str">
        <f>IFERROR(
 IF($F724="Total",
   SUMPRODUCT(
   INDEX(U:U, ROW()-COUNTIF($F$6:INDEX($F:$F, ROW()-1), $F723)) : INDEX(U:U, ROW()-1),
   INDEX(W:W, ROW()-COUNTIF($F$6:INDEX($F:$F, ROW()-1), $F723)) : INDEX(W:W, ROW()-1)
   )
   /SUM(INDEX(W:W, ROW()-COUNTIF($F$6:INDEX($F:$F, ROW()-1), $F723)) : INDEX(W:W, ROW()-1)),
   AVERAGEIFS(
     INDEX((unit_details[Effective Rent],unit_details[Effective PSF]),0,1,IF($U$3="Chunk Rent",1,2)),
     unit_details[Leased Date],"&gt;="&amp;($AM$2-T$5),
     unit_details[Leased Date],"&lt;"&amp;$AM$2,
     unit_details[Beds],$L724,
     unit_details[Baths],$M724,
     unit_details[Partial Baths],IF(ISNUMBER($N724),$N724,""),
     unit_details[Sqft],$P724,
     unit_details[Property Name],$F724)
 ),"")</f>
        <v/>
      </c>
      <c r="V724" s="27" t="str">
        <f t="shared" si="131"/>
        <v/>
      </c>
      <c r="W724" s="526">
        <f>IFERROR(
  IF($F724="Total",
    SUM(INDEX(W:W, ROW()-COUNTIF($F$6:INDEX($F:$F, ROW()-1), $F723)) : INDEX(W:W, ROW()-1)),
    COUNTIFS(
      unit_details[Leased Date], "&gt;="&amp;($AM$2-T$5),
      unit_details[Leased Date], "&lt;"&amp;$AM$2,
      unit_details[Beds], $L724,
      unit_details[Baths], $M724,
      unit_details[Partial Baths], IF(ISNUMBER($N724), $N724, ""),
      unit_details[Sqft],$P724,
      unit_details[Property Name], $F724
    )
  ),
"")</f>
        <v>0</v>
      </c>
      <c r="X724" s="531" t="str">
        <f>IFERROR(
 IF($F724="Total",
   SUMPRODUCT(
   INDEX(X:X, ROW()-COUNTIF($F$6:INDEX($F:$F, ROW()-1), $F723)) : INDEX(X:X, ROW()-1),
   INDEX(AA:AA, ROW()-COUNTIF($F$6:INDEX($F:$F, ROW()-1), $F723)) : INDEX(AA:AA, ROW()-1)
   )
   /SUM(INDEX(AA:AA, ROW()-COUNTIF($F$6:INDEX($F:$F, ROW()-1), $F723)) : INDEX(AA:AA, ROW()-1)),
   AVERAGEIFS(
     INDEX((unit_details[Asking Rent],unit_details[Asking PSF]),0,1,IF($U$3="Chunk Rent",1,2)),
     unit_details[Leased Date],"&gt;="&amp;($AM$2-X$5),
     unit_details[Leased Date],"&lt;"&amp;$AM$2,
     unit_details[Beds],$L724,
     unit_details[Baths],$M724,
     unit_details[Partial Baths],IF(ISNUMBER($N724),$N724,""),
     unit_details[Sqft],$P724,
     unit_details[Property Name],$F724)
 ),"")</f>
        <v/>
      </c>
      <c r="Y724" s="552" t="str">
        <f>IFERROR(
 IF($F724="Total",
   SUMPRODUCT(
   INDEX(Y:Y, ROW()-COUNTIF($F$6:INDEX($F:$F, ROW()-1), $F723)) : INDEX(Y:Y, ROW()-1),
   INDEX(AA:AA, ROW()-COUNTIF($F$6:INDEX($F:$F, ROW()-1), $F723)) : INDEX(AA:AA, ROW()-1)
   )
   /SUM(INDEX(AA:AA, ROW()-COUNTIF($F$6:INDEX($F:$F, ROW()-1), $F723)) : INDEX(AA:AA, ROW()-1)),
   AVERAGEIFS(
     INDEX((unit_details[Effective Rent],unit_details[Effective PSF]),0,1,IF($U$3="Chunk Rent",1,2)),
     unit_details[Leased Date],"&gt;="&amp;($AM$2-X$5),
     unit_details[Leased Date],"&lt;"&amp;$AM$2,
     unit_details[Beds],$L724,
     unit_details[Baths],$M724,
     unit_details[Partial Baths],IF(ISNUMBER($N724),$N724,""),
     unit_details[Sqft],$P724,
     unit_details[Property Name],$F724)
 ),"")</f>
        <v/>
      </c>
      <c r="Z724" s="27" t="str">
        <f t="shared" si="132"/>
        <v/>
      </c>
      <c r="AA724" s="526">
        <f>IFERROR(
  IF($F724="Total",
    SUM(INDEX(AA:AA, ROW()-COUNTIF($F$6:INDEX($F:$F, ROW()-1), $F723)) : INDEX(AA:AA, ROW()-1)),
    COUNTIFS(
      unit_details[Leased Date], "&gt;="&amp;($AM$2-X$5),
      unit_details[Leased Date], "&lt;"&amp;$AM$2,
      unit_details[Beds], $L724,
      unit_details[Baths], $M724,
      unit_details[Partial Baths], IF(ISNUMBER($N724), $N724, ""),
      unit_details[Sqft],$P724,
      unit_details[Property Name], $F724
    )
  ),
"")</f>
        <v>0</v>
      </c>
      <c r="AB724" s="290">
        <f>IF($F724="Total",
SUM(INDEX(AB:AB, ROW()-COUNTIF($F$6:INDEX($F:$F, ROW()-1), $F723)) : INDEX(AB:AB, ROW()-1)),
COUNTIFS(unit_details[Active Listing?],TRUE,
          unit_details[Property Name], $F724,
          unit_details[Beds], $L724,
          unit_details[Baths], $M724,
          unit_details[Partial Baths],IF(ISNUMBER($N724),$N724,""),
          unit_details[Sqft],$P724))</f>
        <v>0</v>
      </c>
      <c r="AC724" s="27" t="str">
        <f t="shared" si="124"/>
        <v/>
      </c>
      <c r="AD724" s="293" t="str">
        <f>IFERROR(IF(AE724="","",IF($F724="Total",
SUMPRODUCT(
   INDEX(AD:AD, ROW()-COUNTIF($F$6:INDEX($F:$F, ROW()-1), $F723)) : INDEX(AD:AD, ROW()-1),
   INDEX(AB:AB, ROW()-COUNTIF($F$6:INDEX($F:$F, ROW()-1), $F723)) : INDEX(AB:AB, ROW()-1)
   )
   /SUM(INDEX(AB:AB, ROW()-COUNTIF($F$6:INDEX($F:$F, ROW()-1), $F723)) : INDEX(AB:AB, ROW()-1)),
          _xlfn.MINIFS(unit_details[Asking Rent],
          unit_details[Active Listing?],TRUE,
          unit_details[Property Name], $F724,
          unit_details[Beds], $L724,
          unit_details[Baths], $M724,
          unit_details[Partial Baths], IF(ISNUMBER($N724),$N724,""),
          unit_details[Sqft],$P724
))),"")</f>
        <v/>
      </c>
      <c r="AE724" s="5" t="str">
        <f>IFERROR(IF($F724="Total",
          SUMPRODUCT(
   INDEX(AE:AE, ROW()-COUNTIF($F$6:INDEX($F:$F, ROW()-1), $F723)) : INDEX(AE:AE, ROW()-1),
   INDEX(AB:AB, ROW()-COUNTIF($F$6:INDEX($F:$F, ROW()-1), $F723)) : INDEX(AB:AB, ROW()-1)
   )
   /SUM(INDEX(AB:AB, ROW()-COUNTIF($F$6:INDEX($F:$F, ROW()-1), $F723)) : INDEX(AB:AB, ROW()-1)),
          AVERAGEIFS(unit_details[Asking Rent],
          unit_details[Active Listing?],TRUE,
          unit_details[Property Name], $F724,
          unit_details[Beds], $L724,
          unit_details[Baths], $M724,
          unit_details[Partial Baths], IF(ISNUMBER($N724),$N724,""),
          unit_details[Sqft],$P724
)),"")</f>
        <v/>
      </c>
      <c r="AF724" s="5" t="str">
        <f>IFERROR(IF(AE724="","",IF($F724="Total",
SUMPRODUCT(
   INDEX(AF:AF, ROW()-COUNTIF($F$6:INDEX($F:$F, ROW()-1), $F723)) : INDEX(AF:AF, ROW()-1),
   INDEX(AB:AB, ROW()-COUNTIF($F$6:INDEX($F:$F, ROW()-1), $F723)) : INDEX(AB:AB, ROW()-1)
   )
   /SUM(INDEX(AB:AB, ROW()-COUNTIF($F$6:INDEX($F:$F, ROW()-1), $F723)) : INDEX(AB:AB, ROW()-1)),
           _xlfn.MAXIFS(unit_details[Asking Rent],
          unit_details[Active Listing?],TRUE,
          unit_details[Property Name], $F724,
          unit_details[Beds], $L724,
          unit_details[Baths], $M724,
          unit_details[Partial Baths], IF(ISNUMBER($N724),$N724,""),
          unit_details[Sqft],$P724
))),"")</f>
        <v/>
      </c>
      <c r="AG724" s="6" t="str">
        <f>IFERROR(IF($F724="Total",
         SUMPRODUCT(
         INDEX(AG:AG, ROW()-COUNTIF($F$6:INDEX($F:$F, ROW()-1), $F723)) : INDEX(AG:AG, ROW()-1),
         INDEX(AB:AB, ROW()-COUNTIF($F$6:INDEX($F:$F, ROW()-1), $F723)) : INDEX(AB:AB, ROW()-1)
         )
         /SUM(INDEX(AB:AB, ROW()-COUNTIF($F$6:INDEX($F:$F, ROW()-1), $F723)) : INDEX(AB:AB, ROW()-1)),
          AVERAGEIFS(unit_details[Asking PSF],
          unit_details[Active Listing?],TRUE,
          unit_details[Property Name], $F724,
          unit_details[Beds], $L724,
          unit_details[Baths], $M724,
          unit_details[Partial Baths], IF(ISNUMBER($N724),$N724,""),
          unit_details[Sqft],$P724
)),"")</f>
        <v/>
      </c>
      <c r="AH724" s="293" t="str">
        <f>IFERROR(IF($F724="Total",
         SUMPRODUCT(
         INDEX(AH:AH, ROW()-COUNTIF($F$6:INDEX($F:$F, ROW()-1), $F723)) : INDEX(AH:AH, ROW()-1),
         INDEX(AB:AB, ROW()-COUNTIF($F$6:INDEX($F:$F, ROW()-1), $F723)) : INDEX(AB:AB, ROW()-1)
         )
         /SUM(INDEX(AB:AB, ROW()-COUNTIF($F$6:INDEX($F:$F, ROW()-1), $F723)) : INDEX(AB:AB, ROW()-1)),
          AVERAGEIFS(unit_details[Effective Rent],
          unit_details[Active Listing?],TRUE,
          unit_details[Property Name], $F724,
          unit_details[Beds], $L724,
          unit_details[Baths], $M724,
          unit_details[Partial Baths], IF(ISNUMBER($N724),$N724,""),
          unit_details[Sqft],$P724
)),"")</f>
        <v/>
      </c>
      <c r="AI724" s="6" t="str">
        <f>IFERROR(IF($F724="Total",
         SUMPRODUCT(
         INDEX(AI:AI, ROW()-COUNTIF($F$6:INDEX($F:$F, ROW()-1), $F723)) : INDEX(AI:AI, ROW()-1),
         INDEX(AB:AB, ROW()-COUNTIF($F$6:INDEX($F:$F, ROW()-1), $F723)) : INDEX(AB:AB, ROW()-1)
         )
         /SUM(INDEX(AB:AB, ROW()-COUNTIF($F$6:INDEX($F:$F, ROW()-1), $F723)) : INDEX(AB:AB, ROW()-1)),
           AVERAGEIFS(unit_details[Effective PSF],
          unit_details[Active Listing?],TRUE,
          unit_details[Property Name], $F724,
          unit_details[Beds], $L724,
          unit_details[Baths], $M724,
          unit_details[Partial Baths], IF(ISNUMBER($N724),$N724,""),
          unit_details[Sqft],$P724
)),"")</f>
        <v/>
      </c>
      <c r="AJ724" s="824" t="str">
        <f t="shared" si="125"/>
        <v/>
      </c>
      <c r="AK724" s="531" t="str">
        <f t="shared" si="126"/>
        <v/>
      </c>
      <c r="AL724" s="714" t="str">
        <f t="shared" si="127"/>
        <v/>
      </c>
      <c r="AM724" s="531" t="str">
        <f t="shared" si="128"/>
        <v/>
      </c>
      <c r="AN724" s="716" t="str">
        <f t="shared" si="129"/>
        <v/>
      </c>
    </row>
    <row r="725" spans="6:40" x14ac:dyDescent="0.2">
      <c r="F725" s="1" t="str">
        <f t="shared" si="122"/>
        <v/>
      </c>
      <c r="G725" s="713" t="str">
        <f t="shared" si="130"/>
        <v/>
      </c>
      <c r="H725" s="17" t="str">
        <f>IFERROR(VLOOKUP($G725,Table1[[Property]:[Exposure %]],4,0),"")</f>
        <v/>
      </c>
      <c r="I725" s="3" t="str">
        <f>IFERROR(VLOOKUP($G725,Table1[[Property]:[Exposure %]],6,0),"")</f>
        <v/>
      </c>
      <c r="J725" s="3" t="str">
        <f>IFERROR(VLOOKUP($G725,Table1[[Property]:[Exposure %]],7,0),"")</f>
        <v/>
      </c>
      <c r="R725" s="4" t="str">
        <f>IFERROR(VLOOKUP(IF(F725="Total",F724,F725),Table1[[Property]:['# Units]],7,0)*S725,"")</f>
        <v/>
      </c>
      <c r="S725" s="27" t="str">
        <f t="shared" si="123"/>
        <v/>
      </c>
      <c r="T725" s="531" t="str">
        <f>IFERROR(
 IF($F725="Total",
   SUMPRODUCT(
   INDEX(T:T, ROW()-COUNTIF($F$6:INDEX($F:$F, ROW()-1), $F724)) : INDEX(T:T, ROW()-1),
   INDEX(W:W, ROW()-COUNTIF($F$6:INDEX($F:$F, ROW()-1), $F724)) : INDEX(W:W, ROW()-1)
   )
   /SUM(INDEX(W:W, ROW()-COUNTIF($F$6:INDEX($F:$F, ROW()-1), $F724)) : INDEX(W:W, ROW()-1)),
   AVERAGEIFS(
     INDEX((unit_details[Asking Rent],unit_details[Asking PSF]),0,1,IF($U$3="Chunk Rent",1,2)),
     unit_details[Leased Date],"&gt;="&amp;($AM$2-T$5),
     unit_details[Leased Date],"&lt;"&amp;$AM$2,
     unit_details[Beds],$L725,
     unit_details[Baths],$M725,
     unit_details[Partial Baths],IF(ISNUMBER($N725),$N725,""),
     unit_details[Sqft],$P725,
     unit_details[Property Name],$F725)
 ),"")</f>
        <v/>
      </c>
      <c r="U725" s="552" t="str">
        <f>IFERROR(
 IF($F725="Total",
   SUMPRODUCT(
   INDEX(U:U, ROW()-COUNTIF($F$6:INDEX($F:$F, ROW()-1), $F724)) : INDEX(U:U, ROW()-1),
   INDEX(W:W, ROW()-COUNTIF($F$6:INDEX($F:$F, ROW()-1), $F724)) : INDEX(W:W, ROW()-1)
   )
   /SUM(INDEX(W:W, ROW()-COUNTIF($F$6:INDEX($F:$F, ROW()-1), $F724)) : INDEX(W:W, ROW()-1)),
   AVERAGEIFS(
     INDEX((unit_details[Effective Rent],unit_details[Effective PSF]),0,1,IF($U$3="Chunk Rent",1,2)),
     unit_details[Leased Date],"&gt;="&amp;($AM$2-T$5),
     unit_details[Leased Date],"&lt;"&amp;$AM$2,
     unit_details[Beds],$L725,
     unit_details[Baths],$M725,
     unit_details[Partial Baths],IF(ISNUMBER($N725),$N725,""),
     unit_details[Sqft],$P725,
     unit_details[Property Name],$F725)
 ),"")</f>
        <v/>
      </c>
      <c r="V725" s="27" t="str">
        <f t="shared" si="131"/>
        <v/>
      </c>
      <c r="W725" s="526">
        <f>IFERROR(
  IF($F725="Total",
    SUM(INDEX(W:W, ROW()-COUNTIF($F$6:INDEX($F:$F, ROW()-1), $F724)) : INDEX(W:W, ROW()-1)),
    COUNTIFS(
      unit_details[Leased Date], "&gt;="&amp;($AM$2-T$5),
      unit_details[Leased Date], "&lt;"&amp;$AM$2,
      unit_details[Beds], $L725,
      unit_details[Baths], $M725,
      unit_details[Partial Baths], IF(ISNUMBER($N725), $N725, ""),
      unit_details[Sqft],$P725,
      unit_details[Property Name], $F725
    )
  ),
"")</f>
        <v>0</v>
      </c>
      <c r="X725" s="531" t="str">
        <f>IFERROR(
 IF($F725="Total",
   SUMPRODUCT(
   INDEX(X:X, ROW()-COUNTIF($F$6:INDEX($F:$F, ROW()-1), $F724)) : INDEX(X:X, ROW()-1),
   INDEX(AA:AA, ROW()-COUNTIF($F$6:INDEX($F:$F, ROW()-1), $F724)) : INDEX(AA:AA, ROW()-1)
   )
   /SUM(INDEX(AA:AA, ROW()-COUNTIF($F$6:INDEX($F:$F, ROW()-1), $F724)) : INDEX(AA:AA, ROW()-1)),
   AVERAGEIFS(
     INDEX((unit_details[Asking Rent],unit_details[Asking PSF]),0,1,IF($U$3="Chunk Rent",1,2)),
     unit_details[Leased Date],"&gt;="&amp;($AM$2-X$5),
     unit_details[Leased Date],"&lt;"&amp;$AM$2,
     unit_details[Beds],$L725,
     unit_details[Baths],$M725,
     unit_details[Partial Baths],IF(ISNUMBER($N725),$N725,""),
     unit_details[Sqft],$P725,
     unit_details[Property Name],$F725)
 ),"")</f>
        <v/>
      </c>
      <c r="Y725" s="552" t="str">
        <f>IFERROR(
 IF($F725="Total",
   SUMPRODUCT(
   INDEX(Y:Y, ROW()-COUNTIF($F$6:INDEX($F:$F, ROW()-1), $F724)) : INDEX(Y:Y, ROW()-1),
   INDEX(AA:AA, ROW()-COUNTIF($F$6:INDEX($F:$F, ROW()-1), $F724)) : INDEX(AA:AA, ROW()-1)
   )
   /SUM(INDEX(AA:AA, ROW()-COUNTIF($F$6:INDEX($F:$F, ROW()-1), $F724)) : INDEX(AA:AA, ROW()-1)),
   AVERAGEIFS(
     INDEX((unit_details[Effective Rent],unit_details[Effective PSF]),0,1,IF($U$3="Chunk Rent",1,2)),
     unit_details[Leased Date],"&gt;="&amp;($AM$2-X$5),
     unit_details[Leased Date],"&lt;"&amp;$AM$2,
     unit_details[Beds],$L725,
     unit_details[Baths],$M725,
     unit_details[Partial Baths],IF(ISNUMBER($N725),$N725,""),
     unit_details[Sqft],$P725,
     unit_details[Property Name],$F725)
 ),"")</f>
        <v/>
      </c>
      <c r="Z725" s="27" t="str">
        <f t="shared" si="132"/>
        <v/>
      </c>
      <c r="AA725" s="526">
        <f>IFERROR(
  IF($F725="Total",
    SUM(INDEX(AA:AA, ROW()-COUNTIF($F$6:INDEX($F:$F, ROW()-1), $F724)) : INDEX(AA:AA, ROW()-1)),
    COUNTIFS(
      unit_details[Leased Date], "&gt;="&amp;($AM$2-X$5),
      unit_details[Leased Date], "&lt;"&amp;$AM$2,
      unit_details[Beds], $L725,
      unit_details[Baths], $M725,
      unit_details[Partial Baths], IF(ISNUMBER($N725), $N725, ""),
      unit_details[Sqft],$P725,
      unit_details[Property Name], $F725
    )
  ),
"")</f>
        <v>0</v>
      </c>
      <c r="AB725" s="290">
        <f>IF($F725="Total",
SUM(INDEX(AB:AB, ROW()-COUNTIF($F$6:INDEX($F:$F, ROW()-1), $F724)) : INDEX(AB:AB, ROW()-1)),
COUNTIFS(unit_details[Active Listing?],TRUE,
          unit_details[Property Name], $F725,
          unit_details[Beds], $L725,
          unit_details[Baths], $M725,
          unit_details[Partial Baths],IF(ISNUMBER($N725),$N725,""),
          unit_details[Sqft],$P725))</f>
        <v>0</v>
      </c>
      <c r="AC725" s="27" t="str">
        <f t="shared" si="124"/>
        <v/>
      </c>
      <c r="AD725" s="293" t="str">
        <f>IFERROR(IF(AE725="","",IF($F725="Total",
SUMPRODUCT(
   INDEX(AD:AD, ROW()-COUNTIF($F$6:INDEX($F:$F, ROW()-1), $F724)) : INDEX(AD:AD, ROW()-1),
   INDEX(AB:AB, ROW()-COUNTIF($F$6:INDEX($F:$F, ROW()-1), $F724)) : INDEX(AB:AB, ROW()-1)
   )
   /SUM(INDEX(AB:AB, ROW()-COUNTIF($F$6:INDEX($F:$F, ROW()-1), $F724)) : INDEX(AB:AB, ROW()-1)),
          _xlfn.MINIFS(unit_details[Asking Rent],
          unit_details[Active Listing?],TRUE,
          unit_details[Property Name], $F725,
          unit_details[Beds], $L725,
          unit_details[Baths], $M725,
          unit_details[Partial Baths], IF(ISNUMBER($N725),$N725,""),
          unit_details[Sqft],$P725
))),"")</f>
        <v/>
      </c>
      <c r="AE725" s="5" t="str">
        <f>IFERROR(IF($F725="Total",
          SUMPRODUCT(
   INDEX(AE:AE, ROW()-COUNTIF($F$6:INDEX($F:$F, ROW()-1), $F724)) : INDEX(AE:AE, ROW()-1),
   INDEX(AB:AB, ROW()-COUNTIF($F$6:INDEX($F:$F, ROW()-1), $F724)) : INDEX(AB:AB, ROW()-1)
   )
   /SUM(INDEX(AB:AB, ROW()-COUNTIF($F$6:INDEX($F:$F, ROW()-1), $F724)) : INDEX(AB:AB, ROW()-1)),
          AVERAGEIFS(unit_details[Asking Rent],
          unit_details[Active Listing?],TRUE,
          unit_details[Property Name], $F725,
          unit_details[Beds], $L725,
          unit_details[Baths], $M725,
          unit_details[Partial Baths], IF(ISNUMBER($N725),$N725,""),
          unit_details[Sqft],$P725
)),"")</f>
        <v/>
      </c>
      <c r="AF725" s="5" t="str">
        <f>IFERROR(IF(AE725="","",IF($F725="Total",
SUMPRODUCT(
   INDEX(AF:AF, ROW()-COUNTIF($F$6:INDEX($F:$F, ROW()-1), $F724)) : INDEX(AF:AF, ROW()-1),
   INDEX(AB:AB, ROW()-COUNTIF($F$6:INDEX($F:$F, ROW()-1), $F724)) : INDEX(AB:AB, ROW()-1)
   )
   /SUM(INDEX(AB:AB, ROW()-COUNTIF($F$6:INDEX($F:$F, ROW()-1), $F724)) : INDEX(AB:AB, ROW()-1)),
           _xlfn.MAXIFS(unit_details[Asking Rent],
          unit_details[Active Listing?],TRUE,
          unit_details[Property Name], $F725,
          unit_details[Beds], $L725,
          unit_details[Baths], $M725,
          unit_details[Partial Baths], IF(ISNUMBER($N725),$N725,""),
          unit_details[Sqft],$P725
))),"")</f>
        <v/>
      </c>
      <c r="AG725" s="6" t="str">
        <f>IFERROR(IF($F725="Total",
         SUMPRODUCT(
         INDEX(AG:AG, ROW()-COUNTIF($F$6:INDEX($F:$F, ROW()-1), $F724)) : INDEX(AG:AG, ROW()-1),
         INDEX(AB:AB, ROW()-COUNTIF($F$6:INDEX($F:$F, ROW()-1), $F724)) : INDEX(AB:AB, ROW()-1)
         )
         /SUM(INDEX(AB:AB, ROW()-COUNTIF($F$6:INDEX($F:$F, ROW()-1), $F724)) : INDEX(AB:AB, ROW()-1)),
          AVERAGEIFS(unit_details[Asking PSF],
          unit_details[Active Listing?],TRUE,
          unit_details[Property Name], $F725,
          unit_details[Beds], $L725,
          unit_details[Baths], $M725,
          unit_details[Partial Baths], IF(ISNUMBER($N725),$N725,""),
          unit_details[Sqft],$P725
)),"")</f>
        <v/>
      </c>
      <c r="AH725" s="293" t="str">
        <f>IFERROR(IF($F725="Total",
         SUMPRODUCT(
         INDEX(AH:AH, ROW()-COUNTIF($F$6:INDEX($F:$F, ROW()-1), $F724)) : INDEX(AH:AH, ROW()-1),
         INDEX(AB:AB, ROW()-COUNTIF($F$6:INDEX($F:$F, ROW()-1), $F724)) : INDEX(AB:AB, ROW()-1)
         )
         /SUM(INDEX(AB:AB, ROW()-COUNTIF($F$6:INDEX($F:$F, ROW()-1), $F724)) : INDEX(AB:AB, ROW()-1)),
          AVERAGEIFS(unit_details[Effective Rent],
          unit_details[Active Listing?],TRUE,
          unit_details[Property Name], $F725,
          unit_details[Beds], $L725,
          unit_details[Baths], $M725,
          unit_details[Partial Baths], IF(ISNUMBER($N725),$N725,""),
          unit_details[Sqft],$P725
)),"")</f>
        <v/>
      </c>
      <c r="AI725" s="6" t="str">
        <f>IFERROR(IF($F725="Total",
         SUMPRODUCT(
         INDEX(AI:AI, ROW()-COUNTIF($F$6:INDEX($F:$F, ROW()-1), $F724)) : INDEX(AI:AI, ROW()-1),
         INDEX(AB:AB, ROW()-COUNTIF($F$6:INDEX($F:$F, ROW()-1), $F724)) : INDEX(AB:AB, ROW()-1)
         )
         /SUM(INDEX(AB:AB, ROW()-COUNTIF($F$6:INDEX($F:$F, ROW()-1), $F724)) : INDEX(AB:AB, ROW()-1)),
           AVERAGEIFS(unit_details[Effective PSF],
          unit_details[Active Listing?],TRUE,
          unit_details[Property Name], $F725,
          unit_details[Beds], $L725,
          unit_details[Baths], $M725,
          unit_details[Partial Baths], IF(ISNUMBER($N725),$N725,""),
          unit_details[Sqft],$P725
)),"")</f>
        <v/>
      </c>
      <c r="AJ725" s="824" t="str">
        <f t="shared" si="125"/>
        <v/>
      </c>
      <c r="AK725" s="531" t="str">
        <f t="shared" si="126"/>
        <v/>
      </c>
      <c r="AL725" s="714" t="str">
        <f t="shared" si="127"/>
        <v/>
      </c>
      <c r="AM725" s="531" t="str">
        <f t="shared" si="128"/>
        <v/>
      </c>
      <c r="AN725" s="716" t="str">
        <f t="shared" si="129"/>
        <v/>
      </c>
    </row>
    <row r="726" spans="6:40" x14ac:dyDescent="0.2">
      <c r="F726" s="1" t="str">
        <f t="shared" si="122"/>
        <v/>
      </c>
      <c r="G726" s="713" t="str">
        <f t="shared" si="130"/>
        <v/>
      </c>
      <c r="H726" s="17" t="str">
        <f>IFERROR(VLOOKUP($G726,Table1[[Property]:[Exposure %]],4,0),"")</f>
        <v/>
      </c>
      <c r="I726" s="3" t="str">
        <f>IFERROR(VLOOKUP($G726,Table1[[Property]:[Exposure %]],6,0),"")</f>
        <v/>
      </c>
      <c r="J726" s="3" t="str">
        <f>IFERROR(VLOOKUP($G726,Table1[[Property]:[Exposure %]],7,0),"")</f>
        <v/>
      </c>
      <c r="R726" s="4" t="str">
        <f>IFERROR(VLOOKUP(IF(F726="Total",F725,F726),Table1[[Property]:['# Units]],7,0)*S726,"")</f>
        <v/>
      </c>
      <c r="S726" s="27" t="str">
        <f t="shared" si="123"/>
        <v/>
      </c>
      <c r="T726" s="531" t="str">
        <f>IFERROR(
 IF($F726="Total",
   SUMPRODUCT(
   INDEX(T:T, ROW()-COUNTIF($F$6:INDEX($F:$F, ROW()-1), $F725)) : INDEX(T:T, ROW()-1),
   INDEX(W:W, ROW()-COUNTIF($F$6:INDEX($F:$F, ROW()-1), $F725)) : INDEX(W:W, ROW()-1)
   )
   /SUM(INDEX(W:W, ROW()-COUNTIF($F$6:INDEX($F:$F, ROW()-1), $F725)) : INDEX(W:W, ROW()-1)),
   AVERAGEIFS(
     INDEX((unit_details[Asking Rent],unit_details[Asking PSF]),0,1,IF($U$3="Chunk Rent",1,2)),
     unit_details[Leased Date],"&gt;="&amp;($AM$2-T$5),
     unit_details[Leased Date],"&lt;"&amp;$AM$2,
     unit_details[Beds],$L726,
     unit_details[Baths],$M726,
     unit_details[Partial Baths],IF(ISNUMBER($N726),$N726,""),
     unit_details[Sqft],$P726,
     unit_details[Property Name],$F726)
 ),"")</f>
        <v/>
      </c>
      <c r="U726" s="552" t="str">
        <f>IFERROR(
 IF($F726="Total",
   SUMPRODUCT(
   INDEX(U:U, ROW()-COUNTIF($F$6:INDEX($F:$F, ROW()-1), $F725)) : INDEX(U:U, ROW()-1),
   INDEX(W:W, ROW()-COUNTIF($F$6:INDEX($F:$F, ROW()-1), $F725)) : INDEX(W:W, ROW()-1)
   )
   /SUM(INDEX(W:W, ROW()-COUNTIF($F$6:INDEX($F:$F, ROW()-1), $F725)) : INDEX(W:W, ROW()-1)),
   AVERAGEIFS(
     INDEX((unit_details[Effective Rent],unit_details[Effective PSF]),0,1,IF($U$3="Chunk Rent",1,2)),
     unit_details[Leased Date],"&gt;="&amp;($AM$2-T$5),
     unit_details[Leased Date],"&lt;"&amp;$AM$2,
     unit_details[Beds],$L726,
     unit_details[Baths],$M726,
     unit_details[Partial Baths],IF(ISNUMBER($N726),$N726,""),
     unit_details[Sqft],$P726,
     unit_details[Property Name],$F726)
 ),"")</f>
        <v/>
      </c>
      <c r="V726" s="27" t="str">
        <f t="shared" si="131"/>
        <v/>
      </c>
      <c r="W726" s="526">
        <f>IFERROR(
  IF($F726="Total",
    SUM(INDEX(W:W, ROW()-COUNTIF($F$6:INDEX($F:$F, ROW()-1), $F725)) : INDEX(W:W, ROW()-1)),
    COUNTIFS(
      unit_details[Leased Date], "&gt;="&amp;($AM$2-T$5),
      unit_details[Leased Date], "&lt;"&amp;$AM$2,
      unit_details[Beds], $L726,
      unit_details[Baths], $M726,
      unit_details[Partial Baths], IF(ISNUMBER($N726), $N726, ""),
      unit_details[Sqft],$P726,
      unit_details[Property Name], $F726
    )
  ),
"")</f>
        <v>0</v>
      </c>
      <c r="X726" s="531" t="str">
        <f>IFERROR(
 IF($F726="Total",
   SUMPRODUCT(
   INDEX(X:X, ROW()-COUNTIF($F$6:INDEX($F:$F, ROW()-1), $F725)) : INDEX(X:X, ROW()-1),
   INDEX(AA:AA, ROW()-COUNTIF($F$6:INDEX($F:$F, ROW()-1), $F725)) : INDEX(AA:AA, ROW()-1)
   )
   /SUM(INDEX(AA:AA, ROW()-COUNTIF($F$6:INDEX($F:$F, ROW()-1), $F725)) : INDEX(AA:AA, ROW()-1)),
   AVERAGEIFS(
     INDEX((unit_details[Asking Rent],unit_details[Asking PSF]),0,1,IF($U$3="Chunk Rent",1,2)),
     unit_details[Leased Date],"&gt;="&amp;($AM$2-X$5),
     unit_details[Leased Date],"&lt;"&amp;$AM$2,
     unit_details[Beds],$L726,
     unit_details[Baths],$M726,
     unit_details[Partial Baths],IF(ISNUMBER($N726),$N726,""),
     unit_details[Sqft],$P726,
     unit_details[Property Name],$F726)
 ),"")</f>
        <v/>
      </c>
      <c r="Y726" s="552" t="str">
        <f>IFERROR(
 IF($F726="Total",
   SUMPRODUCT(
   INDEX(Y:Y, ROW()-COUNTIF($F$6:INDEX($F:$F, ROW()-1), $F725)) : INDEX(Y:Y, ROW()-1),
   INDEX(AA:AA, ROW()-COUNTIF($F$6:INDEX($F:$F, ROW()-1), $F725)) : INDEX(AA:AA, ROW()-1)
   )
   /SUM(INDEX(AA:AA, ROW()-COUNTIF($F$6:INDEX($F:$F, ROW()-1), $F725)) : INDEX(AA:AA, ROW()-1)),
   AVERAGEIFS(
     INDEX((unit_details[Effective Rent],unit_details[Effective PSF]),0,1,IF($U$3="Chunk Rent",1,2)),
     unit_details[Leased Date],"&gt;="&amp;($AM$2-X$5),
     unit_details[Leased Date],"&lt;"&amp;$AM$2,
     unit_details[Beds],$L726,
     unit_details[Baths],$M726,
     unit_details[Partial Baths],IF(ISNUMBER($N726),$N726,""),
     unit_details[Sqft],$P726,
     unit_details[Property Name],$F726)
 ),"")</f>
        <v/>
      </c>
      <c r="Z726" s="27" t="str">
        <f t="shared" si="132"/>
        <v/>
      </c>
      <c r="AA726" s="526">
        <f>IFERROR(
  IF($F726="Total",
    SUM(INDEX(AA:AA, ROW()-COUNTIF($F$6:INDEX($F:$F, ROW()-1), $F725)) : INDEX(AA:AA, ROW()-1)),
    COUNTIFS(
      unit_details[Leased Date], "&gt;="&amp;($AM$2-X$5),
      unit_details[Leased Date], "&lt;"&amp;$AM$2,
      unit_details[Beds], $L726,
      unit_details[Baths], $M726,
      unit_details[Partial Baths], IF(ISNUMBER($N726), $N726, ""),
      unit_details[Sqft],$P726,
      unit_details[Property Name], $F726
    )
  ),
"")</f>
        <v>0</v>
      </c>
      <c r="AB726" s="290">
        <f>IF($F726="Total",
SUM(INDEX(AB:AB, ROW()-COUNTIF($F$6:INDEX($F:$F, ROW()-1), $F725)) : INDEX(AB:AB, ROW()-1)),
COUNTIFS(unit_details[Active Listing?],TRUE,
          unit_details[Property Name], $F726,
          unit_details[Beds], $L726,
          unit_details[Baths], $M726,
          unit_details[Partial Baths],IF(ISNUMBER($N726),$N726,""),
          unit_details[Sqft],$P726))</f>
        <v>0</v>
      </c>
      <c r="AC726" s="27" t="str">
        <f t="shared" si="124"/>
        <v/>
      </c>
      <c r="AD726" s="293" t="str">
        <f>IFERROR(IF(AE726="","",IF($F726="Total",
SUMPRODUCT(
   INDEX(AD:AD, ROW()-COUNTIF($F$6:INDEX($F:$F, ROW()-1), $F725)) : INDEX(AD:AD, ROW()-1),
   INDEX(AB:AB, ROW()-COUNTIF($F$6:INDEX($F:$F, ROW()-1), $F725)) : INDEX(AB:AB, ROW()-1)
   )
   /SUM(INDEX(AB:AB, ROW()-COUNTIF($F$6:INDEX($F:$F, ROW()-1), $F725)) : INDEX(AB:AB, ROW()-1)),
          _xlfn.MINIFS(unit_details[Asking Rent],
          unit_details[Active Listing?],TRUE,
          unit_details[Property Name], $F726,
          unit_details[Beds], $L726,
          unit_details[Baths], $M726,
          unit_details[Partial Baths], IF(ISNUMBER($N726),$N726,""),
          unit_details[Sqft],$P726
))),"")</f>
        <v/>
      </c>
      <c r="AE726" s="5" t="str">
        <f>IFERROR(IF($F726="Total",
          SUMPRODUCT(
   INDEX(AE:AE, ROW()-COUNTIF($F$6:INDEX($F:$F, ROW()-1), $F725)) : INDEX(AE:AE, ROW()-1),
   INDEX(AB:AB, ROW()-COUNTIF($F$6:INDEX($F:$F, ROW()-1), $F725)) : INDEX(AB:AB, ROW()-1)
   )
   /SUM(INDEX(AB:AB, ROW()-COUNTIF($F$6:INDEX($F:$F, ROW()-1), $F725)) : INDEX(AB:AB, ROW()-1)),
          AVERAGEIFS(unit_details[Asking Rent],
          unit_details[Active Listing?],TRUE,
          unit_details[Property Name], $F726,
          unit_details[Beds], $L726,
          unit_details[Baths], $M726,
          unit_details[Partial Baths], IF(ISNUMBER($N726),$N726,""),
          unit_details[Sqft],$P726
)),"")</f>
        <v/>
      </c>
      <c r="AF726" s="5" t="str">
        <f>IFERROR(IF(AE726="","",IF($F726="Total",
SUMPRODUCT(
   INDEX(AF:AF, ROW()-COUNTIF($F$6:INDEX($F:$F, ROW()-1), $F725)) : INDEX(AF:AF, ROW()-1),
   INDEX(AB:AB, ROW()-COUNTIF($F$6:INDEX($F:$F, ROW()-1), $F725)) : INDEX(AB:AB, ROW()-1)
   )
   /SUM(INDEX(AB:AB, ROW()-COUNTIF($F$6:INDEX($F:$F, ROW()-1), $F725)) : INDEX(AB:AB, ROW()-1)),
           _xlfn.MAXIFS(unit_details[Asking Rent],
          unit_details[Active Listing?],TRUE,
          unit_details[Property Name], $F726,
          unit_details[Beds], $L726,
          unit_details[Baths], $M726,
          unit_details[Partial Baths], IF(ISNUMBER($N726),$N726,""),
          unit_details[Sqft],$P726
))),"")</f>
        <v/>
      </c>
      <c r="AG726" s="6" t="str">
        <f>IFERROR(IF($F726="Total",
         SUMPRODUCT(
         INDEX(AG:AG, ROW()-COUNTIF($F$6:INDEX($F:$F, ROW()-1), $F725)) : INDEX(AG:AG, ROW()-1),
         INDEX(AB:AB, ROW()-COUNTIF($F$6:INDEX($F:$F, ROW()-1), $F725)) : INDEX(AB:AB, ROW()-1)
         )
         /SUM(INDEX(AB:AB, ROW()-COUNTIF($F$6:INDEX($F:$F, ROW()-1), $F725)) : INDEX(AB:AB, ROW()-1)),
          AVERAGEIFS(unit_details[Asking PSF],
          unit_details[Active Listing?],TRUE,
          unit_details[Property Name], $F726,
          unit_details[Beds], $L726,
          unit_details[Baths], $M726,
          unit_details[Partial Baths], IF(ISNUMBER($N726),$N726,""),
          unit_details[Sqft],$P726
)),"")</f>
        <v/>
      </c>
      <c r="AH726" s="293" t="str">
        <f>IFERROR(IF($F726="Total",
         SUMPRODUCT(
         INDEX(AH:AH, ROW()-COUNTIF($F$6:INDEX($F:$F, ROW()-1), $F725)) : INDEX(AH:AH, ROW()-1),
         INDEX(AB:AB, ROW()-COUNTIF($F$6:INDEX($F:$F, ROW()-1), $F725)) : INDEX(AB:AB, ROW()-1)
         )
         /SUM(INDEX(AB:AB, ROW()-COUNTIF($F$6:INDEX($F:$F, ROW()-1), $F725)) : INDEX(AB:AB, ROW()-1)),
          AVERAGEIFS(unit_details[Effective Rent],
          unit_details[Active Listing?],TRUE,
          unit_details[Property Name], $F726,
          unit_details[Beds], $L726,
          unit_details[Baths], $M726,
          unit_details[Partial Baths], IF(ISNUMBER($N726),$N726,""),
          unit_details[Sqft],$P726
)),"")</f>
        <v/>
      </c>
      <c r="AI726" s="6" t="str">
        <f>IFERROR(IF($F726="Total",
         SUMPRODUCT(
         INDEX(AI:AI, ROW()-COUNTIF($F$6:INDEX($F:$F, ROW()-1), $F725)) : INDEX(AI:AI, ROW()-1),
         INDEX(AB:AB, ROW()-COUNTIF($F$6:INDEX($F:$F, ROW()-1), $F725)) : INDEX(AB:AB, ROW()-1)
         )
         /SUM(INDEX(AB:AB, ROW()-COUNTIF($F$6:INDEX($F:$F, ROW()-1), $F725)) : INDEX(AB:AB, ROW()-1)),
           AVERAGEIFS(unit_details[Effective PSF],
          unit_details[Active Listing?],TRUE,
          unit_details[Property Name], $F726,
          unit_details[Beds], $L726,
          unit_details[Baths], $M726,
          unit_details[Partial Baths], IF(ISNUMBER($N726),$N726,""),
          unit_details[Sqft],$P726
)),"")</f>
        <v/>
      </c>
      <c r="AJ726" s="824" t="str">
        <f t="shared" si="125"/>
        <v/>
      </c>
      <c r="AK726" s="531" t="str">
        <f t="shared" si="126"/>
        <v/>
      </c>
      <c r="AL726" s="714" t="str">
        <f t="shared" si="127"/>
        <v/>
      </c>
      <c r="AM726" s="531" t="str">
        <f t="shared" si="128"/>
        <v/>
      </c>
      <c r="AN726" s="716" t="str">
        <f t="shared" si="129"/>
        <v/>
      </c>
    </row>
    <row r="727" spans="6:40" x14ac:dyDescent="0.2">
      <c r="F727" s="1" t="str">
        <f t="shared" si="122"/>
        <v/>
      </c>
      <c r="G727" s="713" t="str">
        <f t="shared" si="130"/>
        <v/>
      </c>
      <c r="H727" s="17" t="str">
        <f>IFERROR(VLOOKUP($G727,Table1[[Property]:[Exposure %]],4,0),"")</f>
        <v/>
      </c>
      <c r="I727" s="3" t="str">
        <f>IFERROR(VLOOKUP($G727,Table1[[Property]:[Exposure %]],6,0),"")</f>
        <v/>
      </c>
      <c r="J727" s="3" t="str">
        <f>IFERROR(VLOOKUP($G727,Table1[[Property]:[Exposure %]],7,0),"")</f>
        <v/>
      </c>
      <c r="R727" s="4" t="str">
        <f>IFERROR(VLOOKUP(IF(F727="Total",F726,F727),Table1[[Property]:['# Units]],7,0)*S727,"")</f>
        <v/>
      </c>
      <c r="S727" s="27" t="str">
        <f t="shared" si="123"/>
        <v/>
      </c>
      <c r="T727" s="531" t="str">
        <f>IFERROR(
 IF($F727="Total",
   SUMPRODUCT(
   INDEX(T:T, ROW()-COUNTIF($F$6:INDEX($F:$F, ROW()-1), $F726)) : INDEX(T:T, ROW()-1),
   INDEX(W:W, ROW()-COUNTIF($F$6:INDEX($F:$F, ROW()-1), $F726)) : INDEX(W:W, ROW()-1)
   )
   /SUM(INDEX(W:W, ROW()-COUNTIF($F$6:INDEX($F:$F, ROW()-1), $F726)) : INDEX(W:W, ROW()-1)),
   AVERAGEIFS(
     INDEX((unit_details[Asking Rent],unit_details[Asking PSF]),0,1,IF($U$3="Chunk Rent",1,2)),
     unit_details[Leased Date],"&gt;="&amp;($AM$2-T$5),
     unit_details[Leased Date],"&lt;"&amp;$AM$2,
     unit_details[Beds],$L727,
     unit_details[Baths],$M727,
     unit_details[Partial Baths],IF(ISNUMBER($N727),$N727,""),
     unit_details[Sqft],$P727,
     unit_details[Property Name],$F727)
 ),"")</f>
        <v/>
      </c>
      <c r="U727" s="552" t="str">
        <f>IFERROR(
 IF($F727="Total",
   SUMPRODUCT(
   INDEX(U:U, ROW()-COUNTIF($F$6:INDEX($F:$F, ROW()-1), $F726)) : INDEX(U:U, ROW()-1),
   INDEX(W:W, ROW()-COUNTIF($F$6:INDEX($F:$F, ROW()-1), $F726)) : INDEX(W:W, ROW()-1)
   )
   /SUM(INDEX(W:W, ROW()-COUNTIF($F$6:INDEX($F:$F, ROW()-1), $F726)) : INDEX(W:W, ROW()-1)),
   AVERAGEIFS(
     INDEX((unit_details[Effective Rent],unit_details[Effective PSF]),0,1,IF($U$3="Chunk Rent",1,2)),
     unit_details[Leased Date],"&gt;="&amp;($AM$2-T$5),
     unit_details[Leased Date],"&lt;"&amp;$AM$2,
     unit_details[Beds],$L727,
     unit_details[Baths],$M727,
     unit_details[Partial Baths],IF(ISNUMBER($N727),$N727,""),
     unit_details[Sqft],$P727,
     unit_details[Property Name],$F727)
 ),"")</f>
        <v/>
      </c>
      <c r="V727" s="27" t="str">
        <f t="shared" si="131"/>
        <v/>
      </c>
      <c r="W727" s="526">
        <f>IFERROR(
  IF($F727="Total",
    SUM(INDEX(W:W, ROW()-COUNTIF($F$6:INDEX($F:$F, ROW()-1), $F726)) : INDEX(W:W, ROW()-1)),
    COUNTIFS(
      unit_details[Leased Date], "&gt;="&amp;($AM$2-T$5),
      unit_details[Leased Date], "&lt;"&amp;$AM$2,
      unit_details[Beds], $L727,
      unit_details[Baths], $M727,
      unit_details[Partial Baths], IF(ISNUMBER($N727), $N727, ""),
      unit_details[Sqft],$P727,
      unit_details[Property Name], $F727
    )
  ),
"")</f>
        <v>0</v>
      </c>
      <c r="X727" s="531" t="str">
        <f>IFERROR(
 IF($F727="Total",
   SUMPRODUCT(
   INDEX(X:X, ROW()-COUNTIF($F$6:INDEX($F:$F, ROW()-1), $F726)) : INDEX(X:X, ROW()-1),
   INDEX(AA:AA, ROW()-COUNTIF($F$6:INDEX($F:$F, ROW()-1), $F726)) : INDEX(AA:AA, ROW()-1)
   )
   /SUM(INDEX(AA:AA, ROW()-COUNTIF($F$6:INDEX($F:$F, ROW()-1), $F726)) : INDEX(AA:AA, ROW()-1)),
   AVERAGEIFS(
     INDEX((unit_details[Asking Rent],unit_details[Asking PSF]),0,1,IF($U$3="Chunk Rent",1,2)),
     unit_details[Leased Date],"&gt;="&amp;($AM$2-X$5),
     unit_details[Leased Date],"&lt;"&amp;$AM$2,
     unit_details[Beds],$L727,
     unit_details[Baths],$M727,
     unit_details[Partial Baths],IF(ISNUMBER($N727),$N727,""),
     unit_details[Sqft],$P727,
     unit_details[Property Name],$F727)
 ),"")</f>
        <v/>
      </c>
      <c r="Y727" s="552" t="str">
        <f>IFERROR(
 IF($F727="Total",
   SUMPRODUCT(
   INDEX(Y:Y, ROW()-COUNTIF($F$6:INDEX($F:$F, ROW()-1), $F726)) : INDEX(Y:Y, ROW()-1),
   INDEX(AA:AA, ROW()-COUNTIF($F$6:INDEX($F:$F, ROW()-1), $F726)) : INDEX(AA:AA, ROW()-1)
   )
   /SUM(INDEX(AA:AA, ROW()-COUNTIF($F$6:INDEX($F:$F, ROW()-1), $F726)) : INDEX(AA:AA, ROW()-1)),
   AVERAGEIFS(
     INDEX((unit_details[Effective Rent],unit_details[Effective PSF]),0,1,IF($U$3="Chunk Rent",1,2)),
     unit_details[Leased Date],"&gt;="&amp;($AM$2-X$5),
     unit_details[Leased Date],"&lt;"&amp;$AM$2,
     unit_details[Beds],$L727,
     unit_details[Baths],$M727,
     unit_details[Partial Baths],IF(ISNUMBER($N727),$N727,""),
     unit_details[Sqft],$P727,
     unit_details[Property Name],$F727)
 ),"")</f>
        <v/>
      </c>
      <c r="Z727" s="27" t="str">
        <f t="shared" si="132"/>
        <v/>
      </c>
      <c r="AA727" s="526">
        <f>IFERROR(
  IF($F727="Total",
    SUM(INDEX(AA:AA, ROW()-COUNTIF($F$6:INDEX($F:$F, ROW()-1), $F726)) : INDEX(AA:AA, ROW()-1)),
    COUNTIFS(
      unit_details[Leased Date], "&gt;="&amp;($AM$2-X$5),
      unit_details[Leased Date], "&lt;"&amp;$AM$2,
      unit_details[Beds], $L727,
      unit_details[Baths], $M727,
      unit_details[Partial Baths], IF(ISNUMBER($N727), $N727, ""),
      unit_details[Sqft],$P727,
      unit_details[Property Name], $F727
    )
  ),
"")</f>
        <v>0</v>
      </c>
      <c r="AB727" s="290">
        <f>IF($F727="Total",
SUM(INDEX(AB:AB, ROW()-COUNTIF($F$6:INDEX($F:$F, ROW()-1), $F726)) : INDEX(AB:AB, ROW()-1)),
COUNTIFS(unit_details[Active Listing?],TRUE,
          unit_details[Property Name], $F727,
          unit_details[Beds], $L727,
          unit_details[Baths], $M727,
          unit_details[Partial Baths],IF(ISNUMBER($N727),$N727,""),
          unit_details[Sqft],$P727))</f>
        <v>0</v>
      </c>
      <c r="AC727" s="27" t="str">
        <f t="shared" si="124"/>
        <v/>
      </c>
      <c r="AD727" s="293" t="str">
        <f>IFERROR(IF(AE727="","",IF($F727="Total",
SUMPRODUCT(
   INDEX(AD:AD, ROW()-COUNTIF($F$6:INDEX($F:$F, ROW()-1), $F726)) : INDEX(AD:AD, ROW()-1),
   INDEX(AB:AB, ROW()-COUNTIF($F$6:INDEX($F:$F, ROW()-1), $F726)) : INDEX(AB:AB, ROW()-1)
   )
   /SUM(INDEX(AB:AB, ROW()-COUNTIF($F$6:INDEX($F:$F, ROW()-1), $F726)) : INDEX(AB:AB, ROW()-1)),
          _xlfn.MINIFS(unit_details[Asking Rent],
          unit_details[Active Listing?],TRUE,
          unit_details[Property Name], $F727,
          unit_details[Beds], $L727,
          unit_details[Baths], $M727,
          unit_details[Partial Baths], IF(ISNUMBER($N727),$N727,""),
          unit_details[Sqft],$P727
))),"")</f>
        <v/>
      </c>
      <c r="AE727" s="5" t="str">
        <f>IFERROR(IF($F727="Total",
          SUMPRODUCT(
   INDEX(AE:AE, ROW()-COUNTIF($F$6:INDEX($F:$F, ROW()-1), $F726)) : INDEX(AE:AE, ROW()-1),
   INDEX(AB:AB, ROW()-COUNTIF($F$6:INDEX($F:$F, ROW()-1), $F726)) : INDEX(AB:AB, ROW()-1)
   )
   /SUM(INDEX(AB:AB, ROW()-COUNTIF($F$6:INDEX($F:$F, ROW()-1), $F726)) : INDEX(AB:AB, ROW()-1)),
          AVERAGEIFS(unit_details[Asking Rent],
          unit_details[Active Listing?],TRUE,
          unit_details[Property Name], $F727,
          unit_details[Beds], $L727,
          unit_details[Baths], $M727,
          unit_details[Partial Baths], IF(ISNUMBER($N727),$N727,""),
          unit_details[Sqft],$P727
)),"")</f>
        <v/>
      </c>
      <c r="AF727" s="5" t="str">
        <f>IFERROR(IF(AE727="","",IF($F727="Total",
SUMPRODUCT(
   INDEX(AF:AF, ROW()-COUNTIF($F$6:INDEX($F:$F, ROW()-1), $F726)) : INDEX(AF:AF, ROW()-1),
   INDEX(AB:AB, ROW()-COUNTIF($F$6:INDEX($F:$F, ROW()-1), $F726)) : INDEX(AB:AB, ROW()-1)
   )
   /SUM(INDEX(AB:AB, ROW()-COUNTIF($F$6:INDEX($F:$F, ROW()-1), $F726)) : INDEX(AB:AB, ROW()-1)),
           _xlfn.MAXIFS(unit_details[Asking Rent],
          unit_details[Active Listing?],TRUE,
          unit_details[Property Name], $F727,
          unit_details[Beds], $L727,
          unit_details[Baths], $M727,
          unit_details[Partial Baths], IF(ISNUMBER($N727),$N727,""),
          unit_details[Sqft],$P727
))),"")</f>
        <v/>
      </c>
      <c r="AG727" s="6" t="str">
        <f>IFERROR(IF($F727="Total",
         SUMPRODUCT(
         INDEX(AG:AG, ROW()-COUNTIF($F$6:INDEX($F:$F, ROW()-1), $F726)) : INDEX(AG:AG, ROW()-1),
         INDEX(AB:AB, ROW()-COUNTIF($F$6:INDEX($F:$F, ROW()-1), $F726)) : INDEX(AB:AB, ROW()-1)
         )
         /SUM(INDEX(AB:AB, ROW()-COUNTIF($F$6:INDEX($F:$F, ROW()-1), $F726)) : INDEX(AB:AB, ROW()-1)),
          AVERAGEIFS(unit_details[Asking PSF],
          unit_details[Active Listing?],TRUE,
          unit_details[Property Name], $F727,
          unit_details[Beds], $L727,
          unit_details[Baths], $M727,
          unit_details[Partial Baths], IF(ISNUMBER($N727),$N727,""),
          unit_details[Sqft],$P727
)),"")</f>
        <v/>
      </c>
      <c r="AH727" s="293" t="str">
        <f>IFERROR(IF($F727="Total",
         SUMPRODUCT(
         INDEX(AH:AH, ROW()-COUNTIF($F$6:INDEX($F:$F, ROW()-1), $F726)) : INDEX(AH:AH, ROW()-1),
         INDEX(AB:AB, ROW()-COUNTIF($F$6:INDEX($F:$F, ROW()-1), $F726)) : INDEX(AB:AB, ROW()-1)
         )
         /SUM(INDEX(AB:AB, ROW()-COUNTIF($F$6:INDEX($F:$F, ROW()-1), $F726)) : INDEX(AB:AB, ROW()-1)),
          AVERAGEIFS(unit_details[Effective Rent],
          unit_details[Active Listing?],TRUE,
          unit_details[Property Name], $F727,
          unit_details[Beds], $L727,
          unit_details[Baths], $M727,
          unit_details[Partial Baths], IF(ISNUMBER($N727),$N727,""),
          unit_details[Sqft],$P727
)),"")</f>
        <v/>
      </c>
      <c r="AI727" s="6" t="str">
        <f>IFERROR(IF($F727="Total",
         SUMPRODUCT(
         INDEX(AI:AI, ROW()-COUNTIF($F$6:INDEX($F:$F, ROW()-1), $F726)) : INDEX(AI:AI, ROW()-1),
         INDEX(AB:AB, ROW()-COUNTIF($F$6:INDEX($F:$F, ROW()-1), $F726)) : INDEX(AB:AB, ROW()-1)
         )
         /SUM(INDEX(AB:AB, ROW()-COUNTIF($F$6:INDEX($F:$F, ROW()-1), $F726)) : INDEX(AB:AB, ROW()-1)),
           AVERAGEIFS(unit_details[Effective PSF],
          unit_details[Active Listing?],TRUE,
          unit_details[Property Name], $F727,
          unit_details[Beds], $L727,
          unit_details[Baths], $M727,
          unit_details[Partial Baths], IF(ISNUMBER($N727),$N727,""),
          unit_details[Sqft],$P727
)),"")</f>
        <v/>
      </c>
      <c r="AJ727" s="824" t="str">
        <f t="shared" si="125"/>
        <v/>
      </c>
      <c r="AK727" s="531" t="str">
        <f t="shared" si="126"/>
        <v/>
      </c>
      <c r="AL727" s="714" t="str">
        <f t="shared" si="127"/>
        <v/>
      </c>
      <c r="AM727" s="531" t="str">
        <f t="shared" si="128"/>
        <v/>
      </c>
      <c r="AN727" s="716" t="str">
        <f t="shared" si="129"/>
        <v/>
      </c>
    </row>
    <row r="728" spans="6:40" x14ac:dyDescent="0.2">
      <c r="F728" s="1" t="str">
        <f t="shared" si="122"/>
        <v/>
      </c>
      <c r="G728" s="713" t="str">
        <f t="shared" si="130"/>
        <v/>
      </c>
      <c r="H728" s="17" t="str">
        <f>IFERROR(VLOOKUP($G728,Table1[[Property]:[Exposure %]],4,0),"")</f>
        <v/>
      </c>
      <c r="I728" s="3" t="str">
        <f>IFERROR(VLOOKUP($G728,Table1[[Property]:[Exposure %]],6,0),"")</f>
        <v/>
      </c>
      <c r="J728" s="3" t="str">
        <f>IFERROR(VLOOKUP($G728,Table1[[Property]:[Exposure %]],7,0),"")</f>
        <v/>
      </c>
      <c r="R728" s="4" t="str">
        <f>IFERROR(VLOOKUP(IF(F728="Total",F727,F728),Table1[[Property]:['# Units]],7,0)*S728,"")</f>
        <v/>
      </c>
      <c r="S728" s="27" t="str">
        <f t="shared" si="123"/>
        <v/>
      </c>
      <c r="T728" s="531" t="str">
        <f>IFERROR(
 IF($F728="Total",
   SUMPRODUCT(
   INDEX(T:T, ROW()-COUNTIF($F$6:INDEX($F:$F, ROW()-1), $F727)) : INDEX(T:T, ROW()-1),
   INDEX(W:W, ROW()-COUNTIF($F$6:INDEX($F:$F, ROW()-1), $F727)) : INDEX(W:W, ROW()-1)
   )
   /SUM(INDEX(W:W, ROW()-COUNTIF($F$6:INDEX($F:$F, ROW()-1), $F727)) : INDEX(W:W, ROW()-1)),
   AVERAGEIFS(
     INDEX((unit_details[Asking Rent],unit_details[Asking PSF]),0,1,IF($U$3="Chunk Rent",1,2)),
     unit_details[Leased Date],"&gt;="&amp;($AM$2-T$5),
     unit_details[Leased Date],"&lt;"&amp;$AM$2,
     unit_details[Beds],$L728,
     unit_details[Baths],$M728,
     unit_details[Partial Baths],IF(ISNUMBER($N728),$N728,""),
     unit_details[Sqft],$P728,
     unit_details[Property Name],$F728)
 ),"")</f>
        <v/>
      </c>
      <c r="U728" s="552" t="str">
        <f>IFERROR(
 IF($F728="Total",
   SUMPRODUCT(
   INDEX(U:U, ROW()-COUNTIF($F$6:INDEX($F:$F, ROW()-1), $F727)) : INDEX(U:U, ROW()-1),
   INDEX(W:W, ROW()-COUNTIF($F$6:INDEX($F:$F, ROW()-1), $F727)) : INDEX(W:W, ROW()-1)
   )
   /SUM(INDEX(W:W, ROW()-COUNTIF($F$6:INDEX($F:$F, ROW()-1), $F727)) : INDEX(W:W, ROW()-1)),
   AVERAGEIFS(
     INDEX((unit_details[Effective Rent],unit_details[Effective PSF]),0,1,IF($U$3="Chunk Rent",1,2)),
     unit_details[Leased Date],"&gt;="&amp;($AM$2-T$5),
     unit_details[Leased Date],"&lt;"&amp;$AM$2,
     unit_details[Beds],$L728,
     unit_details[Baths],$M728,
     unit_details[Partial Baths],IF(ISNUMBER($N728),$N728,""),
     unit_details[Sqft],$P728,
     unit_details[Property Name],$F728)
 ),"")</f>
        <v/>
      </c>
      <c r="V728" s="27" t="str">
        <f t="shared" si="131"/>
        <v/>
      </c>
      <c r="W728" s="526">
        <f>IFERROR(
  IF($F728="Total",
    SUM(INDEX(W:W, ROW()-COUNTIF($F$6:INDEX($F:$F, ROW()-1), $F727)) : INDEX(W:W, ROW()-1)),
    COUNTIFS(
      unit_details[Leased Date], "&gt;="&amp;($AM$2-T$5),
      unit_details[Leased Date], "&lt;"&amp;$AM$2,
      unit_details[Beds], $L728,
      unit_details[Baths], $M728,
      unit_details[Partial Baths], IF(ISNUMBER($N728), $N728, ""),
      unit_details[Sqft],$P728,
      unit_details[Property Name], $F728
    )
  ),
"")</f>
        <v>0</v>
      </c>
      <c r="X728" s="531" t="str">
        <f>IFERROR(
 IF($F728="Total",
   SUMPRODUCT(
   INDEX(X:X, ROW()-COUNTIF($F$6:INDEX($F:$F, ROW()-1), $F727)) : INDEX(X:X, ROW()-1),
   INDEX(AA:AA, ROW()-COUNTIF($F$6:INDEX($F:$F, ROW()-1), $F727)) : INDEX(AA:AA, ROW()-1)
   )
   /SUM(INDEX(AA:AA, ROW()-COUNTIF($F$6:INDEX($F:$F, ROW()-1), $F727)) : INDEX(AA:AA, ROW()-1)),
   AVERAGEIFS(
     INDEX((unit_details[Asking Rent],unit_details[Asking PSF]),0,1,IF($U$3="Chunk Rent",1,2)),
     unit_details[Leased Date],"&gt;="&amp;($AM$2-X$5),
     unit_details[Leased Date],"&lt;"&amp;$AM$2,
     unit_details[Beds],$L728,
     unit_details[Baths],$M728,
     unit_details[Partial Baths],IF(ISNUMBER($N728),$N728,""),
     unit_details[Sqft],$P728,
     unit_details[Property Name],$F728)
 ),"")</f>
        <v/>
      </c>
      <c r="Y728" s="552" t="str">
        <f>IFERROR(
 IF($F728="Total",
   SUMPRODUCT(
   INDEX(Y:Y, ROW()-COUNTIF($F$6:INDEX($F:$F, ROW()-1), $F727)) : INDEX(Y:Y, ROW()-1),
   INDEX(AA:AA, ROW()-COUNTIF($F$6:INDEX($F:$F, ROW()-1), $F727)) : INDEX(AA:AA, ROW()-1)
   )
   /SUM(INDEX(AA:AA, ROW()-COUNTIF($F$6:INDEX($F:$F, ROW()-1), $F727)) : INDEX(AA:AA, ROW()-1)),
   AVERAGEIFS(
     INDEX((unit_details[Effective Rent],unit_details[Effective PSF]),0,1,IF($U$3="Chunk Rent",1,2)),
     unit_details[Leased Date],"&gt;="&amp;($AM$2-X$5),
     unit_details[Leased Date],"&lt;"&amp;$AM$2,
     unit_details[Beds],$L728,
     unit_details[Baths],$M728,
     unit_details[Partial Baths],IF(ISNUMBER($N728),$N728,""),
     unit_details[Sqft],$P728,
     unit_details[Property Name],$F728)
 ),"")</f>
        <v/>
      </c>
      <c r="Z728" s="27" t="str">
        <f t="shared" si="132"/>
        <v/>
      </c>
      <c r="AA728" s="526">
        <f>IFERROR(
  IF($F728="Total",
    SUM(INDEX(AA:AA, ROW()-COUNTIF($F$6:INDEX($F:$F, ROW()-1), $F727)) : INDEX(AA:AA, ROW()-1)),
    COUNTIFS(
      unit_details[Leased Date], "&gt;="&amp;($AM$2-X$5),
      unit_details[Leased Date], "&lt;"&amp;$AM$2,
      unit_details[Beds], $L728,
      unit_details[Baths], $M728,
      unit_details[Partial Baths], IF(ISNUMBER($N728), $N728, ""),
      unit_details[Sqft],$P728,
      unit_details[Property Name], $F728
    )
  ),
"")</f>
        <v>0</v>
      </c>
      <c r="AB728" s="290">
        <f>IF($F728="Total",
SUM(INDEX(AB:AB, ROW()-COUNTIF($F$6:INDEX($F:$F, ROW()-1), $F727)) : INDEX(AB:AB, ROW()-1)),
COUNTIFS(unit_details[Active Listing?],TRUE,
          unit_details[Property Name], $F728,
          unit_details[Beds], $L728,
          unit_details[Baths], $M728,
          unit_details[Partial Baths],IF(ISNUMBER($N728),$N728,""),
          unit_details[Sqft],$P728))</f>
        <v>0</v>
      </c>
      <c r="AC728" s="27" t="str">
        <f t="shared" si="124"/>
        <v/>
      </c>
      <c r="AD728" s="293" t="str">
        <f>IFERROR(IF(AE728="","",IF($F728="Total",
SUMPRODUCT(
   INDEX(AD:AD, ROW()-COUNTIF($F$6:INDEX($F:$F, ROW()-1), $F727)) : INDEX(AD:AD, ROW()-1),
   INDEX(AB:AB, ROW()-COUNTIF($F$6:INDEX($F:$F, ROW()-1), $F727)) : INDEX(AB:AB, ROW()-1)
   )
   /SUM(INDEX(AB:AB, ROW()-COUNTIF($F$6:INDEX($F:$F, ROW()-1), $F727)) : INDEX(AB:AB, ROW()-1)),
          _xlfn.MINIFS(unit_details[Asking Rent],
          unit_details[Active Listing?],TRUE,
          unit_details[Property Name], $F728,
          unit_details[Beds], $L728,
          unit_details[Baths], $M728,
          unit_details[Partial Baths], IF(ISNUMBER($N728),$N728,""),
          unit_details[Sqft],$P728
))),"")</f>
        <v/>
      </c>
      <c r="AE728" s="5" t="str">
        <f>IFERROR(IF($F728="Total",
          SUMPRODUCT(
   INDEX(AE:AE, ROW()-COUNTIF($F$6:INDEX($F:$F, ROW()-1), $F727)) : INDEX(AE:AE, ROW()-1),
   INDEX(AB:AB, ROW()-COUNTIF($F$6:INDEX($F:$F, ROW()-1), $F727)) : INDEX(AB:AB, ROW()-1)
   )
   /SUM(INDEX(AB:AB, ROW()-COUNTIF($F$6:INDEX($F:$F, ROW()-1), $F727)) : INDEX(AB:AB, ROW()-1)),
          AVERAGEIFS(unit_details[Asking Rent],
          unit_details[Active Listing?],TRUE,
          unit_details[Property Name], $F728,
          unit_details[Beds], $L728,
          unit_details[Baths], $M728,
          unit_details[Partial Baths], IF(ISNUMBER($N728),$N728,""),
          unit_details[Sqft],$P728
)),"")</f>
        <v/>
      </c>
      <c r="AF728" s="5" t="str">
        <f>IFERROR(IF(AE728="","",IF($F728="Total",
SUMPRODUCT(
   INDEX(AF:AF, ROW()-COUNTIF($F$6:INDEX($F:$F, ROW()-1), $F727)) : INDEX(AF:AF, ROW()-1),
   INDEX(AB:AB, ROW()-COUNTIF($F$6:INDEX($F:$F, ROW()-1), $F727)) : INDEX(AB:AB, ROW()-1)
   )
   /SUM(INDEX(AB:AB, ROW()-COUNTIF($F$6:INDEX($F:$F, ROW()-1), $F727)) : INDEX(AB:AB, ROW()-1)),
           _xlfn.MAXIFS(unit_details[Asking Rent],
          unit_details[Active Listing?],TRUE,
          unit_details[Property Name], $F728,
          unit_details[Beds], $L728,
          unit_details[Baths], $M728,
          unit_details[Partial Baths], IF(ISNUMBER($N728),$N728,""),
          unit_details[Sqft],$P728
))),"")</f>
        <v/>
      </c>
      <c r="AG728" s="6" t="str">
        <f>IFERROR(IF($F728="Total",
         SUMPRODUCT(
         INDEX(AG:AG, ROW()-COUNTIF($F$6:INDEX($F:$F, ROW()-1), $F727)) : INDEX(AG:AG, ROW()-1),
         INDEX(AB:AB, ROW()-COUNTIF($F$6:INDEX($F:$F, ROW()-1), $F727)) : INDEX(AB:AB, ROW()-1)
         )
         /SUM(INDEX(AB:AB, ROW()-COUNTIF($F$6:INDEX($F:$F, ROW()-1), $F727)) : INDEX(AB:AB, ROW()-1)),
          AVERAGEIFS(unit_details[Asking PSF],
          unit_details[Active Listing?],TRUE,
          unit_details[Property Name], $F728,
          unit_details[Beds], $L728,
          unit_details[Baths], $M728,
          unit_details[Partial Baths], IF(ISNUMBER($N728),$N728,""),
          unit_details[Sqft],$P728
)),"")</f>
        <v/>
      </c>
      <c r="AH728" s="293" t="str">
        <f>IFERROR(IF($F728="Total",
         SUMPRODUCT(
         INDEX(AH:AH, ROW()-COUNTIF($F$6:INDEX($F:$F, ROW()-1), $F727)) : INDEX(AH:AH, ROW()-1),
         INDEX(AB:AB, ROW()-COUNTIF($F$6:INDEX($F:$F, ROW()-1), $F727)) : INDEX(AB:AB, ROW()-1)
         )
         /SUM(INDEX(AB:AB, ROW()-COUNTIF($F$6:INDEX($F:$F, ROW()-1), $F727)) : INDEX(AB:AB, ROW()-1)),
          AVERAGEIFS(unit_details[Effective Rent],
          unit_details[Active Listing?],TRUE,
          unit_details[Property Name], $F728,
          unit_details[Beds], $L728,
          unit_details[Baths], $M728,
          unit_details[Partial Baths], IF(ISNUMBER($N728),$N728,""),
          unit_details[Sqft],$P728
)),"")</f>
        <v/>
      </c>
      <c r="AI728" s="6" t="str">
        <f>IFERROR(IF($F728="Total",
         SUMPRODUCT(
         INDEX(AI:AI, ROW()-COUNTIF($F$6:INDEX($F:$F, ROW()-1), $F727)) : INDEX(AI:AI, ROW()-1),
         INDEX(AB:AB, ROW()-COUNTIF($F$6:INDEX($F:$F, ROW()-1), $F727)) : INDEX(AB:AB, ROW()-1)
         )
         /SUM(INDEX(AB:AB, ROW()-COUNTIF($F$6:INDEX($F:$F, ROW()-1), $F727)) : INDEX(AB:AB, ROW()-1)),
           AVERAGEIFS(unit_details[Effective PSF],
          unit_details[Active Listing?],TRUE,
          unit_details[Property Name], $F728,
          unit_details[Beds], $L728,
          unit_details[Baths], $M728,
          unit_details[Partial Baths], IF(ISNUMBER($N728),$N728,""),
          unit_details[Sqft],$P728
)),"")</f>
        <v/>
      </c>
      <c r="AJ728" s="824" t="str">
        <f t="shared" si="125"/>
        <v/>
      </c>
      <c r="AK728" s="531" t="str">
        <f t="shared" si="126"/>
        <v/>
      </c>
      <c r="AL728" s="714" t="str">
        <f t="shared" si="127"/>
        <v/>
      </c>
      <c r="AM728" s="531" t="str">
        <f t="shared" si="128"/>
        <v/>
      </c>
      <c r="AN728" s="716" t="str">
        <f t="shared" si="129"/>
        <v/>
      </c>
    </row>
    <row r="729" spans="6:40" x14ac:dyDescent="0.2">
      <c r="F729" s="1" t="str">
        <f t="shared" si="122"/>
        <v/>
      </c>
      <c r="G729" s="713" t="str">
        <f t="shared" si="130"/>
        <v/>
      </c>
      <c r="H729" s="17" t="str">
        <f>IFERROR(VLOOKUP($G729,Table1[[Property]:[Exposure %]],4,0),"")</f>
        <v/>
      </c>
      <c r="I729" s="3" t="str">
        <f>IFERROR(VLOOKUP($G729,Table1[[Property]:[Exposure %]],6,0),"")</f>
        <v/>
      </c>
      <c r="J729" s="3" t="str">
        <f>IFERROR(VLOOKUP($G729,Table1[[Property]:[Exposure %]],7,0),"")</f>
        <v/>
      </c>
      <c r="R729" s="4" t="str">
        <f>IFERROR(VLOOKUP(IF(F729="Total",F728,F729),Table1[[Property]:['# Units]],7,0)*S729,"")</f>
        <v/>
      </c>
      <c r="S729" s="27" t="str">
        <f t="shared" si="123"/>
        <v/>
      </c>
      <c r="T729" s="531" t="str">
        <f>IFERROR(
 IF($F729="Total",
   SUMPRODUCT(
   INDEX(T:T, ROW()-COUNTIF($F$6:INDEX($F:$F, ROW()-1), $F728)) : INDEX(T:T, ROW()-1),
   INDEX(W:W, ROW()-COUNTIF($F$6:INDEX($F:$F, ROW()-1), $F728)) : INDEX(W:W, ROW()-1)
   )
   /SUM(INDEX(W:W, ROW()-COUNTIF($F$6:INDEX($F:$F, ROW()-1), $F728)) : INDEX(W:W, ROW()-1)),
   AVERAGEIFS(
     INDEX((unit_details[Asking Rent],unit_details[Asking PSF]),0,1,IF($U$3="Chunk Rent",1,2)),
     unit_details[Leased Date],"&gt;="&amp;($AM$2-T$5),
     unit_details[Leased Date],"&lt;"&amp;$AM$2,
     unit_details[Beds],$L729,
     unit_details[Baths],$M729,
     unit_details[Partial Baths],IF(ISNUMBER($N729),$N729,""),
     unit_details[Sqft],$P729,
     unit_details[Property Name],$F729)
 ),"")</f>
        <v/>
      </c>
      <c r="U729" s="552" t="str">
        <f>IFERROR(
 IF($F729="Total",
   SUMPRODUCT(
   INDEX(U:U, ROW()-COUNTIF($F$6:INDEX($F:$F, ROW()-1), $F728)) : INDEX(U:U, ROW()-1),
   INDEX(W:W, ROW()-COUNTIF($F$6:INDEX($F:$F, ROW()-1), $F728)) : INDEX(W:W, ROW()-1)
   )
   /SUM(INDEX(W:W, ROW()-COUNTIF($F$6:INDEX($F:$F, ROW()-1), $F728)) : INDEX(W:W, ROW()-1)),
   AVERAGEIFS(
     INDEX((unit_details[Effective Rent],unit_details[Effective PSF]),0,1,IF($U$3="Chunk Rent",1,2)),
     unit_details[Leased Date],"&gt;="&amp;($AM$2-T$5),
     unit_details[Leased Date],"&lt;"&amp;$AM$2,
     unit_details[Beds],$L729,
     unit_details[Baths],$M729,
     unit_details[Partial Baths],IF(ISNUMBER($N729),$N729,""),
     unit_details[Sqft],$P729,
     unit_details[Property Name],$F729)
 ),"")</f>
        <v/>
      </c>
      <c r="V729" s="27" t="str">
        <f t="shared" si="131"/>
        <v/>
      </c>
      <c r="W729" s="526">
        <f>IFERROR(
  IF($F729="Total",
    SUM(INDEX(W:W, ROW()-COUNTIF($F$6:INDEX($F:$F, ROW()-1), $F728)) : INDEX(W:W, ROW()-1)),
    COUNTIFS(
      unit_details[Leased Date], "&gt;="&amp;($AM$2-T$5),
      unit_details[Leased Date], "&lt;"&amp;$AM$2,
      unit_details[Beds], $L729,
      unit_details[Baths], $M729,
      unit_details[Partial Baths], IF(ISNUMBER($N729), $N729, ""),
      unit_details[Sqft],$P729,
      unit_details[Property Name], $F729
    )
  ),
"")</f>
        <v>0</v>
      </c>
      <c r="X729" s="531" t="str">
        <f>IFERROR(
 IF($F729="Total",
   SUMPRODUCT(
   INDEX(X:X, ROW()-COUNTIF($F$6:INDEX($F:$F, ROW()-1), $F728)) : INDEX(X:X, ROW()-1),
   INDEX(AA:AA, ROW()-COUNTIF($F$6:INDEX($F:$F, ROW()-1), $F728)) : INDEX(AA:AA, ROW()-1)
   )
   /SUM(INDEX(AA:AA, ROW()-COUNTIF($F$6:INDEX($F:$F, ROW()-1), $F728)) : INDEX(AA:AA, ROW()-1)),
   AVERAGEIFS(
     INDEX((unit_details[Asking Rent],unit_details[Asking PSF]),0,1,IF($U$3="Chunk Rent",1,2)),
     unit_details[Leased Date],"&gt;="&amp;($AM$2-X$5),
     unit_details[Leased Date],"&lt;"&amp;$AM$2,
     unit_details[Beds],$L729,
     unit_details[Baths],$M729,
     unit_details[Partial Baths],IF(ISNUMBER($N729),$N729,""),
     unit_details[Sqft],$P729,
     unit_details[Property Name],$F729)
 ),"")</f>
        <v/>
      </c>
      <c r="Y729" s="552" t="str">
        <f>IFERROR(
 IF($F729="Total",
   SUMPRODUCT(
   INDEX(Y:Y, ROW()-COUNTIF($F$6:INDEX($F:$F, ROW()-1), $F728)) : INDEX(Y:Y, ROW()-1),
   INDEX(AA:AA, ROW()-COUNTIF($F$6:INDEX($F:$F, ROW()-1), $F728)) : INDEX(AA:AA, ROW()-1)
   )
   /SUM(INDEX(AA:AA, ROW()-COUNTIF($F$6:INDEX($F:$F, ROW()-1), $F728)) : INDEX(AA:AA, ROW()-1)),
   AVERAGEIFS(
     INDEX((unit_details[Effective Rent],unit_details[Effective PSF]),0,1,IF($U$3="Chunk Rent",1,2)),
     unit_details[Leased Date],"&gt;="&amp;($AM$2-X$5),
     unit_details[Leased Date],"&lt;"&amp;$AM$2,
     unit_details[Beds],$L729,
     unit_details[Baths],$M729,
     unit_details[Partial Baths],IF(ISNUMBER($N729),$N729,""),
     unit_details[Sqft],$P729,
     unit_details[Property Name],$F729)
 ),"")</f>
        <v/>
      </c>
      <c r="Z729" s="27" t="str">
        <f t="shared" si="132"/>
        <v/>
      </c>
      <c r="AA729" s="526">
        <f>IFERROR(
  IF($F729="Total",
    SUM(INDEX(AA:AA, ROW()-COUNTIF($F$6:INDEX($F:$F, ROW()-1), $F728)) : INDEX(AA:AA, ROW()-1)),
    COUNTIFS(
      unit_details[Leased Date], "&gt;="&amp;($AM$2-X$5),
      unit_details[Leased Date], "&lt;"&amp;$AM$2,
      unit_details[Beds], $L729,
      unit_details[Baths], $M729,
      unit_details[Partial Baths], IF(ISNUMBER($N729), $N729, ""),
      unit_details[Sqft],$P729,
      unit_details[Property Name], $F729
    )
  ),
"")</f>
        <v>0</v>
      </c>
      <c r="AB729" s="290">
        <f>IF($F729="Total",
SUM(INDEX(AB:AB, ROW()-COUNTIF($F$6:INDEX($F:$F, ROW()-1), $F728)) : INDEX(AB:AB, ROW()-1)),
COUNTIFS(unit_details[Active Listing?],TRUE,
          unit_details[Property Name], $F729,
          unit_details[Beds], $L729,
          unit_details[Baths], $M729,
          unit_details[Partial Baths],IF(ISNUMBER($N729),$N729,""),
          unit_details[Sqft],$P729))</f>
        <v>0</v>
      </c>
      <c r="AC729" s="27" t="str">
        <f t="shared" si="124"/>
        <v/>
      </c>
      <c r="AD729" s="293" t="str">
        <f>IFERROR(IF(AE729="","",IF($F729="Total",
SUMPRODUCT(
   INDEX(AD:AD, ROW()-COUNTIF($F$6:INDEX($F:$F, ROW()-1), $F728)) : INDEX(AD:AD, ROW()-1),
   INDEX(AB:AB, ROW()-COUNTIF($F$6:INDEX($F:$F, ROW()-1), $F728)) : INDEX(AB:AB, ROW()-1)
   )
   /SUM(INDEX(AB:AB, ROW()-COUNTIF($F$6:INDEX($F:$F, ROW()-1), $F728)) : INDEX(AB:AB, ROW()-1)),
          _xlfn.MINIFS(unit_details[Asking Rent],
          unit_details[Active Listing?],TRUE,
          unit_details[Property Name], $F729,
          unit_details[Beds], $L729,
          unit_details[Baths], $M729,
          unit_details[Partial Baths], IF(ISNUMBER($N729),$N729,""),
          unit_details[Sqft],$P729
))),"")</f>
        <v/>
      </c>
      <c r="AE729" s="5" t="str">
        <f>IFERROR(IF($F729="Total",
          SUMPRODUCT(
   INDEX(AE:AE, ROW()-COUNTIF($F$6:INDEX($F:$F, ROW()-1), $F728)) : INDEX(AE:AE, ROW()-1),
   INDEX(AB:AB, ROW()-COUNTIF($F$6:INDEX($F:$F, ROW()-1), $F728)) : INDEX(AB:AB, ROW()-1)
   )
   /SUM(INDEX(AB:AB, ROW()-COUNTIF($F$6:INDEX($F:$F, ROW()-1), $F728)) : INDEX(AB:AB, ROW()-1)),
          AVERAGEIFS(unit_details[Asking Rent],
          unit_details[Active Listing?],TRUE,
          unit_details[Property Name], $F729,
          unit_details[Beds], $L729,
          unit_details[Baths], $M729,
          unit_details[Partial Baths], IF(ISNUMBER($N729),$N729,""),
          unit_details[Sqft],$P729
)),"")</f>
        <v/>
      </c>
      <c r="AF729" s="5" t="str">
        <f>IFERROR(IF(AE729="","",IF($F729="Total",
SUMPRODUCT(
   INDEX(AF:AF, ROW()-COUNTIF($F$6:INDEX($F:$F, ROW()-1), $F728)) : INDEX(AF:AF, ROW()-1),
   INDEX(AB:AB, ROW()-COUNTIF($F$6:INDEX($F:$F, ROW()-1), $F728)) : INDEX(AB:AB, ROW()-1)
   )
   /SUM(INDEX(AB:AB, ROW()-COUNTIF($F$6:INDEX($F:$F, ROW()-1), $F728)) : INDEX(AB:AB, ROW()-1)),
           _xlfn.MAXIFS(unit_details[Asking Rent],
          unit_details[Active Listing?],TRUE,
          unit_details[Property Name], $F729,
          unit_details[Beds], $L729,
          unit_details[Baths], $M729,
          unit_details[Partial Baths], IF(ISNUMBER($N729),$N729,""),
          unit_details[Sqft],$P729
))),"")</f>
        <v/>
      </c>
      <c r="AG729" s="6" t="str">
        <f>IFERROR(IF($F729="Total",
         SUMPRODUCT(
         INDEX(AG:AG, ROW()-COUNTIF($F$6:INDEX($F:$F, ROW()-1), $F728)) : INDEX(AG:AG, ROW()-1),
         INDEX(AB:AB, ROW()-COUNTIF($F$6:INDEX($F:$F, ROW()-1), $F728)) : INDEX(AB:AB, ROW()-1)
         )
         /SUM(INDEX(AB:AB, ROW()-COUNTIF($F$6:INDEX($F:$F, ROW()-1), $F728)) : INDEX(AB:AB, ROW()-1)),
          AVERAGEIFS(unit_details[Asking PSF],
          unit_details[Active Listing?],TRUE,
          unit_details[Property Name], $F729,
          unit_details[Beds], $L729,
          unit_details[Baths], $M729,
          unit_details[Partial Baths], IF(ISNUMBER($N729),$N729,""),
          unit_details[Sqft],$P729
)),"")</f>
        <v/>
      </c>
      <c r="AH729" s="293" t="str">
        <f>IFERROR(IF($F729="Total",
         SUMPRODUCT(
         INDEX(AH:AH, ROW()-COUNTIF($F$6:INDEX($F:$F, ROW()-1), $F728)) : INDEX(AH:AH, ROW()-1),
         INDEX(AB:AB, ROW()-COUNTIF($F$6:INDEX($F:$F, ROW()-1), $F728)) : INDEX(AB:AB, ROW()-1)
         )
         /SUM(INDEX(AB:AB, ROW()-COUNTIF($F$6:INDEX($F:$F, ROW()-1), $F728)) : INDEX(AB:AB, ROW()-1)),
          AVERAGEIFS(unit_details[Effective Rent],
          unit_details[Active Listing?],TRUE,
          unit_details[Property Name], $F729,
          unit_details[Beds], $L729,
          unit_details[Baths], $M729,
          unit_details[Partial Baths], IF(ISNUMBER($N729),$N729,""),
          unit_details[Sqft],$P729
)),"")</f>
        <v/>
      </c>
      <c r="AI729" s="6" t="str">
        <f>IFERROR(IF($F729="Total",
         SUMPRODUCT(
         INDEX(AI:AI, ROW()-COUNTIF($F$6:INDEX($F:$F, ROW()-1), $F728)) : INDEX(AI:AI, ROW()-1),
         INDEX(AB:AB, ROW()-COUNTIF($F$6:INDEX($F:$F, ROW()-1), $F728)) : INDEX(AB:AB, ROW()-1)
         )
         /SUM(INDEX(AB:AB, ROW()-COUNTIF($F$6:INDEX($F:$F, ROW()-1), $F728)) : INDEX(AB:AB, ROW()-1)),
           AVERAGEIFS(unit_details[Effective PSF],
          unit_details[Active Listing?],TRUE,
          unit_details[Property Name], $F729,
          unit_details[Beds], $L729,
          unit_details[Baths], $M729,
          unit_details[Partial Baths], IF(ISNUMBER($N729),$N729,""),
          unit_details[Sqft],$P729
)),"")</f>
        <v/>
      </c>
      <c r="AJ729" s="824" t="str">
        <f t="shared" si="125"/>
        <v/>
      </c>
      <c r="AK729" s="531" t="str">
        <f t="shared" si="126"/>
        <v/>
      </c>
      <c r="AL729" s="714" t="str">
        <f t="shared" si="127"/>
        <v/>
      </c>
      <c r="AM729" s="531" t="str">
        <f t="shared" si="128"/>
        <v/>
      </c>
      <c r="AN729" s="716" t="str">
        <f t="shared" si="129"/>
        <v/>
      </c>
    </row>
    <row r="730" spans="6:40" x14ac:dyDescent="0.2">
      <c r="F730" s="1" t="str">
        <f t="shared" si="122"/>
        <v/>
      </c>
      <c r="G730" s="713" t="str">
        <f t="shared" si="130"/>
        <v/>
      </c>
      <c r="H730" s="17" t="str">
        <f>IFERROR(VLOOKUP($G730,Table1[[Property]:[Exposure %]],4,0),"")</f>
        <v/>
      </c>
      <c r="I730" s="3" t="str">
        <f>IFERROR(VLOOKUP($G730,Table1[[Property]:[Exposure %]],6,0),"")</f>
        <v/>
      </c>
      <c r="J730" s="3" t="str">
        <f>IFERROR(VLOOKUP($G730,Table1[[Property]:[Exposure %]],7,0),"")</f>
        <v/>
      </c>
      <c r="R730" s="4" t="str">
        <f>IFERROR(VLOOKUP(IF(F730="Total",F729,F730),Table1[[Property]:['# Units]],7,0)*S730,"")</f>
        <v/>
      </c>
      <c r="S730" s="27" t="str">
        <f t="shared" si="123"/>
        <v/>
      </c>
      <c r="T730" s="531" t="str">
        <f>IFERROR(
 IF($F730="Total",
   SUMPRODUCT(
   INDEX(T:T, ROW()-COUNTIF($F$6:INDEX($F:$F, ROW()-1), $F729)) : INDEX(T:T, ROW()-1),
   INDEX(W:W, ROW()-COUNTIF($F$6:INDEX($F:$F, ROW()-1), $F729)) : INDEX(W:W, ROW()-1)
   )
   /SUM(INDEX(W:W, ROW()-COUNTIF($F$6:INDEX($F:$F, ROW()-1), $F729)) : INDEX(W:W, ROW()-1)),
   AVERAGEIFS(
     INDEX((unit_details[Asking Rent],unit_details[Asking PSF]),0,1,IF($U$3="Chunk Rent",1,2)),
     unit_details[Leased Date],"&gt;="&amp;($AM$2-T$5),
     unit_details[Leased Date],"&lt;"&amp;$AM$2,
     unit_details[Beds],$L730,
     unit_details[Baths],$M730,
     unit_details[Partial Baths],IF(ISNUMBER($N730),$N730,""),
     unit_details[Sqft],$P730,
     unit_details[Property Name],$F730)
 ),"")</f>
        <v/>
      </c>
      <c r="U730" s="552" t="str">
        <f>IFERROR(
 IF($F730="Total",
   SUMPRODUCT(
   INDEX(U:U, ROW()-COUNTIF($F$6:INDEX($F:$F, ROW()-1), $F729)) : INDEX(U:U, ROW()-1),
   INDEX(W:W, ROW()-COUNTIF($F$6:INDEX($F:$F, ROW()-1), $F729)) : INDEX(W:W, ROW()-1)
   )
   /SUM(INDEX(W:W, ROW()-COUNTIF($F$6:INDEX($F:$F, ROW()-1), $F729)) : INDEX(W:W, ROW()-1)),
   AVERAGEIFS(
     INDEX((unit_details[Effective Rent],unit_details[Effective PSF]),0,1,IF($U$3="Chunk Rent",1,2)),
     unit_details[Leased Date],"&gt;="&amp;($AM$2-T$5),
     unit_details[Leased Date],"&lt;"&amp;$AM$2,
     unit_details[Beds],$L730,
     unit_details[Baths],$M730,
     unit_details[Partial Baths],IF(ISNUMBER($N730),$N730,""),
     unit_details[Sqft],$P730,
     unit_details[Property Name],$F730)
 ),"")</f>
        <v/>
      </c>
      <c r="V730" s="27" t="str">
        <f t="shared" si="131"/>
        <v/>
      </c>
      <c r="W730" s="526">
        <f>IFERROR(
  IF($F730="Total",
    SUM(INDEX(W:W, ROW()-COUNTIF($F$6:INDEX($F:$F, ROW()-1), $F729)) : INDEX(W:W, ROW()-1)),
    COUNTIFS(
      unit_details[Leased Date], "&gt;="&amp;($AM$2-T$5),
      unit_details[Leased Date], "&lt;"&amp;$AM$2,
      unit_details[Beds], $L730,
      unit_details[Baths], $M730,
      unit_details[Partial Baths], IF(ISNUMBER($N730), $N730, ""),
      unit_details[Sqft],$P730,
      unit_details[Property Name], $F730
    )
  ),
"")</f>
        <v>0</v>
      </c>
      <c r="X730" s="531" t="str">
        <f>IFERROR(
 IF($F730="Total",
   SUMPRODUCT(
   INDEX(X:X, ROW()-COUNTIF($F$6:INDEX($F:$F, ROW()-1), $F729)) : INDEX(X:X, ROW()-1),
   INDEX(AA:AA, ROW()-COUNTIF($F$6:INDEX($F:$F, ROW()-1), $F729)) : INDEX(AA:AA, ROW()-1)
   )
   /SUM(INDEX(AA:AA, ROW()-COUNTIF($F$6:INDEX($F:$F, ROW()-1), $F729)) : INDEX(AA:AA, ROW()-1)),
   AVERAGEIFS(
     INDEX((unit_details[Asking Rent],unit_details[Asking PSF]),0,1,IF($U$3="Chunk Rent",1,2)),
     unit_details[Leased Date],"&gt;="&amp;($AM$2-X$5),
     unit_details[Leased Date],"&lt;"&amp;$AM$2,
     unit_details[Beds],$L730,
     unit_details[Baths],$M730,
     unit_details[Partial Baths],IF(ISNUMBER($N730),$N730,""),
     unit_details[Sqft],$P730,
     unit_details[Property Name],$F730)
 ),"")</f>
        <v/>
      </c>
      <c r="Y730" s="552" t="str">
        <f>IFERROR(
 IF($F730="Total",
   SUMPRODUCT(
   INDEX(Y:Y, ROW()-COUNTIF($F$6:INDEX($F:$F, ROW()-1), $F729)) : INDEX(Y:Y, ROW()-1),
   INDEX(AA:AA, ROW()-COUNTIF($F$6:INDEX($F:$F, ROW()-1), $F729)) : INDEX(AA:AA, ROW()-1)
   )
   /SUM(INDEX(AA:AA, ROW()-COUNTIF($F$6:INDEX($F:$F, ROW()-1), $F729)) : INDEX(AA:AA, ROW()-1)),
   AVERAGEIFS(
     INDEX((unit_details[Effective Rent],unit_details[Effective PSF]),0,1,IF($U$3="Chunk Rent",1,2)),
     unit_details[Leased Date],"&gt;="&amp;($AM$2-X$5),
     unit_details[Leased Date],"&lt;"&amp;$AM$2,
     unit_details[Beds],$L730,
     unit_details[Baths],$M730,
     unit_details[Partial Baths],IF(ISNUMBER($N730),$N730,""),
     unit_details[Sqft],$P730,
     unit_details[Property Name],$F730)
 ),"")</f>
        <v/>
      </c>
      <c r="Z730" s="27" t="str">
        <f t="shared" si="132"/>
        <v/>
      </c>
      <c r="AA730" s="526">
        <f>IFERROR(
  IF($F730="Total",
    SUM(INDEX(AA:AA, ROW()-COUNTIF($F$6:INDEX($F:$F, ROW()-1), $F729)) : INDEX(AA:AA, ROW()-1)),
    COUNTIFS(
      unit_details[Leased Date], "&gt;="&amp;($AM$2-X$5),
      unit_details[Leased Date], "&lt;"&amp;$AM$2,
      unit_details[Beds], $L730,
      unit_details[Baths], $M730,
      unit_details[Partial Baths], IF(ISNUMBER($N730), $N730, ""),
      unit_details[Sqft],$P730,
      unit_details[Property Name], $F730
    )
  ),
"")</f>
        <v>0</v>
      </c>
      <c r="AB730" s="290">
        <f>IF($F730="Total",
SUM(INDEX(AB:AB, ROW()-COUNTIF($F$6:INDEX($F:$F, ROW()-1), $F729)) : INDEX(AB:AB, ROW()-1)),
COUNTIFS(unit_details[Active Listing?],TRUE,
          unit_details[Property Name], $F730,
          unit_details[Beds], $L730,
          unit_details[Baths], $M730,
          unit_details[Partial Baths],IF(ISNUMBER($N730),$N730,""),
          unit_details[Sqft],$P730))</f>
        <v>0</v>
      </c>
      <c r="AC730" s="27" t="str">
        <f t="shared" si="124"/>
        <v/>
      </c>
      <c r="AD730" s="293" t="str">
        <f>IFERROR(IF(AE730="","",IF($F730="Total",
SUMPRODUCT(
   INDEX(AD:AD, ROW()-COUNTIF($F$6:INDEX($F:$F, ROW()-1), $F729)) : INDEX(AD:AD, ROW()-1),
   INDEX(AB:AB, ROW()-COUNTIF($F$6:INDEX($F:$F, ROW()-1), $F729)) : INDEX(AB:AB, ROW()-1)
   )
   /SUM(INDEX(AB:AB, ROW()-COUNTIF($F$6:INDEX($F:$F, ROW()-1), $F729)) : INDEX(AB:AB, ROW()-1)),
          _xlfn.MINIFS(unit_details[Asking Rent],
          unit_details[Active Listing?],TRUE,
          unit_details[Property Name], $F730,
          unit_details[Beds], $L730,
          unit_details[Baths], $M730,
          unit_details[Partial Baths], IF(ISNUMBER($N730),$N730,""),
          unit_details[Sqft],$P730
))),"")</f>
        <v/>
      </c>
      <c r="AE730" s="5" t="str">
        <f>IFERROR(IF($F730="Total",
          SUMPRODUCT(
   INDEX(AE:AE, ROW()-COUNTIF($F$6:INDEX($F:$F, ROW()-1), $F729)) : INDEX(AE:AE, ROW()-1),
   INDEX(AB:AB, ROW()-COUNTIF($F$6:INDEX($F:$F, ROW()-1), $F729)) : INDEX(AB:AB, ROW()-1)
   )
   /SUM(INDEX(AB:AB, ROW()-COUNTIF($F$6:INDEX($F:$F, ROW()-1), $F729)) : INDEX(AB:AB, ROW()-1)),
          AVERAGEIFS(unit_details[Asking Rent],
          unit_details[Active Listing?],TRUE,
          unit_details[Property Name], $F730,
          unit_details[Beds], $L730,
          unit_details[Baths], $M730,
          unit_details[Partial Baths], IF(ISNUMBER($N730),$N730,""),
          unit_details[Sqft],$P730
)),"")</f>
        <v/>
      </c>
      <c r="AF730" s="5" t="str">
        <f>IFERROR(IF(AE730="","",IF($F730="Total",
SUMPRODUCT(
   INDEX(AF:AF, ROW()-COUNTIF($F$6:INDEX($F:$F, ROW()-1), $F729)) : INDEX(AF:AF, ROW()-1),
   INDEX(AB:AB, ROW()-COUNTIF($F$6:INDEX($F:$F, ROW()-1), $F729)) : INDEX(AB:AB, ROW()-1)
   )
   /SUM(INDEX(AB:AB, ROW()-COUNTIF($F$6:INDEX($F:$F, ROW()-1), $F729)) : INDEX(AB:AB, ROW()-1)),
           _xlfn.MAXIFS(unit_details[Asking Rent],
          unit_details[Active Listing?],TRUE,
          unit_details[Property Name], $F730,
          unit_details[Beds], $L730,
          unit_details[Baths], $M730,
          unit_details[Partial Baths], IF(ISNUMBER($N730),$N730,""),
          unit_details[Sqft],$P730
))),"")</f>
        <v/>
      </c>
      <c r="AG730" s="6" t="str">
        <f>IFERROR(IF($F730="Total",
         SUMPRODUCT(
         INDEX(AG:AG, ROW()-COUNTIF($F$6:INDEX($F:$F, ROW()-1), $F729)) : INDEX(AG:AG, ROW()-1),
         INDEX(AB:AB, ROW()-COUNTIF($F$6:INDEX($F:$F, ROW()-1), $F729)) : INDEX(AB:AB, ROW()-1)
         )
         /SUM(INDEX(AB:AB, ROW()-COUNTIF($F$6:INDEX($F:$F, ROW()-1), $F729)) : INDEX(AB:AB, ROW()-1)),
          AVERAGEIFS(unit_details[Asking PSF],
          unit_details[Active Listing?],TRUE,
          unit_details[Property Name], $F730,
          unit_details[Beds], $L730,
          unit_details[Baths], $M730,
          unit_details[Partial Baths], IF(ISNUMBER($N730),$N730,""),
          unit_details[Sqft],$P730
)),"")</f>
        <v/>
      </c>
      <c r="AH730" s="293" t="str">
        <f>IFERROR(IF($F730="Total",
         SUMPRODUCT(
         INDEX(AH:AH, ROW()-COUNTIF($F$6:INDEX($F:$F, ROW()-1), $F729)) : INDEX(AH:AH, ROW()-1),
         INDEX(AB:AB, ROW()-COUNTIF($F$6:INDEX($F:$F, ROW()-1), $F729)) : INDEX(AB:AB, ROW()-1)
         )
         /SUM(INDEX(AB:AB, ROW()-COUNTIF($F$6:INDEX($F:$F, ROW()-1), $F729)) : INDEX(AB:AB, ROW()-1)),
          AVERAGEIFS(unit_details[Effective Rent],
          unit_details[Active Listing?],TRUE,
          unit_details[Property Name], $F730,
          unit_details[Beds], $L730,
          unit_details[Baths], $M730,
          unit_details[Partial Baths], IF(ISNUMBER($N730),$N730,""),
          unit_details[Sqft],$P730
)),"")</f>
        <v/>
      </c>
      <c r="AI730" s="6" t="str">
        <f>IFERROR(IF($F730="Total",
         SUMPRODUCT(
         INDEX(AI:AI, ROW()-COUNTIF($F$6:INDEX($F:$F, ROW()-1), $F729)) : INDEX(AI:AI, ROW()-1),
         INDEX(AB:AB, ROW()-COUNTIF($F$6:INDEX($F:$F, ROW()-1), $F729)) : INDEX(AB:AB, ROW()-1)
         )
         /SUM(INDEX(AB:AB, ROW()-COUNTIF($F$6:INDEX($F:$F, ROW()-1), $F729)) : INDEX(AB:AB, ROW()-1)),
           AVERAGEIFS(unit_details[Effective PSF],
          unit_details[Active Listing?],TRUE,
          unit_details[Property Name], $F730,
          unit_details[Beds], $L730,
          unit_details[Baths], $M730,
          unit_details[Partial Baths], IF(ISNUMBER($N730),$N730,""),
          unit_details[Sqft],$P730
)),"")</f>
        <v/>
      </c>
      <c r="AJ730" s="824" t="str">
        <f t="shared" si="125"/>
        <v/>
      </c>
      <c r="AK730" s="531" t="str">
        <f t="shared" si="126"/>
        <v/>
      </c>
      <c r="AL730" s="714" t="str">
        <f t="shared" si="127"/>
        <v/>
      </c>
      <c r="AM730" s="531" t="str">
        <f t="shared" si="128"/>
        <v/>
      </c>
      <c r="AN730" s="716" t="str">
        <f t="shared" si="129"/>
        <v/>
      </c>
    </row>
    <row r="731" spans="6:40" x14ac:dyDescent="0.2">
      <c r="F731" s="1" t="str">
        <f t="shared" si="122"/>
        <v/>
      </c>
      <c r="G731" s="713" t="str">
        <f t="shared" si="130"/>
        <v/>
      </c>
      <c r="H731" s="17" t="str">
        <f>IFERROR(VLOOKUP($G731,Table1[[Property]:[Exposure %]],4,0),"")</f>
        <v/>
      </c>
      <c r="I731" s="3" t="str">
        <f>IFERROR(VLOOKUP($G731,Table1[[Property]:[Exposure %]],6,0),"")</f>
        <v/>
      </c>
      <c r="J731" s="3" t="str">
        <f>IFERROR(VLOOKUP($G731,Table1[[Property]:[Exposure %]],7,0),"")</f>
        <v/>
      </c>
      <c r="R731" s="4" t="str">
        <f>IFERROR(VLOOKUP(IF(F731="Total",F730,F731),Table1[[Property]:['# Units]],7,0)*S731,"")</f>
        <v/>
      </c>
      <c r="S731" s="27" t="str">
        <f t="shared" si="123"/>
        <v/>
      </c>
      <c r="T731" s="531" t="str">
        <f>IFERROR(
 IF($F731="Total",
   SUMPRODUCT(
   INDEX(T:T, ROW()-COUNTIF($F$6:INDEX($F:$F, ROW()-1), $F730)) : INDEX(T:T, ROW()-1),
   INDEX(W:W, ROW()-COUNTIF($F$6:INDEX($F:$F, ROW()-1), $F730)) : INDEX(W:W, ROW()-1)
   )
   /SUM(INDEX(W:W, ROW()-COUNTIF($F$6:INDEX($F:$F, ROW()-1), $F730)) : INDEX(W:W, ROW()-1)),
   AVERAGEIFS(
     INDEX((unit_details[Asking Rent],unit_details[Asking PSF]),0,1,IF($U$3="Chunk Rent",1,2)),
     unit_details[Leased Date],"&gt;="&amp;($AM$2-T$5),
     unit_details[Leased Date],"&lt;"&amp;$AM$2,
     unit_details[Beds],$L731,
     unit_details[Baths],$M731,
     unit_details[Partial Baths],IF(ISNUMBER($N731),$N731,""),
     unit_details[Sqft],$P731,
     unit_details[Property Name],$F731)
 ),"")</f>
        <v/>
      </c>
      <c r="U731" s="552" t="str">
        <f>IFERROR(
 IF($F731="Total",
   SUMPRODUCT(
   INDEX(U:U, ROW()-COUNTIF($F$6:INDEX($F:$F, ROW()-1), $F730)) : INDEX(U:U, ROW()-1),
   INDEX(W:W, ROW()-COUNTIF($F$6:INDEX($F:$F, ROW()-1), $F730)) : INDEX(W:W, ROW()-1)
   )
   /SUM(INDEX(W:W, ROW()-COUNTIF($F$6:INDEX($F:$F, ROW()-1), $F730)) : INDEX(W:W, ROW()-1)),
   AVERAGEIFS(
     INDEX((unit_details[Effective Rent],unit_details[Effective PSF]),0,1,IF($U$3="Chunk Rent",1,2)),
     unit_details[Leased Date],"&gt;="&amp;($AM$2-T$5),
     unit_details[Leased Date],"&lt;"&amp;$AM$2,
     unit_details[Beds],$L731,
     unit_details[Baths],$M731,
     unit_details[Partial Baths],IF(ISNUMBER($N731),$N731,""),
     unit_details[Sqft],$P731,
     unit_details[Property Name],$F731)
 ),"")</f>
        <v/>
      </c>
      <c r="V731" s="27" t="str">
        <f t="shared" si="131"/>
        <v/>
      </c>
      <c r="W731" s="526">
        <f>IFERROR(
  IF($F731="Total",
    SUM(INDEX(W:W, ROW()-COUNTIF($F$6:INDEX($F:$F, ROW()-1), $F730)) : INDEX(W:W, ROW()-1)),
    COUNTIFS(
      unit_details[Leased Date], "&gt;="&amp;($AM$2-T$5),
      unit_details[Leased Date], "&lt;"&amp;$AM$2,
      unit_details[Beds], $L731,
      unit_details[Baths], $M731,
      unit_details[Partial Baths], IF(ISNUMBER($N731), $N731, ""),
      unit_details[Sqft],$P731,
      unit_details[Property Name], $F731
    )
  ),
"")</f>
        <v>0</v>
      </c>
      <c r="X731" s="531" t="str">
        <f>IFERROR(
 IF($F731="Total",
   SUMPRODUCT(
   INDEX(X:X, ROW()-COUNTIF($F$6:INDEX($F:$F, ROW()-1), $F730)) : INDEX(X:X, ROW()-1),
   INDEX(AA:AA, ROW()-COUNTIF($F$6:INDEX($F:$F, ROW()-1), $F730)) : INDEX(AA:AA, ROW()-1)
   )
   /SUM(INDEX(AA:AA, ROW()-COUNTIF($F$6:INDEX($F:$F, ROW()-1), $F730)) : INDEX(AA:AA, ROW()-1)),
   AVERAGEIFS(
     INDEX((unit_details[Asking Rent],unit_details[Asking PSF]),0,1,IF($U$3="Chunk Rent",1,2)),
     unit_details[Leased Date],"&gt;="&amp;($AM$2-X$5),
     unit_details[Leased Date],"&lt;"&amp;$AM$2,
     unit_details[Beds],$L731,
     unit_details[Baths],$M731,
     unit_details[Partial Baths],IF(ISNUMBER($N731),$N731,""),
     unit_details[Sqft],$P731,
     unit_details[Property Name],$F731)
 ),"")</f>
        <v/>
      </c>
      <c r="Y731" s="552" t="str">
        <f>IFERROR(
 IF($F731="Total",
   SUMPRODUCT(
   INDEX(Y:Y, ROW()-COUNTIF($F$6:INDEX($F:$F, ROW()-1), $F730)) : INDEX(Y:Y, ROW()-1),
   INDEX(AA:AA, ROW()-COUNTIF($F$6:INDEX($F:$F, ROW()-1), $F730)) : INDEX(AA:AA, ROW()-1)
   )
   /SUM(INDEX(AA:AA, ROW()-COUNTIF($F$6:INDEX($F:$F, ROW()-1), $F730)) : INDEX(AA:AA, ROW()-1)),
   AVERAGEIFS(
     INDEX((unit_details[Effective Rent],unit_details[Effective PSF]),0,1,IF($U$3="Chunk Rent",1,2)),
     unit_details[Leased Date],"&gt;="&amp;($AM$2-X$5),
     unit_details[Leased Date],"&lt;"&amp;$AM$2,
     unit_details[Beds],$L731,
     unit_details[Baths],$M731,
     unit_details[Partial Baths],IF(ISNUMBER($N731),$N731,""),
     unit_details[Sqft],$P731,
     unit_details[Property Name],$F731)
 ),"")</f>
        <v/>
      </c>
      <c r="Z731" s="27" t="str">
        <f t="shared" si="132"/>
        <v/>
      </c>
      <c r="AA731" s="526">
        <f>IFERROR(
  IF($F731="Total",
    SUM(INDEX(AA:AA, ROW()-COUNTIF($F$6:INDEX($F:$F, ROW()-1), $F730)) : INDEX(AA:AA, ROW()-1)),
    COUNTIFS(
      unit_details[Leased Date], "&gt;="&amp;($AM$2-X$5),
      unit_details[Leased Date], "&lt;"&amp;$AM$2,
      unit_details[Beds], $L731,
      unit_details[Baths], $M731,
      unit_details[Partial Baths], IF(ISNUMBER($N731), $N731, ""),
      unit_details[Sqft],$P731,
      unit_details[Property Name], $F731
    )
  ),
"")</f>
        <v>0</v>
      </c>
      <c r="AB731" s="290">
        <f>IF($F731="Total",
SUM(INDEX(AB:AB, ROW()-COUNTIF($F$6:INDEX($F:$F, ROW()-1), $F730)) : INDEX(AB:AB, ROW()-1)),
COUNTIFS(unit_details[Active Listing?],TRUE,
          unit_details[Property Name], $F731,
          unit_details[Beds], $L731,
          unit_details[Baths], $M731,
          unit_details[Partial Baths],IF(ISNUMBER($N731),$N731,""),
          unit_details[Sqft],$P731))</f>
        <v>0</v>
      </c>
      <c r="AC731" s="27" t="str">
        <f t="shared" si="124"/>
        <v/>
      </c>
      <c r="AD731" s="293" t="str">
        <f>IFERROR(IF(AE731="","",IF($F731="Total",
SUMPRODUCT(
   INDEX(AD:AD, ROW()-COUNTIF($F$6:INDEX($F:$F, ROW()-1), $F730)) : INDEX(AD:AD, ROW()-1),
   INDEX(AB:AB, ROW()-COUNTIF($F$6:INDEX($F:$F, ROW()-1), $F730)) : INDEX(AB:AB, ROW()-1)
   )
   /SUM(INDEX(AB:AB, ROW()-COUNTIF($F$6:INDEX($F:$F, ROW()-1), $F730)) : INDEX(AB:AB, ROW()-1)),
          _xlfn.MINIFS(unit_details[Asking Rent],
          unit_details[Active Listing?],TRUE,
          unit_details[Property Name], $F731,
          unit_details[Beds], $L731,
          unit_details[Baths], $M731,
          unit_details[Partial Baths], IF(ISNUMBER($N731),$N731,""),
          unit_details[Sqft],$P731
))),"")</f>
        <v/>
      </c>
      <c r="AE731" s="5" t="str">
        <f>IFERROR(IF($F731="Total",
          SUMPRODUCT(
   INDEX(AE:AE, ROW()-COUNTIF($F$6:INDEX($F:$F, ROW()-1), $F730)) : INDEX(AE:AE, ROW()-1),
   INDEX(AB:AB, ROW()-COUNTIF($F$6:INDEX($F:$F, ROW()-1), $F730)) : INDEX(AB:AB, ROW()-1)
   )
   /SUM(INDEX(AB:AB, ROW()-COUNTIF($F$6:INDEX($F:$F, ROW()-1), $F730)) : INDEX(AB:AB, ROW()-1)),
          AVERAGEIFS(unit_details[Asking Rent],
          unit_details[Active Listing?],TRUE,
          unit_details[Property Name], $F731,
          unit_details[Beds], $L731,
          unit_details[Baths], $M731,
          unit_details[Partial Baths], IF(ISNUMBER($N731),$N731,""),
          unit_details[Sqft],$P731
)),"")</f>
        <v/>
      </c>
      <c r="AF731" s="5" t="str">
        <f>IFERROR(IF(AE731="","",IF($F731="Total",
SUMPRODUCT(
   INDEX(AF:AF, ROW()-COUNTIF($F$6:INDEX($F:$F, ROW()-1), $F730)) : INDEX(AF:AF, ROW()-1),
   INDEX(AB:AB, ROW()-COUNTIF($F$6:INDEX($F:$F, ROW()-1), $F730)) : INDEX(AB:AB, ROW()-1)
   )
   /SUM(INDEX(AB:AB, ROW()-COUNTIF($F$6:INDEX($F:$F, ROW()-1), $F730)) : INDEX(AB:AB, ROW()-1)),
           _xlfn.MAXIFS(unit_details[Asking Rent],
          unit_details[Active Listing?],TRUE,
          unit_details[Property Name], $F731,
          unit_details[Beds], $L731,
          unit_details[Baths], $M731,
          unit_details[Partial Baths], IF(ISNUMBER($N731),$N731,""),
          unit_details[Sqft],$P731
))),"")</f>
        <v/>
      </c>
      <c r="AG731" s="6" t="str">
        <f>IFERROR(IF($F731="Total",
         SUMPRODUCT(
         INDEX(AG:AG, ROW()-COUNTIF($F$6:INDEX($F:$F, ROW()-1), $F730)) : INDEX(AG:AG, ROW()-1),
         INDEX(AB:AB, ROW()-COUNTIF($F$6:INDEX($F:$F, ROW()-1), $F730)) : INDEX(AB:AB, ROW()-1)
         )
         /SUM(INDEX(AB:AB, ROW()-COUNTIF($F$6:INDEX($F:$F, ROW()-1), $F730)) : INDEX(AB:AB, ROW()-1)),
          AVERAGEIFS(unit_details[Asking PSF],
          unit_details[Active Listing?],TRUE,
          unit_details[Property Name], $F731,
          unit_details[Beds], $L731,
          unit_details[Baths], $M731,
          unit_details[Partial Baths], IF(ISNUMBER($N731),$N731,""),
          unit_details[Sqft],$P731
)),"")</f>
        <v/>
      </c>
      <c r="AH731" s="293" t="str">
        <f>IFERROR(IF($F731="Total",
         SUMPRODUCT(
         INDEX(AH:AH, ROW()-COUNTIF($F$6:INDEX($F:$F, ROW()-1), $F730)) : INDEX(AH:AH, ROW()-1),
         INDEX(AB:AB, ROW()-COUNTIF($F$6:INDEX($F:$F, ROW()-1), $F730)) : INDEX(AB:AB, ROW()-1)
         )
         /SUM(INDEX(AB:AB, ROW()-COUNTIF($F$6:INDEX($F:$F, ROW()-1), $F730)) : INDEX(AB:AB, ROW()-1)),
          AVERAGEIFS(unit_details[Effective Rent],
          unit_details[Active Listing?],TRUE,
          unit_details[Property Name], $F731,
          unit_details[Beds], $L731,
          unit_details[Baths], $M731,
          unit_details[Partial Baths], IF(ISNUMBER($N731),$N731,""),
          unit_details[Sqft],$P731
)),"")</f>
        <v/>
      </c>
      <c r="AI731" s="6" t="str">
        <f>IFERROR(IF($F731="Total",
         SUMPRODUCT(
         INDEX(AI:AI, ROW()-COUNTIF($F$6:INDEX($F:$F, ROW()-1), $F730)) : INDEX(AI:AI, ROW()-1),
         INDEX(AB:AB, ROW()-COUNTIF($F$6:INDEX($F:$F, ROW()-1), $F730)) : INDEX(AB:AB, ROW()-1)
         )
         /SUM(INDEX(AB:AB, ROW()-COUNTIF($F$6:INDEX($F:$F, ROW()-1), $F730)) : INDEX(AB:AB, ROW()-1)),
           AVERAGEIFS(unit_details[Effective PSF],
          unit_details[Active Listing?],TRUE,
          unit_details[Property Name], $F731,
          unit_details[Beds], $L731,
          unit_details[Baths], $M731,
          unit_details[Partial Baths], IF(ISNUMBER($N731),$N731,""),
          unit_details[Sqft],$P731
)),"")</f>
        <v/>
      </c>
      <c r="AJ731" s="824" t="str">
        <f t="shared" si="125"/>
        <v/>
      </c>
      <c r="AK731" s="531" t="str">
        <f t="shared" si="126"/>
        <v/>
      </c>
      <c r="AL731" s="714" t="str">
        <f t="shared" si="127"/>
        <v/>
      </c>
      <c r="AM731" s="531" t="str">
        <f t="shared" si="128"/>
        <v/>
      </c>
      <c r="AN731" s="716" t="str">
        <f t="shared" si="129"/>
        <v/>
      </c>
    </row>
    <row r="732" spans="6:40" x14ac:dyDescent="0.2">
      <c r="F732" s="1" t="str">
        <f t="shared" si="122"/>
        <v/>
      </c>
      <c r="G732" s="713" t="str">
        <f t="shared" si="130"/>
        <v/>
      </c>
      <c r="H732" s="17" t="str">
        <f>IFERROR(VLOOKUP($G732,Table1[[Property]:[Exposure %]],4,0),"")</f>
        <v/>
      </c>
      <c r="I732" s="3" t="str">
        <f>IFERROR(VLOOKUP($G732,Table1[[Property]:[Exposure %]],6,0),"")</f>
        <v/>
      </c>
      <c r="J732" s="3" t="str">
        <f>IFERROR(VLOOKUP($G732,Table1[[Property]:[Exposure %]],7,0),"")</f>
        <v/>
      </c>
      <c r="R732" s="4" t="str">
        <f>IFERROR(VLOOKUP(IF(F732="Total",F731,F732),Table1[[Property]:['# Units]],7,0)*S732,"")</f>
        <v/>
      </c>
      <c r="S732" s="27" t="str">
        <f t="shared" si="123"/>
        <v/>
      </c>
      <c r="T732" s="531" t="str">
        <f>IFERROR(
 IF($F732="Total",
   SUMPRODUCT(
   INDEX(T:T, ROW()-COUNTIF($F$6:INDEX($F:$F, ROW()-1), $F731)) : INDEX(T:T, ROW()-1),
   INDEX(W:W, ROW()-COUNTIF($F$6:INDEX($F:$F, ROW()-1), $F731)) : INDEX(W:W, ROW()-1)
   )
   /SUM(INDEX(W:W, ROW()-COUNTIF($F$6:INDEX($F:$F, ROW()-1), $F731)) : INDEX(W:W, ROW()-1)),
   AVERAGEIFS(
     INDEX((unit_details[Asking Rent],unit_details[Asking PSF]),0,1,IF($U$3="Chunk Rent",1,2)),
     unit_details[Leased Date],"&gt;="&amp;($AM$2-T$5),
     unit_details[Leased Date],"&lt;"&amp;$AM$2,
     unit_details[Beds],$L732,
     unit_details[Baths],$M732,
     unit_details[Partial Baths],IF(ISNUMBER($N732),$N732,""),
     unit_details[Sqft],$P732,
     unit_details[Property Name],$F732)
 ),"")</f>
        <v/>
      </c>
      <c r="U732" s="552" t="str">
        <f>IFERROR(
 IF($F732="Total",
   SUMPRODUCT(
   INDEX(U:U, ROW()-COUNTIF($F$6:INDEX($F:$F, ROW()-1), $F731)) : INDEX(U:U, ROW()-1),
   INDEX(W:W, ROW()-COUNTIF($F$6:INDEX($F:$F, ROW()-1), $F731)) : INDEX(W:W, ROW()-1)
   )
   /SUM(INDEX(W:W, ROW()-COUNTIF($F$6:INDEX($F:$F, ROW()-1), $F731)) : INDEX(W:W, ROW()-1)),
   AVERAGEIFS(
     INDEX((unit_details[Effective Rent],unit_details[Effective PSF]),0,1,IF($U$3="Chunk Rent",1,2)),
     unit_details[Leased Date],"&gt;="&amp;($AM$2-T$5),
     unit_details[Leased Date],"&lt;"&amp;$AM$2,
     unit_details[Beds],$L732,
     unit_details[Baths],$M732,
     unit_details[Partial Baths],IF(ISNUMBER($N732),$N732,""),
     unit_details[Sqft],$P732,
     unit_details[Property Name],$F732)
 ),"")</f>
        <v/>
      </c>
      <c r="V732" s="27" t="str">
        <f t="shared" si="131"/>
        <v/>
      </c>
      <c r="W732" s="526">
        <f>IFERROR(
  IF($F732="Total",
    SUM(INDEX(W:W, ROW()-COUNTIF($F$6:INDEX($F:$F, ROW()-1), $F731)) : INDEX(W:W, ROW()-1)),
    COUNTIFS(
      unit_details[Leased Date], "&gt;="&amp;($AM$2-T$5),
      unit_details[Leased Date], "&lt;"&amp;$AM$2,
      unit_details[Beds], $L732,
      unit_details[Baths], $M732,
      unit_details[Partial Baths], IF(ISNUMBER($N732), $N732, ""),
      unit_details[Sqft],$P732,
      unit_details[Property Name], $F732
    )
  ),
"")</f>
        <v>0</v>
      </c>
      <c r="X732" s="531" t="str">
        <f>IFERROR(
 IF($F732="Total",
   SUMPRODUCT(
   INDEX(X:X, ROW()-COUNTIF($F$6:INDEX($F:$F, ROW()-1), $F731)) : INDEX(X:X, ROW()-1),
   INDEX(AA:AA, ROW()-COUNTIF($F$6:INDEX($F:$F, ROW()-1), $F731)) : INDEX(AA:AA, ROW()-1)
   )
   /SUM(INDEX(AA:AA, ROW()-COUNTIF($F$6:INDEX($F:$F, ROW()-1), $F731)) : INDEX(AA:AA, ROW()-1)),
   AVERAGEIFS(
     INDEX((unit_details[Asking Rent],unit_details[Asking PSF]),0,1,IF($U$3="Chunk Rent",1,2)),
     unit_details[Leased Date],"&gt;="&amp;($AM$2-X$5),
     unit_details[Leased Date],"&lt;"&amp;$AM$2,
     unit_details[Beds],$L732,
     unit_details[Baths],$M732,
     unit_details[Partial Baths],IF(ISNUMBER($N732),$N732,""),
     unit_details[Sqft],$P732,
     unit_details[Property Name],$F732)
 ),"")</f>
        <v/>
      </c>
      <c r="Y732" s="552" t="str">
        <f>IFERROR(
 IF($F732="Total",
   SUMPRODUCT(
   INDEX(Y:Y, ROW()-COUNTIF($F$6:INDEX($F:$F, ROW()-1), $F731)) : INDEX(Y:Y, ROW()-1),
   INDEX(AA:AA, ROW()-COUNTIF($F$6:INDEX($F:$F, ROW()-1), $F731)) : INDEX(AA:AA, ROW()-1)
   )
   /SUM(INDEX(AA:AA, ROW()-COUNTIF($F$6:INDEX($F:$F, ROW()-1), $F731)) : INDEX(AA:AA, ROW()-1)),
   AVERAGEIFS(
     INDEX((unit_details[Effective Rent],unit_details[Effective PSF]),0,1,IF($U$3="Chunk Rent",1,2)),
     unit_details[Leased Date],"&gt;="&amp;($AM$2-X$5),
     unit_details[Leased Date],"&lt;"&amp;$AM$2,
     unit_details[Beds],$L732,
     unit_details[Baths],$M732,
     unit_details[Partial Baths],IF(ISNUMBER($N732),$N732,""),
     unit_details[Sqft],$P732,
     unit_details[Property Name],$F732)
 ),"")</f>
        <v/>
      </c>
      <c r="Z732" s="27" t="str">
        <f t="shared" si="132"/>
        <v/>
      </c>
      <c r="AA732" s="526">
        <f>IFERROR(
  IF($F732="Total",
    SUM(INDEX(AA:AA, ROW()-COUNTIF($F$6:INDEX($F:$F, ROW()-1), $F731)) : INDEX(AA:AA, ROW()-1)),
    COUNTIFS(
      unit_details[Leased Date], "&gt;="&amp;($AM$2-X$5),
      unit_details[Leased Date], "&lt;"&amp;$AM$2,
      unit_details[Beds], $L732,
      unit_details[Baths], $M732,
      unit_details[Partial Baths], IF(ISNUMBER($N732), $N732, ""),
      unit_details[Sqft],$P732,
      unit_details[Property Name], $F732
    )
  ),
"")</f>
        <v>0</v>
      </c>
      <c r="AB732" s="290">
        <f>IF($F732="Total",
SUM(INDEX(AB:AB, ROW()-COUNTIF($F$6:INDEX($F:$F, ROW()-1), $F731)) : INDEX(AB:AB, ROW()-1)),
COUNTIFS(unit_details[Active Listing?],TRUE,
          unit_details[Property Name], $F732,
          unit_details[Beds], $L732,
          unit_details[Baths], $M732,
          unit_details[Partial Baths],IF(ISNUMBER($N732),$N732,""),
          unit_details[Sqft],$P732))</f>
        <v>0</v>
      </c>
      <c r="AC732" s="27" t="str">
        <f t="shared" si="124"/>
        <v/>
      </c>
      <c r="AD732" s="293" t="str">
        <f>IFERROR(IF(AE732="","",IF($F732="Total",
SUMPRODUCT(
   INDEX(AD:AD, ROW()-COUNTIF($F$6:INDEX($F:$F, ROW()-1), $F731)) : INDEX(AD:AD, ROW()-1),
   INDEX(AB:AB, ROW()-COUNTIF($F$6:INDEX($F:$F, ROW()-1), $F731)) : INDEX(AB:AB, ROW()-1)
   )
   /SUM(INDEX(AB:AB, ROW()-COUNTIF($F$6:INDEX($F:$F, ROW()-1), $F731)) : INDEX(AB:AB, ROW()-1)),
          _xlfn.MINIFS(unit_details[Asking Rent],
          unit_details[Active Listing?],TRUE,
          unit_details[Property Name], $F732,
          unit_details[Beds], $L732,
          unit_details[Baths], $M732,
          unit_details[Partial Baths], IF(ISNUMBER($N732),$N732,""),
          unit_details[Sqft],$P732
))),"")</f>
        <v/>
      </c>
      <c r="AE732" s="5" t="str">
        <f>IFERROR(IF($F732="Total",
          SUMPRODUCT(
   INDEX(AE:AE, ROW()-COUNTIF($F$6:INDEX($F:$F, ROW()-1), $F731)) : INDEX(AE:AE, ROW()-1),
   INDEX(AB:AB, ROW()-COUNTIF($F$6:INDEX($F:$F, ROW()-1), $F731)) : INDEX(AB:AB, ROW()-1)
   )
   /SUM(INDEX(AB:AB, ROW()-COUNTIF($F$6:INDEX($F:$F, ROW()-1), $F731)) : INDEX(AB:AB, ROW()-1)),
          AVERAGEIFS(unit_details[Asking Rent],
          unit_details[Active Listing?],TRUE,
          unit_details[Property Name], $F732,
          unit_details[Beds], $L732,
          unit_details[Baths], $M732,
          unit_details[Partial Baths], IF(ISNUMBER($N732),$N732,""),
          unit_details[Sqft],$P732
)),"")</f>
        <v/>
      </c>
      <c r="AF732" s="5" t="str">
        <f>IFERROR(IF(AE732="","",IF($F732="Total",
SUMPRODUCT(
   INDEX(AF:AF, ROW()-COUNTIF($F$6:INDEX($F:$F, ROW()-1), $F731)) : INDEX(AF:AF, ROW()-1),
   INDEX(AB:AB, ROW()-COUNTIF($F$6:INDEX($F:$F, ROW()-1), $F731)) : INDEX(AB:AB, ROW()-1)
   )
   /SUM(INDEX(AB:AB, ROW()-COUNTIF($F$6:INDEX($F:$F, ROW()-1), $F731)) : INDEX(AB:AB, ROW()-1)),
           _xlfn.MAXIFS(unit_details[Asking Rent],
          unit_details[Active Listing?],TRUE,
          unit_details[Property Name], $F732,
          unit_details[Beds], $L732,
          unit_details[Baths], $M732,
          unit_details[Partial Baths], IF(ISNUMBER($N732),$N732,""),
          unit_details[Sqft],$P732
))),"")</f>
        <v/>
      </c>
      <c r="AG732" s="6" t="str">
        <f>IFERROR(IF($F732="Total",
         SUMPRODUCT(
         INDEX(AG:AG, ROW()-COUNTIF($F$6:INDEX($F:$F, ROW()-1), $F731)) : INDEX(AG:AG, ROW()-1),
         INDEX(AB:AB, ROW()-COUNTIF($F$6:INDEX($F:$F, ROW()-1), $F731)) : INDEX(AB:AB, ROW()-1)
         )
         /SUM(INDEX(AB:AB, ROW()-COUNTIF($F$6:INDEX($F:$F, ROW()-1), $F731)) : INDEX(AB:AB, ROW()-1)),
          AVERAGEIFS(unit_details[Asking PSF],
          unit_details[Active Listing?],TRUE,
          unit_details[Property Name], $F732,
          unit_details[Beds], $L732,
          unit_details[Baths], $M732,
          unit_details[Partial Baths], IF(ISNUMBER($N732),$N732,""),
          unit_details[Sqft],$P732
)),"")</f>
        <v/>
      </c>
      <c r="AH732" s="293" t="str">
        <f>IFERROR(IF($F732="Total",
         SUMPRODUCT(
         INDEX(AH:AH, ROW()-COUNTIF($F$6:INDEX($F:$F, ROW()-1), $F731)) : INDEX(AH:AH, ROW()-1),
         INDEX(AB:AB, ROW()-COUNTIF($F$6:INDEX($F:$F, ROW()-1), $F731)) : INDEX(AB:AB, ROW()-1)
         )
         /SUM(INDEX(AB:AB, ROW()-COUNTIF($F$6:INDEX($F:$F, ROW()-1), $F731)) : INDEX(AB:AB, ROW()-1)),
          AVERAGEIFS(unit_details[Effective Rent],
          unit_details[Active Listing?],TRUE,
          unit_details[Property Name], $F732,
          unit_details[Beds], $L732,
          unit_details[Baths], $M732,
          unit_details[Partial Baths], IF(ISNUMBER($N732),$N732,""),
          unit_details[Sqft],$P732
)),"")</f>
        <v/>
      </c>
      <c r="AI732" s="6" t="str">
        <f>IFERROR(IF($F732="Total",
         SUMPRODUCT(
         INDEX(AI:AI, ROW()-COUNTIF($F$6:INDEX($F:$F, ROW()-1), $F731)) : INDEX(AI:AI, ROW()-1),
         INDEX(AB:AB, ROW()-COUNTIF($F$6:INDEX($F:$F, ROW()-1), $F731)) : INDEX(AB:AB, ROW()-1)
         )
         /SUM(INDEX(AB:AB, ROW()-COUNTIF($F$6:INDEX($F:$F, ROW()-1), $F731)) : INDEX(AB:AB, ROW()-1)),
           AVERAGEIFS(unit_details[Effective PSF],
          unit_details[Active Listing?],TRUE,
          unit_details[Property Name], $F732,
          unit_details[Beds], $L732,
          unit_details[Baths], $M732,
          unit_details[Partial Baths], IF(ISNUMBER($N732),$N732,""),
          unit_details[Sqft],$P732
)),"")</f>
        <v/>
      </c>
      <c r="AJ732" s="824" t="str">
        <f t="shared" si="125"/>
        <v/>
      </c>
      <c r="AK732" s="531" t="str">
        <f t="shared" si="126"/>
        <v/>
      </c>
      <c r="AL732" s="714" t="str">
        <f t="shared" si="127"/>
        <v/>
      </c>
      <c r="AM732" s="531" t="str">
        <f t="shared" si="128"/>
        <v/>
      </c>
      <c r="AN732" s="716" t="str">
        <f t="shared" si="129"/>
        <v/>
      </c>
    </row>
    <row r="733" spans="6:40" x14ac:dyDescent="0.2">
      <c r="F733" s="1" t="str">
        <f t="shared" si="122"/>
        <v/>
      </c>
      <c r="G733" s="713" t="str">
        <f t="shared" si="130"/>
        <v/>
      </c>
      <c r="H733" s="17" t="str">
        <f>IFERROR(VLOOKUP($G733,Table1[[Property]:[Exposure %]],4,0),"")</f>
        <v/>
      </c>
      <c r="I733" s="3" t="str">
        <f>IFERROR(VLOOKUP($G733,Table1[[Property]:[Exposure %]],6,0),"")</f>
        <v/>
      </c>
      <c r="J733" s="3" t="str">
        <f>IFERROR(VLOOKUP($G733,Table1[[Property]:[Exposure %]],7,0),"")</f>
        <v/>
      </c>
      <c r="R733" s="4" t="str">
        <f>IFERROR(VLOOKUP(IF(F733="Total",F732,F733),Table1[[Property]:['# Units]],7,0)*S733,"")</f>
        <v/>
      </c>
      <c r="S733" s="27" t="str">
        <f t="shared" si="123"/>
        <v/>
      </c>
      <c r="T733" s="531" t="str">
        <f>IFERROR(
 IF($F733="Total",
   SUMPRODUCT(
   INDEX(T:T, ROW()-COUNTIF($F$6:INDEX($F:$F, ROW()-1), $F732)) : INDEX(T:T, ROW()-1),
   INDEX(W:W, ROW()-COUNTIF($F$6:INDEX($F:$F, ROW()-1), $F732)) : INDEX(W:W, ROW()-1)
   )
   /SUM(INDEX(W:W, ROW()-COUNTIF($F$6:INDEX($F:$F, ROW()-1), $F732)) : INDEX(W:W, ROW()-1)),
   AVERAGEIFS(
     INDEX((unit_details[Asking Rent],unit_details[Asking PSF]),0,1,IF($U$3="Chunk Rent",1,2)),
     unit_details[Leased Date],"&gt;="&amp;($AM$2-T$5),
     unit_details[Leased Date],"&lt;"&amp;$AM$2,
     unit_details[Beds],$L733,
     unit_details[Baths],$M733,
     unit_details[Partial Baths],IF(ISNUMBER($N733),$N733,""),
     unit_details[Sqft],$P733,
     unit_details[Property Name],$F733)
 ),"")</f>
        <v/>
      </c>
      <c r="U733" s="552" t="str">
        <f>IFERROR(
 IF($F733="Total",
   SUMPRODUCT(
   INDEX(U:U, ROW()-COUNTIF($F$6:INDEX($F:$F, ROW()-1), $F732)) : INDEX(U:U, ROW()-1),
   INDEX(W:W, ROW()-COUNTIF($F$6:INDEX($F:$F, ROW()-1), $F732)) : INDEX(W:W, ROW()-1)
   )
   /SUM(INDEX(W:W, ROW()-COUNTIF($F$6:INDEX($F:$F, ROW()-1), $F732)) : INDEX(W:W, ROW()-1)),
   AVERAGEIFS(
     INDEX((unit_details[Effective Rent],unit_details[Effective PSF]),0,1,IF($U$3="Chunk Rent",1,2)),
     unit_details[Leased Date],"&gt;="&amp;($AM$2-T$5),
     unit_details[Leased Date],"&lt;"&amp;$AM$2,
     unit_details[Beds],$L733,
     unit_details[Baths],$M733,
     unit_details[Partial Baths],IF(ISNUMBER($N733),$N733,""),
     unit_details[Sqft],$P733,
     unit_details[Property Name],$F733)
 ),"")</f>
        <v/>
      </c>
      <c r="V733" s="27" t="str">
        <f t="shared" si="131"/>
        <v/>
      </c>
      <c r="W733" s="526">
        <f>IFERROR(
  IF($F733="Total",
    SUM(INDEX(W:W, ROW()-COUNTIF($F$6:INDEX($F:$F, ROW()-1), $F732)) : INDEX(W:W, ROW()-1)),
    COUNTIFS(
      unit_details[Leased Date], "&gt;="&amp;($AM$2-T$5),
      unit_details[Leased Date], "&lt;"&amp;$AM$2,
      unit_details[Beds], $L733,
      unit_details[Baths], $M733,
      unit_details[Partial Baths], IF(ISNUMBER($N733), $N733, ""),
      unit_details[Sqft],$P733,
      unit_details[Property Name], $F733
    )
  ),
"")</f>
        <v>0</v>
      </c>
      <c r="X733" s="531" t="str">
        <f>IFERROR(
 IF($F733="Total",
   SUMPRODUCT(
   INDEX(X:X, ROW()-COUNTIF($F$6:INDEX($F:$F, ROW()-1), $F732)) : INDEX(X:X, ROW()-1),
   INDEX(AA:AA, ROW()-COUNTIF($F$6:INDEX($F:$F, ROW()-1), $F732)) : INDEX(AA:AA, ROW()-1)
   )
   /SUM(INDEX(AA:AA, ROW()-COUNTIF($F$6:INDEX($F:$F, ROW()-1), $F732)) : INDEX(AA:AA, ROW()-1)),
   AVERAGEIFS(
     INDEX((unit_details[Asking Rent],unit_details[Asking PSF]),0,1,IF($U$3="Chunk Rent",1,2)),
     unit_details[Leased Date],"&gt;="&amp;($AM$2-X$5),
     unit_details[Leased Date],"&lt;"&amp;$AM$2,
     unit_details[Beds],$L733,
     unit_details[Baths],$M733,
     unit_details[Partial Baths],IF(ISNUMBER($N733),$N733,""),
     unit_details[Sqft],$P733,
     unit_details[Property Name],$F733)
 ),"")</f>
        <v/>
      </c>
      <c r="Y733" s="552" t="str">
        <f>IFERROR(
 IF($F733="Total",
   SUMPRODUCT(
   INDEX(Y:Y, ROW()-COUNTIF($F$6:INDEX($F:$F, ROW()-1), $F732)) : INDEX(Y:Y, ROW()-1),
   INDEX(AA:AA, ROW()-COUNTIF($F$6:INDEX($F:$F, ROW()-1), $F732)) : INDEX(AA:AA, ROW()-1)
   )
   /SUM(INDEX(AA:AA, ROW()-COUNTIF($F$6:INDEX($F:$F, ROW()-1), $F732)) : INDEX(AA:AA, ROW()-1)),
   AVERAGEIFS(
     INDEX((unit_details[Effective Rent],unit_details[Effective PSF]),0,1,IF($U$3="Chunk Rent",1,2)),
     unit_details[Leased Date],"&gt;="&amp;($AM$2-X$5),
     unit_details[Leased Date],"&lt;"&amp;$AM$2,
     unit_details[Beds],$L733,
     unit_details[Baths],$M733,
     unit_details[Partial Baths],IF(ISNUMBER($N733),$N733,""),
     unit_details[Sqft],$P733,
     unit_details[Property Name],$F733)
 ),"")</f>
        <v/>
      </c>
      <c r="Z733" s="27" t="str">
        <f t="shared" si="132"/>
        <v/>
      </c>
      <c r="AA733" s="526">
        <f>IFERROR(
  IF($F733="Total",
    SUM(INDEX(AA:AA, ROW()-COUNTIF($F$6:INDEX($F:$F, ROW()-1), $F732)) : INDEX(AA:AA, ROW()-1)),
    COUNTIFS(
      unit_details[Leased Date], "&gt;="&amp;($AM$2-X$5),
      unit_details[Leased Date], "&lt;"&amp;$AM$2,
      unit_details[Beds], $L733,
      unit_details[Baths], $M733,
      unit_details[Partial Baths], IF(ISNUMBER($N733), $N733, ""),
      unit_details[Sqft],$P733,
      unit_details[Property Name], $F733
    )
  ),
"")</f>
        <v>0</v>
      </c>
      <c r="AB733" s="290">
        <f>IF($F733="Total",
SUM(INDEX(AB:AB, ROW()-COUNTIF($F$6:INDEX($F:$F, ROW()-1), $F732)) : INDEX(AB:AB, ROW()-1)),
COUNTIFS(unit_details[Active Listing?],TRUE,
          unit_details[Property Name], $F733,
          unit_details[Beds], $L733,
          unit_details[Baths], $M733,
          unit_details[Partial Baths],IF(ISNUMBER($N733),$N733,""),
          unit_details[Sqft],$P733))</f>
        <v>0</v>
      </c>
      <c r="AC733" s="27" t="str">
        <f t="shared" si="124"/>
        <v/>
      </c>
      <c r="AD733" s="293" t="str">
        <f>IFERROR(IF(AE733="","",IF($F733="Total",
SUMPRODUCT(
   INDEX(AD:AD, ROW()-COUNTIF($F$6:INDEX($F:$F, ROW()-1), $F732)) : INDEX(AD:AD, ROW()-1),
   INDEX(AB:AB, ROW()-COUNTIF($F$6:INDEX($F:$F, ROW()-1), $F732)) : INDEX(AB:AB, ROW()-1)
   )
   /SUM(INDEX(AB:AB, ROW()-COUNTIF($F$6:INDEX($F:$F, ROW()-1), $F732)) : INDEX(AB:AB, ROW()-1)),
          _xlfn.MINIFS(unit_details[Asking Rent],
          unit_details[Active Listing?],TRUE,
          unit_details[Property Name], $F733,
          unit_details[Beds], $L733,
          unit_details[Baths], $M733,
          unit_details[Partial Baths], IF(ISNUMBER($N733),$N733,""),
          unit_details[Sqft],$P733
))),"")</f>
        <v/>
      </c>
      <c r="AE733" s="5" t="str">
        <f>IFERROR(IF($F733="Total",
          SUMPRODUCT(
   INDEX(AE:AE, ROW()-COUNTIF($F$6:INDEX($F:$F, ROW()-1), $F732)) : INDEX(AE:AE, ROW()-1),
   INDEX(AB:AB, ROW()-COUNTIF($F$6:INDEX($F:$F, ROW()-1), $F732)) : INDEX(AB:AB, ROW()-1)
   )
   /SUM(INDEX(AB:AB, ROW()-COUNTIF($F$6:INDEX($F:$F, ROW()-1), $F732)) : INDEX(AB:AB, ROW()-1)),
          AVERAGEIFS(unit_details[Asking Rent],
          unit_details[Active Listing?],TRUE,
          unit_details[Property Name], $F733,
          unit_details[Beds], $L733,
          unit_details[Baths], $M733,
          unit_details[Partial Baths], IF(ISNUMBER($N733),$N733,""),
          unit_details[Sqft],$P733
)),"")</f>
        <v/>
      </c>
      <c r="AF733" s="5" t="str">
        <f>IFERROR(IF(AE733="","",IF($F733="Total",
SUMPRODUCT(
   INDEX(AF:AF, ROW()-COUNTIF($F$6:INDEX($F:$F, ROW()-1), $F732)) : INDEX(AF:AF, ROW()-1),
   INDEX(AB:AB, ROW()-COUNTIF($F$6:INDEX($F:$F, ROW()-1), $F732)) : INDEX(AB:AB, ROW()-1)
   )
   /SUM(INDEX(AB:AB, ROW()-COUNTIF($F$6:INDEX($F:$F, ROW()-1), $F732)) : INDEX(AB:AB, ROW()-1)),
           _xlfn.MAXIFS(unit_details[Asking Rent],
          unit_details[Active Listing?],TRUE,
          unit_details[Property Name], $F733,
          unit_details[Beds], $L733,
          unit_details[Baths], $M733,
          unit_details[Partial Baths], IF(ISNUMBER($N733),$N733,""),
          unit_details[Sqft],$P733
))),"")</f>
        <v/>
      </c>
      <c r="AG733" s="6" t="str">
        <f>IFERROR(IF($F733="Total",
         SUMPRODUCT(
         INDEX(AG:AG, ROW()-COUNTIF($F$6:INDEX($F:$F, ROW()-1), $F732)) : INDEX(AG:AG, ROW()-1),
         INDEX(AB:AB, ROW()-COUNTIF($F$6:INDEX($F:$F, ROW()-1), $F732)) : INDEX(AB:AB, ROW()-1)
         )
         /SUM(INDEX(AB:AB, ROW()-COUNTIF($F$6:INDEX($F:$F, ROW()-1), $F732)) : INDEX(AB:AB, ROW()-1)),
          AVERAGEIFS(unit_details[Asking PSF],
          unit_details[Active Listing?],TRUE,
          unit_details[Property Name], $F733,
          unit_details[Beds], $L733,
          unit_details[Baths], $M733,
          unit_details[Partial Baths], IF(ISNUMBER($N733),$N733,""),
          unit_details[Sqft],$P733
)),"")</f>
        <v/>
      </c>
      <c r="AH733" s="293" t="str">
        <f>IFERROR(IF($F733="Total",
         SUMPRODUCT(
         INDEX(AH:AH, ROW()-COUNTIF($F$6:INDEX($F:$F, ROW()-1), $F732)) : INDEX(AH:AH, ROW()-1),
         INDEX(AB:AB, ROW()-COUNTIF($F$6:INDEX($F:$F, ROW()-1), $F732)) : INDEX(AB:AB, ROW()-1)
         )
         /SUM(INDEX(AB:AB, ROW()-COUNTIF($F$6:INDEX($F:$F, ROW()-1), $F732)) : INDEX(AB:AB, ROW()-1)),
          AVERAGEIFS(unit_details[Effective Rent],
          unit_details[Active Listing?],TRUE,
          unit_details[Property Name], $F733,
          unit_details[Beds], $L733,
          unit_details[Baths], $M733,
          unit_details[Partial Baths], IF(ISNUMBER($N733),$N733,""),
          unit_details[Sqft],$P733
)),"")</f>
        <v/>
      </c>
      <c r="AI733" s="6" t="str">
        <f>IFERROR(IF($F733="Total",
         SUMPRODUCT(
         INDEX(AI:AI, ROW()-COUNTIF($F$6:INDEX($F:$F, ROW()-1), $F732)) : INDEX(AI:AI, ROW()-1),
         INDEX(AB:AB, ROW()-COUNTIF($F$6:INDEX($F:$F, ROW()-1), $F732)) : INDEX(AB:AB, ROW()-1)
         )
         /SUM(INDEX(AB:AB, ROW()-COUNTIF($F$6:INDEX($F:$F, ROW()-1), $F732)) : INDEX(AB:AB, ROW()-1)),
           AVERAGEIFS(unit_details[Effective PSF],
          unit_details[Active Listing?],TRUE,
          unit_details[Property Name], $F733,
          unit_details[Beds], $L733,
          unit_details[Baths], $M733,
          unit_details[Partial Baths], IF(ISNUMBER($N733),$N733,""),
          unit_details[Sqft],$P733
)),"")</f>
        <v/>
      </c>
      <c r="AJ733" s="824" t="str">
        <f t="shared" si="125"/>
        <v/>
      </c>
      <c r="AK733" s="531" t="str">
        <f t="shared" si="126"/>
        <v/>
      </c>
      <c r="AL733" s="714" t="str">
        <f t="shared" si="127"/>
        <v/>
      </c>
      <c r="AM733" s="531" t="str">
        <f t="shared" si="128"/>
        <v/>
      </c>
      <c r="AN733" s="716" t="str">
        <f t="shared" si="129"/>
        <v/>
      </c>
    </row>
    <row r="734" spans="6:40" x14ac:dyDescent="0.2">
      <c r="F734" s="1" t="str">
        <f t="shared" si="122"/>
        <v/>
      </c>
      <c r="G734" s="713" t="str">
        <f t="shared" si="130"/>
        <v/>
      </c>
      <c r="H734" s="17" t="str">
        <f>IFERROR(VLOOKUP($G734,Table1[[Property]:[Exposure %]],4,0),"")</f>
        <v/>
      </c>
      <c r="I734" s="3" t="str">
        <f>IFERROR(VLOOKUP($G734,Table1[[Property]:[Exposure %]],6,0),"")</f>
        <v/>
      </c>
      <c r="J734" s="3" t="str">
        <f>IFERROR(VLOOKUP($G734,Table1[[Property]:[Exposure %]],7,0),"")</f>
        <v/>
      </c>
      <c r="R734" s="4" t="str">
        <f>IFERROR(VLOOKUP(IF(F734="Total",F733,F734),Table1[[Property]:['# Units]],7,0)*S734,"")</f>
        <v/>
      </c>
      <c r="S734" s="27" t="str">
        <f t="shared" si="123"/>
        <v/>
      </c>
      <c r="T734" s="531" t="str">
        <f>IFERROR(
 IF($F734="Total",
   SUMPRODUCT(
   INDEX(T:T, ROW()-COUNTIF($F$6:INDEX($F:$F, ROW()-1), $F733)) : INDEX(T:T, ROW()-1),
   INDEX(W:W, ROW()-COUNTIF($F$6:INDEX($F:$F, ROW()-1), $F733)) : INDEX(W:W, ROW()-1)
   )
   /SUM(INDEX(W:W, ROW()-COUNTIF($F$6:INDEX($F:$F, ROW()-1), $F733)) : INDEX(W:W, ROW()-1)),
   AVERAGEIFS(
     INDEX((unit_details[Asking Rent],unit_details[Asking PSF]),0,1,IF($U$3="Chunk Rent",1,2)),
     unit_details[Leased Date],"&gt;="&amp;($AM$2-T$5),
     unit_details[Leased Date],"&lt;"&amp;$AM$2,
     unit_details[Beds],$L734,
     unit_details[Baths],$M734,
     unit_details[Partial Baths],IF(ISNUMBER($N734),$N734,""),
     unit_details[Sqft],$P734,
     unit_details[Property Name],$F734)
 ),"")</f>
        <v/>
      </c>
      <c r="U734" s="552" t="str">
        <f>IFERROR(
 IF($F734="Total",
   SUMPRODUCT(
   INDEX(U:U, ROW()-COUNTIF($F$6:INDEX($F:$F, ROW()-1), $F733)) : INDEX(U:U, ROW()-1),
   INDEX(W:W, ROW()-COUNTIF($F$6:INDEX($F:$F, ROW()-1), $F733)) : INDEX(W:W, ROW()-1)
   )
   /SUM(INDEX(W:W, ROW()-COUNTIF($F$6:INDEX($F:$F, ROW()-1), $F733)) : INDEX(W:W, ROW()-1)),
   AVERAGEIFS(
     INDEX((unit_details[Effective Rent],unit_details[Effective PSF]),0,1,IF($U$3="Chunk Rent",1,2)),
     unit_details[Leased Date],"&gt;="&amp;($AM$2-T$5),
     unit_details[Leased Date],"&lt;"&amp;$AM$2,
     unit_details[Beds],$L734,
     unit_details[Baths],$M734,
     unit_details[Partial Baths],IF(ISNUMBER($N734),$N734,""),
     unit_details[Sqft],$P734,
     unit_details[Property Name],$F734)
 ),"")</f>
        <v/>
      </c>
      <c r="V734" s="27" t="str">
        <f t="shared" si="131"/>
        <v/>
      </c>
      <c r="W734" s="526">
        <f>IFERROR(
  IF($F734="Total",
    SUM(INDEX(W:W, ROW()-COUNTIF($F$6:INDEX($F:$F, ROW()-1), $F733)) : INDEX(W:W, ROW()-1)),
    COUNTIFS(
      unit_details[Leased Date], "&gt;="&amp;($AM$2-T$5),
      unit_details[Leased Date], "&lt;"&amp;$AM$2,
      unit_details[Beds], $L734,
      unit_details[Baths], $M734,
      unit_details[Partial Baths], IF(ISNUMBER($N734), $N734, ""),
      unit_details[Sqft],$P734,
      unit_details[Property Name], $F734
    )
  ),
"")</f>
        <v>0</v>
      </c>
      <c r="X734" s="531" t="str">
        <f>IFERROR(
 IF($F734="Total",
   SUMPRODUCT(
   INDEX(X:X, ROW()-COUNTIF($F$6:INDEX($F:$F, ROW()-1), $F733)) : INDEX(X:X, ROW()-1),
   INDEX(AA:AA, ROW()-COUNTIF($F$6:INDEX($F:$F, ROW()-1), $F733)) : INDEX(AA:AA, ROW()-1)
   )
   /SUM(INDEX(AA:AA, ROW()-COUNTIF($F$6:INDEX($F:$F, ROW()-1), $F733)) : INDEX(AA:AA, ROW()-1)),
   AVERAGEIFS(
     INDEX((unit_details[Asking Rent],unit_details[Asking PSF]),0,1,IF($U$3="Chunk Rent",1,2)),
     unit_details[Leased Date],"&gt;="&amp;($AM$2-X$5),
     unit_details[Leased Date],"&lt;"&amp;$AM$2,
     unit_details[Beds],$L734,
     unit_details[Baths],$M734,
     unit_details[Partial Baths],IF(ISNUMBER($N734),$N734,""),
     unit_details[Sqft],$P734,
     unit_details[Property Name],$F734)
 ),"")</f>
        <v/>
      </c>
      <c r="Y734" s="552" t="str">
        <f>IFERROR(
 IF($F734="Total",
   SUMPRODUCT(
   INDEX(Y:Y, ROW()-COUNTIF($F$6:INDEX($F:$F, ROW()-1), $F733)) : INDEX(Y:Y, ROW()-1),
   INDEX(AA:AA, ROW()-COUNTIF($F$6:INDEX($F:$F, ROW()-1), $F733)) : INDEX(AA:AA, ROW()-1)
   )
   /SUM(INDEX(AA:AA, ROW()-COUNTIF($F$6:INDEX($F:$F, ROW()-1), $F733)) : INDEX(AA:AA, ROW()-1)),
   AVERAGEIFS(
     INDEX((unit_details[Effective Rent],unit_details[Effective PSF]),0,1,IF($U$3="Chunk Rent",1,2)),
     unit_details[Leased Date],"&gt;="&amp;($AM$2-X$5),
     unit_details[Leased Date],"&lt;"&amp;$AM$2,
     unit_details[Beds],$L734,
     unit_details[Baths],$M734,
     unit_details[Partial Baths],IF(ISNUMBER($N734),$N734,""),
     unit_details[Sqft],$P734,
     unit_details[Property Name],$F734)
 ),"")</f>
        <v/>
      </c>
      <c r="Z734" s="27" t="str">
        <f t="shared" si="132"/>
        <v/>
      </c>
      <c r="AA734" s="526">
        <f>IFERROR(
  IF($F734="Total",
    SUM(INDEX(AA:AA, ROW()-COUNTIF($F$6:INDEX($F:$F, ROW()-1), $F733)) : INDEX(AA:AA, ROW()-1)),
    COUNTIFS(
      unit_details[Leased Date], "&gt;="&amp;($AM$2-X$5),
      unit_details[Leased Date], "&lt;"&amp;$AM$2,
      unit_details[Beds], $L734,
      unit_details[Baths], $M734,
      unit_details[Partial Baths], IF(ISNUMBER($N734), $N734, ""),
      unit_details[Sqft],$P734,
      unit_details[Property Name], $F734
    )
  ),
"")</f>
        <v>0</v>
      </c>
      <c r="AB734" s="290">
        <f>IF($F734="Total",
SUM(INDEX(AB:AB, ROW()-COUNTIF($F$6:INDEX($F:$F, ROW()-1), $F733)) : INDEX(AB:AB, ROW()-1)),
COUNTIFS(unit_details[Active Listing?],TRUE,
          unit_details[Property Name], $F734,
          unit_details[Beds], $L734,
          unit_details[Baths], $M734,
          unit_details[Partial Baths],IF(ISNUMBER($N734),$N734,""),
          unit_details[Sqft],$P734))</f>
        <v>0</v>
      </c>
      <c r="AC734" s="27" t="str">
        <f t="shared" si="124"/>
        <v/>
      </c>
      <c r="AD734" s="293" t="str">
        <f>IFERROR(IF(AE734="","",IF($F734="Total",
SUMPRODUCT(
   INDEX(AD:AD, ROW()-COUNTIF($F$6:INDEX($F:$F, ROW()-1), $F733)) : INDEX(AD:AD, ROW()-1),
   INDEX(AB:AB, ROW()-COUNTIF($F$6:INDEX($F:$F, ROW()-1), $F733)) : INDEX(AB:AB, ROW()-1)
   )
   /SUM(INDEX(AB:AB, ROW()-COUNTIF($F$6:INDEX($F:$F, ROW()-1), $F733)) : INDEX(AB:AB, ROW()-1)),
          _xlfn.MINIFS(unit_details[Asking Rent],
          unit_details[Active Listing?],TRUE,
          unit_details[Property Name], $F734,
          unit_details[Beds], $L734,
          unit_details[Baths], $M734,
          unit_details[Partial Baths], IF(ISNUMBER($N734),$N734,""),
          unit_details[Sqft],$P734
))),"")</f>
        <v/>
      </c>
      <c r="AE734" s="5" t="str">
        <f>IFERROR(IF($F734="Total",
          SUMPRODUCT(
   INDEX(AE:AE, ROW()-COUNTIF($F$6:INDEX($F:$F, ROW()-1), $F733)) : INDEX(AE:AE, ROW()-1),
   INDEX(AB:AB, ROW()-COUNTIF($F$6:INDEX($F:$F, ROW()-1), $F733)) : INDEX(AB:AB, ROW()-1)
   )
   /SUM(INDEX(AB:AB, ROW()-COUNTIF($F$6:INDEX($F:$F, ROW()-1), $F733)) : INDEX(AB:AB, ROW()-1)),
          AVERAGEIFS(unit_details[Asking Rent],
          unit_details[Active Listing?],TRUE,
          unit_details[Property Name], $F734,
          unit_details[Beds], $L734,
          unit_details[Baths], $M734,
          unit_details[Partial Baths], IF(ISNUMBER($N734),$N734,""),
          unit_details[Sqft],$P734
)),"")</f>
        <v/>
      </c>
      <c r="AF734" s="5" t="str">
        <f>IFERROR(IF(AE734="","",IF($F734="Total",
SUMPRODUCT(
   INDEX(AF:AF, ROW()-COUNTIF($F$6:INDEX($F:$F, ROW()-1), $F733)) : INDEX(AF:AF, ROW()-1),
   INDEX(AB:AB, ROW()-COUNTIF($F$6:INDEX($F:$F, ROW()-1), $F733)) : INDEX(AB:AB, ROW()-1)
   )
   /SUM(INDEX(AB:AB, ROW()-COUNTIF($F$6:INDEX($F:$F, ROW()-1), $F733)) : INDEX(AB:AB, ROW()-1)),
           _xlfn.MAXIFS(unit_details[Asking Rent],
          unit_details[Active Listing?],TRUE,
          unit_details[Property Name], $F734,
          unit_details[Beds], $L734,
          unit_details[Baths], $M734,
          unit_details[Partial Baths], IF(ISNUMBER($N734),$N734,""),
          unit_details[Sqft],$P734
))),"")</f>
        <v/>
      </c>
      <c r="AG734" s="6" t="str">
        <f>IFERROR(IF($F734="Total",
         SUMPRODUCT(
         INDEX(AG:AG, ROW()-COUNTIF($F$6:INDEX($F:$F, ROW()-1), $F733)) : INDEX(AG:AG, ROW()-1),
         INDEX(AB:AB, ROW()-COUNTIF($F$6:INDEX($F:$F, ROW()-1), $F733)) : INDEX(AB:AB, ROW()-1)
         )
         /SUM(INDEX(AB:AB, ROW()-COUNTIF($F$6:INDEX($F:$F, ROW()-1), $F733)) : INDEX(AB:AB, ROW()-1)),
          AVERAGEIFS(unit_details[Asking PSF],
          unit_details[Active Listing?],TRUE,
          unit_details[Property Name], $F734,
          unit_details[Beds], $L734,
          unit_details[Baths], $M734,
          unit_details[Partial Baths], IF(ISNUMBER($N734),$N734,""),
          unit_details[Sqft],$P734
)),"")</f>
        <v/>
      </c>
      <c r="AH734" s="293" t="str">
        <f>IFERROR(IF($F734="Total",
         SUMPRODUCT(
         INDEX(AH:AH, ROW()-COUNTIF($F$6:INDEX($F:$F, ROW()-1), $F733)) : INDEX(AH:AH, ROW()-1),
         INDEX(AB:AB, ROW()-COUNTIF($F$6:INDEX($F:$F, ROW()-1), $F733)) : INDEX(AB:AB, ROW()-1)
         )
         /SUM(INDEX(AB:AB, ROW()-COUNTIF($F$6:INDEX($F:$F, ROW()-1), $F733)) : INDEX(AB:AB, ROW()-1)),
          AVERAGEIFS(unit_details[Effective Rent],
          unit_details[Active Listing?],TRUE,
          unit_details[Property Name], $F734,
          unit_details[Beds], $L734,
          unit_details[Baths], $M734,
          unit_details[Partial Baths], IF(ISNUMBER($N734),$N734,""),
          unit_details[Sqft],$P734
)),"")</f>
        <v/>
      </c>
      <c r="AI734" s="6" t="str">
        <f>IFERROR(IF($F734="Total",
         SUMPRODUCT(
         INDEX(AI:AI, ROW()-COUNTIF($F$6:INDEX($F:$F, ROW()-1), $F733)) : INDEX(AI:AI, ROW()-1),
         INDEX(AB:AB, ROW()-COUNTIF($F$6:INDEX($F:$F, ROW()-1), $F733)) : INDEX(AB:AB, ROW()-1)
         )
         /SUM(INDEX(AB:AB, ROW()-COUNTIF($F$6:INDEX($F:$F, ROW()-1), $F733)) : INDEX(AB:AB, ROW()-1)),
           AVERAGEIFS(unit_details[Effective PSF],
          unit_details[Active Listing?],TRUE,
          unit_details[Property Name], $F734,
          unit_details[Beds], $L734,
          unit_details[Baths], $M734,
          unit_details[Partial Baths], IF(ISNUMBER($N734),$N734,""),
          unit_details[Sqft],$P734
)),"")</f>
        <v/>
      </c>
      <c r="AJ734" s="824" t="str">
        <f t="shared" si="125"/>
        <v/>
      </c>
      <c r="AK734" s="531" t="str">
        <f t="shared" si="126"/>
        <v/>
      </c>
      <c r="AL734" s="714" t="str">
        <f t="shared" si="127"/>
        <v/>
      </c>
      <c r="AM734" s="531" t="str">
        <f t="shared" si="128"/>
        <v/>
      </c>
      <c r="AN734" s="716" t="str">
        <f t="shared" si="129"/>
        <v/>
      </c>
    </row>
    <row r="735" spans="6:40" x14ac:dyDescent="0.2">
      <c r="F735" s="1" t="str">
        <f t="shared" si="122"/>
        <v/>
      </c>
      <c r="G735" s="713" t="str">
        <f t="shared" si="130"/>
        <v/>
      </c>
      <c r="H735" s="17" t="str">
        <f>IFERROR(VLOOKUP($G735,Table1[[Property]:[Exposure %]],4,0),"")</f>
        <v/>
      </c>
      <c r="I735" s="3" t="str">
        <f>IFERROR(VLOOKUP($G735,Table1[[Property]:[Exposure %]],6,0),"")</f>
        <v/>
      </c>
      <c r="J735" s="3" t="str">
        <f>IFERROR(VLOOKUP($G735,Table1[[Property]:[Exposure %]],7,0),"")</f>
        <v/>
      </c>
      <c r="R735" s="4" t="str">
        <f>IFERROR(VLOOKUP(IF(F735="Total",F734,F735),Table1[[Property]:['# Units]],7,0)*S735,"")</f>
        <v/>
      </c>
      <c r="S735" s="27" t="str">
        <f t="shared" si="123"/>
        <v/>
      </c>
      <c r="T735" s="531" t="str">
        <f>IFERROR(
 IF($F735="Total",
   SUMPRODUCT(
   INDEX(T:T, ROW()-COUNTIF($F$6:INDEX($F:$F, ROW()-1), $F734)) : INDEX(T:T, ROW()-1),
   INDEX(W:W, ROW()-COUNTIF($F$6:INDEX($F:$F, ROW()-1), $F734)) : INDEX(W:W, ROW()-1)
   )
   /SUM(INDEX(W:W, ROW()-COUNTIF($F$6:INDEX($F:$F, ROW()-1), $F734)) : INDEX(W:W, ROW()-1)),
   AVERAGEIFS(
     INDEX((unit_details[Asking Rent],unit_details[Asking PSF]),0,1,IF($U$3="Chunk Rent",1,2)),
     unit_details[Leased Date],"&gt;="&amp;($AM$2-T$5),
     unit_details[Leased Date],"&lt;"&amp;$AM$2,
     unit_details[Beds],$L735,
     unit_details[Baths],$M735,
     unit_details[Partial Baths],IF(ISNUMBER($N735),$N735,""),
     unit_details[Sqft],$P735,
     unit_details[Property Name],$F735)
 ),"")</f>
        <v/>
      </c>
      <c r="U735" s="552" t="str">
        <f>IFERROR(
 IF($F735="Total",
   SUMPRODUCT(
   INDEX(U:U, ROW()-COUNTIF($F$6:INDEX($F:$F, ROW()-1), $F734)) : INDEX(U:U, ROW()-1),
   INDEX(W:W, ROW()-COUNTIF($F$6:INDEX($F:$F, ROW()-1), $F734)) : INDEX(W:W, ROW()-1)
   )
   /SUM(INDEX(W:W, ROW()-COUNTIF($F$6:INDEX($F:$F, ROW()-1), $F734)) : INDEX(W:W, ROW()-1)),
   AVERAGEIFS(
     INDEX((unit_details[Effective Rent],unit_details[Effective PSF]),0,1,IF($U$3="Chunk Rent",1,2)),
     unit_details[Leased Date],"&gt;="&amp;($AM$2-T$5),
     unit_details[Leased Date],"&lt;"&amp;$AM$2,
     unit_details[Beds],$L735,
     unit_details[Baths],$M735,
     unit_details[Partial Baths],IF(ISNUMBER($N735),$N735,""),
     unit_details[Sqft],$P735,
     unit_details[Property Name],$F735)
 ),"")</f>
        <v/>
      </c>
      <c r="V735" s="27" t="str">
        <f t="shared" si="131"/>
        <v/>
      </c>
      <c r="W735" s="526">
        <f>IFERROR(
  IF($F735="Total",
    SUM(INDEX(W:W, ROW()-COUNTIF($F$6:INDEX($F:$F, ROW()-1), $F734)) : INDEX(W:W, ROW()-1)),
    COUNTIFS(
      unit_details[Leased Date], "&gt;="&amp;($AM$2-T$5),
      unit_details[Leased Date], "&lt;"&amp;$AM$2,
      unit_details[Beds], $L735,
      unit_details[Baths], $M735,
      unit_details[Partial Baths], IF(ISNUMBER($N735), $N735, ""),
      unit_details[Sqft],$P735,
      unit_details[Property Name], $F735
    )
  ),
"")</f>
        <v>0</v>
      </c>
      <c r="X735" s="531" t="str">
        <f>IFERROR(
 IF($F735="Total",
   SUMPRODUCT(
   INDEX(X:X, ROW()-COUNTIF($F$6:INDEX($F:$F, ROW()-1), $F734)) : INDEX(X:X, ROW()-1),
   INDEX(AA:AA, ROW()-COUNTIF($F$6:INDEX($F:$F, ROW()-1), $F734)) : INDEX(AA:AA, ROW()-1)
   )
   /SUM(INDEX(AA:AA, ROW()-COUNTIF($F$6:INDEX($F:$F, ROW()-1), $F734)) : INDEX(AA:AA, ROW()-1)),
   AVERAGEIFS(
     INDEX((unit_details[Asking Rent],unit_details[Asking PSF]),0,1,IF($U$3="Chunk Rent",1,2)),
     unit_details[Leased Date],"&gt;="&amp;($AM$2-X$5),
     unit_details[Leased Date],"&lt;"&amp;$AM$2,
     unit_details[Beds],$L735,
     unit_details[Baths],$M735,
     unit_details[Partial Baths],IF(ISNUMBER($N735),$N735,""),
     unit_details[Sqft],$P735,
     unit_details[Property Name],$F735)
 ),"")</f>
        <v/>
      </c>
      <c r="Y735" s="552" t="str">
        <f>IFERROR(
 IF($F735="Total",
   SUMPRODUCT(
   INDEX(Y:Y, ROW()-COUNTIF($F$6:INDEX($F:$F, ROW()-1), $F734)) : INDEX(Y:Y, ROW()-1),
   INDEX(AA:AA, ROW()-COUNTIF($F$6:INDEX($F:$F, ROW()-1), $F734)) : INDEX(AA:AA, ROW()-1)
   )
   /SUM(INDEX(AA:AA, ROW()-COUNTIF($F$6:INDEX($F:$F, ROW()-1), $F734)) : INDEX(AA:AA, ROW()-1)),
   AVERAGEIFS(
     INDEX((unit_details[Effective Rent],unit_details[Effective PSF]),0,1,IF($U$3="Chunk Rent",1,2)),
     unit_details[Leased Date],"&gt;="&amp;($AM$2-X$5),
     unit_details[Leased Date],"&lt;"&amp;$AM$2,
     unit_details[Beds],$L735,
     unit_details[Baths],$M735,
     unit_details[Partial Baths],IF(ISNUMBER($N735),$N735,""),
     unit_details[Sqft],$P735,
     unit_details[Property Name],$F735)
 ),"")</f>
        <v/>
      </c>
      <c r="Z735" s="27" t="str">
        <f t="shared" si="132"/>
        <v/>
      </c>
      <c r="AA735" s="526">
        <f>IFERROR(
  IF($F735="Total",
    SUM(INDEX(AA:AA, ROW()-COUNTIF($F$6:INDEX($F:$F, ROW()-1), $F734)) : INDEX(AA:AA, ROW()-1)),
    COUNTIFS(
      unit_details[Leased Date], "&gt;="&amp;($AM$2-X$5),
      unit_details[Leased Date], "&lt;"&amp;$AM$2,
      unit_details[Beds], $L735,
      unit_details[Baths], $M735,
      unit_details[Partial Baths], IF(ISNUMBER($N735), $N735, ""),
      unit_details[Sqft],$P735,
      unit_details[Property Name], $F735
    )
  ),
"")</f>
        <v>0</v>
      </c>
      <c r="AB735" s="290">
        <f>IF($F735="Total",
SUM(INDEX(AB:AB, ROW()-COUNTIF($F$6:INDEX($F:$F, ROW()-1), $F734)) : INDEX(AB:AB, ROW()-1)),
COUNTIFS(unit_details[Active Listing?],TRUE,
          unit_details[Property Name], $F735,
          unit_details[Beds], $L735,
          unit_details[Baths], $M735,
          unit_details[Partial Baths],IF(ISNUMBER($N735),$N735,""),
          unit_details[Sqft],$P735))</f>
        <v>0</v>
      </c>
      <c r="AC735" s="27" t="str">
        <f t="shared" si="124"/>
        <v/>
      </c>
      <c r="AD735" s="293" t="str">
        <f>IFERROR(IF(AE735="","",IF($F735="Total",
SUMPRODUCT(
   INDEX(AD:AD, ROW()-COUNTIF($F$6:INDEX($F:$F, ROW()-1), $F734)) : INDEX(AD:AD, ROW()-1),
   INDEX(AB:AB, ROW()-COUNTIF($F$6:INDEX($F:$F, ROW()-1), $F734)) : INDEX(AB:AB, ROW()-1)
   )
   /SUM(INDEX(AB:AB, ROW()-COUNTIF($F$6:INDEX($F:$F, ROW()-1), $F734)) : INDEX(AB:AB, ROW()-1)),
          _xlfn.MINIFS(unit_details[Asking Rent],
          unit_details[Active Listing?],TRUE,
          unit_details[Property Name], $F735,
          unit_details[Beds], $L735,
          unit_details[Baths], $M735,
          unit_details[Partial Baths], IF(ISNUMBER($N735),$N735,""),
          unit_details[Sqft],$P735
))),"")</f>
        <v/>
      </c>
      <c r="AE735" s="5" t="str">
        <f>IFERROR(IF($F735="Total",
          SUMPRODUCT(
   INDEX(AE:AE, ROW()-COUNTIF($F$6:INDEX($F:$F, ROW()-1), $F734)) : INDEX(AE:AE, ROW()-1),
   INDEX(AB:AB, ROW()-COUNTIF($F$6:INDEX($F:$F, ROW()-1), $F734)) : INDEX(AB:AB, ROW()-1)
   )
   /SUM(INDEX(AB:AB, ROW()-COUNTIF($F$6:INDEX($F:$F, ROW()-1), $F734)) : INDEX(AB:AB, ROW()-1)),
          AVERAGEIFS(unit_details[Asking Rent],
          unit_details[Active Listing?],TRUE,
          unit_details[Property Name], $F735,
          unit_details[Beds], $L735,
          unit_details[Baths], $M735,
          unit_details[Partial Baths], IF(ISNUMBER($N735),$N735,""),
          unit_details[Sqft],$P735
)),"")</f>
        <v/>
      </c>
      <c r="AF735" s="5" t="str">
        <f>IFERROR(IF(AE735="","",IF($F735="Total",
SUMPRODUCT(
   INDEX(AF:AF, ROW()-COUNTIF($F$6:INDEX($F:$F, ROW()-1), $F734)) : INDEX(AF:AF, ROW()-1),
   INDEX(AB:AB, ROW()-COUNTIF($F$6:INDEX($F:$F, ROW()-1), $F734)) : INDEX(AB:AB, ROW()-1)
   )
   /SUM(INDEX(AB:AB, ROW()-COUNTIF($F$6:INDEX($F:$F, ROW()-1), $F734)) : INDEX(AB:AB, ROW()-1)),
           _xlfn.MAXIFS(unit_details[Asking Rent],
          unit_details[Active Listing?],TRUE,
          unit_details[Property Name], $F735,
          unit_details[Beds], $L735,
          unit_details[Baths], $M735,
          unit_details[Partial Baths], IF(ISNUMBER($N735),$N735,""),
          unit_details[Sqft],$P735
))),"")</f>
        <v/>
      </c>
      <c r="AG735" s="6" t="str">
        <f>IFERROR(IF($F735="Total",
         SUMPRODUCT(
         INDEX(AG:AG, ROW()-COUNTIF($F$6:INDEX($F:$F, ROW()-1), $F734)) : INDEX(AG:AG, ROW()-1),
         INDEX(AB:AB, ROW()-COUNTIF($F$6:INDEX($F:$F, ROW()-1), $F734)) : INDEX(AB:AB, ROW()-1)
         )
         /SUM(INDEX(AB:AB, ROW()-COUNTIF($F$6:INDEX($F:$F, ROW()-1), $F734)) : INDEX(AB:AB, ROW()-1)),
          AVERAGEIFS(unit_details[Asking PSF],
          unit_details[Active Listing?],TRUE,
          unit_details[Property Name], $F735,
          unit_details[Beds], $L735,
          unit_details[Baths], $M735,
          unit_details[Partial Baths], IF(ISNUMBER($N735),$N735,""),
          unit_details[Sqft],$P735
)),"")</f>
        <v/>
      </c>
      <c r="AH735" s="293" t="str">
        <f>IFERROR(IF($F735="Total",
         SUMPRODUCT(
         INDEX(AH:AH, ROW()-COUNTIF($F$6:INDEX($F:$F, ROW()-1), $F734)) : INDEX(AH:AH, ROW()-1),
         INDEX(AB:AB, ROW()-COUNTIF($F$6:INDEX($F:$F, ROW()-1), $F734)) : INDEX(AB:AB, ROW()-1)
         )
         /SUM(INDEX(AB:AB, ROW()-COUNTIF($F$6:INDEX($F:$F, ROW()-1), $F734)) : INDEX(AB:AB, ROW()-1)),
          AVERAGEIFS(unit_details[Effective Rent],
          unit_details[Active Listing?],TRUE,
          unit_details[Property Name], $F735,
          unit_details[Beds], $L735,
          unit_details[Baths], $M735,
          unit_details[Partial Baths], IF(ISNUMBER($N735),$N735,""),
          unit_details[Sqft],$P735
)),"")</f>
        <v/>
      </c>
      <c r="AI735" s="6" t="str">
        <f>IFERROR(IF($F735="Total",
         SUMPRODUCT(
         INDEX(AI:AI, ROW()-COUNTIF($F$6:INDEX($F:$F, ROW()-1), $F734)) : INDEX(AI:AI, ROW()-1),
         INDEX(AB:AB, ROW()-COUNTIF($F$6:INDEX($F:$F, ROW()-1), $F734)) : INDEX(AB:AB, ROW()-1)
         )
         /SUM(INDEX(AB:AB, ROW()-COUNTIF($F$6:INDEX($F:$F, ROW()-1), $F734)) : INDEX(AB:AB, ROW()-1)),
           AVERAGEIFS(unit_details[Effective PSF],
          unit_details[Active Listing?],TRUE,
          unit_details[Property Name], $F735,
          unit_details[Beds], $L735,
          unit_details[Baths], $M735,
          unit_details[Partial Baths], IF(ISNUMBER($N735),$N735,""),
          unit_details[Sqft],$P735
)),"")</f>
        <v/>
      </c>
      <c r="AJ735" s="824" t="str">
        <f t="shared" si="125"/>
        <v/>
      </c>
      <c r="AK735" s="531" t="str">
        <f t="shared" si="126"/>
        <v/>
      </c>
      <c r="AL735" s="714" t="str">
        <f t="shared" si="127"/>
        <v/>
      </c>
      <c r="AM735" s="531" t="str">
        <f t="shared" si="128"/>
        <v/>
      </c>
      <c r="AN735" s="716" t="str">
        <f t="shared" si="129"/>
        <v/>
      </c>
    </row>
    <row r="736" spans="6:40" x14ac:dyDescent="0.2">
      <c r="F736" s="1" t="str">
        <f t="shared" si="122"/>
        <v/>
      </c>
      <c r="G736" s="713" t="str">
        <f t="shared" si="130"/>
        <v/>
      </c>
      <c r="H736" s="17" t="str">
        <f>IFERROR(VLOOKUP($G736,Table1[[Property]:[Exposure %]],4,0),"")</f>
        <v/>
      </c>
      <c r="I736" s="3" t="str">
        <f>IFERROR(VLOOKUP($G736,Table1[[Property]:[Exposure %]],6,0),"")</f>
        <v/>
      </c>
      <c r="J736" s="3" t="str">
        <f>IFERROR(VLOOKUP($G736,Table1[[Property]:[Exposure %]],7,0),"")</f>
        <v/>
      </c>
      <c r="R736" s="4" t="str">
        <f>IFERROR(VLOOKUP(IF(F736="Total",F735,F736),Table1[[Property]:['# Units]],7,0)*S736,"")</f>
        <v/>
      </c>
      <c r="S736" s="27" t="str">
        <f t="shared" si="123"/>
        <v/>
      </c>
      <c r="T736" s="531" t="str">
        <f>IFERROR(
 IF($F736="Total",
   SUMPRODUCT(
   INDEX(T:T, ROW()-COUNTIF($F$6:INDEX($F:$F, ROW()-1), $F735)) : INDEX(T:T, ROW()-1),
   INDEX(W:W, ROW()-COUNTIF($F$6:INDEX($F:$F, ROW()-1), $F735)) : INDEX(W:W, ROW()-1)
   )
   /SUM(INDEX(W:W, ROW()-COUNTIF($F$6:INDEX($F:$F, ROW()-1), $F735)) : INDEX(W:W, ROW()-1)),
   AVERAGEIFS(
     INDEX((unit_details[Asking Rent],unit_details[Asking PSF]),0,1,IF($U$3="Chunk Rent",1,2)),
     unit_details[Leased Date],"&gt;="&amp;($AM$2-T$5),
     unit_details[Leased Date],"&lt;"&amp;$AM$2,
     unit_details[Beds],$L736,
     unit_details[Baths],$M736,
     unit_details[Partial Baths],IF(ISNUMBER($N736),$N736,""),
     unit_details[Sqft],$P736,
     unit_details[Property Name],$F736)
 ),"")</f>
        <v/>
      </c>
      <c r="U736" s="552" t="str">
        <f>IFERROR(
 IF($F736="Total",
   SUMPRODUCT(
   INDEX(U:U, ROW()-COUNTIF($F$6:INDEX($F:$F, ROW()-1), $F735)) : INDEX(U:U, ROW()-1),
   INDEX(W:W, ROW()-COUNTIF($F$6:INDEX($F:$F, ROW()-1), $F735)) : INDEX(W:W, ROW()-1)
   )
   /SUM(INDEX(W:W, ROW()-COUNTIF($F$6:INDEX($F:$F, ROW()-1), $F735)) : INDEX(W:W, ROW()-1)),
   AVERAGEIFS(
     INDEX((unit_details[Effective Rent],unit_details[Effective PSF]),0,1,IF($U$3="Chunk Rent",1,2)),
     unit_details[Leased Date],"&gt;="&amp;($AM$2-T$5),
     unit_details[Leased Date],"&lt;"&amp;$AM$2,
     unit_details[Beds],$L736,
     unit_details[Baths],$M736,
     unit_details[Partial Baths],IF(ISNUMBER($N736),$N736,""),
     unit_details[Sqft],$P736,
     unit_details[Property Name],$F736)
 ),"")</f>
        <v/>
      </c>
      <c r="V736" s="27" t="str">
        <f t="shared" si="131"/>
        <v/>
      </c>
      <c r="W736" s="526">
        <f>IFERROR(
  IF($F736="Total",
    SUM(INDEX(W:W, ROW()-COUNTIF($F$6:INDEX($F:$F, ROW()-1), $F735)) : INDEX(W:W, ROW()-1)),
    COUNTIFS(
      unit_details[Leased Date], "&gt;="&amp;($AM$2-T$5),
      unit_details[Leased Date], "&lt;"&amp;$AM$2,
      unit_details[Beds], $L736,
      unit_details[Baths], $M736,
      unit_details[Partial Baths], IF(ISNUMBER($N736), $N736, ""),
      unit_details[Sqft],$P736,
      unit_details[Property Name], $F736
    )
  ),
"")</f>
        <v>0</v>
      </c>
      <c r="X736" s="531" t="str">
        <f>IFERROR(
 IF($F736="Total",
   SUMPRODUCT(
   INDEX(X:X, ROW()-COUNTIF($F$6:INDEX($F:$F, ROW()-1), $F735)) : INDEX(X:X, ROW()-1),
   INDEX(AA:AA, ROW()-COUNTIF($F$6:INDEX($F:$F, ROW()-1), $F735)) : INDEX(AA:AA, ROW()-1)
   )
   /SUM(INDEX(AA:AA, ROW()-COUNTIF($F$6:INDEX($F:$F, ROW()-1), $F735)) : INDEX(AA:AA, ROW()-1)),
   AVERAGEIFS(
     INDEX((unit_details[Asking Rent],unit_details[Asking PSF]),0,1,IF($U$3="Chunk Rent",1,2)),
     unit_details[Leased Date],"&gt;="&amp;($AM$2-X$5),
     unit_details[Leased Date],"&lt;"&amp;$AM$2,
     unit_details[Beds],$L736,
     unit_details[Baths],$M736,
     unit_details[Partial Baths],IF(ISNUMBER($N736),$N736,""),
     unit_details[Sqft],$P736,
     unit_details[Property Name],$F736)
 ),"")</f>
        <v/>
      </c>
      <c r="Y736" s="552" t="str">
        <f>IFERROR(
 IF($F736="Total",
   SUMPRODUCT(
   INDEX(Y:Y, ROW()-COUNTIF($F$6:INDEX($F:$F, ROW()-1), $F735)) : INDEX(Y:Y, ROW()-1),
   INDEX(AA:AA, ROW()-COUNTIF($F$6:INDEX($F:$F, ROW()-1), $F735)) : INDEX(AA:AA, ROW()-1)
   )
   /SUM(INDEX(AA:AA, ROW()-COUNTIF($F$6:INDEX($F:$F, ROW()-1), $F735)) : INDEX(AA:AA, ROW()-1)),
   AVERAGEIFS(
     INDEX((unit_details[Effective Rent],unit_details[Effective PSF]),0,1,IF($U$3="Chunk Rent",1,2)),
     unit_details[Leased Date],"&gt;="&amp;($AM$2-X$5),
     unit_details[Leased Date],"&lt;"&amp;$AM$2,
     unit_details[Beds],$L736,
     unit_details[Baths],$M736,
     unit_details[Partial Baths],IF(ISNUMBER($N736),$N736,""),
     unit_details[Sqft],$P736,
     unit_details[Property Name],$F736)
 ),"")</f>
        <v/>
      </c>
      <c r="Z736" s="27" t="str">
        <f t="shared" si="132"/>
        <v/>
      </c>
      <c r="AA736" s="526">
        <f>IFERROR(
  IF($F736="Total",
    SUM(INDEX(AA:AA, ROW()-COUNTIF($F$6:INDEX($F:$F, ROW()-1), $F735)) : INDEX(AA:AA, ROW()-1)),
    COUNTIFS(
      unit_details[Leased Date], "&gt;="&amp;($AM$2-X$5),
      unit_details[Leased Date], "&lt;"&amp;$AM$2,
      unit_details[Beds], $L736,
      unit_details[Baths], $M736,
      unit_details[Partial Baths], IF(ISNUMBER($N736), $N736, ""),
      unit_details[Sqft],$P736,
      unit_details[Property Name], $F736
    )
  ),
"")</f>
        <v>0</v>
      </c>
      <c r="AB736" s="290">
        <f>IF($F736="Total",
SUM(INDEX(AB:AB, ROW()-COUNTIF($F$6:INDEX($F:$F, ROW()-1), $F735)) : INDEX(AB:AB, ROW()-1)),
COUNTIFS(unit_details[Active Listing?],TRUE,
          unit_details[Property Name], $F736,
          unit_details[Beds], $L736,
          unit_details[Baths], $M736,
          unit_details[Partial Baths],IF(ISNUMBER($N736),$N736,""),
          unit_details[Sqft],$P736))</f>
        <v>0</v>
      </c>
      <c r="AC736" s="27" t="str">
        <f t="shared" si="124"/>
        <v/>
      </c>
      <c r="AD736" s="293" t="str">
        <f>IFERROR(IF(AE736="","",IF($F736="Total",
SUMPRODUCT(
   INDEX(AD:AD, ROW()-COUNTIF($F$6:INDEX($F:$F, ROW()-1), $F735)) : INDEX(AD:AD, ROW()-1),
   INDEX(AB:AB, ROW()-COUNTIF($F$6:INDEX($F:$F, ROW()-1), $F735)) : INDEX(AB:AB, ROW()-1)
   )
   /SUM(INDEX(AB:AB, ROW()-COUNTIF($F$6:INDEX($F:$F, ROW()-1), $F735)) : INDEX(AB:AB, ROW()-1)),
          _xlfn.MINIFS(unit_details[Asking Rent],
          unit_details[Active Listing?],TRUE,
          unit_details[Property Name], $F736,
          unit_details[Beds], $L736,
          unit_details[Baths], $M736,
          unit_details[Partial Baths], IF(ISNUMBER($N736),$N736,""),
          unit_details[Sqft],$P736
))),"")</f>
        <v/>
      </c>
      <c r="AE736" s="5" t="str">
        <f>IFERROR(IF($F736="Total",
          SUMPRODUCT(
   INDEX(AE:AE, ROW()-COUNTIF($F$6:INDEX($F:$F, ROW()-1), $F735)) : INDEX(AE:AE, ROW()-1),
   INDEX(AB:AB, ROW()-COUNTIF($F$6:INDEX($F:$F, ROW()-1), $F735)) : INDEX(AB:AB, ROW()-1)
   )
   /SUM(INDEX(AB:AB, ROW()-COUNTIF($F$6:INDEX($F:$F, ROW()-1), $F735)) : INDEX(AB:AB, ROW()-1)),
          AVERAGEIFS(unit_details[Asking Rent],
          unit_details[Active Listing?],TRUE,
          unit_details[Property Name], $F736,
          unit_details[Beds], $L736,
          unit_details[Baths], $M736,
          unit_details[Partial Baths], IF(ISNUMBER($N736),$N736,""),
          unit_details[Sqft],$P736
)),"")</f>
        <v/>
      </c>
      <c r="AF736" s="5" t="str">
        <f>IFERROR(IF(AE736="","",IF($F736="Total",
SUMPRODUCT(
   INDEX(AF:AF, ROW()-COUNTIF($F$6:INDEX($F:$F, ROW()-1), $F735)) : INDEX(AF:AF, ROW()-1),
   INDEX(AB:AB, ROW()-COUNTIF($F$6:INDEX($F:$F, ROW()-1), $F735)) : INDEX(AB:AB, ROW()-1)
   )
   /SUM(INDEX(AB:AB, ROW()-COUNTIF($F$6:INDEX($F:$F, ROW()-1), $F735)) : INDEX(AB:AB, ROW()-1)),
           _xlfn.MAXIFS(unit_details[Asking Rent],
          unit_details[Active Listing?],TRUE,
          unit_details[Property Name], $F736,
          unit_details[Beds], $L736,
          unit_details[Baths], $M736,
          unit_details[Partial Baths], IF(ISNUMBER($N736),$N736,""),
          unit_details[Sqft],$P736
))),"")</f>
        <v/>
      </c>
      <c r="AG736" s="6" t="str">
        <f>IFERROR(IF($F736="Total",
         SUMPRODUCT(
         INDEX(AG:AG, ROW()-COUNTIF($F$6:INDEX($F:$F, ROW()-1), $F735)) : INDEX(AG:AG, ROW()-1),
         INDEX(AB:AB, ROW()-COUNTIF($F$6:INDEX($F:$F, ROW()-1), $F735)) : INDEX(AB:AB, ROW()-1)
         )
         /SUM(INDEX(AB:AB, ROW()-COUNTIF($F$6:INDEX($F:$F, ROW()-1), $F735)) : INDEX(AB:AB, ROW()-1)),
          AVERAGEIFS(unit_details[Asking PSF],
          unit_details[Active Listing?],TRUE,
          unit_details[Property Name], $F736,
          unit_details[Beds], $L736,
          unit_details[Baths], $M736,
          unit_details[Partial Baths], IF(ISNUMBER($N736),$N736,""),
          unit_details[Sqft],$P736
)),"")</f>
        <v/>
      </c>
      <c r="AH736" s="293" t="str">
        <f>IFERROR(IF($F736="Total",
         SUMPRODUCT(
         INDEX(AH:AH, ROW()-COUNTIF($F$6:INDEX($F:$F, ROW()-1), $F735)) : INDEX(AH:AH, ROW()-1),
         INDEX(AB:AB, ROW()-COUNTIF($F$6:INDEX($F:$F, ROW()-1), $F735)) : INDEX(AB:AB, ROW()-1)
         )
         /SUM(INDEX(AB:AB, ROW()-COUNTIF($F$6:INDEX($F:$F, ROW()-1), $F735)) : INDEX(AB:AB, ROW()-1)),
          AVERAGEIFS(unit_details[Effective Rent],
          unit_details[Active Listing?],TRUE,
          unit_details[Property Name], $F736,
          unit_details[Beds], $L736,
          unit_details[Baths], $M736,
          unit_details[Partial Baths], IF(ISNUMBER($N736),$N736,""),
          unit_details[Sqft],$P736
)),"")</f>
        <v/>
      </c>
      <c r="AI736" s="6" t="str">
        <f>IFERROR(IF($F736="Total",
         SUMPRODUCT(
         INDEX(AI:AI, ROW()-COUNTIF($F$6:INDEX($F:$F, ROW()-1), $F735)) : INDEX(AI:AI, ROW()-1),
         INDEX(AB:AB, ROW()-COUNTIF($F$6:INDEX($F:$F, ROW()-1), $F735)) : INDEX(AB:AB, ROW()-1)
         )
         /SUM(INDEX(AB:AB, ROW()-COUNTIF($F$6:INDEX($F:$F, ROW()-1), $F735)) : INDEX(AB:AB, ROW()-1)),
           AVERAGEIFS(unit_details[Effective PSF],
          unit_details[Active Listing?],TRUE,
          unit_details[Property Name], $F736,
          unit_details[Beds], $L736,
          unit_details[Baths], $M736,
          unit_details[Partial Baths], IF(ISNUMBER($N736),$N736,""),
          unit_details[Sqft],$P736
)),"")</f>
        <v/>
      </c>
      <c r="AJ736" s="824" t="str">
        <f t="shared" si="125"/>
        <v/>
      </c>
      <c r="AK736" s="531" t="str">
        <f t="shared" si="126"/>
        <v/>
      </c>
      <c r="AL736" s="714" t="str">
        <f t="shared" si="127"/>
        <v/>
      </c>
      <c r="AM736" s="531" t="str">
        <f t="shared" si="128"/>
        <v/>
      </c>
      <c r="AN736" s="716" t="str">
        <f t="shared" si="129"/>
        <v/>
      </c>
    </row>
    <row r="737" spans="6:40" x14ac:dyDescent="0.2">
      <c r="F737" s="1" t="str">
        <f t="shared" si="122"/>
        <v/>
      </c>
      <c r="G737" s="713" t="str">
        <f t="shared" si="130"/>
        <v/>
      </c>
      <c r="H737" s="17" t="str">
        <f>IFERROR(VLOOKUP($G737,Table1[[Property]:[Exposure %]],4,0),"")</f>
        <v/>
      </c>
      <c r="I737" s="3" t="str">
        <f>IFERROR(VLOOKUP($G737,Table1[[Property]:[Exposure %]],6,0),"")</f>
        <v/>
      </c>
      <c r="J737" s="3" t="str">
        <f>IFERROR(VLOOKUP($G737,Table1[[Property]:[Exposure %]],7,0),"")</f>
        <v/>
      </c>
      <c r="R737" s="4" t="str">
        <f>IFERROR(VLOOKUP(IF(F737="Total",F736,F737),Table1[[Property]:['# Units]],7,0)*S737,"")</f>
        <v/>
      </c>
      <c r="S737" s="27" t="str">
        <f t="shared" si="123"/>
        <v/>
      </c>
      <c r="T737" s="531" t="str">
        <f>IFERROR(
 IF($F737="Total",
   SUMPRODUCT(
   INDEX(T:T, ROW()-COUNTIF($F$6:INDEX($F:$F, ROW()-1), $F736)) : INDEX(T:T, ROW()-1),
   INDEX(W:W, ROW()-COUNTIF($F$6:INDEX($F:$F, ROW()-1), $F736)) : INDEX(W:W, ROW()-1)
   )
   /SUM(INDEX(W:W, ROW()-COUNTIF($F$6:INDEX($F:$F, ROW()-1), $F736)) : INDEX(W:W, ROW()-1)),
   AVERAGEIFS(
     INDEX((unit_details[Asking Rent],unit_details[Asking PSF]),0,1,IF($U$3="Chunk Rent",1,2)),
     unit_details[Leased Date],"&gt;="&amp;($AM$2-T$5),
     unit_details[Leased Date],"&lt;"&amp;$AM$2,
     unit_details[Beds],$L737,
     unit_details[Baths],$M737,
     unit_details[Partial Baths],IF(ISNUMBER($N737),$N737,""),
     unit_details[Sqft],$P737,
     unit_details[Property Name],$F737)
 ),"")</f>
        <v/>
      </c>
      <c r="U737" s="552" t="str">
        <f>IFERROR(
 IF($F737="Total",
   SUMPRODUCT(
   INDEX(U:U, ROW()-COUNTIF($F$6:INDEX($F:$F, ROW()-1), $F736)) : INDEX(U:U, ROW()-1),
   INDEX(W:W, ROW()-COUNTIF($F$6:INDEX($F:$F, ROW()-1), $F736)) : INDEX(W:W, ROW()-1)
   )
   /SUM(INDEX(W:W, ROW()-COUNTIF($F$6:INDEX($F:$F, ROW()-1), $F736)) : INDEX(W:W, ROW()-1)),
   AVERAGEIFS(
     INDEX((unit_details[Effective Rent],unit_details[Effective PSF]),0,1,IF($U$3="Chunk Rent",1,2)),
     unit_details[Leased Date],"&gt;="&amp;($AM$2-T$5),
     unit_details[Leased Date],"&lt;"&amp;$AM$2,
     unit_details[Beds],$L737,
     unit_details[Baths],$M737,
     unit_details[Partial Baths],IF(ISNUMBER($N737),$N737,""),
     unit_details[Sqft],$P737,
     unit_details[Property Name],$F737)
 ),"")</f>
        <v/>
      </c>
      <c r="V737" s="27" t="str">
        <f t="shared" si="131"/>
        <v/>
      </c>
      <c r="W737" s="526">
        <f>IFERROR(
  IF($F737="Total",
    SUM(INDEX(W:W, ROW()-COUNTIF($F$6:INDEX($F:$F, ROW()-1), $F736)) : INDEX(W:W, ROW()-1)),
    COUNTIFS(
      unit_details[Leased Date], "&gt;="&amp;($AM$2-T$5),
      unit_details[Leased Date], "&lt;"&amp;$AM$2,
      unit_details[Beds], $L737,
      unit_details[Baths], $M737,
      unit_details[Partial Baths], IF(ISNUMBER($N737), $N737, ""),
      unit_details[Sqft],$P737,
      unit_details[Property Name], $F737
    )
  ),
"")</f>
        <v>0</v>
      </c>
      <c r="X737" s="531" t="str">
        <f>IFERROR(
 IF($F737="Total",
   SUMPRODUCT(
   INDEX(X:X, ROW()-COUNTIF($F$6:INDEX($F:$F, ROW()-1), $F736)) : INDEX(X:X, ROW()-1),
   INDEX(AA:AA, ROW()-COUNTIF($F$6:INDEX($F:$F, ROW()-1), $F736)) : INDEX(AA:AA, ROW()-1)
   )
   /SUM(INDEX(AA:AA, ROW()-COUNTIF($F$6:INDEX($F:$F, ROW()-1), $F736)) : INDEX(AA:AA, ROW()-1)),
   AVERAGEIFS(
     INDEX((unit_details[Asking Rent],unit_details[Asking PSF]),0,1,IF($U$3="Chunk Rent",1,2)),
     unit_details[Leased Date],"&gt;="&amp;($AM$2-X$5),
     unit_details[Leased Date],"&lt;"&amp;$AM$2,
     unit_details[Beds],$L737,
     unit_details[Baths],$M737,
     unit_details[Partial Baths],IF(ISNUMBER($N737),$N737,""),
     unit_details[Sqft],$P737,
     unit_details[Property Name],$F737)
 ),"")</f>
        <v/>
      </c>
      <c r="Y737" s="552" t="str">
        <f>IFERROR(
 IF($F737="Total",
   SUMPRODUCT(
   INDEX(Y:Y, ROW()-COUNTIF($F$6:INDEX($F:$F, ROW()-1), $F736)) : INDEX(Y:Y, ROW()-1),
   INDEX(AA:AA, ROW()-COUNTIF($F$6:INDEX($F:$F, ROW()-1), $F736)) : INDEX(AA:AA, ROW()-1)
   )
   /SUM(INDEX(AA:AA, ROW()-COUNTIF($F$6:INDEX($F:$F, ROW()-1), $F736)) : INDEX(AA:AA, ROW()-1)),
   AVERAGEIFS(
     INDEX((unit_details[Effective Rent],unit_details[Effective PSF]),0,1,IF($U$3="Chunk Rent",1,2)),
     unit_details[Leased Date],"&gt;="&amp;($AM$2-X$5),
     unit_details[Leased Date],"&lt;"&amp;$AM$2,
     unit_details[Beds],$L737,
     unit_details[Baths],$M737,
     unit_details[Partial Baths],IF(ISNUMBER($N737),$N737,""),
     unit_details[Sqft],$P737,
     unit_details[Property Name],$F737)
 ),"")</f>
        <v/>
      </c>
      <c r="Z737" s="27" t="str">
        <f t="shared" si="132"/>
        <v/>
      </c>
      <c r="AA737" s="526">
        <f>IFERROR(
  IF($F737="Total",
    SUM(INDEX(AA:AA, ROW()-COUNTIF($F$6:INDEX($F:$F, ROW()-1), $F736)) : INDEX(AA:AA, ROW()-1)),
    COUNTIFS(
      unit_details[Leased Date], "&gt;="&amp;($AM$2-X$5),
      unit_details[Leased Date], "&lt;"&amp;$AM$2,
      unit_details[Beds], $L737,
      unit_details[Baths], $M737,
      unit_details[Partial Baths], IF(ISNUMBER($N737), $N737, ""),
      unit_details[Sqft],$P737,
      unit_details[Property Name], $F737
    )
  ),
"")</f>
        <v>0</v>
      </c>
      <c r="AB737" s="290">
        <f>IF($F737="Total",
SUM(INDEX(AB:AB, ROW()-COUNTIF($F$6:INDEX($F:$F, ROW()-1), $F736)) : INDEX(AB:AB, ROW()-1)),
COUNTIFS(unit_details[Active Listing?],TRUE,
          unit_details[Property Name], $F737,
          unit_details[Beds], $L737,
          unit_details[Baths], $M737,
          unit_details[Partial Baths],IF(ISNUMBER($N737),$N737,""),
          unit_details[Sqft],$P737))</f>
        <v>0</v>
      </c>
      <c r="AC737" s="27" t="str">
        <f t="shared" si="124"/>
        <v/>
      </c>
      <c r="AD737" s="293" t="str">
        <f>IFERROR(IF(AE737="","",IF($F737="Total",
SUMPRODUCT(
   INDEX(AD:AD, ROW()-COUNTIF($F$6:INDEX($F:$F, ROW()-1), $F736)) : INDEX(AD:AD, ROW()-1),
   INDEX(AB:AB, ROW()-COUNTIF($F$6:INDEX($F:$F, ROW()-1), $F736)) : INDEX(AB:AB, ROW()-1)
   )
   /SUM(INDEX(AB:AB, ROW()-COUNTIF($F$6:INDEX($F:$F, ROW()-1), $F736)) : INDEX(AB:AB, ROW()-1)),
          _xlfn.MINIFS(unit_details[Asking Rent],
          unit_details[Active Listing?],TRUE,
          unit_details[Property Name], $F737,
          unit_details[Beds], $L737,
          unit_details[Baths], $M737,
          unit_details[Partial Baths], IF(ISNUMBER($N737),$N737,""),
          unit_details[Sqft],$P737
))),"")</f>
        <v/>
      </c>
      <c r="AE737" s="5" t="str">
        <f>IFERROR(IF($F737="Total",
          SUMPRODUCT(
   INDEX(AE:AE, ROW()-COUNTIF($F$6:INDEX($F:$F, ROW()-1), $F736)) : INDEX(AE:AE, ROW()-1),
   INDEX(AB:AB, ROW()-COUNTIF($F$6:INDEX($F:$F, ROW()-1), $F736)) : INDEX(AB:AB, ROW()-1)
   )
   /SUM(INDEX(AB:AB, ROW()-COUNTIF($F$6:INDEX($F:$F, ROW()-1), $F736)) : INDEX(AB:AB, ROW()-1)),
          AVERAGEIFS(unit_details[Asking Rent],
          unit_details[Active Listing?],TRUE,
          unit_details[Property Name], $F737,
          unit_details[Beds], $L737,
          unit_details[Baths], $M737,
          unit_details[Partial Baths], IF(ISNUMBER($N737),$N737,""),
          unit_details[Sqft],$P737
)),"")</f>
        <v/>
      </c>
      <c r="AF737" s="5" t="str">
        <f>IFERROR(IF(AE737="","",IF($F737="Total",
SUMPRODUCT(
   INDEX(AF:AF, ROW()-COUNTIF($F$6:INDEX($F:$F, ROW()-1), $F736)) : INDEX(AF:AF, ROW()-1),
   INDEX(AB:AB, ROW()-COUNTIF($F$6:INDEX($F:$F, ROW()-1), $F736)) : INDEX(AB:AB, ROW()-1)
   )
   /SUM(INDEX(AB:AB, ROW()-COUNTIF($F$6:INDEX($F:$F, ROW()-1), $F736)) : INDEX(AB:AB, ROW()-1)),
           _xlfn.MAXIFS(unit_details[Asking Rent],
          unit_details[Active Listing?],TRUE,
          unit_details[Property Name], $F737,
          unit_details[Beds], $L737,
          unit_details[Baths], $M737,
          unit_details[Partial Baths], IF(ISNUMBER($N737),$N737,""),
          unit_details[Sqft],$P737
))),"")</f>
        <v/>
      </c>
      <c r="AG737" s="6" t="str">
        <f>IFERROR(IF($F737="Total",
         SUMPRODUCT(
         INDEX(AG:AG, ROW()-COUNTIF($F$6:INDEX($F:$F, ROW()-1), $F736)) : INDEX(AG:AG, ROW()-1),
         INDEX(AB:AB, ROW()-COUNTIF($F$6:INDEX($F:$F, ROW()-1), $F736)) : INDEX(AB:AB, ROW()-1)
         )
         /SUM(INDEX(AB:AB, ROW()-COUNTIF($F$6:INDEX($F:$F, ROW()-1), $F736)) : INDEX(AB:AB, ROW()-1)),
          AVERAGEIFS(unit_details[Asking PSF],
          unit_details[Active Listing?],TRUE,
          unit_details[Property Name], $F737,
          unit_details[Beds], $L737,
          unit_details[Baths], $M737,
          unit_details[Partial Baths], IF(ISNUMBER($N737),$N737,""),
          unit_details[Sqft],$P737
)),"")</f>
        <v/>
      </c>
      <c r="AH737" s="293" t="str">
        <f>IFERROR(IF($F737="Total",
         SUMPRODUCT(
         INDEX(AH:AH, ROW()-COUNTIF($F$6:INDEX($F:$F, ROW()-1), $F736)) : INDEX(AH:AH, ROW()-1),
         INDEX(AB:AB, ROW()-COUNTIF($F$6:INDEX($F:$F, ROW()-1), $F736)) : INDEX(AB:AB, ROW()-1)
         )
         /SUM(INDEX(AB:AB, ROW()-COUNTIF($F$6:INDEX($F:$F, ROW()-1), $F736)) : INDEX(AB:AB, ROW()-1)),
          AVERAGEIFS(unit_details[Effective Rent],
          unit_details[Active Listing?],TRUE,
          unit_details[Property Name], $F737,
          unit_details[Beds], $L737,
          unit_details[Baths], $M737,
          unit_details[Partial Baths], IF(ISNUMBER($N737),$N737,""),
          unit_details[Sqft],$P737
)),"")</f>
        <v/>
      </c>
      <c r="AI737" s="6" t="str">
        <f>IFERROR(IF($F737="Total",
         SUMPRODUCT(
         INDEX(AI:AI, ROW()-COUNTIF($F$6:INDEX($F:$F, ROW()-1), $F736)) : INDEX(AI:AI, ROW()-1),
         INDEX(AB:AB, ROW()-COUNTIF($F$6:INDEX($F:$F, ROW()-1), $F736)) : INDEX(AB:AB, ROW()-1)
         )
         /SUM(INDEX(AB:AB, ROW()-COUNTIF($F$6:INDEX($F:$F, ROW()-1), $F736)) : INDEX(AB:AB, ROW()-1)),
           AVERAGEIFS(unit_details[Effective PSF],
          unit_details[Active Listing?],TRUE,
          unit_details[Property Name], $F737,
          unit_details[Beds], $L737,
          unit_details[Baths], $M737,
          unit_details[Partial Baths], IF(ISNUMBER($N737),$N737,""),
          unit_details[Sqft],$P737
)),"")</f>
        <v/>
      </c>
      <c r="AJ737" s="824" t="str">
        <f t="shared" si="125"/>
        <v/>
      </c>
      <c r="AK737" s="531" t="str">
        <f t="shared" si="126"/>
        <v/>
      </c>
      <c r="AL737" s="714" t="str">
        <f t="shared" si="127"/>
        <v/>
      </c>
      <c r="AM737" s="531" t="str">
        <f t="shared" si="128"/>
        <v/>
      </c>
      <c r="AN737" s="716" t="str">
        <f t="shared" si="129"/>
        <v/>
      </c>
    </row>
    <row r="738" spans="6:40" x14ac:dyDescent="0.2">
      <c r="F738" s="1" t="str">
        <f t="shared" si="122"/>
        <v/>
      </c>
      <c r="G738" s="713" t="str">
        <f t="shared" si="130"/>
        <v/>
      </c>
      <c r="H738" s="17" t="str">
        <f>IFERROR(VLOOKUP($G738,Table1[[Property]:[Exposure %]],4,0),"")</f>
        <v/>
      </c>
      <c r="I738" s="3" t="str">
        <f>IFERROR(VLOOKUP($G738,Table1[[Property]:[Exposure %]],6,0),"")</f>
        <v/>
      </c>
      <c r="J738" s="3" t="str">
        <f>IFERROR(VLOOKUP($G738,Table1[[Property]:[Exposure %]],7,0),"")</f>
        <v/>
      </c>
      <c r="R738" s="4" t="str">
        <f>IFERROR(VLOOKUP(IF(F738="Total",F737,F738),Table1[[Property]:['# Units]],7,0)*S738,"")</f>
        <v/>
      </c>
      <c r="S738" s="27" t="str">
        <f t="shared" si="123"/>
        <v/>
      </c>
      <c r="T738" s="531" t="str">
        <f>IFERROR(
 IF($F738="Total",
   SUMPRODUCT(
   INDEX(T:T, ROW()-COUNTIF($F$6:INDEX($F:$F, ROW()-1), $F737)) : INDEX(T:T, ROW()-1),
   INDEX(W:W, ROW()-COUNTIF($F$6:INDEX($F:$F, ROW()-1), $F737)) : INDEX(W:W, ROW()-1)
   )
   /SUM(INDEX(W:W, ROW()-COUNTIF($F$6:INDEX($F:$F, ROW()-1), $F737)) : INDEX(W:W, ROW()-1)),
   AVERAGEIFS(
     INDEX((unit_details[Asking Rent],unit_details[Asking PSF]),0,1,IF($U$3="Chunk Rent",1,2)),
     unit_details[Leased Date],"&gt;="&amp;($AM$2-T$5),
     unit_details[Leased Date],"&lt;"&amp;$AM$2,
     unit_details[Beds],$L738,
     unit_details[Baths],$M738,
     unit_details[Partial Baths],IF(ISNUMBER($N738),$N738,""),
     unit_details[Sqft],$P738,
     unit_details[Property Name],$F738)
 ),"")</f>
        <v/>
      </c>
      <c r="U738" s="552" t="str">
        <f>IFERROR(
 IF($F738="Total",
   SUMPRODUCT(
   INDEX(U:U, ROW()-COUNTIF($F$6:INDEX($F:$F, ROW()-1), $F737)) : INDEX(U:U, ROW()-1),
   INDEX(W:W, ROW()-COUNTIF($F$6:INDEX($F:$F, ROW()-1), $F737)) : INDEX(W:W, ROW()-1)
   )
   /SUM(INDEX(W:W, ROW()-COUNTIF($F$6:INDEX($F:$F, ROW()-1), $F737)) : INDEX(W:W, ROW()-1)),
   AVERAGEIFS(
     INDEX((unit_details[Effective Rent],unit_details[Effective PSF]),0,1,IF($U$3="Chunk Rent",1,2)),
     unit_details[Leased Date],"&gt;="&amp;($AM$2-T$5),
     unit_details[Leased Date],"&lt;"&amp;$AM$2,
     unit_details[Beds],$L738,
     unit_details[Baths],$M738,
     unit_details[Partial Baths],IF(ISNUMBER($N738),$N738,""),
     unit_details[Sqft],$P738,
     unit_details[Property Name],$F738)
 ),"")</f>
        <v/>
      </c>
      <c r="V738" s="27" t="str">
        <f t="shared" si="131"/>
        <v/>
      </c>
      <c r="W738" s="526">
        <f>IFERROR(
  IF($F738="Total",
    SUM(INDEX(W:W, ROW()-COUNTIF($F$6:INDEX($F:$F, ROW()-1), $F737)) : INDEX(W:W, ROW()-1)),
    COUNTIFS(
      unit_details[Leased Date], "&gt;="&amp;($AM$2-T$5),
      unit_details[Leased Date], "&lt;"&amp;$AM$2,
      unit_details[Beds], $L738,
      unit_details[Baths], $M738,
      unit_details[Partial Baths], IF(ISNUMBER($N738), $N738, ""),
      unit_details[Sqft],$P738,
      unit_details[Property Name], $F738
    )
  ),
"")</f>
        <v>0</v>
      </c>
      <c r="X738" s="531" t="str">
        <f>IFERROR(
 IF($F738="Total",
   SUMPRODUCT(
   INDEX(X:X, ROW()-COUNTIF($F$6:INDEX($F:$F, ROW()-1), $F737)) : INDEX(X:X, ROW()-1),
   INDEX(AA:AA, ROW()-COUNTIF($F$6:INDEX($F:$F, ROW()-1), $F737)) : INDEX(AA:AA, ROW()-1)
   )
   /SUM(INDEX(AA:AA, ROW()-COUNTIF($F$6:INDEX($F:$F, ROW()-1), $F737)) : INDEX(AA:AA, ROW()-1)),
   AVERAGEIFS(
     INDEX((unit_details[Asking Rent],unit_details[Asking PSF]),0,1,IF($U$3="Chunk Rent",1,2)),
     unit_details[Leased Date],"&gt;="&amp;($AM$2-X$5),
     unit_details[Leased Date],"&lt;"&amp;$AM$2,
     unit_details[Beds],$L738,
     unit_details[Baths],$M738,
     unit_details[Partial Baths],IF(ISNUMBER($N738),$N738,""),
     unit_details[Sqft],$P738,
     unit_details[Property Name],$F738)
 ),"")</f>
        <v/>
      </c>
      <c r="Y738" s="552" t="str">
        <f>IFERROR(
 IF($F738="Total",
   SUMPRODUCT(
   INDEX(Y:Y, ROW()-COUNTIF($F$6:INDEX($F:$F, ROW()-1), $F737)) : INDEX(Y:Y, ROW()-1),
   INDEX(AA:AA, ROW()-COUNTIF($F$6:INDEX($F:$F, ROW()-1), $F737)) : INDEX(AA:AA, ROW()-1)
   )
   /SUM(INDEX(AA:AA, ROW()-COUNTIF($F$6:INDEX($F:$F, ROW()-1), $F737)) : INDEX(AA:AA, ROW()-1)),
   AVERAGEIFS(
     INDEX((unit_details[Effective Rent],unit_details[Effective PSF]),0,1,IF($U$3="Chunk Rent",1,2)),
     unit_details[Leased Date],"&gt;="&amp;($AM$2-X$5),
     unit_details[Leased Date],"&lt;"&amp;$AM$2,
     unit_details[Beds],$L738,
     unit_details[Baths],$M738,
     unit_details[Partial Baths],IF(ISNUMBER($N738),$N738,""),
     unit_details[Sqft],$P738,
     unit_details[Property Name],$F738)
 ),"")</f>
        <v/>
      </c>
      <c r="Z738" s="27" t="str">
        <f t="shared" si="132"/>
        <v/>
      </c>
      <c r="AA738" s="526">
        <f>IFERROR(
  IF($F738="Total",
    SUM(INDEX(AA:AA, ROW()-COUNTIF($F$6:INDEX($F:$F, ROW()-1), $F737)) : INDEX(AA:AA, ROW()-1)),
    COUNTIFS(
      unit_details[Leased Date], "&gt;="&amp;($AM$2-X$5),
      unit_details[Leased Date], "&lt;"&amp;$AM$2,
      unit_details[Beds], $L738,
      unit_details[Baths], $M738,
      unit_details[Partial Baths], IF(ISNUMBER($N738), $N738, ""),
      unit_details[Sqft],$P738,
      unit_details[Property Name], $F738
    )
  ),
"")</f>
        <v>0</v>
      </c>
      <c r="AB738" s="290">
        <f>IF($F738="Total",
SUM(INDEX(AB:AB, ROW()-COUNTIF($F$6:INDEX($F:$F, ROW()-1), $F737)) : INDEX(AB:AB, ROW()-1)),
COUNTIFS(unit_details[Active Listing?],TRUE,
          unit_details[Property Name], $F738,
          unit_details[Beds], $L738,
          unit_details[Baths], $M738,
          unit_details[Partial Baths],IF(ISNUMBER($N738),$N738,""),
          unit_details[Sqft],$P738))</f>
        <v>0</v>
      </c>
      <c r="AC738" s="27" t="str">
        <f t="shared" si="124"/>
        <v/>
      </c>
      <c r="AD738" s="293" t="str">
        <f>IFERROR(IF(AE738="","",IF($F738="Total",
SUMPRODUCT(
   INDEX(AD:AD, ROW()-COUNTIF($F$6:INDEX($F:$F, ROW()-1), $F737)) : INDEX(AD:AD, ROW()-1),
   INDEX(AB:AB, ROW()-COUNTIF($F$6:INDEX($F:$F, ROW()-1), $F737)) : INDEX(AB:AB, ROW()-1)
   )
   /SUM(INDEX(AB:AB, ROW()-COUNTIF($F$6:INDEX($F:$F, ROW()-1), $F737)) : INDEX(AB:AB, ROW()-1)),
          _xlfn.MINIFS(unit_details[Asking Rent],
          unit_details[Active Listing?],TRUE,
          unit_details[Property Name], $F738,
          unit_details[Beds], $L738,
          unit_details[Baths], $M738,
          unit_details[Partial Baths], IF(ISNUMBER($N738),$N738,""),
          unit_details[Sqft],$P738
))),"")</f>
        <v/>
      </c>
      <c r="AE738" s="5" t="str">
        <f>IFERROR(IF($F738="Total",
          SUMPRODUCT(
   INDEX(AE:AE, ROW()-COUNTIF($F$6:INDEX($F:$F, ROW()-1), $F737)) : INDEX(AE:AE, ROW()-1),
   INDEX(AB:AB, ROW()-COUNTIF($F$6:INDEX($F:$F, ROW()-1), $F737)) : INDEX(AB:AB, ROW()-1)
   )
   /SUM(INDEX(AB:AB, ROW()-COUNTIF($F$6:INDEX($F:$F, ROW()-1), $F737)) : INDEX(AB:AB, ROW()-1)),
          AVERAGEIFS(unit_details[Asking Rent],
          unit_details[Active Listing?],TRUE,
          unit_details[Property Name], $F738,
          unit_details[Beds], $L738,
          unit_details[Baths], $M738,
          unit_details[Partial Baths], IF(ISNUMBER($N738),$N738,""),
          unit_details[Sqft],$P738
)),"")</f>
        <v/>
      </c>
      <c r="AF738" s="5" t="str">
        <f>IFERROR(IF(AE738="","",IF($F738="Total",
SUMPRODUCT(
   INDEX(AF:AF, ROW()-COUNTIF($F$6:INDEX($F:$F, ROW()-1), $F737)) : INDEX(AF:AF, ROW()-1),
   INDEX(AB:AB, ROW()-COUNTIF($F$6:INDEX($F:$F, ROW()-1), $F737)) : INDEX(AB:AB, ROW()-1)
   )
   /SUM(INDEX(AB:AB, ROW()-COUNTIF($F$6:INDEX($F:$F, ROW()-1), $F737)) : INDEX(AB:AB, ROW()-1)),
           _xlfn.MAXIFS(unit_details[Asking Rent],
          unit_details[Active Listing?],TRUE,
          unit_details[Property Name], $F738,
          unit_details[Beds], $L738,
          unit_details[Baths], $M738,
          unit_details[Partial Baths], IF(ISNUMBER($N738),$N738,""),
          unit_details[Sqft],$P738
))),"")</f>
        <v/>
      </c>
      <c r="AG738" s="6" t="str">
        <f>IFERROR(IF($F738="Total",
         SUMPRODUCT(
         INDEX(AG:AG, ROW()-COUNTIF($F$6:INDEX($F:$F, ROW()-1), $F737)) : INDEX(AG:AG, ROW()-1),
         INDEX(AB:AB, ROW()-COUNTIF($F$6:INDEX($F:$F, ROW()-1), $F737)) : INDEX(AB:AB, ROW()-1)
         )
         /SUM(INDEX(AB:AB, ROW()-COUNTIF($F$6:INDEX($F:$F, ROW()-1), $F737)) : INDEX(AB:AB, ROW()-1)),
          AVERAGEIFS(unit_details[Asking PSF],
          unit_details[Active Listing?],TRUE,
          unit_details[Property Name], $F738,
          unit_details[Beds], $L738,
          unit_details[Baths], $M738,
          unit_details[Partial Baths], IF(ISNUMBER($N738),$N738,""),
          unit_details[Sqft],$P738
)),"")</f>
        <v/>
      </c>
      <c r="AH738" s="293" t="str">
        <f>IFERROR(IF($F738="Total",
         SUMPRODUCT(
         INDEX(AH:AH, ROW()-COUNTIF($F$6:INDEX($F:$F, ROW()-1), $F737)) : INDEX(AH:AH, ROW()-1),
         INDEX(AB:AB, ROW()-COUNTIF($F$6:INDEX($F:$F, ROW()-1), $F737)) : INDEX(AB:AB, ROW()-1)
         )
         /SUM(INDEX(AB:AB, ROW()-COUNTIF($F$6:INDEX($F:$F, ROW()-1), $F737)) : INDEX(AB:AB, ROW()-1)),
          AVERAGEIFS(unit_details[Effective Rent],
          unit_details[Active Listing?],TRUE,
          unit_details[Property Name], $F738,
          unit_details[Beds], $L738,
          unit_details[Baths], $M738,
          unit_details[Partial Baths], IF(ISNUMBER($N738),$N738,""),
          unit_details[Sqft],$P738
)),"")</f>
        <v/>
      </c>
      <c r="AI738" s="6" t="str">
        <f>IFERROR(IF($F738="Total",
         SUMPRODUCT(
         INDEX(AI:AI, ROW()-COUNTIF($F$6:INDEX($F:$F, ROW()-1), $F737)) : INDEX(AI:AI, ROW()-1),
         INDEX(AB:AB, ROW()-COUNTIF($F$6:INDEX($F:$F, ROW()-1), $F737)) : INDEX(AB:AB, ROW()-1)
         )
         /SUM(INDEX(AB:AB, ROW()-COUNTIF($F$6:INDEX($F:$F, ROW()-1), $F737)) : INDEX(AB:AB, ROW()-1)),
           AVERAGEIFS(unit_details[Effective PSF],
          unit_details[Active Listing?],TRUE,
          unit_details[Property Name], $F738,
          unit_details[Beds], $L738,
          unit_details[Baths], $M738,
          unit_details[Partial Baths], IF(ISNUMBER($N738),$N738,""),
          unit_details[Sqft],$P738
)),"")</f>
        <v/>
      </c>
      <c r="AJ738" s="824" t="str">
        <f t="shared" si="125"/>
        <v/>
      </c>
      <c r="AK738" s="531" t="str">
        <f t="shared" si="126"/>
        <v/>
      </c>
      <c r="AL738" s="714" t="str">
        <f t="shared" si="127"/>
        <v/>
      </c>
      <c r="AM738" s="531" t="str">
        <f t="shared" si="128"/>
        <v/>
      </c>
      <c r="AN738" s="716" t="str">
        <f t="shared" si="129"/>
        <v/>
      </c>
    </row>
    <row r="739" spans="6:40" x14ac:dyDescent="0.2">
      <c r="F739" s="1" t="str">
        <f t="shared" si="122"/>
        <v/>
      </c>
      <c r="G739" s="713" t="str">
        <f t="shared" si="130"/>
        <v/>
      </c>
      <c r="H739" s="17" t="str">
        <f>IFERROR(VLOOKUP($G739,Table1[[Property]:[Exposure %]],4,0),"")</f>
        <v/>
      </c>
      <c r="I739" s="3" t="str">
        <f>IFERROR(VLOOKUP($G739,Table1[[Property]:[Exposure %]],6,0),"")</f>
        <v/>
      </c>
      <c r="J739" s="3" t="str">
        <f>IFERROR(VLOOKUP($G739,Table1[[Property]:[Exposure %]],7,0),"")</f>
        <v/>
      </c>
      <c r="R739" s="4" t="str">
        <f>IFERROR(VLOOKUP(IF(F739="Total",F738,F739),Table1[[Property]:['# Units]],7,0)*S739,"")</f>
        <v/>
      </c>
      <c r="S739" s="27" t="str">
        <f t="shared" si="123"/>
        <v/>
      </c>
      <c r="T739" s="531" t="str">
        <f>IFERROR(
 IF($F739="Total",
   SUMPRODUCT(
   INDEX(T:T, ROW()-COUNTIF($F$6:INDEX($F:$F, ROW()-1), $F738)) : INDEX(T:T, ROW()-1),
   INDEX(W:W, ROW()-COUNTIF($F$6:INDEX($F:$F, ROW()-1), $F738)) : INDEX(W:W, ROW()-1)
   )
   /SUM(INDEX(W:W, ROW()-COUNTIF($F$6:INDEX($F:$F, ROW()-1), $F738)) : INDEX(W:W, ROW()-1)),
   AVERAGEIFS(
     INDEX((unit_details[Asking Rent],unit_details[Asking PSF]),0,1,IF($U$3="Chunk Rent",1,2)),
     unit_details[Leased Date],"&gt;="&amp;($AM$2-T$5),
     unit_details[Leased Date],"&lt;"&amp;$AM$2,
     unit_details[Beds],$L739,
     unit_details[Baths],$M739,
     unit_details[Partial Baths],IF(ISNUMBER($N739),$N739,""),
     unit_details[Sqft],$P739,
     unit_details[Property Name],$F739)
 ),"")</f>
        <v/>
      </c>
      <c r="U739" s="552" t="str">
        <f>IFERROR(
 IF($F739="Total",
   SUMPRODUCT(
   INDEX(U:U, ROW()-COUNTIF($F$6:INDEX($F:$F, ROW()-1), $F738)) : INDEX(U:U, ROW()-1),
   INDEX(W:W, ROW()-COUNTIF($F$6:INDEX($F:$F, ROW()-1), $F738)) : INDEX(W:W, ROW()-1)
   )
   /SUM(INDEX(W:W, ROW()-COUNTIF($F$6:INDEX($F:$F, ROW()-1), $F738)) : INDEX(W:W, ROW()-1)),
   AVERAGEIFS(
     INDEX((unit_details[Effective Rent],unit_details[Effective PSF]),0,1,IF($U$3="Chunk Rent",1,2)),
     unit_details[Leased Date],"&gt;="&amp;($AM$2-T$5),
     unit_details[Leased Date],"&lt;"&amp;$AM$2,
     unit_details[Beds],$L739,
     unit_details[Baths],$M739,
     unit_details[Partial Baths],IF(ISNUMBER($N739),$N739,""),
     unit_details[Sqft],$P739,
     unit_details[Property Name],$F739)
 ),"")</f>
        <v/>
      </c>
      <c r="V739" s="27" t="str">
        <f t="shared" si="131"/>
        <v/>
      </c>
      <c r="W739" s="526">
        <f>IFERROR(
  IF($F739="Total",
    SUM(INDEX(W:W, ROW()-COUNTIF($F$6:INDEX($F:$F, ROW()-1), $F738)) : INDEX(W:W, ROW()-1)),
    COUNTIFS(
      unit_details[Leased Date], "&gt;="&amp;($AM$2-T$5),
      unit_details[Leased Date], "&lt;"&amp;$AM$2,
      unit_details[Beds], $L739,
      unit_details[Baths], $M739,
      unit_details[Partial Baths], IF(ISNUMBER($N739), $N739, ""),
      unit_details[Sqft],$P739,
      unit_details[Property Name], $F739
    )
  ),
"")</f>
        <v>0</v>
      </c>
      <c r="X739" s="531" t="str">
        <f>IFERROR(
 IF($F739="Total",
   SUMPRODUCT(
   INDEX(X:X, ROW()-COUNTIF($F$6:INDEX($F:$F, ROW()-1), $F738)) : INDEX(X:X, ROW()-1),
   INDEX(AA:AA, ROW()-COUNTIF($F$6:INDEX($F:$F, ROW()-1), $F738)) : INDEX(AA:AA, ROW()-1)
   )
   /SUM(INDEX(AA:AA, ROW()-COUNTIF($F$6:INDEX($F:$F, ROW()-1), $F738)) : INDEX(AA:AA, ROW()-1)),
   AVERAGEIFS(
     INDEX((unit_details[Asking Rent],unit_details[Asking PSF]),0,1,IF($U$3="Chunk Rent",1,2)),
     unit_details[Leased Date],"&gt;="&amp;($AM$2-X$5),
     unit_details[Leased Date],"&lt;"&amp;$AM$2,
     unit_details[Beds],$L739,
     unit_details[Baths],$M739,
     unit_details[Partial Baths],IF(ISNUMBER($N739),$N739,""),
     unit_details[Sqft],$P739,
     unit_details[Property Name],$F739)
 ),"")</f>
        <v/>
      </c>
      <c r="Y739" s="552" t="str">
        <f>IFERROR(
 IF($F739="Total",
   SUMPRODUCT(
   INDEX(Y:Y, ROW()-COUNTIF($F$6:INDEX($F:$F, ROW()-1), $F738)) : INDEX(Y:Y, ROW()-1),
   INDEX(AA:AA, ROW()-COUNTIF($F$6:INDEX($F:$F, ROW()-1), $F738)) : INDEX(AA:AA, ROW()-1)
   )
   /SUM(INDEX(AA:AA, ROW()-COUNTIF($F$6:INDEX($F:$F, ROW()-1), $F738)) : INDEX(AA:AA, ROW()-1)),
   AVERAGEIFS(
     INDEX((unit_details[Effective Rent],unit_details[Effective PSF]),0,1,IF($U$3="Chunk Rent",1,2)),
     unit_details[Leased Date],"&gt;="&amp;($AM$2-X$5),
     unit_details[Leased Date],"&lt;"&amp;$AM$2,
     unit_details[Beds],$L739,
     unit_details[Baths],$M739,
     unit_details[Partial Baths],IF(ISNUMBER($N739),$N739,""),
     unit_details[Sqft],$P739,
     unit_details[Property Name],$F739)
 ),"")</f>
        <v/>
      </c>
      <c r="Z739" s="27" t="str">
        <f t="shared" si="132"/>
        <v/>
      </c>
      <c r="AA739" s="526">
        <f>IFERROR(
  IF($F739="Total",
    SUM(INDEX(AA:AA, ROW()-COUNTIF($F$6:INDEX($F:$F, ROW()-1), $F738)) : INDEX(AA:AA, ROW()-1)),
    COUNTIFS(
      unit_details[Leased Date], "&gt;="&amp;($AM$2-X$5),
      unit_details[Leased Date], "&lt;"&amp;$AM$2,
      unit_details[Beds], $L739,
      unit_details[Baths], $M739,
      unit_details[Partial Baths], IF(ISNUMBER($N739), $N739, ""),
      unit_details[Sqft],$P739,
      unit_details[Property Name], $F739
    )
  ),
"")</f>
        <v>0</v>
      </c>
      <c r="AB739" s="290">
        <f>IF($F739="Total",
SUM(INDEX(AB:AB, ROW()-COUNTIF($F$6:INDEX($F:$F, ROW()-1), $F738)) : INDEX(AB:AB, ROW()-1)),
COUNTIFS(unit_details[Active Listing?],TRUE,
          unit_details[Property Name], $F739,
          unit_details[Beds], $L739,
          unit_details[Baths], $M739,
          unit_details[Partial Baths],IF(ISNUMBER($N739),$N739,""),
          unit_details[Sqft],$P739))</f>
        <v>0</v>
      </c>
      <c r="AC739" s="27" t="str">
        <f t="shared" si="124"/>
        <v/>
      </c>
      <c r="AD739" s="293" t="str">
        <f>IFERROR(IF(AE739="","",IF($F739="Total",
SUMPRODUCT(
   INDEX(AD:AD, ROW()-COUNTIF($F$6:INDEX($F:$F, ROW()-1), $F738)) : INDEX(AD:AD, ROW()-1),
   INDEX(AB:AB, ROW()-COUNTIF($F$6:INDEX($F:$F, ROW()-1), $F738)) : INDEX(AB:AB, ROW()-1)
   )
   /SUM(INDEX(AB:AB, ROW()-COUNTIF($F$6:INDEX($F:$F, ROW()-1), $F738)) : INDEX(AB:AB, ROW()-1)),
          _xlfn.MINIFS(unit_details[Asking Rent],
          unit_details[Active Listing?],TRUE,
          unit_details[Property Name], $F739,
          unit_details[Beds], $L739,
          unit_details[Baths], $M739,
          unit_details[Partial Baths], IF(ISNUMBER($N739),$N739,""),
          unit_details[Sqft],$P739
))),"")</f>
        <v/>
      </c>
      <c r="AE739" s="5" t="str">
        <f>IFERROR(IF($F739="Total",
          SUMPRODUCT(
   INDEX(AE:AE, ROW()-COUNTIF($F$6:INDEX($F:$F, ROW()-1), $F738)) : INDEX(AE:AE, ROW()-1),
   INDEX(AB:AB, ROW()-COUNTIF($F$6:INDEX($F:$F, ROW()-1), $F738)) : INDEX(AB:AB, ROW()-1)
   )
   /SUM(INDEX(AB:AB, ROW()-COUNTIF($F$6:INDEX($F:$F, ROW()-1), $F738)) : INDEX(AB:AB, ROW()-1)),
          AVERAGEIFS(unit_details[Asking Rent],
          unit_details[Active Listing?],TRUE,
          unit_details[Property Name], $F739,
          unit_details[Beds], $L739,
          unit_details[Baths], $M739,
          unit_details[Partial Baths], IF(ISNUMBER($N739),$N739,""),
          unit_details[Sqft],$P739
)),"")</f>
        <v/>
      </c>
      <c r="AF739" s="5" t="str">
        <f>IFERROR(IF(AE739="","",IF($F739="Total",
SUMPRODUCT(
   INDEX(AF:AF, ROW()-COUNTIF($F$6:INDEX($F:$F, ROW()-1), $F738)) : INDEX(AF:AF, ROW()-1),
   INDEX(AB:AB, ROW()-COUNTIF($F$6:INDEX($F:$F, ROW()-1), $F738)) : INDEX(AB:AB, ROW()-1)
   )
   /SUM(INDEX(AB:AB, ROW()-COUNTIF($F$6:INDEX($F:$F, ROW()-1), $F738)) : INDEX(AB:AB, ROW()-1)),
           _xlfn.MAXIFS(unit_details[Asking Rent],
          unit_details[Active Listing?],TRUE,
          unit_details[Property Name], $F739,
          unit_details[Beds], $L739,
          unit_details[Baths], $M739,
          unit_details[Partial Baths], IF(ISNUMBER($N739),$N739,""),
          unit_details[Sqft],$P739
))),"")</f>
        <v/>
      </c>
      <c r="AG739" s="6" t="str">
        <f>IFERROR(IF($F739="Total",
         SUMPRODUCT(
         INDEX(AG:AG, ROW()-COUNTIF($F$6:INDEX($F:$F, ROW()-1), $F738)) : INDEX(AG:AG, ROW()-1),
         INDEX(AB:AB, ROW()-COUNTIF($F$6:INDEX($F:$F, ROW()-1), $F738)) : INDEX(AB:AB, ROW()-1)
         )
         /SUM(INDEX(AB:AB, ROW()-COUNTIF($F$6:INDEX($F:$F, ROW()-1), $F738)) : INDEX(AB:AB, ROW()-1)),
          AVERAGEIFS(unit_details[Asking PSF],
          unit_details[Active Listing?],TRUE,
          unit_details[Property Name], $F739,
          unit_details[Beds], $L739,
          unit_details[Baths], $M739,
          unit_details[Partial Baths], IF(ISNUMBER($N739),$N739,""),
          unit_details[Sqft],$P739
)),"")</f>
        <v/>
      </c>
      <c r="AH739" s="293" t="str">
        <f>IFERROR(IF($F739="Total",
         SUMPRODUCT(
         INDEX(AH:AH, ROW()-COUNTIF($F$6:INDEX($F:$F, ROW()-1), $F738)) : INDEX(AH:AH, ROW()-1),
         INDEX(AB:AB, ROW()-COUNTIF($F$6:INDEX($F:$F, ROW()-1), $F738)) : INDEX(AB:AB, ROW()-1)
         )
         /SUM(INDEX(AB:AB, ROW()-COUNTIF($F$6:INDEX($F:$F, ROW()-1), $F738)) : INDEX(AB:AB, ROW()-1)),
          AVERAGEIFS(unit_details[Effective Rent],
          unit_details[Active Listing?],TRUE,
          unit_details[Property Name], $F739,
          unit_details[Beds], $L739,
          unit_details[Baths], $M739,
          unit_details[Partial Baths], IF(ISNUMBER($N739),$N739,""),
          unit_details[Sqft],$P739
)),"")</f>
        <v/>
      </c>
      <c r="AI739" s="6" t="str">
        <f>IFERROR(IF($F739="Total",
         SUMPRODUCT(
         INDEX(AI:AI, ROW()-COUNTIF($F$6:INDEX($F:$F, ROW()-1), $F738)) : INDEX(AI:AI, ROW()-1),
         INDEX(AB:AB, ROW()-COUNTIF($F$6:INDEX($F:$F, ROW()-1), $F738)) : INDEX(AB:AB, ROW()-1)
         )
         /SUM(INDEX(AB:AB, ROW()-COUNTIF($F$6:INDEX($F:$F, ROW()-1), $F738)) : INDEX(AB:AB, ROW()-1)),
           AVERAGEIFS(unit_details[Effective PSF],
          unit_details[Active Listing?],TRUE,
          unit_details[Property Name], $F739,
          unit_details[Beds], $L739,
          unit_details[Baths], $M739,
          unit_details[Partial Baths], IF(ISNUMBER($N739),$N739,""),
          unit_details[Sqft],$P739
)),"")</f>
        <v/>
      </c>
      <c r="AJ739" s="824" t="str">
        <f t="shared" si="125"/>
        <v/>
      </c>
      <c r="AK739" s="531" t="str">
        <f t="shared" si="126"/>
        <v/>
      </c>
      <c r="AL739" s="714" t="str">
        <f t="shared" si="127"/>
        <v/>
      </c>
      <c r="AM739" s="531" t="str">
        <f t="shared" si="128"/>
        <v/>
      </c>
      <c r="AN739" s="716" t="str">
        <f t="shared" si="129"/>
        <v/>
      </c>
    </row>
    <row r="740" spans="6:40" x14ac:dyDescent="0.2">
      <c r="F740" s="1" t="str">
        <f t="shared" si="122"/>
        <v/>
      </c>
      <c r="G740" s="713" t="str">
        <f t="shared" si="130"/>
        <v/>
      </c>
      <c r="H740" s="17" t="str">
        <f>IFERROR(VLOOKUP($G740,Table1[[Property]:[Exposure %]],4,0),"")</f>
        <v/>
      </c>
      <c r="I740" s="3" t="str">
        <f>IFERROR(VLOOKUP($G740,Table1[[Property]:[Exposure %]],6,0),"")</f>
        <v/>
      </c>
      <c r="J740" s="3" t="str">
        <f>IFERROR(VLOOKUP($G740,Table1[[Property]:[Exposure %]],7,0),"")</f>
        <v/>
      </c>
      <c r="R740" s="4" t="str">
        <f>IFERROR(VLOOKUP(IF(F740="Total",F739,F740),Table1[[Property]:['# Units]],7,0)*S740,"")</f>
        <v/>
      </c>
      <c r="S740" s="27" t="str">
        <f t="shared" si="123"/>
        <v/>
      </c>
      <c r="T740" s="531" t="str">
        <f>IFERROR(
 IF($F740="Total",
   SUMPRODUCT(
   INDEX(T:T, ROW()-COUNTIF($F$6:INDEX($F:$F, ROW()-1), $F739)) : INDEX(T:T, ROW()-1),
   INDEX(W:W, ROW()-COUNTIF($F$6:INDEX($F:$F, ROW()-1), $F739)) : INDEX(W:W, ROW()-1)
   )
   /SUM(INDEX(W:W, ROW()-COUNTIF($F$6:INDEX($F:$F, ROW()-1), $F739)) : INDEX(W:W, ROW()-1)),
   AVERAGEIFS(
     INDEX((unit_details[Asking Rent],unit_details[Asking PSF]),0,1,IF($U$3="Chunk Rent",1,2)),
     unit_details[Leased Date],"&gt;="&amp;($AM$2-T$5),
     unit_details[Leased Date],"&lt;"&amp;$AM$2,
     unit_details[Beds],$L740,
     unit_details[Baths],$M740,
     unit_details[Partial Baths],IF(ISNUMBER($N740),$N740,""),
     unit_details[Sqft],$P740,
     unit_details[Property Name],$F740)
 ),"")</f>
        <v/>
      </c>
      <c r="U740" s="552" t="str">
        <f>IFERROR(
 IF($F740="Total",
   SUMPRODUCT(
   INDEX(U:U, ROW()-COUNTIF($F$6:INDEX($F:$F, ROW()-1), $F739)) : INDEX(U:U, ROW()-1),
   INDEX(W:W, ROW()-COUNTIF($F$6:INDEX($F:$F, ROW()-1), $F739)) : INDEX(W:W, ROW()-1)
   )
   /SUM(INDEX(W:W, ROW()-COUNTIF($F$6:INDEX($F:$F, ROW()-1), $F739)) : INDEX(W:W, ROW()-1)),
   AVERAGEIFS(
     INDEX((unit_details[Effective Rent],unit_details[Effective PSF]),0,1,IF($U$3="Chunk Rent",1,2)),
     unit_details[Leased Date],"&gt;="&amp;($AM$2-T$5),
     unit_details[Leased Date],"&lt;"&amp;$AM$2,
     unit_details[Beds],$L740,
     unit_details[Baths],$M740,
     unit_details[Partial Baths],IF(ISNUMBER($N740),$N740,""),
     unit_details[Sqft],$P740,
     unit_details[Property Name],$F740)
 ),"")</f>
        <v/>
      </c>
      <c r="V740" s="27" t="str">
        <f t="shared" si="131"/>
        <v/>
      </c>
      <c r="W740" s="526">
        <f>IFERROR(
  IF($F740="Total",
    SUM(INDEX(W:W, ROW()-COUNTIF($F$6:INDEX($F:$F, ROW()-1), $F739)) : INDEX(W:W, ROW()-1)),
    COUNTIFS(
      unit_details[Leased Date], "&gt;="&amp;($AM$2-T$5),
      unit_details[Leased Date], "&lt;"&amp;$AM$2,
      unit_details[Beds], $L740,
      unit_details[Baths], $M740,
      unit_details[Partial Baths], IF(ISNUMBER($N740), $N740, ""),
      unit_details[Sqft],$P740,
      unit_details[Property Name], $F740
    )
  ),
"")</f>
        <v>0</v>
      </c>
      <c r="X740" s="531" t="str">
        <f>IFERROR(
 IF($F740="Total",
   SUMPRODUCT(
   INDEX(X:X, ROW()-COUNTIF($F$6:INDEX($F:$F, ROW()-1), $F739)) : INDEX(X:X, ROW()-1),
   INDEX(AA:AA, ROW()-COUNTIF($F$6:INDEX($F:$F, ROW()-1), $F739)) : INDEX(AA:AA, ROW()-1)
   )
   /SUM(INDEX(AA:AA, ROW()-COUNTIF($F$6:INDEX($F:$F, ROW()-1), $F739)) : INDEX(AA:AA, ROW()-1)),
   AVERAGEIFS(
     INDEX((unit_details[Asking Rent],unit_details[Asking PSF]),0,1,IF($U$3="Chunk Rent",1,2)),
     unit_details[Leased Date],"&gt;="&amp;($AM$2-X$5),
     unit_details[Leased Date],"&lt;"&amp;$AM$2,
     unit_details[Beds],$L740,
     unit_details[Baths],$M740,
     unit_details[Partial Baths],IF(ISNUMBER($N740),$N740,""),
     unit_details[Sqft],$P740,
     unit_details[Property Name],$F740)
 ),"")</f>
        <v/>
      </c>
      <c r="Y740" s="552" t="str">
        <f>IFERROR(
 IF($F740="Total",
   SUMPRODUCT(
   INDEX(Y:Y, ROW()-COUNTIF($F$6:INDEX($F:$F, ROW()-1), $F739)) : INDEX(Y:Y, ROW()-1),
   INDEX(AA:AA, ROW()-COUNTIF($F$6:INDEX($F:$F, ROW()-1), $F739)) : INDEX(AA:AA, ROW()-1)
   )
   /SUM(INDEX(AA:AA, ROW()-COUNTIF($F$6:INDEX($F:$F, ROW()-1), $F739)) : INDEX(AA:AA, ROW()-1)),
   AVERAGEIFS(
     INDEX((unit_details[Effective Rent],unit_details[Effective PSF]),0,1,IF($U$3="Chunk Rent",1,2)),
     unit_details[Leased Date],"&gt;="&amp;($AM$2-X$5),
     unit_details[Leased Date],"&lt;"&amp;$AM$2,
     unit_details[Beds],$L740,
     unit_details[Baths],$M740,
     unit_details[Partial Baths],IF(ISNUMBER($N740),$N740,""),
     unit_details[Sqft],$P740,
     unit_details[Property Name],$F740)
 ),"")</f>
        <v/>
      </c>
      <c r="Z740" s="27" t="str">
        <f t="shared" si="132"/>
        <v/>
      </c>
      <c r="AA740" s="526">
        <f>IFERROR(
  IF($F740="Total",
    SUM(INDEX(AA:AA, ROW()-COUNTIF($F$6:INDEX($F:$F, ROW()-1), $F739)) : INDEX(AA:AA, ROW()-1)),
    COUNTIFS(
      unit_details[Leased Date], "&gt;="&amp;($AM$2-X$5),
      unit_details[Leased Date], "&lt;"&amp;$AM$2,
      unit_details[Beds], $L740,
      unit_details[Baths], $M740,
      unit_details[Partial Baths], IF(ISNUMBER($N740), $N740, ""),
      unit_details[Sqft],$P740,
      unit_details[Property Name], $F740
    )
  ),
"")</f>
        <v>0</v>
      </c>
      <c r="AB740" s="290">
        <f>IF($F740="Total",
SUM(INDEX(AB:AB, ROW()-COUNTIF($F$6:INDEX($F:$F, ROW()-1), $F739)) : INDEX(AB:AB, ROW()-1)),
COUNTIFS(unit_details[Active Listing?],TRUE,
          unit_details[Property Name], $F740,
          unit_details[Beds], $L740,
          unit_details[Baths], $M740,
          unit_details[Partial Baths],IF(ISNUMBER($N740),$N740,""),
          unit_details[Sqft],$P740))</f>
        <v>0</v>
      </c>
      <c r="AC740" s="27" t="str">
        <f t="shared" si="124"/>
        <v/>
      </c>
      <c r="AD740" s="293" t="str">
        <f>IFERROR(IF(AE740="","",IF($F740="Total",
SUMPRODUCT(
   INDEX(AD:AD, ROW()-COUNTIF($F$6:INDEX($F:$F, ROW()-1), $F739)) : INDEX(AD:AD, ROW()-1),
   INDEX(AB:AB, ROW()-COUNTIF($F$6:INDEX($F:$F, ROW()-1), $F739)) : INDEX(AB:AB, ROW()-1)
   )
   /SUM(INDEX(AB:AB, ROW()-COUNTIF($F$6:INDEX($F:$F, ROW()-1), $F739)) : INDEX(AB:AB, ROW()-1)),
          _xlfn.MINIFS(unit_details[Asking Rent],
          unit_details[Active Listing?],TRUE,
          unit_details[Property Name], $F740,
          unit_details[Beds], $L740,
          unit_details[Baths], $M740,
          unit_details[Partial Baths], IF(ISNUMBER($N740),$N740,""),
          unit_details[Sqft],$P740
))),"")</f>
        <v/>
      </c>
      <c r="AE740" s="5" t="str">
        <f>IFERROR(IF($F740="Total",
          SUMPRODUCT(
   INDEX(AE:AE, ROW()-COUNTIF($F$6:INDEX($F:$F, ROW()-1), $F739)) : INDEX(AE:AE, ROW()-1),
   INDEX(AB:AB, ROW()-COUNTIF($F$6:INDEX($F:$F, ROW()-1), $F739)) : INDEX(AB:AB, ROW()-1)
   )
   /SUM(INDEX(AB:AB, ROW()-COUNTIF($F$6:INDEX($F:$F, ROW()-1), $F739)) : INDEX(AB:AB, ROW()-1)),
          AVERAGEIFS(unit_details[Asking Rent],
          unit_details[Active Listing?],TRUE,
          unit_details[Property Name], $F740,
          unit_details[Beds], $L740,
          unit_details[Baths], $M740,
          unit_details[Partial Baths], IF(ISNUMBER($N740),$N740,""),
          unit_details[Sqft],$P740
)),"")</f>
        <v/>
      </c>
      <c r="AF740" s="5" t="str">
        <f>IFERROR(IF(AE740="","",IF($F740="Total",
SUMPRODUCT(
   INDEX(AF:AF, ROW()-COUNTIF($F$6:INDEX($F:$F, ROW()-1), $F739)) : INDEX(AF:AF, ROW()-1),
   INDEX(AB:AB, ROW()-COUNTIF($F$6:INDEX($F:$F, ROW()-1), $F739)) : INDEX(AB:AB, ROW()-1)
   )
   /SUM(INDEX(AB:AB, ROW()-COUNTIF($F$6:INDEX($F:$F, ROW()-1), $F739)) : INDEX(AB:AB, ROW()-1)),
           _xlfn.MAXIFS(unit_details[Asking Rent],
          unit_details[Active Listing?],TRUE,
          unit_details[Property Name], $F740,
          unit_details[Beds], $L740,
          unit_details[Baths], $M740,
          unit_details[Partial Baths], IF(ISNUMBER($N740),$N740,""),
          unit_details[Sqft],$P740
))),"")</f>
        <v/>
      </c>
      <c r="AG740" s="6" t="str">
        <f>IFERROR(IF($F740="Total",
         SUMPRODUCT(
         INDEX(AG:AG, ROW()-COUNTIF($F$6:INDEX($F:$F, ROW()-1), $F739)) : INDEX(AG:AG, ROW()-1),
         INDEX(AB:AB, ROW()-COUNTIF($F$6:INDEX($F:$F, ROW()-1), $F739)) : INDEX(AB:AB, ROW()-1)
         )
         /SUM(INDEX(AB:AB, ROW()-COUNTIF($F$6:INDEX($F:$F, ROW()-1), $F739)) : INDEX(AB:AB, ROW()-1)),
          AVERAGEIFS(unit_details[Asking PSF],
          unit_details[Active Listing?],TRUE,
          unit_details[Property Name], $F740,
          unit_details[Beds], $L740,
          unit_details[Baths], $M740,
          unit_details[Partial Baths], IF(ISNUMBER($N740),$N740,""),
          unit_details[Sqft],$P740
)),"")</f>
        <v/>
      </c>
      <c r="AH740" s="293" t="str">
        <f>IFERROR(IF($F740="Total",
         SUMPRODUCT(
         INDEX(AH:AH, ROW()-COUNTIF($F$6:INDEX($F:$F, ROW()-1), $F739)) : INDEX(AH:AH, ROW()-1),
         INDEX(AB:AB, ROW()-COUNTIF($F$6:INDEX($F:$F, ROW()-1), $F739)) : INDEX(AB:AB, ROW()-1)
         )
         /SUM(INDEX(AB:AB, ROW()-COUNTIF($F$6:INDEX($F:$F, ROW()-1), $F739)) : INDEX(AB:AB, ROW()-1)),
          AVERAGEIFS(unit_details[Effective Rent],
          unit_details[Active Listing?],TRUE,
          unit_details[Property Name], $F740,
          unit_details[Beds], $L740,
          unit_details[Baths], $M740,
          unit_details[Partial Baths], IF(ISNUMBER($N740),$N740,""),
          unit_details[Sqft],$P740
)),"")</f>
        <v/>
      </c>
      <c r="AI740" s="6" t="str">
        <f>IFERROR(IF($F740="Total",
         SUMPRODUCT(
         INDEX(AI:AI, ROW()-COUNTIF($F$6:INDEX($F:$F, ROW()-1), $F739)) : INDEX(AI:AI, ROW()-1),
         INDEX(AB:AB, ROW()-COUNTIF($F$6:INDEX($F:$F, ROW()-1), $F739)) : INDEX(AB:AB, ROW()-1)
         )
         /SUM(INDEX(AB:AB, ROW()-COUNTIF($F$6:INDEX($F:$F, ROW()-1), $F739)) : INDEX(AB:AB, ROW()-1)),
           AVERAGEIFS(unit_details[Effective PSF],
          unit_details[Active Listing?],TRUE,
          unit_details[Property Name], $F740,
          unit_details[Beds], $L740,
          unit_details[Baths], $M740,
          unit_details[Partial Baths], IF(ISNUMBER($N740),$N740,""),
          unit_details[Sqft],$P740
)),"")</f>
        <v/>
      </c>
      <c r="AJ740" s="824" t="str">
        <f t="shared" si="125"/>
        <v/>
      </c>
      <c r="AK740" s="531" t="str">
        <f t="shared" si="126"/>
        <v/>
      </c>
      <c r="AL740" s="714" t="str">
        <f t="shared" si="127"/>
        <v/>
      </c>
      <c r="AM740" s="531" t="str">
        <f t="shared" si="128"/>
        <v/>
      </c>
      <c r="AN740" s="716" t="str">
        <f t="shared" si="129"/>
        <v/>
      </c>
    </row>
    <row r="741" spans="6:40" x14ac:dyDescent="0.2">
      <c r="F741" s="1" t="str">
        <f t="shared" si="122"/>
        <v/>
      </c>
      <c r="G741" s="713" t="str">
        <f t="shared" si="130"/>
        <v/>
      </c>
      <c r="H741" s="17" t="str">
        <f>IFERROR(VLOOKUP($G741,Table1[[Property]:[Exposure %]],4,0),"")</f>
        <v/>
      </c>
      <c r="I741" s="3" t="str">
        <f>IFERROR(VLOOKUP($G741,Table1[[Property]:[Exposure %]],6,0),"")</f>
        <v/>
      </c>
      <c r="J741" s="3" t="str">
        <f>IFERROR(VLOOKUP($G741,Table1[[Property]:[Exposure %]],7,0),"")</f>
        <v/>
      </c>
      <c r="R741" s="4" t="str">
        <f>IFERROR(VLOOKUP(IF(F741="Total",F740,F741),Table1[[Property]:['# Units]],7,0)*S741,"")</f>
        <v/>
      </c>
      <c r="S741" s="27" t="str">
        <f t="shared" si="123"/>
        <v/>
      </c>
      <c r="T741" s="531" t="str">
        <f>IFERROR(
 IF($F741="Total",
   SUMPRODUCT(
   INDEX(T:T, ROW()-COUNTIF($F$6:INDEX($F:$F, ROW()-1), $F740)) : INDEX(T:T, ROW()-1),
   INDEX(W:W, ROW()-COUNTIF($F$6:INDEX($F:$F, ROW()-1), $F740)) : INDEX(W:W, ROW()-1)
   )
   /SUM(INDEX(W:W, ROW()-COUNTIF($F$6:INDEX($F:$F, ROW()-1), $F740)) : INDEX(W:W, ROW()-1)),
   AVERAGEIFS(
     INDEX((unit_details[Asking Rent],unit_details[Asking PSF]),0,1,IF($U$3="Chunk Rent",1,2)),
     unit_details[Leased Date],"&gt;="&amp;($AM$2-T$5),
     unit_details[Leased Date],"&lt;"&amp;$AM$2,
     unit_details[Beds],$L741,
     unit_details[Baths],$M741,
     unit_details[Partial Baths],IF(ISNUMBER($N741),$N741,""),
     unit_details[Sqft],$P741,
     unit_details[Property Name],$F741)
 ),"")</f>
        <v/>
      </c>
      <c r="U741" s="552" t="str">
        <f>IFERROR(
 IF($F741="Total",
   SUMPRODUCT(
   INDEX(U:U, ROW()-COUNTIF($F$6:INDEX($F:$F, ROW()-1), $F740)) : INDEX(U:U, ROW()-1),
   INDEX(W:W, ROW()-COUNTIF($F$6:INDEX($F:$F, ROW()-1), $F740)) : INDEX(W:W, ROW()-1)
   )
   /SUM(INDEX(W:W, ROW()-COUNTIF($F$6:INDEX($F:$F, ROW()-1), $F740)) : INDEX(W:W, ROW()-1)),
   AVERAGEIFS(
     INDEX((unit_details[Effective Rent],unit_details[Effective PSF]),0,1,IF($U$3="Chunk Rent",1,2)),
     unit_details[Leased Date],"&gt;="&amp;($AM$2-T$5),
     unit_details[Leased Date],"&lt;"&amp;$AM$2,
     unit_details[Beds],$L741,
     unit_details[Baths],$M741,
     unit_details[Partial Baths],IF(ISNUMBER($N741),$N741,""),
     unit_details[Sqft],$P741,
     unit_details[Property Name],$F741)
 ),"")</f>
        <v/>
      </c>
      <c r="V741" s="27" t="str">
        <f t="shared" si="131"/>
        <v/>
      </c>
      <c r="W741" s="526">
        <f>IFERROR(
  IF($F741="Total",
    SUM(INDEX(W:W, ROW()-COUNTIF($F$6:INDEX($F:$F, ROW()-1), $F740)) : INDEX(W:W, ROW()-1)),
    COUNTIFS(
      unit_details[Leased Date], "&gt;="&amp;($AM$2-T$5),
      unit_details[Leased Date], "&lt;"&amp;$AM$2,
      unit_details[Beds], $L741,
      unit_details[Baths], $M741,
      unit_details[Partial Baths], IF(ISNUMBER($N741), $N741, ""),
      unit_details[Sqft],$P741,
      unit_details[Property Name], $F741
    )
  ),
"")</f>
        <v>0</v>
      </c>
      <c r="X741" s="531" t="str">
        <f>IFERROR(
 IF($F741="Total",
   SUMPRODUCT(
   INDEX(X:X, ROW()-COUNTIF($F$6:INDEX($F:$F, ROW()-1), $F740)) : INDEX(X:X, ROW()-1),
   INDEX(AA:AA, ROW()-COUNTIF($F$6:INDEX($F:$F, ROW()-1), $F740)) : INDEX(AA:AA, ROW()-1)
   )
   /SUM(INDEX(AA:AA, ROW()-COUNTIF($F$6:INDEX($F:$F, ROW()-1), $F740)) : INDEX(AA:AA, ROW()-1)),
   AVERAGEIFS(
     INDEX((unit_details[Asking Rent],unit_details[Asking PSF]),0,1,IF($U$3="Chunk Rent",1,2)),
     unit_details[Leased Date],"&gt;="&amp;($AM$2-X$5),
     unit_details[Leased Date],"&lt;"&amp;$AM$2,
     unit_details[Beds],$L741,
     unit_details[Baths],$M741,
     unit_details[Partial Baths],IF(ISNUMBER($N741),$N741,""),
     unit_details[Sqft],$P741,
     unit_details[Property Name],$F741)
 ),"")</f>
        <v/>
      </c>
      <c r="Y741" s="552" t="str">
        <f>IFERROR(
 IF($F741="Total",
   SUMPRODUCT(
   INDEX(Y:Y, ROW()-COUNTIF($F$6:INDEX($F:$F, ROW()-1), $F740)) : INDEX(Y:Y, ROW()-1),
   INDEX(AA:AA, ROW()-COUNTIF($F$6:INDEX($F:$F, ROW()-1), $F740)) : INDEX(AA:AA, ROW()-1)
   )
   /SUM(INDEX(AA:AA, ROW()-COUNTIF($F$6:INDEX($F:$F, ROW()-1), $F740)) : INDEX(AA:AA, ROW()-1)),
   AVERAGEIFS(
     INDEX((unit_details[Effective Rent],unit_details[Effective PSF]),0,1,IF($U$3="Chunk Rent",1,2)),
     unit_details[Leased Date],"&gt;="&amp;($AM$2-X$5),
     unit_details[Leased Date],"&lt;"&amp;$AM$2,
     unit_details[Beds],$L741,
     unit_details[Baths],$M741,
     unit_details[Partial Baths],IF(ISNUMBER($N741),$N741,""),
     unit_details[Sqft],$P741,
     unit_details[Property Name],$F741)
 ),"")</f>
        <v/>
      </c>
      <c r="Z741" s="27" t="str">
        <f t="shared" si="132"/>
        <v/>
      </c>
      <c r="AA741" s="526">
        <f>IFERROR(
  IF($F741="Total",
    SUM(INDEX(AA:AA, ROW()-COUNTIF($F$6:INDEX($F:$F, ROW()-1), $F740)) : INDEX(AA:AA, ROW()-1)),
    COUNTIFS(
      unit_details[Leased Date], "&gt;="&amp;($AM$2-X$5),
      unit_details[Leased Date], "&lt;"&amp;$AM$2,
      unit_details[Beds], $L741,
      unit_details[Baths], $M741,
      unit_details[Partial Baths], IF(ISNUMBER($N741), $N741, ""),
      unit_details[Sqft],$P741,
      unit_details[Property Name], $F741
    )
  ),
"")</f>
        <v>0</v>
      </c>
      <c r="AB741" s="290">
        <f>IF($F741="Total",
SUM(INDEX(AB:AB, ROW()-COUNTIF($F$6:INDEX($F:$F, ROW()-1), $F740)) : INDEX(AB:AB, ROW()-1)),
COUNTIFS(unit_details[Active Listing?],TRUE,
          unit_details[Property Name], $F741,
          unit_details[Beds], $L741,
          unit_details[Baths], $M741,
          unit_details[Partial Baths],IF(ISNUMBER($N741),$N741,""),
          unit_details[Sqft],$P741))</f>
        <v>0</v>
      </c>
      <c r="AC741" s="27" t="str">
        <f t="shared" si="124"/>
        <v/>
      </c>
      <c r="AD741" s="293" t="str">
        <f>IFERROR(IF(AE741="","",IF($F741="Total",
SUMPRODUCT(
   INDEX(AD:AD, ROW()-COUNTIF($F$6:INDEX($F:$F, ROW()-1), $F740)) : INDEX(AD:AD, ROW()-1),
   INDEX(AB:AB, ROW()-COUNTIF($F$6:INDEX($F:$F, ROW()-1), $F740)) : INDEX(AB:AB, ROW()-1)
   )
   /SUM(INDEX(AB:AB, ROW()-COUNTIF($F$6:INDEX($F:$F, ROW()-1), $F740)) : INDEX(AB:AB, ROW()-1)),
          _xlfn.MINIFS(unit_details[Asking Rent],
          unit_details[Active Listing?],TRUE,
          unit_details[Property Name], $F741,
          unit_details[Beds], $L741,
          unit_details[Baths], $M741,
          unit_details[Partial Baths], IF(ISNUMBER($N741),$N741,""),
          unit_details[Sqft],$P741
))),"")</f>
        <v/>
      </c>
      <c r="AE741" s="5" t="str">
        <f>IFERROR(IF($F741="Total",
          SUMPRODUCT(
   INDEX(AE:AE, ROW()-COUNTIF($F$6:INDEX($F:$F, ROW()-1), $F740)) : INDEX(AE:AE, ROW()-1),
   INDEX(AB:AB, ROW()-COUNTIF($F$6:INDEX($F:$F, ROW()-1), $F740)) : INDEX(AB:AB, ROW()-1)
   )
   /SUM(INDEX(AB:AB, ROW()-COUNTIF($F$6:INDEX($F:$F, ROW()-1), $F740)) : INDEX(AB:AB, ROW()-1)),
          AVERAGEIFS(unit_details[Asking Rent],
          unit_details[Active Listing?],TRUE,
          unit_details[Property Name], $F741,
          unit_details[Beds], $L741,
          unit_details[Baths], $M741,
          unit_details[Partial Baths], IF(ISNUMBER($N741),$N741,""),
          unit_details[Sqft],$P741
)),"")</f>
        <v/>
      </c>
      <c r="AF741" s="5" t="str">
        <f>IFERROR(IF(AE741="","",IF($F741="Total",
SUMPRODUCT(
   INDEX(AF:AF, ROW()-COUNTIF($F$6:INDEX($F:$F, ROW()-1), $F740)) : INDEX(AF:AF, ROW()-1),
   INDEX(AB:AB, ROW()-COUNTIF($F$6:INDEX($F:$F, ROW()-1), $F740)) : INDEX(AB:AB, ROW()-1)
   )
   /SUM(INDEX(AB:AB, ROW()-COUNTIF($F$6:INDEX($F:$F, ROW()-1), $F740)) : INDEX(AB:AB, ROW()-1)),
           _xlfn.MAXIFS(unit_details[Asking Rent],
          unit_details[Active Listing?],TRUE,
          unit_details[Property Name], $F741,
          unit_details[Beds], $L741,
          unit_details[Baths], $M741,
          unit_details[Partial Baths], IF(ISNUMBER($N741),$N741,""),
          unit_details[Sqft],$P741
))),"")</f>
        <v/>
      </c>
      <c r="AG741" s="6" t="str">
        <f>IFERROR(IF($F741="Total",
         SUMPRODUCT(
         INDEX(AG:AG, ROW()-COUNTIF($F$6:INDEX($F:$F, ROW()-1), $F740)) : INDEX(AG:AG, ROW()-1),
         INDEX(AB:AB, ROW()-COUNTIF($F$6:INDEX($F:$F, ROW()-1), $F740)) : INDEX(AB:AB, ROW()-1)
         )
         /SUM(INDEX(AB:AB, ROW()-COUNTIF($F$6:INDEX($F:$F, ROW()-1), $F740)) : INDEX(AB:AB, ROW()-1)),
          AVERAGEIFS(unit_details[Asking PSF],
          unit_details[Active Listing?],TRUE,
          unit_details[Property Name], $F741,
          unit_details[Beds], $L741,
          unit_details[Baths], $M741,
          unit_details[Partial Baths], IF(ISNUMBER($N741),$N741,""),
          unit_details[Sqft],$P741
)),"")</f>
        <v/>
      </c>
      <c r="AH741" s="293" t="str">
        <f>IFERROR(IF($F741="Total",
         SUMPRODUCT(
         INDEX(AH:AH, ROW()-COUNTIF($F$6:INDEX($F:$F, ROW()-1), $F740)) : INDEX(AH:AH, ROW()-1),
         INDEX(AB:AB, ROW()-COUNTIF($F$6:INDEX($F:$F, ROW()-1), $F740)) : INDEX(AB:AB, ROW()-1)
         )
         /SUM(INDEX(AB:AB, ROW()-COUNTIF($F$6:INDEX($F:$F, ROW()-1), $F740)) : INDEX(AB:AB, ROW()-1)),
          AVERAGEIFS(unit_details[Effective Rent],
          unit_details[Active Listing?],TRUE,
          unit_details[Property Name], $F741,
          unit_details[Beds], $L741,
          unit_details[Baths], $M741,
          unit_details[Partial Baths], IF(ISNUMBER($N741),$N741,""),
          unit_details[Sqft],$P741
)),"")</f>
        <v/>
      </c>
      <c r="AI741" s="6" t="str">
        <f>IFERROR(IF($F741="Total",
         SUMPRODUCT(
         INDEX(AI:AI, ROW()-COUNTIF($F$6:INDEX($F:$F, ROW()-1), $F740)) : INDEX(AI:AI, ROW()-1),
         INDEX(AB:AB, ROW()-COUNTIF($F$6:INDEX($F:$F, ROW()-1), $F740)) : INDEX(AB:AB, ROW()-1)
         )
         /SUM(INDEX(AB:AB, ROW()-COUNTIF($F$6:INDEX($F:$F, ROW()-1), $F740)) : INDEX(AB:AB, ROW()-1)),
           AVERAGEIFS(unit_details[Effective PSF],
          unit_details[Active Listing?],TRUE,
          unit_details[Property Name], $F741,
          unit_details[Beds], $L741,
          unit_details[Baths], $M741,
          unit_details[Partial Baths], IF(ISNUMBER($N741),$N741,""),
          unit_details[Sqft],$P741
)),"")</f>
        <v/>
      </c>
      <c r="AJ741" s="824" t="str">
        <f t="shared" si="125"/>
        <v/>
      </c>
      <c r="AK741" s="531" t="str">
        <f t="shared" si="126"/>
        <v/>
      </c>
      <c r="AL741" s="714" t="str">
        <f t="shared" si="127"/>
        <v/>
      </c>
      <c r="AM741" s="531" t="str">
        <f t="shared" si="128"/>
        <v/>
      </c>
      <c r="AN741" s="716" t="str">
        <f t="shared" si="129"/>
        <v/>
      </c>
    </row>
    <row r="742" spans="6:40" x14ac:dyDescent="0.2">
      <c r="F742" s="1" t="str">
        <f t="shared" si="122"/>
        <v/>
      </c>
      <c r="G742" s="713" t="str">
        <f t="shared" si="130"/>
        <v/>
      </c>
      <c r="H742" s="17" t="str">
        <f>IFERROR(VLOOKUP($G742,Table1[[Property]:[Exposure %]],4,0),"")</f>
        <v/>
      </c>
      <c r="I742" s="3" t="str">
        <f>IFERROR(VLOOKUP($G742,Table1[[Property]:[Exposure %]],6,0),"")</f>
        <v/>
      </c>
      <c r="J742" s="3" t="str">
        <f>IFERROR(VLOOKUP($G742,Table1[[Property]:[Exposure %]],7,0),"")</f>
        <v/>
      </c>
      <c r="R742" s="4" t="str">
        <f>IFERROR(VLOOKUP(IF(F742="Total",F741,F742),Table1[[Property]:['# Units]],7,0)*S742,"")</f>
        <v/>
      </c>
      <c r="S742" s="27" t="str">
        <f t="shared" si="123"/>
        <v/>
      </c>
      <c r="T742" s="531" t="str">
        <f>IFERROR(
 IF($F742="Total",
   SUMPRODUCT(
   INDEX(T:T, ROW()-COUNTIF($F$6:INDEX($F:$F, ROW()-1), $F741)) : INDEX(T:T, ROW()-1),
   INDEX(W:W, ROW()-COUNTIF($F$6:INDEX($F:$F, ROW()-1), $F741)) : INDEX(W:W, ROW()-1)
   )
   /SUM(INDEX(W:W, ROW()-COUNTIF($F$6:INDEX($F:$F, ROW()-1), $F741)) : INDEX(W:W, ROW()-1)),
   AVERAGEIFS(
     INDEX((unit_details[Asking Rent],unit_details[Asking PSF]),0,1,IF($U$3="Chunk Rent",1,2)),
     unit_details[Leased Date],"&gt;="&amp;($AM$2-T$5),
     unit_details[Leased Date],"&lt;"&amp;$AM$2,
     unit_details[Beds],$L742,
     unit_details[Baths],$M742,
     unit_details[Partial Baths],IF(ISNUMBER($N742),$N742,""),
     unit_details[Sqft],$P742,
     unit_details[Property Name],$F742)
 ),"")</f>
        <v/>
      </c>
      <c r="U742" s="552" t="str">
        <f>IFERROR(
 IF($F742="Total",
   SUMPRODUCT(
   INDEX(U:U, ROW()-COUNTIF($F$6:INDEX($F:$F, ROW()-1), $F741)) : INDEX(U:U, ROW()-1),
   INDEX(W:W, ROW()-COUNTIF($F$6:INDEX($F:$F, ROW()-1), $F741)) : INDEX(W:W, ROW()-1)
   )
   /SUM(INDEX(W:W, ROW()-COUNTIF($F$6:INDEX($F:$F, ROW()-1), $F741)) : INDEX(W:W, ROW()-1)),
   AVERAGEIFS(
     INDEX((unit_details[Effective Rent],unit_details[Effective PSF]),0,1,IF($U$3="Chunk Rent",1,2)),
     unit_details[Leased Date],"&gt;="&amp;($AM$2-T$5),
     unit_details[Leased Date],"&lt;"&amp;$AM$2,
     unit_details[Beds],$L742,
     unit_details[Baths],$M742,
     unit_details[Partial Baths],IF(ISNUMBER($N742),$N742,""),
     unit_details[Sqft],$P742,
     unit_details[Property Name],$F742)
 ),"")</f>
        <v/>
      </c>
      <c r="V742" s="27" t="str">
        <f t="shared" si="131"/>
        <v/>
      </c>
      <c r="W742" s="526">
        <f>IFERROR(
  IF($F742="Total",
    SUM(INDEX(W:W, ROW()-COUNTIF($F$6:INDEX($F:$F, ROW()-1), $F741)) : INDEX(W:W, ROW()-1)),
    COUNTIFS(
      unit_details[Leased Date], "&gt;="&amp;($AM$2-T$5),
      unit_details[Leased Date], "&lt;"&amp;$AM$2,
      unit_details[Beds], $L742,
      unit_details[Baths], $M742,
      unit_details[Partial Baths], IF(ISNUMBER($N742), $N742, ""),
      unit_details[Sqft],$P742,
      unit_details[Property Name], $F742
    )
  ),
"")</f>
        <v>0</v>
      </c>
      <c r="X742" s="531" t="str">
        <f>IFERROR(
 IF($F742="Total",
   SUMPRODUCT(
   INDEX(X:X, ROW()-COUNTIF($F$6:INDEX($F:$F, ROW()-1), $F741)) : INDEX(X:X, ROW()-1),
   INDEX(AA:AA, ROW()-COUNTIF($F$6:INDEX($F:$F, ROW()-1), $F741)) : INDEX(AA:AA, ROW()-1)
   )
   /SUM(INDEX(AA:AA, ROW()-COUNTIF($F$6:INDEX($F:$F, ROW()-1), $F741)) : INDEX(AA:AA, ROW()-1)),
   AVERAGEIFS(
     INDEX((unit_details[Asking Rent],unit_details[Asking PSF]),0,1,IF($U$3="Chunk Rent",1,2)),
     unit_details[Leased Date],"&gt;="&amp;($AM$2-X$5),
     unit_details[Leased Date],"&lt;"&amp;$AM$2,
     unit_details[Beds],$L742,
     unit_details[Baths],$M742,
     unit_details[Partial Baths],IF(ISNUMBER($N742),$N742,""),
     unit_details[Sqft],$P742,
     unit_details[Property Name],$F742)
 ),"")</f>
        <v/>
      </c>
      <c r="Y742" s="552" t="str">
        <f>IFERROR(
 IF($F742="Total",
   SUMPRODUCT(
   INDEX(Y:Y, ROW()-COUNTIF($F$6:INDEX($F:$F, ROW()-1), $F741)) : INDEX(Y:Y, ROW()-1),
   INDEX(AA:AA, ROW()-COUNTIF($F$6:INDEX($F:$F, ROW()-1), $F741)) : INDEX(AA:AA, ROW()-1)
   )
   /SUM(INDEX(AA:AA, ROW()-COUNTIF($F$6:INDEX($F:$F, ROW()-1), $F741)) : INDEX(AA:AA, ROW()-1)),
   AVERAGEIFS(
     INDEX((unit_details[Effective Rent],unit_details[Effective PSF]),0,1,IF($U$3="Chunk Rent",1,2)),
     unit_details[Leased Date],"&gt;="&amp;($AM$2-X$5),
     unit_details[Leased Date],"&lt;"&amp;$AM$2,
     unit_details[Beds],$L742,
     unit_details[Baths],$M742,
     unit_details[Partial Baths],IF(ISNUMBER($N742),$N742,""),
     unit_details[Sqft],$P742,
     unit_details[Property Name],$F742)
 ),"")</f>
        <v/>
      </c>
      <c r="Z742" s="27" t="str">
        <f t="shared" si="132"/>
        <v/>
      </c>
      <c r="AA742" s="526">
        <f>IFERROR(
  IF($F742="Total",
    SUM(INDEX(AA:AA, ROW()-COUNTIF($F$6:INDEX($F:$F, ROW()-1), $F741)) : INDEX(AA:AA, ROW()-1)),
    COUNTIFS(
      unit_details[Leased Date], "&gt;="&amp;($AM$2-X$5),
      unit_details[Leased Date], "&lt;"&amp;$AM$2,
      unit_details[Beds], $L742,
      unit_details[Baths], $M742,
      unit_details[Partial Baths], IF(ISNUMBER($N742), $N742, ""),
      unit_details[Sqft],$P742,
      unit_details[Property Name], $F742
    )
  ),
"")</f>
        <v>0</v>
      </c>
      <c r="AB742" s="290">
        <f>IF($F742="Total",
SUM(INDEX(AB:AB, ROW()-COUNTIF($F$6:INDEX($F:$F, ROW()-1), $F741)) : INDEX(AB:AB, ROW()-1)),
COUNTIFS(unit_details[Active Listing?],TRUE,
          unit_details[Property Name], $F742,
          unit_details[Beds], $L742,
          unit_details[Baths], $M742,
          unit_details[Partial Baths],IF(ISNUMBER($N742),$N742,""),
          unit_details[Sqft],$P742))</f>
        <v>0</v>
      </c>
      <c r="AC742" s="27" t="str">
        <f t="shared" si="124"/>
        <v/>
      </c>
      <c r="AD742" s="293" t="str">
        <f>IFERROR(IF(AE742="","",IF($F742="Total",
SUMPRODUCT(
   INDEX(AD:AD, ROW()-COUNTIF($F$6:INDEX($F:$F, ROW()-1), $F741)) : INDEX(AD:AD, ROW()-1),
   INDEX(AB:AB, ROW()-COUNTIF($F$6:INDEX($F:$F, ROW()-1), $F741)) : INDEX(AB:AB, ROW()-1)
   )
   /SUM(INDEX(AB:AB, ROW()-COUNTIF($F$6:INDEX($F:$F, ROW()-1), $F741)) : INDEX(AB:AB, ROW()-1)),
          _xlfn.MINIFS(unit_details[Asking Rent],
          unit_details[Active Listing?],TRUE,
          unit_details[Property Name], $F742,
          unit_details[Beds], $L742,
          unit_details[Baths], $M742,
          unit_details[Partial Baths], IF(ISNUMBER($N742),$N742,""),
          unit_details[Sqft],$P742
))),"")</f>
        <v/>
      </c>
      <c r="AE742" s="5" t="str">
        <f>IFERROR(IF($F742="Total",
          SUMPRODUCT(
   INDEX(AE:AE, ROW()-COUNTIF($F$6:INDEX($F:$F, ROW()-1), $F741)) : INDEX(AE:AE, ROW()-1),
   INDEX(AB:AB, ROW()-COUNTIF($F$6:INDEX($F:$F, ROW()-1), $F741)) : INDEX(AB:AB, ROW()-1)
   )
   /SUM(INDEX(AB:AB, ROW()-COUNTIF($F$6:INDEX($F:$F, ROW()-1), $F741)) : INDEX(AB:AB, ROW()-1)),
          AVERAGEIFS(unit_details[Asking Rent],
          unit_details[Active Listing?],TRUE,
          unit_details[Property Name], $F742,
          unit_details[Beds], $L742,
          unit_details[Baths], $M742,
          unit_details[Partial Baths], IF(ISNUMBER($N742),$N742,""),
          unit_details[Sqft],$P742
)),"")</f>
        <v/>
      </c>
      <c r="AF742" s="5" t="str">
        <f>IFERROR(IF(AE742="","",IF($F742="Total",
SUMPRODUCT(
   INDEX(AF:AF, ROW()-COUNTIF($F$6:INDEX($F:$F, ROW()-1), $F741)) : INDEX(AF:AF, ROW()-1),
   INDEX(AB:AB, ROW()-COUNTIF($F$6:INDEX($F:$F, ROW()-1), $F741)) : INDEX(AB:AB, ROW()-1)
   )
   /SUM(INDEX(AB:AB, ROW()-COUNTIF($F$6:INDEX($F:$F, ROW()-1), $F741)) : INDEX(AB:AB, ROW()-1)),
           _xlfn.MAXIFS(unit_details[Asking Rent],
          unit_details[Active Listing?],TRUE,
          unit_details[Property Name], $F742,
          unit_details[Beds], $L742,
          unit_details[Baths], $M742,
          unit_details[Partial Baths], IF(ISNUMBER($N742),$N742,""),
          unit_details[Sqft],$P742
))),"")</f>
        <v/>
      </c>
      <c r="AG742" s="6" t="str">
        <f>IFERROR(IF($F742="Total",
         SUMPRODUCT(
         INDEX(AG:AG, ROW()-COUNTIF($F$6:INDEX($F:$F, ROW()-1), $F741)) : INDEX(AG:AG, ROW()-1),
         INDEX(AB:AB, ROW()-COUNTIF($F$6:INDEX($F:$F, ROW()-1), $F741)) : INDEX(AB:AB, ROW()-1)
         )
         /SUM(INDEX(AB:AB, ROW()-COUNTIF($F$6:INDEX($F:$F, ROW()-1), $F741)) : INDEX(AB:AB, ROW()-1)),
          AVERAGEIFS(unit_details[Asking PSF],
          unit_details[Active Listing?],TRUE,
          unit_details[Property Name], $F742,
          unit_details[Beds], $L742,
          unit_details[Baths], $M742,
          unit_details[Partial Baths], IF(ISNUMBER($N742),$N742,""),
          unit_details[Sqft],$P742
)),"")</f>
        <v/>
      </c>
      <c r="AH742" s="293" t="str">
        <f>IFERROR(IF($F742="Total",
         SUMPRODUCT(
         INDEX(AH:AH, ROW()-COUNTIF($F$6:INDEX($F:$F, ROW()-1), $F741)) : INDEX(AH:AH, ROW()-1),
         INDEX(AB:AB, ROW()-COUNTIF($F$6:INDEX($F:$F, ROW()-1), $F741)) : INDEX(AB:AB, ROW()-1)
         )
         /SUM(INDEX(AB:AB, ROW()-COUNTIF($F$6:INDEX($F:$F, ROW()-1), $F741)) : INDEX(AB:AB, ROW()-1)),
          AVERAGEIFS(unit_details[Effective Rent],
          unit_details[Active Listing?],TRUE,
          unit_details[Property Name], $F742,
          unit_details[Beds], $L742,
          unit_details[Baths], $M742,
          unit_details[Partial Baths], IF(ISNUMBER($N742),$N742,""),
          unit_details[Sqft],$P742
)),"")</f>
        <v/>
      </c>
      <c r="AI742" s="6" t="str">
        <f>IFERROR(IF($F742="Total",
         SUMPRODUCT(
         INDEX(AI:AI, ROW()-COUNTIF($F$6:INDEX($F:$F, ROW()-1), $F741)) : INDEX(AI:AI, ROW()-1),
         INDEX(AB:AB, ROW()-COUNTIF($F$6:INDEX($F:$F, ROW()-1), $F741)) : INDEX(AB:AB, ROW()-1)
         )
         /SUM(INDEX(AB:AB, ROW()-COUNTIF($F$6:INDEX($F:$F, ROW()-1), $F741)) : INDEX(AB:AB, ROW()-1)),
           AVERAGEIFS(unit_details[Effective PSF],
          unit_details[Active Listing?],TRUE,
          unit_details[Property Name], $F742,
          unit_details[Beds], $L742,
          unit_details[Baths], $M742,
          unit_details[Partial Baths], IF(ISNUMBER($N742),$N742,""),
          unit_details[Sqft],$P742
)),"")</f>
        <v/>
      </c>
      <c r="AJ742" s="824" t="str">
        <f t="shared" si="125"/>
        <v/>
      </c>
      <c r="AK742" s="531" t="str">
        <f t="shared" si="126"/>
        <v/>
      </c>
      <c r="AL742" s="714" t="str">
        <f t="shared" si="127"/>
        <v/>
      </c>
      <c r="AM742" s="531" t="str">
        <f t="shared" si="128"/>
        <v/>
      </c>
      <c r="AN742" s="716" t="str">
        <f t="shared" si="129"/>
        <v/>
      </c>
    </row>
    <row r="743" spans="6:40" x14ac:dyDescent="0.2">
      <c r="F743" s="1" t="str">
        <f t="shared" si="122"/>
        <v/>
      </c>
      <c r="G743" s="713" t="str">
        <f t="shared" si="130"/>
        <v/>
      </c>
      <c r="H743" s="17" t="str">
        <f>IFERROR(VLOOKUP($G743,Table1[[Property]:[Exposure %]],4,0),"")</f>
        <v/>
      </c>
      <c r="I743" s="3" t="str">
        <f>IFERROR(VLOOKUP($G743,Table1[[Property]:[Exposure %]],6,0),"")</f>
        <v/>
      </c>
      <c r="J743" s="3" t="str">
        <f>IFERROR(VLOOKUP($G743,Table1[[Property]:[Exposure %]],7,0),"")</f>
        <v/>
      </c>
      <c r="R743" s="4" t="str">
        <f>IFERROR(VLOOKUP(IF(F743="Total",F742,F743),Table1[[Property]:['# Units]],7,0)*S743,"")</f>
        <v/>
      </c>
      <c r="S743" s="27" t="str">
        <f t="shared" si="123"/>
        <v/>
      </c>
      <c r="T743" s="531" t="str">
        <f>IFERROR(
 IF($F743="Total",
   SUMPRODUCT(
   INDEX(T:T, ROW()-COUNTIF($F$6:INDEX($F:$F, ROW()-1), $F742)) : INDEX(T:T, ROW()-1),
   INDEX(W:W, ROW()-COUNTIF($F$6:INDEX($F:$F, ROW()-1), $F742)) : INDEX(W:W, ROW()-1)
   )
   /SUM(INDEX(W:W, ROW()-COUNTIF($F$6:INDEX($F:$F, ROW()-1), $F742)) : INDEX(W:W, ROW()-1)),
   AVERAGEIFS(
     INDEX((unit_details[Asking Rent],unit_details[Asking PSF]),0,1,IF($U$3="Chunk Rent",1,2)),
     unit_details[Leased Date],"&gt;="&amp;($AM$2-T$5),
     unit_details[Leased Date],"&lt;"&amp;$AM$2,
     unit_details[Beds],$L743,
     unit_details[Baths],$M743,
     unit_details[Partial Baths],IF(ISNUMBER($N743),$N743,""),
     unit_details[Sqft],$P743,
     unit_details[Property Name],$F743)
 ),"")</f>
        <v/>
      </c>
      <c r="U743" s="552" t="str">
        <f>IFERROR(
 IF($F743="Total",
   SUMPRODUCT(
   INDEX(U:U, ROW()-COUNTIF($F$6:INDEX($F:$F, ROW()-1), $F742)) : INDEX(U:U, ROW()-1),
   INDEX(W:W, ROW()-COUNTIF($F$6:INDEX($F:$F, ROW()-1), $F742)) : INDEX(W:W, ROW()-1)
   )
   /SUM(INDEX(W:W, ROW()-COUNTIF($F$6:INDEX($F:$F, ROW()-1), $F742)) : INDEX(W:W, ROW()-1)),
   AVERAGEIFS(
     INDEX((unit_details[Effective Rent],unit_details[Effective PSF]),0,1,IF($U$3="Chunk Rent",1,2)),
     unit_details[Leased Date],"&gt;="&amp;($AM$2-T$5),
     unit_details[Leased Date],"&lt;"&amp;$AM$2,
     unit_details[Beds],$L743,
     unit_details[Baths],$M743,
     unit_details[Partial Baths],IF(ISNUMBER($N743),$N743,""),
     unit_details[Sqft],$P743,
     unit_details[Property Name],$F743)
 ),"")</f>
        <v/>
      </c>
      <c r="V743" s="27" t="str">
        <f t="shared" si="131"/>
        <v/>
      </c>
      <c r="W743" s="526">
        <f>IFERROR(
  IF($F743="Total",
    SUM(INDEX(W:W, ROW()-COUNTIF($F$6:INDEX($F:$F, ROW()-1), $F742)) : INDEX(W:W, ROW()-1)),
    COUNTIFS(
      unit_details[Leased Date], "&gt;="&amp;($AM$2-T$5),
      unit_details[Leased Date], "&lt;"&amp;$AM$2,
      unit_details[Beds], $L743,
      unit_details[Baths], $M743,
      unit_details[Partial Baths], IF(ISNUMBER($N743), $N743, ""),
      unit_details[Sqft],$P743,
      unit_details[Property Name], $F743
    )
  ),
"")</f>
        <v>0</v>
      </c>
      <c r="X743" s="531" t="str">
        <f>IFERROR(
 IF($F743="Total",
   SUMPRODUCT(
   INDEX(X:X, ROW()-COUNTIF($F$6:INDEX($F:$F, ROW()-1), $F742)) : INDEX(X:X, ROW()-1),
   INDEX(AA:AA, ROW()-COUNTIF($F$6:INDEX($F:$F, ROW()-1), $F742)) : INDEX(AA:AA, ROW()-1)
   )
   /SUM(INDEX(AA:AA, ROW()-COUNTIF($F$6:INDEX($F:$F, ROW()-1), $F742)) : INDEX(AA:AA, ROW()-1)),
   AVERAGEIFS(
     INDEX((unit_details[Asking Rent],unit_details[Asking PSF]),0,1,IF($U$3="Chunk Rent",1,2)),
     unit_details[Leased Date],"&gt;="&amp;($AM$2-X$5),
     unit_details[Leased Date],"&lt;"&amp;$AM$2,
     unit_details[Beds],$L743,
     unit_details[Baths],$M743,
     unit_details[Partial Baths],IF(ISNUMBER($N743),$N743,""),
     unit_details[Sqft],$P743,
     unit_details[Property Name],$F743)
 ),"")</f>
        <v/>
      </c>
      <c r="Y743" s="552" t="str">
        <f>IFERROR(
 IF($F743="Total",
   SUMPRODUCT(
   INDEX(Y:Y, ROW()-COUNTIF($F$6:INDEX($F:$F, ROW()-1), $F742)) : INDEX(Y:Y, ROW()-1),
   INDEX(AA:AA, ROW()-COUNTIF($F$6:INDEX($F:$F, ROW()-1), $F742)) : INDEX(AA:AA, ROW()-1)
   )
   /SUM(INDEX(AA:AA, ROW()-COUNTIF($F$6:INDEX($F:$F, ROW()-1), $F742)) : INDEX(AA:AA, ROW()-1)),
   AVERAGEIFS(
     INDEX((unit_details[Effective Rent],unit_details[Effective PSF]),0,1,IF($U$3="Chunk Rent",1,2)),
     unit_details[Leased Date],"&gt;="&amp;($AM$2-X$5),
     unit_details[Leased Date],"&lt;"&amp;$AM$2,
     unit_details[Beds],$L743,
     unit_details[Baths],$M743,
     unit_details[Partial Baths],IF(ISNUMBER($N743),$N743,""),
     unit_details[Sqft],$P743,
     unit_details[Property Name],$F743)
 ),"")</f>
        <v/>
      </c>
      <c r="Z743" s="27" t="str">
        <f t="shared" si="132"/>
        <v/>
      </c>
      <c r="AA743" s="526">
        <f>IFERROR(
  IF($F743="Total",
    SUM(INDEX(AA:AA, ROW()-COUNTIF($F$6:INDEX($F:$F, ROW()-1), $F742)) : INDEX(AA:AA, ROW()-1)),
    COUNTIFS(
      unit_details[Leased Date], "&gt;="&amp;($AM$2-X$5),
      unit_details[Leased Date], "&lt;"&amp;$AM$2,
      unit_details[Beds], $L743,
      unit_details[Baths], $M743,
      unit_details[Partial Baths], IF(ISNUMBER($N743), $N743, ""),
      unit_details[Sqft],$P743,
      unit_details[Property Name], $F743
    )
  ),
"")</f>
        <v>0</v>
      </c>
      <c r="AB743" s="290">
        <f>IF($F743="Total",
SUM(INDEX(AB:AB, ROW()-COUNTIF($F$6:INDEX($F:$F, ROW()-1), $F742)) : INDEX(AB:AB, ROW()-1)),
COUNTIFS(unit_details[Active Listing?],TRUE,
          unit_details[Property Name], $F743,
          unit_details[Beds], $L743,
          unit_details[Baths], $M743,
          unit_details[Partial Baths],IF(ISNUMBER($N743),$N743,""),
          unit_details[Sqft],$P743))</f>
        <v>0</v>
      </c>
      <c r="AC743" s="27" t="str">
        <f t="shared" si="124"/>
        <v/>
      </c>
      <c r="AD743" s="293" t="str">
        <f>IFERROR(IF(AE743="","",IF($F743="Total",
SUMPRODUCT(
   INDEX(AD:AD, ROW()-COUNTIF($F$6:INDEX($F:$F, ROW()-1), $F742)) : INDEX(AD:AD, ROW()-1),
   INDEX(AB:AB, ROW()-COUNTIF($F$6:INDEX($F:$F, ROW()-1), $F742)) : INDEX(AB:AB, ROW()-1)
   )
   /SUM(INDEX(AB:AB, ROW()-COUNTIF($F$6:INDEX($F:$F, ROW()-1), $F742)) : INDEX(AB:AB, ROW()-1)),
          _xlfn.MINIFS(unit_details[Asking Rent],
          unit_details[Active Listing?],TRUE,
          unit_details[Property Name], $F743,
          unit_details[Beds], $L743,
          unit_details[Baths], $M743,
          unit_details[Partial Baths], IF(ISNUMBER($N743),$N743,""),
          unit_details[Sqft],$P743
))),"")</f>
        <v/>
      </c>
      <c r="AE743" s="5" t="str">
        <f>IFERROR(IF($F743="Total",
          SUMPRODUCT(
   INDEX(AE:AE, ROW()-COUNTIF($F$6:INDEX($F:$F, ROW()-1), $F742)) : INDEX(AE:AE, ROW()-1),
   INDEX(AB:AB, ROW()-COUNTIF($F$6:INDEX($F:$F, ROW()-1), $F742)) : INDEX(AB:AB, ROW()-1)
   )
   /SUM(INDEX(AB:AB, ROW()-COUNTIF($F$6:INDEX($F:$F, ROW()-1), $F742)) : INDEX(AB:AB, ROW()-1)),
          AVERAGEIFS(unit_details[Asking Rent],
          unit_details[Active Listing?],TRUE,
          unit_details[Property Name], $F743,
          unit_details[Beds], $L743,
          unit_details[Baths], $M743,
          unit_details[Partial Baths], IF(ISNUMBER($N743),$N743,""),
          unit_details[Sqft],$P743
)),"")</f>
        <v/>
      </c>
      <c r="AF743" s="5" t="str">
        <f>IFERROR(IF(AE743="","",IF($F743="Total",
SUMPRODUCT(
   INDEX(AF:AF, ROW()-COUNTIF($F$6:INDEX($F:$F, ROW()-1), $F742)) : INDEX(AF:AF, ROW()-1),
   INDEX(AB:AB, ROW()-COUNTIF($F$6:INDEX($F:$F, ROW()-1), $F742)) : INDEX(AB:AB, ROW()-1)
   )
   /SUM(INDEX(AB:AB, ROW()-COUNTIF($F$6:INDEX($F:$F, ROW()-1), $F742)) : INDEX(AB:AB, ROW()-1)),
           _xlfn.MAXIFS(unit_details[Asking Rent],
          unit_details[Active Listing?],TRUE,
          unit_details[Property Name], $F743,
          unit_details[Beds], $L743,
          unit_details[Baths], $M743,
          unit_details[Partial Baths], IF(ISNUMBER($N743),$N743,""),
          unit_details[Sqft],$P743
))),"")</f>
        <v/>
      </c>
      <c r="AG743" s="6" t="str">
        <f>IFERROR(IF($F743="Total",
         SUMPRODUCT(
         INDEX(AG:AG, ROW()-COUNTIF($F$6:INDEX($F:$F, ROW()-1), $F742)) : INDEX(AG:AG, ROW()-1),
         INDEX(AB:AB, ROW()-COUNTIF($F$6:INDEX($F:$F, ROW()-1), $F742)) : INDEX(AB:AB, ROW()-1)
         )
         /SUM(INDEX(AB:AB, ROW()-COUNTIF($F$6:INDEX($F:$F, ROW()-1), $F742)) : INDEX(AB:AB, ROW()-1)),
          AVERAGEIFS(unit_details[Asking PSF],
          unit_details[Active Listing?],TRUE,
          unit_details[Property Name], $F743,
          unit_details[Beds], $L743,
          unit_details[Baths], $M743,
          unit_details[Partial Baths], IF(ISNUMBER($N743),$N743,""),
          unit_details[Sqft],$P743
)),"")</f>
        <v/>
      </c>
      <c r="AH743" s="293" t="str">
        <f>IFERROR(IF($F743="Total",
         SUMPRODUCT(
         INDEX(AH:AH, ROW()-COUNTIF($F$6:INDEX($F:$F, ROW()-1), $F742)) : INDEX(AH:AH, ROW()-1),
         INDEX(AB:AB, ROW()-COUNTIF($F$6:INDEX($F:$F, ROW()-1), $F742)) : INDEX(AB:AB, ROW()-1)
         )
         /SUM(INDEX(AB:AB, ROW()-COUNTIF($F$6:INDEX($F:$F, ROW()-1), $F742)) : INDEX(AB:AB, ROW()-1)),
          AVERAGEIFS(unit_details[Effective Rent],
          unit_details[Active Listing?],TRUE,
          unit_details[Property Name], $F743,
          unit_details[Beds], $L743,
          unit_details[Baths], $M743,
          unit_details[Partial Baths], IF(ISNUMBER($N743),$N743,""),
          unit_details[Sqft],$P743
)),"")</f>
        <v/>
      </c>
      <c r="AI743" s="6" t="str">
        <f>IFERROR(IF($F743="Total",
         SUMPRODUCT(
         INDEX(AI:AI, ROW()-COUNTIF($F$6:INDEX($F:$F, ROW()-1), $F742)) : INDEX(AI:AI, ROW()-1),
         INDEX(AB:AB, ROW()-COUNTIF($F$6:INDEX($F:$F, ROW()-1), $F742)) : INDEX(AB:AB, ROW()-1)
         )
         /SUM(INDEX(AB:AB, ROW()-COUNTIF($F$6:INDEX($F:$F, ROW()-1), $F742)) : INDEX(AB:AB, ROW()-1)),
           AVERAGEIFS(unit_details[Effective PSF],
          unit_details[Active Listing?],TRUE,
          unit_details[Property Name], $F743,
          unit_details[Beds], $L743,
          unit_details[Baths], $M743,
          unit_details[Partial Baths], IF(ISNUMBER($N743),$N743,""),
          unit_details[Sqft],$P743
)),"")</f>
        <v/>
      </c>
      <c r="AJ743" s="824" t="str">
        <f t="shared" si="125"/>
        <v/>
      </c>
      <c r="AK743" s="531" t="str">
        <f t="shared" si="126"/>
        <v/>
      </c>
      <c r="AL743" s="714" t="str">
        <f t="shared" si="127"/>
        <v/>
      </c>
      <c r="AM743" s="531" t="str">
        <f t="shared" si="128"/>
        <v/>
      </c>
      <c r="AN743" s="716" t="str">
        <f t="shared" si="129"/>
        <v/>
      </c>
    </row>
    <row r="744" spans="6:40" x14ac:dyDescent="0.2">
      <c r="F744" s="1" t="str">
        <f t="shared" si="122"/>
        <v/>
      </c>
      <c r="G744" s="713" t="str">
        <f t="shared" si="130"/>
        <v/>
      </c>
      <c r="H744" s="17" t="str">
        <f>IFERROR(VLOOKUP($G744,Table1[[Property]:[Exposure %]],4,0),"")</f>
        <v/>
      </c>
      <c r="I744" s="3" t="str">
        <f>IFERROR(VLOOKUP($G744,Table1[[Property]:[Exposure %]],6,0),"")</f>
        <v/>
      </c>
      <c r="J744" s="3" t="str">
        <f>IFERROR(VLOOKUP($G744,Table1[[Property]:[Exposure %]],7,0),"")</f>
        <v/>
      </c>
      <c r="R744" s="4" t="str">
        <f>IFERROR(VLOOKUP(IF(F744="Total",F743,F744),Table1[[Property]:['# Units]],7,0)*S744,"")</f>
        <v/>
      </c>
      <c r="S744" s="27" t="str">
        <f t="shared" si="123"/>
        <v/>
      </c>
      <c r="T744" s="531" t="str">
        <f>IFERROR(
 IF($F744="Total",
   SUMPRODUCT(
   INDEX(T:T, ROW()-COUNTIF($F$6:INDEX($F:$F, ROW()-1), $F743)) : INDEX(T:T, ROW()-1),
   INDEX(W:W, ROW()-COUNTIF($F$6:INDEX($F:$F, ROW()-1), $F743)) : INDEX(W:W, ROW()-1)
   )
   /SUM(INDEX(W:W, ROW()-COUNTIF($F$6:INDEX($F:$F, ROW()-1), $F743)) : INDEX(W:W, ROW()-1)),
   AVERAGEIFS(
     INDEX((unit_details[Asking Rent],unit_details[Asking PSF]),0,1,IF($U$3="Chunk Rent",1,2)),
     unit_details[Leased Date],"&gt;="&amp;($AM$2-T$5),
     unit_details[Leased Date],"&lt;"&amp;$AM$2,
     unit_details[Beds],$L744,
     unit_details[Baths],$M744,
     unit_details[Partial Baths],IF(ISNUMBER($N744),$N744,""),
     unit_details[Sqft],$P744,
     unit_details[Property Name],$F744)
 ),"")</f>
        <v/>
      </c>
      <c r="U744" s="552" t="str">
        <f>IFERROR(
 IF($F744="Total",
   SUMPRODUCT(
   INDEX(U:U, ROW()-COUNTIF($F$6:INDEX($F:$F, ROW()-1), $F743)) : INDEX(U:U, ROW()-1),
   INDEX(W:W, ROW()-COUNTIF($F$6:INDEX($F:$F, ROW()-1), $F743)) : INDEX(W:W, ROW()-1)
   )
   /SUM(INDEX(W:W, ROW()-COUNTIF($F$6:INDEX($F:$F, ROW()-1), $F743)) : INDEX(W:W, ROW()-1)),
   AVERAGEIFS(
     INDEX((unit_details[Effective Rent],unit_details[Effective PSF]),0,1,IF($U$3="Chunk Rent",1,2)),
     unit_details[Leased Date],"&gt;="&amp;($AM$2-T$5),
     unit_details[Leased Date],"&lt;"&amp;$AM$2,
     unit_details[Beds],$L744,
     unit_details[Baths],$M744,
     unit_details[Partial Baths],IF(ISNUMBER($N744),$N744,""),
     unit_details[Sqft],$P744,
     unit_details[Property Name],$F744)
 ),"")</f>
        <v/>
      </c>
      <c r="V744" s="27" t="str">
        <f t="shared" si="131"/>
        <v/>
      </c>
      <c r="W744" s="526">
        <f>IFERROR(
  IF($F744="Total",
    SUM(INDEX(W:W, ROW()-COUNTIF($F$6:INDEX($F:$F, ROW()-1), $F743)) : INDEX(W:W, ROW()-1)),
    COUNTIFS(
      unit_details[Leased Date], "&gt;="&amp;($AM$2-T$5),
      unit_details[Leased Date], "&lt;"&amp;$AM$2,
      unit_details[Beds], $L744,
      unit_details[Baths], $M744,
      unit_details[Partial Baths], IF(ISNUMBER($N744), $N744, ""),
      unit_details[Sqft],$P744,
      unit_details[Property Name], $F744
    )
  ),
"")</f>
        <v>0</v>
      </c>
      <c r="X744" s="531" t="str">
        <f>IFERROR(
 IF($F744="Total",
   SUMPRODUCT(
   INDEX(X:X, ROW()-COUNTIF($F$6:INDEX($F:$F, ROW()-1), $F743)) : INDEX(X:X, ROW()-1),
   INDEX(AA:AA, ROW()-COUNTIF($F$6:INDEX($F:$F, ROW()-1), $F743)) : INDEX(AA:AA, ROW()-1)
   )
   /SUM(INDEX(AA:AA, ROW()-COUNTIF($F$6:INDEX($F:$F, ROW()-1), $F743)) : INDEX(AA:AA, ROW()-1)),
   AVERAGEIFS(
     INDEX((unit_details[Asking Rent],unit_details[Asking PSF]),0,1,IF($U$3="Chunk Rent",1,2)),
     unit_details[Leased Date],"&gt;="&amp;($AM$2-X$5),
     unit_details[Leased Date],"&lt;"&amp;$AM$2,
     unit_details[Beds],$L744,
     unit_details[Baths],$M744,
     unit_details[Partial Baths],IF(ISNUMBER($N744),$N744,""),
     unit_details[Sqft],$P744,
     unit_details[Property Name],$F744)
 ),"")</f>
        <v/>
      </c>
      <c r="Y744" s="552" t="str">
        <f>IFERROR(
 IF($F744="Total",
   SUMPRODUCT(
   INDEX(Y:Y, ROW()-COUNTIF($F$6:INDEX($F:$F, ROW()-1), $F743)) : INDEX(Y:Y, ROW()-1),
   INDEX(AA:AA, ROW()-COUNTIF($F$6:INDEX($F:$F, ROW()-1), $F743)) : INDEX(AA:AA, ROW()-1)
   )
   /SUM(INDEX(AA:AA, ROW()-COUNTIF($F$6:INDEX($F:$F, ROW()-1), $F743)) : INDEX(AA:AA, ROW()-1)),
   AVERAGEIFS(
     INDEX((unit_details[Effective Rent],unit_details[Effective PSF]),0,1,IF($U$3="Chunk Rent",1,2)),
     unit_details[Leased Date],"&gt;="&amp;($AM$2-X$5),
     unit_details[Leased Date],"&lt;"&amp;$AM$2,
     unit_details[Beds],$L744,
     unit_details[Baths],$M744,
     unit_details[Partial Baths],IF(ISNUMBER($N744),$N744,""),
     unit_details[Sqft],$P744,
     unit_details[Property Name],$F744)
 ),"")</f>
        <v/>
      </c>
      <c r="Z744" s="27" t="str">
        <f t="shared" si="132"/>
        <v/>
      </c>
      <c r="AA744" s="526">
        <f>IFERROR(
  IF($F744="Total",
    SUM(INDEX(AA:AA, ROW()-COUNTIF($F$6:INDEX($F:$F, ROW()-1), $F743)) : INDEX(AA:AA, ROW()-1)),
    COUNTIFS(
      unit_details[Leased Date], "&gt;="&amp;($AM$2-X$5),
      unit_details[Leased Date], "&lt;"&amp;$AM$2,
      unit_details[Beds], $L744,
      unit_details[Baths], $M744,
      unit_details[Partial Baths], IF(ISNUMBER($N744), $N744, ""),
      unit_details[Sqft],$P744,
      unit_details[Property Name], $F744
    )
  ),
"")</f>
        <v>0</v>
      </c>
      <c r="AB744" s="290">
        <f>IF($F744="Total",
SUM(INDEX(AB:AB, ROW()-COUNTIF($F$6:INDEX($F:$F, ROW()-1), $F743)) : INDEX(AB:AB, ROW()-1)),
COUNTIFS(unit_details[Active Listing?],TRUE,
          unit_details[Property Name], $F744,
          unit_details[Beds], $L744,
          unit_details[Baths], $M744,
          unit_details[Partial Baths],IF(ISNUMBER($N744),$N744,""),
          unit_details[Sqft],$P744))</f>
        <v>0</v>
      </c>
      <c r="AC744" s="27" t="str">
        <f t="shared" si="124"/>
        <v/>
      </c>
      <c r="AD744" s="293" t="str">
        <f>IFERROR(IF(AE744="","",IF($F744="Total",
SUMPRODUCT(
   INDEX(AD:AD, ROW()-COUNTIF($F$6:INDEX($F:$F, ROW()-1), $F743)) : INDEX(AD:AD, ROW()-1),
   INDEX(AB:AB, ROW()-COUNTIF($F$6:INDEX($F:$F, ROW()-1), $F743)) : INDEX(AB:AB, ROW()-1)
   )
   /SUM(INDEX(AB:AB, ROW()-COUNTIF($F$6:INDEX($F:$F, ROW()-1), $F743)) : INDEX(AB:AB, ROW()-1)),
          _xlfn.MINIFS(unit_details[Asking Rent],
          unit_details[Active Listing?],TRUE,
          unit_details[Property Name], $F744,
          unit_details[Beds], $L744,
          unit_details[Baths], $M744,
          unit_details[Partial Baths], IF(ISNUMBER($N744),$N744,""),
          unit_details[Sqft],$P744
))),"")</f>
        <v/>
      </c>
      <c r="AE744" s="5" t="str">
        <f>IFERROR(IF($F744="Total",
          SUMPRODUCT(
   INDEX(AE:AE, ROW()-COUNTIF($F$6:INDEX($F:$F, ROW()-1), $F743)) : INDEX(AE:AE, ROW()-1),
   INDEX(AB:AB, ROW()-COUNTIF($F$6:INDEX($F:$F, ROW()-1), $F743)) : INDEX(AB:AB, ROW()-1)
   )
   /SUM(INDEX(AB:AB, ROW()-COUNTIF($F$6:INDEX($F:$F, ROW()-1), $F743)) : INDEX(AB:AB, ROW()-1)),
          AVERAGEIFS(unit_details[Asking Rent],
          unit_details[Active Listing?],TRUE,
          unit_details[Property Name], $F744,
          unit_details[Beds], $L744,
          unit_details[Baths], $M744,
          unit_details[Partial Baths], IF(ISNUMBER($N744),$N744,""),
          unit_details[Sqft],$P744
)),"")</f>
        <v/>
      </c>
      <c r="AF744" s="5" t="str">
        <f>IFERROR(IF(AE744="","",IF($F744="Total",
SUMPRODUCT(
   INDEX(AF:AF, ROW()-COUNTIF($F$6:INDEX($F:$F, ROW()-1), $F743)) : INDEX(AF:AF, ROW()-1),
   INDEX(AB:AB, ROW()-COUNTIF($F$6:INDEX($F:$F, ROW()-1), $F743)) : INDEX(AB:AB, ROW()-1)
   )
   /SUM(INDEX(AB:AB, ROW()-COUNTIF($F$6:INDEX($F:$F, ROW()-1), $F743)) : INDEX(AB:AB, ROW()-1)),
           _xlfn.MAXIFS(unit_details[Asking Rent],
          unit_details[Active Listing?],TRUE,
          unit_details[Property Name], $F744,
          unit_details[Beds], $L744,
          unit_details[Baths], $M744,
          unit_details[Partial Baths], IF(ISNUMBER($N744),$N744,""),
          unit_details[Sqft],$P744
))),"")</f>
        <v/>
      </c>
      <c r="AG744" s="6" t="str">
        <f>IFERROR(IF($F744="Total",
         SUMPRODUCT(
         INDEX(AG:AG, ROW()-COUNTIF($F$6:INDEX($F:$F, ROW()-1), $F743)) : INDEX(AG:AG, ROW()-1),
         INDEX(AB:AB, ROW()-COUNTIF($F$6:INDEX($F:$F, ROW()-1), $F743)) : INDEX(AB:AB, ROW()-1)
         )
         /SUM(INDEX(AB:AB, ROW()-COUNTIF($F$6:INDEX($F:$F, ROW()-1), $F743)) : INDEX(AB:AB, ROW()-1)),
          AVERAGEIFS(unit_details[Asking PSF],
          unit_details[Active Listing?],TRUE,
          unit_details[Property Name], $F744,
          unit_details[Beds], $L744,
          unit_details[Baths], $M744,
          unit_details[Partial Baths], IF(ISNUMBER($N744),$N744,""),
          unit_details[Sqft],$P744
)),"")</f>
        <v/>
      </c>
      <c r="AH744" s="293" t="str">
        <f>IFERROR(IF($F744="Total",
         SUMPRODUCT(
         INDEX(AH:AH, ROW()-COUNTIF($F$6:INDEX($F:$F, ROW()-1), $F743)) : INDEX(AH:AH, ROW()-1),
         INDEX(AB:AB, ROW()-COUNTIF($F$6:INDEX($F:$F, ROW()-1), $F743)) : INDEX(AB:AB, ROW()-1)
         )
         /SUM(INDEX(AB:AB, ROW()-COUNTIF($F$6:INDEX($F:$F, ROW()-1), $F743)) : INDEX(AB:AB, ROW()-1)),
          AVERAGEIFS(unit_details[Effective Rent],
          unit_details[Active Listing?],TRUE,
          unit_details[Property Name], $F744,
          unit_details[Beds], $L744,
          unit_details[Baths], $M744,
          unit_details[Partial Baths], IF(ISNUMBER($N744),$N744,""),
          unit_details[Sqft],$P744
)),"")</f>
        <v/>
      </c>
      <c r="AI744" s="6" t="str">
        <f>IFERROR(IF($F744="Total",
         SUMPRODUCT(
         INDEX(AI:AI, ROW()-COUNTIF($F$6:INDEX($F:$F, ROW()-1), $F743)) : INDEX(AI:AI, ROW()-1),
         INDEX(AB:AB, ROW()-COUNTIF($F$6:INDEX($F:$F, ROW()-1), $F743)) : INDEX(AB:AB, ROW()-1)
         )
         /SUM(INDEX(AB:AB, ROW()-COUNTIF($F$6:INDEX($F:$F, ROW()-1), $F743)) : INDEX(AB:AB, ROW()-1)),
           AVERAGEIFS(unit_details[Effective PSF],
          unit_details[Active Listing?],TRUE,
          unit_details[Property Name], $F744,
          unit_details[Beds], $L744,
          unit_details[Baths], $M744,
          unit_details[Partial Baths], IF(ISNUMBER($N744),$N744,""),
          unit_details[Sqft],$P744
)),"")</f>
        <v/>
      </c>
      <c r="AJ744" s="824" t="str">
        <f t="shared" si="125"/>
        <v/>
      </c>
      <c r="AK744" s="531" t="str">
        <f t="shared" si="126"/>
        <v/>
      </c>
      <c r="AL744" s="714" t="str">
        <f t="shared" si="127"/>
        <v/>
      </c>
      <c r="AM744" s="531" t="str">
        <f t="shared" si="128"/>
        <v/>
      </c>
      <c r="AN744" s="716" t="str">
        <f t="shared" si="129"/>
        <v/>
      </c>
    </row>
    <row r="745" spans="6:40" x14ac:dyDescent="0.2">
      <c r="F745" s="1" t="str">
        <f t="shared" si="122"/>
        <v/>
      </c>
      <c r="G745" s="713" t="str">
        <f t="shared" si="130"/>
        <v/>
      </c>
      <c r="H745" s="17" t="str">
        <f>IFERROR(VLOOKUP($G745,Table1[[Property]:[Exposure %]],4,0),"")</f>
        <v/>
      </c>
      <c r="I745" s="3" t="str">
        <f>IFERROR(VLOOKUP($G745,Table1[[Property]:[Exposure %]],6,0),"")</f>
        <v/>
      </c>
      <c r="J745" s="3" t="str">
        <f>IFERROR(VLOOKUP($G745,Table1[[Property]:[Exposure %]],7,0),"")</f>
        <v/>
      </c>
      <c r="R745" s="4" t="str">
        <f>IFERROR(VLOOKUP(IF(F745="Total",F744,F745),Table1[[Property]:['# Units]],7,0)*S745,"")</f>
        <v/>
      </c>
      <c r="S745" s="27" t="str">
        <f t="shared" si="123"/>
        <v/>
      </c>
      <c r="T745" s="531" t="str">
        <f>IFERROR(
 IF($F745="Total",
   SUMPRODUCT(
   INDEX(T:T, ROW()-COUNTIF($F$6:INDEX($F:$F, ROW()-1), $F744)) : INDEX(T:T, ROW()-1),
   INDEX(W:W, ROW()-COUNTIF($F$6:INDEX($F:$F, ROW()-1), $F744)) : INDEX(W:W, ROW()-1)
   )
   /SUM(INDEX(W:W, ROW()-COUNTIF($F$6:INDEX($F:$F, ROW()-1), $F744)) : INDEX(W:W, ROW()-1)),
   AVERAGEIFS(
     INDEX((unit_details[Asking Rent],unit_details[Asking PSF]),0,1,IF($U$3="Chunk Rent",1,2)),
     unit_details[Leased Date],"&gt;="&amp;($AM$2-T$5),
     unit_details[Leased Date],"&lt;"&amp;$AM$2,
     unit_details[Beds],$L745,
     unit_details[Baths],$M745,
     unit_details[Partial Baths],IF(ISNUMBER($N745),$N745,""),
     unit_details[Sqft],$P745,
     unit_details[Property Name],$F745)
 ),"")</f>
        <v/>
      </c>
      <c r="U745" s="552" t="str">
        <f>IFERROR(
 IF($F745="Total",
   SUMPRODUCT(
   INDEX(U:U, ROW()-COUNTIF($F$6:INDEX($F:$F, ROW()-1), $F744)) : INDEX(U:U, ROW()-1),
   INDEX(W:W, ROW()-COUNTIF($F$6:INDEX($F:$F, ROW()-1), $F744)) : INDEX(W:W, ROW()-1)
   )
   /SUM(INDEX(W:W, ROW()-COUNTIF($F$6:INDEX($F:$F, ROW()-1), $F744)) : INDEX(W:W, ROW()-1)),
   AVERAGEIFS(
     INDEX((unit_details[Effective Rent],unit_details[Effective PSF]),0,1,IF($U$3="Chunk Rent",1,2)),
     unit_details[Leased Date],"&gt;="&amp;($AM$2-T$5),
     unit_details[Leased Date],"&lt;"&amp;$AM$2,
     unit_details[Beds],$L745,
     unit_details[Baths],$M745,
     unit_details[Partial Baths],IF(ISNUMBER($N745),$N745,""),
     unit_details[Sqft],$P745,
     unit_details[Property Name],$F745)
 ),"")</f>
        <v/>
      </c>
      <c r="V745" s="27" t="str">
        <f t="shared" si="131"/>
        <v/>
      </c>
      <c r="W745" s="526">
        <f>IFERROR(
  IF($F745="Total",
    SUM(INDEX(W:W, ROW()-COUNTIF($F$6:INDEX($F:$F, ROW()-1), $F744)) : INDEX(W:W, ROW()-1)),
    COUNTIFS(
      unit_details[Leased Date], "&gt;="&amp;($AM$2-T$5),
      unit_details[Leased Date], "&lt;"&amp;$AM$2,
      unit_details[Beds], $L745,
      unit_details[Baths], $M745,
      unit_details[Partial Baths], IF(ISNUMBER($N745), $N745, ""),
      unit_details[Sqft],$P745,
      unit_details[Property Name], $F745
    )
  ),
"")</f>
        <v>0</v>
      </c>
      <c r="X745" s="531" t="str">
        <f>IFERROR(
 IF($F745="Total",
   SUMPRODUCT(
   INDEX(X:X, ROW()-COUNTIF($F$6:INDEX($F:$F, ROW()-1), $F744)) : INDEX(X:X, ROW()-1),
   INDEX(AA:AA, ROW()-COUNTIF($F$6:INDEX($F:$F, ROW()-1), $F744)) : INDEX(AA:AA, ROW()-1)
   )
   /SUM(INDEX(AA:AA, ROW()-COUNTIF($F$6:INDEX($F:$F, ROW()-1), $F744)) : INDEX(AA:AA, ROW()-1)),
   AVERAGEIFS(
     INDEX((unit_details[Asking Rent],unit_details[Asking PSF]),0,1,IF($U$3="Chunk Rent",1,2)),
     unit_details[Leased Date],"&gt;="&amp;($AM$2-X$5),
     unit_details[Leased Date],"&lt;"&amp;$AM$2,
     unit_details[Beds],$L745,
     unit_details[Baths],$M745,
     unit_details[Partial Baths],IF(ISNUMBER($N745),$N745,""),
     unit_details[Sqft],$P745,
     unit_details[Property Name],$F745)
 ),"")</f>
        <v/>
      </c>
      <c r="Y745" s="552" t="str">
        <f>IFERROR(
 IF($F745="Total",
   SUMPRODUCT(
   INDEX(Y:Y, ROW()-COUNTIF($F$6:INDEX($F:$F, ROW()-1), $F744)) : INDEX(Y:Y, ROW()-1),
   INDEX(AA:AA, ROW()-COUNTIF($F$6:INDEX($F:$F, ROW()-1), $F744)) : INDEX(AA:AA, ROW()-1)
   )
   /SUM(INDEX(AA:AA, ROW()-COUNTIF($F$6:INDEX($F:$F, ROW()-1), $F744)) : INDEX(AA:AA, ROW()-1)),
   AVERAGEIFS(
     INDEX((unit_details[Effective Rent],unit_details[Effective PSF]),0,1,IF($U$3="Chunk Rent",1,2)),
     unit_details[Leased Date],"&gt;="&amp;($AM$2-X$5),
     unit_details[Leased Date],"&lt;"&amp;$AM$2,
     unit_details[Beds],$L745,
     unit_details[Baths],$M745,
     unit_details[Partial Baths],IF(ISNUMBER($N745),$N745,""),
     unit_details[Sqft],$P745,
     unit_details[Property Name],$F745)
 ),"")</f>
        <v/>
      </c>
      <c r="Z745" s="27" t="str">
        <f t="shared" si="132"/>
        <v/>
      </c>
      <c r="AA745" s="526">
        <f>IFERROR(
  IF($F745="Total",
    SUM(INDEX(AA:AA, ROW()-COUNTIF($F$6:INDEX($F:$F, ROW()-1), $F744)) : INDEX(AA:AA, ROW()-1)),
    COUNTIFS(
      unit_details[Leased Date], "&gt;="&amp;($AM$2-X$5),
      unit_details[Leased Date], "&lt;"&amp;$AM$2,
      unit_details[Beds], $L745,
      unit_details[Baths], $M745,
      unit_details[Partial Baths], IF(ISNUMBER($N745), $N745, ""),
      unit_details[Sqft],$P745,
      unit_details[Property Name], $F745
    )
  ),
"")</f>
        <v>0</v>
      </c>
      <c r="AB745" s="290">
        <f>IF($F745="Total",
SUM(INDEX(AB:AB, ROW()-COUNTIF($F$6:INDEX($F:$F, ROW()-1), $F744)) : INDEX(AB:AB, ROW()-1)),
COUNTIFS(unit_details[Active Listing?],TRUE,
          unit_details[Property Name], $F745,
          unit_details[Beds], $L745,
          unit_details[Baths], $M745,
          unit_details[Partial Baths],IF(ISNUMBER($N745),$N745,""),
          unit_details[Sqft],$P745))</f>
        <v>0</v>
      </c>
      <c r="AC745" s="27" t="str">
        <f t="shared" si="124"/>
        <v/>
      </c>
      <c r="AD745" s="293" t="str">
        <f>IFERROR(IF(AE745="","",IF($F745="Total",
SUMPRODUCT(
   INDEX(AD:AD, ROW()-COUNTIF($F$6:INDEX($F:$F, ROW()-1), $F744)) : INDEX(AD:AD, ROW()-1),
   INDEX(AB:AB, ROW()-COUNTIF($F$6:INDEX($F:$F, ROW()-1), $F744)) : INDEX(AB:AB, ROW()-1)
   )
   /SUM(INDEX(AB:AB, ROW()-COUNTIF($F$6:INDEX($F:$F, ROW()-1), $F744)) : INDEX(AB:AB, ROW()-1)),
          _xlfn.MINIFS(unit_details[Asking Rent],
          unit_details[Active Listing?],TRUE,
          unit_details[Property Name], $F745,
          unit_details[Beds], $L745,
          unit_details[Baths], $M745,
          unit_details[Partial Baths], IF(ISNUMBER($N745),$N745,""),
          unit_details[Sqft],$P745
))),"")</f>
        <v/>
      </c>
      <c r="AE745" s="5" t="str">
        <f>IFERROR(IF($F745="Total",
          SUMPRODUCT(
   INDEX(AE:AE, ROW()-COUNTIF($F$6:INDEX($F:$F, ROW()-1), $F744)) : INDEX(AE:AE, ROW()-1),
   INDEX(AB:AB, ROW()-COUNTIF($F$6:INDEX($F:$F, ROW()-1), $F744)) : INDEX(AB:AB, ROW()-1)
   )
   /SUM(INDEX(AB:AB, ROW()-COUNTIF($F$6:INDEX($F:$F, ROW()-1), $F744)) : INDEX(AB:AB, ROW()-1)),
          AVERAGEIFS(unit_details[Asking Rent],
          unit_details[Active Listing?],TRUE,
          unit_details[Property Name], $F745,
          unit_details[Beds], $L745,
          unit_details[Baths], $M745,
          unit_details[Partial Baths], IF(ISNUMBER($N745),$N745,""),
          unit_details[Sqft],$P745
)),"")</f>
        <v/>
      </c>
      <c r="AF745" s="5" t="str">
        <f>IFERROR(IF(AE745="","",IF($F745="Total",
SUMPRODUCT(
   INDEX(AF:AF, ROW()-COUNTIF($F$6:INDEX($F:$F, ROW()-1), $F744)) : INDEX(AF:AF, ROW()-1),
   INDEX(AB:AB, ROW()-COUNTIF($F$6:INDEX($F:$F, ROW()-1), $F744)) : INDEX(AB:AB, ROW()-1)
   )
   /SUM(INDEX(AB:AB, ROW()-COUNTIF($F$6:INDEX($F:$F, ROW()-1), $F744)) : INDEX(AB:AB, ROW()-1)),
           _xlfn.MAXIFS(unit_details[Asking Rent],
          unit_details[Active Listing?],TRUE,
          unit_details[Property Name], $F745,
          unit_details[Beds], $L745,
          unit_details[Baths], $M745,
          unit_details[Partial Baths], IF(ISNUMBER($N745),$N745,""),
          unit_details[Sqft],$P745
))),"")</f>
        <v/>
      </c>
      <c r="AG745" s="6" t="str">
        <f>IFERROR(IF($F745="Total",
         SUMPRODUCT(
         INDEX(AG:AG, ROW()-COUNTIF($F$6:INDEX($F:$F, ROW()-1), $F744)) : INDEX(AG:AG, ROW()-1),
         INDEX(AB:AB, ROW()-COUNTIF($F$6:INDEX($F:$F, ROW()-1), $F744)) : INDEX(AB:AB, ROW()-1)
         )
         /SUM(INDEX(AB:AB, ROW()-COUNTIF($F$6:INDEX($F:$F, ROW()-1), $F744)) : INDEX(AB:AB, ROW()-1)),
          AVERAGEIFS(unit_details[Asking PSF],
          unit_details[Active Listing?],TRUE,
          unit_details[Property Name], $F745,
          unit_details[Beds], $L745,
          unit_details[Baths], $M745,
          unit_details[Partial Baths], IF(ISNUMBER($N745),$N745,""),
          unit_details[Sqft],$P745
)),"")</f>
        <v/>
      </c>
      <c r="AH745" s="293" t="str">
        <f>IFERROR(IF($F745="Total",
         SUMPRODUCT(
         INDEX(AH:AH, ROW()-COUNTIF($F$6:INDEX($F:$F, ROW()-1), $F744)) : INDEX(AH:AH, ROW()-1),
         INDEX(AB:AB, ROW()-COUNTIF($F$6:INDEX($F:$F, ROW()-1), $F744)) : INDEX(AB:AB, ROW()-1)
         )
         /SUM(INDEX(AB:AB, ROW()-COUNTIF($F$6:INDEX($F:$F, ROW()-1), $F744)) : INDEX(AB:AB, ROW()-1)),
          AVERAGEIFS(unit_details[Effective Rent],
          unit_details[Active Listing?],TRUE,
          unit_details[Property Name], $F745,
          unit_details[Beds], $L745,
          unit_details[Baths], $M745,
          unit_details[Partial Baths], IF(ISNUMBER($N745),$N745,""),
          unit_details[Sqft],$P745
)),"")</f>
        <v/>
      </c>
      <c r="AI745" s="6" t="str">
        <f>IFERROR(IF($F745="Total",
         SUMPRODUCT(
         INDEX(AI:AI, ROW()-COUNTIF($F$6:INDEX($F:$F, ROW()-1), $F744)) : INDEX(AI:AI, ROW()-1),
         INDEX(AB:AB, ROW()-COUNTIF($F$6:INDEX($F:$F, ROW()-1), $F744)) : INDEX(AB:AB, ROW()-1)
         )
         /SUM(INDEX(AB:AB, ROW()-COUNTIF($F$6:INDEX($F:$F, ROW()-1), $F744)) : INDEX(AB:AB, ROW()-1)),
           AVERAGEIFS(unit_details[Effective PSF],
          unit_details[Active Listing?],TRUE,
          unit_details[Property Name], $F745,
          unit_details[Beds], $L745,
          unit_details[Baths], $M745,
          unit_details[Partial Baths], IF(ISNUMBER($N745),$N745,""),
          unit_details[Sqft],$P745
)),"")</f>
        <v/>
      </c>
      <c r="AJ745" s="824" t="str">
        <f t="shared" si="125"/>
        <v/>
      </c>
      <c r="AK745" s="531" t="str">
        <f t="shared" si="126"/>
        <v/>
      </c>
      <c r="AL745" s="714" t="str">
        <f t="shared" si="127"/>
        <v/>
      </c>
      <c r="AM745" s="531" t="str">
        <f t="shared" si="128"/>
        <v/>
      </c>
      <c r="AN745" s="716" t="str">
        <f t="shared" si="129"/>
        <v/>
      </c>
    </row>
    <row r="746" spans="6:40" x14ac:dyDescent="0.2">
      <c r="F746" s="1" t="str">
        <f t="shared" si="122"/>
        <v/>
      </c>
      <c r="G746" s="713" t="str">
        <f t="shared" si="130"/>
        <v/>
      </c>
      <c r="H746" s="17" t="str">
        <f>IFERROR(VLOOKUP($G746,Table1[[Property]:[Exposure %]],4,0),"")</f>
        <v/>
      </c>
      <c r="I746" s="3" t="str">
        <f>IFERROR(VLOOKUP($G746,Table1[[Property]:[Exposure %]],6,0),"")</f>
        <v/>
      </c>
      <c r="J746" s="3" t="str">
        <f>IFERROR(VLOOKUP($G746,Table1[[Property]:[Exposure %]],7,0),"")</f>
        <v/>
      </c>
      <c r="R746" s="4" t="str">
        <f>IFERROR(VLOOKUP(IF(F746="Total",F745,F746),Table1[[Property]:['# Units]],7,0)*S746,"")</f>
        <v/>
      </c>
      <c r="S746" s="27" t="str">
        <f t="shared" si="123"/>
        <v/>
      </c>
      <c r="T746" s="531" t="str">
        <f>IFERROR(
 IF($F746="Total",
   SUMPRODUCT(
   INDEX(T:T, ROW()-COUNTIF($F$6:INDEX($F:$F, ROW()-1), $F745)) : INDEX(T:T, ROW()-1),
   INDEX(W:W, ROW()-COUNTIF($F$6:INDEX($F:$F, ROW()-1), $F745)) : INDEX(W:W, ROW()-1)
   )
   /SUM(INDEX(W:W, ROW()-COUNTIF($F$6:INDEX($F:$F, ROW()-1), $F745)) : INDEX(W:W, ROW()-1)),
   AVERAGEIFS(
     INDEX((unit_details[Asking Rent],unit_details[Asking PSF]),0,1,IF($U$3="Chunk Rent",1,2)),
     unit_details[Leased Date],"&gt;="&amp;($AM$2-T$5),
     unit_details[Leased Date],"&lt;"&amp;$AM$2,
     unit_details[Beds],$L746,
     unit_details[Baths],$M746,
     unit_details[Partial Baths],IF(ISNUMBER($N746),$N746,""),
     unit_details[Sqft],$P746,
     unit_details[Property Name],$F746)
 ),"")</f>
        <v/>
      </c>
      <c r="U746" s="552" t="str">
        <f>IFERROR(
 IF($F746="Total",
   SUMPRODUCT(
   INDEX(U:U, ROW()-COUNTIF($F$6:INDEX($F:$F, ROW()-1), $F745)) : INDEX(U:U, ROW()-1),
   INDEX(W:W, ROW()-COUNTIF($F$6:INDEX($F:$F, ROW()-1), $F745)) : INDEX(W:W, ROW()-1)
   )
   /SUM(INDEX(W:W, ROW()-COUNTIF($F$6:INDEX($F:$F, ROW()-1), $F745)) : INDEX(W:W, ROW()-1)),
   AVERAGEIFS(
     INDEX((unit_details[Effective Rent],unit_details[Effective PSF]),0,1,IF($U$3="Chunk Rent",1,2)),
     unit_details[Leased Date],"&gt;="&amp;($AM$2-T$5),
     unit_details[Leased Date],"&lt;"&amp;$AM$2,
     unit_details[Beds],$L746,
     unit_details[Baths],$M746,
     unit_details[Partial Baths],IF(ISNUMBER($N746),$N746,""),
     unit_details[Sqft],$P746,
     unit_details[Property Name],$F746)
 ),"")</f>
        <v/>
      </c>
      <c r="V746" s="27" t="str">
        <f t="shared" si="131"/>
        <v/>
      </c>
      <c r="W746" s="526">
        <f>IFERROR(
  IF($F746="Total",
    SUM(INDEX(W:W, ROW()-COUNTIF($F$6:INDEX($F:$F, ROW()-1), $F745)) : INDEX(W:W, ROW()-1)),
    COUNTIFS(
      unit_details[Leased Date], "&gt;="&amp;($AM$2-T$5),
      unit_details[Leased Date], "&lt;"&amp;$AM$2,
      unit_details[Beds], $L746,
      unit_details[Baths], $M746,
      unit_details[Partial Baths], IF(ISNUMBER($N746), $N746, ""),
      unit_details[Sqft],$P746,
      unit_details[Property Name], $F746
    )
  ),
"")</f>
        <v>0</v>
      </c>
      <c r="X746" s="531" t="str">
        <f>IFERROR(
 IF($F746="Total",
   SUMPRODUCT(
   INDEX(X:X, ROW()-COUNTIF($F$6:INDEX($F:$F, ROW()-1), $F745)) : INDEX(X:X, ROW()-1),
   INDEX(AA:AA, ROW()-COUNTIF($F$6:INDEX($F:$F, ROW()-1), $F745)) : INDEX(AA:AA, ROW()-1)
   )
   /SUM(INDEX(AA:AA, ROW()-COUNTIF($F$6:INDEX($F:$F, ROW()-1), $F745)) : INDEX(AA:AA, ROW()-1)),
   AVERAGEIFS(
     INDEX((unit_details[Asking Rent],unit_details[Asking PSF]),0,1,IF($U$3="Chunk Rent",1,2)),
     unit_details[Leased Date],"&gt;="&amp;($AM$2-X$5),
     unit_details[Leased Date],"&lt;"&amp;$AM$2,
     unit_details[Beds],$L746,
     unit_details[Baths],$M746,
     unit_details[Partial Baths],IF(ISNUMBER($N746),$N746,""),
     unit_details[Sqft],$P746,
     unit_details[Property Name],$F746)
 ),"")</f>
        <v/>
      </c>
      <c r="Y746" s="552" t="str">
        <f>IFERROR(
 IF($F746="Total",
   SUMPRODUCT(
   INDEX(Y:Y, ROW()-COUNTIF($F$6:INDEX($F:$F, ROW()-1), $F745)) : INDEX(Y:Y, ROW()-1),
   INDEX(AA:AA, ROW()-COUNTIF($F$6:INDEX($F:$F, ROW()-1), $F745)) : INDEX(AA:AA, ROW()-1)
   )
   /SUM(INDEX(AA:AA, ROW()-COUNTIF($F$6:INDEX($F:$F, ROW()-1), $F745)) : INDEX(AA:AA, ROW()-1)),
   AVERAGEIFS(
     INDEX((unit_details[Effective Rent],unit_details[Effective PSF]),0,1,IF($U$3="Chunk Rent",1,2)),
     unit_details[Leased Date],"&gt;="&amp;($AM$2-X$5),
     unit_details[Leased Date],"&lt;"&amp;$AM$2,
     unit_details[Beds],$L746,
     unit_details[Baths],$M746,
     unit_details[Partial Baths],IF(ISNUMBER($N746),$N746,""),
     unit_details[Sqft],$P746,
     unit_details[Property Name],$F746)
 ),"")</f>
        <v/>
      </c>
      <c r="Z746" s="27" t="str">
        <f t="shared" si="132"/>
        <v/>
      </c>
      <c r="AA746" s="526">
        <f>IFERROR(
  IF($F746="Total",
    SUM(INDEX(AA:AA, ROW()-COUNTIF($F$6:INDEX($F:$F, ROW()-1), $F745)) : INDEX(AA:AA, ROW()-1)),
    COUNTIFS(
      unit_details[Leased Date], "&gt;="&amp;($AM$2-X$5),
      unit_details[Leased Date], "&lt;"&amp;$AM$2,
      unit_details[Beds], $L746,
      unit_details[Baths], $M746,
      unit_details[Partial Baths], IF(ISNUMBER($N746), $N746, ""),
      unit_details[Sqft],$P746,
      unit_details[Property Name], $F746
    )
  ),
"")</f>
        <v>0</v>
      </c>
      <c r="AB746" s="290">
        <f>IF($F746="Total",
SUM(INDEX(AB:AB, ROW()-COUNTIF($F$6:INDEX($F:$F, ROW()-1), $F745)) : INDEX(AB:AB, ROW()-1)),
COUNTIFS(unit_details[Active Listing?],TRUE,
          unit_details[Property Name], $F746,
          unit_details[Beds], $L746,
          unit_details[Baths], $M746,
          unit_details[Partial Baths],IF(ISNUMBER($N746),$N746,""),
          unit_details[Sqft],$P746))</f>
        <v>0</v>
      </c>
      <c r="AC746" s="27" t="str">
        <f t="shared" si="124"/>
        <v/>
      </c>
      <c r="AD746" s="293" t="str">
        <f>IFERROR(IF(AE746="","",IF($F746="Total",
SUMPRODUCT(
   INDEX(AD:AD, ROW()-COUNTIF($F$6:INDEX($F:$F, ROW()-1), $F745)) : INDEX(AD:AD, ROW()-1),
   INDEX(AB:AB, ROW()-COUNTIF($F$6:INDEX($F:$F, ROW()-1), $F745)) : INDEX(AB:AB, ROW()-1)
   )
   /SUM(INDEX(AB:AB, ROW()-COUNTIF($F$6:INDEX($F:$F, ROW()-1), $F745)) : INDEX(AB:AB, ROW()-1)),
          _xlfn.MINIFS(unit_details[Asking Rent],
          unit_details[Active Listing?],TRUE,
          unit_details[Property Name], $F746,
          unit_details[Beds], $L746,
          unit_details[Baths], $M746,
          unit_details[Partial Baths], IF(ISNUMBER($N746),$N746,""),
          unit_details[Sqft],$P746
))),"")</f>
        <v/>
      </c>
      <c r="AE746" s="5" t="str">
        <f>IFERROR(IF($F746="Total",
          SUMPRODUCT(
   INDEX(AE:AE, ROW()-COUNTIF($F$6:INDEX($F:$F, ROW()-1), $F745)) : INDEX(AE:AE, ROW()-1),
   INDEX(AB:AB, ROW()-COUNTIF($F$6:INDEX($F:$F, ROW()-1), $F745)) : INDEX(AB:AB, ROW()-1)
   )
   /SUM(INDEX(AB:AB, ROW()-COUNTIF($F$6:INDEX($F:$F, ROW()-1), $F745)) : INDEX(AB:AB, ROW()-1)),
          AVERAGEIFS(unit_details[Asking Rent],
          unit_details[Active Listing?],TRUE,
          unit_details[Property Name], $F746,
          unit_details[Beds], $L746,
          unit_details[Baths], $M746,
          unit_details[Partial Baths], IF(ISNUMBER($N746),$N746,""),
          unit_details[Sqft],$P746
)),"")</f>
        <v/>
      </c>
      <c r="AF746" s="5" t="str">
        <f>IFERROR(IF(AE746="","",IF($F746="Total",
SUMPRODUCT(
   INDEX(AF:AF, ROW()-COUNTIF($F$6:INDEX($F:$F, ROW()-1), $F745)) : INDEX(AF:AF, ROW()-1),
   INDEX(AB:AB, ROW()-COUNTIF($F$6:INDEX($F:$F, ROW()-1), $F745)) : INDEX(AB:AB, ROW()-1)
   )
   /SUM(INDEX(AB:AB, ROW()-COUNTIF($F$6:INDEX($F:$F, ROW()-1), $F745)) : INDEX(AB:AB, ROW()-1)),
           _xlfn.MAXIFS(unit_details[Asking Rent],
          unit_details[Active Listing?],TRUE,
          unit_details[Property Name], $F746,
          unit_details[Beds], $L746,
          unit_details[Baths], $M746,
          unit_details[Partial Baths], IF(ISNUMBER($N746),$N746,""),
          unit_details[Sqft],$P746
))),"")</f>
        <v/>
      </c>
      <c r="AG746" s="6" t="str">
        <f>IFERROR(IF($F746="Total",
         SUMPRODUCT(
         INDEX(AG:AG, ROW()-COUNTIF($F$6:INDEX($F:$F, ROW()-1), $F745)) : INDEX(AG:AG, ROW()-1),
         INDEX(AB:AB, ROW()-COUNTIF($F$6:INDEX($F:$F, ROW()-1), $F745)) : INDEX(AB:AB, ROW()-1)
         )
         /SUM(INDEX(AB:AB, ROW()-COUNTIF($F$6:INDEX($F:$F, ROW()-1), $F745)) : INDEX(AB:AB, ROW()-1)),
          AVERAGEIFS(unit_details[Asking PSF],
          unit_details[Active Listing?],TRUE,
          unit_details[Property Name], $F746,
          unit_details[Beds], $L746,
          unit_details[Baths], $M746,
          unit_details[Partial Baths], IF(ISNUMBER($N746),$N746,""),
          unit_details[Sqft],$P746
)),"")</f>
        <v/>
      </c>
      <c r="AH746" s="293" t="str">
        <f>IFERROR(IF($F746="Total",
         SUMPRODUCT(
         INDEX(AH:AH, ROW()-COUNTIF($F$6:INDEX($F:$F, ROW()-1), $F745)) : INDEX(AH:AH, ROW()-1),
         INDEX(AB:AB, ROW()-COUNTIF($F$6:INDEX($F:$F, ROW()-1), $F745)) : INDEX(AB:AB, ROW()-1)
         )
         /SUM(INDEX(AB:AB, ROW()-COUNTIF($F$6:INDEX($F:$F, ROW()-1), $F745)) : INDEX(AB:AB, ROW()-1)),
          AVERAGEIFS(unit_details[Effective Rent],
          unit_details[Active Listing?],TRUE,
          unit_details[Property Name], $F746,
          unit_details[Beds], $L746,
          unit_details[Baths], $M746,
          unit_details[Partial Baths], IF(ISNUMBER($N746),$N746,""),
          unit_details[Sqft],$P746
)),"")</f>
        <v/>
      </c>
      <c r="AI746" s="6" t="str">
        <f>IFERROR(IF($F746="Total",
         SUMPRODUCT(
         INDEX(AI:AI, ROW()-COUNTIF($F$6:INDEX($F:$F, ROW()-1), $F745)) : INDEX(AI:AI, ROW()-1),
         INDEX(AB:AB, ROW()-COUNTIF($F$6:INDEX($F:$F, ROW()-1), $F745)) : INDEX(AB:AB, ROW()-1)
         )
         /SUM(INDEX(AB:AB, ROW()-COUNTIF($F$6:INDEX($F:$F, ROW()-1), $F745)) : INDEX(AB:AB, ROW()-1)),
           AVERAGEIFS(unit_details[Effective PSF],
          unit_details[Active Listing?],TRUE,
          unit_details[Property Name], $F746,
          unit_details[Beds], $L746,
          unit_details[Baths], $M746,
          unit_details[Partial Baths], IF(ISNUMBER($N746),$N746,""),
          unit_details[Sqft],$P746
)),"")</f>
        <v/>
      </c>
      <c r="AJ746" s="824" t="str">
        <f t="shared" si="125"/>
        <v/>
      </c>
      <c r="AK746" s="531" t="str">
        <f t="shared" si="126"/>
        <v/>
      </c>
      <c r="AL746" s="714" t="str">
        <f t="shared" si="127"/>
        <v/>
      </c>
      <c r="AM746" s="531" t="str">
        <f t="shared" si="128"/>
        <v/>
      </c>
      <c r="AN746" s="716" t="str">
        <f t="shared" si="129"/>
        <v/>
      </c>
    </row>
    <row r="747" spans="6:40" x14ac:dyDescent="0.2">
      <c r="F747" s="1" t="str">
        <f t="shared" si="122"/>
        <v/>
      </c>
      <c r="G747" s="713" t="str">
        <f t="shared" si="130"/>
        <v/>
      </c>
      <c r="H747" s="17" t="str">
        <f>IFERROR(VLOOKUP($G747,Table1[[Property]:[Exposure %]],4,0),"")</f>
        <v/>
      </c>
      <c r="I747" s="3" t="str">
        <f>IFERROR(VLOOKUP($G747,Table1[[Property]:[Exposure %]],6,0),"")</f>
        <v/>
      </c>
      <c r="J747" s="3" t="str">
        <f>IFERROR(VLOOKUP($G747,Table1[[Property]:[Exposure %]],7,0),"")</f>
        <v/>
      </c>
      <c r="R747" s="4" t="str">
        <f>IFERROR(VLOOKUP(IF(F747="Total",F746,F747),Table1[[Property]:['# Units]],7,0)*S747,"")</f>
        <v/>
      </c>
      <c r="S747" s="27" t="str">
        <f t="shared" si="123"/>
        <v/>
      </c>
      <c r="T747" s="531" t="str">
        <f>IFERROR(
 IF($F747="Total",
   SUMPRODUCT(
   INDEX(T:T, ROW()-COUNTIF($F$6:INDEX($F:$F, ROW()-1), $F746)) : INDEX(T:T, ROW()-1),
   INDEX(W:W, ROW()-COUNTIF($F$6:INDEX($F:$F, ROW()-1), $F746)) : INDEX(W:W, ROW()-1)
   )
   /SUM(INDEX(W:W, ROW()-COUNTIF($F$6:INDEX($F:$F, ROW()-1), $F746)) : INDEX(W:W, ROW()-1)),
   AVERAGEIFS(
     INDEX((unit_details[Asking Rent],unit_details[Asking PSF]),0,1,IF($U$3="Chunk Rent",1,2)),
     unit_details[Leased Date],"&gt;="&amp;($AM$2-T$5),
     unit_details[Leased Date],"&lt;"&amp;$AM$2,
     unit_details[Beds],$L747,
     unit_details[Baths],$M747,
     unit_details[Partial Baths],IF(ISNUMBER($N747),$N747,""),
     unit_details[Sqft],$P747,
     unit_details[Property Name],$F747)
 ),"")</f>
        <v/>
      </c>
      <c r="U747" s="552" t="str">
        <f>IFERROR(
 IF($F747="Total",
   SUMPRODUCT(
   INDEX(U:U, ROW()-COUNTIF($F$6:INDEX($F:$F, ROW()-1), $F746)) : INDEX(U:U, ROW()-1),
   INDEX(W:W, ROW()-COUNTIF($F$6:INDEX($F:$F, ROW()-1), $F746)) : INDEX(W:W, ROW()-1)
   )
   /SUM(INDEX(W:W, ROW()-COUNTIF($F$6:INDEX($F:$F, ROW()-1), $F746)) : INDEX(W:W, ROW()-1)),
   AVERAGEIFS(
     INDEX((unit_details[Effective Rent],unit_details[Effective PSF]),0,1,IF($U$3="Chunk Rent",1,2)),
     unit_details[Leased Date],"&gt;="&amp;($AM$2-T$5),
     unit_details[Leased Date],"&lt;"&amp;$AM$2,
     unit_details[Beds],$L747,
     unit_details[Baths],$M747,
     unit_details[Partial Baths],IF(ISNUMBER($N747),$N747,""),
     unit_details[Sqft],$P747,
     unit_details[Property Name],$F747)
 ),"")</f>
        <v/>
      </c>
      <c r="V747" s="27" t="str">
        <f t="shared" si="131"/>
        <v/>
      </c>
      <c r="W747" s="526">
        <f>IFERROR(
  IF($F747="Total",
    SUM(INDEX(W:W, ROW()-COUNTIF($F$6:INDEX($F:$F, ROW()-1), $F746)) : INDEX(W:W, ROW()-1)),
    COUNTIFS(
      unit_details[Leased Date], "&gt;="&amp;($AM$2-T$5),
      unit_details[Leased Date], "&lt;"&amp;$AM$2,
      unit_details[Beds], $L747,
      unit_details[Baths], $M747,
      unit_details[Partial Baths], IF(ISNUMBER($N747), $N747, ""),
      unit_details[Sqft],$P747,
      unit_details[Property Name], $F747
    )
  ),
"")</f>
        <v>0</v>
      </c>
      <c r="X747" s="531" t="str">
        <f>IFERROR(
 IF($F747="Total",
   SUMPRODUCT(
   INDEX(X:X, ROW()-COUNTIF($F$6:INDEX($F:$F, ROW()-1), $F746)) : INDEX(X:X, ROW()-1),
   INDEX(AA:AA, ROW()-COUNTIF($F$6:INDEX($F:$F, ROW()-1), $F746)) : INDEX(AA:AA, ROW()-1)
   )
   /SUM(INDEX(AA:AA, ROW()-COUNTIF($F$6:INDEX($F:$F, ROW()-1), $F746)) : INDEX(AA:AA, ROW()-1)),
   AVERAGEIFS(
     INDEX((unit_details[Asking Rent],unit_details[Asking PSF]),0,1,IF($U$3="Chunk Rent",1,2)),
     unit_details[Leased Date],"&gt;="&amp;($AM$2-X$5),
     unit_details[Leased Date],"&lt;"&amp;$AM$2,
     unit_details[Beds],$L747,
     unit_details[Baths],$M747,
     unit_details[Partial Baths],IF(ISNUMBER($N747),$N747,""),
     unit_details[Sqft],$P747,
     unit_details[Property Name],$F747)
 ),"")</f>
        <v/>
      </c>
      <c r="Y747" s="552" t="str">
        <f>IFERROR(
 IF($F747="Total",
   SUMPRODUCT(
   INDEX(Y:Y, ROW()-COUNTIF($F$6:INDEX($F:$F, ROW()-1), $F746)) : INDEX(Y:Y, ROW()-1),
   INDEX(AA:AA, ROW()-COUNTIF($F$6:INDEX($F:$F, ROW()-1), $F746)) : INDEX(AA:AA, ROW()-1)
   )
   /SUM(INDEX(AA:AA, ROW()-COUNTIF($F$6:INDEX($F:$F, ROW()-1), $F746)) : INDEX(AA:AA, ROW()-1)),
   AVERAGEIFS(
     INDEX((unit_details[Effective Rent],unit_details[Effective PSF]),0,1,IF($U$3="Chunk Rent",1,2)),
     unit_details[Leased Date],"&gt;="&amp;($AM$2-X$5),
     unit_details[Leased Date],"&lt;"&amp;$AM$2,
     unit_details[Beds],$L747,
     unit_details[Baths],$M747,
     unit_details[Partial Baths],IF(ISNUMBER($N747),$N747,""),
     unit_details[Sqft],$P747,
     unit_details[Property Name],$F747)
 ),"")</f>
        <v/>
      </c>
      <c r="Z747" s="27" t="str">
        <f t="shared" si="132"/>
        <v/>
      </c>
      <c r="AA747" s="526">
        <f>IFERROR(
  IF($F747="Total",
    SUM(INDEX(AA:AA, ROW()-COUNTIF($F$6:INDEX($F:$F, ROW()-1), $F746)) : INDEX(AA:AA, ROW()-1)),
    COUNTIFS(
      unit_details[Leased Date], "&gt;="&amp;($AM$2-X$5),
      unit_details[Leased Date], "&lt;"&amp;$AM$2,
      unit_details[Beds], $L747,
      unit_details[Baths], $M747,
      unit_details[Partial Baths], IF(ISNUMBER($N747), $N747, ""),
      unit_details[Sqft],$P747,
      unit_details[Property Name], $F747
    )
  ),
"")</f>
        <v>0</v>
      </c>
      <c r="AB747" s="290">
        <f>IF($F747="Total",
SUM(INDEX(AB:AB, ROW()-COUNTIF($F$6:INDEX($F:$F, ROW()-1), $F746)) : INDEX(AB:AB, ROW()-1)),
COUNTIFS(unit_details[Active Listing?],TRUE,
          unit_details[Property Name], $F747,
          unit_details[Beds], $L747,
          unit_details[Baths], $M747,
          unit_details[Partial Baths],IF(ISNUMBER($N747),$N747,""),
          unit_details[Sqft],$P747))</f>
        <v>0</v>
      </c>
      <c r="AC747" s="27" t="str">
        <f t="shared" si="124"/>
        <v/>
      </c>
      <c r="AD747" s="293" t="str">
        <f>IFERROR(IF(AE747="","",IF($F747="Total",
SUMPRODUCT(
   INDEX(AD:AD, ROW()-COUNTIF($F$6:INDEX($F:$F, ROW()-1), $F746)) : INDEX(AD:AD, ROW()-1),
   INDEX(AB:AB, ROW()-COUNTIF($F$6:INDEX($F:$F, ROW()-1), $F746)) : INDEX(AB:AB, ROW()-1)
   )
   /SUM(INDEX(AB:AB, ROW()-COUNTIF($F$6:INDEX($F:$F, ROW()-1), $F746)) : INDEX(AB:AB, ROW()-1)),
          _xlfn.MINIFS(unit_details[Asking Rent],
          unit_details[Active Listing?],TRUE,
          unit_details[Property Name], $F747,
          unit_details[Beds], $L747,
          unit_details[Baths], $M747,
          unit_details[Partial Baths], IF(ISNUMBER($N747),$N747,""),
          unit_details[Sqft],$P747
))),"")</f>
        <v/>
      </c>
      <c r="AE747" s="5" t="str">
        <f>IFERROR(IF($F747="Total",
          SUMPRODUCT(
   INDEX(AE:AE, ROW()-COUNTIF($F$6:INDEX($F:$F, ROW()-1), $F746)) : INDEX(AE:AE, ROW()-1),
   INDEX(AB:AB, ROW()-COUNTIF($F$6:INDEX($F:$F, ROW()-1), $F746)) : INDEX(AB:AB, ROW()-1)
   )
   /SUM(INDEX(AB:AB, ROW()-COUNTIF($F$6:INDEX($F:$F, ROW()-1), $F746)) : INDEX(AB:AB, ROW()-1)),
          AVERAGEIFS(unit_details[Asking Rent],
          unit_details[Active Listing?],TRUE,
          unit_details[Property Name], $F747,
          unit_details[Beds], $L747,
          unit_details[Baths], $M747,
          unit_details[Partial Baths], IF(ISNUMBER($N747),$N747,""),
          unit_details[Sqft],$P747
)),"")</f>
        <v/>
      </c>
      <c r="AF747" s="5" t="str">
        <f>IFERROR(IF(AE747="","",IF($F747="Total",
SUMPRODUCT(
   INDEX(AF:AF, ROW()-COUNTIF($F$6:INDEX($F:$F, ROW()-1), $F746)) : INDEX(AF:AF, ROW()-1),
   INDEX(AB:AB, ROW()-COUNTIF($F$6:INDEX($F:$F, ROW()-1), $F746)) : INDEX(AB:AB, ROW()-1)
   )
   /SUM(INDEX(AB:AB, ROW()-COUNTIF($F$6:INDEX($F:$F, ROW()-1), $F746)) : INDEX(AB:AB, ROW()-1)),
           _xlfn.MAXIFS(unit_details[Asking Rent],
          unit_details[Active Listing?],TRUE,
          unit_details[Property Name], $F747,
          unit_details[Beds], $L747,
          unit_details[Baths], $M747,
          unit_details[Partial Baths], IF(ISNUMBER($N747),$N747,""),
          unit_details[Sqft],$P747
))),"")</f>
        <v/>
      </c>
      <c r="AG747" s="6" t="str">
        <f>IFERROR(IF($F747="Total",
         SUMPRODUCT(
         INDEX(AG:AG, ROW()-COUNTIF($F$6:INDEX($F:$F, ROW()-1), $F746)) : INDEX(AG:AG, ROW()-1),
         INDEX(AB:AB, ROW()-COUNTIF($F$6:INDEX($F:$F, ROW()-1), $F746)) : INDEX(AB:AB, ROW()-1)
         )
         /SUM(INDEX(AB:AB, ROW()-COUNTIF($F$6:INDEX($F:$F, ROW()-1), $F746)) : INDEX(AB:AB, ROW()-1)),
          AVERAGEIFS(unit_details[Asking PSF],
          unit_details[Active Listing?],TRUE,
          unit_details[Property Name], $F747,
          unit_details[Beds], $L747,
          unit_details[Baths], $M747,
          unit_details[Partial Baths], IF(ISNUMBER($N747),$N747,""),
          unit_details[Sqft],$P747
)),"")</f>
        <v/>
      </c>
      <c r="AH747" s="293" t="str">
        <f>IFERROR(IF($F747="Total",
         SUMPRODUCT(
         INDEX(AH:AH, ROW()-COUNTIF($F$6:INDEX($F:$F, ROW()-1), $F746)) : INDEX(AH:AH, ROW()-1),
         INDEX(AB:AB, ROW()-COUNTIF($F$6:INDEX($F:$F, ROW()-1), $F746)) : INDEX(AB:AB, ROW()-1)
         )
         /SUM(INDEX(AB:AB, ROW()-COUNTIF($F$6:INDEX($F:$F, ROW()-1), $F746)) : INDEX(AB:AB, ROW()-1)),
          AVERAGEIFS(unit_details[Effective Rent],
          unit_details[Active Listing?],TRUE,
          unit_details[Property Name], $F747,
          unit_details[Beds], $L747,
          unit_details[Baths], $M747,
          unit_details[Partial Baths], IF(ISNUMBER($N747),$N747,""),
          unit_details[Sqft],$P747
)),"")</f>
        <v/>
      </c>
      <c r="AI747" s="6" t="str">
        <f>IFERROR(IF($F747="Total",
         SUMPRODUCT(
         INDEX(AI:AI, ROW()-COUNTIF($F$6:INDEX($F:$F, ROW()-1), $F746)) : INDEX(AI:AI, ROW()-1),
         INDEX(AB:AB, ROW()-COUNTIF($F$6:INDEX($F:$F, ROW()-1), $F746)) : INDEX(AB:AB, ROW()-1)
         )
         /SUM(INDEX(AB:AB, ROW()-COUNTIF($F$6:INDEX($F:$F, ROW()-1), $F746)) : INDEX(AB:AB, ROW()-1)),
           AVERAGEIFS(unit_details[Effective PSF],
          unit_details[Active Listing?],TRUE,
          unit_details[Property Name], $F747,
          unit_details[Beds], $L747,
          unit_details[Baths], $M747,
          unit_details[Partial Baths], IF(ISNUMBER($N747),$N747,""),
          unit_details[Sqft],$P747
)),"")</f>
        <v/>
      </c>
      <c r="AJ747" s="824" t="str">
        <f t="shared" si="125"/>
        <v/>
      </c>
      <c r="AK747" s="531" t="str">
        <f t="shared" si="126"/>
        <v/>
      </c>
      <c r="AL747" s="714" t="str">
        <f t="shared" si="127"/>
        <v/>
      </c>
      <c r="AM747" s="531" t="str">
        <f t="shared" si="128"/>
        <v/>
      </c>
      <c r="AN747" s="716" t="str">
        <f t="shared" si="129"/>
        <v/>
      </c>
    </row>
    <row r="748" spans="6:40" x14ac:dyDescent="0.2">
      <c r="F748" s="1" t="str">
        <f t="shared" si="122"/>
        <v/>
      </c>
      <c r="G748" s="713" t="str">
        <f t="shared" si="130"/>
        <v/>
      </c>
      <c r="H748" s="17" t="str">
        <f>IFERROR(VLOOKUP($G748,Table1[[Property]:[Exposure %]],4,0),"")</f>
        <v/>
      </c>
      <c r="I748" s="3" t="str">
        <f>IFERROR(VLOOKUP($G748,Table1[[Property]:[Exposure %]],6,0),"")</f>
        <v/>
      </c>
      <c r="J748" s="3" t="str">
        <f>IFERROR(VLOOKUP($G748,Table1[[Property]:[Exposure %]],7,0),"")</f>
        <v/>
      </c>
      <c r="R748" s="4" t="str">
        <f>IFERROR(VLOOKUP(IF(F748="Total",F747,F748),Table1[[Property]:['# Units]],7,0)*S748,"")</f>
        <v/>
      </c>
      <c r="S748" s="27" t="str">
        <f t="shared" si="123"/>
        <v/>
      </c>
      <c r="T748" s="531" t="str">
        <f>IFERROR(
 IF($F748="Total",
   SUMPRODUCT(
   INDEX(T:T, ROW()-COUNTIF($F$6:INDEX($F:$F, ROW()-1), $F747)) : INDEX(T:T, ROW()-1),
   INDEX(W:W, ROW()-COUNTIF($F$6:INDEX($F:$F, ROW()-1), $F747)) : INDEX(W:W, ROW()-1)
   )
   /SUM(INDEX(W:W, ROW()-COUNTIF($F$6:INDEX($F:$F, ROW()-1), $F747)) : INDEX(W:W, ROW()-1)),
   AVERAGEIFS(
     INDEX((unit_details[Asking Rent],unit_details[Asking PSF]),0,1,IF($U$3="Chunk Rent",1,2)),
     unit_details[Leased Date],"&gt;="&amp;($AM$2-T$5),
     unit_details[Leased Date],"&lt;"&amp;$AM$2,
     unit_details[Beds],$L748,
     unit_details[Baths],$M748,
     unit_details[Partial Baths],IF(ISNUMBER($N748),$N748,""),
     unit_details[Sqft],$P748,
     unit_details[Property Name],$F748)
 ),"")</f>
        <v/>
      </c>
      <c r="U748" s="552" t="str">
        <f>IFERROR(
 IF($F748="Total",
   SUMPRODUCT(
   INDEX(U:U, ROW()-COUNTIF($F$6:INDEX($F:$F, ROW()-1), $F747)) : INDEX(U:U, ROW()-1),
   INDEX(W:W, ROW()-COUNTIF($F$6:INDEX($F:$F, ROW()-1), $F747)) : INDEX(W:W, ROW()-1)
   )
   /SUM(INDEX(W:W, ROW()-COUNTIF($F$6:INDEX($F:$F, ROW()-1), $F747)) : INDEX(W:W, ROW()-1)),
   AVERAGEIFS(
     INDEX((unit_details[Effective Rent],unit_details[Effective PSF]),0,1,IF($U$3="Chunk Rent",1,2)),
     unit_details[Leased Date],"&gt;="&amp;($AM$2-T$5),
     unit_details[Leased Date],"&lt;"&amp;$AM$2,
     unit_details[Beds],$L748,
     unit_details[Baths],$M748,
     unit_details[Partial Baths],IF(ISNUMBER($N748),$N748,""),
     unit_details[Sqft],$P748,
     unit_details[Property Name],$F748)
 ),"")</f>
        <v/>
      </c>
      <c r="V748" s="27" t="str">
        <f t="shared" si="131"/>
        <v/>
      </c>
      <c r="W748" s="526">
        <f>IFERROR(
  IF($F748="Total",
    SUM(INDEX(W:W, ROW()-COUNTIF($F$6:INDEX($F:$F, ROW()-1), $F747)) : INDEX(W:W, ROW()-1)),
    COUNTIFS(
      unit_details[Leased Date], "&gt;="&amp;($AM$2-T$5),
      unit_details[Leased Date], "&lt;"&amp;$AM$2,
      unit_details[Beds], $L748,
      unit_details[Baths], $M748,
      unit_details[Partial Baths], IF(ISNUMBER($N748), $N748, ""),
      unit_details[Sqft],$P748,
      unit_details[Property Name], $F748
    )
  ),
"")</f>
        <v>0</v>
      </c>
      <c r="X748" s="531" t="str">
        <f>IFERROR(
 IF($F748="Total",
   SUMPRODUCT(
   INDEX(X:X, ROW()-COUNTIF($F$6:INDEX($F:$F, ROW()-1), $F747)) : INDEX(X:X, ROW()-1),
   INDEX(AA:AA, ROW()-COUNTIF($F$6:INDEX($F:$F, ROW()-1), $F747)) : INDEX(AA:AA, ROW()-1)
   )
   /SUM(INDEX(AA:AA, ROW()-COUNTIF($F$6:INDEX($F:$F, ROW()-1), $F747)) : INDEX(AA:AA, ROW()-1)),
   AVERAGEIFS(
     INDEX((unit_details[Asking Rent],unit_details[Asking PSF]),0,1,IF($U$3="Chunk Rent",1,2)),
     unit_details[Leased Date],"&gt;="&amp;($AM$2-X$5),
     unit_details[Leased Date],"&lt;"&amp;$AM$2,
     unit_details[Beds],$L748,
     unit_details[Baths],$M748,
     unit_details[Partial Baths],IF(ISNUMBER($N748),$N748,""),
     unit_details[Sqft],$P748,
     unit_details[Property Name],$F748)
 ),"")</f>
        <v/>
      </c>
      <c r="Y748" s="552" t="str">
        <f>IFERROR(
 IF($F748="Total",
   SUMPRODUCT(
   INDEX(Y:Y, ROW()-COUNTIF($F$6:INDEX($F:$F, ROW()-1), $F747)) : INDEX(Y:Y, ROW()-1),
   INDEX(AA:AA, ROW()-COUNTIF($F$6:INDEX($F:$F, ROW()-1), $F747)) : INDEX(AA:AA, ROW()-1)
   )
   /SUM(INDEX(AA:AA, ROW()-COUNTIF($F$6:INDEX($F:$F, ROW()-1), $F747)) : INDEX(AA:AA, ROW()-1)),
   AVERAGEIFS(
     INDEX((unit_details[Effective Rent],unit_details[Effective PSF]),0,1,IF($U$3="Chunk Rent",1,2)),
     unit_details[Leased Date],"&gt;="&amp;($AM$2-X$5),
     unit_details[Leased Date],"&lt;"&amp;$AM$2,
     unit_details[Beds],$L748,
     unit_details[Baths],$M748,
     unit_details[Partial Baths],IF(ISNUMBER($N748),$N748,""),
     unit_details[Sqft],$P748,
     unit_details[Property Name],$F748)
 ),"")</f>
        <v/>
      </c>
      <c r="Z748" s="27" t="str">
        <f t="shared" si="132"/>
        <v/>
      </c>
      <c r="AA748" s="526">
        <f>IFERROR(
  IF($F748="Total",
    SUM(INDEX(AA:AA, ROW()-COUNTIF($F$6:INDEX($F:$F, ROW()-1), $F747)) : INDEX(AA:AA, ROW()-1)),
    COUNTIFS(
      unit_details[Leased Date], "&gt;="&amp;($AM$2-X$5),
      unit_details[Leased Date], "&lt;"&amp;$AM$2,
      unit_details[Beds], $L748,
      unit_details[Baths], $M748,
      unit_details[Partial Baths], IF(ISNUMBER($N748), $N748, ""),
      unit_details[Sqft],$P748,
      unit_details[Property Name], $F748
    )
  ),
"")</f>
        <v>0</v>
      </c>
      <c r="AB748" s="290">
        <f>IF($F748="Total",
SUM(INDEX(AB:AB, ROW()-COUNTIF($F$6:INDEX($F:$F, ROW()-1), $F747)) : INDEX(AB:AB, ROW()-1)),
COUNTIFS(unit_details[Active Listing?],TRUE,
          unit_details[Property Name], $F748,
          unit_details[Beds], $L748,
          unit_details[Baths], $M748,
          unit_details[Partial Baths],IF(ISNUMBER($N748),$N748,""),
          unit_details[Sqft],$P748))</f>
        <v>0</v>
      </c>
      <c r="AC748" s="27" t="str">
        <f t="shared" si="124"/>
        <v/>
      </c>
      <c r="AD748" s="293" t="str">
        <f>IFERROR(IF(AE748="","",IF($F748="Total",
SUMPRODUCT(
   INDEX(AD:AD, ROW()-COUNTIF($F$6:INDEX($F:$F, ROW()-1), $F747)) : INDEX(AD:AD, ROW()-1),
   INDEX(AB:AB, ROW()-COUNTIF($F$6:INDEX($F:$F, ROW()-1), $F747)) : INDEX(AB:AB, ROW()-1)
   )
   /SUM(INDEX(AB:AB, ROW()-COUNTIF($F$6:INDEX($F:$F, ROW()-1), $F747)) : INDEX(AB:AB, ROW()-1)),
          _xlfn.MINIFS(unit_details[Asking Rent],
          unit_details[Active Listing?],TRUE,
          unit_details[Property Name], $F748,
          unit_details[Beds], $L748,
          unit_details[Baths], $M748,
          unit_details[Partial Baths], IF(ISNUMBER($N748),$N748,""),
          unit_details[Sqft],$P748
))),"")</f>
        <v/>
      </c>
      <c r="AE748" s="5" t="str">
        <f>IFERROR(IF($F748="Total",
          SUMPRODUCT(
   INDEX(AE:AE, ROW()-COUNTIF($F$6:INDEX($F:$F, ROW()-1), $F747)) : INDEX(AE:AE, ROW()-1),
   INDEX(AB:AB, ROW()-COUNTIF($F$6:INDEX($F:$F, ROW()-1), $F747)) : INDEX(AB:AB, ROW()-1)
   )
   /SUM(INDEX(AB:AB, ROW()-COUNTIF($F$6:INDEX($F:$F, ROW()-1), $F747)) : INDEX(AB:AB, ROW()-1)),
          AVERAGEIFS(unit_details[Asking Rent],
          unit_details[Active Listing?],TRUE,
          unit_details[Property Name], $F748,
          unit_details[Beds], $L748,
          unit_details[Baths], $M748,
          unit_details[Partial Baths], IF(ISNUMBER($N748),$N748,""),
          unit_details[Sqft],$P748
)),"")</f>
        <v/>
      </c>
      <c r="AF748" s="5" t="str">
        <f>IFERROR(IF(AE748="","",IF($F748="Total",
SUMPRODUCT(
   INDEX(AF:AF, ROW()-COUNTIF($F$6:INDEX($F:$F, ROW()-1), $F747)) : INDEX(AF:AF, ROW()-1),
   INDEX(AB:AB, ROW()-COUNTIF($F$6:INDEX($F:$F, ROW()-1), $F747)) : INDEX(AB:AB, ROW()-1)
   )
   /SUM(INDEX(AB:AB, ROW()-COUNTIF($F$6:INDEX($F:$F, ROW()-1), $F747)) : INDEX(AB:AB, ROW()-1)),
           _xlfn.MAXIFS(unit_details[Asking Rent],
          unit_details[Active Listing?],TRUE,
          unit_details[Property Name], $F748,
          unit_details[Beds], $L748,
          unit_details[Baths], $M748,
          unit_details[Partial Baths], IF(ISNUMBER($N748),$N748,""),
          unit_details[Sqft],$P748
))),"")</f>
        <v/>
      </c>
      <c r="AG748" s="6" t="str">
        <f>IFERROR(IF($F748="Total",
         SUMPRODUCT(
         INDEX(AG:AG, ROW()-COUNTIF($F$6:INDEX($F:$F, ROW()-1), $F747)) : INDEX(AG:AG, ROW()-1),
         INDEX(AB:AB, ROW()-COUNTIF($F$6:INDEX($F:$F, ROW()-1), $F747)) : INDEX(AB:AB, ROW()-1)
         )
         /SUM(INDEX(AB:AB, ROW()-COUNTIF($F$6:INDEX($F:$F, ROW()-1), $F747)) : INDEX(AB:AB, ROW()-1)),
          AVERAGEIFS(unit_details[Asking PSF],
          unit_details[Active Listing?],TRUE,
          unit_details[Property Name], $F748,
          unit_details[Beds], $L748,
          unit_details[Baths], $M748,
          unit_details[Partial Baths], IF(ISNUMBER($N748),$N748,""),
          unit_details[Sqft],$P748
)),"")</f>
        <v/>
      </c>
      <c r="AH748" s="293" t="str">
        <f>IFERROR(IF($F748="Total",
         SUMPRODUCT(
         INDEX(AH:AH, ROW()-COUNTIF($F$6:INDEX($F:$F, ROW()-1), $F747)) : INDEX(AH:AH, ROW()-1),
         INDEX(AB:AB, ROW()-COUNTIF($F$6:INDEX($F:$F, ROW()-1), $F747)) : INDEX(AB:AB, ROW()-1)
         )
         /SUM(INDEX(AB:AB, ROW()-COUNTIF($F$6:INDEX($F:$F, ROW()-1), $F747)) : INDEX(AB:AB, ROW()-1)),
          AVERAGEIFS(unit_details[Effective Rent],
          unit_details[Active Listing?],TRUE,
          unit_details[Property Name], $F748,
          unit_details[Beds], $L748,
          unit_details[Baths], $M748,
          unit_details[Partial Baths], IF(ISNUMBER($N748),$N748,""),
          unit_details[Sqft],$P748
)),"")</f>
        <v/>
      </c>
      <c r="AI748" s="6" t="str">
        <f>IFERROR(IF($F748="Total",
         SUMPRODUCT(
         INDEX(AI:AI, ROW()-COUNTIF($F$6:INDEX($F:$F, ROW()-1), $F747)) : INDEX(AI:AI, ROW()-1),
         INDEX(AB:AB, ROW()-COUNTIF($F$6:INDEX($F:$F, ROW()-1), $F747)) : INDEX(AB:AB, ROW()-1)
         )
         /SUM(INDEX(AB:AB, ROW()-COUNTIF($F$6:INDEX($F:$F, ROW()-1), $F747)) : INDEX(AB:AB, ROW()-1)),
           AVERAGEIFS(unit_details[Effective PSF],
          unit_details[Active Listing?],TRUE,
          unit_details[Property Name], $F748,
          unit_details[Beds], $L748,
          unit_details[Baths], $M748,
          unit_details[Partial Baths], IF(ISNUMBER($N748),$N748,""),
          unit_details[Sqft],$P748
)),"")</f>
        <v/>
      </c>
      <c r="AJ748" s="824" t="str">
        <f t="shared" si="125"/>
        <v/>
      </c>
      <c r="AK748" s="531" t="str">
        <f t="shared" si="126"/>
        <v/>
      </c>
      <c r="AL748" s="714" t="str">
        <f t="shared" si="127"/>
        <v/>
      </c>
      <c r="AM748" s="531" t="str">
        <f t="shared" si="128"/>
        <v/>
      </c>
      <c r="AN748" s="716" t="str">
        <f t="shared" si="129"/>
        <v/>
      </c>
    </row>
    <row r="749" spans="6:40" x14ac:dyDescent="0.2">
      <c r="F749" s="1" t="str">
        <f t="shared" si="122"/>
        <v/>
      </c>
      <c r="G749" s="713" t="str">
        <f t="shared" si="130"/>
        <v/>
      </c>
      <c r="H749" s="17" t="str">
        <f>IFERROR(VLOOKUP($G749,Table1[[Property]:[Exposure %]],4,0),"")</f>
        <v/>
      </c>
      <c r="I749" s="3" t="str">
        <f>IFERROR(VLOOKUP($G749,Table1[[Property]:[Exposure %]],6,0),"")</f>
        <v/>
      </c>
      <c r="J749" s="3" t="str">
        <f>IFERROR(VLOOKUP($G749,Table1[[Property]:[Exposure %]],7,0),"")</f>
        <v/>
      </c>
      <c r="R749" s="4" t="str">
        <f>IFERROR(VLOOKUP(IF(F749="Total",F748,F749),Table1[[Property]:['# Units]],7,0)*S749,"")</f>
        <v/>
      </c>
      <c r="S749" s="27" t="str">
        <f t="shared" si="123"/>
        <v/>
      </c>
      <c r="T749" s="531" t="str">
        <f>IFERROR(
 IF($F749="Total",
   SUMPRODUCT(
   INDEX(T:T, ROW()-COUNTIF($F$6:INDEX($F:$F, ROW()-1), $F748)) : INDEX(T:T, ROW()-1),
   INDEX(W:W, ROW()-COUNTIF($F$6:INDEX($F:$F, ROW()-1), $F748)) : INDEX(W:W, ROW()-1)
   )
   /SUM(INDEX(W:W, ROW()-COUNTIF($F$6:INDEX($F:$F, ROW()-1), $F748)) : INDEX(W:W, ROW()-1)),
   AVERAGEIFS(
     INDEX((unit_details[Asking Rent],unit_details[Asking PSF]),0,1,IF($U$3="Chunk Rent",1,2)),
     unit_details[Leased Date],"&gt;="&amp;($AM$2-T$5),
     unit_details[Leased Date],"&lt;"&amp;$AM$2,
     unit_details[Beds],$L749,
     unit_details[Baths],$M749,
     unit_details[Partial Baths],IF(ISNUMBER($N749),$N749,""),
     unit_details[Sqft],$P749,
     unit_details[Property Name],$F749)
 ),"")</f>
        <v/>
      </c>
      <c r="U749" s="552" t="str">
        <f>IFERROR(
 IF($F749="Total",
   SUMPRODUCT(
   INDEX(U:U, ROW()-COUNTIF($F$6:INDEX($F:$F, ROW()-1), $F748)) : INDEX(U:U, ROW()-1),
   INDEX(W:W, ROW()-COUNTIF($F$6:INDEX($F:$F, ROW()-1), $F748)) : INDEX(W:W, ROW()-1)
   )
   /SUM(INDEX(W:W, ROW()-COUNTIF($F$6:INDEX($F:$F, ROW()-1), $F748)) : INDEX(W:W, ROW()-1)),
   AVERAGEIFS(
     INDEX((unit_details[Effective Rent],unit_details[Effective PSF]),0,1,IF($U$3="Chunk Rent",1,2)),
     unit_details[Leased Date],"&gt;="&amp;($AM$2-T$5),
     unit_details[Leased Date],"&lt;"&amp;$AM$2,
     unit_details[Beds],$L749,
     unit_details[Baths],$M749,
     unit_details[Partial Baths],IF(ISNUMBER($N749),$N749,""),
     unit_details[Sqft],$P749,
     unit_details[Property Name],$F749)
 ),"")</f>
        <v/>
      </c>
      <c r="V749" s="27" t="str">
        <f t="shared" si="131"/>
        <v/>
      </c>
      <c r="W749" s="526">
        <f>IFERROR(
  IF($F749="Total",
    SUM(INDEX(W:W, ROW()-COUNTIF($F$6:INDEX($F:$F, ROW()-1), $F748)) : INDEX(W:W, ROW()-1)),
    COUNTIFS(
      unit_details[Leased Date], "&gt;="&amp;($AM$2-T$5),
      unit_details[Leased Date], "&lt;"&amp;$AM$2,
      unit_details[Beds], $L749,
      unit_details[Baths], $M749,
      unit_details[Partial Baths], IF(ISNUMBER($N749), $N749, ""),
      unit_details[Sqft],$P749,
      unit_details[Property Name], $F749
    )
  ),
"")</f>
        <v>0</v>
      </c>
      <c r="X749" s="531" t="str">
        <f>IFERROR(
 IF($F749="Total",
   SUMPRODUCT(
   INDEX(X:X, ROW()-COUNTIF($F$6:INDEX($F:$F, ROW()-1), $F748)) : INDEX(X:X, ROW()-1),
   INDEX(AA:AA, ROW()-COUNTIF($F$6:INDEX($F:$F, ROW()-1), $F748)) : INDEX(AA:AA, ROW()-1)
   )
   /SUM(INDEX(AA:AA, ROW()-COUNTIF($F$6:INDEX($F:$F, ROW()-1), $F748)) : INDEX(AA:AA, ROW()-1)),
   AVERAGEIFS(
     INDEX((unit_details[Asking Rent],unit_details[Asking PSF]),0,1,IF($U$3="Chunk Rent",1,2)),
     unit_details[Leased Date],"&gt;="&amp;($AM$2-X$5),
     unit_details[Leased Date],"&lt;"&amp;$AM$2,
     unit_details[Beds],$L749,
     unit_details[Baths],$M749,
     unit_details[Partial Baths],IF(ISNUMBER($N749),$N749,""),
     unit_details[Sqft],$P749,
     unit_details[Property Name],$F749)
 ),"")</f>
        <v/>
      </c>
      <c r="Y749" s="552" t="str">
        <f>IFERROR(
 IF($F749="Total",
   SUMPRODUCT(
   INDEX(Y:Y, ROW()-COUNTIF($F$6:INDEX($F:$F, ROW()-1), $F748)) : INDEX(Y:Y, ROW()-1),
   INDEX(AA:AA, ROW()-COUNTIF($F$6:INDEX($F:$F, ROW()-1), $F748)) : INDEX(AA:AA, ROW()-1)
   )
   /SUM(INDEX(AA:AA, ROW()-COUNTIF($F$6:INDEX($F:$F, ROW()-1), $F748)) : INDEX(AA:AA, ROW()-1)),
   AVERAGEIFS(
     INDEX((unit_details[Effective Rent],unit_details[Effective PSF]),0,1,IF($U$3="Chunk Rent",1,2)),
     unit_details[Leased Date],"&gt;="&amp;($AM$2-X$5),
     unit_details[Leased Date],"&lt;"&amp;$AM$2,
     unit_details[Beds],$L749,
     unit_details[Baths],$M749,
     unit_details[Partial Baths],IF(ISNUMBER($N749),$N749,""),
     unit_details[Sqft],$P749,
     unit_details[Property Name],$F749)
 ),"")</f>
        <v/>
      </c>
      <c r="Z749" s="27" t="str">
        <f t="shared" si="132"/>
        <v/>
      </c>
      <c r="AA749" s="526">
        <f>IFERROR(
  IF($F749="Total",
    SUM(INDEX(AA:AA, ROW()-COUNTIF($F$6:INDEX($F:$F, ROW()-1), $F748)) : INDEX(AA:AA, ROW()-1)),
    COUNTIFS(
      unit_details[Leased Date], "&gt;="&amp;($AM$2-X$5),
      unit_details[Leased Date], "&lt;"&amp;$AM$2,
      unit_details[Beds], $L749,
      unit_details[Baths], $M749,
      unit_details[Partial Baths], IF(ISNUMBER($N749), $N749, ""),
      unit_details[Sqft],$P749,
      unit_details[Property Name], $F749
    )
  ),
"")</f>
        <v>0</v>
      </c>
      <c r="AB749" s="290">
        <f>IF($F749="Total",
SUM(INDEX(AB:AB, ROW()-COUNTIF($F$6:INDEX($F:$F, ROW()-1), $F748)) : INDEX(AB:AB, ROW()-1)),
COUNTIFS(unit_details[Active Listing?],TRUE,
          unit_details[Property Name], $F749,
          unit_details[Beds], $L749,
          unit_details[Baths], $M749,
          unit_details[Partial Baths],IF(ISNUMBER($N749),$N749,""),
          unit_details[Sqft],$P749))</f>
        <v>0</v>
      </c>
      <c r="AC749" s="27" t="str">
        <f t="shared" si="124"/>
        <v/>
      </c>
      <c r="AD749" s="293" t="str">
        <f>IFERROR(IF(AE749="","",IF($F749="Total",
SUMPRODUCT(
   INDEX(AD:AD, ROW()-COUNTIF($F$6:INDEX($F:$F, ROW()-1), $F748)) : INDEX(AD:AD, ROW()-1),
   INDEX(AB:AB, ROW()-COUNTIF($F$6:INDEX($F:$F, ROW()-1), $F748)) : INDEX(AB:AB, ROW()-1)
   )
   /SUM(INDEX(AB:AB, ROW()-COUNTIF($F$6:INDEX($F:$F, ROW()-1), $F748)) : INDEX(AB:AB, ROW()-1)),
          _xlfn.MINIFS(unit_details[Asking Rent],
          unit_details[Active Listing?],TRUE,
          unit_details[Property Name], $F749,
          unit_details[Beds], $L749,
          unit_details[Baths], $M749,
          unit_details[Partial Baths], IF(ISNUMBER($N749),$N749,""),
          unit_details[Sqft],$P749
))),"")</f>
        <v/>
      </c>
      <c r="AE749" s="5" t="str">
        <f>IFERROR(IF($F749="Total",
          SUMPRODUCT(
   INDEX(AE:AE, ROW()-COUNTIF($F$6:INDEX($F:$F, ROW()-1), $F748)) : INDEX(AE:AE, ROW()-1),
   INDEX(AB:AB, ROW()-COUNTIF($F$6:INDEX($F:$F, ROW()-1), $F748)) : INDEX(AB:AB, ROW()-1)
   )
   /SUM(INDEX(AB:AB, ROW()-COUNTIF($F$6:INDEX($F:$F, ROW()-1), $F748)) : INDEX(AB:AB, ROW()-1)),
          AVERAGEIFS(unit_details[Asking Rent],
          unit_details[Active Listing?],TRUE,
          unit_details[Property Name], $F749,
          unit_details[Beds], $L749,
          unit_details[Baths], $M749,
          unit_details[Partial Baths], IF(ISNUMBER($N749),$N749,""),
          unit_details[Sqft],$P749
)),"")</f>
        <v/>
      </c>
      <c r="AF749" s="5" t="str">
        <f>IFERROR(IF(AE749="","",IF($F749="Total",
SUMPRODUCT(
   INDEX(AF:AF, ROW()-COUNTIF($F$6:INDEX($F:$F, ROW()-1), $F748)) : INDEX(AF:AF, ROW()-1),
   INDEX(AB:AB, ROW()-COUNTIF($F$6:INDEX($F:$F, ROW()-1), $F748)) : INDEX(AB:AB, ROW()-1)
   )
   /SUM(INDEX(AB:AB, ROW()-COUNTIF($F$6:INDEX($F:$F, ROW()-1), $F748)) : INDEX(AB:AB, ROW()-1)),
           _xlfn.MAXIFS(unit_details[Asking Rent],
          unit_details[Active Listing?],TRUE,
          unit_details[Property Name], $F749,
          unit_details[Beds], $L749,
          unit_details[Baths], $M749,
          unit_details[Partial Baths], IF(ISNUMBER($N749),$N749,""),
          unit_details[Sqft],$P749
))),"")</f>
        <v/>
      </c>
      <c r="AG749" s="6" t="str">
        <f>IFERROR(IF($F749="Total",
         SUMPRODUCT(
         INDEX(AG:AG, ROW()-COUNTIF($F$6:INDEX($F:$F, ROW()-1), $F748)) : INDEX(AG:AG, ROW()-1),
         INDEX(AB:AB, ROW()-COUNTIF($F$6:INDEX($F:$F, ROW()-1), $F748)) : INDEX(AB:AB, ROW()-1)
         )
         /SUM(INDEX(AB:AB, ROW()-COUNTIF($F$6:INDEX($F:$F, ROW()-1), $F748)) : INDEX(AB:AB, ROW()-1)),
          AVERAGEIFS(unit_details[Asking PSF],
          unit_details[Active Listing?],TRUE,
          unit_details[Property Name], $F749,
          unit_details[Beds], $L749,
          unit_details[Baths], $M749,
          unit_details[Partial Baths], IF(ISNUMBER($N749),$N749,""),
          unit_details[Sqft],$P749
)),"")</f>
        <v/>
      </c>
      <c r="AH749" s="293" t="str">
        <f>IFERROR(IF($F749="Total",
         SUMPRODUCT(
         INDEX(AH:AH, ROW()-COUNTIF($F$6:INDEX($F:$F, ROW()-1), $F748)) : INDEX(AH:AH, ROW()-1),
         INDEX(AB:AB, ROW()-COUNTIF($F$6:INDEX($F:$F, ROW()-1), $F748)) : INDEX(AB:AB, ROW()-1)
         )
         /SUM(INDEX(AB:AB, ROW()-COUNTIF($F$6:INDEX($F:$F, ROW()-1), $F748)) : INDEX(AB:AB, ROW()-1)),
          AVERAGEIFS(unit_details[Effective Rent],
          unit_details[Active Listing?],TRUE,
          unit_details[Property Name], $F749,
          unit_details[Beds], $L749,
          unit_details[Baths], $M749,
          unit_details[Partial Baths], IF(ISNUMBER($N749),$N749,""),
          unit_details[Sqft],$P749
)),"")</f>
        <v/>
      </c>
      <c r="AI749" s="6" t="str">
        <f>IFERROR(IF($F749="Total",
         SUMPRODUCT(
         INDEX(AI:AI, ROW()-COUNTIF($F$6:INDEX($F:$F, ROW()-1), $F748)) : INDEX(AI:AI, ROW()-1),
         INDEX(AB:AB, ROW()-COUNTIF($F$6:INDEX($F:$F, ROW()-1), $F748)) : INDEX(AB:AB, ROW()-1)
         )
         /SUM(INDEX(AB:AB, ROW()-COUNTIF($F$6:INDEX($F:$F, ROW()-1), $F748)) : INDEX(AB:AB, ROW()-1)),
           AVERAGEIFS(unit_details[Effective PSF],
          unit_details[Active Listing?],TRUE,
          unit_details[Property Name], $F749,
          unit_details[Beds], $L749,
          unit_details[Baths], $M749,
          unit_details[Partial Baths], IF(ISNUMBER($N749),$N749,""),
          unit_details[Sqft],$P749
)),"")</f>
        <v/>
      </c>
      <c r="AJ749" s="824" t="str">
        <f t="shared" si="125"/>
        <v/>
      </c>
      <c r="AK749" s="531" t="str">
        <f t="shared" si="126"/>
        <v/>
      </c>
      <c r="AL749" s="714" t="str">
        <f t="shared" si="127"/>
        <v/>
      </c>
      <c r="AM749" s="531" t="str">
        <f t="shared" si="128"/>
        <v/>
      </c>
      <c r="AN749" s="716" t="str">
        <f t="shared" si="129"/>
        <v/>
      </c>
    </row>
    <row r="750" spans="6:40" x14ac:dyDescent="0.2">
      <c r="F750" s="1" t="str">
        <f t="shared" si="122"/>
        <v/>
      </c>
      <c r="G750" s="713" t="str">
        <f t="shared" si="130"/>
        <v/>
      </c>
      <c r="H750" s="17" t="str">
        <f>IFERROR(VLOOKUP($G750,Table1[[Property]:[Exposure %]],4,0),"")</f>
        <v/>
      </c>
      <c r="I750" s="3" t="str">
        <f>IFERROR(VLOOKUP($G750,Table1[[Property]:[Exposure %]],6,0),"")</f>
        <v/>
      </c>
      <c r="J750" s="3" t="str">
        <f>IFERROR(VLOOKUP($G750,Table1[[Property]:[Exposure %]],7,0),"")</f>
        <v/>
      </c>
      <c r="R750" s="4" t="str">
        <f>IFERROR(VLOOKUP(IF(F750="Total",F749,F750),Table1[[Property]:['# Units]],7,0)*S750,"")</f>
        <v/>
      </c>
      <c r="S750" s="27" t="str">
        <f t="shared" si="123"/>
        <v/>
      </c>
      <c r="T750" s="531" t="str">
        <f>IFERROR(
 IF($F750="Total",
   SUMPRODUCT(
   INDEX(T:T, ROW()-COUNTIF($F$6:INDEX($F:$F, ROW()-1), $F749)) : INDEX(T:T, ROW()-1),
   INDEX(W:W, ROW()-COUNTIF($F$6:INDEX($F:$F, ROW()-1), $F749)) : INDEX(W:W, ROW()-1)
   )
   /SUM(INDEX(W:W, ROW()-COUNTIF($F$6:INDEX($F:$F, ROW()-1), $F749)) : INDEX(W:W, ROW()-1)),
   AVERAGEIFS(
     INDEX((unit_details[Asking Rent],unit_details[Asking PSF]),0,1,IF($U$3="Chunk Rent",1,2)),
     unit_details[Leased Date],"&gt;="&amp;($AM$2-T$5),
     unit_details[Leased Date],"&lt;"&amp;$AM$2,
     unit_details[Beds],$L750,
     unit_details[Baths],$M750,
     unit_details[Partial Baths],IF(ISNUMBER($N750),$N750,""),
     unit_details[Sqft],$P750,
     unit_details[Property Name],$F750)
 ),"")</f>
        <v/>
      </c>
      <c r="U750" s="552" t="str">
        <f>IFERROR(
 IF($F750="Total",
   SUMPRODUCT(
   INDEX(U:U, ROW()-COUNTIF($F$6:INDEX($F:$F, ROW()-1), $F749)) : INDEX(U:U, ROW()-1),
   INDEX(W:W, ROW()-COUNTIF($F$6:INDEX($F:$F, ROW()-1), $F749)) : INDEX(W:W, ROW()-1)
   )
   /SUM(INDEX(W:W, ROW()-COUNTIF($F$6:INDEX($F:$F, ROW()-1), $F749)) : INDEX(W:W, ROW()-1)),
   AVERAGEIFS(
     INDEX((unit_details[Effective Rent],unit_details[Effective PSF]),0,1,IF($U$3="Chunk Rent",1,2)),
     unit_details[Leased Date],"&gt;="&amp;($AM$2-T$5),
     unit_details[Leased Date],"&lt;"&amp;$AM$2,
     unit_details[Beds],$L750,
     unit_details[Baths],$M750,
     unit_details[Partial Baths],IF(ISNUMBER($N750),$N750,""),
     unit_details[Sqft],$P750,
     unit_details[Property Name],$F750)
 ),"")</f>
        <v/>
      </c>
      <c r="V750" s="27" t="str">
        <f t="shared" si="131"/>
        <v/>
      </c>
      <c r="W750" s="526">
        <f>IFERROR(
  IF($F750="Total",
    SUM(INDEX(W:W, ROW()-COUNTIF($F$6:INDEX($F:$F, ROW()-1), $F749)) : INDEX(W:W, ROW()-1)),
    COUNTIFS(
      unit_details[Leased Date], "&gt;="&amp;($AM$2-T$5),
      unit_details[Leased Date], "&lt;"&amp;$AM$2,
      unit_details[Beds], $L750,
      unit_details[Baths], $M750,
      unit_details[Partial Baths], IF(ISNUMBER($N750), $N750, ""),
      unit_details[Sqft],$P750,
      unit_details[Property Name], $F750
    )
  ),
"")</f>
        <v>0</v>
      </c>
      <c r="X750" s="531" t="str">
        <f>IFERROR(
 IF($F750="Total",
   SUMPRODUCT(
   INDEX(X:X, ROW()-COUNTIF($F$6:INDEX($F:$F, ROW()-1), $F749)) : INDEX(X:X, ROW()-1),
   INDEX(AA:AA, ROW()-COUNTIF($F$6:INDEX($F:$F, ROW()-1), $F749)) : INDEX(AA:AA, ROW()-1)
   )
   /SUM(INDEX(AA:AA, ROW()-COUNTIF($F$6:INDEX($F:$F, ROW()-1), $F749)) : INDEX(AA:AA, ROW()-1)),
   AVERAGEIFS(
     INDEX((unit_details[Asking Rent],unit_details[Asking PSF]),0,1,IF($U$3="Chunk Rent",1,2)),
     unit_details[Leased Date],"&gt;="&amp;($AM$2-X$5),
     unit_details[Leased Date],"&lt;"&amp;$AM$2,
     unit_details[Beds],$L750,
     unit_details[Baths],$M750,
     unit_details[Partial Baths],IF(ISNUMBER($N750),$N750,""),
     unit_details[Sqft],$P750,
     unit_details[Property Name],$F750)
 ),"")</f>
        <v/>
      </c>
      <c r="Y750" s="552" t="str">
        <f>IFERROR(
 IF($F750="Total",
   SUMPRODUCT(
   INDEX(Y:Y, ROW()-COUNTIF($F$6:INDEX($F:$F, ROW()-1), $F749)) : INDEX(Y:Y, ROW()-1),
   INDEX(AA:AA, ROW()-COUNTIF($F$6:INDEX($F:$F, ROW()-1), $F749)) : INDEX(AA:AA, ROW()-1)
   )
   /SUM(INDEX(AA:AA, ROW()-COUNTIF($F$6:INDEX($F:$F, ROW()-1), $F749)) : INDEX(AA:AA, ROW()-1)),
   AVERAGEIFS(
     INDEX((unit_details[Effective Rent],unit_details[Effective PSF]),0,1,IF($U$3="Chunk Rent",1,2)),
     unit_details[Leased Date],"&gt;="&amp;($AM$2-X$5),
     unit_details[Leased Date],"&lt;"&amp;$AM$2,
     unit_details[Beds],$L750,
     unit_details[Baths],$M750,
     unit_details[Partial Baths],IF(ISNUMBER($N750),$N750,""),
     unit_details[Sqft],$P750,
     unit_details[Property Name],$F750)
 ),"")</f>
        <v/>
      </c>
      <c r="Z750" s="27" t="str">
        <f t="shared" si="132"/>
        <v/>
      </c>
      <c r="AA750" s="526">
        <f>IFERROR(
  IF($F750="Total",
    SUM(INDEX(AA:AA, ROW()-COUNTIF($F$6:INDEX($F:$F, ROW()-1), $F749)) : INDEX(AA:AA, ROW()-1)),
    COUNTIFS(
      unit_details[Leased Date], "&gt;="&amp;($AM$2-X$5),
      unit_details[Leased Date], "&lt;"&amp;$AM$2,
      unit_details[Beds], $L750,
      unit_details[Baths], $M750,
      unit_details[Partial Baths], IF(ISNUMBER($N750), $N750, ""),
      unit_details[Sqft],$P750,
      unit_details[Property Name], $F750
    )
  ),
"")</f>
        <v>0</v>
      </c>
      <c r="AB750" s="290">
        <f>IF($F750="Total",
SUM(INDEX(AB:AB, ROW()-COUNTIF($F$6:INDEX($F:$F, ROW()-1), $F749)) : INDEX(AB:AB, ROW()-1)),
COUNTIFS(unit_details[Active Listing?],TRUE,
          unit_details[Property Name], $F750,
          unit_details[Beds], $L750,
          unit_details[Baths], $M750,
          unit_details[Partial Baths],IF(ISNUMBER($N750),$N750,""),
          unit_details[Sqft],$P750))</f>
        <v>0</v>
      </c>
      <c r="AC750" s="27" t="str">
        <f t="shared" si="124"/>
        <v/>
      </c>
      <c r="AD750" s="293" t="str">
        <f>IFERROR(IF(AE750="","",IF($F750="Total",
SUMPRODUCT(
   INDEX(AD:AD, ROW()-COUNTIF($F$6:INDEX($F:$F, ROW()-1), $F749)) : INDEX(AD:AD, ROW()-1),
   INDEX(AB:AB, ROW()-COUNTIF($F$6:INDEX($F:$F, ROW()-1), $F749)) : INDEX(AB:AB, ROW()-1)
   )
   /SUM(INDEX(AB:AB, ROW()-COUNTIF($F$6:INDEX($F:$F, ROW()-1), $F749)) : INDEX(AB:AB, ROW()-1)),
          _xlfn.MINIFS(unit_details[Asking Rent],
          unit_details[Active Listing?],TRUE,
          unit_details[Property Name], $F750,
          unit_details[Beds], $L750,
          unit_details[Baths], $M750,
          unit_details[Partial Baths], IF(ISNUMBER($N750),$N750,""),
          unit_details[Sqft],$P750
))),"")</f>
        <v/>
      </c>
      <c r="AE750" s="5" t="str">
        <f>IFERROR(IF($F750="Total",
          SUMPRODUCT(
   INDEX(AE:AE, ROW()-COUNTIF($F$6:INDEX($F:$F, ROW()-1), $F749)) : INDEX(AE:AE, ROW()-1),
   INDEX(AB:AB, ROW()-COUNTIF($F$6:INDEX($F:$F, ROW()-1), $F749)) : INDEX(AB:AB, ROW()-1)
   )
   /SUM(INDEX(AB:AB, ROW()-COUNTIF($F$6:INDEX($F:$F, ROW()-1), $F749)) : INDEX(AB:AB, ROW()-1)),
          AVERAGEIFS(unit_details[Asking Rent],
          unit_details[Active Listing?],TRUE,
          unit_details[Property Name], $F750,
          unit_details[Beds], $L750,
          unit_details[Baths], $M750,
          unit_details[Partial Baths], IF(ISNUMBER($N750),$N750,""),
          unit_details[Sqft],$P750
)),"")</f>
        <v/>
      </c>
      <c r="AF750" s="5" t="str">
        <f>IFERROR(IF(AE750="","",IF($F750="Total",
SUMPRODUCT(
   INDEX(AF:AF, ROW()-COUNTIF($F$6:INDEX($F:$F, ROW()-1), $F749)) : INDEX(AF:AF, ROW()-1),
   INDEX(AB:AB, ROW()-COUNTIF($F$6:INDEX($F:$F, ROW()-1), $F749)) : INDEX(AB:AB, ROW()-1)
   )
   /SUM(INDEX(AB:AB, ROW()-COUNTIF($F$6:INDEX($F:$F, ROW()-1), $F749)) : INDEX(AB:AB, ROW()-1)),
           _xlfn.MAXIFS(unit_details[Asking Rent],
          unit_details[Active Listing?],TRUE,
          unit_details[Property Name], $F750,
          unit_details[Beds], $L750,
          unit_details[Baths], $M750,
          unit_details[Partial Baths], IF(ISNUMBER($N750),$N750,""),
          unit_details[Sqft],$P750
))),"")</f>
        <v/>
      </c>
      <c r="AG750" s="6" t="str">
        <f>IFERROR(IF($F750="Total",
         SUMPRODUCT(
         INDEX(AG:AG, ROW()-COUNTIF($F$6:INDEX($F:$F, ROW()-1), $F749)) : INDEX(AG:AG, ROW()-1),
         INDEX(AB:AB, ROW()-COUNTIF($F$6:INDEX($F:$F, ROW()-1), $F749)) : INDEX(AB:AB, ROW()-1)
         )
         /SUM(INDEX(AB:AB, ROW()-COUNTIF($F$6:INDEX($F:$F, ROW()-1), $F749)) : INDEX(AB:AB, ROW()-1)),
          AVERAGEIFS(unit_details[Asking PSF],
          unit_details[Active Listing?],TRUE,
          unit_details[Property Name], $F750,
          unit_details[Beds], $L750,
          unit_details[Baths], $M750,
          unit_details[Partial Baths], IF(ISNUMBER($N750),$N750,""),
          unit_details[Sqft],$P750
)),"")</f>
        <v/>
      </c>
      <c r="AH750" s="293" t="str">
        <f>IFERROR(IF($F750="Total",
         SUMPRODUCT(
         INDEX(AH:AH, ROW()-COUNTIF($F$6:INDEX($F:$F, ROW()-1), $F749)) : INDEX(AH:AH, ROW()-1),
         INDEX(AB:AB, ROW()-COUNTIF($F$6:INDEX($F:$F, ROW()-1), $F749)) : INDEX(AB:AB, ROW()-1)
         )
         /SUM(INDEX(AB:AB, ROW()-COUNTIF($F$6:INDEX($F:$F, ROW()-1), $F749)) : INDEX(AB:AB, ROW()-1)),
          AVERAGEIFS(unit_details[Effective Rent],
          unit_details[Active Listing?],TRUE,
          unit_details[Property Name], $F750,
          unit_details[Beds], $L750,
          unit_details[Baths], $M750,
          unit_details[Partial Baths], IF(ISNUMBER($N750),$N750,""),
          unit_details[Sqft],$P750
)),"")</f>
        <v/>
      </c>
      <c r="AI750" s="6" t="str">
        <f>IFERROR(IF($F750="Total",
         SUMPRODUCT(
         INDEX(AI:AI, ROW()-COUNTIF($F$6:INDEX($F:$F, ROW()-1), $F749)) : INDEX(AI:AI, ROW()-1),
         INDEX(AB:AB, ROW()-COUNTIF($F$6:INDEX($F:$F, ROW()-1), $F749)) : INDEX(AB:AB, ROW()-1)
         )
         /SUM(INDEX(AB:AB, ROW()-COUNTIF($F$6:INDEX($F:$F, ROW()-1), $F749)) : INDEX(AB:AB, ROW()-1)),
           AVERAGEIFS(unit_details[Effective PSF],
          unit_details[Active Listing?],TRUE,
          unit_details[Property Name], $F750,
          unit_details[Beds], $L750,
          unit_details[Baths], $M750,
          unit_details[Partial Baths], IF(ISNUMBER($N750),$N750,""),
          unit_details[Sqft],$P750
)),"")</f>
        <v/>
      </c>
      <c r="AJ750" s="824" t="str">
        <f t="shared" si="125"/>
        <v/>
      </c>
      <c r="AK750" s="531" t="str">
        <f t="shared" si="126"/>
        <v/>
      </c>
      <c r="AL750" s="714" t="str">
        <f t="shared" si="127"/>
        <v/>
      </c>
      <c r="AM750" s="531" t="str">
        <f t="shared" si="128"/>
        <v/>
      </c>
      <c r="AN750" s="716" t="str">
        <f t="shared" si="129"/>
        <v/>
      </c>
    </row>
    <row r="751" spans="6:40" x14ac:dyDescent="0.2">
      <c r="F751" s="1" t="str">
        <f t="shared" si="122"/>
        <v/>
      </c>
      <c r="G751" s="713" t="str">
        <f t="shared" si="130"/>
        <v/>
      </c>
      <c r="H751" s="17" t="str">
        <f>IFERROR(VLOOKUP($G751,Table1[[Property]:[Exposure %]],4,0),"")</f>
        <v/>
      </c>
      <c r="I751" s="3" t="str">
        <f>IFERROR(VLOOKUP($G751,Table1[[Property]:[Exposure %]],6,0),"")</f>
        <v/>
      </c>
      <c r="J751" s="3" t="str">
        <f>IFERROR(VLOOKUP($G751,Table1[[Property]:[Exposure %]],7,0),"")</f>
        <v/>
      </c>
      <c r="R751" s="4" t="str">
        <f>IFERROR(VLOOKUP(IF(F751="Total",F750,F751),Table1[[Property]:['# Units]],7,0)*S751,"")</f>
        <v/>
      </c>
      <c r="S751" s="27" t="str">
        <f t="shared" si="123"/>
        <v/>
      </c>
      <c r="T751" s="531" t="str">
        <f>IFERROR(
 IF($F751="Total",
   SUMPRODUCT(
   INDEX(T:T, ROW()-COUNTIF($F$6:INDEX($F:$F, ROW()-1), $F750)) : INDEX(T:T, ROW()-1),
   INDEX(W:W, ROW()-COUNTIF($F$6:INDEX($F:$F, ROW()-1), $F750)) : INDEX(W:W, ROW()-1)
   )
   /SUM(INDEX(W:W, ROW()-COUNTIF($F$6:INDEX($F:$F, ROW()-1), $F750)) : INDEX(W:W, ROW()-1)),
   AVERAGEIFS(
     INDEX((unit_details[Asking Rent],unit_details[Asking PSF]),0,1,IF($U$3="Chunk Rent",1,2)),
     unit_details[Leased Date],"&gt;="&amp;($AM$2-T$5),
     unit_details[Leased Date],"&lt;"&amp;$AM$2,
     unit_details[Beds],$L751,
     unit_details[Baths],$M751,
     unit_details[Partial Baths],IF(ISNUMBER($N751),$N751,""),
     unit_details[Sqft],$P751,
     unit_details[Property Name],$F751)
 ),"")</f>
        <v/>
      </c>
      <c r="U751" s="552" t="str">
        <f>IFERROR(
 IF($F751="Total",
   SUMPRODUCT(
   INDEX(U:U, ROW()-COUNTIF($F$6:INDEX($F:$F, ROW()-1), $F750)) : INDEX(U:U, ROW()-1),
   INDEX(W:W, ROW()-COUNTIF($F$6:INDEX($F:$F, ROW()-1), $F750)) : INDEX(W:W, ROW()-1)
   )
   /SUM(INDEX(W:W, ROW()-COUNTIF($F$6:INDEX($F:$F, ROW()-1), $F750)) : INDEX(W:W, ROW()-1)),
   AVERAGEIFS(
     INDEX((unit_details[Effective Rent],unit_details[Effective PSF]),0,1,IF($U$3="Chunk Rent",1,2)),
     unit_details[Leased Date],"&gt;="&amp;($AM$2-T$5),
     unit_details[Leased Date],"&lt;"&amp;$AM$2,
     unit_details[Beds],$L751,
     unit_details[Baths],$M751,
     unit_details[Partial Baths],IF(ISNUMBER($N751),$N751,""),
     unit_details[Sqft],$P751,
     unit_details[Property Name],$F751)
 ),"")</f>
        <v/>
      </c>
      <c r="V751" s="27" t="str">
        <f t="shared" si="131"/>
        <v/>
      </c>
      <c r="W751" s="526">
        <f>IFERROR(
  IF($F751="Total",
    SUM(INDEX(W:W, ROW()-COUNTIF($F$6:INDEX($F:$F, ROW()-1), $F750)) : INDEX(W:W, ROW()-1)),
    COUNTIFS(
      unit_details[Leased Date], "&gt;="&amp;($AM$2-T$5),
      unit_details[Leased Date], "&lt;"&amp;$AM$2,
      unit_details[Beds], $L751,
      unit_details[Baths], $M751,
      unit_details[Partial Baths], IF(ISNUMBER($N751), $N751, ""),
      unit_details[Sqft],$P751,
      unit_details[Property Name], $F751
    )
  ),
"")</f>
        <v>0</v>
      </c>
      <c r="X751" s="531" t="str">
        <f>IFERROR(
 IF($F751="Total",
   SUMPRODUCT(
   INDEX(X:X, ROW()-COUNTIF($F$6:INDEX($F:$F, ROW()-1), $F750)) : INDEX(X:X, ROW()-1),
   INDEX(AA:AA, ROW()-COUNTIF($F$6:INDEX($F:$F, ROW()-1), $F750)) : INDEX(AA:AA, ROW()-1)
   )
   /SUM(INDEX(AA:AA, ROW()-COUNTIF($F$6:INDEX($F:$F, ROW()-1), $F750)) : INDEX(AA:AA, ROW()-1)),
   AVERAGEIFS(
     INDEX((unit_details[Asking Rent],unit_details[Asking PSF]),0,1,IF($U$3="Chunk Rent",1,2)),
     unit_details[Leased Date],"&gt;="&amp;($AM$2-X$5),
     unit_details[Leased Date],"&lt;"&amp;$AM$2,
     unit_details[Beds],$L751,
     unit_details[Baths],$M751,
     unit_details[Partial Baths],IF(ISNUMBER($N751),$N751,""),
     unit_details[Sqft],$P751,
     unit_details[Property Name],$F751)
 ),"")</f>
        <v/>
      </c>
      <c r="Y751" s="552" t="str">
        <f>IFERROR(
 IF($F751="Total",
   SUMPRODUCT(
   INDEX(Y:Y, ROW()-COUNTIF($F$6:INDEX($F:$F, ROW()-1), $F750)) : INDEX(Y:Y, ROW()-1),
   INDEX(AA:AA, ROW()-COUNTIF($F$6:INDEX($F:$F, ROW()-1), $F750)) : INDEX(AA:AA, ROW()-1)
   )
   /SUM(INDEX(AA:AA, ROW()-COUNTIF($F$6:INDEX($F:$F, ROW()-1), $F750)) : INDEX(AA:AA, ROW()-1)),
   AVERAGEIFS(
     INDEX((unit_details[Effective Rent],unit_details[Effective PSF]),0,1,IF($U$3="Chunk Rent",1,2)),
     unit_details[Leased Date],"&gt;="&amp;($AM$2-X$5),
     unit_details[Leased Date],"&lt;"&amp;$AM$2,
     unit_details[Beds],$L751,
     unit_details[Baths],$M751,
     unit_details[Partial Baths],IF(ISNUMBER($N751),$N751,""),
     unit_details[Sqft],$P751,
     unit_details[Property Name],$F751)
 ),"")</f>
        <v/>
      </c>
      <c r="Z751" s="27" t="str">
        <f t="shared" si="132"/>
        <v/>
      </c>
      <c r="AA751" s="526">
        <f>IFERROR(
  IF($F751="Total",
    SUM(INDEX(AA:AA, ROW()-COUNTIF($F$6:INDEX($F:$F, ROW()-1), $F750)) : INDEX(AA:AA, ROW()-1)),
    COUNTIFS(
      unit_details[Leased Date], "&gt;="&amp;($AM$2-X$5),
      unit_details[Leased Date], "&lt;"&amp;$AM$2,
      unit_details[Beds], $L751,
      unit_details[Baths], $M751,
      unit_details[Partial Baths], IF(ISNUMBER($N751), $N751, ""),
      unit_details[Sqft],$P751,
      unit_details[Property Name], $F751
    )
  ),
"")</f>
        <v>0</v>
      </c>
      <c r="AB751" s="290">
        <f>IF($F751="Total",
SUM(INDEX(AB:AB, ROW()-COUNTIF($F$6:INDEX($F:$F, ROW()-1), $F750)) : INDEX(AB:AB, ROW()-1)),
COUNTIFS(unit_details[Active Listing?],TRUE,
          unit_details[Property Name], $F751,
          unit_details[Beds], $L751,
          unit_details[Baths], $M751,
          unit_details[Partial Baths],IF(ISNUMBER($N751),$N751,""),
          unit_details[Sqft],$P751))</f>
        <v>0</v>
      </c>
      <c r="AC751" s="27" t="str">
        <f t="shared" si="124"/>
        <v/>
      </c>
      <c r="AD751" s="293" t="str">
        <f>IFERROR(IF(AE751="","",IF($F751="Total",
SUMPRODUCT(
   INDEX(AD:AD, ROW()-COUNTIF($F$6:INDEX($F:$F, ROW()-1), $F750)) : INDEX(AD:AD, ROW()-1),
   INDEX(AB:AB, ROW()-COUNTIF($F$6:INDEX($F:$F, ROW()-1), $F750)) : INDEX(AB:AB, ROW()-1)
   )
   /SUM(INDEX(AB:AB, ROW()-COUNTIF($F$6:INDEX($F:$F, ROW()-1), $F750)) : INDEX(AB:AB, ROW()-1)),
          _xlfn.MINIFS(unit_details[Asking Rent],
          unit_details[Active Listing?],TRUE,
          unit_details[Property Name], $F751,
          unit_details[Beds], $L751,
          unit_details[Baths], $M751,
          unit_details[Partial Baths], IF(ISNUMBER($N751),$N751,""),
          unit_details[Sqft],$P751
))),"")</f>
        <v/>
      </c>
      <c r="AE751" s="5" t="str">
        <f>IFERROR(IF($F751="Total",
          SUMPRODUCT(
   INDEX(AE:AE, ROW()-COUNTIF($F$6:INDEX($F:$F, ROW()-1), $F750)) : INDEX(AE:AE, ROW()-1),
   INDEX(AB:AB, ROW()-COUNTIF($F$6:INDEX($F:$F, ROW()-1), $F750)) : INDEX(AB:AB, ROW()-1)
   )
   /SUM(INDEX(AB:AB, ROW()-COUNTIF($F$6:INDEX($F:$F, ROW()-1), $F750)) : INDEX(AB:AB, ROW()-1)),
          AVERAGEIFS(unit_details[Asking Rent],
          unit_details[Active Listing?],TRUE,
          unit_details[Property Name], $F751,
          unit_details[Beds], $L751,
          unit_details[Baths], $M751,
          unit_details[Partial Baths], IF(ISNUMBER($N751),$N751,""),
          unit_details[Sqft],$P751
)),"")</f>
        <v/>
      </c>
      <c r="AF751" s="5" t="str">
        <f>IFERROR(IF(AE751="","",IF($F751="Total",
SUMPRODUCT(
   INDEX(AF:AF, ROW()-COUNTIF($F$6:INDEX($F:$F, ROW()-1), $F750)) : INDEX(AF:AF, ROW()-1),
   INDEX(AB:AB, ROW()-COUNTIF($F$6:INDEX($F:$F, ROW()-1), $F750)) : INDEX(AB:AB, ROW()-1)
   )
   /SUM(INDEX(AB:AB, ROW()-COUNTIF($F$6:INDEX($F:$F, ROW()-1), $F750)) : INDEX(AB:AB, ROW()-1)),
           _xlfn.MAXIFS(unit_details[Asking Rent],
          unit_details[Active Listing?],TRUE,
          unit_details[Property Name], $F751,
          unit_details[Beds], $L751,
          unit_details[Baths], $M751,
          unit_details[Partial Baths], IF(ISNUMBER($N751),$N751,""),
          unit_details[Sqft],$P751
))),"")</f>
        <v/>
      </c>
      <c r="AG751" s="6" t="str">
        <f>IFERROR(IF($F751="Total",
         SUMPRODUCT(
         INDEX(AG:AG, ROW()-COUNTIF($F$6:INDEX($F:$F, ROW()-1), $F750)) : INDEX(AG:AG, ROW()-1),
         INDEX(AB:AB, ROW()-COUNTIF($F$6:INDEX($F:$F, ROW()-1), $F750)) : INDEX(AB:AB, ROW()-1)
         )
         /SUM(INDEX(AB:AB, ROW()-COUNTIF($F$6:INDEX($F:$F, ROW()-1), $F750)) : INDEX(AB:AB, ROW()-1)),
          AVERAGEIFS(unit_details[Asking PSF],
          unit_details[Active Listing?],TRUE,
          unit_details[Property Name], $F751,
          unit_details[Beds], $L751,
          unit_details[Baths], $M751,
          unit_details[Partial Baths], IF(ISNUMBER($N751),$N751,""),
          unit_details[Sqft],$P751
)),"")</f>
        <v/>
      </c>
      <c r="AH751" s="293" t="str">
        <f>IFERROR(IF($F751="Total",
         SUMPRODUCT(
         INDEX(AH:AH, ROW()-COUNTIF($F$6:INDEX($F:$F, ROW()-1), $F750)) : INDEX(AH:AH, ROW()-1),
         INDEX(AB:AB, ROW()-COUNTIF($F$6:INDEX($F:$F, ROW()-1), $F750)) : INDEX(AB:AB, ROW()-1)
         )
         /SUM(INDEX(AB:AB, ROW()-COUNTIF($F$6:INDEX($F:$F, ROW()-1), $F750)) : INDEX(AB:AB, ROW()-1)),
          AVERAGEIFS(unit_details[Effective Rent],
          unit_details[Active Listing?],TRUE,
          unit_details[Property Name], $F751,
          unit_details[Beds], $L751,
          unit_details[Baths], $M751,
          unit_details[Partial Baths], IF(ISNUMBER($N751),$N751,""),
          unit_details[Sqft],$P751
)),"")</f>
        <v/>
      </c>
      <c r="AI751" s="6" t="str">
        <f>IFERROR(IF($F751="Total",
         SUMPRODUCT(
         INDEX(AI:AI, ROW()-COUNTIF($F$6:INDEX($F:$F, ROW()-1), $F750)) : INDEX(AI:AI, ROW()-1),
         INDEX(AB:AB, ROW()-COUNTIF($F$6:INDEX($F:$F, ROW()-1), $F750)) : INDEX(AB:AB, ROW()-1)
         )
         /SUM(INDEX(AB:AB, ROW()-COUNTIF($F$6:INDEX($F:$F, ROW()-1), $F750)) : INDEX(AB:AB, ROW()-1)),
           AVERAGEIFS(unit_details[Effective PSF],
          unit_details[Active Listing?],TRUE,
          unit_details[Property Name], $F751,
          unit_details[Beds], $L751,
          unit_details[Baths], $M751,
          unit_details[Partial Baths], IF(ISNUMBER($N751),$N751,""),
          unit_details[Sqft],$P751
)),"")</f>
        <v/>
      </c>
      <c r="AJ751" s="824" t="str">
        <f t="shared" si="125"/>
        <v/>
      </c>
      <c r="AK751" s="531" t="str">
        <f t="shared" si="126"/>
        <v/>
      </c>
      <c r="AL751" s="714" t="str">
        <f t="shared" si="127"/>
        <v/>
      </c>
      <c r="AM751" s="531" t="str">
        <f t="shared" si="128"/>
        <v/>
      </c>
      <c r="AN751" s="716" t="str">
        <f t="shared" si="129"/>
        <v/>
      </c>
    </row>
    <row r="752" spans="6:40" x14ac:dyDescent="0.2">
      <c r="F752" s="1" t="str">
        <f t="shared" si="122"/>
        <v/>
      </c>
      <c r="G752" s="713" t="str">
        <f t="shared" si="130"/>
        <v/>
      </c>
      <c r="H752" s="17" t="str">
        <f>IFERROR(VLOOKUP($G752,Table1[[Property]:[Exposure %]],4,0),"")</f>
        <v/>
      </c>
      <c r="I752" s="3" t="str">
        <f>IFERROR(VLOOKUP($G752,Table1[[Property]:[Exposure %]],6,0),"")</f>
        <v/>
      </c>
      <c r="J752" s="3" t="str">
        <f>IFERROR(VLOOKUP($G752,Table1[[Property]:[Exposure %]],7,0),"")</f>
        <v/>
      </c>
      <c r="R752" s="4" t="str">
        <f>IFERROR(VLOOKUP(IF(F752="Total",F751,F752),Table1[[Property]:['# Units]],7,0)*S752,"")</f>
        <v/>
      </c>
      <c r="S752" s="27" t="str">
        <f t="shared" si="123"/>
        <v/>
      </c>
      <c r="T752" s="531" t="str">
        <f>IFERROR(
 IF($F752="Total",
   SUMPRODUCT(
   INDEX(T:T, ROW()-COUNTIF($F$6:INDEX($F:$F, ROW()-1), $F751)) : INDEX(T:T, ROW()-1),
   INDEX(W:W, ROW()-COUNTIF($F$6:INDEX($F:$F, ROW()-1), $F751)) : INDEX(W:W, ROW()-1)
   )
   /SUM(INDEX(W:W, ROW()-COUNTIF($F$6:INDEX($F:$F, ROW()-1), $F751)) : INDEX(W:W, ROW()-1)),
   AVERAGEIFS(
     INDEX((unit_details[Asking Rent],unit_details[Asking PSF]),0,1,IF($U$3="Chunk Rent",1,2)),
     unit_details[Leased Date],"&gt;="&amp;($AM$2-T$5),
     unit_details[Leased Date],"&lt;"&amp;$AM$2,
     unit_details[Beds],$L752,
     unit_details[Baths],$M752,
     unit_details[Partial Baths],IF(ISNUMBER($N752),$N752,""),
     unit_details[Sqft],$P752,
     unit_details[Property Name],$F752)
 ),"")</f>
        <v/>
      </c>
      <c r="U752" s="552" t="str">
        <f>IFERROR(
 IF($F752="Total",
   SUMPRODUCT(
   INDEX(U:U, ROW()-COUNTIF($F$6:INDEX($F:$F, ROW()-1), $F751)) : INDEX(U:U, ROW()-1),
   INDEX(W:W, ROW()-COUNTIF($F$6:INDEX($F:$F, ROW()-1), $F751)) : INDEX(W:W, ROW()-1)
   )
   /SUM(INDEX(W:W, ROW()-COUNTIF($F$6:INDEX($F:$F, ROW()-1), $F751)) : INDEX(W:W, ROW()-1)),
   AVERAGEIFS(
     INDEX((unit_details[Effective Rent],unit_details[Effective PSF]),0,1,IF($U$3="Chunk Rent",1,2)),
     unit_details[Leased Date],"&gt;="&amp;($AM$2-T$5),
     unit_details[Leased Date],"&lt;"&amp;$AM$2,
     unit_details[Beds],$L752,
     unit_details[Baths],$M752,
     unit_details[Partial Baths],IF(ISNUMBER($N752),$N752,""),
     unit_details[Sqft],$P752,
     unit_details[Property Name],$F752)
 ),"")</f>
        <v/>
      </c>
      <c r="V752" s="27" t="str">
        <f t="shared" si="131"/>
        <v/>
      </c>
      <c r="W752" s="526">
        <f>IFERROR(
  IF($F752="Total",
    SUM(INDEX(W:W, ROW()-COUNTIF($F$6:INDEX($F:$F, ROW()-1), $F751)) : INDEX(W:W, ROW()-1)),
    COUNTIFS(
      unit_details[Leased Date], "&gt;="&amp;($AM$2-T$5),
      unit_details[Leased Date], "&lt;"&amp;$AM$2,
      unit_details[Beds], $L752,
      unit_details[Baths], $M752,
      unit_details[Partial Baths], IF(ISNUMBER($N752), $N752, ""),
      unit_details[Sqft],$P752,
      unit_details[Property Name], $F752
    )
  ),
"")</f>
        <v>0</v>
      </c>
      <c r="X752" s="531" t="str">
        <f>IFERROR(
 IF($F752="Total",
   SUMPRODUCT(
   INDEX(X:X, ROW()-COUNTIF($F$6:INDEX($F:$F, ROW()-1), $F751)) : INDEX(X:X, ROW()-1),
   INDEX(AA:AA, ROW()-COUNTIF($F$6:INDEX($F:$F, ROW()-1), $F751)) : INDEX(AA:AA, ROW()-1)
   )
   /SUM(INDEX(AA:AA, ROW()-COUNTIF($F$6:INDEX($F:$F, ROW()-1), $F751)) : INDEX(AA:AA, ROW()-1)),
   AVERAGEIFS(
     INDEX((unit_details[Asking Rent],unit_details[Asking PSF]),0,1,IF($U$3="Chunk Rent",1,2)),
     unit_details[Leased Date],"&gt;="&amp;($AM$2-X$5),
     unit_details[Leased Date],"&lt;"&amp;$AM$2,
     unit_details[Beds],$L752,
     unit_details[Baths],$M752,
     unit_details[Partial Baths],IF(ISNUMBER($N752),$N752,""),
     unit_details[Sqft],$P752,
     unit_details[Property Name],$F752)
 ),"")</f>
        <v/>
      </c>
      <c r="Y752" s="552" t="str">
        <f>IFERROR(
 IF($F752="Total",
   SUMPRODUCT(
   INDEX(Y:Y, ROW()-COUNTIF($F$6:INDEX($F:$F, ROW()-1), $F751)) : INDEX(Y:Y, ROW()-1),
   INDEX(AA:AA, ROW()-COUNTIF($F$6:INDEX($F:$F, ROW()-1), $F751)) : INDEX(AA:AA, ROW()-1)
   )
   /SUM(INDEX(AA:AA, ROW()-COUNTIF($F$6:INDEX($F:$F, ROW()-1), $F751)) : INDEX(AA:AA, ROW()-1)),
   AVERAGEIFS(
     INDEX((unit_details[Effective Rent],unit_details[Effective PSF]),0,1,IF($U$3="Chunk Rent",1,2)),
     unit_details[Leased Date],"&gt;="&amp;($AM$2-X$5),
     unit_details[Leased Date],"&lt;"&amp;$AM$2,
     unit_details[Beds],$L752,
     unit_details[Baths],$M752,
     unit_details[Partial Baths],IF(ISNUMBER($N752),$N752,""),
     unit_details[Sqft],$P752,
     unit_details[Property Name],$F752)
 ),"")</f>
        <v/>
      </c>
      <c r="Z752" s="27" t="str">
        <f t="shared" si="132"/>
        <v/>
      </c>
      <c r="AA752" s="526">
        <f>IFERROR(
  IF($F752="Total",
    SUM(INDEX(AA:AA, ROW()-COUNTIF($F$6:INDEX($F:$F, ROW()-1), $F751)) : INDEX(AA:AA, ROW()-1)),
    COUNTIFS(
      unit_details[Leased Date], "&gt;="&amp;($AM$2-X$5),
      unit_details[Leased Date], "&lt;"&amp;$AM$2,
      unit_details[Beds], $L752,
      unit_details[Baths], $M752,
      unit_details[Partial Baths], IF(ISNUMBER($N752), $N752, ""),
      unit_details[Sqft],$P752,
      unit_details[Property Name], $F752
    )
  ),
"")</f>
        <v>0</v>
      </c>
      <c r="AB752" s="290">
        <f>IF($F752="Total",
SUM(INDEX(AB:AB, ROW()-COUNTIF($F$6:INDEX($F:$F, ROW()-1), $F751)) : INDEX(AB:AB, ROW()-1)),
COUNTIFS(unit_details[Active Listing?],TRUE,
          unit_details[Property Name], $F752,
          unit_details[Beds], $L752,
          unit_details[Baths], $M752,
          unit_details[Partial Baths],IF(ISNUMBER($N752),$N752,""),
          unit_details[Sqft],$P752))</f>
        <v>0</v>
      </c>
      <c r="AC752" s="27" t="str">
        <f t="shared" si="124"/>
        <v/>
      </c>
      <c r="AD752" s="293" t="str">
        <f>IFERROR(IF(AE752="","",IF($F752="Total",
SUMPRODUCT(
   INDEX(AD:AD, ROW()-COUNTIF($F$6:INDEX($F:$F, ROW()-1), $F751)) : INDEX(AD:AD, ROW()-1),
   INDEX(AB:AB, ROW()-COUNTIF($F$6:INDEX($F:$F, ROW()-1), $F751)) : INDEX(AB:AB, ROW()-1)
   )
   /SUM(INDEX(AB:AB, ROW()-COUNTIF($F$6:INDEX($F:$F, ROW()-1), $F751)) : INDEX(AB:AB, ROW()-1)),
          _xlfn.MINIFS(unit_details[Asking Rent],
          unit_details[Active Listing?],TRUE,
          unit_details[Property Name], $F752,
          unit_details[Beds], $L752,
          unit_details[Baths], $M752,
          unit_details[Partial Baths], IF(ISNUMBER($N752),$N752,""),
          unit_details[Sqft],$P752
))),"")</f>
        <v/>
      </c>
      <c r="AE752" s="5" t="str">
        <f>IFERROR(IF($F752="Total",
          SUMPRODUCT(
   INDEX(AE:AE, ROW()-COUNTIF($F$6:INDEX($F:$F, ROW()-1), $F751)) : INDEX(AE:AE, ROW()-1),
   INDEX(AB:AB, ROW()-COUNTIF($F$6:INDEX($F:$F, ROW()-1), $F751)) : INDEX(AB:AB, ROW()-1)
   )
   /SUM(INDEX(AB:AB, ROW()-COUNTIF($F$6:INDEX($F:$F, ROW()-1), $F751)) : INDEX(AB:AB, ROW()-1)),
          AVERAGEIFS(unit_details[Asking Rent],
          unit_details[Active Listing?],TRUE,
          unit_details[Property Name], $F752,
          unit_details[Beds], $L752,
          unit_details[Baths], $M752,
          unit_details[Partial Baths], IF(ISNUMBER($N752),$N752,""),
          unit_details[Sqft],$P752
)),"")</f>
        <v/>
      </c>
      <c r="AF752" s="5" t="str">
        <f>IFERROR(IF(AE752="","",IF($F752="Total",
SUMPRODUCT(
   INDEX(AF:AF, ROW()-COUNTIF($F$6:INDEX($F:$F, ROW()-1), $F751)) : INDEX(AF:AF, ROW()-1),
   INDEX(AB:AB, ROW()-COUNTIF($F$6:INDEX($F:$F, ROW()-1), $F751)) : INDEX(AB:AB, ROW()-1)
   )
   /SUM(INDEX(AB:AB, ROW()-COUNTIF($F$6:INDEX($F:$F, ROW()-1), $F751)) : INDEX(AB:AB, ROW()-1)),
           _xlfn.MAXIFS(unit_details[Asking Rent],
          unit_details[Active Listing?],TRUE,
          unit_details[Property Name], $F752,
          unit_details[Beds], $L752,
          unit_details[Baths], $M752,
          unit_details[Partial Baths], IF(ISNUMBER($N752),$N752,""),
          unit_details[Sqft],$P752
))),"")</f>
        <v/>
      </c>
      <c r="AG752" s="6" t="str">
        <f>IFERROR(IF($F752="Total",
         SUMPRODUCT(
         INDEX(AG:AG, ROW()-COUNTIF($F$6:INDEX($F:$F, ROW()-1), $F751)) : INDEX(AG:AG, ROW()-1),
         INDEX(AB:AB, ROW()-COUNTIF($F$6:INDEX($F:$F, ROW()-1), $F751)) : INDEX(AB:AB, ROW()-1)
         )
         /SUM(INDEX(AB:AB, ROW()-COUNTIF($F$6:INDEX($F:$F, ROW()-1), $F751)) : INDEX(AB:AB, ROW()-1)),
          AVERAGEIFS(unit_details[Asking PSF],
          unit_details[Active Listing?],TRUE,
          unit_details[Property Name], $F752,
          unit_details[Beds], $L752,
          unit_details[Baths], $M752,
          unit_details[Partial Baths], IF(ISNUMBER($N752),$N752,""),
          unit_details[Sqft],$P752
)),"")</f>
        <v/>
      </c>
      <c r="AH752" s="293" t="str">
        <f>IFERROR(IF($F752="Total",
         SUMPRODUCT(
         INDEX(AH:AH, ROW()-COUNTIF($F$6:INDEX($F:$F, ROW()-1), $F751)) : INDEX(AH:AH, ROW()-1),
         INDEX(AB:AB, ROW()-COUNTIF($F$6:INDEX($F:$F, ROW()-1), $F751)) : INDEX(AB:AB, ROW()-1)
         )
         /SUM(INDEX(AB:AB, ROW()-COUNTIF($F$6:INDEX($F:$F, ROW()-1), $F751)) : INDEX(AB:AB, ROW()-1)),
          AVERAGEIFS(unit_details[Effective Rent],
          unit_details[Active Listing?],TRUE,
          unit_details[Property Name], $F752,
          unit_details[Beds], $L752,
          unit_details[Baths], $M752,
          unit_details[Partial Baths], IF(ISNUMBER($N752),$N752,""),
          unit_details[Sqft],$P752
)),"")</f>
        <v/>
      </c>
      <c r="AI752" s="6" t="str">
        <f>IFERROR(IF($F752="Total",
         SUMPRODUCT(
         INDEX(AI:AI, ROW()-COUNTIF($F$6:INDEX($F:$F, ROW()-1), $F751)) : INDEX(AI:AI, ROW()-1),
         INDEX(AB:AB, ROW()-COUNTIF($F$6:INDEX($F:$F, ROW()-1), $F751)) : INDEX(AB:AB, ROW()-1)
         )
         /SUM(INDEX(AB:AB, ROW()-COUNTIF($F$6:INDEX($F:$F, ROW()-1), $F751)) : INDEX(AB:AB, ROW()-1)),
           AVERAGEIFS(unit_details[Effective PSF],
          unit_details[Active Listing?],TRUE,
          unit_details[Property Name], $F752,
          unit_details[Beds], $L752,
          unit_details[Baths], $M752,
          unit_details[Partial Baths], IF(ISNUMBER($N752),$N752,""),
          unit_details[Sqft],$P752
)),"")</f>
        <v/>
      </c>
      <c r="AJ752" s="824" t="str">
        <f t="shared" si="125"/>
        <v/>
      </c>
      <c r="AK752" s="531" t="str">
        <f t="shared" si="126"/>
        <v/>
      </c>
      <c r="AL752" s="714" t="str">
        <f t="shared" si="127"/>
        <v/>
      </c>
      <c r="AM752" s="531" t="str">
        <f t="shared" si="128"/>
        <v/>
      </c>
      <c r="AN752" s="716" t="str">
        <f t="shared" si="129"/>
        <v/>
      </c>
    </row>
    <row r="753" spans="6:40" x14ac:dyDescent="0.2">
      <c r="F753" s="1" t="str">
        <f t="shared" si="122"/>
        <v/>
      </c>
      <c r="G753" s="713" t="str">
        <f t="shared" si="130"/>
        <v/>
      </c>
      <c r="H753" s="17" t="str">
        <f>IFERROR(VLOOKUP($G753,Table1[[Property]:[Exposure %]],4,0),"")</f>
        <v/>
      </c>
      <c r="I753" s="3" t="str">
        <f>IFERROR(VLOOKUP($G753,Table1[[Property]:[Exposure %]],6,0),"")</f>
        <v/>
      </c>
      <c r="J753" s="3" t="str">
        <f>IFERROR(VLOOKUP($G753,Table1[[Property]:[Exposure %]],7,0),"")</f>
        <v/>
      </c>
      <c r="R753" s="4" t="str">
        <f>IFERROR(VLOOKUP(IF(F753="Total",F752,F753),Table1[[Property]:['# Units]],7,0)*S753,"")</f>
        <v/>
      </c>
      <c r="S753" s="27" t="str">
        <f t="shared" si="123"/>
        <v/>
      </c>
      <c r="T753" s="531" t="str">
        <f>IFERROR(
 IF($F753="Total",
   SUMPRODUCT(
   INDEX(T:T, ROW()-COUNTIF($F$6:INDEX($F:$F, ROW()-1), $F752)) : INDEX(T:T, ROW()-1),
   INDEX(W:W, ROW()-COUNTIF($F$6:INDEX($F:$F, ROW()-1), $F752)) : INDEX(W:W, ROW()-1)
   )
   /SUM(INDEX(W:W, ROW()-COUNTIF($F$6:INDEX($F:$F, ROW()-1), $F752)) : INDEX(W:W, ROW()-1)),
   AVERAGEIFS(
     INDEX((unit_details[Asking Rent],unit_details[Asking PSF]),0,1,IF($U$3="Chunk Rent",1,2)),
     unit_details[Leased Date],"&gt;="&amp;($AM$2-T$5),
     unit_details[Leased Date],"&lt;"&amp;$AM$2,
     unit_details[Beds],$L753,
     unit_details[Baths],$M753,
     unit_details[Partial Baths],IF(ISNUMBER($N753),$N753,""),
     unit_details[Sqft],$P753,
     unit_details[Property Name],$F753)
 ),"")</f>
        <v/>
      </c>
      <c r="U753" s="552" t="str">
        <f>IFERROR(
 IF($F753="Total",
   SUMPRODUCT(
   INDEX(U:U, ROW()-COUNTIF($F$6:INDEX($F:$F, ROW()-1), $F752)) : INDEX(U:U, ROW()-1),
   INDEX(W:W, ROW()-COUNTIF($F$6:INDEX($F:$F, ROW()-1), $F752)) : INDEX(W:W, ROW()-1)
   )
   /SUM(INDEX(W:W, ROW()-COUNTIF($F$6:INDEX($F:$F, ROW()-1), $F752)) : INDEX(W:W, ROW()-1)),
   AVERAGEIFS(
     INDEX((unit_details[Effective Rent],unit_details[Effective PSF]),0,1,IF($U$3="Chunk Rent",1,2)),
     unit_details[Leased Date],"&gt;="&amp;($AM$2-T$5),
     unit_details[Leased Date],"&lt;"&amp;$AM$2,
     unit_details[Beds],$L753,
     unit_details[Baths],$M753,
     unit_details[Partial Baths],IF(ISNUMBER($N753),$N753,""),
     unit_details[Sqft],$P753,
     unit_details[Property Name],$F753)
 ),"")</f>
        <v/>
      </c>
      <c r="V753" s="27" t="str">
        <f t="shared" si="131"/>
        <v/>
      </c>
      <c r="W753" s="526">
        <f>IFERROR(
  IF($F753="Total",
    SUM(INDEX(W:W, ROW()-COUNTIF($F$6:INDEX($F:$F, ROW()-1), $F752)) : INDEX(W:W, ROW()-1)),
    COUNTIFS(
      unit_details[Leased Date], "&gt;="&amp;($AM$2-T$5),
      unit_details[Leased Date], "&lt;"&amp;$AM$2,
      unit_details[Beds], $L753,
      unit_details[Baths], $M753,
      unit_details[Partial Baths], IF(ISNUMBER($N753), $N753, ""),
      unit_details[Sqft],$P753,
      unit_details[Property Name], $F753
    )
  ),
"")</f>
        <v>0</v>
      </c>
      <c r="X753" s="531" t="str">
        <f>IFERROR(
 IF($F753="Total",
   SUMPRODUCT(
   INDEX(X:X, ROW()-COUNTIF($F$6:INDEX($F:$F, ROW()-1), $F752)) : INDEX(X:X, ROW()-1),
   INDEX(AA:AA, ROW()-COUNTIF($F$6:INDEX($F:$F, ROW()-1), $F752)) : INDEX(AA:AA, ROW()-1)
   )
   /SUM(INDEX(AA:AA, ROW()-COUNTIF($F$6:INDEX($F:$F, ROW()-1), $F752)) : INDEX(AA:AA, ROW()-1)),
   AVERAGEIFS(
     INDEX((unit_details[Asking Rent],unit_details[Asking PSF]),0,1,IF($U$3="Chunk Rent",1,2)),
     unit_details[Leased Date],"&gt;="&amp;($AM$2-X$5),
     unit_details[Leased Date],"&lt;"&amp;$AM$2,
     unit_details[Beds],$L753,
     unit_details[Baths],$M753,
     unit_details[Partial Baths],IF(ISNUMBER($N753),$N753,""),
     unit_details[Sqft],$P753,
     unit_details[Property Name],$F753)
 ),"")</f>
        <v/>
      </c>
      <c r="Y753" s="552" t="str">
        <f>IFERROR(
 IF($F753="Total",
   SUMPRODUCT(
   INDEX(Y:Y, ROW()-COUNTIF($F$6:INDEX($F:$F, ROW()-1), $F752)) : INDEX(Y:Y, ROW()-1),
   INDEX(AA:AA, ROW()-COUNTIF($F$6:INDEX($F:$F, ROW()-1), $F752)) : INDEX(AA:AA, ROW()-1)
   )
   /SUM(INDEX(AA:AA, ROW()-COUNTIF($F$6:INDEX($F:$F, ROW()-1), $F752)) : INDEX(AA:AA, ROW()-1)),
   AVERAGEIFS(
     INDEX((unit_details[Effective Rent],unit_details[Effective PSF]),0,1,IF($U$3="Chunk Rent",1,2)),
     unit_details[Leased Date],"&gt;="&amp;($AM$2-X$5),
     unit_details[Leased Date],"&lt;"&amp;$AM$2,
     unit_details[Beds],$L753,
     unit_details[Baths],$M753,
     unit_details[Partial Baths],IF(ISNUMBER($N753),$N753,""),
     unit_details[Sqft],$P753,
     unit_details[Property Name],$F753)
 ),"")</f>
        <v/>
      </c>
      <c r="Z753" s="27" t="str">
        <f t="shared" si="132"/>
        <v/>
      </c>
      <c r="AA753" s="526">
        <f>IFERROR(
  IF($F753="Total",
    SUM(INDEX(AA:AA, ROW()-COUNTIF($F$6:INDEX($F:$F, ROW()-1), $F752)) : INDEX(AA:AA, ROW()-1)),
    COUNTIFS(
      unit_details[Leased Date], "&gt;="&amp;($AM$2-X$5),
      unit_details[Leased Date], "&lt;"&amp;$AM$2,
      unit_details[Beds], $L753,
      unit_details[Baths], $M753,
      unit_details[Partial Baths], IF(ISNUMBER($N753), $N753, ""),
      unit_details[Sqft],$P753,
      unit_details[Property Name], $F753
    )
  ),
"")</f>
        <v>0</v>
      </c>
      <c r="AB753" s="290">
        <f>IF($F753="Total",
SUM(INDEX(AB:AB, ROW()-COUNTIF($F$6:INDEX($F:$F, ROW()-1), $F752)) : INDEX(AB:AB, ROW()-1)),
COUNTIFS(unit_details[Active Listing?],TRUE,
          unit_details[Property Name], $F753,
          unit_details[Beds], $L753,
          unit_details[Baths], $M753,
          unit_details[Partial Baths],IF(ISNUMBER($N753),$N753,""),
          unit_details[Sqft],$P753))</f>
        <v>0</v>
      </c>
      <c r="AC753" s="27" t="str">
        <f t="shared" si="124"/>
        <v/>
      </c>
      <c r="AD753" s="293" t="str">
        <f>IFERROR(IF(AE753="","",IF($F753="Total",
SUMPRODUCT(
   INDEX(AD:AD, ROW()-COUNTIF($F$6:INDEX($F:$F, ROW()-1), $F752)) : INDEX(AD:AD, ROW()-1),
   INDEX(AB:AB, ROW()-COUNTIF($F$6:INDEX($F:$F, ROW()-1), $F752)) : INDEX(AB:AB, ROW()-1)
   )
   /SUM(INDEX(AB:AB, ROW()-COUNTIF($F$6:INDEX($F:$F, ROW()-1), $F752)) : INDEX(AB:AB, ROW()-1)),
          _xlfn.MINIFS(unit_details[Asking Rent],
          unit_details[Active Listing?],TRUE,
          unit_details[Property Name], $F753,
          unit_details[Beds], $L753,
          unit_details[Baths], $M753,
          unit_details[Partial Baths], IF(ISNUMBER($N753),$N753,""),
          unit_details[Sqft],$P753
))),"")</f>
        <v/>
      </c>
      <c r="AE753" s="5" t="str">
        <f>IFERROR(IF($F753="Total",
          SUMPRODUCT(
   INDEX(AE:AE, ROW()-COUNTIF($F$6:INDEX($F:$F, ROW()-1), $F752)) : INDEX(AE:AE, ROW()-1),
   INDEX(AB:AB, ROW()-COUNTIF($F$6:INDEX($F:$F, ROW()-1), $F752)) : INDEX(AB:AB, ROW()-1)
   )
   /SUM(INDEX(AB:AB, ROW()-COUNTIF($F$6:INDEX($F:$F, ROW()-1), $F752)) : INDEX(AB:AB, ROW()-1)),
          AVERAGEIFS(unit_details[Asking Rent],
          unit_details[Active Listing?],TRUE,
          unit_details[Property Name], $F753,
          unit_details[Beds], $L753,
          unit_details[Baths], $M753,
          unit_details[Partial Baths], IF(ISNUMBER($N753),$N753,""),
          unit_details[Sqft],$P753
)),"")</f>
        <v/>
      </c>
      <c r="AF753" s="5" t="str">
        <f>IFERROR(IF(AE753="","",IF($F753="Total",
SUMPRODUCT(
   INDEX(AF:AF, ROW()-COUNTIF($F$6:INDEX($F:$F, ROW()-1), $F752)) : INDEX(AF:AF, ROW()-1),
   INDEX(AB:AB, ROW()-COUNTIF($F$6:INDEX($F:$F, ROW()-1), $F752)) : INDEX(AB:AB, ROW()-1)
   )
   /SUM(INDEX(AB:AB, ROW()-COUNTIF($F$6:INDEX($F:$F, ROW()-1), $F752)) : INDEX(AB:AB, ROW()-1)),
           _xlfn.MAXIFS(unit_details[Asking Rent],
          unit_details[Active Listing?],TRUE,
          unit_details[Property Name], $F753,
          unit_details[Beds], $L753,
          unit_details[Baths], $M753,
          unit_details[Partial Baths], IF(ISNUMBER($N753),$N753,""),
          unit_details[Sqft],$P753
))),"")</f>
        <v/>
      </c>
      <c r="AG753" s="6" t="str">
        <f>IFERROR(IF($F753="Total",
         SUMPRODUCT(
         INDEX(AG:AG, ROW()-COUNTIF($F$6:INDEX($F:$F, ROW()-1), $F752)) : INDEX(AG:AG, ROW()-1),
         INDEX(AB:AB, ROW()-COUNTIF($F$6:INDEX($F:$F, ROW()-1), $F752)) : INDEX(AB:AB, ROW()-1)
         )
         /SUM(INDEX(AB:AB, ROW()-COUNTIF($F$6:INDEX($F:$F, ROW()-1), $F752)) : INDEX(AB:AB, ROW()-1)),
          AVERAGEIFS(unit_details[Asking PSF],
          unit_details[Active Listing?],TRUE,
          unit_details[Property Name], $F753,
          unit_details[Beds], $L753,
          unit_details[Baths], $M753,
          unit_details[Partial Baths], IF(ISNUMBER($N753),$N753,""),
          unit_details[Sqft],$P753
)),"")</f>
        <v/>
      </c>
      <c r="AH753" s="293" t="str">
        <f>IFERROR(IF($F753="Total",
         SUMPRODUCT(
         INDEX(AH:AH, ROW()-COUNTIF($F$6:INDEX($F:$F, ROW()-1), $F752)) : INDEX(AH:AH, ROW()-1),
         INDEX(AB:AB, ROW()-COUNTIF($F$6:INDEX($F:$F, ROW()-1), $F752)) : INDEX(AB:AB, ROW()-1)
         )
         /SUM(INDEX(AB:AB, ROW()-COUNTIF($F$6:INDEX($F:$F, ROW()-1), $F752)) : INDEX(AB:AB, ROW()-1)),
          AVERAGEIFS(unit_details[Effective Rent],
          unit_details[Active Listing?],TRUE,
          unit_details[Property Name], $F753,
          unit_details[Beds], $L753,
          unit_details[Baths], $M753,
          unit_details[Partial Baths], IF(ISNUMBER($N753),$N753,""),
          unit_details[Sqft],$P753
)),"")</f>
        <v/>
      </c>
      <c r="AI753" s="6" t="str">
        <f>IFERROR(IF($F753="Total",
         SUMPRODUCT(
         INDEX(AI:AI, ROW()-COUNTIF($F$6:INDEX($F:$F, ROW()-1), $F752)) : INDEX(AI:AI, ROW()-1),
         INDEX(AB:AB, ROW()-COUNTIF($F$6:INDEX($F:$F, ROW()-1), $F752)) : INDEX(AB:AB, ROW()-1)
         )
         /SUM(INDEX(AB:AB, ROW()-COUNTIF($F$6:INDEX($F:$F, ROW()-1), $F752)) : INDEX(AB:AB, ROW()-1)),
           AVERAGEIFS(unit_details[Effective PSF],
          unit_details[Active Listing?],TRUE,
          unit_details[Property Name], $F753,
          unit_details[Beds], $L753,
          unit_details[Baths], $M753,
          unit_details[Partial Baths], IF(ISNUMBER($N753),$N753,""),
          unit_details[Sqft],$P753
)),"")</f>
        <v/>
      </c>
      <c r="AJ753" s="824" t="str">
        <f t="shared" si="125"/>
        <v/>
      </c>
      <c r="AK753" s="531" t="str">
        <f t="shared" si="126"/>
        <v/>
      </c>
      <c r="AL753" s="714" t="str">
        <f t="shared" si="127"/>
        <v/>
      </c>
      <c r="AM753" s="531" t="str">
        <f t="shared" si="128"/>
        <v/>
      </c>
      <c r="AN753" s="716" t="str">
        <f t="shared" si="129"/>
        <v/>
      </c>
    </row>
    <row r="754" spans="6:40" x14ac:dyDescent="0.2">
      <c r="F754" s="1" t="str">
        <f t="shared" si="122"/>
        <v/>
      </c>
      <c r="G754" s="713" t="str">
        <f t="shared" si="130"/>
        <v/>
      </c>
      <c r="H754" s="17" t="str">
        <f>IFERROR(VLOOKUP($G754,Table1[[Property]:[Exposure %]],4,0),"")</f>
        <v/>
      </c>
      <c r="I754" s="3" t="str">
        <f>IFERROR(VLOOKUP($G754,Table1[[Property]:[Exposure %]],6,0),"")</f>
        <v/>
      </c>
      <c r="J754" s="3" t="str">
        <f>IFERROR(VLOOKUP($G754,Table1[[Property]:[Exposure %]],7,0),"")</f>
        <v/>
      </c>
      <c r="R754" s="4" t="str">
        <f>IFERROR(VLOOKUP(IF(F754="Total",F753,F754),Table1[[Property]:['# Units]],7,0)*S754,"")</f>
        <v/>
      </c>
      <c r="S754" s="27" t="str">
        <f t="shared" si="123"/>
        <v/>
      </c>
      <c r="T754" s="531" t="str">
        <f>IFERROR(
 IF($F754="Total",
   SUMPRODUCT(
   INDEX(T:T, ROW()-COUNTIF($F$6:INDEX($F:$F, ROW()-1), $F753)) : INDEX(T:T, ROW()-1),
   INDEX(W:W, ROW()-COUNTIF($F$6:INDEX($F:$F, ROW()-1), $F753)) : INDEX(W:W, ROW()-1)
   )
   /SUM(INDEX(W:W, ROW()-COUNTIF($F$6:INDEX($F:$F, ROW()-1), $F753)) : INDEX(W:W, ROW()-1)),
   AVERAGEIFS(
     INDEX((unit_details[Asking Rent],unit_details[Asking PSF]),0,1,IF($U$3="Chunk Rent",1,2)),
     unit_details[Leased Date],"&gt;="&amp;($AM$2-T$5),
     unit_details[Leased Date],"&lt;"&amp;$AM$2,
     unit_details[Beds],$L754,
     unit_details[Baths],$M754,
     unit_details[Partial Baths],IF(ISNUMBER($N754),$N754,""),
     unit_details[Sqft],$P754,
     unit_details[Property Name],$F754)
 ),"")</f>
        <v/>
      </c>
      <c r="U754" s="552" t="str">
        <f>IFERROR(
 IF($F754="Total",
   SUMPRODUCT(
   INDEX(U:U, ROW()-COUNTIF($F$6:INDEX($F:$F, ROW()-1), $F753)) : INDEX(U:U, ROW()-1),
   INDEX(W:W, ROW()-COUNTIF($F$6:INDEX($F:$F, ROW()-1), $F753)) : INDEX(W:W, ROW()-1)
   )
   /SUM(INDEX(W:W, ROW()-COUNTIF($F$6:INDEX($F:$F, ROW()-1), $F753)) : INDEX(W:W, ROW()-1)),
   AVERAGEIFS(
     INDEX((unit_details[Effective Rent],unit_details[Effective PSF]),0,1,IF($U$3="Chunk Rent",1,2)),
     unit_details[Leased Date],"&gt;="&amp;($AM$2-T$5),
     unit_details[Leased Date],"&lt;"&amp;$AM$2,
     unit_details[Beds],$L754,
     unit_details[Baths],$M754,
     unit_details[Partial Baths],IF(ISNUMBER($N754),$N754,""),
     unit_details[Sqft],$P754,
     unit_details[Property Name],$F754)
 ),"")</f>
        <v/>
      </c>
      <c r="V754" s="27" t="str">
        <f t="shared" si="131"/>
        <v/>
      </c>
      <c r="W754" s="526">
        <f>IFERROR(
  IF($F754="Total",
    SUM(INDEX(W:W, ROW()-COUNTIF($F$6:INDEX($F:$F, ROW()-1), $F753)) : INDEX(W:W, ROW()-1)),
    COUNTIFS(
      unit_details[Leased Date], "&gt;="&amp;($AM$2-T$5),
      unit_details[Leased Date], "&lt;"&amp;$AM$2,
      unit_details[Beds], $L754,
      unit_details[Baths], $M754,
      unit_details[Partial Baths], IF(ISNUMBER($N754), $N754, ""),
      unit_details[Sqft],$P754,
      unit_details[Property Name], $F754
    )
  ),
"")</f>
        <v>0</v>
      </c>
      <c r="X754" s="531" t="str">
        <f>IFERROR(
 IF($F754="Total",
   SUMPRODUCT(
   INDEX(X:X, ROW()-COUNTIF($F$6:INDEX($F:$F, ROW()-1), $F753)) : INDEX(X:X, ROW()-1),
   INDEX(AA:AA, ROW()-COUNTIF($F$6:INDEX($F:$F, ROW()-1), $F753)) : INDEX(AA:AA, ROW()-1)
   )
   /SUM(INDEX(AA:AA, ROW()-COUNTIF($F$6:INDEX($F:$F, ROW()-1), $F753)) : INDEX(AA:AA, ROW()-1)),
   AVERAGEIFS(
     INDEX((unit_details[Asking Rent],unit_details[Asking PSF]),0,1,IF($U$3="Chunk Rent",1,2)),
     unit_details[Leased Date],"&gt;="&amp;($AM$2-X$5),
     unit_details[Leased Date],"&lt;"&amp;$AM$2,
     unit_details[Beds],$L754,
     unit_details[Baths],$M754,
     unit_details[Partial Baths],IF(ISNUMBER($N754),$N754,""),
     unit_details[Sqft],$P754,
     unit_details[Property Name],$F754)
 ),"")</f>
        <v/>
      </c>
      <c r="Y754" s="552" t="str">
        <f>IFERROR(
 IF($F754="Total",
   SUMPRODUCT(
   INDEX(Y:Y, ROW()-COUNTIF($F$6:INDEX($F:$F, ROW()-1), $F753)) : INDEX(Y:Y, ROW()-1),
   INDEX(AA:AA, ROW()-COUNTIF($F$6:INDEX($F:$F, ROW()-1), $F753)) : INDEX(AA:AA, ROW()-1)
   )
   /SUM(INDEX(AA:AA, ROW()-COUNTIF($F$6:INDEX($F:$F, ROW()-1), $F753)) : INDEX(AA:AA, ROW()-1)),
   AVERAGEIFS(
     INDEX((unit_details[Effective Rent],unit_details[Effective PSF]),0,1,IF($U$3="Chunk Rent",1,2)),
     unit_details[Leased Date],"&gt;="&amp;($AM$2-X$5),
     unit_details[Leased Date],"&lt;"&amp;$AM$2,
     unit_details[Beds],$L754,
     unit_details[Baths],$M754,
     unit_details[Partial Baths],IF(ISNUMBER($N754),$N754,""),
     unit_details[Sqft],$P754,
     unit_details[Property Name],$F754)
 ),"")</f>
        <v/>
      </c>
      <c r="Z754" s="27" t="str">
        <f t="shared" si="132"/>
        <v/>
      </c>
      <c r="AA754" s="526">
        <f>IFERROR(
  IF($F754="Total",
    SUM(INDEX(AA:AA, ROW()-COUNTIF($F$6:INDEX($F:$F, ROW()-1), $F753)) : INDEX(AA:AA, ROW()-1)),
    COUNTIFS(
      unit_details[Leased Date], "&gt;="&amp;($AM$2-X$5),
      unit_details[Leased Date], "&lt;"&amp;$AM$2,
      unit_details[Beds], $L754,
      unit_details[Baths], $M754,
      unit_details[Partial Baths], IF(ISNUMBER($N754), $N754, ""),
      unit_details[Sqft],$P754,
      unit_details[Property Name], $F754
    )
  ),
"")</f>
        <v>0</v>
      </c>
      <c r="AB754" s="290">
        <f>IF($F754="Total",
SUM(INDEX(AB:AB, ROW()-COUNTIF($F$6:INDEX($F:$F, ROW()-1), $F753)) : INDEX(AB:AB, ROW()-1)),
COUNTIFS(unit_details[Active Listing?],TRUE,
          unit_details[Property Name], $F754,
          unit_details[Beds], $L754,
          unit_details[Baths], $M754,
          unit_details[Partial Baths],IF(ISNUMBER($N754),$N754,""),
          unit_details[Sqft],$P754))</f>
        <v>0</v>
      </c>
      <c r="AC754" s="27" t="str">
        <f t="shared" si="124"/>
        <v/>
      </c>
      <c r="AD754" s="293" t="str">
        <f>IFERROR(IF(AE754="","",IF($F754="Total",
SUMPRODUCT(
   INDEX(AD:AD, ROW()-COUNTIF($F$6:INDEX($F:$F, ROW()-1), $F753)) : INDEX(AD:AD, ROW()-1),
   INDEX(AB:AB, ROW()-COUNTIF($F$6:INDEX($F:$F, ROW()-1), $F753)) : INDEX(AB:AB, ROW()-1)
   )
   /SUM(INDEX(AB:AB, ROW()-COUNTIF($F$6:INDEX($F:$F, ROW()-1), $F753)) : INDEX(AB:AB, ROW()-1)),
          _xlfn.MINIFS(unit_details[Asking Rent],
          unit_details[Active Listing?],TRUE,
          unit_details[Property Name], $F754,
          unit_details[Beds], $L754,
          unit_details[Baths], $M754,
          unit_details[Partial Baths], IF(ISNUMBER($N754),$N754,""),
          unit_details[Sqft],$P754
))),"")</f>
        <v/>
      </c>
      <c r="AE754" s="5" t="str">
        <f>IFERROR(IF($F754="Total",
          SUMPRODUCT(
   INDEX(AE:AE, ROW()-COUNTIF($F$6:INDEX($F:$F, ROW()-1), $F753)) : INDEX(AE:AE, ROW()-1),
   INDEX(AB:AB, ROW()-COUNTIF($F$6:INDEX($F:$F, ROW()-1), $F753)) : INDEX(AB:AB, ROW()-1)
   )
   /SUM(INDEX(AB:AB, ROW()-COUNTIF($F$6:INDEX($F:$F, ROW()-1), $F753)) : INDEX(AB:AB, ROW()-1)),
          AVERAGEIFS(unit_details[Asking Rent],
          unit_details[Active Listing?],TRUE,
          unit_details[Property Name], $F754,
          unit_details[Beds], $L754,
          unit_details[Baths], $M754,
          unit_details[Partial Baths], IF(ISNUMBER($N754),$N754,""),
          unit_details[Sqft],$P754
)),"")</f>
        <v/>
      </c>
      <c r="AF754" s="5" t="str">
        <f>IFERROR(IF(AE754="","",IF($F754="Total",
SUMPRODUCT(
   INDEX(AF:AF, ROW()-COUNTIF($F$6:INDEX($F:$F, ROW()-1), $F753)) : INDEX(AF:AF, ROW()-1),
   INDEX(AB:AB, ROW()-COUNTIF($F$6:INDEX($F:$F, ROW()-1), $F753)) : INDEX(AB:AB, ROW()-1)
   )
   /SUM(INDEX(AB:AB, ROW()-COUNTIF($F$6:INDEX($F:$F, ROW()-1), $F753)) : INDEX(AB:AB, ROW()-1)),
           _xlfn.MAXIFS(unit_details[Asking Rent],
          unit_details[Active Listing?],TRUE,
          unit_details[Property Name], $F754,
          unit_details[Beds], $L754,
          unit_details[Baths], $M754,
          unit_details[Partial Baths], IF(ISNUMBER($N754),$N754,""),
          unit_details[Sqft],$P754
))),"")</f>
        <v/>
      </c>
      <c r="AG754" s="6" t="str">
        <f>IFERROR(IF($F754="Total",
         SUMPRODUCT(
         INDEX(AG:AG, ROW()-COUNTIF($F$6:INDEX($F:$F, ROW()-1), $F753)) : INDEX(AG:AG, ROW()-1),
         INDEX(AB:AB, ROW()-COUNTIF($F$6:INDEX($F:$F, ROW()-1), $F753)) : INDEX(AB:AB, ROW()-1)
         )
         /SUM(INDEX(AB:AB, ROW()-COUNTIF($F$6:INDEX($F:$F, ROW()-1), $F753)) : INDEX(AB:AB, ROW()-1)),
          AVERAGEIFS(unit_details[Asking PSF],
          unit_details[Active Listing?],TRUE,
          unit_details[Property Name], $F754,
          unit_details[Beds], $L754,
          unit_details[Baths], $M754,
          unit_details[Partial Baths], IF(ISNUMBER($N754),$N754,""),
          unit_details[Sqft],$P754
)),"")</f>
        <v/>
      </c>
      <c r="AH754" s="293" t="str">
        <f>IFERROR(IF($F754="Total",
         SUMPRODUCT(
         INDEX(AH:AH, ROW()-COUNTIF($F$6:INDEX($F:$F, ROW()-1), $F753)) : INDEX(AH:AH, ROW()-1),
         INDEX(AB:AB, ROW()-COUNTIF($F$6:INDEX($F:$F, ROW()-1), $F753)) : INDEX(AB:AB, ROW()-1)
         )
         /SUM(INDEX(AB:AB, ROW()-COUNTIF($F$6:INDEX($F:$F, ROW()-1), $F753)) : INDEX(AB:AB, ROW()-1)),
          AVERAGEIFS(unit_details[Effective Rent],
          unit_details[Active Listing?],TRUE,
          unit_details[Property Name], $F754,
          unit_details[Beds], $L754,
          unit_details[Baths], $M754,
          unit_details[Partial Baths], IF(ISNUMBER($N754),$N754,""),
          unit_details[Sqft],$P754
)),"")</f>
        <v/>
      </c>
      <c r="AI754" s="6" t="str">
        <f>IFERROR(IF($F754="Total",
         SUMPRODUCT(
         INDEX(AI:AI, ROW()-COUNTIF($F$6:INDEX($F:$F, ROW()-1), $F753)) : INDEX(AI:AI, ROW()-1),
         INDEX(AB:AB, ROW()-COUNTIF($F$6:INDEX($F:$F, ROW()-1), $F753)) : INDEX(AB:AB, ROW()-1)
         )
         /SUM(INDEX(AB:AB, ROW()-COUNTIF($F$6:INDEX($F:$F, ROW()-1), $F753)) : INDEX(AB:AB, ROW()-1)),
           AVERAGEIFS(unit_details[Effective PSF],
          unit_details[Active Listing?],TRUE,
          unit_details[Property Name], $F754,
          unit_details[Beds], $L754,
          unit_details[Baths], $M754,
          unit_details[Partial Baths], IF(ISNUMBER($N754),$N754,""),
          unit_details[Sqft],$P754
)),"")</f>
        <v/>
      </c>
      <c r="AJ754" s="824" t="str">
        <f t="shared" si="125"/>
        <v/>
      </c>
      <c r="AK754" s="531" t="str">
        <f t="shared" si="126"/>
        <v/>
      </c>
      <c r="AL754" s="714" t="str">
        <f t="shared" si="127"/>
        <v/>
      </c>
      <c r="AM754" s="531" t="str">
        <f t="shared" si="128"/>
        <v/>
      </c>
      <c r="AN754" s="716" t="str">
        <f t="shared" si="129"/>
        <v/>
      </c>
    </row>
    <row r="755" spans="6:40" x14ac:dyDescent="0.2">
      <c r="F755" s="1" t="str">
        <f t="shared" si="122"/>
        <v/>
      </c>
      <c r="G755" s="713" t="str">
        <f t="shared" si="130"/>
        <v/>
      </c>
      <c r="H755" s="17" t="str">
        <f>IFERROR(VLOOKUP($G755,Table1[[Property]:[Exposure %]],4,0),"")</f>
        <v/>
      </c>
      <c r="I755" s="3" t="str">
        <f>IFERROR(VLOOKUP($G755,Table1[[Property]:[Exposure %]],6,0),"")</f>
        <v/>
      </c>
      <c r="J755" s="3" t="str">
        <f>IFERROR(VLOOKUP($G755,Table1[[Property]:[Exposure %]],7,0),"")</f>
        <v/>
      </c>
      <c r="R755" s="4" t="str">
        <f>IFERROR(VLOOKUP(IF(F755="Total",F754,F755),Table1[[Property]:['# Units]],7,0)*S755,"")</f>
        <v/>
      </c>
      <c r="S755" s="27" t="str">
        <f t="shared" si="123"/>
        <v/>
      </c>
      <c r="T755" s="531" t="str">
        <f>IFERROR(
 IF($F755="Total",
   SUMPRODUCT(
   INDEX(T:T, ROW()-COUNTIF($F$6:INDEX($F:$F, ROW()-1), $F754)) : INDEX(T:T, ROW()-1),
   INDEX(W:W, ROW()-COUNTIF($F$6:INDEX($F:$F, ROW()-1), $F754)) : INDEX(W:W, ROW()-1)
   )
   /SUM(INDEX(W:W, ROW()-COUNTIF($F$6:INDEX($F:$F, ROW()-1), $F754)) : INDEX(W:W, ROW()-1)),
   AVERAGEIFS(
     INDEX((unit_details[Asking Rent],unit_details[Asking PSF]),0,1,IF($U$3="Chunk Rent",1,2)),
     unit_details[Leased Date],"&gt;="&amp;($AM$2-T$5),
     unit_details[Leased Date],"&lt;"&amp;$AM$2,
     unit_details[Beds],$L755,
     unit_details[Baths],$M755,
     unit_details[Partial Baths],IF(ISNUMBER($N755),$N755,""),
     unit_details[Sqft],$P755,
     unit_details[Property Name],$F755)
 ),"")</f>
        <v/>
      </c>
      <c r="U755" s="552" t="str">
        <f>IFERROR(
 IF($F755="Total",
   SUMPRODUCT(
   INDEX(U:U, ROW()-COUNTIF($F$6:INDEX($F:$F, ROW()-1), $F754)) : INDEX(U:U, ROW()-1),
   INDEX(W:W, ROW()-COUNTIF($F$6:INDEX($F:$F, ROW()-1), $F754)) : INDEX(W:W, ROW()-1)
   )
   /SUM(INDEX(W:W, ROW()-COUNTIF($F$6:INDEX($F:$F, ROW()-1), $F754)) : INDEX(W:W, ROW()-1)),
   AVERAGEIFS(
     INDEX((unit_details[Effective Rent],unit_details[Effective PSF]),0,1,IF($U$3="Chunk Rent",1,2)),
     unit_details[Leased Date],"&gt;="&amp;($AM$2-T$5),
     unit_details[Leased Date],"&lt;"&amp;$AM$2,
     unit_details[Beds],$L755,
     unit_details[Baths],$M755,
     unit_details[Partial Baths],IF(ISNUMBER($N755),$N755,""),
     unit_details[Sqft],$P755,
     unit_details[Property Name],$F755)
 ),"")</f>
        <v/>
      </c>
      <c r="V755" s="27" t="str">
        <f t="shared" si="131"/>
        <v/>
      </c>
      <c r="W755" s="526">
        <f>IFERROR(
  IF($F755="Total",
    SUM(INDEX(W:W, ROW()-COUNTIF($F$6:INDEX($F:$F, ROW()-1), $F754)) : INDEX(W:W, ROW()-1)),
    COUNTIFS(
      unit_details[Leased Date], "&gt;="&amp;($AM$2-T$5),
      unit_details[Leased Date], "&lt;"&amp;$AM$2,
      unit_details[Beds], $L755,
      unit_details[Baths], $M755,
      unit_details[Partial Baths], IF(ISNUMBER($N755), $N755, ""),
      unit_details[Sqft],$P755,
      unit_details[Property Name], $F755
    )
  ),
"")</f>
        <v>0</v>
      </c>
      <c r="X755" s="531" t="str">
        <f>IFERROR(
 IF($F755="Total",
   SUMPRODUCT(
   INDEX(X:X, ROW()-COUNTIF($F$6:INDEX($F:$F, ROW()-1), $F754)) : INDEX(X:X, ROW()-1),
   INDEX(AA:AA, ROW()-COUNTIF($F$6:INDEX($F:$F, ROW()-1), $F754)) : INDEX(AA:AA, ROW()-1)
   )
   /SUM(INDEX(AA:AA, ROW()-COUNTIF($F$6:INDEX($F:$F, ROW()-1), $F754)) : INDEX(AA:AA, ROW()-1)),
   AVERAGEIFS(
     INDEX((unit_details[Asking Rent],unit_details[Asking PSF]),0,1,IF($U$3="Chunk Rent",1,2)),
     unit_details[Leased Date],"&gt;="&amp;($AM$2-X$5),
     unit_details[Leased Date],"&lt;"&amp;$AM$2,
     unit_details[Beds],$L755,
     unit_details[Baths],$M755,
     unit_details[Partial Baths],IF(ISNUMBER($N755),$N755,""),
     unit_details[Sqft],$P755,
     unit_details[Property Name],$F755)
 ),"")</f>
        <v/>
      </c>
      <c r="Y755" s="552" t="str">
        <f>IFERROR(
 IF($F755="Total",
   SUMPRODUCT(
   INDEX(Y:Y, ROW()-COUNTIF($F$6:INDEX($F:$F, ROW()-1), $F754)) : INDEX(Y:Y, ROW()-1),
   INDEX(AA:AA, ROW()-COUNTIF($F$6:INDEX($F:$F, ROW()-1), $F754)) : INDEX(AA:AA, ROW()-1)
   )
   /SUM(INDEX(AA:AA, ROW()-COUNTIF($F$6:INDEX($F:$F, ROW()-1), $F754)) : INDEX(AA:AA, ROW()-1)),
   AVERAGEIFS(
     INDEX((unit_details[Effective Rent],unit_details[Effective PSF]),0,1,IF($U$3="Chunk Rent",1,2)),
     unit_details[Leased Date],"&gt;="&amp;($AM$2-X$5),
     unit_details[Leased Date],"&lt;"&amp;$AM$2,
     unit_details[Beds],$L755,
     unit_details[Baths],$M755,
     unit_details[Partial Baths],IF(ISNUMBER($N755),$N755,""),
     unit_details[Sqft],$P755,
     unit_details[Property Name],$F755)
 ),"")</f>
        <v/>
      </c>
      <c r="Z755" s="27" t="str">
        <f t="shared" si="132"/>
        <v/>
      </c>
      <c r="AA755" s="526">
        <f>IFERROR(
  IF($F755="Total",
    SUM(INDEX(AA:AA, ROW()-COUNTIF($F$6:INDEX($F:$F, ROW()-1), $F754)) : INDEX(AA:AA, ROW()-1)),
    COUNTIFS(
      unit_details[Leased Date], "&gt;="&amp;($AM$2-X$5),
      unit_details[Leased Date], "&lt;"&amp;$AM$2,
      unit_details[Beds], $L755,
      unit_details[Baths], $M755,
      unit_details[Partial Baths], IF(ISNUMBER($N755), $N755, ""),
      unit_details[Sqft],$P755,
      unit_details[Property Name], $F755
    )
  ),
"")</f>
        <v>0</v>
      </c>
      <c r="AB755" s="290">
        <f>IF($F755="Total",
SUM(INDEX(AB:AB, ROW()-COUNTIF($F$6:INDEX($F:$F, ROW()-1), $F754)) : INDEX(AB:AB, ROW()-1)),
COUNTIFS(unit_details[Active Listing?],TRUE,
          unit_details[Property Name], $F755,
          unit_details[Beds], $L755,
          unit_details[Baths], $M755,
          unit_details[Partial Baths],IF(ISNUMBER($N755),$N755,""),
          unit_details[Sqft],$P755))</f>
        <v>0</v>
      </c>
      <c r="AC755" s="27" t="str">
        <f t="shared" si="124"/>
        <v/>
      </c>
      <c r="AD755" s="293" t="str">
        <f>IFERROR(IF(AE755="","",IF($F755="Total",
SUMPRODUCT(
   INDEX(AD:AD, ROW()-COUNTIF($F$6:INDEX($F:$F, ROW()-1), $F754)) : INDEX(AD:AD, ROW()-1),
   INDEX(AB:AB, ROW()-COUNTIF($F$6:INDEX($F:$F, ROW()-1), $F754)) : INDEX(AB:AB, ROW()-1)
   )
   /SUM(INDEX(AB:AB, ROW()-COUNTIF($F$6:INDEX($F:$F, ROW()-1), $F754)) : INDEX(AB:AB, ROW()-1)),
          _xlfn.MINIFS(unit_details[Asking Rent],
          unit_details[Active Listing?],TRUE,
          unit_details[Property Name], $F755,
          unit_details[Beds], $L755,
          unit_details[Baths], $M755,
          unit_details[Partial Baths], IF(ISNUMBER($N755),$N755,""),
          unit_details[Sqft],$P755
))),"")</f>
        <v/>
      </c>
      <c r="AE755" s="5" t="str">
        <f>IFERROR(IF($F755="Total",
          SUMPRODUCT(
   INDEX(AE:AE, ROW()-COUNTIF($F$6:INDEX($F:$F, ROW()-1), $F754)) : INDEX(AE:AE, ROW()-1),
   INDEX(AB:AB, ROW()-COUNTIF($F$6:INDEX($F:$F, ROW()-1), $F754)) : INDEX(AB:AB, ROW()-1)
   )
   /SUM(INDEX(AB:AB, ROW()-COUNTIF($F$6:INDEX($F:$F, ROW()-1), $F754)) : INDEX(AB:AB, ROW()-1)),
          AVERAGEIFS(unit_details[Asking Rent],
          unit_details[Active Listing?],TRUE,
          unit_details[Property Name], $F755,
          unit_details[Beds], $L755,
          unit_details[Baths], $M755,
          unit_details[Partial Baths], IF(ISNUMBER($N755),$N755,""),
          unit_details[Sqft],$P755
)),"")</f>
        <v/>
      </c>
      <c r="AF755" s="5" t="str">
        <f>IFERROR(IF(AE755="","",IF($F755="Total",
SUMPRODUCT(
   INDEX(AF:AF, ROW()-COUNTIF($F$6:INDEX($F:$F, ROW()-1), $F754)) : INDEX(AF:AF, ROW()-1),
   INDEX(AB:AB, ROW()-COUNTIF($F$6:INDEX($F:$F, ROW()-1), $F754)) : INDEX(AB:AB, ROW()-1)
   )
   /SUM(INDEX(AB:AB, ROW()-COUNTIF($F$6:INDEX($F:$F, ROW()-1), $F754)) : INDEX(AB:AB, ROW()-1)),
           _xlfn.MAXIFS(unit_details[Asking Rent],
          unit_details[Active Listing?],TRUE,
          unit_details[Property Name], $F755,
          unit_details[Beds], $L755,
          unit_details[Baths], $M755,
          unit_details[Partial Baths], IF(ISNUMBER($N755),$N755,""),
          unit_details[Sqft],$P755
))),"")</f>
        <v/>
      </c>
      <c r="AG755" s="6" t="str">
        <f>IFERROR(IF($F755="Total",
         SUMPRODUCT(
         INDEX(AG:AG, ROW()-COUNTIF($F$6:INDEX($F:$F, ROW()-1), $F754)) : INDEX(AG:AG, ROW()-1),
         INDEX(AB:AB, ROW()-COUNTIF($F$6:INDEX($F:$F, ROW()-1), $F754)) : INDEX(AB:AB, ROW()-1)
         )
         /SUM(INDEX(AB:AB, ROW()-COUNTIF($F$6:INDEX($F:$F, ROW()-1), $F754)) : INDEX(AB:AB, ROW()-1)),
          AVERAGEIFS(unit_details[Asking PSF],
          unit_details[Active Listing?],TRUE,
          unit_details[Property Name], $F755,
          unit_details[Beds], $L755,
          unit_details[Baths], $M755,
          unit_details[Partial Baths], IF(ISNUMBER($N755),$N755,""),
          unit_details[Sqft],$P755
)),"")</f>
        <v/>
      </c>
      <c r="AH755" s="293" t="str">
        <f>IFERROR(IF($F755="Total",
         SUMPRODUCT(
         INDEX(AH:AH, ROW()-COUNTIF($F$6:INDEX($F:$F, ROW()-1), $F754)) : INDEX(AH:AH, ROW()-1),
         INDEX(AB:AB, ROW()-COUNTIF($F$6:INDEX($F:$F, ROW()-1), $F754)) : INDEX(AB:AB, ROW()-1)
         )
         /SUM(INDEX(AB:AB, ROW()-COUNTIF($F$6:INDEX($F:$F, ROW()-1), $F754)) : INDEX(AB:AB, ROW()-1)),
          AVERAGEIFS(unit_details[Effective Rent],
          unit_details[Active Listing?],TRUE,
          unit_details[Property Name], $F755,
          unit_details[Beds], $L755,
          unit_details[Baths], $M755,
          unit_details[Partial Baths], IF(ISNUMBER($N755),$N755,""),
          unit_details[Sqft],$P755
)),"")</f>
        <v/>
      </c>
      <c r="AI755" s="6" t="str">
        <f>IFERROR(IF($F755="Total",
         SUMPRODUCT(
         INDEX(AI:AI, ROW()-COUNTIF($F$6:INDEX($F:$F, ROW()-1), $F754)) : INDEX(AI:AI, ROW()-1),
         INDEX(AB:AB, ROW()-COUNTIF($F$6:INDEX($F:$F, ROW()-1), $F754)) : INDEX(AB:AB, ROW()-1)
         )
         /SUM(INDEX(AB:AB, ROW()-COUNTIF($F$6:INDEX($F:$F, ROW()-1), $F754)) : INDEX(AB:AB, ROW()-1)),
           AVERAGEIFS(unit_details[Effective PSF],
          unit_details[Active Listing?],TRUE,
          unit_details[Property Name], $F755,
          unit_details[Beds], $L755,
          unit_details[Baths], $M755,
          unit_details[Partial Baths], IF(ISNUMBER($N755),$N755,""),
          unit_details[Sqft],$P755
)),"")</f>
        <v/>
      </c>
      <c r="AJ755" s="824" t="str">
        <f t="shared" si="125"/>
        <v/>
      </c>
      <c r="AK755" s="531" t="str">
        <f t="shared" si="126"/>
        <v/>
      </c>
      <c r="AL755" s="714" t="str">
        <f t="shared" si="127"/>
        <v/>
      </c>
      <c r="AM755" s="531" t="str">
        <f t="shared" si="128"/>
        <v/>
      </c>
      <c r="AN755" s="716" t="str">
        <f t="shared" si="129"/>
        <v/>
      </c>
    </row>
    <row r="756" spans="6:40" x14ac:dyDescent="0.2">
      <c r="F756" s="1" t="str">
        <f t="shared" si="122"/>
        <v/>
      </c>
      <c r="G756" s="713" t="str">
        <f t="shared" si="130"/>
        <v/>
      </c>
      <c r="H756" s="17" t="str">
        <f>IFERROR(VLOOKUP($G756,Table1[[Property]:[Exposure %]],4,0),"")</f>
        <v/>
      </c>
      <c r="I756" s="3" t="str">
        <f>IFERROR(VLOOKUP($G756,Table1[[Property]:[Exposure %]],6,0),"")</f>
        <v/>
      </c>
      <c r="J756" s="3" t="str">
        <f>IFERROR(VLOOKUP($G756,Table1[[Property]:[Exposure %]],7,0),"")</f>
        <v/>
      </c>
      <c r="R756" s="4" t="str">
        <f>IFERROR(VLOOKUP(IF(F756="Total",F755,F756),Table1[[Property]:['# Units]],7,0)*S756,"")</f>
        <v/>
      </c>
      <c r="S756" s="27" t="str">
        <f t="shared" si="123"/>
        <v/>
      </c>
      <c r="T756" s="531" t="str">
        <f>IFERROR(
 IF($F756="Total",
   SUMPRODUCT(
   INDEX(T:T, ROW()-COUNTIF($F$6:INDEX($F:$F, ROW()-1), $F755)) : INDEX(T:T, ROW()-1),
   INDEX(W:W, ROW()-COUNTIF($F$6:INDEX($F:$F, ROW()-1), $F755)) : INDEX(W:W, ROW()-1)
   )
   /SUM(INDEX(W:W, ROW()-COUNTIF($F$6:INDEX($F:$F, ROW()-1), $F755)) : INDEX(W:W, ROW()-1)),
   AVERAGEIFS(
     INDEX((unit_details[Asking Rent],unit_details[Asking PSF]),0,1,IF($U$3="Chunk Rent",1,2)),
     unit_details[Leased Date],"&gt;="&amp;($AM$2-T$5),
     unit_details[Leased Date],"&lt;"&amp;$AM$2,
     unit_details[Beds],$L756,
     unit_details[Baths],$M756,
     unit_details[Partial Baths],IF(ISNUMBER($N756),$N756,""),
     unit_details[Sqft],$P756,
     unit_details[Property Name],$F756)
 ),"")</f>
        <v/>
      </c>
      <c r="U756" s="552" t="str">
        <f>IFERROR(
 IF($F756="Total",
   SUMPRODUCT(
   INDEX(U:U, ROW()-COUNTIF($F$6:INDEX($F:$F, ROW()-1), $F755)) : INDEX(U:U, ROW()-1),
   INDEX(W:W, ROW()-COUNTIF($F$6:INDEX($F:$F, ROW()-1), $F755)) : INDEX(W:W, ROW()-1)
   )
   /SUM(INDEX(W:W, ROW()-COUNTIF($F$6:INDEX($F:$F, ROW()-1), $F755)) : INDEX(W:W, ROW()-1)),
   AVERAGEIFS(
     INDEX((unit_details[Effective Rent],unit_details[Effective PSF]),0,1,IF($U$3="Chunk Rent",1,2)),
     unit_details[Leased Date],"&gt;="&amp;($AM$2-T$5),
     unit_details[Leased Date],"&lt;"&amp;$AM$2,
     unit_details[Beds],$L756,
     unit_details[Baths],$M756,
     unit_details[Partial Baths],IF(ISNUMBER($N756),$N756,""),
     unit_details[Sqft],$P756,
     unit_details[Property Name],$F756)
 ),"")</f>
        <v/>
      </c>
      <c r="V756" s="27" t="str">
        <f t="shared" si="131"/>
        <v/>
      </c>
      <c r="W756" s="526">
        <f>IFERROR(
  IF($F756="Total",
    SUM(INDEX(W:W, ROW()-COUNTIF($F$6:INDEX($F:$F, ROW()-1), $F755)) : INDEX(W:W, ROW()-1)),
    COUNTIFS(
      unit_details[Leased Date], "&gt;="&amp;($AM$2-T$5),
      unit_details[Leased Date], "&lt;"&amp;$AM$2,
      unit_details[Beds], $L756,
      unit_details[Baths], $M756,
      unit_details[Partial Baths], IF(ISNUMBER($N756), $N756, ""),
      unit_details[Sqft],$P756,
      unit_details[Property Name], $F756
    )
  ),
"")</f>
        <v>0</v>
      </c>
      <c r="X756" s="531" t="str">
        <f>IFERROR(
 IF($F756="Total",
   SUMPRODUCT(
   INDEX(X:X, ROW()-COUNTIF($F$6:INDEX($F:$F, ROW()-1), $F755)) : INDEX(X:X, ROW()-1),
   INDEX(AA:AA, ROW()-COUNTIF($F$6:INDEX($F:$F, ROW()-1), $F755)) : INDEX(AA:AA, ROW()-1)
   )
   /SUM(INDEX(AA:AA, ROW()-COUNTIF($F$6:INDEX($F:$F, ROW()-1), $F755)) : INDEX(AA:AA, ROW()-1)),
   AVERAGEIFS(
     INDEX((unit_details[Asking Rent],unit_details[Asking PSF]),0,1,IF($U$3="Chunk Rent",1,2)),
     unit_details[Leased Date],"&gt;="&amp;($AM$2-X$5),
     unit_details[Leased Date],"&lt;"&amp;$AM$2,
     unit_details[Beds],$L756,
     unit_details[Baths],$M756,
     unit_details[Partial Baths],IF(ISNUMBER($N756),$N756,""),
     unit_details[Sqft],$P756,
     unit_details[Property Name],$F756)
 ),"")</f>
        <v/>
      </c>
      <c r="Y756" s="552" t="str">
        <f>IFERROR(
 IF($F756="Total",
   SUMPRODUCT(
   INDEX(Y:Y, ROW()-COUNTIF($F$6:INDEX($F:$F, ROW()-1), $F755)) : INDEX(Y:Y, ROW()-1),
   INDEX(AA:AA, ROW()-COUNTIF($F$6:INDEX($F:$F, ROW()-1), $F755)) : INDEX(AA:AA, ROW()-1)
   )
   /SUM(INDEX(AA:AA, ROW()-COUNTIF($F$6:INDEX($F:$F, ROW()-1), $F755)) : INDEX(AA:AA, ROW()-1)),
   AVERAGEIFS(
     INDEX((unit_details[Effective Rent],unit_details[Effective PSF]),0,1,IF($U$3="Chunk Rent",1,2)),
     unit_details[Leased Date],"&gt;="&amp;($AM$2-X$5),
     unit_details[Leased Date],"&lt;"&amp;$AM$2,
     unit_details[Beds],$L756,
     unit_details[Baths],$M756,
     unit_details[Partial Baths],IF(ISNUMBER($N756),$N756,""),
     unit_details[Sqft],$P756,
     unit_details[Property Name],$F756)
 ),"")</f>
        <v/>
      </c>
      <c r="Z756" s="27" t="str">
        <f t="shared" si="132"/>
        <v/>
      </c>
      <c r="AA756" s="526">
        <f>IFERROR(
  IF($F756="Total",
    SUM(INDEX(AA:AA, ROW()-COUNTIF($F$6:INDEX($F:$F, ROW()-1), $F755)) : INDEX(AA:AA, ROW()-1)),
    COUNTIFS(
      unit_details[Leased Date], "&gt;="&amp;($AM$2-X$5),
      unit_details[Leased Date], "&lt;"&amp;$AM$2,
      unit_details[Beds], $L756,
      unit_details[Baths], $M756,
      unit_details[Partial Baths], IF(ISNUMBER($N756), $N756, ""),
      unit_details[Sqft],$P756,
      unit_details[Property Name], $F756
    )
  ),
"")</f>
        <v>0</v>
      </c>
      <c r="AB756" s="290">
        <f>IF($F756="Total",
SUM(INDEX(AB:AB, ROW()-COUNTIF($F$6:INDEX($F:$F, ROW()-1), $F755)) : INDEX(AB:AB, ROW()-1)),
COUNTIFS(unit_details[Active Listing?],TRUE,
          unit_details[Property Name], $F756,
          unit_details[Beds], $L756,
          unit_details[Baths], $M756,
          unit_details[Partial Baths],IF(ISNUMBER($N756),$N756,""),
          unit_details[Sqft],$P756))</f>
        <v>0</v>
      </c>
      <c r="AC756" s="27" t="str">
        <f t="shared" si="124"/>
        <v/>
      </c>
      <c r="AD756" s="293" t="str">
        <f>IFERROR(IF(AE756="","",IF($F756="Total",
SUMPRODUCT(
   INDEX(AD:AD, ROW()-COUNTIF($F$6:INDEX($F:$F, ROW()-1), $F755)) : INDEX(AD:AD, ROW()-1),
   INDEX(AB:AB, ROW()-COUNTIF($F$6:INDEX($F:$F, ROW()-1), $F755)) : INDEX(AB:AB, ROW()-1)
   )
   /SUM(INDEX(AB:AB, ROW()-COUNTIF($F$6:INDEX($F:$F, ROW()-1), $F755)) : INDEX(AB:AB, ROW()-1)),
          _xlfn.MINIFS(unit_details[Asking Rent],
          unit_details[Active Listing?],TRUE,
          unit_details[Property Name], $F756,
          unit_details[Beds], $L756,
          unit_details[Baths], $M756,
          unit_details[Partial Baths], IF(ISNUMBER($N756),$N756,""),
          unit_details[Sqft],$P756
))),"")</f>
        <v/>
      </c>
      <c r="AE756" s="5" t="str">
        <f>IFERROR(IF($F756="Total",
          SUMPRODUCT(
   INDEX(AE:AE, ROW()-COUNTIF($F$6:INDEX($F:$F, ROW()-1), $F755)) : INDEX(AE:AE, ROW()-1),
   INDEX(AB:AB, ROW()-COUNTIF($F$6:INDEX($F:$F, ROW()-1), $F755)) : INDEX(AB:AB, ROW()-1)
   )
   /SUM(INDEX(AB:AB, ROW()-COUNTIF($F$6:INDEX($F:$F, ROW()-1), $F755)) : INDEX(AB:AB, ROW()-1)),
          AVERAGEIFS(unit_details[Asking Rent],
          unit_details[Active Listing?],TRUE,
          unit_details[Property Name], $F756,
          unit_details[Beds], $L756,
          unit_details[Baths], $M756,
          unit_details[Partial Baths], IF(ISNUMBER($N756),$N756,""),
          unit_details[Sqft],$P756
)),"")</f>
        <v/>
      </c>
      <c r="AF756" s="5" t="str">
        <f>IFERROR(IF(AE756="","",IF($F756="Total",
SUMPRODUCT(
   INDEX(AF:AF, ROW()-COUNTIF($F$6:INDEX($F:$F, ROW()-1), $F755)) : INDEX(AF:AF, ROW()-1),
   INDEX(AB:AB, ROW()-COUNTIF($F$6:INDEX($F:$F, ROW()-1), $F755)) : INDEX(AB:AB, ROW()-1)
   )
   /SUM(INDEX(AB:AB, ROW()-COUNTIF($F$6:INDEX($F:$F, ROW()-1), $F755)) : INDEX(AB:AB, ROW()-1)),
           _xlfn.MAXIFS(unit_details[Asking Rent],
          unit_details[Active Listing?],TRUE,
          unit_details[Property Name], $F756,
          unit_details[Beds], $L756,
          unit_details[Baths], $M756,
          unit_details[Partial Baths], IF(ISNUMBER($N756),$N756,""),
          unit_details[Sqft],$P756
))),"")</f>
        <v/>
      </c>
      <c r="AG756" s="6" t="str">
        <f>IFERROR(IF($F756="Total",
         SUMPRODUCT(
         INDEX(AG:AG, ROW()-COUNTIF($F$6:INDEX($F:$F, ROW()-1), $F755)) : INDEX(AG:AG, ROW()-1),
         INDEX(AB:AB, ROW()-COUNTIF($F$6:INDEX($F:$F, ROW()-1), $F755)) : INDEX(AB:AB, ROW()-1)
         )
         /SUM(INDEX(AB:AB, ROW()-COUNTIF($F$6:INDEX($F:$F, ROW()-1), $F755)) : INDEX(AB:AB, ROW()-1)),
          AVERAGEIFS(unit_details[Asking PSF],
          unit_details[Active Listing?],TRUE,
          unit_details[Property Name], $F756,
          unit_details[Beds], $L756,
          unit_details[Baths], $M756,
          unit_details[Partial Baths], IF(ISNUMBER($N756),$N756,""),
          unit_details[Sqft],$P756
)),"")</f>
        <v/>
      </c>
      <c r="AH756" s="293" t="str">
        <f>IFERROR(IF($F756="Total",
         SUMPRODUCT(
         INDEX(AH:AH, ROW()-COUNTIF($F$6:INDEX($F:$F, ROW()-1), $F755)) : INDEX(AH:AH, ROW()-1),
         INDEX(AB:AB, ROW()-COUNTIF($F$6:INDEX($F:$F, ROW()-1), $F755)) : INDEX(AB:AB, ROW()-1)
         )
         /SUM(INDEX(AB:AB, ROW()-COUNTIF($F$6:INDEX($F:$F, ROW()-1), $F755)) : INDEX(AB:AB, ROW()-1)),
          AVERAGEIFS(unit_details[Effective Rent],
          unit_details[Active Listing?],TRUE,
          unit_details[Property Name], $F756,
          unit_details[Beds], $L756,
          unit_details[Baths], $M756,
          unit_details[Partial Baths], IF(ISNUMBER($N756),$N756,""),
          unit_details[Sqft],$P756
)),"")</f>
        <v/>
      </c>
      <c r="AI756" s="6" t="str">
        <f>IFERROR(IF($F756="Total",
         SUMPRODUCT(
         INDEX(AI:AI, ROW()-COUNTIF($F$6:INDEX($F:$F, ROW()-1), $F755)) : INDEX(AI:AI, ROW()-1),
         INDEX(AB:AB, ROW()-COUNTIF($F$6:INDEX($F:$F, ROW()-1), $F755)) : INDEX(AB:AB, ROW()-1)
         )
         /SUM(INDEX(AB:AB, ROW()-COUNTIF($F$6:INDEX($F:$F, ROW()-1), $F755)) : INDEX(AB:AB, ROW()-1)),
           AVERAGEIFS(unit_details[Effective PSF],
          unit_details[Active Listing?],TRUE,
          unit_details[Property Name], $F756,
          unit_details[Beds], $L756,
          unit_details[Baths], $M756,
          unit_details[Partial Baths], IF(ISNUMBER($N756),$N756,""),
          unit_details[Sqft],$P756
)),"")</f>
        <v/>
      </c>
      <c r="AJ756" s="824" t="str">
        <f t="shared" si="125"/>
        <v/>
      </c>
      <c r="AK756" s="531" t="str">
        <f t="shared" si="126"/>
        <v/>
      </c>
      <c r="AL756" s="714" t="str">
        <f t="shared" si="127"/>
        <v/>
      </c>
      <c r="AM756" s="531" t="str">
        <f t="shared" si="128"/>
        <v/>
      </c>
      <c r="AN756" s="716" t="str">
        <f t="shared" si="129"/>
        <v/>
      </c>
    </row>
    <row r="757" spans="6:40" x14ac:dyDescent="0.2">
      <c r="F757" s="1" t="str">
        <f t="shared" si="122"/>
        <v/>
      </c>
      <c r="G757" s="713" t="str">
        <f t="shared" si="130"/>
        <v/>
      </c>
      <c r="H757" s="17" t="str">
        <f>IFERROR(VLOOKUP($G757,Table1[[Property]:[Exposure %]],4,0),"")</f>
        <v/>
      </c>
      <c r="I757" s="3" t="str">
        <f>IFERROR(VLOOKUP($G757,Table1[[Property]:[Exposure %]],6,0),"")</f>
        <v/>
      </c>
      <c r="J757" s="3" t="str">
        <f>IFERROR(VLOOKUP($G757,Table1[[Property]:[Exposure %]],7,0),"")</f>
        <v/>
      </c>
      <c r="R757" s="4" t="str">
        <f>IFERROR(VLOOKUP(IF(F757="Total",F756,F757),Table1[[Property]:['# Units]],7,0)*S757,"")</f>
        <v/>
      </c>
      <c r="S757" s="27" t="str">
        <f t="shared" si="123"/>
        <v/>
      </c>
      <c r="T757" s="531" t="str">
        <f>IFERROR(
 IF($F757="Total",
   SUMPRODUCT(
   INDEX(T:T, ROW()-COUNTIF($F$6:INDEX($F:$F, ROW()-1), $F756)) : INDEX(T:T, ROW()-1),
   INDEX(W:W, ROW()-COUNTIF($F$6:INDEX($F:$F, ROW()-1), $F756)) : INDEX(W:W, ROW()-1)
   )
   /SUM(INDEX(W:W, ROW()-COUNTIF($F$6:INDEX($F:$F, ROW()-1), $F756)) : INDEX(W:W, ROW()-1)),
   AVERAGEIFS(
     INDEX((unit_details[Asking Rent],unit_details[Asking PSF]),0,1,IF($U$3="Chunk Rent",1,2)),
     unit_details[Leased Date],"&gt;="&amp;($AM$2-T$5),
     unit_details[Leased Date],"&lt;"&amp;$AM$2,
     unit_details[Beds],$L757,
     unit_details[Baths],$M757,
     unit_details[Partial Baths],IF(ISNUMBER($N757),$N757,""),
     unit_details[Sqft],$P757,
     unit_details[Property Name],$F757)
 ),"")</f>
        <v/>
      </c>
      <c r="U757" s="552" t="str">
        <f>IFERROR(
 IF($F757="Total",
   SUMPRODUCT(
   INDEX(U:U, ROW()-COUNTIF($F$6:INDEX($F:$F, ROW()-1), $F756)) : INDEX(U:U, ROW()-1),
   INDEX(W:W, ROW()-COUNTIF($F$6:INDEX($F:$F, ROW()-1), $F756)) : INDEX(W:W, ROW()-1)
   )
   /SUM(INDEX(W:W, ROW()-COUNTIF($F$6:INDEX($F:$F, ROW()-1), $F756)) : INDEX(W:W, ROW()-1)),
   AVERAGEIFS(
     INDEX((unit_details[Effective Rent],unit_details[Effective PSF]),0,1,IF($U$3="Chunk Rent",1,2)),
     unit_details[Leased Date],"&gt;="&amp;($AM$2-T$5),
     unit_details[Leased Date],"&lt;"&amp;$AM$2,
     unit_details[Beds],$L757,
     unit_details[Baths],$M757,
     unit_details[Partial Baths],IF(ISNUMBER($N757),$N757,""),
     unit_details[Sqft],$P757,
     unit_details[Property Name],$F757)
 ),"")</f>
        <v/>
      </c>
      <c r="V757" s="27" t="str">
        <f t="shared" si="131"/>
        <v/>
      </c>
      <c r="W757" s="526">
        <f>IFERROR(
  IF($F757="Total",
    SUM(INDEX(W:W, ROW()-COUNTIF($F$6:INDEX($F:$F, ROW()-1), $F756)) : INDEX(W:W, ROW()-1)),
    COUNTIFS(
      unit_details[Leased Date], "&gt;="&amp;($AM$2-T$5),
      unit_details[Leased Date], "&lt;"&amp;$AM$2,
      unit_details[Beds], $L757,
      unit_details[Baths], $M757,
      unit_details[Partial Baths], IF(ISNUMBER($N757), $N757, ""),
      unit_details[Sqft],$P757,
      unit_details[Property Name], $F757
    )
  ),
"")</f>
        <v>0</v>
      </c>
      <c r="X757" s="531" t="str">
        <f>IFERROR(
 IF($F757="Total",
   SUMPRODUCT(
   INDEX(X:X, ROW()-COUNTIF($F$6:INDEX($F:$F, ROW()-1), $F756)) : INDEX(X:X, ROW()-1),
   INDEX(AA:AA, ROW()-COUNTIF($F$6:INDEX($F:$F, ROW()-1), $F756)) : INDEX(AA:AA, ROW()-1)
   )
   /SUM(INDEX(AA:AA, ROW()-COUNTIF($F$6:INDEX($F:$F, ROW()-1), $F756)) : INDEX(AA:AA, ROW()-1)),
   AVERAGEIFS(
     INDEX((unit_details[Asking Rent],unit_details[Asking PSF]),0,1,IF($U$3="Chunk Rent",1,2)),
     unit_details[Leased Date],"&gt;="&amp;($AM$2-X$5),
     unit_details[Leased Date],"&lt;"&amp;$AM$2,
     unit_details[Beds],$L757,
     unit_details[Baths],$M757,
     unit_details[Partial Baths],IF(ISNUMBER($N757),$N757,""),
     unit_details[Sqft],$P757,
     unit_details[Property Name],$F757)
 ),"")</f>
        <v/>
      </c>
      <c r="Y757" s="552" t="str">
        <f>IFERROR(
 IF($F757="Total",
   SUMPRODUCT(
   INDEX(Y:Y, ROW()-COUNTIF($F$6:INDEX($F:$F, ROW()-1), $F756)) : INDEX(Y:Y, ROW()-1),
   INDEX(AA:AA, ROW()-COUNTIF($F$6:INDEX($F:$F, ROW()-1), $F756)) : INDEX(AA:AA, ROW()-1)
   )
   /SUM(INDEX(AA:AA, ROW()-COUNTIF($F$6:INDEX($F:$F, ROW()-1), $F756)) : INDEX(AA:AA, ROW()-1)),
   AVERAGEIFS(
     INDEX((unit_details[Effective Rent],unit_details[Effective PSF]),0,1,IF($U$3="Chunk Rent",1,2)),
     unit_details[Leased Date],"&gt;="&amp;($AM$2-X$5),
     unit_details[Leased Date],"&lt;"&amp;$AM$2,
     unit_details[Beds],$L757,
     unit_details[Baths],$M757,
     unit_details[Partial Baths],IF(ISNUMBER($N757),$N757,""),
     unit_details[Sqft],$P757,
     unit_details[Property Name],$F757)
 ),"")</f>
        <v/>
      </c>
      <c r="Z757" s="27" t="str">
        <f t="shared" si="132"/>
        <v/>
      </c>
      <c r="AA757" s="526">
        <f>IFERROR(
  IF($F757="Total",
    SUM(INDEX(AA:AA, ROW()-COUNTIF($F$6:INDEX($F:$F, ROW()-1), $F756)) : INDEX(AA:AA, ROW()-1)),
    COUNTIFS(
      unit_details[Leased Date], "&gt;="&amp;($AM$2-X$5),
      unit_details[Leased Date], "&lt;"&amp;$AM$2,
      unit_details[Beds], $L757,
      unit_details[Baths], $M757,
      unit_details[Partial Baths], IF(ISNUMBER($N757), $N757, ""),
      unit_details[Sqft],$P757,
      unit_details[Property Name], $F757
    )
  ),
"")</f>
        <v>0</v>
      </c>
      <c r="AB757" s="290">
        <f>IF($F757="Total",
SUM(INDEX(AB:AB, ROW()-COUNTIF($F$6:INDEX($F:$F, ROW()-1), $F756)) : INDEX(AB:AB, ROW()-1)),
COUNTIFS(unit_details[Active Listing?],TRUE,
          unit_details[Property Name], $F757,
          unit_details[Beds], $L757,
          unit_details[Baths], $M757,
          unit_details[Partial Baths],IF(ISNUMBER($N757),$N757,""),
          unit_details[Sqft],$P757))</f>
        <v>0</v>
      </c>
      <c r="AC757" s="27" t="str">
        <f t="shared" si="124"/>
        <v/>
      </c>
      <c r="AD757" s="293" t="str">
        <f>IFERROR(IF(AE757="","",IF($F757="Total",
SUMPRODUCT(
   INDEX(AD:AD, ROW()-COUNTIF($F$6:INDEX($F:$F, ROW()-1), $F756)) : INDEX(AD:AD, ROW()-1),
   INDEX(AB:AB, ROW()-COUNTIF($F$6:INDEX($F:$F, ROW()-1), $F756)) : INDEX(AB:AB, ROW()-1)
   )
   /SUM(INDEX(AB:AB, ROW()-COUNTIF($F$6:INDEX($F:$F, ROW()-1), $F756)) : INDEX(AB:AB, ROW()-1)),
          _xlfn.MINIFS(unit_details[Asking Rent],
          unit_details[Active Listing?],TRUE,
          unit_details[Property Name], $F757,
          unit_details[Beds], $L757,
          unit_details[Baths], $M757,
          unit_details[Partial Baths], IF(ISNUMBER($N757),$N757,""),
          unit_details[Sqft],$P757
))),"")</f>
        <v/>
      </c>
      <c r="AE757" s="5" t="str">
        <f>IFERROR(IF($F757="Total",
          SUMPRODUCT(
   INDEX(AE:AE, ROW()-COUNTIF($F$6:INDEX($F:$F, ROW()-1), $F756)) : INDEX(AE:AE, ROW()-1),
   INDEX(AB:AB, ROW()-COUNTIF($F$6:INDEX($F:$F, ROW()-1), $F756)) : INDEX(AB:AB, ROW()-1)
   )
   /SUM(INDEX(AB:AB, ROW()-COUNTIF($F$6:INDEX($F:$F, ROW()-1), $F756)) : INDEX(AB:AB, ROW()-1)),
          AVERAGEIFS(unit_details[Asking Rent],
          unit_details[Active Listing?],TRUE,
          unit_details[Property Name], $F757,
          unit_details[Beds], $L757,
          unit_details[Baths], $M757,
          unit_details[Partial Baths], IF(ISNUMBER($N757),$N757,""),
          unit_details[Sqft],$P757
)),"")</f>
        <v/>
      </c>
      <c r="AF757" s="5" t="str">
        <f>IFERROR(IF(AE757="","",IF($F757="Total",
SUMPRODUCT(
   INDEX(AF:AF, ROW()-COUNTIF($F$6:INDEX($F:$F, ROW()-1), $F756)) : INDEX(AF:AF, ROW()-1),
   INDEX(AB:AB, ROW()-COUNTIF($F$6:INDEX($F:$F, ROW()-1), $F756)) : INDEX(AB:AB, ROW()-1)
   )
   /SUM(INDEX(AB:AB, ROW()-COUNTIF($F$6:INDEX($F:$F, ROW()-1), $F756)) : INDEX(AB:AB, ROW()-1)),
           _xlfn.MAXIFS(unit_details[Asking Rent],
          unit_details[Active Listing?],TRUE,
          unit_details[Property Name], $F757,
          unit_details[Beds], $L757,
          unit_details[Baths], $M757,
          unit_details[Partial Baths], IF(ISNUMBER($N757),$N757,""),
          unit_details[Sqft],$P757
))),"")</f>
        <v/>
      </c>
      <c r="AG757" s="6" t="str">
        <f>IFERROR(IF($F757="Total",
         SUMPRODUCT(
         INDEX(AG:AG, ROW()-COUNTIF($F$6:INDEX($F:$F, ROW()-1), $F756)) : INDEX(AG:AG, ROW()-1),
         INDEX(AB:AB, ROW()-COUNTIF($F$6:INDEX($F:$F, ROW()-1), $F756)) : INDEX(AB:AB, ROW()-1)
         )
         /SUM(INDEX(AB:AB, ROW()-COUNTIF($F$6:INDEX($F:$F, ROW()-1), $F756)) : INDEX(AB:AB, ROW()-1)),
          AVERAGEIFS(unit_details[Asking PSF],
          unit_details[Active Listing?],TRUE,
          unit_details[Property Name], $F757,
          unit_details[Beds], $L757,
          unit_details[Baths], $M757,
          unit_details[Partial Baths], IF(ISNUMBER($N757),$N757,""),
          unit_details[Sqft],$P757
)),"")</f>
        <v/>
      </c>
      <c r="AH757" s="293" t="str">
        <f>IFERROR(IF($F757="Total",
         SUMPRODUCT(
         INDEX(AH:AH, ROW()-COUNTIF($F$6:INDEX($F:$F, ROW()-1), $F756)) : INDEX(AH:AH, ROW()-1),
         INDEX(AB:AB, ROW()-COUNTIF($F$6:INDEX($F:$F, ROW()-1), $F756)) : INDEX(AB:AB, ROW()-1)
         )
         /SUM(INDEX(AB:AB, ROW()-COUNTIF($F$6:INDEX($F:$F, ROW()-1), $F756)) : INDEX(AB:AB, ROW()-1)),
          AVERAGEIFS(unit_details[Effective Rent],
          unit_details[Active Listing?],TRUE,
          unit_details[Property Name], $F757,
          unit_details[Beds], $L757,
          unit_details[Baths], $M757,
          unit_details[Partial Baths], IF(ISNUMBER($N757),$N757,""),
          unit_details[Sqft],$P757
)),"")</f>
        <v/>
      </c>
      <c r="AI757" s="6" t="str">
        <f>IFERROR(IF($F757="Total",
         SUMPRODUCT(
         INDEX(AI:AI, ROW()-COUNTIF($F$6:INDEX($F:$F, ROW()-1), $F756)) : INDEX(AI:AI, ROW()-1),
         INDEX(AB:AB, ROW()-COUNTIF($F$6:INDEX($F:$F, ROW()-1), $F756)) : INDEX(AB:AB, ROW()-1)
         )
         /SUM(INDEX(AB:AB, ROW()-COUNTIF($F$6:INDEX($F:$F, ROW()-1), $F756)) : INDEX(AB:AB, ROW()-1)),
           AVERAGEIFS(unit_details[Effective PSF],
          unit_details[Active Listing?],TRUE,
          unit_details[Property Name], $F757,
          unit_details[Beds], $L757,
          unit_details[Baths], $M757,
          unit_details[Partial Baths], IF(ISNUMBER($N757),$N757,""),
          unit_details[Sqft],$P757
)),"")</f>
        <v/>
      </c>
      <c r="AJ757" s="824" t="str">
        <f t="shared" si="125"/>
        <v/>
      </c>
      <c r="AK757" s="531" t="str">
        <f t="shared" si="126"/>
        <v/>
      </c>
      <c r="AL757" s="714" t="str">
        <f t="shared" si="127"/>
        <v/>
      </c>
      <c r="AM757" s="531" t="str">
        <f t="shared" si="128"/>
        <v/>
      </c>
      <c r="AN757" s="716" t="str">
        <f t="shared" si="129"/>
        <v/>
      </c>
    </row>
    <row r="758" spans="6:40" x14ac:dyDescent="0.2">
      <c r="F758" s="1" t="str">
        <f t="shared" si="122"/>
        <v/>
      </c>
      <c r="G758" s="713" t="str">
        <f t="shared" si="130"/>
        <v/>
      </c>
      <c r="H758" s="17" t="str">
        <f>IFERROR(VLOOKUP($G758,Table1[[Property]:[Exposure %]],4,0),"")</f>
        <v/>
      </c>
      <c r="I758" s="3" t="str">
        <f>IFERROR(VLOOKUP($G758,Table1[[Property]:[Exposure %]],6,0),"")</f>
        <v/>
      </c>
      <c r="J758" s="3" t="str">
        <f>IFERROR(VLOOKUP($G758,Table1[[Property]:[Exposure %]],7,0),"")</f>
        <v/>
      </c>
      <c r="R758" s="4" t="str">
        <f>IFERROR(VLOOKUP(IF(F758="Total",F757,F758),Table1[[Property]:['# Units]],7,0)*S758,"")</f>
        <v/>
      </c>
      <c r="S758" s="27" t="str">
        <f t="shared" si="123"/>
        <v/>
      </c>
      <c r="T758" s="531" t="str">
        <f>IFERROR(
 IF($F758="Total",
   SUMPRODUCT(
   INDEX(T:T, ROW()-COUNTIF($F$6:INDEX($F:$F, ROW()-1), $F757)) : INDEX(T:T, ROW()-1),
   INDEX(W:W, ROW()-COUNTIF($F$6:INDEX($F:$F, ROW()-1), $F757)) : INDEX(W:W, ROW()-1)
   )
   /SUM(INDEX(W:W, ROW()-COUNTIF($F$6:INDEX($F:$F, ROW()-1), $F757)) : INDEX(W:W, ROW()-1)),
   AVERAGEIFS(
     INDEX((unit_details[Asking Rent],unit_details[Asking PSF]),0,1,IF($U$3="Chunk Rent",1,2)),
     unit_details[Leased Date],"&gt;="&amp;($AM$2-T$5),
     unit_details[Leased Date],"&lt;"&amp;$AM$2,
     unit_details[Beds],$L758,
     unit_details[Baths],$M758,
     unit_details[Partial Baths],IF(ISNUMBER($N758),$N758,""),
     unit_details[Sqft],$P758,
     unit_details[Property Name],$F758)
 ),"")</f>
        <v/>
      </c>
      <c r="U758" s="552" t="str">
        <f>IFERROR(
 IF($F758="Total",
   SUMPRODUCT(
   INDEX(U:U, ROW()-COUNTIF($F$6:INDEX($F:$F, ROW()-1), $F757)) : INDEX(U:U, ROW()-1),
   INDEX(W:W, ROW()-COUNTIF($F$6:INDEX($F:$F, ROW()-1), $F757)) : INDEX(W:W, ROW()-1)
   )
   /SUM(INDEX(W:W, ROW()-COUNTIF($F$6:INDEX($F:$F, ROW()-1), $F757)) : INDEX(W:W, ROW()-1)),
   AVERAGEIFS(
     INDEX((unit_details[Effective Rent],unit_details[Effective PSF]),0,1,IF($U$3="Chunk Rent",1,2)),
     unit_details[Leased Date],"&gt;="&amp;($AM$2-T$5),
     unit_details[Leased Date],"&lt;"&amp;$AM$2,
     unit_details[Beds],$L758,
     unit_details[Baths],$M758,
     unit_details[Partial Baths],IF(ISNUMBER($N758),$N758,""),
     unit_details[Sqft],$P758,
     unit_details[Property Name],$F758)
 ),"")</f>
        <v/>
      </c>
      <c r="V758" s="27" t="str">
        <f t="shared" si="131"/>
        <v/>
      </c>
      <c r="W758" s="526">
        <f>IFERROR(
  IF($F758="Total",
    SUM(INDEX(W:W, ROW()-COUNTIF($F$6:INDEX($F:$F, ROW()-1), $F757)) : INDEX(W:W, ROW()-1)),
    COUNTIFS(
      unit_details[Leased Date], "&gt;="&amp;($AM$2-T$5),
      unit_details[Leased Date], "&lt;"&amp;$AM$2,
      unit_details[Beds], $L758,
      unit_details[Baths], $M758,
      unit_details[Partial Baths], IF(ISNUMBER($N758), $N758, ""),
      unit_details[Sqft],$P758,
      unit_details[Property Name], $F758
    )
  ),
"")</f>
        <v>0</v>
      </c>
      <c r="X758" s="531" t="str">
        <f>IFERROR(
 IF($F758="Total",
   SUMPRODUCT(
   INDEX(X:X, ROW()-COUNTIF($F$6:INDEX($F:$F, ROW()-1), $F757)) : INDEX(X:X, ROW()-1),
   INDEX(AA:AA, ROW()-COUNTIF($F$6:INDEX($F:$F, ROW()-1), $F757)) : INDEX(AA:AA, ROW()-1)
   )
   /SUM(INDEX(AA:AA, ROW()-COUNTIF($F$6:INDEX($F:$F, ROW()-1), $F757)) : INDEX(AA:AA, ROW()-1)),
   AVERAGEIFS(
     INDEX((unit_details[Asking Rent],unit_details[Asking PSF]),0,1,IF($U$3="Chunk Rent",1,2)),
     unit_details[Leased Date],"&gt;="&amp;($AM$2-X$5),
     unit_details[Leased Date],"&lt;"&amp;$AM$2,
     unit_details[Beds],$L758,
     unit_details[Baths],$M758,
     unit_details[Partial Baths],IF(ISNUMBER($N758),$N758,""),
     unit_details[Sqft],$P758,
     unit_details[Property Name],$F758)
 ),"")</f>
        <v/>
      </c>
      <c r="Y758" s="552" t="str">
        <f>IFERROR(
 IF($F758="Total",
   SUMPRODUCT(
   INDEX(Y:Y, ROW()-COUNTIF($F$6:INDEX($F:$F, ROW()-1), $F757)) : INDEX(Y:Y, ROW()-1),
   INDEX(AA:AA, ROW()-COUNTIF($F$6:INDEX($F:$F, ROW()-1), $F757)) : INDEX(AA:AA, ROW()-1)
   )
   /SUM(INDEX(AA:AA, ROW()-COUNTIF($F$6:INDEX($F:$F, ROW()-1), $F757)) : INDEX(AA:AA, ROW()-1)),
   AVERAGEIFS(
     INDEX((unit_details[Effective Rent],unit_details[Effective PSF]),0,1,IF($U$3="Chunk Rent",1,2)),
     unit_details[Leased Date],"&gt;="&amp;($AM$2-X$5),
     unit_details[Leased Date],"&lt;"&amp;$AM$2,
     unit_details[Beds],$L758,
     unit_details[Baths],$M758,
     unit_details[Partial Baths],IF(ISNUMBER($N758),$N758,""),
     unit_details[Sqft],$P758,
     unit_details[Property Name],$F758)
 ),"")</f>
        <v/>
      </c>
      <c r="Z758" s="27" t="str">
        <f t="shared" si="132"/>
        <v/>
      </c>
      <c r="AA758" s="526">
        <f>IFERROR(
  IF($F758="Total",
    SUM(INDEX(AA:AA, ROW()-COUNTIF($F$6:INDEX($F:$F, ROW()-1), $F757)) : INDEX(AA:AA, ROW()-1)),
    COUNTIFS(
      unit_details[Leased Date], "&gt;="&amp;($AM$2-X$5),
      unit_details[Leased Date], "&lt;"&amp;$AM$2,
      unit_details[Beds], $L758,
      unit_details[Baths], $M758,
      unit_details[Partial Baths], IF(ISNUMBER($N758), $N758, ""),
      unit_details[Sqft],$P758,
      unit_details[Property Name], $F758
    )
  ),
"")</f>
        <v>0</v>
      </c>
      <c r="AB758" s="290">
        <f>IF($F758="Total",
SUM(INDEX(AB:AB, ROW()-COUNTIF($F$6:INDEX($F:$F, ROW()-1), $F757)) : INDEX(AB:AB, ROW()-1)),
COUNTIFS(unit_details[Active Listing?],TRUE,
          unit_details[Property Name], $F758,
          unit_details[Beds], $L758,
          unit_details[Baths], $M758,
          unit_details[Partial Baths],IF(ISNUMBER($N758),$N758,""),
          unit_details[Sqft],$P758))</f>
        <v>0</v>
      </c>
      <c r="AC758" s="27" t="str">
        <f t="shared" si="124"/>
        <v/>
      </c>
      <c r="AD758" s="293" t="str">
        <f>IFERROR(IF(AE758="","",IF($F758="Total",
SUMPRODUCT(
   INDEX(AD:AD, ROW()-COUNTIF($F$6:INDEX($F:$F, ROW()-1), $F757)) : INDEX(AD:AD, ROW()-1),
   INDEX(AB:AB, ROW()-COUNTIF($F$6:INDEX($F:$F, ROW()-1), $F757)) : INDEX(AB:AB, ROW()-1)
   )
   /SUM(INDEX(AB:AB, ROW()-COUNTIF($F$6:INDEX($F:$F, ROW()-1), $F757)) : INDEX(AB:AB, ROW()-1)),
          _xlfn.MINIFS(unit_details[Asking Rent],
          unit_details[Active Listing?],TRUE,
          unit_details[Property Name], $F758,
          unit_details[Beds], $L758,
          unit_details[Baths], $M758,
          unit_details[Partial Baths], IF(ISNUMBER($N758),$N758,""),
          unit_details[Sqft],$P758
))),"")</f>
        <v/>
      </c>
      <c r="AE758" s="5" t="str">
        <f>IFERROR(IF($F758="Total",
          SUMPRODUCT(
   INDEX(AE:AE, ROW()-COUNTIF($F$6:INDEX($F:$F, ROW()-1), $F757)) : INDEX(AE:AE, ROW()-1),
   INDEX(AB:AB, ROW()-COUNTIF($F$6:INDEX($F:$F, ROW()-1), $F757)) : INDEX(AB:AB, ROW()-1)
   )
   /SUM(INDEX(AB:AB, ROW()-COUNTIF($F$6:INDEX($F:$F, ROW()-1), $F757)) : INDEX(AB:AB, ROW()-1)),
          AVERAGEIFS(unit_details[Asking Rent],
          unit_details[Active Listing?],TRUE,
          unit_details[Property Name], $F758,
          unit_details[Beds], $L758,
          unit_details[Baths], $M758,
          unit_details[Partial Baths], IF(ISNUMBER($N758),$N758,""),
          unit_details[Sqft],$P758
)),"")</f>
        <v/>
      </c>
      <c r="AF758" s="5" t="str">
        <f>IFERROR(IF(AE758="","",IF($F758="Total",
SUMPRODUCT(
   INDEX(AF:AF, ROW()-COUNTIF($F$6:INDEX($F:$F, ROW()-1), $F757)) : INDEX(AF:AF, ROW()-1),
   INDEX(AB:AB, ROW()-COUNTIF($F$6:INDEX($F:$F, ROW()-1), $F757)) : INDEX(AB:AB, ROW()-1)
   )
   /SUM(INDEX(AB:AB, ROW()-COUNTIF($F$6:INDEX($F:$F, ROW()-1), $F757)) : INDEX(AB:AB, ROW()-1)),
           _xlfn.MAXIFS(unit_details[Asking Rent],
          unit_details[Active Listing?],TRUE,
          unit_details[Property Name], $F758,
          unit_details[Beds], $L758,
          unit_details[Baths], $M758,
          unit_details[Partial Baths], IF(ISNUMBER($N758),$N758,""),
          unit_details[Sqft],$P758
))),"")</f>
        <v/>
      </c>
      <c r="AG758" s="6" t="str">
        <f>IFERROR(IF($F758="Total",
         SUMPRODUCT(
         INDEX(AG:AG, ROW()-COUNTIF($F$6:INDEX($F:$F, ROW()-1), $F757)) : INDEX(AG:AG, ROW()-1),
         INDEX(AB:AB, ROW()-COUNTIF($F$6:INDEX($F:$F, ROW()-1), $F757)) : INDEX(AB:AB, ROW()-1)
         )
         /SUM(INDEX(AB:AB, ROW()-COUNTIF($F$6:INDEX($F:$F, ROW()-1), $F757)) : INDEX(AB:AB, ROW()-1)),
          AVERAGEIFS(unit_details[Asking PSF],
          unit_details[Active Listing?],TRUE,
          unit_details[Property Name], $F758,
          unit_details[Beds], $L758,
          unit_details[Baths], $M758,
          unit_details[Partial Baths], IF(ISNUMBER($N758),$N758,""),
          unit_details[Sqft],$P758
)),"")</f>
        <v/>
      </c>
      <c r="AH758" s="293" t="str">
        <f>IFERROR(IF($F758="Total",
         SUMPRODUCT(
         INDEX(AH:AH, ROW()-COUNTIF($F$6:INDEX($F:$F, ROW()-1), $F757)) : INDEX(AH:AH, ROW()-1),
         INDEX(AB:AB, ROW()-COUNTIF($F$6:INDEX($F:$F, ROW()-1), $F757)) : INDEX(AB:AB, ROW()-1)
         )
         /SUM(INDEX(AB:AB, ROW()-COUNTIF($F$6:INDEX($F:$F, ROW()-1), $F757)) : INDEX(AB:AB, ROW()-1)),
          AVERAGEIFS(unit_details[Effective Rent],
          unit_details[Active Listing?],TRUE,
          unit_details[Property Name], $F758,
          unit_details[Beds], $L758,
          unit_details[Baths], $M758,
          unit_details[Partial Baths], IF(ISNUMBER($N758),$N758,""),
          unit_details[Sqft],$P758
)),"")</f>
        <v/>
      </c>
      <c r="AI758" s="6" t="str">
        <f>IFERROR(IF($F758="Total",
         SUMPRODUCT(
         INDEX(AI:AI, ROW()-COUNTIF($F$6:INDEX($F:$F, ROW()-1), $F757)) : INDEX(AI:AI, ROW()-1),
         INDEX(AB:AB, ROW()-COUNTIF($F$6:INDEX($F:$F, ROW()-1), $F757)) : INDEX(AB:AB, ROW()-1)
         )
         /SUM(INDEX(AB:AB, ROW()-COUNTIF($F$6:INDEX($F:$F, ROW()-1), $F757)) : INDEX(AB:AB, ROW()-1)),
           AVERAGEIFS(unit_details[Effective PSF],
          unit_details[Active Listing?],TRUE,
          unit_details[Property Name], $F758,
          unit_details[Beds], $L758,
          unit_details[Baths], $M758,
          unit_details[Partial Baths], IF(ISNUMBER($N758),$N758,""),
          unit_details[Sqft],$P758
)),"")</f>
        <v/>
      </c>
      <c r="AJ758" s="824" t="str">
        <f t="shared" si="125"/>
        <v/>
      </c>
      <c r="AK758" s="531" t="str">
        <f t="shared" si="126"/>
        <v/>
      </c>
      <c r="AL758" s="714" t="str">
        <f t="shared" si="127"/>
        <v/>
      </c>
      <c r="AM758" s="531" t="str">
        <f t="shared" si="128"/>
        <v/>
      </c>
      <c r="AN758" s="716" t="str">
        <f t="shared" si="129"/>
        <v/>
      </c>
    </row>
    <row r="759" spans="6:40" x14ac:dyDescent="0.2">
      <c r="F759" s="1" t="str">
        <f t="shared" si="122"/>
        <v/>
      </c>
      <c r="G759" s="713" t="str">
        <f t="shared" si="130"/>
        <v/>
      </c>
      <c r="H759" s="17" t="str">
        <f>IFERROR(VLOOKUP($G759,Table1[[Property]:[Exposure %]],4,0),"")</f>
        <v/>
      </c>
      <c r="I759" s="3" t="str">
        <f>IFERROR(VLOOKUP($G759,Table1[[Property]:[Exposure %]],6,0),"")</f>
        <v/>
      </c>
      <c r="J759" s="3" t="str">
        <f>IFERROR(VLOOKUP($G759,Table1[[Property]:[Exposure %]],7,0),"")</f>
        <v/>
      </c>
      <c r="R759" s="4" t="str">
        <f>IFERROR(VLOOKUP(IF(F759="Total",F758,F759),Table1[[Property]:['# Units]],7,0)*S759,"")</f>
        <v/>
      </c>
      <c r="S759" s="27" t="str">
        <f t="shared" si="123"/>
        <v/>
      </c>
      <c r="T759" s="531" t="str">
        <f>IFERROR(
 IF($F759="Total",
   SUMPRODUCT(
   INDEX(T:T, ROW()-COUNTIF($F$6:INDEX($F:$F, ROW()-1), $F758)) : INDEX(T:T, ROW()-1),
   INDEX(W:W, ROW()-COUNTIF($F$6:INDEX($F:$F, ROW()-1), $F758)) : INDEX(W:W, ROW()-1)
   )
   /SUM(INDEX(W:W, ROW()-COUNTIF($F$6:INDEX($F:$F, ROW()-1), $F758)) : INDEX(W:W, ROW()-1)),
   AVERAGEIFS(
     INDEX((unit_details[Asking Rent],unit_details[Asking PSF]),0,1,IF($U$3="Chunk Rent",1,2)),
     unit_details[Leased Date],"&gt;="&amp;($AM$2-T$5),
     unit_details[Leased Date],"&lt;"&amp;$AM$2,
     unit_details[Beds],$L759,
     unit_details[Baths],$M759,
     unit_details[Partial Baths],IF(ISNUMBER($N759),$N759,""),
     unit_details[Sqft],$P759,
     unit_details[Property Name],$F759)
 ),"")</f>
        <v/>
      </c>
      <c r="U759" s="552" t="str">
        <f>IFERROR(
 IF($F759="Total",
   SUMPRODUCT(
   INDEX(U:U, ROW()-COUNTIF($F$6:INDEX($F:$F, ROW()-1), $F758)) : INDEX(U:U, ROW()-1),
   INDEX(W:W, ROW()-COUNTIF($F$6:INDEX($F:$F, ROW()-1), $F758)) : INDEX(W:W, ROW()-1)
   )
   /SUM(INDEX(W:W, ROW()-COUNTIF($F$6:INDEX($F:$F, ROW()-1), $F758)) : INDEX(W:W, ROW()-1)),
   AVERAGEIFS(
     INDEX((unit_details[Effective Rent],unit_details[Effective PSF]),0,1,IF($U$3="Chunk Rent",1,2)),
     unit_details[Leased Date],"&gt;="&amp;($AM$2-T$5),
     unit_details[Leased Date],"&lt;"&amp;$AM$2,
     unit_details[Beds],$L759,
     unit_details[Baths],$M759,
     unit_details[Partial Baths],IF(ISNUMBER($N759),$N759,""),
     unit_details[Sqft],$P759,
     unit_details[Property Name],$F759)
 ),"")</f>
        <v/>
      </c>
      <c r="V759" s="27" t="str">
        <f t="shared" si="131"/>
        <v/>
      </c>
      <c r="W759" s="526">
        <f>IFERROR(
  IF($F759="Total",
    SUM(INDEX(W:W, ROW()-COUNTIF($F$6:INDEX($F:$F, ROW()-1), $F758)) : INDEX(W:W, ROW()-1)),
    COUNTIFS(
      unit_details[Leased Date], "&gt;="&amp;($AM$2-T$5),
      unit_details[Leased Date], "&lt;"&amp;$AM$2,
      unit_details[Beds], $L759,
      unit_details[Baths], $M759,
      unit_details[Partial Baths], IF(ISNUMBER($N759), $N759, ""),
      unit_details[Sqft],$P759,
      unit_details[Property Name], $F759
    )
  ),
"")</f>
        <v>0</v>
      </c>
      <c r="X759" s="531" t="str">
        <f>IFERROR(
 IF($F759="Total",
   SUMPRODUCT(
   INDEX(X:X, ROW()-COUNTIF($F$6:INDEX($F:$F, ROW()-1), $F758)) : INDEX(X:X, ROW()-1),
   INDEX(AA:AA, ROW()-COUNTIF($F$6:INDEX($F:$F, ROW()-1), $F758)) : INDEX(AA:AA, ROW()-1)
   )
   /SUM(INDEX(AA:AA, ROW()-COUNTIF($F$6:INDEX($F:$F, ROW()-1), $F758)) : INDEX(AA:AA, ROW()-1)),
   AVERAGEIFS(
     INDEX((unit_details[Asking Rent],unit_details[Asking PSF]),0,1,IF($U$3="Chunk Rent",1,2)),
     unit_details[Leased Date],"&gt;="&amp;($AM$2-X$5),
     unit_details[Leased Date],"&lt;"&amp;$AM$2,
     unit_details[Beds],$L759,
     unit_details[Baths],$M759,
     unit_details[Partial Baths],IF(ISNUMBER($N759),$N759,""),
     unit_details[Sqft],$P759,
     unit_details[Property Name],$F759)
 ),"")</f>
        <v/>
      </c>
      <c r="Y759" s="552" t="str">
        <f>IFERROR(
 IF($F759="Total",
   SUMPRODUCT(
   INDEX(Y:Y, ROW()-COUNTIF($F$6:INDEX($F:$F, ROW()-1), $F758)) : INDEX(Y:Y, ROW()-1),
   INDEX(AA:AA, ROW()-COUNTIF($F$6:INDEX($F:$F, ROW()-1), $F758)) : INDEX(AA:AA, ROW()-1)
   )
   /SUM(INDEX(AA:AA, ROW()-COUNTIF($F$6:INDEX($F:$F, ROW()-1), $F758)) : INDEX(AA:AA, ROW()-1)),
   AVERAGEIFS(
     INDEX((unit_details[Effective Rent],unit_details[Effective PSF]),0,1,IF($U$3="Chunk Rent",1,2)),
     unit_details[Leased Date],"&gt;="&amp;($AM$2-X$5),
     unit_details[Leased Date],"&lt;"&amp;$AM$2,
     unit_details[Beds],$L759,
     unit_details[Baths],$M759,
     unit_details[Partial Baths],IF(ISNUMBER($N759),$N759,""),
     unit_details[Sqft],$P759,
     unit_details[Property Name],$F759)
 ),"")</f>
        <v/>
      </c>
      <c r="Z759" s="27" t="str">
        <f t="shared" si="132"/>
        <v/>
      </c>
      <c r="AA759" s="526">
        <f>IFERROR(
  IF($F759="Total",
    SUM(INDEX(AA:AA, ROW()-COUNTIF($F$6:INDEX($F:$F, ROW()-1), $F758)) : INDEX(AA:AA, ROW()-1)),
    COUNTIFS(
      unit_details[Leased Date], "&gt;="&amp;($AM$2-X$5),
      unit_details[Leased Date], "&lt;"&amp;$AM$2,
      unit_details[Beds], $L759,
      unit_details[Baths], $M759,
      unit_details[Partial Baths], IF(ISNUMBER($N759), $N759, ""),
      unit_details[Sqft],$P759,
      unit_details[Property Name], $F759
    )
  ),
"")</f>
        <v>0</v>
      </c>
      <c r="AB759" s="290">
        <f>IF($F759="Total",
SUM(INDEX(AB:AB, ROW()-COUNTIF($F$6:INDEX($F:$F, ROW()-1), $F758)) : INDEX(AB:AB, ROW()-1)),
COUNTIFS(unit_details[Active Listing?],TRUE,
          unit_details[Property Name], $F759,
          unit_details[Beds], $L759,
          unit_details[Baths], $M759,
          unit_details[Partial Baths],IF(ISNUMBER($N759),$N759,""),
          unit_details[Sqft],$P759))</f>
        <v>0</v>
      </c>
      <c r="AC759" s="27" t="str">
        <f t="shared" si="124"/>
        <v/>
      </c>
      <c r="AD759" s="293" t="str">
        <f>IFERROR(IF(AE759="","",IF($F759="Total",
SUMPRODUCT(
   INDEX(AD:AD, ROW()-COUNTIF($F$6:INDEX($F:$F, ROW()-1), $F758)) : INDEX(AD:AD, ROW()-1),
   INDEX(AB:AB, ROW()-COUNTIF($F$6:INDEX($F:$F, ROW()-1), $F758)) : INDEX(AB:AB, ROW()-1)
   )
   /SUM(INDEX(AB:AB, ROW()-COUNTIF($F$6:INDEX($F:$F, ROW()-1), $F758)) : INDEX(AB:AB, ROW()-1)),
          _xlfn.MINIFS(unit_details[Asking Rent],
          unit_details[Active Listing?],TRUE,
          unit_details[Property Name], $F759,
          unit_details[Beds], $L759,
          unit_details[Baths], $M759,
          unit_details[Partial Baths], IF(ISNUMBER($N759),$N759,""),
          unit_details[Sqft],$P759
))),"")</f>
        <v/>
      </c>
      <c r="AE759" s="5" t="str">
        <f>IFERROR(IF($F759="Total",
          SUMPRODUCT(
   INDEX(AE:AE, ROW()-COUNTIF($F$6:INDEX($F:$F, ROW()-1), $F758)) : INDEX(AE:AE, ROW()-1),
   INDEX(AB:AB, ROW()-COUNTIF($F$6:INDEX($F:$F, ROW()-1), $F758)) : INDEX(AB:AB, ROW()-1)
   )
   /SUM(INDEX(AB:AB, ROW()-COUNTIF($F$6:INDEX($F:$F, ROW()-1), $F758)) : INDEX(AB:AB, ROW()-1)),
          AVERAGEIFS(unit_details[Asking Rent],
          unit_details[Active Listing?],TRUE,
          unit_details[Property Name], $F759,
          unit_details[Beds], $L759,
          unit_details[Baths], $M759,
          unit_details[Partial Baths], IF(ISNUMBER($N759),$N759,""),
          unit_details[Sqft],$P759
)),"")</f>
        <v/>
      </c>
      <c r="AF759" s="5" t="str">
        <f>IFERROR(IF(AE759="","",IF($F759="Total",
SUMPRODUCT(
   INDEX(AF:AF, ROW()-COUNTIF($F$6:INDEX($F:$F, ROW()-1), $F758)) : INDEX(AF:AF, ROW()-1),
   INDEX(AB:AB, ROW()-COUNTIF($F$6:INDEX($F:$F, ROW()-1), $F758)) : INDEX(AB:AB, ROW()-1)
   )
   /SUM(INDEX(AB:AB, ROW()-COUNTIF($F$6:INDEX($F:$F, ROW()-1), $F758)) : INDEX(AB:AB, ROW()-1)),
           _xlfn.MAXIFS(unit_details[Asking Rent],
          unit_details[Active Listing?],TRUE,
          unit_details[Property Name], $F759,
          unit_details[Beds], $L759,
          unit_details[Baths], $M759,
          unit_details[Partial Baths], IF(ISNUMBER($N759),$N759,""),
          unit_details[Sqft],$P759
))),"")</f>
        <v/>
      </c>
      <c r="AG759" s="6" t="str">
        <f>IFERROR(IF($F759="Total",
         SUMPRODUCT(
         INDEX(AG:AG, ROW()-COUNTIF($F$6:INDEX($F:$F, ROW()-1), $F758)) : INDEX(AG:AG, ROW()-1),
         INDEX(AB:AB, ROW()-COUNTIF($F$6:INDEX($F:$F, ROW()-1), $F758)) : INDEX(AB:AB, ROW()-1)
         )
         /SUM(INDEX(AB:AB, ROW()-COUNTIF($F$6:INDEX($F:$F, ROW()-1), $F758)) : INDEX(AB:AB, ROW()-1)),
          AVERAGEIFS(unit_details[Asking PSF],
          unit_details[Active Listing?],TRUE,
          unit_details[Property Name], $F759,
          unit_details[Beds], $L759,
          unit_details[Baths], $M759,
          unit_details[Partial Baths], IF(ISNUMBER($N759),$N759,""),
          unit_details[Sqft],$P759
)),"")</f>
        <v/>
      </c>
      <c r="AH759" s="293" t="str">
        <f>IFERROR(IF($F759="Total",
         SUMPRODUCT(
         INDEX(AH:AH, ROW()-COUNTIF($F$6:INDEX($F:$F, ROW()-1), $F758)) : INDEX(AH:AH, ROW()-1),
         INDEX(AB:AB, ROW()-COUNTIF($F$6:INDEX($F:$F, ROW()-1), $F758)) : INDEX(AB:AB, ROW()-1)
         )
         /SUM(INDEX(AB:AB, ROW()-COUNTIF($F$6:INDEX($F:$F, ROW()-1), $F758)) : INDEX(AB:AB, ROW()-1)),
          AVERAGEIFS(unit_details[Effective Rent],
          unit_details[Active Listing?],TRUE,
          unit_details[Property Name], $F759,
          unit_details[Beds], $L759,
          unit_details[Baths], $M759,
          unit_details[Partial Baths], IF(ISNUMBER($N759),$N759,""),
          unit_details[Sqft],$P759
)),"")</f>
        <v/>
      </c>
      <c r="AI759" s="6" t="str">
        <f>IFERROR(IF($F759="Total",
         SUMPRODUCT(
         INDEX(AI:AI, ROW()-COUNTIF($F$6:INDEX($F:$F, ROW()-1), $F758)) : INDEX(AI:AI, ROW()-1),
         INDEX(AB:AB, ROW()-COUNTIF($F$6:INDEX($F:$F, ROW()-1), $F758)) : INDEX(AB:AB, ROW()-1)
         )
         /SUM(INDEX(AB:AB, ROW()-COUNTIF($F$6:INDEX($F:$F, ROW()-1), $F758)) : INDEX(AB:AB, ROW()-1)),
           AVERAGEIFS(unit_details[Effective PSF],
          unit_details[Active Listing?],TRUE,
          unit_details[Property Name], $F759,
          unit_details[Beds], $L759,
          unit_details[Baths], $M759,
          unit_details[Partial Baths], IF(ISNUMBER($N759),$N759,""),
          unit_details[Sqft],$P759
)),"")</f>
        <v/>
      </c>
      <c r="AJ759" s="824" t="str">
        <f t="shared" si="125"/>
        <v/>
      </c>
      <c r="AK759" s="531" t="str">
        <f t="shared" si="126"/>
        <v/>
      </c>
      <c r="AL759" s="714" t="str">
        <f t="shared" si="127"/>
        <v/>
      </c>
      <c r="AM759" s="531" t="str">
        <f t="shared" si="128"/>
        <v/>
      </c>
      <c r="AN759" s="716" t="str">
        <f t="shared" si="129"/>
        <v/>
      </c>
    </row>
    <row r="760" spans="6:40" x14ac:dyDescent="0.2">
      <c r="F760" s="1" t="str">
        <f t="shared" si="122"/>
        <v/>
      </c>
      <c r="G760" s="713" t="str">
        <f t="shared" si="130"/>
        <v/>
      </c>
      <c r="H760" s="17" t="str">
        <f>IFERROR(VLOOKUP($G760,Table1[[Property]:[Exposure %]],4,0),"")</f>
        <v/>
      </c>
      <c r="I760" s="3" t="str">
        <f>IFERROR(VLOOKUP($G760,Table1[[Property]:[Exposure %]],6,0),"")</f>
        <v/>
      </c>
      <c r="J760" s="3" t="str">
        <f>IFERROR(VLOOKUP($G760,Table1[[Property]:[Exposure %]],7,0),"")</f>
        <v/>
      </c>
      <c r="R760" s="4" t="str">
        <f>IFERROR(VLOOKUP(IF(F760="Total",F759,F760),Table1[[Property]:['# Units]],7,0)*S760,"")</f>
        <v/>
      </c>
      <c r="S760" s="27" t="str">
        <f t="shared" si="123"/>
        <v/>
      </c>
      <c r="T760" s="531" t="str">
        <f>IFERROR(
 IF($F760="Total",
   SUMPRODUCT(
   INDEX(T:T, ROW()-COUNTIF($F$6:INDEX($F:$F, ROW()-1), $F759)) : INDEX(T:T, ROW()-1),
   INDEX(W:W, ROW()-COUNTIF($F$6:INDEX($F:$F, ROW()-1), $F759)) : INDEX(W:W, ROW()-1)
   )
   /SUM(INDEX(W:W, ROW()-COUNTIF($F$6:INDEX($F:$F, ROW()-1), $F759)) : INDEX(W:W, ROW()-1)),
   AVERAGEIFS(
     INDEX((unit_details[Asking Rent],unit_details[Asking PSF]),0,1,IF($U$3="Chunk Rent",1,2)),
     unit_details[Leased Date],"&gt;="&amp;($AM$2-T$5),
     unit_details[Leased Date],"&lt;"&amp;$AM$2,
     unit_details[Beds],$L760,
     unit_details[Baths],$M760,
     unit_details[Partial Baths],IF(ISNUMBER($N760),$N760,""),
     unit_details[Sqft],$P760,
     unit_details[Property Name],$F760)
 ),"")</f>
        <v/>
      </c>
      <c r="U760" s="552" t="str">
        <f>IFERROR(
 IF($F760="Total",
   SUMPRODUCT(
   INDEX(U:U, ROW()-COUNTIF($F$6:INDEX($F:$F, ROW()-1), $F759)) : INDEX(U:U, ROW()-1),
   INDEX(W:W, ROW()-COUNTIF($F$6:INDEX($F:$F, ROW()-1), $F759)) : INDEX(W:W, ROW()-1)
   )
   /SUM(INDEX(W:W, ROW()-COUNTIF($F$6:INDEX($F:$F, ROW()-1), $F759)) : INDEX(W:W, ROW()-1)),
   AVERAGEIFS(
     INDEX((unit_details[Effective Rent],unit_details[Effective PSF]),0,1,IF($U$3="Chunk Rent",1,2)),
     unit_details[Leased Date],"&gt;="&amp;($AM$2-T$5),
     unit_details[Leased Date],"&lt;"&amp;$AM$2,
     unit_details[Beds],$L760,
     unit_details[Baths],$M760,
     unit_details[Partial Baths],IF(ISNUMBER($N760),$N760,""),
     unit_details[Sqft],$P760,
     unit_details[Property Name],$F760)
 ),"")</f>
        <v/>
      </c>
      <c r="V760" s="27" t="str">
        <f t="shared" si="131"/>
        <v/>
      </c>
      <c r="W760" s="526">
        <f>IFERROR(
  IF($F760="Total",
    SUM(INDEX(W:W, ROW()-COUNTIF($F$6:INDEX($F:$F, ROW()-1), $F759)) : INDEX(W:W, ROW()-1)),
    COUNTIFS(
      unit_details[Leased Date], "&gt;="&amp;($AM$2-T$5),
      unit_details[Leased Date], "&lt;"&amp;$AM$2,
      unit_details[Beds], $L760,
      unit_details[Baths], $M760,
      unit_details[Partial Baths], IF(ISNUMBER($N760), $N760, ""),
      unit_details[Sqft],$P760,
      unit_details[Property Name], $F760
    )
  ),
"")</f>
        <v>0</v>
      </c>
      <c r="X760" s="531" t="str">
        <f>IFERROR(
 IF($F760="Total",
   SUMPRODUCT(
   INDEX(X:X, ROW()-COUNTIF($F$6:INDEX($F:$F, ROW()-1), $F759)) : INDEX(X:X, ROW()-1),
   INDEX(AA:AA, ROW()-COUNTIF($F$6:INDEX($F:$F, ROW()-1), $F759)) : INDEX(AA:AA, ROW()-1)
   )
   /SUM(INDEX(AA:AA, ROW()-COUNTIF($F$6:INDEX($F:$F, ROW()-1), $F759)) : INDEX(AA:AA, ROW()-1)),
   AVERAGEIFS(
     INDEX((unit_details[Asking Rent],unit_details[Asking PSF]),0,1,IF($U$3="Chunk Rent",1,2)),
     unit_details[Leased Date],"&gt;="&amp;($AM$2-X$5),
     unit_details[Leased Date],"&lt;"&amp;$AM$2,
     unit_details[Beds],$L760,
     unit_details[Baths],$M760,
     unit_details[Partial Baths],IF(ISNUMBER($N760),$N760,""),
     unit_details[Sqft],$P760,
     unit_details[Property Name],$F760)
 ),"")</f>
        <v/>
      </c>
      <c r="Y760" s="552" t="str">
        <f>IFERROR(
 IF($F760="Total",
   SUMPRODUCT(
   INDEX(Y:Y, ROW()-COUNTIF($F$6:INDEX($F:$F, ROW()-1), $F759)) : INDEX(Y:Y, ROW()-1),
   INDEX(AA:AA, ROW()-COUNTIF($F$6:INDEX($F:$F, ROW()-1), $F759)) : INDEX(AA:AA, ROW()-1)
   )
   /SUM(INDEX(AA:AA, ROW()-COUNTIF($F$6:INDEX($F:$F, ROW()-1), $F759)) : INDEX(AA:AA, ROW()-1)),
   AVERAGEIFS(
     INDEX((unit_details[Effective Rent],unit_details[Effective PSF]),0,1,IF($U$3="Chunk Rent",1,2)),
     unit_details[Leased Date],"&gt;="&amp;($AM$2-X$5),
     unit_details[Leased Date],"&lt;"&amp;$AM$2,
     unit_details[Beds],$L760,
     unit_details[Baths],$M760,
     unit_details[Partial Baths],IF(ISNUMBER($N760),$N760,""),
     unit_details[Sqft],$P760,
     unit_details[Property Name],$F760)
 ),"")</f>
        <v/>
      </c>
      <c r="Z760" s="27" t="str">
        <f t="shared" si="132"/>
        <v/>
      </c>
      <c r="AA760" s="526">
        <f>IFERROR(
  IF($F760="Total",
    SUM(INDEX(AA:AA, ROW()-COUNTIF($F$6:INDEX($F:$F, ROW()-1), $F759)) : INDEX(AA:AA, ROW()-1)),
    COUNTIFS(
      unit_details[Leased Date], "&gt;="&amp;($AM$2-X$5),
      unit_details[Leased Date], "&lt;"&amp;$AM$2,
      unit_details[Beds], $L760,
      unit_details[Baths], $M760,
      unit_details[Partial Baths], IF(ISNUMBER($N760), $N760, ""),
      unit_details[Sqft],$P760,
      unit_details[Property Name], $F760
    )
  ),
"")</f>
        <v>0</v>
      </c>
      <c r="AB760" s="290">
        <f>IF($F760="Total",
SUM(INDEX(AB:AB, ROW()-COUNTIF($F$6:INDEX($F:$F, ROW()-1), $F759)) : INDEX(AB:AB, ROW()-1)),
COUNTIFS(unit_details[Active Listing?],TRUE,
          unit_details[Property Name], $F760,
          unit_details[Beds], $L760,
          unit_details[Baths], $M760,
          unit_details[Partial Baths],IF(ISNUMBER($N760),$N760,""),
          unit_details[Sqft],$P760))</f>
        <v>0</v>
      </c>
      <c r="AC760" s="27" t="str">
        <f t="shared" si="124"/>
        <v/>
      </c>
      <c r="AD760" s="293" t="str">
        <f>IFERROR(IF(AE760="","",IF($F760="Total",
SUMPRODUCT(
   INDEX(AD:AD, ROW()-COUNTIF($F$6:INDEX($F:$F, ROW()-1), $F759)) : INDEX(AD:AD, ROW()-1),
   INDEX(AB:AB, ROW()-COUNTIF($F$6:INDEX($F:$F, ROW()-1), $F759)) : INDEX(AB:AB, ROW()-1)
   )
   /SUM(INDEX(AB:AB, ROW()-COUNTIF($F$6:INDEX($F:$F, ROW()-1), $F759)) : INDEX(AB:AB, ROW()-1)),
          _xlfn.MINIFS(unit_details[Asking Rent],
          unit_details[Active Listing?],TRUE,
          unit_details[Property Name], $F760,
          unit_details[Beds], $L760,
          unit_details[Baths], $M760,
          unit_details[Partial Baths], IF(ISNUMBER($N760),$N760,""),
          unit_details[Sqft],$P760
))),"")</f>
        <v/>
      </c>
      <c r="AE760" s="5" t="str">
        <f>IFERROR(IF($F760="Total",
          SUMPRODUCT(
   INDEX(AE:AE, ROW()-COUNTIF($F$6:INDEX($F:$F, ROW()-1), $F759)) : INDEX(AE:AE, ROW()-1),
   INDEX(AB:AB, ROW()-COUNTIF($F$6:INDEX($F:$F, ROW()-1), $F759)) : INDEX(AB:AB, ROW()-1)
   )
   /SUM(INDEX(AB:AB, ROW()-COUNTIF($F$6:INDEX($F:$F, ROW()-1), $F759)) : INDEX(AB:AB, ROW()-1)),
          AVERAGEIFS(unit_details[Asking Rent],
          unit_details[Active Listing?],TRUE,
          unit_details[Property Name], $F760,
          unit_details[Beds], $L760,
          unit_details[Baths], $M760,
          unit_details[Partial Baths], IF(ISNUMBER($N760),$N760,""),
          unit_details[Sqft],$P760
)),"")</f>
        <v/>
      </c>
      <c r="AF760" s="5" t="str">
        <f>IFERROR(IF(AE760="","",IF($F760="Total",
SUMPRODUCT(
   INDEX(AF:AF, ROW()-COUNTIF($F$6:INDEX($F:$F, ROW()-1), $F759)) : INDEX(AF:AF, ROW()-1),
   INDEX(AB:AB, ROW()-COUNTIF($F$6:INDEX($F:$F, ROW()-1), $F759)) : INDEX(AB:AB, ROW()-1)
   )
   /SUM(INDEX(AB:AB, ROW()-COUNTIF($F$6:INDEX($F:$F, ROW()-1), $F759)) : INDEX(AB:AB, ROW()-1)),
           _xlfn.MAXIFS(unit_details[Asking Rent],
          unit_details[Active Listing?],TRUE,
          unit_details[Property Name], $F760,
          unit_details[Beds], $L760,
          unit_details[Baths], $M760,
          unit_details[Partial Baths], IF(ISNUMBER($N760),$N760,""),
          unit_details[Sqft],$P760
))),"")</f>
        <v/>
      </c>
      <c r="AG760" s="6" t="str">
        <f>IFERROR(IF($F760="Total",
         SUMPRODUCT(
         INDEX(AG:AG, ROW()-COUNTIF($F$6:INDEX($F:$F, ROW()-1), $F759)) : INDEX(AG:AG, ROW()-1),
         INDEX(AB:AB, ROW()-COUNTIF($F$6:INDEX($F:$F, ROW()-1), $F759)) : INDEX(AB:AB, ROW()-1)
         )
         /SUM(INDEX(AB:AB, ROW()-COUNTIF($F$6:INDEX($F:$F, ROW()-1), $F759)) : INDEX(AB:AB, ROW()-1)),
          AVERAGEIFS(unit_details[Asking PSF],
          unit_details[Active Listing?],TRUE,
          unit_details[Property Name], $F760,
          unit_details[Beds], $L760,
          unit_details[Baths], $M760,
          unit_details[Partial Baths], IF(ISNUMBER($N760),$N760,""),
          unit_details[Sqft],$P760
)),"")</f>
        <v/>
      </c>
      <c r="AH760" s="293" t="str">
        <f>IFERROR(IF($F760="Total",
         SUMPRODUCT(
         INDEX(AH:AH, ROW()-COUNTIF($F$6:INDEX($F:$F, ROW()-1), $F759)) : INDEX(AH:AH, ROW()-1),
         INDEX(AB:AB, ROW()-COUNTIF($F$6:INDEX($F:$F, ROW()-1), $F759)) : INDEX(AB:AB, ROW()-1)
         )
         /SUM(INDEX(AB:AB, ROW()-COUNTIF($F$6:INDEX($F:$F, ROW()-1), $F759)) : INDEX(AB:AB, ROW()-1)),
          AVERAGEIFS(unit_details[Effective Rent],
          unit_details[Active Listing?],TRUE,
          unit_details[Property Name], $F760,
          unit_details[Beds], $L760,
          unit_details[Baths], $M760,
          unit_details[Partial Baths], IF(ISNUMBER($N760),$N760,""),
          unit_details[Sqft],$P760
)),"")</f>
        <v/>
      </c>
      <c r="AI760" s="6" t="str">
        <f>IFERROR(IF($F760="Total",
         SUMPRODUCT(
         INDEX(AI:AI, ROW()-COUNTIF($F$6:INDEX($F:$F, ROW()-1), $F759)) : INDEX(AI:AI, ROW()-1),
         INDEX(AB:AB, ROW()-COUNTIF($F$6:INDEX($F:$F, ROW()-1), $F759)) : INDEX(AB:AB, ROW()-1)
         )
         /SUM(INDEX(AB:AB, ROW()-COUNTIF($F$6:INDEX($F:$F, ROW()-1), $F759)) : INDEX(AB:AB, ROW()-1)),
           AVERAGEIFS(unit_details[Effective PSF],
          unit_details[Active Listing?],TRUE,
          unit_details[Property Name], $F760,
          unit_details[Beds], $L760,
          unit_details[Baths], $M760,
          unit_details[Partial Baths], IF(ISNUMBER($N760),$N760,""),
          unit_details[Sqft],$P760
)),"")</f>
        <v/>
      </c>
      <c r="AJ760" s="824" t="str">
        <f t="shared" si="125"/>
        <v/>
      </c>
      <c r="AK760" s="531" t="str">
        <f t="shared" si="126"/>
        <v/>
      </c>
      <c r="AL760" s="714" t="str">
        <f t="shared" si="127"/>
        <v/>
      </c>
      <c r="AM760" s="531" t="str">
        <f t="shared" si="128"/>
        <v/>
      </c>
      <c r="AN760" s="716" t="str">
        <f t="shared" si="129"/>
        <v/>
      </c>
    </row>
    <row r="761" spans="6:40" x14ac:dyDescent="0.2">
      <c r="F761" s="1" t="str">
        <f t="shared" si="122"/>
        <v/>
      </c>
      <c r="G761" s="713" t="str">
        <f t="shared" si="130"/>
        <v/>
      </c>
      <c r="H761" s="17" t="str">
        <f>IFERROR(VLOOKUP($G761,Table1[[Property]:[Exposure %]],4,0),"")</f>
        <v/>
      </c>
      <c r="I761" s="3" t="str">
        <f>IFERROR(VLOOKUP($G761,Table1[[Property]:[Exposure %]],6,0),"")</f>
        <v/>
      </c>
      <c r="J761" s="3" t="str">
        <f>IFERROR(VLOOKUP($G761,Table1[[Property]:[Exposure %]],7,0),"")</f>
        <v/>
      </c>
      <c r="R761" s="4" t="str">
        <f>IFERROR(VLOOKUP(IF(F761="Total",F760,F761),Table1[[Property]:['# Units]],7,0)*S761,"")</f>
        <v/>
      </c>
      <c r="S761" s="27" t="str">
        <f t="shared" si="123"/>
        <v/>
      </c>
      <c r="T761" s="531" t="str">
        <f>IFERROR(
 IF($F761="Total",
   SUMPRODUCT(
   INDEX(T:T, ROW()-COUNTIF($F$6:INDEX($F:$F, ROW()-1), $F760)) : INDEX(T:T, ROW()-1),
   INDEX(W:W, ROW()-COUNTIF($F$6:INDEX($F:$F, ROW()-1), $F760)) : INDEX(W:W, ROW()-1)
   )
   /SUM(INDEX(W:W, ROW()-COUNTIF($F$6:INDEX($F:$F, ROW()-1), $F760)) : INDEX(W:W, ROW()-1)),
   AVERAGEIFS(
     INDEX((unit_details[Asking Rent],unit_details[Asking PSF]),0,1,IF($U$3="Chunk Rent",1,2)),
     unit_details[Leased Date],"&gt;="&amp;($AM$2-T$5),
     unit_details[Leased Date],"&lt;"&amp;$AM$2,
     unit_details[Beds],$L761,
     unit_details[Baths],$M761,
     unit_details[Partial Baths],IF(ISNUMBER($N761),$N761,""),
     unit_details[Sqft],$P761,
     unit_details[Property Name],$F761)
 ),"")</f>
        <v/>
      </c>
      <c r="U761" s="552" t="str">
        <f>IFERROR(
 IF($F761="Total",
   SUMPRODUCT(
   INDEX(U:U, ROW()-COUNTIF($F$6:INDEX($F:$F, ROW()-1), $F760)) : INDEX(U:U, ROW()-1),
   INDEX(W:W, ROW()-COUNTIF($F$6:INDEX($F:$F, ROW()-1), $F760)) : INDEX(W:W, ROW()-1)
   )
   /SUM(INDEX(W:W, ROW()-COUNTIF($F$6:INDEX($F:$F, ROW()-1), $F760)) : INDEX(W:W, ROW()-1)),
   AVERAGEIFS(
     INDEX((unit_details[Effective Rent],unit_details[Effective PSF]),0,1,IF($U$3="Chunk Rent",1,2)),
     unit_details[Leased Date],"&gt;="&amp;($AM$2-T$5),
     unit_details[Leased Date],"&lt;"&amp;$AM$2,
     unit_details[Beds],$L761,
     unit_details[Baths],$M761,
     unit_details[Partial Baths],IF(ISNUMBER($N761),$N761,""),
     unit_details[Sqft],$P761,
     unit_details[Property Name],$F761)
 ),"")</f>
        <v/>
      </c>
      <c r="V761" s="27" t="str">
        <f t="shared" si="131"/>
        <v/>
      </c>
      <c r="W761" s="526">
        <f>IFERROR(
  IF($F761="Total",
    SUM(INDEX(W:W, ROW()-COUNTIF($F$6:INDEX($F:$F, ROW()-1), $F760)) : INDEX(W:W, ROW()-1)),
    COUNTIFS(
      unit_details[Leased Date], "&gt;="&amp;($AM$2-T$5),
      unit_details[Leased Date], "&lt;"&amp;$AM$2,
      unit_details[Beds], $L761,
      unit_details[Baths], $M761,
      unit_details[Partial Baths], IF(ISNUMBER($N761), $N761, ""),
      unit_details[Sqft],$P761,
      unit_details[Property Name], $F761
    )
  ),
"")</f>
        <v>0</v>
      </c>
      <c r="X761" s="531" t="str">
        <f>IFERROR(
 IF($F761="Total",
   SUMPRODUCT(
   INDEX(X:X, ROW()-COUNTIF($F$6:INDEX($F:$F, ROW()-1), $F760)) : INDEX(X:X, ROW()-1),
   INDEX(AA:AA, ROW()-COUNTIF($F$6:INDEX($F:$F, ROW()-1), $F760)) : INDEX(AA:AA, ROW()-1)
   )
   /SUM(INDEX(AA:AA, ROW()-COUNTIF($F$6:INDEX($F:$F, ROW()-1), $F760)) : INDEX(AA:AA, ROW()-1)),
   AVERAGEIFS(
     INDEX((unit_details[Asking Rent],unit_details[Asking PSF]),0,1,IF($U$3="Chunk Rent",1,2)),
     unit_details[Leased Date],"&gt;="&amp;($AM$2-X$5),
     unit_details[Leased Date],"&lt;"&amp;$AM$2,
     unit_details[Beds],$L761,
     unit_details[Baths],$M761,
     unit_details[Partial Baths],IF(ISNUMBER($N761),$N761,""),
     unit_details[Sqft],$P761,
     unit_details[Property Name],$F761)
 ),"")</f>
        <v/>
      </c>
      <c r="Y761" s="552" t="str">
        <f>IFERROR(
 IF($F761="Total",
   SUMPRODUCT(
   INDEX(Y:Y, ROW()-COUNTIF($F$6:INDEX($F:$F, ROW()-1), $F760)) : INDEX(Y:Y, ROW()-1),
   INDEX(AA:AA, ROW()-COUNTIF($F$6:INDEX($F:$F, ROW()-1), $F760)) : INDEX(AA:AA, ROW()-1)
   )
   /SUM(INDEX(AA:AA, ROW()-COUNTIF($F$6:INDEX($F:$F, ROW()-1), $F760)) : INDEX(AA:AA, ROW()-1)),
   AVERAGEIFS(
     INDEX((unit_details[Effective Rent],unit_details[Effective PSF]),0,1,IF($U$3="Chunk Rent",1,2)),
     unit_details[Leased Date],"&gt;="&amp;($AM$2-X$5),
     unit_details[Leased Date],"&lt;"&amp;$AM$2,
     unit_details[Beds],$L761,
     unit_details[Baths],$M761,
     unit_details[Partial Baths],IF(ISNUMBER($N761),$N761,""),
     unit_details[Sqft],$P761,
     unit_details[Property Name],$F761)
 ),"")</f>
        <v/>
      </c>
      <c r="Z761" s="27" t="str">
        <f t="shared" si="132"/>
        <v/>
      </c>
      <c r="AA761" s="526">
        <f>IFERROR(
  IF($F761="Total",
    SUM(INDEX(AA:AA, ROW()-COUNTIF($F$6:INDEX($F:$F, ROW()-1), $F760)) : INDEX(AA:AA, ROW()-1)),
    COUNTIFS(
      unit_details[Leased Date], "&gt;="&amp;($AM$2-X$5),
      unit_details[Leased Date], "&lt;"&amp;$AM$2,
      unit_details[Beds], $L761,
      unit_details[Baths], $M761,
      unit_details[Partial Baths], IF(ISNUMBER($N761), $N761, ""),
      unit_details[Sqft],$P761,
      unit_details[Property Name], $F761
    )
  ),
"")</f>
        <v>0</v>
      </c>
      <c r="AB761" s="290">
        <f>IF($F761="Total",
SUM(INDEX(AB:AB, ROW()-COUNTIF($F$6:INDEX($F:$F, ROW()-1), $F760)) : INDEX(AB:AB, ROW()-1)),
COUNTIFS(unit_details[Active Listing?],TRUE,
          unit_details[Property Name], $F761,
          unit_details[Beds], $L761,
          unit_details[Baths], $M761,
          unit_details[Partial Baths],IF(ISNUMBER($N761),$N761,""),
          unit_details[Sqft],$P761))</f>
        <v>0</v>
      </c>
      <c r="AC761" s="27" t="str">
        <f t="shared" si="124"/>
        <v/>
      </c>
      <c r="AD761" s="293" t="str">
        <f>IFERROR(IF(AE761="","",IF($F761="Total",
SUMPRODUCT(
   INDEX(AD:AD, ROW()-COUNTIF($F$6:INDEX($F:$F, ROW()-1), $F760)) : INDEX(AD:AD, ROW()-1),
   INDEX(AB:AB, ROW()-COUNTIF($F$6:INDEX($F:$F, ROW()-1), $F760)) : INDEX(AB:AB, ROW()-1)
   )
   /SUM(INDEX(AB:AB, ROW()-COUNTIF($F$6:INDEX($F:$F, ROW()-1), $F760)) : INDEX(AB:AB, ROW()-1)),
          _xlfn.MINIFS(unit_details[Asking Rent],
          unit_details[Active Listing?],TRUE,
          unit_details[Property Name], $F761,
          unit_details[Beds], $L761,
          unit_details[Baths], $M761,
          unit_details[Partial Baths], IF(ISNUMBER($N761),$N761,""),
          unit_details[Sqft],$P761
))),"")</f>
        <v/>
      </c>
      <c r="AE761" s="5" t="str">
        <f>IFERROR(IF($F761="Total",
          SUMPRODUCT(
   INDEX(AE:AE, ROW()-COUNTIF($F$6:INDEX($F:$F, ROW()-1), $F760)) : INDEX(AE:AE, ROW()-1),
   INDEX(AB:AB, ROW()-COUNTIF($F$6:INDEX($F:$F, ROW()-1), $F760)) : INDEX(AB:AB, ROW()-1)
   )
   /SUM(INDEX(AB:AB, ROW()-COUNTIF($F$6:INDEX($F:$F, ROW()-1), $F760)) : INDEX(AB:AB, ROW()-1)),
          AVERAGEIFS(unit_details[Asking Rent],
          unit_details[Active Listing?],TRUE,
          unit_details[Property Name], $F761,
          unit_details[Beds], $L761,
          unit_details[Baths], $M761,
          unit_details[Partial Baths], IF(ISNUMBER($N761),$N761,""),
          unit_details[Sqft],$P761
)),"")</f>
        <v/>
      </c>
      <c r="AF761" s="5" t="str">
        <f>IFERROR(IF(AE761="","",IF($F761="Total",
SUMPRODUCT(
   INDEX(AF:AF, ROW()-COUNTIF($F$6:INDEX($F:$F, ROW()-1), $F760)) : INDEX(AF:AF, ROW()-1),
   INDEX(AB:AB, ROW()-COUNTIF($F$6:INDEX($F:$F, ROW()-1), $F760)) : INDEX(AB:AB, ROW()-1)
   )
   /SUM(INDEX(AB:AB, ROW()-COUNTIF($F$6:INDEX($F:$F, ROW()-1), $F760)) : INDEX(AB:AB, ROW()-1)),
           _xlfn.MAXIFS(unit_details[Asking Rent],
          unit_details[Active Listing?],TRUE,
          unit_details[Property Name], $F761,
          unit_details[Beds], $L761,
          unit_details[Baths], $M761,
          unit_details[Partial Baths], IF(ISNUMBER($N761),$N761,""),
          unit_details[Sqft],$P761
))),"")</f>
        <v/>
      </c>
      <c r="AG761" s="6" t="str">
        <f>IFERROR(IF($F761="Total",
         SUMPRODUCT(
         INDEX(AG:AG, ROW()-COUNTIF($F$6:INDEX($F:$F, ROW()-1), $F760)) : INDEX(AG:AG, ROW()-1),
         INDEX(AB:AB, ROW()-COUNTIF($F$6:INDEX($F:$F, ROW()-1), $F760)) : INDEX(AB:AB, ROW()-1)
         )
         /SUM(INDEX(AB:AB, ROW()-COUNTIF($F$6:INDEX($F:$F, ROW()-1), $F760)) : INDEX(AB:AB, ROW()-1)),
          AVERAGEIFS(unit_details[Asking PSF],
          unit_details[Active Listing?],TRUE,
          unit_details[Property Name], $F761,
          unit_details[Beds], $L761,
          unit_details[Baths], $M761,
          unit_details[Partial Baths], IF(ISNUMBER($N761),$N761,""),
          unit_details[Sqft],$P761
)),"")</f>
        <v/>
      </c>
      <c r="AH761" s="293" t="str">
        <f>IFERROR(IF($F761="Total",
         SUMPRODUCT(
         INDEX(AH:AH, ROW()-COUNTIF($F$6:INDEX($F:$F, ROW()-1), $F760)) : INDEX(AH:AH, ROW()-1),
         INDEX(AB:AB, ROW()-COUNTIF($F$6:INDEX($F:$F, ROW()-1), $F760)) : INDEX(AB:AB, ROW()-1)
         )
         /SUM(INDEX(AB:AB, ROW()-COUNTIF($F$6:INDEX($F:$F, ROW()-1), $F760)) : INDEX(AB:AB, ROW()-1)),
          AVERAGEIFS(unit_details[Effective Rent],
          unit_details[Active Listing?],TRUE,
          unit_details[Property Name], $F761,
          unit_details[Beds], $L761,
          unit_details[Baths], $M761,
          unit_details[Partial Baths], IF(ISNUMBER($N761),$N761,""),
          unit_details[Sqft],$P761
)),"")</f>
        <v/>
      </c>
      <c r="AI761" s="6" t="str">
        <f>IFERROR(IF($F761="Total",
         SUMPRODUCT(
         INDEX(AI:AI, ROW()-COUNTIF($F$6:INDEX($F:$F, ROW()-1), $F760)) : INDEX(AI:AI, ROW()-1),
         INDEX(AB:AB, ROW()-COUNTIF($F$6:INDEX($F:$F, ROW()-1), $F760)) : INDEX(AB:AB, ROW()-1)
         )
         /SUM(INDEX(AB:AB, ROW()-COUNTIF($F$6:INDEX($F:$F, ROW()-1), $F760)) : INDEX(AB:AB, ROW()-1)),
           AVERAGEIFS(unit_details[Effective PSF],
          unit_details[Active Listing?],TRUE,
          unit_details[Property Name], $F761,
          unit_details[Beds], $L761,
          unit_details[Baths], $M761,
          unit_details[Partial Baths], IF(ISNUMBER($N761),$N761,""),
          unit_details[Sqft],$P761
)),"")</f>
        <v/>
      </c>
      <c r="AJ761" s="824" t="str">
        <f t="shared" si="125"/>
        <v/>
      </c>
      <c r="AK761" s="531" t="str">
        <f t="shared" si="126"/>
        <v/>
      </c>
      <c r="AL761" s="714" t="str">
        <f t="shared" si="127"/>
        <v/>
      </c>
      <c r="AM761" s="531" t="str">
        <f t="shared" si="128"/>
        <v/>
      </c>
      <c r="AN761" s="716" t="str">
        <f t="shared" si="129"/>
        <v/>
      </c>
    </row>
    <row r="762" spans="6:40" x14ac:dyDescent="0.2">
      <c r="F762" s="1" t="str">
        <f t="shared" si="122"/>
        <v/>
      </c>
      <c r="G762" s="713" t="str">
        <f t="shared" si="130"/>
        <v/>
      </c>
      <c r="H762" s="17" t="str">
        <f>IFERROR(VLOOKUP($G762,Table1[[Property]:[Exposure %]],4,0),"")</f>
        <v/>
      </c>
      <c r="I762" s="3" t="str">
        <f>IFERROR(VLOOKUP($G762,Table1[[Property]:[Exposure %]],6,0),"")</f>
        <v/>
      </c>
      <c r="J762" s="3" t="str">
        <f>IFERROR(VLOOKUP($G762,Table1[[Property]:[Exposure %]],7,0),"")</f>
        <v/>
      </c>
      <c r="R762" s="4" t="str">
        <f>IFERROR(VLOOKUP(IF(F762="Total",F761,F762),Table1[[Property]:['# Units]],7,0)*S762,"")</f>
        <v/>
      </c>
      <c r="S762" s="27" t="str">
        <f t="shared" si="123"/>
        <v/>
      </c>
      <c r="T762" s="531" t="str">
        <f>IFERROR(
 IF($F762="Total",
   SUMPRODUCT(
   INDEX(T:T, ROW()-COUNTIF($F$6:INDEX($F:$F, ROW()-1), $F761)) : INDEX(T:T, ROW()-1),
   INDEX(W:W, ROW()-COUNTIF($F$6:INDEX($F:$F, ROW()-1), $F761)) : INDEX(W:W, ROW()-1)
   )
   /SUM(INDEX(W:W, ROW()-COUNTIF($F$6:INDEX($F:$F, ROW()-1), $F761)) : INDEX(W:W, ROW()-1)),
   AVERAGEIFS(
     INDEX((unit_details[Asking Rent],unit_details[Asking PSF]),0,1,IF($U$3="Chunk Rent",1,2)),
     unit_details[Leased Date],"&gt;="&amp;($AM$2-T$5),
     unit_details[Leased Date],"&lt;"&amp;$AM$2,
     unit_details[Beds],$L762,
     unit_details[Baths],$M762,
     unit_details[Partial Baths],IF(ISNUMBER($N762),$N762,""),
     unit_details[Sqft],$P762,
     unit_details[Property Name],$F762)
 ),"")</f>
        <v/>
      </c>
      <c r="U762" s="552" t="str">
        <f>IFERROR(
 IF($F762="Total",
   SUMPRODUCT(
   INDEX(U:U, ROW()-COUNTIF($F$6:INDEX($F:$F, ROW()-1), $F761)) : INDEX(U:U, ROW()-1),
   INDEX(W:W, ROW()-COUNTIF($F$6:INDEX($F:$F, ROW()-1), $F761)) : INDEX(W:W, ROW()-1)
   )
   /SUM(INDEX(W:W, ROW()-COUNTIF($F$6:INDEX($F:$F, ROW()-1), $F761)) : INDEX(W:W, ROW()-1)),
   AVERAGEIFS(
     INDEX((unit_details[Effective Rent],unit_details[Effective PSF]),0,1,IF($U$3="Chunk Rent",1,2)),
     unit_details[Leased Date],"&gt;="&amp;($AM$2-T$5),
     unit_details[Leased Date],"&lt;"&amp;$AM$2,
     unit_details[Beds],$L762,
     unit_details[Baths],$M762,
     unit_details[Partial Baths],IF(ISNUMBER($N762),$N762,""),
     unit_details[Sqft],$P762,
     unit_details[Property Name],$F762)
 ),"")</f>
        <v/>
      </c>
      <c r="V762" s="27" t="str">
        <f t="shared" si="131"/>
        <v/>
      </c>
      <c r="W762" s="526">
        <f>IFERROR(
  IF($F762="Total",
    SUM(INDEX(W:W, ROW()-COUNTIF($F$6:INDEX($F:$F, ROW()-1), $F761)) : INDEX(W:W, ROW()-1)),
    COUNTIFS(
      unit_details[Leased Date], "&gt;="&amp;($AM$2-T$5),
      unit_details[Leased Date], "&lt;"&amp;$AM$2,
      unit_details[Beds], $L762,
      unit_details[Baths], $M762,
      unit_details[Partial Baths], IF(ISNUMBER($N762), $N762, ""),
      unit_details[Sqft],$P762,
      unit_details[Property Name], $F762
    )
  ),
"")</f>
        <v>0</v>
      </c>
      <c r="X762" s="531" t="str">
        <f>IFERROR(
 IF($F762="Total",
   SUMPRODUCT(
   INDEX(X:X, ROW()-COUNTIF($F$6:INDEX($F:$F, ROW()-1), $F761)) : INDEX(X:X, ROW()-1),
   INDEX(AA:AA, ROW()-COUNTIF($F$6:INDEX($F:$F, ROW()-1), $F761)) : INDEX(AA:AA, ROW()-1)
   )
   /SUM(INDEX(AA:AA, ROW()-COUNTIF($F$6:INDEX($F:$F, ROW()-1), $F761)) : INDEX(AA:AA, ROW()-1)),
   AVERAGEIFS(
     INDEX((unit_details[Asking Rent],unit_details[Asking PSF]),0,1,IF($U$3="Chunk Rent",1,2)),
     unit_details[Leased Date],"&gt;="&amp;($AM$2-X$5),
     unit_details[Leased Date],"&lt;"&amp;$AM$2,
     unit_details[Beds],$L762,
     unit_details[Baths],$M762,
     unit_details[Partial Baths],IF(ISNUMBER($N762),$N762,""),
     unit_details[Sqft],$P762,
     unit_details[Property Name],$F762)
 ),"")</f>
        <v/>
      </c>
      <c r="Y762" s="552" t="str">
        <f>IFERROR(
 IF($F762="Total",
   SUMPRODUCT(
   INDEX(Y:Y, ROW()-COUNTIF($F$6:INDEX($F:$F, ROW()-1), $F761)) : INDEX(Y:Y, ROW()-1),
   INDEX(AA:AA, ROW()-COUNTIF($F$6:INDEX($F:$F, ROW()-1), $F761)) : INDEX(AA:AA, ROW()-1)
   )
   /SUM(INDEX(AA:AA, ROW()-COUNTIF($F$6:INDEX($F:$F, ROW()-1), $F761)) : INDEX(AA:AA, ROW()-1)),
   AVERAGEIFS(
     INDEX((unit_details[Effective Rent],unit_details[Effective PSF]),0,1,IF($U$3="Chunk Rent",1,2)),
     unit_details[Leased Date],"&gt;="&amp;($AM$2-X$5),
     unit_details[Leased Date],"&lt;"&amp;$AM$2,
     unit_details[Beds],$L762,
     unit_details[Baths],$M762,
     unit_details[Partial Baths],IF(ISNUMBER($N762),$N762,""),
     unit_details[Sqft],$P762,
     unit_details[Property Name],$F762)
 ),"")</f>
        <v/>
      </c>
      <c r="Z762" s="27" t="str">
        <f t="shared" si="132"/>
        <v/>
      </c>
      <c r="AA762" s="526">
        <f>IFERROR(
  IF($F762="Total",
    SUM(INDEX(AA:AA, ROW()-COUNTIF($F$6:INDEX($F:$F, ROW()-1), $F761)) : INDEX(AA:AA, ROW()-1)),
    COUNTIFS(
      unit_details[Leased Date], "&gt;="&amp;($AM$2-X$5),
      unit_details[Leased Date], "&lt;"&amp;$AM$2,
      unit_details[Beds], $L762,
      unit_details[Baths], $M762,
      unit_details[Partial Baths], IF(ISNUMBER($N762), $N762, ""),
      unit_details[Sqft],$P762,
      unit_details[Property Name], $F762
    )
  ),
"")</f>
        <v>0</v>
      </c>
      <c r="AB762" s="290">
        <f>IF($F762="Total",
SUM(INDEX(AB:AB, ROW()-COUNTIF($F$6:INDEX($F:$F, ROW()-1), $F761)) : INDEX(AB:AB, ROW()-1)),
COUNTIFS(unit_details[Active Listing?],TRUE,
          unit_details[Property Name], $F762,
          unit_details[Beds], $L762,
          unit_details[Baths], $M762,
          unit_details[Partial Baths],IF(ISNUMBER($N762),$N762,""),
          unit_details[Sqft],$P762))</f>
        <v>0</v>
      </c>
      <c r="AC762" s="27" t="str">
        <f t="shared" si="124"/>
        <v/>
      </c>
      <c r="AD762" s="293" t="str">
        <f>IFERROR(IF(AE762="","",IF($F762="Total",
SUMPRODUCT(
   INDEX(AD:AD, ROW()-COUNTIF($F$6:INDEX($F:$F, ROW()-1), $F761)) : INDEX(AD:AD, ROW()-1),
   INDEX(AB:AB, ROW()-COUNTIF($F$6:INDEX($F:$F, ROW()-1), $F761)) : INDEX(AB:AB, ROW()-1)
   )
   /SUM(INDEX(AB:AB, ROW()-COUNTIF($F$6:INDEX($F:$F, ROW()-1), $F761)) : INDEX(AB:AB, ROW()-1)),
          _xlfn.MINIFS(unit_details[Asking Rent],
          unit_details[Active Listing?],TRUE,
          unit_details[Property Name], $F762,
          unit_details[Beds], $L762,
          unit_details[Baths], $M762,
          unit_details[Partial Baths], IF(ISNUMBER($N762),$N762,""),
          unit_details[Sqft],$P762
))),"")</f>
        <v/>
      </c>
      <c r="AE762" s="5" t="str">
        <f>IFERROR(IF($F762="Total",
          SUMPRODUCT(
   INDEX(AE:AE, ROW()-COUNTIF($F$6:INDEX($F:$F, ROW()-1), $F761)) : INDEX(AE:AE, ROW()-1),
   INDEX(AB:AB, ROW()-COUNTIF($F$6:INDEX($F:$F, ROW()-1), $F761)) : INDEX(AB:AB, ROW()-1)
   )
   /SUM(INDEX(AB:AB, ROW()-COUNTIF($F$6:INDEX($F:$F, ROW()-1), $F761)) : INDEX(AB:AB, ROW()-1)),
          AVERAGEIFS(unit_details[Asking Rent],
          unit_details[Active Listing?],TRUE,
          unit_details[Property Name], $F762,
          unit_details[Beds], $L762,
          unit_details[Baths], $M762,
          unit_details[Partial Baths], IF(ISNUMBER($N762),$N762,""),
          unit_details[Sqft],$P762
)),"")</f>
        <v/>
      </c>
      <c r="AF762" s="5" t="str">
        <f>IFERROR(IF(AE762="","",IF($F762="Total",
SUMPRODUCT(
   INDEX(AF:AF, ROW()-COUNTIF($F$6:INDEX($F:$F, ROW()-1), $F761)) : INDEX(AF:AF, ROW()-1),
   INDEX(AB:AB, ROW()-COUNTIF($F$6:INDEX($F:$F, ROW()-1), $F761)) : INDEX(AB:AB, ROW()-1)
   )
   /SUM(INDEX(AB:AB, ROW()-COUNTIF($F$6:INDEX($F:$F, ROW()-1), $F761)) : INDEX(AB:AB, ROW()-1)),
           _xlfn.MAXIFS(unit_details[Asking Rent],
          unit_details[Active Listing?],TRUE,
          unit_details[Property Name], $F762,
          unit_details[Beds], $L762,
          unit_details[Baths], $M762,
          unit_details[Partial Baths], IF(ISNUMBER($N762),$N762,""),
          unit_details[Sqft],$P762
))),"")</f>
        <v/>
      </c>
      <c r="AG762" s="6" t="str">
        <f>IFERROR(IF($F762="Total",
         SUMPRODUCT(
         INDEX(AG:AG, ROW()-COUNTIF($F$6:INDEX($F:$F, ROW()-1), $F761)) : INDEX(AG:AG, ROW()-1),
         INDEX(AB:AB, ROW()-COUNTIF($F$6:INDEX($F:$F, ROW()-1), $F761)) : INDEX(AB:AB, ROW()-1)
         )
         /SUM(INDEX(AB:AB, ROW()-COUNTIF($F$6:INDEX($F:$F, ROW()-1), $F761)) : INDEX(AB:AB, ROW()-1)),
          AVERAGEIFS(unit_details[Asking PSF],
          unit_details[Active Listing?],TRUE,
          unit_details[Property Name], $F762,
          unit_details[Beds], $L762,
          unit_details[Baths], $M762,
          unit_details[Partial Baths], IF(ISNUMBER($N762),$N762,""),
          unit_details[Sqft],$P762
)),"")</f>
        <v/>
      </c>
      <c r="AH762" s="293" t="str">
        <f>IFERROR(IF($F762="Total",
         SUMPRODUCT(
         INDEX(AH:AH, ROW()-COUNTIF($F$6:INDEX($F:$F, ROW()-1), $F761)) : INDEX(AH:AH, ROW()-1),
         INDEX(AB:AB, ROW()-COUNTIF($F$6:INDEX($F:$F, ROW()-1), $F761)) : INDEX(AB:AB, ROW()-1)
         )
         /SUM(INDEX(AB:AB, ROW()-COUNTIF($F$6:INDEX($F:$F, ROW()-1), $F761)) : INDEX(AB:AB, ROW()-1)),
          AVERAGEIFS(unit_details[Effective Rent],
          unit_details[Active Listing?],TRUE,
          unit_details[Property Name], $F762,
          unit_details[Beds], $L762,
          unit_details[Baths], $M762,
          unit_details[Partial Baths], IF(ISNUMBER($N762),$N762,""),
          unit_details[Sqft],$P762
)),"")</f>
        <v/>
      </c>
      <c r="AI762" s="6" t="str">
        <f>IFERROR(IF($F762="Total",
         SUMPRODUCT(
         INDEX(AI:AI, ROW()-COUNTIF($F$6:INDEX($F:$F, ROW()-1), $F761)) : INDEX(AI:AI, ROW()-1),
         INDEX(AB:AB, ROW()-COUNTIF($F$6:INDEX($F:$F, ROW()-1), $F761)) : INDEX(AB:AB, ROW()-1)
         )
         /SUM(INDEX(AB:AB, ROW()-COUNTIF($F$6:INDEX($F:$F, ROW()-1), $F761)) : INDEX(AB:AB, ROW()-1)),
           AVERAGEIFS(unit_details[Effective PSF],
          unit_details[Active Listing?],TRUE,
          unit_details[Property Name], $F762,
          unit_details[Beds], $L762,
          unit_details[Baths], $M762,
          unit_details[Partial Baths], IF(ISNUMBER($N762),$N762,""),
          unit_details[Sqft],$P762
)),"")</f>
        <v/>
      </c>
      <c r="AJ762" s="824" t="str">
        <f t="shared" si="125"/>
        <v/>
      </c>
      <c r="AK762" s="531" t="str">
        <f t="shared" si="126"/>
        <v/>
      </c>
      <c r="AL762" s="714" t="str">
        <f t="shared" si="127"/>
        <v/>
      </c>
      <c r="AM762" s="531" t="str">
        <f t="shared" si="128"/>
        <v/>
      </c>
      <c r="AN762" s="716" t="str">
        <f t="shared" si="129"/>
        <v/>
      </c>
    </row>
    <row r="763" spans="6:40" x14ac:dyDescent="0.2">
      <c r="F763" s="1" t="str">
        <f t="shared" si="122"/>
        <v/>
      </c>
      <c r="G763" s="713" t="str">
        <f t="shared" si="130"/>
        <v/>
      </c>
      <c r="H763" s="17" t="str">
        <f>IFERROR(VLOOKUP($G763,Table1[[Property]:[Exposure %]],4,0),"")</f>
        <v/>
      </c>
      <c r="I763" s="3" t="str">
        <f>IFERROR(VLOOKUP($G763,Table1[[Property]:[Exposure %]],6,0),"")</f>
        <v/>
      </c>
      <c r="J763" s="3" t="str">
        <f>IFERROR(VLOOKUP($G763,Table1[[Property]:[Exposure %]],7,0),"")</f>
        <v/>
      </c>
      <c r="R763" s="4" t="str">
        <f>IFERROR(VLOOKUP(IF(F763="Total",F762,F763),Table1[[Property]:['# Units]],7,0)*S763,"")</f>
        <v/>
      </c>
      <c r="S763" s="27" t="str">
        <f t="shared" si="123"/>
        <v/>
      </c>
      <c r="T763" s="531" t="str">
        <f>IFERROR(
 IF($F763="Total",
   SUMPRODUCT(
   INDEX(T:T, ROW()-COUNTIF($F$6:INDEX($F:$F, ROW()-1), $F762)) : INDEX(T:T, ROW()-1),
   INDEX(W:W, ROW()-COUNTIF($F$6:INDEX($F:$F, ROW()-1), $F762)) : INDEX(W:W, ROW()-1)
   )
   /SUM(INDEX(W:W, ROW()-COUNTIF($F$6:INDEX($F:$F, ROW()-1), $F762)) : INDEX(W:W, ROW()-1)),
   AVERAGEIFS(
     INDEX((unit_details[Asking Rent],unit_details[Asking PSF]),0,1,IF($U$3="Chunk Rent",1,2)),
     unit_details[Leased Date],"&gt;="&amp;($AM$2-T$5),
     unit_details[Leased Date],"&lt;"&amp;$AM$2,
     unit_details[Beds],$L763,
     unit_details[Baths],$M763,
     unit_details[Partial Baths],IF(ISNUMBER($N763),$N763,""),
     unit_details[Sqft],$P763,
     unit_details[Property Name],$F763)
 ),"")</f>
        <v/>
      </c>
      <c r="U763" s="552" t="str">
        <f>IFERROR(
 IF($F763="Total",
   SUMPRODUCT(
   INDEX(U:U, ROW()-COUNTIF($F$6:INDEX($F:$F, ROW()-1), $F762)) : INDEX(U:U, ROW()-1),
   INDEX(W:W, ROW()-COUNTIF($F$6:INDEX($F:$F, ROW()-1), $F762)) : INDEX(W:W, ROW()-1)
   )
   /SUM(INDEX(W:W, ROW()-COUNTIF($F$6:INDEX($F:$F, ROW()-1), $F762)) : INDEX(W:W, ROW()-1)),
   AVERAGEIFS(
     INDEX((unit_details[Effective Rent],unit_details[Effective PSF]),0,1,IF($U$3="Chunk Rent",1,2)),
     unit_details[Leased Date],"&gt;="&amp;($AM$2-T$5),
     unit_details[Leased Date],"&lt;"&amp;$AM$2,
     unit_details[Beds],$L763,
     unit_details[Baths],$M763,
     unit_details[Partial Baths],IF(ISNUMBER($N763),$N763,""),
     unit_details[Sqft],$P763,
     unit_details[Property Name],$F763)
 ),"")</f>
        <v/>
      </c>
      <c r="V763" s="27" t="str">
        <f t="shared" si="131"/>
        <v/>
      </c>
      <c r="W763" s="526">
        <f>IFERROR(
  IF($F763="Total",
    SUM(INDEX(W:W, ROW()-COUNTIF($F$6:INDEX($F:$F, ROW()-1), $F762)) : INDEX(W:W, ROW()-1)),
    COUNTIFS(
      unit_details[Leased Date], "&gt;="&amp;($AM$2-T$5),
      unit_details[Leased Date], "&lt;"&amp;$AM$2,
      unit_details[Beds], $L763,
      unit_details[Baths], $M763,
      unit_details[Partial Baths], IF(ISNUMBER($N763), $N763, ""),
      unit_details[Sqft],$P763,
      unit_details[Property Name], $F763
    )
  ),
"")</f>
        <v>0</v>
      </c>
      <c r="X763" s="531" t="str">
        <f>IFERROR(
 IF($F763="Total",
   SUMPRODUCT(
   INDEX(X:X, ROW()-COUNTIF($F$6:INDEX($F:$F, ROW()-1), $F762)) : INDEX(X:X, ROW()-1),
   INDEX(AA:AA, ROW()-COUNTIF($F$6:INDEX($F:$F, ROW()-1), $F762)) : INDEX(AA:AA, ROW()-1)
   )
   /SUM(INDEX(AA:AA, ROW()-COUNTIF($F$6:INDEX($F:$F, ROW()-1), $F762)) : INDEX(AA:AA, ROW()-1)),
   AVERAGEIFS(
     INDEX((unit_details[Asking Rent],unit_details[Asking PSF]),0,1,IF($U$3="Chunk Rent",1,2)),
     unit_details[Leased Date],"&gt;="&amp;($AM$2-X$5),
     unit_details[Leased Date],"&lt;"&amp;$AM$2,
     unit_details[Beds],$L763,
     unit_details[Baths],$M763,
     unit_details[Partial Baths],IF(ISNUMBER($N763),$N763,""),
     unit_details[Sqft],$P763,
     unit_details[Property Name],$F763)
 ),"")</f>
        <v/>
      </c>
      <c r="Y763" s="552" t="str">
        <f>IFERROR(
 IF($F763="Total",
   SUMPRODUCT(
   INDEX(Y:Y, ROW()-COUNTIF($F$6:INDEX($F:$F, ROW()-1), $F762)) : INDEX(Y:Y, ROW()-1),
   INDEX(AA:AA, ROW()-COUNTIF($F$6:INDEX($F:$F, ROW()-1), $F762)) : INDEX(AA:AA, ROW()-1)
   )
   /SUM(INDEX(AA:AA, ROW()-COUNTIF($F$6:INDEX($F:$F, ROW()-1), $F762)) : INDEX(AA:AA, ROW()-1)),
   AVERAGEIFS(
     INDEX((unit_details[Effective Rent],unit_details[Effective PSF]),0,1,IF($U$3="Chunk Rent",1,2)),
     unit_details[Leased Date],"&gt;="&amp;($AM$2-X$5),
     unit_details[Leased Date],"&lt;"&amp;$AM$2,
     unit_details[Beds],$L763,
     unit_details[Baths],$M763,
     unit_details[Partial Baths],IF(ISNUMBER($N763),$N763,""),
     unit_details[Sqft],$P763,
     unit_details[Property Name],$F763)
 ),"")</f>
        <v/>
      </c>
      <c r="Z763" s="27" t="str">
        <f t="shared" si="132"/>
        <v/>
      </c>
      <c r="AA763" s="526">
        <f>IFERROR(
  IF($F763="Total",
    SUM(INDEX(AA:AA, ROW()-COUNTIF($F$6:INDEX($F:$F, ROW()-1), $F762)) : INDEX(AA:AA, ROW()-1)),
    COUNTIFS(
      unit_details[Leased Date], "&gt;="&amp;($AM$2-X$5),
      unit_details[Leased Date], "&lt;"&amp;$AM$2,
      unit_details[Beds], $L763,
      unit_details[Baths], $M763,
      unit_details[Partial Baths], IF(ISNUMBER($N763), $N763, ""),
      unit_details[Sqft],$P763,
      unit_details[Property Name], $F763
    )
  ),
"")</f>
        <v>0</v>
      </c>
      <c r="AB763" s="290">
        <f>IF($F763="Total",
SUM(INDEX(AB:AB, ROW()-COUNTIF($F$6:INDEX($F:$F, ROW()-1), $F762)) : INDEX(AB:AB, ROW()-1)),
COUNTIFS(unit_details[Active Listing?],TRUE,
          unit_details[Property Name], $F763,
          unit_details[Beds], $L763,
          unit_details[Baths], $M763,
          unit_details[Partial Baths],IF(ISNUMBER($N763),$N763,""),
          unit_details[Sqft],$P763))</f>
        <v>0</v>
      </c>
      <c r="AC763" s="27" t="str">
        <f t="shared" si="124"/>
        <v/>
      </c>
      <c r="AD763" s="293" t="str">
        <f>IFERROR(IF(AE763="","",IF($F763="Total",
SUMPRODUCT(
   INDEX(AD:AD, ROW()-COUNTIF($F$6:INDEX($F:$F, ROW()-1), $F762)) : INDEX(AD:AD, ROW()-1),
   INDEX(AB:AB, ROW()-COUNTIF($F$6:INDEX($F:$F, ROW()-1), $F762)) : INDEX(AB:AB, ROW()-1)
   )
   /SUM(INDEX(AB:AB, ROW()-COUNTIF($F$6:INDEX($F:$F, ROW()-1), $F762)) : INDEX(AB:AB, ROW()-1)),
          _xlfn.MINIFS(unit_details[Asking Rent],
          unit_details[Active Listing?],TRUE,
          unit_details[Property Name], $F763,
          unit_details[Beds], $L763,
          unit_details[Baths], $M763,
          unit_details[Partial Baths], IF(ISNUMBER($N763),$N763,""),
          unit_details[Sqft],$P763
))),"")</f>
        <v/>
      </c>
      <c r="AE763" s="5" t="str">
        <f>IFERROR(IF($F763="Total",
          SUMPRODUCT(
   INDEX(AE:AE, ROW()-COUNTIF($F$6:INDEX($F:$F, ROW()-1), $F762)) : INDEX(AE:AE, ROW()-1),
   INDEX(AB:AB, ROW()-COUNTIF($F$6:INDEX($F:$F, ROW()-1), $F762)) : INDEX(AB:AB, ROW()-1)
   )
   /SUM(INDEX(AB:AB, ROW()-COUNTIF($F$6:INDEX($F:$F, ROW()-1), $F762)) : INDEX(AB:AB, ROW()-1)),
          AVERAGEIFS(unit_details[Asking Rent],
          unit_details[Active Listing?],TRUE,
          unit_details[Property Name], $F763,
          unit_details[Beds], $L763,
          unit_details[Baths], $M763,
          unit_details[Partial Baths], IF(ISNUMBER($N763),$N763,""),
          unit_details[Sqft],$P763
)),"")</f>
        <v/>
      </c>
      <c r="AF763" s="5" t="str">
        <f>IFERROR(IF(AE763="","",IF($F763="Total",
SUMPRODUCT(
   INDEX(AF:AF, ROW()-COUNTIF($F$6:INDEX($F:$F, ROW()-1), $F762)) : INDEX(AF:AF, ROW()-1),
   INDEX(AB:AB, ROW()-COUNTIF($F$6:INDEX($F:$F, ROW()-1), $F762)) : INDEX(AB:AB, ROW()-1)
   )
   /SUM(INDEX(AB:AB, ROW()-COUNTIF($F$6:INDEX($F:$F, ROW()-1), $F762)) : INDEX(AB:AB, ROW()-1)),
           _xlfn.MAXIFS(unit_details[Asking Rent],
          unit_details[Active Listing?],TRUE,
          unit_details[Property Name], $F763,
          unit_details[Beds], $L763,
          unit_details[Baths], $M763,
          unit_details[Partial Baths], IF(ISNUMBER($N763),$N763,""),
          unit_details[Sqft],$P763
))),"")</f>
        <v/>
      </c>
      <c r="AG763" s="6" t="str">
        <f>IFERROR(IF($F763="Total",
         SUMPRODUCT(
         INDEX(AG:AG, ROW()-COUNTIF($F$6:INDEX($F:$F, ROW()-1), $F762)) : INDEX(AG:AG, ROW()-1),
         INDEX(AB:AB, ROW()-COUNTIF($F$6:INDEX($F:$F, ROW()-1), $F762)) : INDEX(AB:AB, ROW()-1)
         )
         /SUM(INDEX(AB:AB, ROW()-COUNTIF($F$6:INDEX($F:$F, ROW()-1), $F762)) : INDEX(AB:AB, ROW()-1)),
          AVERAGEIFS(unit_details[Asking PSF],
          unit_details[Active Listing?],TRUE,
          unit_details[Property Name], $F763,
          unit_details[Beds], $L763,
          unit_details[Baths], $M763,
          unit_details[Partial Baths], IF(ISNUMBER($N763),$N763,""),
          unit_details[Sqft],$P763
)),"")</f>
        <v/>
      </c>
      <c r="AH763" s="293" t="str">
        <f>IFERROR(IF($F763="Total",
         SUMPRODUCT(
         INDEX(AH:AH, ROW()-COUNTIF($F$6:INDEX($F:$F, ROW()-1), $F762)) : INDEX(AH:AH, ROW()-1),
         INDEX(AB:AB, ROW()-COUNTIF($F$6:INDEX($F:$F, ROW()-1), $F762)) : INDEX(AB:AB, ROW()-1)
         )
         /SUM(INDEX(AB:AB, ROW()-COUNTIF($F$6:INDEX($F:$F, ROW()-1), $F762)) : INDEX(AB:AB, ROW()-1)),
          AVERAGEIFS(unit_details[Effective Rent],
          unit_details[Active Listing?],TRUE,
          unit_details[Property Name], $F763,
          unit_details[Beds], $L763,
          unit_details[Baths], $M763,
          unit_details[Partial Baths], IF(ISNUMBER($N763),$N763,""),
          unit_details[Sqft],$P763
)),"")</f>
        <v/>
      </c>
      <c r="AI763" s="6" t="str">
        <f>IFERROR(IF($F763="Total",
         SUMPRODUCT(
         INDEX(AI:AI, ROW()-COUNTIF($F$6:INDEX($F:$F, ROW()-1), $F762)) : INDEX(AI:AI, ROW()-1),
         INDEX(AB:AB, ROW()-COUNTIF($F$6:INDEX($F:$F, ROW()-1), $F762)) : INDEX(AB:AB, ROW()-1)
         )
         /SUM(INDEX(AB:AB, ROW()-COUNTIF($F$6:INDEX($F:$F, ROW()-1), $F762)) : INDEX(AB:AB, ROW()-1)),
           AVERAGEIFS(unit_details[Effective PSF],
          unit_details[Active Listing?],TRUE,
          unit_details[Property Name], $F763,
          unit_details[Beds], $L763,
          unit_details[Baths], $M763,
          unit_details[Partial Baths], IF(ISNUMBER($N763),$N763,""),
          unit_details[Sqft],$P763
)),"")</f>
        <v/>
      </c>
      <c r="AJ763" s="824" t="str">
        <f t="shared" si="125"/>
        <v/>
      </c>
      <c r="AK763" s="531" t="str">
        <f t="shared" si="126"/>
        <v/>
      </c>
      <c r="AL763" s="714" t="str">
        <f t="shared" si="127"/>
        <v/>
      </c>
      <c r="AM763" s="531" t="str">
        <f t="shared" si="128"/>
        <v/>
      </c>
      <c r="AN763" s="716" t="str">
        <f t="shared" si="129"/>
        <v/>
      </c>
    </row>
    <row r="764" spans="6:40" x14ac:dyDescent="0.2">
      <c r="F764" s="1" t="str">
        <f t="shared" si="122"/>
        <v/>
      </c>
      <c r="G764" s="713" t="str">
        <f t="shared" si="130"/>
        <v/>
      </c>
      <c r="H764" s="17" t="str">
        <f>IFERROR(VLOOKUP($G764,Table1[[Property]:[Exposure %]],4,0),"")</f>
        <v/>
      </c>
      <c r="I764" s="3" t="str">
        <f>IFERROR(VLOOKUP($G764,Table1[[Property]:[Exposure %]],6,0),"")</f>
        <v/>
      </c>
      <c r="J764" s="3" t="str">
        <f>IFERROR(VLOOKUP($G764,Table1[[Property]:[Exposure %]],7,0),"")</f>
        <v/>
      </c>
      <c r="R764" s="4" t="str">
        <f>IFERROR(VLOOKUP(IF(F764="Total",F763,F764),Table1[[Property]:['# Units]],7,0)*S764,"")</f>
        <v/>
      </c>
      <c r="S764" s="27" t="str">
        <f t="shared" si="123"/>
        <v/>
      </c>
      <c r="T764" s="531" t="str">
        <f>IFERROR(
 IF($F764="Total",
   SUMPRODUCT(
   INDEX(T:T, ROW()-COUNTIF($F$6:INDEX($F:$F, ROW()-1), $F763)) : INDEX(T:T, ROW()-1),
   INDEX(W:W, ROW()-COUNTIF($F$6:INDEX($F:$F, ROW()-1), $F763)) : INDEX(W:W, ROW()-1)
   )
   /SUM(INDEX(W:W, ROW()-COUNTIF($F$6:INDEX($F:$F, ROW()-1), $F763)) : INDEX(W:W, ROW()-1)),
   AVERAGEIFS(
     INDEX((unit_details[Asking Rent],unit_details[Asking PSF]),0,1,IF($U$3="Chunk Rent",1,2)),
     unit_details[Leased Date],"&gt;="&amp;($AM$2-T$5),
     unit_details[Leased Date],"&lt;"&amp;$AM$2,
     unit_details[Beds],$L764,
     unit_details[Baths],$M764,
     unit_details[Partial Baths],IF(ISNUMBER($N764),$N764,""),
     unit_details[Sqft],$P764,
     unit_details[Property Name],$F764)
 ),"")</f>
        <v/>
      </c>
      <c r="U764" s="552" t="str">
        <f>IFERROR(
 IF($F764="Total",
   SUMPRODUCT(
   INDEX(U:U, ROW()-COUNTIF($F$6:INDEX($F:$F, ROW()-1), $F763)) : INDEX(U:U, ROW()-1),
   INDEX(W:W, ROW()-COUNTIF($F$6:INDEX($F:$F, ROW()-1), $F763)) : INDEX(W:W, ROW()-1)
   )
   /SUM(INDEX(W:W, ROW()-COUNTIF($F$6:INDEX($F:$F, ROW()-1), $F763)) : INDEX(W:W, ROW()-1)),
   AVERAGEIFS(
     INDEX((unit_details[Effective Rent],unit_details[Effective PSF]),0,1,IF($U$3="Chunk Rent",1,2)),
     unit_details[Leased Date],"&gt;="&amp;($AM$2-T$5),
     unit_details[Leased Date],"&lt;"&amp;$AM$2,
     unit_details[Beds],$L764,
     unit_details[Baths],$M764,
     unit_details[Partial Baths],IF(ISNUMBER($N764),$N764,""),
     unit_details[Sqft],$P764,
     unit_details[Property Name],$F764)
 ),"")</f>
        <v/>
      </c>
      <c r="V764" s="27" t="str">
        <f t="shared" si="131"/>
        <v/>
      </c>
      <c r="W764" s="526">
        <f>IFERROR(
  IF($F764="Total",
    SUM(INDEX(W:W, ROW()-COUNTIF($F$6:INDEX($F:$F, ROW()-1), $F763)) : INDEX(W:W, ROW()-1)),
    COUNTIFS(
      unit_details[Leased Date], "&gt;="&amp;($AM$2-T$5),
      unit_details[Leased Date], "&lt;"&amp;$AM$2,
      unit_details[Beds], $L764,
      unit_details[Baths], $M764,
      unit_details[Partial Baths], IF(ISNUMBER($N764), $N764, ""),
      unit_details[Sqft],$P764,
      unit_details[Property Name], $F764
    )
  ),
"")</f>
        <v>0</v>
      </c>
      <c r="X764" s="531" t="str">
        <f>IFERROR(
 IF($F764="Total",
   SUMPRODUCT(
   INDEX(X:X, ROW()-COUNTIF($F$6:INDEX($F:$F, ROW()-1), $F763)) : INDEX(X:X, ROW()-1),
   INDEX(AA:AA, ROW()-COUNTIF($F$6:INDEX($F:$F, ROW()-1), $F763)) : INDEX(AA:AA, ROW()-1)
   )
   /SUM(INDEX(AA:AA, ROW()-COUNTIF($F$6:INDEX($F:$F, ROW()-1), $F763)) : INDEX(AA:AA, ROW()-1)),
   AVERAGEIFS(
     INDEX((unit_details[Asking Rent],unit_details[Asking PSF]),0,1,IF($U$3="Chunk Rent",1,2)),
     unit_details[Leased Date],"&gt;="&amp;($AM$2-X$5),
     unit_details[Leased Date],"&lt;"&amp;$AM$2,
     unit_details[Beds],$L764,
     unit_details[Baths],$M764,
     unit_details[Partial Baths],IF(ISNUMBER($N764),$N764,""),
     unit_details[Sqft],$P764,
     unit_details[Property Name],$F764)
 ),"")</f>
        <v/>
      </c>
      <c r="Y764" s="552" t="str">
        <f>IFERROR(
 IF($F764="Total",
   SUMPRODUCT(
   INDEX(Y:Y, ROW()-COUNTIF($F$6:INDEX($F:$F, ROW()-1), $F763)) : INDEX(Y:Y, ROW()-1),
   INDEX(AA:AA, ROW()-COUNTIF($F$6:INDEX($F:$F, ROW()-1), $F763)) : INDEX(AA:AA, ROW()-1)
   )
   /SUM(INDEX(AA:AA, ROW()-COUNTIF($F$6:INDEX($F:$F, ROW()-1), $F763)) : INDEX(AA:AA, ROW()-1)),
   AVERAGEIFS(
     INDEX((unit_details[Effective Rent],unit_details[Effective PSF]),0,1,IF($U$3="Chunk Rent",1,2)),
     unit_details[Leased Date],"&gt;="&amp;($AM$2-X$5),
     unit_details[Leased Date],"&lt;"&amp;$AM$2,
     unit_details[Beds],$L764,
     unit_details[Baths],$M764,
     unit_details[Partial Baths],IF(ISNUMBER($N764),$N764,""),
     unit_details[Sqft],$P764,
     unit_details[Property Name],$F764)
 ),"")</f>
        <v/>
      </c>
      <c r="Z764" s="27" t="str">
        <f t="shared" si="132"/>
        <v/>
      </c>
      <c r="AA764" s="526">
        <f>IFERROR(
  IF($F764="Total",
    SUM(INDEX(AA:AA, ROW()-COUNTIF($F$6:INDEX($F:$F, ROW()-1), $F763)) : INDEX(AA:AA, ROW()-1)),
    COUNTIFS(
      unit_details[Leased Date], "&gt;="&amp;($AM$2-X$5),
      unit_details[Leased Date], "&lt;"&amp;$AM$2,
      unit_details[Beds], $L764,
      unit_details[Baths], $M764,
      unit_details[Partial Baths], IF(ISNUMBER($N764), $N764, ""),
      unit_details[Sqft],$P764,
      unit_details[Property Name], $F764
    )
  ),
"")</f>
        <v>0</v>
      </c>
      <c r="AB764" s="290">
        <f>IF($F764="Total",
SUM(INDEX(AB:AB, ROW()-COUNTIF($F$6:INDEX($F:$F, ROW()-1), $F763)) : INDEX(AB:AB, ROW()-1)),
COUNTIFS(unit_details[Active Listing?],TRUE,
          unit_details[Property Name], $F764,
          unit_details[Beds], $L764,
          unit_details[Baths], $M764,
          unit_details[Partial Baths],IF(ISNUMBER($N764),$N764,""),
          unit_details[Sqft],$P764))</f>
        <v>0</v>
      </c>
      <c r="AC764" s="27" t="str">
        <f t="shared" si="124"/>
        <v/>
      </c>
      <c r="AD764" s="293" t="str">
        <f>IFERROR(IF(AE764="","",IF($F764="Total",
SUMPRODUCT(
   INDEX(AD:AD, ROW()-COUNTIF($F$6:INDEX($F:$F, ROW()-1), $F763)) : INDEX(AD:AD, ROW()-1),
   INDEX(AB:AB, ROW()-COUNTIF($F$6:INDEX($F:$F, ROW()-1), $F763)) : INDEX(AB:AB, ROW()-1)
   )
   /SUM(INDEX(AB:AB, ROW()-COUNTIF($F$6:INDEX($F:$F, ROW()-1), $F763)) : INDEX(AB:AB, ROW()-1)),
          _xlfn.MINIFS(unit_details[Asking Rent],
          unit_details[Active Listing?],TRUE,
          unit_details[Property Name], $F764,
          unit_details[Beds], $L764,
          unit_details[Baths], $M764,
          unit_details[Partial Baths], IF(ISNUMBER($N764),$N764,""),
          unit_details[Sqft],$P764
))),"")</f>
        <v/>
      </c>
      <c r="AE764" s="5" t="str">
        <f>IFERROR(IF($F764="Total",
          SUMPRODUCT(
   INDEX(AE:AE, ROW()-COUNTIF($F$6:INDEX($F:$F, ROW()-1), $F763)) : INDEX(AE:AE, ROW()-1),
   INDEX(AB:AB, ROW()-COUNTIF($F$6:INDEX($F:$F, ROW()-1), $F763)) : INDEX(AB:AB, ROW()-1)
   )
   /SUM(INDEX(AB:AB, ROW()-COUNTIF($F$6:INDEX($F:$F, ROW()-1), $F763)) : INDEX(AB:AB, ROW()-1)),
          AVERAGEIFS(unit_details[Asking Rent],
          unit_details[Active Listing?],TRUE,
          unit_details[Property Name], $F764,
          unit_details[Beds], $L764,
          unit_details[Baths], $M764,
          unit_details[Partial Baths], IF(ISNUMBER($N764),$N764,""),
          unit_details[Sqft],$P764
)),"")</f>
        <v/>
      </c>
      <c r="AF764" s="5" t="str">
        <f>IFERROR(IF(AE764="","",IF($F764="Total",
SUMPRODUCT(
   INDEX(AF:AF, ROW()-COUNTIF($F$6:INDEX($F:$F, ROW()-1), $F763)) : INDEX(AF:AF, ROW()-1),
   INDEX(AB:AB, ROW()-COUNTIF($F$6:INDEX($F:$F, ROW()-1), $F763)) : INDEX(AB:AB, ROW()-1)
   )
   /SUM(INDEX(AB:AB, ROW()-COUNTIF($F$6:INDEX($F:$F, ROW()-1), $F763)) : INDEX(AB:AB, ROW()-1)),
           _xlfn.MAXIFS(unit_details[Asking Rent],
          unit_details[Active Listing?],TRUE,
          unit_details[Property Name], $F764,
          unit_details[Beds], $L764,
          unit_details[Baths], $M764,
          unit_details[Partial Baths], IF(ISNUMBER($N764),$N764,""),
          unit_details[Sqft],$P764
))),"")</f>
        <v/>
      </c>
      <c r="AG764" s="6" t="str">
        <f>IFERROR(IF($F764="Total",
         SUMPRODUCT(
         INDEX(AG:AG, ROW()-COUNTIF($F$6:INDEX($F:$F, ROW()-1), $F763)) : INDEX(AG:AG, ROW()-1),
         INDEX(AB:AB, ROW()-COUNTIF($F$6:INDEX($F:$F, ROW()-1), $F763)) : INDEX(AB:AB, ROW()-1)
         )
         /SUM(INDEX(AB:AB, ROW()-COUNTIF($F$6:INDEX($F:$F, ROW()-1), $F763)) : INDEX(AB:AB, ROW()-1)),
          AVERAGEIFS(unit_details[Asking PSF],
          unit_details[Active Listing?],TRUE,
          unit_details[Property Name], $F764,
          unit_details[Beds], $L764,
          unit_details[Baths], $M764,
          unit_details[Partial Baths], IF(ISNUMBER($N764),$N764,""),
          unit_details[Sqft],$P764
)),"")</f>
        <v/>
      </c>
      <c r="AH764" s="293" t="str">
        <f>IFERROR(IF($F764="Total",
         SUMPRODUCT(
         INDEX(AH:AH, ROW()-COUNTIF($F$6:INDEX($F:$F, ROW()-1), $F763)) : INDEX(AH:AH, ROW()-1),
         INDEX(AB:AB, ROW()-COUNTIF($F$6:INDEX($F:$F, ROW()-1), $F763)) : INDEX(AB:AB, ROW()-1)
         )
         /SUM(INDEX(AB:AB, ROW()-COUNTIF($F$6:INDEX($F:$F, ROW()-1), $F763)) : INDEX(AB:AB, ROW()-1)),
          AVERAGEIFS(unit_details[Effective Rent],
          unit_details[Active Listing?],TRUE,
          unit_details[Property Name], $F764,
          unit_details[Beds], $L764,
          unit_details[Baths], $M764,
          unit_details[Partial Baths], IF(ISNUMBER($N764),$N764,""),
          unit_details[Sqft],$P764
)),"")</f>
        <v/>
      </c>
      <c r="AI764" s="6" t="str">
        <f>IFERROR(IF($F764="Total",
         SUMPRODUCT(
         INDEX(AI:AI, ROW()-COUNTIF($F$6:INDEX($F:$F, ROW()-1), $F763)) : INDEX(AI:AI, ROW()-1),
         INDEX(AB:AB, ROW()-COUNTIF($F$6:INDEX($F:$F, ROW()-1), $F763)) : INDEX(AB:AB, ROW()-1)
         )
         /SUM(INDEX(AB:AB, ROW()-COUNTIF($F$6:INDEX($F:$F, ROW()-1), $F763)) : INDEX(AB:AB, ROW()-1)),
           AVERAGEIFS(unit_details[Effective PSF],
          unit_details[Active Listing?],TRUE,
          unit_details[Property Name], $F764,
          unit_details[Beds], $L764,
          unit_details[Baths], $M764,
          unit_details[Partial Baths], IF(ISNUMBER($N764),$N764,""),
          unit_details[Sqft],$P764
)),"")</f>
        <v/>
      </c>
      <c r="AJ764" s="824" t="str">
        <f t="shared" si="125"/>
        <v/>
      </c>
      <c r="AK764" s="531" t="str">
        <f t="shared" si="126"/>
        <v/>
      </c>
      <c r="AL764" s="714" t="str">
        <f t="shared" si="127"/>
        <v/>
      </c>
      <c r="AM764" s="531" t="str">
        <f t="shared" si="128"/>
        <v/>
      </c>
      <c r="AN764" s="716" t="str">
        <f t="shared" si="129"/>
        <v/>
      </c>
    </row>
    <row r="765" spans="6:40" x14ac:dyDescent="0.2">
      <c r="F765" s="1" t="str">
        <f t="shared" si="122"/>
        <v/>
      </c>
      <c r="G765" s="713" t="str">
        <f t="shared" si="130"/>
        <v/>
      </c>
      <c r="H765" s="17" t="str">
        <f>IFERROR(VLOOKUP($G765,Table1[[Property]:[Exposure %]],4,0),"")</f>
        <v/>
      </c>
      <c r="I765" s="3" t="str">
        <f>IFERROR(VLOOKUP($G765,Table1[[Property]:[Exposure %]],6,0),"")</f>
        <v/>
      </c>
      <c r="J765" s="3" t="str">
        <f>IFERROR(VLOOKUP($G765,Table1[[Property]:[Exposure %]],7,0),"")</f>
        <v/>
      </c>
      <c r="R765" s="4" t="str">
        <f>IFERROR(VLOOKUP(IF(F765="Total",F764,F765),Table1[[Property]:['# Units]],7,0)*S765,"")</f>
        <v/>
      </c>
      <c r="S765" s="27" t="str">
        <f t="shared" si="123"/>
        <v/>
      </c>
      <c r="T765" s="531" t="str">
        <f>IFERROR(
 IF($F765="Total",
   SUMPRODUCT(
   INDEX(T:T, ROW()-COUNTIF($F$6:INDEX($F:$F, ROW()-1), $F764)) : INDEX(T:T, ROW()-1),
   INDEX(W:W, ROW()-COUNTIF($F$6:INDEX($F:$F, ROW()-1), $F764)) : INDEX(W:W, ROW()-1)
   )
   /SUM(INDEX(W:W, ROW()-COUNTIF($F$6:INDEX($F:$F, ROW()-1), $F764)) : INDEX(W:W, ROW()-1)),
   AVERAGEIFS(
     INDEX((unit_details[Asking Rent],unit_details[Asking PSF]),0,1,IF($U$3="Chunk Rent",1,2)),
     unit_details[Leased Date],"&gt;="&amp;($AM$2-T$5),
     unit_details[Leased Date],"&lt;"&amp;$AM$2,
     unit_details[Beds],$L765,
     unit_details[Baths],$M765,
     unit_details[Partial Baths],IF(ISNUMBER($N765),$N765,""),
     unit_details[Sqft],$P765,
     unit_details[Property Name],$F765)
 ),"")</f>
        <v/>
      </c>
      <c r="U765" s="552" t="str">
        <f>IFERROR(
 IF($F765="Total",
   SUMPRODUCT(
   INDEX(U:U, ROW()-COUNTIF($F$6:INDEX($F:$F, ROW()-1), $F764)) : INDEX(U:U, ROW()-1),
   INDEX(W:W, ROW()-COUNTIF($F$6:INDEX($F:$F, ROW()-1), $F764)) : INDEX(W:W, ROW()-1)
   )
   /SUM(INDEX(W:W, ROW()-COUNTIF($F$6:INDEX($F:$F, ROW()-1), $F764)) : INDEX(W:W, ROW()-1)),
   AVERAGEIFS(
     INDEX((unit_details[Effective Rent],unit_details[Effective PSF]),0,1,IF($U$3="Chunk Rent",1,2)),
     unit_details[Leased Date],"&gt;="&amp;($AM$2-T$5),
     unit_details[Leased Date],"&lt;"&amp;$AM$2,
     unit_details[Beds],$L765,
     unit_details[Baths],$M765,
     unit_details[Partial Baths],IF(ISNUMBER($N765),$N765,""),
     unit_details[Sqft],$P765,
     unit_details[Property Name],$F765)
 ),"")</f>
        <v/>
      </c>
      <c r="V765" s="27" t="str">
        <f t="shared" si="131"/>
        <v/>
      </c>
      <c r="W765" s="526">
        <f>IFERROR(
  IF($F765="Total",
    SUM(INDEX(W:W, ROW()-COUNTIF($F$6:INDEX($F:$F, ROW()-1), $F764)) : INDEX(W:W, ROW()-1)),
    COUNTIFS(
      unit_details[Leased Date], "&gt;="&amp;($AM$2-T$5),
      unit_details[Leased Date], "&lt;"&amp;$AM$2,
      unit_details[Beds], $L765,
      unit_details[Baths], $M765,
      unit_details[Partial Baths], IF(ISNUMBER($N765), $N765, ""),
      unit_details[Sqft],$P765,
      unit_details[Property Name], $F765
    )
  ),
"")</f>
        <v>0</v>
      </c>
      <c r="X765" s="531" t="str">
        <f>IFERROR(
 IF($F765="Total",
   SUMPRODUCT(
   INDEX(X:X, ROW()-COUNTIF($F$6:INDEX($F:$F, ROW()-1), $F764)) : INDEX(X:X, ROW()-1),
   INDEX(AA:AA, ROW()-COUNTIF($F$6:INDEX($F:$F, ROW()-1), $F764)) : INDEX(AA:AA, ROW()-1)
   )
   /SUM(INDEX(AA:AA, ROW()-COUNTIF($F$6:INDEX($F:$F, ROW()-1), $F764)) : INDEX(AA:AA, ROW()-1)),
   AVERAGEIFS(
     INDEX((unit_details[Asking Rent],unit_details[Asking PSF]),0,1,IF($U$3="Chunk Rent",1,2)),
     unit_details[Leased Date],"&gt;="&amp;($AM$2-X$5),
     unit_details[Leased Date],"&lt;"&amp;$AM$2,
     unit_details[Beds],$L765,
     unit_details[Baths],$M765,
     unit_details[Partial Baths],IF(ISNUMBER($N765),$N765,""),
     unit_details[Sqft],$P765,
     unit_details[Property Name],$F765)
 ),"")</f>
        <v/>
      </c>
      <c r="Y765" s="552" t="str">
        <f>IFERROR(
 IF($F765="Total",
   SUMPRODUCT(
   INDEX(Y:Y, ROW()-COUNTIF($F$6:INDEX($F:$F, ROW()-1), $F764)) : INDEX(Y:Y, ROW()-1),
   INDEX(AA:AA, ROW()-COUNTIF($F$6:INDEX($F:$F, ROW()-1), $F764)) : INDEX(AA:AA, ROW()-1)
   )
   /SUM(INDEX(AA:AA, ROW()-COUNTIF($F$6:INDEX($F:$F, ROW()-1), $F764)) : INDEX(AA:AA, ROW()-1)),
   AVERAGEIFS(
     INDEX((unit_details[Effective Rent],unit_details[Effective PSF]),0,1,IF($U$3="Chunk Rent",1,2)),
     unit_details[Leased Date],"&gt;="&amp;($AM$2-X$5),
     unit_details[Leased Date],"&lt;"&amp;$AM$2,
     unit_details[Beds],$L765,
     unit_details[Baths],$M765,
     unit_details[Partial Baths],IF(ISNUMBER($N765),$N765,""),
     unit_details[Sqft],$P765,
     unit_details[Property Name],$F765)
 ),"")</f>
        <v/>
      </c>
      <c r="Z765" s="27" t="str">
        <f t="shared" si="132"/>
        <v/>
      </c>
      <c r="AA765" s="526">
        <f>IFERROR(
  IF($F765="Total",
    SUM(INDEX(AA:AA, ROW()-COUNTIF($F$6:INDEX($F:$F, ROW()-1), $F764)) : INDEX(AA:AA, ROW()-1)),
    COUNTIFS(
      unit_details[Leased Date], "&gt;="&amp;($AM$2-X$5),
      unit_details[Leased Date], "&lt;"&amp;$AM$2,
      unit_details[Beds], $L765,
      unit_details[Baths], $M765,
      unit_details[Partial Baths], IF(ISNUMBER($N765), $N765, ""),
      unit_details[Sqft],$P765,
      unit_details[Property Name], $F765
    )
  ),
"")</f>
        <v>0</v>
      </c>
      <c r="AB765" s="290">
        <f>IF($F765="Total",
SUM(INDEX(AB:AB, ROW()-COUNTIF($F$6:INDEX($F:$F, ROW()-1), $F764)) : INDEX(AB:AB, ROW()-1)),
COUNTIFS(unit_details[Active Listing?],TRUE,
          unit_details[Property Name], $F765,
          unit_details[Beds], $L765,
          unit_details[Baths], $M765,
          unit_details[Partial Baths],IF(ISNUMBER($N765),$N765,""),
          unit_details[Sqft],$P765))</f>
        <v>0</v>
      </c>
      <c r="AC765" s="27" t="str">
        <f t="shared" si="124"/>
        <v/>
      </c>
      <c r="AD765" s="293" t="str">
        <f>IFERROR(IF(AE765="","",IF($F765="Total",
SUMPRODUCT(
   INDEX(AD:AD, ROW()-COUNTIF($F$6:INDEX($F:$F, ROW()-1), $F764)) : INDEX(AD:AD, ROW()-1),
   INDEX(AB:AB, ROW()-COUNTIF($F$6:INDEX($F:$F, ROW()-1), $F764)) : INDEX(AB:AB, ROW()-1)
   )
   /SUM(INDEX(AB:AB, ROW()-COUNTIF($F$6:INDEX($F:$F, ROW()-1), $F764)) : INDEX(AB:AB, ROW()-1)),
          _xlfn.MINIFS(unit_details[Asking Rent],
          unit_details[Active Listing?],TRUE,
          unit_details[Property Name], $F765,
          unit_details[Beds], $L765,
          unit_details[Baths], $M765,
          unit_details[Partial Baths], IF(ISNUMBER($N765),$N765,""),
          unit_details[Sqft],$P765
))),"")</f>
        <v/>
      </c>
      <c r="AE765" s="5" t="str">
        <f>IFERROR(IF($F765="Total",
          SUMPRODUCT(
   INDEX(AE:AE, ROW()-COUNTIF($F$6:INDEX($F:$F, ROW()-1), $F764)) : INDEX(AE:AE, ROW()-1),
   INDEX(AB:AB, ROW()-COUNTIF($F$6:INDEX($F:$F, ROW()-1), $F764)) : INDEX(AB:AB, ROW()-1)
   )
   /SUM(INDEX(AB:AB, ROW()-COUNTIF($F$6:INDEX($F:$F, ROW()-1), $F764)) : INDEX(AB:AB, ROW()-1)),
          AVERAGEIFS(unit_details[Asking Rent],
          unit_details[Active Listing?],TRUE,
          unit_details[Property Name], $F765,
          unit_details[Beds], $L765,
          unit_details[Baths], $M765,
          unit_details[Partial Baths], IF(ISNUMBER($N765),$N765,""),
          unit_details[Sqft],$P765
)),"")</f>
        <v/>
      </c>
      <c r="AF765" s="5" t="str">
        <f>IFERROR(IF(AE765="","",IF($F765="Total",
SUMPRODUCT(
   INDEX(AF:AF, ROW()-COUNTIF($F$6:INDEX($F:$F, ROW()-1), $F764)) : INDEX(AF:AF, ROW()-1),
   INDEX(AB:AB, ROW()-COUNTIF($F$6:INDEX($F:$F, ROW()-1), $F764)) : INDEX(AB:AB, ROW()-1)
   )
   /SUM(INDEX(AB:AB, ROW()-COUNTIF($F$6:INDEX($F:$F, ROW()-1), $F764)) : INDEX(AB:AB, ROW()-1)),
           _xlfn.MAXIFS(unit_details[Asking Rent],
          unit_details[Active Listing?],TRUE,
          unit_details[Property Name], $F765,
          unit_details[Beds], $L765,
          unit_details[Baths], $M765,
          unit_details[Partial Baths], IF(ISNUMBER($N765),$N765,""),
          unit_details[Sqft],$P765
))),"")</f>
        <v/>
      </c>
      <c r="AG765" s="6" t="str">
        <f>IFERROR(IF($F765="Total",
         SUMPRODUCT(
         INDEX(AG:AG, ROW()-COUNTIF($F$6:INDEX($F:$F, ROW()-1), $F764)) : INDEX(AG:AG, ROW()-1),
         INDEX(AB:AB, ROW()-COUNTIF($F$6:INDEX($F:$F, ROW()-1), $F764)) : INDEX(AB:AB, ROW()-1)
         )
         /SUM(INDEX(AB:AB, ROW()-COUNTIF($F$6:INDEX($F:$F, ROW()-1), $F764)) : INDEX(AB:AB, ROW()-1)),
          AVERAGEIFS(unit_details[Asking PSF],
          unit_details[Active Listing?],TRUE,
          unit_details[Property Name], $F765,
          unit_details[Beds], $L765,
          unit_details[Baths], $M765,
          unit_details[Partial Baths], IF(ISNUMBER($N765),$N765,""),
          unit_details[Sqft],$P765
)),"")</f>
        <v/>
      </c>
      <c r="AH765" s="293" t="str">
        <f>IFERROR(IF($F765="Total",
         SUMPRODUCT(
         INDEX(AH:AH, ROW()-COUNTIF($F$6:INDEX($F:$F, ROW()-1), $F764)) : INDEX(AH:AH, ROW()-1),
         INDEX(AB:AB, ROW()-COUNTIF($F$6:INDEX($F:$F, ROW()-1), $F764)) : INDEX(AB:AB, ROW()-1)
         )
         /SUM(INDEX(AB:AB, ROW()-COUNTIF($F$6:INDEX($F:$F, ROW()-1), $F764)) : INDEX(AB:AB, ROW()-1)),
          AVERAGEIFS(unit_details[Effective Rent],
          unit_details[Active Listing?],TRUE,
          unit_details[Property Name], $F765,
          unit_details[Beds], $L765,
          unit_details[Baths], $M765,
          unit_details[Partial Baths], IF(ISNUMBER($N765),$N765,""),
          unit_details[Sqft],$P765
)),"")</f>
        <v/>
      </c>
      <c r="AI765" s="6" t="str">
        <f>IFERROR(IF($F765="Total",
         SUMPRODUCT(
         INDEX(AI:AI, ROW()-COUNTIF($F$6:INDEX($F:$F, ROW()-1), $F764)) : INDEX(AI:AI, ROW()-1),
         INDEX(AB:AB, ROW()-COUNTIF($F$6:INDEX($F:$F, ROW()-1), $F764)) : INDEX(AB:AB, ROW()-1)
         )
         /SUM(INDEX(AB:AB, ROW()-COUNTIF($F$6:INDEX($F:$F, ROW()-1), $F764)) : INDEX(AB:AB, ROW()-1)),
           AVERAGEIFS(unit_details[Effective PSF],
          unit_details[Active Listing?],TRUE,
          unit_details[Property Name], $F765,
          unit_details[Beds], $L765,
          unit_details[Baths], $M765,
          unit_details[Partial Baths], IF(ISNUMBER($N765),$N765,""),
          unit_details[Sqft],$P765
)),"")</f>
        <v/>
      </c>
      <c r="AJ765" s="824" t="str">
        <f t="shared" si="125"/>
        <v/>
      </c>
      <c r="AK765" s="531" t="str">
        <f t="shared" si="126"/>
        <v/>
      </c>
      <c r="AL765" s="714" t="str">
        <f t="shared" si="127"/>
        <v/>
      </c>
      <c r="AM765" s="531" t="str">
        <f t="shared" si="128"/>
        <v/>
      </c>
      <c r="AN765" s="716" t="str">
        <f t="shared" si="129"/>
        <v/>
      </c>
    </row>
    <row r="766" spans="6:40" x14ac:dyDescent="0.2">
      <c r="F766" s="1" t="str">
        <f t="shared" si="122"/>
        <v/>
      </c>
      <c r="G766" s="713" t="str">
        <f t="shared" si="130"/>
        <v/>
      </c>
      <c r="H766" s="17" t="str">
        <f>IFERROR(VLOOKUP($G766,Table1[[Property]:[Exposure %]],4,0),"")</f>
        <v/>
      </c>
      <c r="I766" s="3" t="str">
        <f>IFERROR(VLOOKUP($G766,Table1[[Property]:[Exposure %]],6,0),"")</f>
        <v/>
      </c>
      <c r="J766" s="3" t="str">
        <f>IFERROR(VLOOKUP($G766,Table1[[Property]:[Exposure %]],7,0),"")</f>
        <v/>
      </c>
      <c r="R766" s="4" t="str">
        <f>IFERROR(VLOOKUP(IF(F766="Total",F765,F766),Table1[[Property]:['# Units]],7,0)*S766,"")</f>
        <v/>
      </c>
      <c r="S766" s="27" t="str">
        <f t="shared" si="123"/>
        <v/>
      </c>
      <c r="T766" s="531" t="str">
        <f>IFERROR(
 IF($F766="Total",
   SUMPRODUCT(
   INDEX(T:T, ROW()-COUNTIF($F$6:INDEX($F:$F, ROW()-1), $F765)) : INDEX(T:T, ROW()-1),
   INDEX(W:W, ROW()-COUNTIF($F$6:INDEX($F:$F, ROW()-1), $F765)) : INDEX(W:W, ROW()-1)
   )
   /SUM(INDEX(W:W, ROW()-COUNTIF($F$6:INDEX($F:$F, ROW()-1), $F765)) : INDEX(W:W, ROW()-1)),
   AVERAGEIFS(
     INDEX((unit_details[Asking Rent],unit_details[Asking PSF]),0,1,IF($U$3="Chunk Rent",1,2)),
     unit_details[Leased Date],"&gt;="&amp;($AM$2-T$5),
     unit_details[Leased Date],"&lt;"&amp;$AM$2,
     unit_details[Beds],$L766,
     unit_details[Baths],$M766,
     unit_details[Partial Baths],IF(ISNUMBER($N766),$N766,""),
     unit_details[Sqft],$P766,
     unit_details[Property Name],$F766)
 ),"")</f>
        <v/>
      </c>
      <c r="U766" s="552" t="str">
        <f>IFERROR(
 IF($F766="Total",
   SUMPRODUCT(
   INDEX(U:U, ROW()-COUNTIF($F$6:INDEX($F:$F, ROW()-1), $F765)) : INDEX(U:U, ROW()-1),
   INDEX(W:W, ROW()-COUNTIF($F$6:INDEX($F:$F, ROW()-1), $F765)) : INDEX(W:W, ROW()-1)
   )
   /SUM(INDEX(W:W, ROW()-COUNTIF($F$6:INDEX($F:$F, ROW()-1), $F765)) : INDEX(W:W, ROW()-1)),
   AVERAGEIFS(
     INDEX((unit_details[Effective Rent],unit_details[Effective PSF]),0,1,IF($U$3="Chunk Rent",1,2)),
     unit_details[Leased Date],"&gt;="&amp;($AM$2-T$5),
     unit_details[Leased Date],"&lt;"&amp;$AM$2,
     unit_details[Beds],$L766,
     unit_details[Baths],$M766,
     unit_details[Partial Baths],IF(ISNUMBER($N766),$N766,""),
     unit_details[Sqft],$P766,
     unit_details[Property Name],$F766)
 ),"")</f>
        <v/>
      </c>
      <c r="V766" s="27" t="str">
        <f t="shared" si="131"/>
        <v/>
      </c>
      <c r="W766" s="526">
        <f>IFERROR(
  IF($F766="Total",
    SUM(INDEX(W:W, ROW()-COUNTIF($F$6:INDEX($F:$F, ROW()-1), $F765)) : INDEX(W:W, ROW()-1)),
    COUNTIFS(
      unit_details[Leased Date], "&gt;="&amp;($AM$2-T$5),
      unit_details[Leased Date], "&lt;"&amp;$AM$2,
      unit_details[Beds], $L766,
      unit_details[Baths], $M766,
      unit_details[Partial Baths], IF(ISNUMBER($N766), $N766, ""),
      unit_details[Sqft],$P766,
      unit_details[Property Name], $F766
    )
  ),
"")</f>
        <v>0</v>
      </c>
      <c r="X766" s="531" t="str">
        <f>IFERROR(
 IF($F766="Total",
   SUMPRODUCT(
   INDEX(X:X, ROW()-COUNTIF($F$6:INDEX($F:$F, ROW()-1), $F765)) : INDEX(X:X, ROW()-1),
   INDEX(AA:AA, ROW()-COUNTIF($F$6:INDEX($F:$F, ROW()-1), $F765)) : INDEX(AA:AA, ROW()-1)
   )
   /SUM(INDEX(AA:AA, ROW()-COUNTIF($F$6:INDEX($F:$F, ROW()-1), $F765)) : INDEX(AA:AA, ROW()-1)),
   AVERAGEIFS(
     INDEX((unit_details[Asking Rent],unit_details[Asking PSF]),0,1,IF($U$3="Chunk Rent",1,2)),
     unit_details[Leased Date],"&gt;="&amp;($AM$2-X$5),
     unit_details[Leased Date],"&lt;"&amp;$AM$2,
     unit_details[Beds],$L766,
     unit_details[Baths],$M766,
     unit_details[Partial Baths],IF(ISNUMBER($N766),$N766,""),
     unit_details[Sqft],$P766,
     unit_details[Property Name],$F766)
 ),"")</f>
        <v/>
      </c>
      <c r="Y766" s="552" t="str">
        <f>IFERROR(
 IF($F766="Total",
   SUMPRODUCT(
   INDEX(Y:Y, ROW()-COUNTIF($F$6:INDEX($F:$F, ROW()-1), $F765)) : INDEX(Y:Y, ROW()-1),
   INDEX(AA:AA, ROW()-COUNTIF($F$6:INDEX($F:$F, ROW()-1), $F765)) : INDEX(AA:AA, ROW()-1)
   )
   /SUM(INDEX(AA:AA, ROW()-COUNTIF($F$6:INDEX($F:$F, ROW()-1), $F765)) : INDEX(AA:AA, ROW()-1)),
   AVERAGEIFS(
     INDEX((unit_details[Effective Rent],unit_details[Effective PSF]),0,1,IF($U$3="Chunk Rent",1,2)),
     unit_details[Leased Date],"&gt;="&amp;($AM$2-X$5),
     unit_details[Leased Date],"&lt;"&amp;$AM$2,
     unit_details[Beds],$L766,
     unit_details[Baths],$M766,
     unit_details[Partial Baths],IF(ISNUMBER($N766),$N766,""),
     unit_details[Sqft],$P766,
     unit_details[Property Name],$F766)
 ),"")</f>
        <v/>
      </c>
      <c r="Z766" s="27" t="str">
        <f t="shared" si="132"/>
        <v/>
      </c>
      <c r="AA766" s="526">
        <f>IFERROR(
  IF($F766="Total",
    SUM(INDEX(AA:AA, ROW()-COUNTIF($F$6:INDEX($F:$F, ROW()-1), $F765)) : INDEX(AA:AA, ROW()-1)),
    COUNTIFS(
      unit_details[Leased Date], "&gt;="&amp;($AM$2-X$5),
      unit_details[Leased Date], "&lt;"&amp;$AM$2,
      unit_details[Beds], $L766,
      unit_details[Baths], $M766,
      unit_details[Partial Baths], IF(ISNUMBER($N766), $N766, ""),
      unit_details[Sqft],$P766,
      unit_details[Property Name], $F766
    )
  ),
"")</f>
        <v>0</v>
      </c>
      <c r="AB766" s="290">
        <f>IF($F766="Total",
SUM(INDEX(AB:AB, ROW()-COUNTIF($F$6:INDEX($F:$F, ROW()-1), $F765)) : INDEX(AB:AB, ROW()-1)),
COUNTIFS(unit_details[Active Listing?],TRUE,
          unit_details[Property Name], $F766,
          unit_details[Beds], $L766,
          unit_details[Baths], $M766,
          unit_details[Partial Baths],IF(ISNUMBER($N766),$N766,""),
          unit_details[Sqft],$P766))</f>
        <v>0</v>
      </c>
      <c r="AC766" s="27" t="str">
        <f t="shared" si="124"/>
        <v/>
      </c>
      <c r="AD766" s="293" t="str">
        <f>IFERROR(IF(AE766="","",IF($F766="Total",
SUMPRODUCT(
   INDEX(AD:AD, ROW()-COUNTIF($F$6:INDEX($F:$F, ROW()-1), $F765)) : INDEX(AD:AD, ROW()-1),
   INDEX(AB:AB, ROW()-COUNTIF($F$6:INDEX($F:$F, ROW()-1), $F765)) : INDEX(AB:AB, ROW()-1)
   )
   /SUM(INDEX(AB:AB, ROW()-COUNTIF($F$6:INDEX($F:$F, ROW()-1), $F765)) : INDEX(AB:AB, ROW()-1)),
          _xlfn.MINIFS(unit_details[Asking Rent],
          unit_details[Active Listing?],TRUE,
          unit_details[Property Name], $F766,
          unit_details[Beds], $L766,
          unit_details[Baths], $M766,
          unit_details[Partial Baths], IF(ISNUMBER($N766),$N766,""),
          unit_details[Sqft],$P766
))),"")</f>
        <v/>
      </c>
      <c r="AE766" s="5" t="str">
        <f>IFERROR(IF($F766="Total",
          SUMPRODUCT(
   INDEX(AE:AE, ROW()-COUNTIF($F$6:INDEX($F:$F, ROW()-1), $F765)) : INDEX(AE:AE, ROW()-1),
   INDEX(AB:AB, ROW()-COUNTIF($F$6:INDEX($F:$F, ROW()-1), $F765)) : INDEX(AB:AB, ROW()-1)
   )
   /SUM(INDEX(AB:AB, ROW()-COUNTIF($F$6:INDEX($F:$F, ROW()-1), $F765)) : INDEX(AB:AB, ROW()-1)),
          AVERAGEIFS(unit_details[Asking Rent],
          unit_details[Active Listing?],TRUE,
          unit_details[Property Name], $F766,
          unit_details[Beds], $L766,
          unit_details[Baths], $M766,
          unit_details[Partial Baths], IF(ISNUMBER($N766),$N766,""),
          unit_details[Sqft],$P766
)),"")</f>
        <v/>
      </c>
      <c r="AF766" s="5" t="str">
        <f>IFERROR(IF(AE766="","",IF($F766="Total",
SUMPRODUCT(
   INDEX(AF:AF, ROW()-COUNTIF($F$6:INDEX($F:$F, ROW()-1), $F765)) : INDEX(AF:AF, ROW()-1),
   INDEX(AB:AB, ROW()-COUNTIF($F$6:INDEX($F:$F, ROW()-1), $F765)) : INDEX(AB:AB, ROW()-1)
   )
   /SUM(INDEX(AB:AB, ROW()-COUNTIF($F$6:INDEX($F:$F, ROW()-1), $F765)) : INDEX(AB:AB, ROW()-1)),
           _xlfn.MAXIFS(unit_details[Asking Rent],
          unit_details[Active Listing?],TRUE,
          unit_details[Property Name], $F766,
          unit_details[Beds], $L766,
          unit_details[Baths], $M766,
          unit_details[Partial Baths], IF(ISNUMBER($N766),$N766,""),
          unit_details[Sqft],$P766
))),"")</f>
        <v/>
      </c>
      <c r="AG766" s="6" t="str">
        <f>IFERROR(IF($F766="Total",
         SUMPRODUCT(
         INDEX(AG:AG, ROW()-COUNTIF($F$6:INDEX($F:$F, ROW()-1), $F765)) : INDEX(AG:AG, ROW()-1),
         INDEX(AB:AB, ROW()-COUNTIF($F$6:INDEX($F:$F, ROW()-1), $F765)) : INDEX(AB:AB, ROW()-1)
         )
         /SUM(INDEX(AB:AB, ROW()-COUNTIF($F$6:INDEX($F:$F, ROW()-1), $F765)) : INDEX(AB:AB, ROW()-1)),
          AVERAGEIFS(unit_details[Asking PSF],
          unit_details[Active Listing?],TRUE,
          unit_details[Property Name], $F766,
          unit_details[Beds], $L766,
          unit_details[Baths], $M766,
          unit_details[Partial Baths], IF(ISNUMBER($N766),$N766,""),
          unit_details[Sqft],$P766
)),"")</f>
        <v/>
      </c>
      <c r="AH766" s="293" t="str">
        <f>IFERROR(IF($F766="Total",
         SUMPRODUCT(
         INDEX(AH:AH, ROW()-COUNTIF($F$6:INDEX($F:$F, ROW()-1), $F765)) : INDEX(AH:AH, ROW()-1),
         INDEX(AB:AB, ROW()-COUNTIF($F$6:INDEX($F:$F, ROW()-1), $F765)) : INDEX(AB:AB, ROW()-1)
         )
         /SUM(INDEX(AB:AB, ROW()-COUNTIF($F$6:INDEX($F:$F, ROW()-1), $F765)) : INDEX(AB:AB, ROW()-1)),
          AVERAGEIFS(unit_details[Effective Rent],
          unit_details[Active Listing?],TRUE,
          unit_details[Property Name], $F766,
          unit_details[Beds], $L766,
          unit_details[Baths], $M766,
          unit_details[Partial Baths], IF(ISNUMBER($N766),$N766,""),
          unit_details[Sqft],$P766
)),"")</f>
        <v/>
      </c>
      <c r="AI766" s="6" t="str">
        <f>IFERROR(IF($F766="Total",
         SUMPRODUCT(
         INDEX(AI:AI, ROW()-COUNTIF($F$6:INDEX($F:$F, ROW()-1), $F765)) : INDEX(AI:AI, ROW()-1),
         INDEX(AB:AB, ROW()-COUNTIF($F$6:INDEX($F:$F, ROW()-1), $F765)) : INDEX(AB:AB, ROW()-1)
         )
         /SUM(INDEX(AB:AB, ROW()-COUNTIF($F$6:INDEX($F:$F, ROW()-1), $F765)) : INDEX(AB:AB, ROW()-1)),
           AVERAGEIFS(unit_details[Effective PSF],
          unit_details[Active Listing?],TRUE,
          unit_details[Property Name], $F766,
          unit_details[Beds], $L766,
          unit_details[Baths], $M766,
          unit_details[Partial Baths], IF(ISNUMBER($N766),$N766,""),
          unit_details[Sqft],$P766
)),"")</f>
        <v/>
      </c>
      <c r="AJ766" s="824" t="str">
        <f t="shared" si="125"/>
        <v/>
      </c>
      <c r="AK766" s="531" t="str">
        <f t="shared" si="126"/>
        <v/>
      </c>
      <c r="AL766" s="714" t="str">
        <f t="shared" si="127"/>
        <v/>
      </c>
      <c r="AM766" s="531" t="str">
        <f t="shared" si="128"/>
        <v/>
      </c>
      <c r="AN766" s="716" t="str">
        <f t="shared" si="129"/>
        <v/>
      </c>
    </row>
    <row r="767" spans="6:40" x14ac:dyDescent="0.2">
      <c r="F767" s="1" t="str">
        <f t="shared" si="122"/>
        <v/>
      </c>
      <c r="G767" s="713" t="str">
        <f t="shared" si="130"/>
        <v/>
      </c>
      <c r="H767" s="17" t="str">
        <f>IFERROR(VLOOKUP($G767,Table1[[Property]:[Exposure %]],4,0),"")</f>
        <v/>
      </c>
      <c r="I767" s="3" t="str">
        <f>IFERROR(VLOOKUP($G767,Table1[[Property]:[Exposure %]],6,0),"")</f>
        <v/>
      </c>
      <c r="J767" s="3" t="str">
        <f>IFERROR(VLOOKUP($G767,Table1[[Property]:[Exposure %]],7,0),"")</f>
        <v/>
      </c>
      <c r="R767" s="4" t="str">
        <f>IFERROR(VLOOKUP(IF(F767="Total",F766,F767),Table1[[Property]:['# Units]],7,0)*S767,"")</f>
        <v/>
      </c>
      <c r="S767" s="27" t="str">
        <f t="shared" si="123"/>
        <v/>
      </c>
      <c r="T767" s="531" t="str">
        <f>IFERROR(
 IF($F767="Total",
   SUMPRODUCT(
   INDEX(T:T, ROW()-COUNTIF($F$6:INDEX($F:$F, ROW()-1), $F766)) : INDEX(T:T, ROW()-1),
   INDEX(W:W, ROW()-COUNTIF($F$6:INDEX($F:$F, ROW()-1), $F766)) : INDEX(W:W, ROW()-1)
   )
   /SUM(INDEX(W:W, ROW()-COUNTIF($F$6:INDEX($F:$F, ROW()-1), $F766)) : INDEX(W:W, ROW()-1)),
   AVERAGEIFS(
     INDEX((unit_details[Asking Rent],unit_details[Asking PSF]),0,1,IF($U$3="Chunk Rent",1,2)),
     unit_details[Leased Date],"&gt;="&amp;($AM$2-T$5),
     unit_details[Leased Date],"&lt;"&amp;$AM$2,
     unit_details[Beds],$L767,
     unit_details[Baths],$M767,
     unit_details[Partial Baths],IF(ISNUMBER($N767),$N767,""),
     unit_details[Sqft],$P767,
     unit_details[Property Name],$F767)
 ),"")</f>
        <v/>
      </c>
      <c r="U767" s="552" t="str">
        <f>IFERROR(
 IF($F767="Total",
   SUMPRODUCT(
   INDEX(U:U, ROW()-COUNTIF($F$6:INDEX($F:$F, ROW()-1), $F766)) : INDEX(U:U, ROW()-1),
   INDEX(W:W, ROW()-COUNTIF($F$6:INDEX($F:$F, ROW()-1), $F766)) : INDEX(W:W, ROW()-1)
   )
   /SUM(INDEX(W:W, ROW()-COUNTIF($F$6:INDEX($F:$F, ROW()-1), $F766)) : INDEX(W:W, ROW()-1)),
   AVERAGEIFS(
     INDEX((unit_details[Effective Rent],unit_details[Effective PSF]),0,1,IF($U$3="Chunk Rent",1,2)),
     unit_details[Leased Date],"&gt;="&amp;($AM$2-T$5),
     unit_details[Leased Date],"&lt;"&amp;$AM$2,
     unit_details[Beds],$L767,
     unit_details[Baths],$M767,
     unit_details[Partial Baths],IF(ISNUMBER($N767),$N767,""),
     unit_details[Sqft],$P767,
     unit_details[Property Name],$F767)
 ),"")</f>
        <v/>
      </c>
      <c r="V767" s="27" t="str">
        <f t="shared" si="131"/>
        <v/>
      </c>
      <c r="W767" s="526">
        <f>IFERROR(
  IF($F767="Total",
    SUM(INDEX(W:W, ROW()-COUNTIF($F$6:INDEX($F:$F, ROW()-1), $F766)) : INDEX(W:W, ROW()-1)),
    COUNTIFS(
      unit_details[Leased Date], "&gt;="&amp;($AM$2-T$5),
      unit_details[Leased Date], "&lt;"&amp;$AM$2,
      unit_details[Beds], $L767,
      unit_details[Baths], $M767,
      unit_details[Partial Baths], IF(ISNUMBER($N767), $N767, ""),
      unit_details[Sqft],$P767,
      unit_details[Property Name], $F767
    )
  ),
"")</f>
        <v>0</v>
      </c>
      <c r="X767" s="531" t="str">
        <f>IFERROR(
 IF($F767="Total",
   SUMPRODUCT(
   INDEX(X:X, ROW()-COUNTIF($F$6:INDEX($F:$F, ROW()-1), $F766)) : INDEX(X:X, ROW()-1),
   INDEX(AA:AA, ROW()-COUNTIF($F$6:INDEX($F:$F, ROW()-1), $F766)) : INDEX(AA:AA, ROW()-1)
   )
   /SUM(INDEX(AA:AA, ROW()-COUNTIF($F$6:INDEX($F:$F, ROW()-1), $F766)) : INDEX(AA:AA, ROW()-1)),
   AVERAGEIFS(
     INDEX((unit_details[Asking Rent],unit_details[Asking PSF]),0,1,IF($U$3="Chunk Rent",1,2)),
     unit_details[Leased Date],"&gt;="&amp;($AM$2-X$5),
     unit_details[Leased Date],"&lt;"&amp;$AM$2,
     unit_details[Beds],$L767,
     unit_details[Baths],$M767,
     unit_details[Partial Baths],IF(ISNUMBER($N767),$N767,""),
     unit_details[Sqft],$P767,
     unit_details[Property Name],$F767)
 ),"")</f>
        <v/>
      </c>
      <c r="Y767" s="552" t="str">
        <f>IFERROR(
 IF($F767="Total",
   SUMPRODUCT(
   INDEX(Y:Y, ROW()-COUNTIF($F$6:INDEX($F:$F, ROW()-1), $F766)) : INDEX(Y:Y, ROW()-1),
   INDEX(AA:AA, ROW()-COUNTIF($F$6:INDEX($F:$F, ROW()-1), $F766)) : INDEX(AA:AA, ROW()-1)
   )
   /SUM(INDEX(AA:AA, ROW()-COUNTIF($F$6:INDEX($F:$F, ROW()-1), $F766)) : INDEX(AA:AA, ROW()-1)),
   AVERAGEIFS(
     INDEX((unit_details[Effective Rent],unit_details[Effective PSF]),0,1,IF($U$3="Chunk Rent",1,2)),
     unit_details[Leased Date],"&gt;="&amp;($AM$2-X$5),
     unit_details[Leased Date],"&lt;"&amp;$AM$2,
     unit_details[Beds],$L767,
     unit_details[Baths],$M767,
     unit_details[Partial Baths],IF(ISNUMBER($N767),$N767,""),
     unit_details[Sqft],$P767,
     unit_details[Property Name],$F767)
 ),"")</f>
        <v/>
      </c>
      <c r="Z767" s="27" t="str">
        <f t="shared" si="132"/>
        <v/>
      </c>
      <c r="AA767" s="526">
        <f>IFERROR(
  IF($F767="Total",
    SUM(INDEX(AA:AA, ROW()-COUNTIF($F$6:INDEX($F:$F, ROW()-1), $F766)) : INDEX(AA:AA, ROW()-1)),
    COUNTIFS(
      unit_details[Leased Date], "&gt;="&amp;($AM$2-X$5),
      unit_details[Leased Date], "&lt;"&amp;$AM$2,
      unit_details[Beds], $L767,
      unit_details[Baths], $M767,
      unit_details[Partial Baths], IF(ISNUMBER($N767), $N767, ""),
      unit_details[Sqft],$P767,
      unit_details[Property Name], $F767
    )
  ),
"")</f>
        <v>0</v>
      </c>
      <c r="AB767" s="290">
        <f>IF($F767="Total",
SUM(INDEX(AB:AB, ROW()-COUNTIF($F$6:INDEX($F:$F, ROW()-1), $F766)) : INDEX(AB:AB, ROW()-1)),
COUNTIFS(unit_details[Active Listing?],TRUE,
          unit_details[Property Name], $F767,
          unit_details[Beds], $L767,
          unit_details[Baths], $M767,
          unit_details[Partial Baths],IF(ISNUMBER($N767),$N767,""),
          unit_details[Sqft],$P767))</f>
        <v>0</v>
      </c>
      <c r="AC767" s="27" t="str">
        <f t="shared" si="124"/>
        <v/>
      </c>
      <c r="AD767" s="293" t="str">
        <f>IFERROR(IF(AE767="","",IF($F767="Total",
SUMPRODUCT(
   INDEX(AD:AD, ROW()-COUNTIF($F$6:INDEX($F:$F, ROW()-1), $F766)) : INDEX(AD:AD, ROW()-1),
   INDEX(AB:AB, ROW()-COUNTIF($F$6:INDEX($F:$F, ROW()-1), $F766)) : INDEX(AB:AB, ROW()-1)
   )
   /SUM(INDEX(AB:AB, ROW()-COUNTIF($F$6:INDEX($F:$F, ROW()-1), $F766)) : INDEX(AB:AB, ROW()-1)),
          _xlfn.MINIFS(unit_details[Asking Rent],
          unit_details[Active Listing?],TRUE,
          unit_details[Property Name], $F767,
          unit_details[Beds], $L767,
          unit_details[Baths], $M767,
          unit_details[Partial Baths], IF(ISNUMBER($N767),$N767,""),
          unit_details[Sqft],$P767
))),"")</f>
        <v/>
      </c>
      <c r="AE767" s="5" t="str">
        <f>IFERROR(IF($F767="Total",
          SUMPRODUCT(
   INDEX(AE:AE, ROW()-COUNTIF($F$6:INDEX($F:$F, ROW()-1), $F766)) : INDEX(AE:AE, ROW()-1),
   INDEX(AB:AB, ROW()-COUNTIF($F$6:INDEX($F:$F, ROW()-1), $F766)) : INDEX(AB:AB, ROW()-1)
   )
   /SUM(INDEX(AB:AB, ROW()-COUNTIF($F$6:INDEX($F:$F, ROW()-1), $F766)) : INDEX(AB:AB, ROW()-1)),
          AVERAGEIFS(unit_details[Asking Rent],
          unit_details[Active Listing?],TRUE,
          unit_details[Property Name], $F767,
          unit_details[Beds], $L767,
          unit_details[Baths], $M767,
          unit_details[Partial Baths], IF(ISNUMBER($N767),$N767,""),
          unit_details[Sqft],$P767
)),"")</f>
        <v/>
      </c>
      <c r="AF767" s="5" t="str">
        <f>IFERROR(IF(AE767="","",IF($F767="Total",
SUMPRODUCT(
   INDEX(AF:AF, ROW()-COUNTIF($F$6:INDEX($F:$F, ROW()-1), $F766)) : INDEX(AF:AF, ROW()-1),
   INDEX(AB:AB, ROW()-COUNTIF($F$6:INDEX($F:$F, ROW()-1), $F766)) : INDEX(AB:AB, ROW()-1)
   )
   /SUM(INDEX(AB:AB, ROW()-COUNTIF($F$6:INDEX($F:$F, ROW()-1), $F766)) : INDEX(AB:AB, ROW()-1)),
           _xlfn.MAXIFS(unit_details[Asking Rent],
          unit_details[Active Listing?],TRUE,
          unit_details[Property Name], $F767,
          unit_details[Beds], $L767,
          unit_details[Baths], $M767,
          unit_details[Partial Baths], IF(ISNUMBER($N767),$N767,""),
          unit_details[Sqft],$P767
))),"")</f>
        <v/>
      </c>
      <c r="AG767" s="6" t="str">
        <f>IFERROR(IF($F767="Total",
         SUMPRODUCT(
         INDEX(AG:AG, ROW()-COUNTIF($F$6:INDEX($F:$F, ROW()-1), $F766)) : INDEX(AG:AG, ROW()-1),
         INDEX(AB:AB, ROW()-COUNTIF($F$6:INDEX($F:$F, ROW()-1), $F766)) : INDEX(AB:AB, ROW()-1)
         )
         /SUM(INDEX(AB:AB, ROW()-COUNTIF($F$6:INDEX($F:$F, ROW()-1), $F766)) : INDEX(AB:AB, ROW()-1)),
          AVERAGEIFS(unit_details[Asking PSF],
          unit_details[Active Listing?],TRUE,
          unit_details[Property Name], $F767,
          unit_details[Beds], $L767,
          unit_details[Baths], $M767,
          unit_details[Partial Baths], IF(ISNUMBER($N767),$N767,""),
          unit_details[Sqft],$P767
)),"")</f>
        <v/>
      </c>
      <c r="AH767" s="293" t="str">
        <f>IFERROR(IF($F767="Total",
         SUMPRODUCT(
         INDEX(AH:AH, ROW()-COUNTIF($F$6:INDEX($F:$F, ROW()-1), $F766)) : INDEX(AH:AH, ROW()-1),
         INDEX(AB:AB, ROW()-COUNTIF($F$6:INDEX($F:$F, ROW()-1), $F766)) : INDEX(AB:AB, ROW()-1)
         )
         /SUM(INDEX(AB:AB, ROW()-COUNTIF($F$6:INDEX($F:$F, ROW()-1), $F766)) : INDEX(AB:AB, ROW()-1)),
          AVERAGEIFS(unit_details[Effective Rent],
          unit_details[Active Listing?],TRUE,
          unit_details[Property Name], $F767,
          unit_details[Beds], $L767,
          unit_details[Baths], $M767,
          unit_details[Partial Baths], IF(ISNUMBER($N767),$N767,""),
          unit_details[Sqft],$P767
)),"")</f>
        <v/>
      </c>
      <c r="AI767" s="6" t="str">
        <f>IFERROR(IF($F767="Total",
         SUMPRODUCT(
         INDEX(AI:AI, ROW()-COUNTIF($F$6:INDEX($F:$F, ROW()-1), $F766)) : INDEX(AI:AI, ROW()-1),
         INDEX(AB:AB, ROW()-COUNTIF($F$6:INDEX($F:$F, ROW()-1), $F766)) : INDEX(AB:AB, ROW()-1)
         )
         /SUM(INDEX(AB:AB, ROW()-COUNTIF($F$6:INDEX($F:$F, ROW()-1), $F766)) : INDEX(AB:AB, ROW()-1)),
           AVERAGEIFS(unit_details[Effective PSF],
          unit_details[Active Listing?],TRUE,
          unit_details[Property Name], $F767,
          unit_details[Beds], $L767,
          unit_details[Baths], $M767,
          unit_details[Partial Baths], IF(ISNUMBER($N767),$N767,""),
          unit_details[Sqft],$P767
)),"")</f>
        <v/>
      </c>
      <c r="AJ767" s="824" t="str">
        <f t="shared" si="125"/>
        <v/>
      </c>
      <c r="AK767" s="531" t="str">
        <f t="shared" si="126"/>
        <v/>
      </c>
      <c r="AL767" s="714" t="str">
        <f t="shared" si="127"/>
        <v/>
      </c>
      <c r="AM767" s="531" t="str">
        <f t="shared" si="128"/>
        <v/>
      </c>
      <c r="AN767" s="716" t="str">
        <f t="shared" si="129"/>
        <v/>
      </c>
    </row>
    <row r="768" spans="6:40" x14ac:dyDescent="0.2">
      <c r="F768" s="1" t="str">
        <f t="shared" si="122"/>
        <v/>
      </c>
      <c r="G768" s="713" t="str">
        <f t="shared" si="130"/>
        <v/>
      </c>
      <c r="H768" s="17" t="str">
        <f>IFERROR(VLOOKUP($G768,Table1[[Property]:[Exposure %]],4,0),"")</f>
        <v/>
      </c>
      <c r="I768" s="3" t="str">
        <f>IFERROR(VLOOKUP($G768,Table1[[Property]:[Exposure %]],6,0),"")</f>
        <v/>
      </c>
      <c r="J768" s="3" t="str">
        <f>IFERROR(VLOOKUP($G768,Table1[[Property]:[Exposure %]],7,0),"")</f>
        <v/>
      </c>
      <c r="R768" s="4" t="str">
        <f>IFERROR(VLOOKUP(IF(F768="Total",F767,F768),Table1[[Property]:['# Units]],7,0)*S768,"")</f>
        <v/>
      </c>
      <c r="S768" s="27" t="str">
        <f t="shared" si="123"/>
        <v/>
      </c>
      <c r="T768" s="531" t="str">
        <f>IFERROR(
 IF($F768="Total",
   SUMPRODUCT(
   INDEX(T:T, ROW()-COUNTIF($F$6:INDEX($F:$F, ROW()-1), $F767)) : INDEX(T:T, ROW()-1),
   INDEX(W:W, ROW()-COUNTIF($F$6:INDEX($F:$F, ROW()-1), $F767)) : INDEX(W:W, ROW()-1)
   )
   /SUM(INDEX(W:W, ROW()-COUNTIF($F$6:INDEX($F:$F, ROW()-1), $F767)) : INDEX(W:W, ROW()-1)),
   AVERAGEIFS(
     INDEX((unit_details[Asking Rent],unit_details[Asking PSF]),0,1,IF($U$3="Chunk Rent",1,2)),
     unit_details[Leased Date],"&gt;="&amp;($AM$2-T$5),
     unit_details[Leased Date],"&lt;"&amp;$AM$2,
     unit_details[Beds],$L768,
     unit_details[Baths],$M768,
     unit_details[Partial Baths],IF(ISNUMBER($N768),$N768,""),
     unit_details[Sqft],$P768,
     unit_details[Property Name],$F768)
 ),"")</f>
        <v/>
      </c>
      <c r="U768" s="552" t="str">
        <f>IFERROR(
 IF($F768="Total",
   SUMPRODUCT(
   INDEX(U:U, ROW()-COUNTIF($F$6:INDEX($F:$F, ROW()-1), $F767)) : INDEX(U:U, ROW()-1),
   INDEX(W:W, ROW()-COUNTIF($F$6:INDEX($F:$F, ROW()-1), $F767)) : INDEX(W:W, ROW()-1)
   )
   /SUM(INDEX(W:W, ROW()-COUNTIF($F$6:INDEX($F:$F, ROW()-1), $F767)) : INDEX(W:W, ROW()-1)),
   AVERAGEIFS(
     INDEX((unit_details[Effective Rent],unit_details[Effective PSF]),0,1,IF($U$3="Chunk Rent",1,2)),
     unit_details[Leased Date],"&gt;="&amp;($AM$2-T$5),
     unit_details[Leased Date],"&lt;"&amp;$AM$2,
     unit_details[Beds],$L768,
     unit_details[Baths],$M768,
     unit_details[Partial Baths],IF(ISNUMBER($N768),$N768,""),
     unit_details[Sqft],$P768,
     unit_details[Property Name],$F768)
 ),"")</f>
        <v/>
      </c>
      <c r="V768" s="27" t="str">
        <f t="shared" si="131"/>
        <v/>
      </c>
      <c r="W768" s="526">
        <f>IFERROR(
  IF($F768="Total",
    SUM(INDEX(W:W, ROW()-COUNTIF($F$6:INDEX($F:$F, ROW()-1), $F767)) : INDEX(W:W, ROW()-1)),
    COUNTIFS(
      unit_details[Leased Date], "&gt;="&amp;($AM$2-T$5),
      unit_details[Leased Date], "&lt;"&amp;$AM$2,
      unit_details[Beds], $L768,
      unit_details[Baths], $M768,
      unit_details[Partial Baths], IF(ISNUMBER($N768), $N768, ""),
      unit_details[Sqft],$P768,
      unit_details[Property Name], $F768
    )
  ),
"")</f>
        <v>0</v>
      </c>
      <c r="X768" s="531" t="str">
        <f>IFERROR(
 IF($F768="Total",
   SUMPRODUCT(
   INDEX(X:X, ROW()-COUNTIF($F$6:INDEX($F:$F, ROW()-1), $F767)) : INDEX(X:X, ROW()-1),
   INDEX(AA:AA, ROW()-COUNTIF($F$6:INDEX($F:$F, ROW()-1), $F767)) : INDEX(AA:AA, ROW()-1)
   )
   /SUM(INDEX(AA:AA, ROW()-COUNTIF($F$6:INDEX($F:$F, ROW()-1), $F767)) : INDEX(AA:AA, ROW()-1)),
   AVERAGEIFS(
     INDEX((unit_details[Asking Rent],unit_details[Asking PSF]),0,1,IF($U$3="Chunk Rent",1,2)),
     unit_details[Leased Date],"&gt;="&amp;($AM$2-X$5),
     unit_details[Leased Date],"&lt;"&amp;$AM$2,
     unit_details[Beds],$L768,
     unit_details[Baths],$M768,
     unit_details[Partial Baths],IF(ISNUMBER($N768),$N768,""),
     unit_details[Sqft],$P768,
     unit_details[Property Name],$F768)
 ),"")</f>
        <v/>
      </c>
      <c r="Y768" s="552" t="str">
        <f>IFERROR(
 IF($F768="Total",
   SUMPRODUCT(
   INDEX(Y:Y, ROW()-COUNTIF($F$6:INDEX($F:$F, ROW()-1), $F767)) : INDEX(Y:Y, ROW()-1),
   INDEX(AA:AA, ROW()-COUNTIF($F$6:INDEX($F:$F, ROW()-1), $F767)) : INDEX(AA:AA, ROW()-1)
   )
   /SUM(INDEX(AA:AA, ROW()-COUNTIF($F$6:INDEX($F:$F, ROW()-1), $F767)) : INDEX(AA:AA, ROW()-1)),
   AVERAGEIFS(
     INDEX((unit_details[Effective Rent],unit_details[Effective PSF]),0,1,IF($U$3="Chunk Rent",1,2)),
     unit_details[Leased Date],"&gt;="&amp;($AM$2-X$5),
     unit_details[Leased Date],"&lt;"&amp;$AM$2,
     unit_details[Beds],$L768,
     unit_details[Baths],$M768,
     unit_details[Partial Baths],IF(ISNUMBER($N768),$N768,""),
     unit_details[Sqft],$P768,
     unit_details[Property Name],$F768)
 ),"")</f>
        <v/>
      </c>
      <c r="Z768" s="27" t="str">
        <f t="shared" si="132"/>
        <v/>
      </c>
      <c r="AA768" s="526">
        <f>IFERROR(
  IF($F768="Total",
    SUM(INDEX(AA:AA, ROW()-COUNTIF($F$6:INDEX($F:$F, ROW()-1), $F767)) : INDEX(AA:AA, ROW()-1)),
    COUNTIFS(
      unit_details[Leased Date], "&gt;="&amp;($AM$2-X$5),
      unit_details[Leased Date], "&lt;"&amp;$AM$2,
      unit_details[Beds], $L768,
      unit_details[Baths], $M768,
      unit_details[Partial Baths], IF(ISNUMBER($N768), $N768, ""),
      unit_details[Sqft],$P768,
      unit_details[Property Name], $F768
    )
  ),
"")</f>
        <v>0</v>
      </c>
      <c r="AB768" s="290">
        <f>IF($F768="Total",
SUM(INDEX(AB:AB, ROW()-COUNTIF($F$6:INDEX($F:$F, ROW()-1), $F767)) : INDEX(AB:AB, ROW()-1)),
COUNTIFS(unit_details[Active Listing?],TRUE,
          unit_details[Property Name], $F768,
          unit_details[Beds], $L768,
          unit_details[Baths], $M768,
          unit_details[Partial Baths],IF(ISNUMBER($N768),$N768,""),
          unit_details[Sqft],$P768))</f>
        <v>0</v>
      </c>
      <c r="AC768" s="27" t="str">
        <f t="shared" si="124"/>
        <v/>
      </c>
      <c r="AD768" s="293" t="str">
        <f>IFERROR(IF(AE768="","",IF($F768="Total",
SUMPRODUCT(
   INDEX(AD:AD, ROW()-COUNTIF($F$6:INDEX($F:$F, ROW()-1), $F767)) : INDEX(AD:AD, ROW()-1),
   INDEX(AB:AB, ROW()-COUNTIF($F$6:INDEX($F:$F, ROW()-1), $F767)) : INDEX(AB:AB, ROW()-1)
   )
   /SUM(INDEX(AB:AB, ROW()-COUNTIF($F$6:INDEX($F:$F, ROW()-1), $F767)) : INDEX(AB:AB, ROW()-1)),
          _xlfn.MINIFS(unit_details[Asking Rent],
          unit_details[Active Listing?],TRUE,
          unit_details[Property Name], $F768,
          unit_details[Beds], $L768,
          unit_details[Baths], $M768,
          unit_details[Partial Baths], IF(ISNUMBER($N768),$N768,""),
          unit_details[Sqft],$P768
))),"")</f>
        <v/>
      </c>
      <c r="AE768" s="5" t="str">
        <f>IFERROR(IF($F768="Total",
          SUMPRODUCT(
   INDEX(AE:AE, ROW()-COUNTIF($F$6:INDEX($F:$F, ROW()-1), $F767)) : INDEX(AE:AE, ROW()-1),
   INDEX(AB:AB, ROW()-COUNTIF($F$6:INDEX($F:$F, ROW()-1), $F767)) : INDEX(AB:AB, ROW()-1)
   )
   /SUM(INDEX(AB:AB, ROW()-COUNTIF($F$6:INDEX($F:$F, ROW()-1), $F767)) : INDEX(AB:AB, ROW()-1)),
          AVERAGEIFS(unit_details[Asking Rent],
          unit_details[Active Listing?],TRUE,
          unit_details[Property Name], $F768,
          unit_details[Beds], $L768,
          unit_details[Baths], $M768,
          unit_details[Partial Baths], IF(ISNUMBER($N768),$N768,""),
          unit_details[Sqft],$P768
)),"")</f>
        <v/>
      </c>
      <c r="AF768" s="5" t="str">
        <f>IFERROR(IF(AE768="","",IF($F768="Total",
SUMPRODUCT(
   INDEX(AF:AF, ROW()-COUNTIF($F$6:INDEX($F:$F, ROW()-1), $F767)) : INDEX(AF:AF, ROW()-1),
   INDEX(AB:AB, ROW()-COUNTIF($F$6:INDEX($F:$F, ROW()-1), $F767)) : INDEX(AB:AB, ROW()-1)
   )
   /SUM(INDEX(AB:AB, ROW()-COUNTIF($F$6:INDEX($F:$F, ROW()-1), $F767)) : INDEX(AB:AB, ROW()-1)),
           _xlfn.MAXIFS(unit_details[Asking Rent],
          unit_details[Active Listing?],TRUE,
          unit_details[Property Name], $F768,
          unit_details[Beds], $L768,
          unit_details[Baths], $M768,
          unit_details[Partial Baths], IF(ISNUMBER($N768),$N768,""),
          unit_details[Sqft],$P768
))),"")</f>
        <v/>
      </c>
      <c r="AG768" s="6" t="str">
        <f>IFERROR(IF($F768="Total",
         SUMPRODUCT(
         INDEX(AG:AG, ROW()-COUNTIF($F$6:INDEX($F:$F, ROW()-1), $F767)) : INDEX(AG:AG, ROW()-1),
         INDEX(AB:AB, ROW()-COUNTIF($F$6:INDEX($F:$F, ROW()-1), $F767)) : INDEX(AB:AB, ROW()-1)
         )
         /SUM(INDEX(AB:AB, ROW()-COUNTIF($F$6:INDEX($F:$F, ROW()-1), $F767)) : INDEX(AB:AB, ROW()-1)),
          AVERAGEIFS(unit_details[Asking PSF],
          unit_details[Active Listing?],TRUE,
          unit_details[Property Name], $F768,
          unit_details[Beds], $L768,
          unit_details[Baths], $M768,
          unit_details[Partial Baths], IF(ISNUMBER($N768),$N768,""),
          unit_details[Sqft],$P768
)),"")</f>
        <v/>
      </c>
      <c r="AH768" s="293" t="str">
        <f>IFERROR(IF($F768="Total",
         SUMPRODUCT(
         INDEX(AH:AH, ROW()-COUNTIF($F$6:INDEX($F:$F, ROW()-1), $F767)) : INDEX(AH:AH, ROW()-1),
         INDEX(AB:AB, ROW()-COUNTIF($F$6:INDEX($F:$F, ROW()-1), $F767)) : INDEX(AB:AB, ROW()-1)
         )
         /SUM(INDEX(AB:AB, ROW()-COUNTIF($F$6:INDEX($F:$F, ROW()-1), $F767)) : INDEX(AB:AB, ROW()-1)),
          AVERAGEIFS(unit_details[Effective Rent],
          unit_details[Active Listing?],TRUE,
          unit_details[Property Name], $F768,
          unit_details[Beds], $L768,
          unit_details[Baths], $M768,
          unit_details[Partial Baths], IF(ISNUMBER($N768),$N768,""),
          unit_details[Sqft],$P768
)),"")</f>
        <v/>
      </c>
      <c r="AI768" s="6" t="str">
        <f>IFERROR(IF($F768="Total",
         SUMPRODUCT(
         INDEX(AI:AI, ROW()-COUNTIF($F$6:INDEX($F:$F, ROW()-1), $F767)) : INDEX(AI:AI, ROW()-1),
         INDEX(AB:AB, ROW()-COUNTIF($F$6:INDEX($F:$F, ROW()-1), $F767)) : INDEX(AB:AB, ROW()-1)
         )
         /SUM(INDEX(AB:AB, ROW()-COUNTIF($F$6:INDEX($F:$F, ROW()-1), $F767)) : INDEX(AB:AB, ROW()-1)),
           AVERAGEIFS(unit_details[Effective PSF],
          unit_details[Active Listing?],TRUE,
          unit_details[Property Name], $F768,
          unit_details[Beds], $L768,
          unit_details[Baths], $M768,
          unit_details[Partial Baths], IF(ISNUMBER($N768),$N768,""),
          unit_details[Sqft],$P768
)),"")</f>
        <v/>
      </c>
      <c r="AJ768" s="824" t="str">
        <f t="shared" si="125"/>
        <v/>
      </c>
      <c r="AK768" s="531" t="str">
        <f t="shared" si="126"/>
        <v/>
      </c>
      <c r="AL768" s="714" t="str">
        <f t="shared" si="127"/>
        <v/>
      </c>
      <c r="AM768" s="531" t="str">
        <f t="shared" si="128"/>
        <v/>
      </c>
      <c r="AN768" s="716" t="str">
        <f t="shared" si="129"/>
        <v/>
      </c>
    </row>
    <row r="769" spans="6:40" x14ac:dyDescent="0.2">
      <c r="F769" s="1" t="str">
        <f t="shared" si="122"/>
        <v/>
      </c>
      <c r="G769" s="713" t="str">
        <f t="shared" si="130"/>
        <v/>
      </c>
      <c r="H769" s="17" t="str">
        <f>IFERROR(VLOOKUP($G769,Table1[[Property]:[Exposure %]],4,0),"")</f>
        <v/>
      </c>
      <c r="I769" s="3" t="str">
        <f>IFERROR(VLOOKUP($G769,Table1[[Property]:[Exposure %]],6,0),"")</f>
        <v/>
      </c>
      <c r="J769" s="3" t="str">
        <f>IFERROR(VLOOKUP($G769,Table1[[Property]:[Exposure %]],7,0),"")</f>
        <v/>
      </c>
      <c r="R769" s="4" t="str">
        <f>IFERROR(VLOOKUP(IF(F769="Total",F768,F769),Table1[[Property]:['# Units]],7,0)*S769,"")</f>
        <v/>
      </c>
      <c r="S769" s="27" t="str">
        <f t="shared" si="123"/>
        <v/>
      </c>
      <c r="T769" s="531" t="str">
        <f>IFERROR(
 IF($F769="Total",
   SUMPRODUCT(
   INDEX(T:T, ROW()-COUNTIF($F$6:INDEX($F:$F, ROW()-1), $F768)) : INDEX(T:T, ROW()-1),
   INDEX(W:W, ROW()-COUNTIF($F$6:INDEX($F:$F, ROW()-1), $F768)) : INDEX(W:W, ROW()-1)
   )
   /SUM(INDEX(W:W, ROW()-COUNTIF($F$6:INDEX($F:$F, ROW()-1), $F768)) : INDEX(W:W, ROW()-1)),
   AVERAGEIFS(
     INDEX((unit_details[Asking Rent],unit_details[Asking PSF]),0,1,IF($U$3="Chunk Rent",1,2)),
     unit_details[Leased Date],"&gt;="&amp;($AM$2-T$5),
     unit_details[Leased Date],"&lt;"&amp;$AM$2,
     unit_details[Beds],$L769,
     unit_details[Baths],$M769,
     unit_details[Partial Baths],IF(ISNUMBER($N769),$N769,""),
     unit_details[Sqft],$P769,
     unit_details[Property Name],$F769)
 ),"")</f>
        <v/>
      </c>
      <c r="U769" s="552" t="str">
        <f>IFERROR(
 IF($F769="Total",
   SUMPRODUCT(
   INDEX(U:U, ROW()-COUNTIF($F$6:INDEX($F:$F, ROW()-1), $F768)) : INDEX(U:U, ROW()-1),
   INDEX(W:W, ROW()-COUNTIF($F$6:INDEX($F:$F, ROW()-1), $F768)) : INDEX(W:W, ROW()-1)
   )
   /SUM(INDEX(W:W, ROW()-COUNTIF($F$6:INDEX($F:$F, ROW()-1), $F768)) : INDEX(W:W, ROW()-1)),
   AVERAGEIFS(
     INDEX((unit_details[Effective Rent],unit_details[Effective PSF]),0,1,IF($U$3="Chunk Rent",1,2)),
     unit_details[Leased Date],"&gt;="&amp;($AM$2-T$5),
     unit_details[Leased Date],"&lt;"&amp;$AM$2,
     unit_details[Beds],$L769,
     unit_details[Baths],$M769,
     unit_details[Partial Baths],IF(ISNUMBER($N769),$N769,""),
     unit_details[Sqft],$P769,
     unit_details[Property Name],$F769)
 ),"")</f>
        <v/>
      </c>
      <c r="V769" s="27" t="str">
        <f t="shared" si="131"/>
        <v/>
      </c>
      <c r="W769" s="526">
        <f>IFERROR(
  IF($F769="Total",
    SUM(INDEX(W:W, ROW()-COUNTIF($F$6:INDEX($F:$F, ROW()-1), $F768)) : INDEX(W:W, ROW()-1)),
    COUNTIFS(
      unit_details[Leased Date], "&gt;="&amp;($AM$2-T$5),
      unit_details[Leased Date], "&lt;"&amp;$AM$2,
      unit_details[Beds], $L769,
      unit_details[Baths], $M769,
      unit_details[Partial Baths], IF(ISNUMBER($N769), $N769, ""),
      unit_details[Sqft],$P769,
      unit_details[Property Name], $F769
    )
  ),
"")</f>
        <v>0</v>
      </c>
      <c r="X769" s="531" t="str">
        <f>IFERROR(
 IF($F769="Total",
   SUMPRODUCT(
   INDEX(X:X, ROW()-COUNTIF($F$6:INDEX($F:$F, ROW()-1), $F768)) : INDEX(X:X, ROW()-1),
   INDEX(AA:AA, ROW()-COUNTIF($F$6:INDEX($F:$F, ROW()-1), $F768)) : INDEX(AA:AA, ROW()-1)
   )
   /SUM(INDEX(AA:AA, ROW()-COUNTIF($F$6:INDEX($F:$F, ROW()-1), $F768)) : INDEX(AA:AA, ROW()-1)),
   AVERAGEIFS(
     INDEX((unit_details[Asking Rent],unit_details[Asking PSF]),0,1,IF($U$3="Chunk Rent",1,2)),
     unit_details[Leased Date],"&gt;="&amp;($AM$2-X$5),
     unit_details[Leased Date],"&lt;"&amp;$AM$2,
     unit_details[Beds],$L769,
     unit_details[Baths],$M769,
     unit_details[Partial Baths],IF(ISNUMBER($N769),$N769,""),
     unit_details[Sqft],$P769,
     unit_details[Property Name],$F769)
 ),"")</f>
        <v/>
      </c>
      <c r="Y769" s="552" t="str">
        <f>IFERROR(
 IF($F769="Total",
   SUMPRODUCT(
   INDEX(Y:Y, ROW()-COUNTIF($F$6:INDEX($F:$F, ROW()-1), $F768)) : INDEX(Y:Y, ROW()-1),
   INDEX(AA:AA, ROW()-COUNTIF($F$6:INDEX($F:$F, ROW()-1), $F768)) : INDEX(AA:AA, ROW()-1)
   )
   /SUM(INDEX(AA:AA, ROW()-COUNTIF($F$6:INDEX($F:$F, ROW()-1), $F768)) : INDEX(AA:AA, ROW()-1)),
   AVERAGEIFS(
     INDEX((unit_details[Effective Rent],unit_details[Effective PSF]),0,1,IF($U$3="Chunk Rent",1,2)),
     unit_details[Leased Date],"&gt;="&amp;($AM$2-X$5),
     unit_details[Leased Date],"&lt;"&amp;$AM$2,
     unit_details[Beds],$L769,
     unit_details[Baths],$M769,
     unit_details[Partial Baths],IF(ISNUMBER($N769),$N769,""),
     unit_details[Sqft],$P769,
     unit_details[Property Name],$F769)
 ),"")</f>
        <v/>
      </c>
      <c r="Z769" s="27" t="str">
        <f t="shared" si="132"/>
        <v/>
      </c>
      <c r="AA769" s="526">
        <f>IFERROR(
  IF($F769="Total",
    SUM(INDEX(AA:AA, ROW()-COUNTIF($F$6:INDEX($F:$F, ROW()-1), $F768)) : INDEX(AA:AA, ROW()-1)),
    COUNTIFS(
      unit_details[Leased Date], "&gt;="&amp;($AM$2-X$5),
      unit_details[Leased Date], "&lt;"&amp;$AM$2,
      unit_details[Beds], $L769,
      unit_details[Baths], $M769,
      unit_details[Partial Baths], IF(ISNUMBER($N769), $N769, ""),
      unit_details[Sqft],$P769,
      unit_details[Property Name], $F769
    )
  ),
"")</f>
        <v>0</v>
      </c>
      <c r="AB769" s="290">
        <f>IF($F769="Total",
SUM(INDEX(AB:AB, ROW()-COUNTIF($F$6:INDEX($F:$F, ROW()-1), $F768)) : INDEX(AB:AB, ROW()-1)),
COUNTIFS(unit_details[Active Listing?],TRUE,
          unit_details[Property Name], $F769,
          unit_details[Beds], $L769,
          unit_details[Baths], $M769,
          unit_details[Partial Baths],IF(ISNUMBER($N769),$N769,""),
          unit_details[Sqft],$P769))</f>
        <v>0</v>
      </c>
      <c r="AC769" s="27" t="str">
        <f t="shared" si="124"/>
        <v/>
      </c>
      <c r="AD769" s="293" t="str">
        <f>IFERROR(IF(AE769="","",IF($F769="Total",
SUMPRODUCT(
   INDEX(AD:AD, ROW()-COUNTIF($F$6:INDEX($F:$F, ROW()-1), $F768)) : INDEX(AD:AD, ROW()-1),
   INDEX(AB:AB, ROW()-COUNTIF($F$6:INDEX($F:$F, ROW()-1), $F768)) : INDEX(AB:AB, ROW()-1)
   )
   /SUM(INDEX(AB:AB, ROW()-COUNTIF($F$6:INDEX($F:$F, ROW()-1), $F768)) : INDEX(AB:AB, ROW()-1)),
          _xlfn.MINIFS(unit_details[Asking Rent],
          unit_details[Active Listing?],TRUE,
          unit_details[Property Name], $F769,
          unit_details[Beds], $L769,
          unit_details[Baths], $M769,
          unit_details[Partial Baths], IF(ISNUMBER($N769),$N769,""),
          unit_details[Sqft],$P769
))),"")</f>
        <v/>
      </c>
      <c r="AE769" s="5" t="str">
        <f>IFERROR(IF($F769="Total",
          SUMPRODUCT(
   INDEX(AE:AE, ROW()-COUNTIF($F$6:INDEX($F:$F, ROW()-1), $F768)) : INDEX(AE:AE, ROW()-1),
   INDEX(AB:AB, ROW()-COUNTIF($F$6:INDEX($F:$F, ROW()-1), $F768)) : INDEX(AB:AB, ROW()-1)
   )
   /SUM(INDEX(AB:AB, ROW()-COUNTIF($F$6:INDEX($F:$F, ROW()-1), $F768)) : INDEX(AB:AB, ROW()-1)),
          AVERAGEIFS(unit_details[Asking Rent],
          unit_details[Active Listing?],TRUE,
          unit_details[Property Name], $F769,
          unit_details[Beds], $L769,
          unit_details[Baths], $M769,
          unit_details[Partial Baths], IF(ISNUMBER($N769),$N769,""),
          unit_details[Sqft],$P769
)),"")</f>
        <v/>
      </c>
      <c r="AF769" s="5" t="str">
        <f>IFERROR(IF(AE769="","",IF($F769="Total",
SUMPRODUCT(
   INDEX(AF:AF, ROW()-COUNTIF($F$6:INDEX($F:$F, ROW()-1), $F768)) : INDEX(AF:AF, ROW()-1),
   INDEX(AB:AB, ROW()-COUNTIF($F$6:INDEX($F:$F, ROW()-1), $F768)) : INDEX(AB:AB, ROW()-1)
   )
   /SUM(INDEX(AB:AB, ROW()-COUNTIF($F$6:INDEX($F:$F, ROW()-1), $F768)) : INDEX(AB:AB, ROW()-1)),
           _xlfn.MAXIFS(unit_details[Asking Rent],
          unit_details[Active Listing?],TRUE,
          unit_details[Property Name], $F769,
          unit_details[Beds], $L769,
          unit_details[Baths], $M769,
          unit_details[Partial Baths], IF(ISNUMBER($N769),$N769,""),
          unit_details[Sqft],$P769
))),"")</f>
        <v/>
      </c>
      <c r="AG769" s="6" t="str">
        <f>IFERROR(IF($F769="Total",
         SUMPRODUCT(
         INDEX(AG:AG, ROW()-COUNTIF($F$6:INDEX($F:$F, ROW()-1), $F768)) : INDEX(AG:AG, ROW()-1),
         INDEX(AB:AB, ROW()-COUNTIF($F$6:INDEX($F:$F, ROW()-1), $F768)) : INDEX(AB:AB, ROW()-1)
         )
         /SUM(INDEX(AB:AB, ROW()-COUNTIF($F$6:INDEX($F:$F, ROW()-1), $F768)) : INDEX(AB:AB, ROW()-1)),
          AVERAGEIFS(unit_details[Asking PSF],
          unit_details[Active Listing?],TRUE,
          unit_details[Property Name], $F769,
          unit_details[Beds], $L769,
          unit_details[Baths], $M769,
          unit_details[Partial Baths], IF(ISNUMBER($N769),$N769,""),
          unit_details[Sqft],$P769
)),"")</f>
        <v/>
      </c>
      <c r="AH769" s="293" t="str">
        <f>IFERROR(IF($F769="Total",
         SUMPRODUCT(
         INDEX(AH:AH, ROW()-COUNTIF($F$6:INDEX($F:$F, ROW()-1), $F768)) : INDEX(AH:AH, ROW()-1),
         INDEX(AB:AB, ROW()-COUNTIF($F$6:INDEX($F:$F, ROW()-1), $F768)) : INDEX(AB:AB, ROW()-1)
         )
         /SUM(INDEX(AB:AB, ROW()-COUNTIF($F$6:INDEX($F:$F, ROW()-1), $F768)) : INDEX(AB:AB, ROW()-1)),
          AVERAGEIFS(unit_details[Effective Rent],
          unit_details[Active Listing?],TRUE,
          unit_details[Property Name], $F769,
          unit_details[Beds], $L769,
          unit_details[Baths], $M769,
          unit_details[Partial Baths], IF(ISNUMBER($N769),$N769,""),
          unit_details[Sqft],$P769
)),"")</f>
        <v/>
      </c>
      <c r="AI769" s="6" t="str">
        <f>IFERROR(IF($F769="Total",
         SUMPRODUCT(
         INDEX(AI:AI, ROW()-COUNTIF($F$6:INDEX($F:$F, ROW()-1), $F768)) : INDEX(AI:AI, ROW()-1),
         INDEX(AB:AB, ROW()-COUNTIF($F$6:INDEX($F:$F, ROW()-1), $F768)) : INDEX(AB:AB, ROW()-1)
         )
         /SUM(INDEX(AB:AB, ROW()-COUNTIF($F$6:INDEX($F:$F, ROW()-1), $F768)) : INDEX(AB:AB, ROW()-1)),
           AVERAGEIFS(unit_details[Effective PSF],
          unit_details[Active Listing?],TRUE,
          unit_details[Property Name], $F769,
          unit_details[Beds], $L769,
          unit_details[Baths], $M769,
          unit_details[Partial Baths], IF(ISNUMBER($N769),$N769,""),
          unit_details[Sqft],$P769
)),"")</f>
        <v/>
      </c>
      <c r="AJ769" s="824" t="str">
        <f t="shared" si="125"/>
        <v/>
      </c>
      <c r="AK769" s="531" t="str">
        <f t="shared" si="126"/>
        <v/>
      </c>
      <c r="AL769" s="714" t="str">
        <f t="shared" si="127"/>
        <v/>
      </c>
      <c r="AM769" s="531" t="str">
        <f t="shared" si="128"/>
        <v/>
      </c>
      <c r="AN769" s="716" t="str">
        <f t="shared" si="129"/>
        <v/>
      </c>
    </row>
    <row r="770" spans="6:40" x14ac:dyDescent="0.2">
      <c r="F770" s="1" t="str">
        <f t="shared" si="122"/>
        <v/>
      </c>
      <c r="G770" s="713" t="str">
        <f t="shared" si="130"/>
        <v/>
      </c>
      <c r="H770" s="17" t="str">
        <f>IFERROR(VLOOKUP($G770,Table1[[Property]:[Exposure %]],4,0),"")</f>
        <v/>
      </c>
      <c r="I770" s="3" t="str">
        <f>IFERROR(VLOOKUP($G770,Table1[[Property]:[Exposure %]],6,0),"")</f>
        <v/>
      </c>
      <c r="J770" s="3" t="str">
        <f>IFERROR(VLOOKUP($G770,Table1[[Property]:[Exposure %]],7,0),"")</f>
        <v/>
      </c>
      <c r="R770" s="4" t="str">
        <f>IFERROR(VLOOKUP(IF(F770="Total",F769,F770),Table1[[Property]:['# Units]],7,0)*S770,"")</f>
        <v/>
      </c>
      <c r="S770" s="27" t="str">
        <f t="shared" si="123"/>
        <v/>
      </c>
      <c r="T770" s="531" t="str">
        <f>IFERROR(
 IF($F770="Total",
   SUMPRODUCT(
   INDEX(T:T, ROW()-COUNTIF($F$6:INDEX($F:$F, ROW()-1), $F769)) : INDEX(T:T, ROW()-1),
   INDEX(W:W, ROW()-COUNTIF($F$6:INDEX($F:$F, ROW()-1), $F769)) : INDEX(W:W, ROW()-1)
   )
   /SUM(INDEX(W:W, ROW()-COUNTIF($F$6:INDEX($F:$F, ROW()-1), $F769)) : INDEX(W:W, ROW()-1)),
   AVERAGEIFS(
     INDEX((unit_details[Asking Rent],unit_details[Asking PSF]),0,1,IF($U$3="Chunk Rent",1,2)),
     unit_details[Leased Date],"&gt;="&amp;($AM$2-T$5),
     unit_details[Leased Date],"&lt;"&amp;$AM$2,
     unit_details[Beds],$L770,
     unit_details[Baths],$M770,
     unit_details[Partial Baths],IF(ISNUMBER($N770),$N770,""),
     unit_details[Sqft],$P770,
     unit_details[Property Name],$F770)
 ),"")</f>
        <v/>
      </c>
      <c r="U770" s="552" t="str">
        <f>IFERROR(
 IF($F770="Total",
   SUMPRODUCT(
   INDEX(U:U, ROW()-COUNTIF($F$6:INDEX($F:$F, ROW()-1), $F769)) : INDEX(U:U, ROW()-1),
   INDEX(W:W, ROW()-COUNTIF($F$6:INDEX($F:$F, ROW()-1), $F769)) : INDEX(W:W, ROW()-1)
   )
   /SUM(INDEX(W:W, ROW()-COUNTIF($F$6:INDEX($F:$F, ROW()-1), $F769)) : INDEX(W:W, ROW()-1)),
   AVERAGEIFS(
     INDEX((unit_details[Effective Rent],unit_details[Effective PSF]),0,1,IF($U$3="Chunk Rent",1,2)),
     unit_details[Leased Date],"&gt;="&amp;($AM$2-T$5),
     unit_details[Leased Date],"&lt;"&amp;$AM$2,
     unit_details[Beds],$L770,
     unit_details[Baths],$M770,
     unit_details[Partial Baths],IF(ISNUMBER($N770),$N770,""),
     unit_details[Sqft],$P770,
     unit_details[Property Name],$F770)
 ),"")</f>
        <v/>
      </c>
      <c r="V770" s="27" t="str">
        <f t="shared" si="131"/>
        <v/>
      </c>
      <c r="W770" s="526">
        <f>IFERROR(
  IF($F770="Total",
    SUM(INDEX(W:W, ROW()-COUNTIF($F$6:INDEX($F:$F, ROW()-1), $F769)) : INDEX(W:W, ROW()-1)),
    COUNTIFS(
      unit_details[Leased Date], "&gt;="&amp;($AM$2-T$5),
      unit_details[Leased Date], "&lt;"&amp;$AM$2,
      unit_details[Beds], $L770,
      unit_details[Baths], $M770,
      unit_details[Partial Baths], IF(ISNUMBER($N770), $N770, ""),
      unit_details[Sqft],$P770,
      unit_details[Property Name], $F770
    )
  ),
"")</f>
        <v>0</v>
      </c>
      <c r="X770" s="531" t="str">
        <f>IFERROR(
 IF($F770="Total",
   SUMPRODUCT(
   INDEX(X:X, ROW()-COUNTIF($F$6:INDEX($F:$F, ROW()-1), $F769)) : INDEX(X:X, ROW()-1),
   INDEX(AA:AA, ROW()-COUNTIF($F$6:INDEX($F:$F, ROW()-1), $F769)) : INDEX(AA:AA, ROW()-1)
   )
   /SUM(INDEX(AA:AA, ROW()-COUNTIF($F$6:INDEX($F:$F, ROW()-1), $F769)) : INDEX(AA:AA, ROW()-1)),
   AVERAGEIFS(
     INDEX((unit_details[Asking Rent],unit_details[Asking PSF]),0,1,IF($U$3="Chunk Rent",1,2)),
     unit_details[Leased Date],"&gt;="&amp;($AM$2-X$5),
     unit_details[Leased Date],"&lt;"&amp;$AM$2,
     unit_details[Beds],$L770,
     unit_details[Baths],$M770,
     unit_details[Partial Baths],IF(ISNUMBER($N770),$N770,""),
     unit_details[Sqft],$P770,
     unit_details[Property Name],$F770)
 ),"")</f>
        <v/>
      </c>
      <c r="Y770" s="552" t="str">
        <f>IFERROR(
 IF($F770="Total",
   SUMPRODUCT(
   INDEX(Y:Y, ROW()-COUNTIF($F$6:INDEX($F:$F, ROW()-1), $F769)) : INDEX(Y:Y, ROW()-1),
   INDEX(AA:AA, ROW()-COUNTIF($F$6:INDEX($F:$F, ROW()-1), $F769)) : INDEX(AA:AA, ROW()-1)
   )
   /SUM(INDEX(AA:AA, ROW()-COUNTIF($F$6:INDEX($F:$F, ROW()-1), $F769)) : INDEX(AA:AA, ROW()-1)),
   AVERAGEIFS(
     INDEX((unit_details[Effective Rent],unit_details[Effective PSF]),0,1,IF($U$3="Chunk Rent",1,2)),
     unit_details[Leased Date],"&gt;="&amp;($AM$2-X$5),
     unit_details[Leased Date],"&lt;"&amp;$AM$2,
     unit_details[Beds],$L770,
     unit_details[Baths],$M770,
     unit_details[Partial Baths],IF(ISNUMBER($N770),$N770,""),
     unit_details[Sqft],$P770,
     unit_details[Property Name],$F770)
 ),"")</f>
        <v/>
      </c>
      <c r="Z770" s="27" t="str">
        <f t="shared" si="132"/>
        <v/>
      </c>
      <c r="AA770" s="526">
        <f>IFERROR(
  IF($F770="Total",
    SUM(INDEX(AA:AA, ROW()-COUNTIF($F$6:INDEX($F:$F, ROW()-1), $F769)) : INDEX(AA:AA, ROW()-1)),
    COUNTIFS(
      unit_details[Leased Date], "&gt;="&amp;($AM$2-X$5),
      unit_details[Leased Date], "&lt;"&amp;$AM$2,
      unit_details[Beds], $L770,
      unit_details[Baths], $M770,
      unit_details[Partial Baths], IF(ISNUMBER($N770), $N770, ""),
      unit_details[Sqft],$P770,
      unit_details[Property Name], $F770
    )
  ),
"")</f>
        <v>0</v>
      </c>
      <c r="AB770" s="290">
        <f>IF($F770="Total",
SUM(INDEX(AB:AB, ROW()-COUNTIF($F$6:INDEX($F:$F, ROW()-1), $F769)) : INDEX(AB:AB, ROW()-1)),
COUNTIFS(unit_details[Active Listing?],TRUE,
          unit_details[Property Name], $F770,
          unit_details[Beds], $L770,
          unit_details[Baths], $M770,
          unit_details[Partial Baths],IF(ISNUMBER($N770),$N770,""),
          unit_details[Sqft],$P770))</f>
        <v>0</v>
      </c>
      <c r="AC770" s="27" t="str">
        <f t="shared" si="124"/>
        <v/>
      </c>
      <c r="AD770" s="293" t="str">
        <f>IFERROR(IF(AE770="","",IF($F770="Total",
SUMPRODUCT(
   INDEX(AD:AD, ROW()-COUNTIF($F$6:INDEX($F:$F, ROW()-1), $F769)) : INDEX(AD:AD, ROW()-1),
   INDEX(AB:AB, ROW()-COUNTIF($F$6:INDEX($F:$F, ROW()-1), $F769)) : INDEX(AB:AB, ROW()-1)
   )
   /SUM(INDEX(AB:AB, ROW()-COUNTIF($F$6:INDEX($F:$F, ROW()-1), $F769)) : INDEX(AB:AB, ROW()-1)),
          _xlfn.MINIFS(unit_details[Asking Rent],
          unit_details[Active Listing?],TRUE,
          unit_details[Property Name], $F770,
          unit_details[Beds], $L770,
          unit_details[Baths], $M770,
          unit_details[Partial Baths], IF(ISNUMBER($N770),$N770,""),
          unit_details[Sqft],$P770
))),"")</f>
        <v/>
      </c>
      <c r="AE770" s="5" t="str">
        <f>IFERROR(IF($F770="Total",
          SUMPRODUCT(
   INDEX(AE:AE, ROW()-COUNTIF($F$6:INDEX($F:$F, ROW()-1), $F769)) : INDEX(AE:AE, ROW()-1),
   INDEX(AB:AB, ROW()-COUNTIF($F$6:INDEX($F:$F, ROW()-1), $F769)) : INDEX(AB:AB, ROW()-1)
   )
   /SUM(INDEX(AB:AB, ROW()-COUNTIF($F$6:INDEX($F:$F, ROW()-1), $F769)) : INDEX(AB:AB, ROW()-1)),
          AVERAGEIFS(unit_details[Asking Rent],
          unit_details[Active Listing?],TRUE,
          unit_details[Property Name], $F770,
          unit_details[Beds], $L770,
          unit_details[Baths], $M770,
          unit_details[Partial Baths], IF(ISNUMBER($N770),$N770,""),
          unit_details[Sqft],$P770
)),"")</f>
        <v/>
      </c>
      <c r="AF770" s="5" t="str">
        <f>IFERROR(IF(AE770="","",IF($F770="Total",
SUMPRODUCT(
   INDEX(AF:AF, ROW()-COUNTIF($F$6:INDEX($F:$F, ROW()-1), $F769)) : INDEX(AF:AF, ROW()-1),
   INDEX(AB:AB, ROW()-COUNTIF($F$6:INDEX($F:$F, ROW()-1), $F769)) : INDEX(AB:AB, ROW()-1)
   )
   /SUM(INDEX(AB:AB, ROW()-COUNTIF($F$6:INDEX($F:$F, ROW()-1), $F769)) : INDEX(AB:AB, ROW()-1)),
           _xlfn.MAXIFS(unit_details[Asking Rent],
          unit_details[Active Listing?],TRUE,
          unit_details[Property Name], $F770,
          unit_details[Beds], $L770,
          unit_details[Baths], $M770,
          unit_details[Partial Baths], IF(ISNUMBER($N770),$N770,""),
          unit_details[Sqft],$P770
))),"")</f>
        <v/>
      </c>
      <c r="AG770" s="6" t="str">
        <f>IFERROR(IF($F770="Total",
         SUMPRODUCT(
         INDEX(AG:AG, ROW()-COUNTIF($F$6:INDEX($F:$F, ROW()-1), $F769)) : INDEX(AG:AG, ROW()-1),
         INDEX(AB:AB, ROW()-COUNTIF($F$6:INDEX($F:$F, ROW()-1), $F769)) : INDEX(AB:AB, ROW()-1)
         )
         /SUM(INDEX(AB:AB, ROW()-COUNTIF($F$6:INDEX($F:$F, ROW()-1), $F769)) : INDEX(AB:AB, ROW()-1)),
          AVERAGEIFS(unit_details[Asking PSF],
          unit_details[Active Listing?],TRUE,
          unit_details[Property Name], $F770,
          unit_details[Beds], $L770,
          unit_details[Baths], $M770,
          unit_details[Partial Baths], IF(ISNUMBER($N770),$N770,""),
          unit_details[Sqft],$P770
)),"")</f>
        <v/>
      </c>
      <c r="AH770" s="293" t="str">
        <f>IFERROR(IF($F770="Total",
         SUMPRODUCT(
         INDEX(AH:AH, ROW()-COUNTIF($F$6:INDEX($F:$F, ROW()-1), $F769)) : INDEX(AH:AH, ROW()-1),
         INDEX(AB:AB, ROW()-COUNTIF($F$6:INDEX($F:$F, ROW()-1), $F769)) : INDEX(AB:AB, ROW()-1)
         )
         /SUM(INDEX(AB:AB, ROW()-COUNTIF($F$6:INDEX($F:$F, ROW()-1), $F769)) : INDEX(AB:AB, ROW()-1)),
          AVERAGEIFS(unit_details[Effective Rent],
          unit_details[Active Listing?],TRUE,
          unit_details[Property Name], $F770,
          unit_details[Beds], $L770,
          unit_details[Baths], $M770,
          unit_details[Partial Baths], IF(ISNUMBER($N770),$N770,""),
          unit_details[Sqft],$P770
)),"")</f>
        <v/>
      </c>
      <c r="AI770" s="6" t="str">
        <f>IFERROR(IF($F770="Total",
         SUMPRODUCT(
         INDEX(AI:AI, ROW()-COUNTIF($F$6:INDEX($F:$F, ROW()-1), $F769)) : INDEX(AI:AI, ROW()-1),
         INDEX(AB:AB, ROW()-COUNTIF($F$6:INDEX($F:$F, ROW()-1), $F769)) : INDEX(AB:AB, ROW()-1)
         )
         /SUM(INDEX(AB:AB, ROW()-COUNTIF($F$6:INDEX($F:$F, ROW()-1), $F769)) : INDEX(AB:AB, ROW()-1)),
           AVERAGEIFS(unit_details[Effective PSF],
          unit_details[Active Listing?],TRUE,
          unit_details[Property Name], $F770,
          unit_details[Beds], $L770,
          unit_details[Baths], $M770,
          unit_details[Partial Baths], IF(ISNUMBER($N770),$N770,""),
          unit_details[Sqft],$P770
)),"")</f>
        <v/>
      </c>
      <c r="AJ770" s="824" t="str">
        <f t="shared" si="125"/>
        <v/>
      </c>
      <c r="AK770" s="531" t="str">
        <f t="shared" si="126"/>
        <v/>
      </c>
      <c r="AL770" s="714" t="str">
        <f t="shared" si="127"/>
        <v/>
      </c>
      <c r="AM770" s="531" t="str">
        <f t="shared" si="128"/>
        <v/>
      </c>
      <c r="AN770" s="716" t="str">
        <f t="shared" si="129"/>
        <v/>
      </c>
    </row>
    <row r="771" spans="6:40" x14ac:dyDescent="0.2">
      <c r="F771" s="1" t="str">
        <f t="shared" si="122"/>
        <v/>
      </c>
      <c r="G771" s="713" t="str">
        <f t="shared" si="130"/>
        <v/>
      </c>
      <c r="H771" s="17" t="str">
        <f>IFERROR(VLOOKUP($G771,Table1[[Property]:[Exposure %]],4,0),"")</f>
        <v/>
      </c>
      <c r="I771" s="3" t="str">
        <f>IFERROR(VLOOKUP($G771,Table1[[Property]:[Exposure %]],6,0),"")</f>
        <v/>
      </c>
      <c r="J771" s="3" t="str">
        <f>IFERROR(VLOOKUP($G771,Table1[[Property]:[Exposure %]],7,0),"")</f>
        <v/>
      </c>
      <c r="R771" s="4" t="str">
        <f>IFERROR(VLOOKUP(IF(F771="Total",F770,F771),Table1[[Property]:['# Units]],7,0)*S771,"")</f>
        <v/>
      </c>
      <c r="S771" s="27" t="str">
        <f t="shared" si="123"/>
        <v/>
      </c>
      <c r="T771" s="531" t="str">
        <f>IFERROR(
 IF($F771="Total",
   SUMPRODUCT(
   INDEX(T:T, ROW()-COUNTIF($F$6:INDEX($F:$F, ROW()-1), $F770)) : INDEX(T:T, ROW()-1),
   INDEX(W:W, ROW()-COUNTIF($F$6:INDEX($F:$F, ROW()-1), $F770)) : INDEX(W:W, ROW()-1)
   )
   /SUM(INDEX(W:W, ROW()-COUNTIF($F$6:INDEX($F:$F, ROW()-1), $F770)) : INDEX(W:W, ROW()-1)),
   AVERAGEIFS(
     INDEX((unit_details[Asking Rent],unit_details[Asking PSF]),0,1,IF($U$3="Chunk Rent",1,2)),
     unit_details[Leased Date],"&gt;="&amp;($AM$2-T$5),
     unit_details[Leased Date],"&lt;"&amp;$AM$2,
     unit_details[Beds],$L771,
     unit_details[Baths],$M771,
     unit_details[Partial Baths],IF(ISNUMBER($N771),$N771,""),
     unit_details[Sqft],$P771,
     unit_details[Property Name],$F771)
 ),"")</f>
        <v/>
      </c>
      <c r="U771" s="552" t="str">
        <f>IFERROR(
 IF($F771="Total",
   SUMPRODUCT(
   INDEX(U:U, ROW()-COUNTIF($F$6:INDEX($F:$F, ROW()-1), $F770)) : INDEX(U:U, ROW()-1),
   INDEX(W:W, ROW()-COUNTIF($F$6:INDEX($F:$F, ROW()-1), $F770)) : INDEX(W:W, ROW()-1)
   )
   /SUM(INDEX(W:W, ROW()-COUNTIF($F$6:INDEX($F:$F, ROW()-1), $F770)) : INDEX(W:W, ROW()-1)),
   AVERAGEIFS(
     INDEX((unit_details[Effective Rent],unit_details[Effective PSF]),0,1,IF($U$3="Chunk Rent",1,2)),
     unit_details[Leased Date],"&gt;="&amp;($AM$2-T$5),
     unit_details[Leased Date],"&lt;"&amp;$AM$2,
     unit_details[Beds],$L771,
     unit_details[Baths],$M771,
     unit_details[Partial Baths],IF(ISNUMBER($N771),$N771,""),
     unit_details[Sqft],$P771,
     unit_details[Property Name],$F771)
 ),"")</f>
        <v/>
      </c>
      <c r="V771" s="27" t="str">
        <f t="shared" si="131"/>
        <v/>
      </c>
      <c r="W771" s="526">
        <f>IFERROR(
  IF($F771="Total",
    SUM(INDEX(W:W, ROW()-COUNTIF($F$6:INDEX($F:$F, ROW()-1), $F770)) : INDEX(W:W, ROW()-1)),
    COUNTIFS(
      unit_details[Leased Date], "&gt;="&amp;($AM$2-T$5),
      unit_details[Leased Date], "&lt;"&amp;$AM$2,
      unit_details[Beds], $L771,
      unit_details[Baths], $M771,
      unit_details[Partial Baths], IF(ISNUMBER($N771), $N771, ""),
      unit_details[Sqft],$P771,
      unit_details[Property Name], $F771
    )
  ),
"")</f>
        <v>0</v>
      </c>
      <c r="X771" s="531" t="str">
        <f>IFERROR(
 IF($F771="Total",
   SUMPRODUCT(
   INDEX(X:X, ROW()-COUNTIF($F$6:INDEX($F:$F, ROW()-1), $F770)) : INDEX(X:X, ROW()-1),
   INDEX(AA:AA, ROW()-COUNTIF($F$6:INDEX($F:$F, ROW()-1), $F770)) : INDEX(AA:AA, ROW()-1)
   )
   /SUM(INDEX(AA:AA, ROW()-COUNTIF($F$6:INDEX($F:$F, ROW()-1), $F770)) : INDEX(AA:AA, ROW()-1)),
   AVERAGEIFS(
     INDEX((unit_details[Asking Rent],unit_details[Asking PSF]),0,1,IF($U$3="Chunk Rent",1,2)),
     unit_details[Leased Date],"&gt;="&amp;($AM$2-X$5),
     unit_details[Leased Date],"&lt;"&amp;$AM$2,
     unit_details[Beds],$L771,
     unit_details[Baths],$M771,
     unit_details[Partial Baths],IF(ISNUMBER($N771),$N771,""),
     unit_details[Sqft],$P771,
     unit_details[Property Name],$F771)
 ),"")</f>
        <v/>
      </c>
      <c r="Y771" s="552" t="str">
        <f>IFERROR(
 IF($F771="Total",
   SUMPRODUCT(
   INDEX(Y:Y, ROW()-COUNTIF($F$6:INDEX($F:$F, ROW()-1), $F770)) : INDEX(Y:Y, ROW()-1),
   INDEX(AA:AA, ROW()-COUNTIF($F$6:INDEX($F:$F, ROW()-1), $F770)) : INDEX(AA:AA, ROW()-1)
   )
   /SUM(INDEX(AA:AA, ROW()-COUNTIF($F$6:INDEX($F:$F, ROW()-1), $F770)) : INDEX(AA:AA, ROW()-1)),
   AVERAGEIFS(
     INDEX((unit_details[Effective Rent],unit_details[Effective PSF]),0,1,IF($U$3="Chunk Rent",1,2)),
     unit_details[Leased Date],"&gt;="&amp;($AM$2-X$5),
     unit_details[Leased Date],"&lt;"&amp;$AM$2,
     unit_details[Beds],$L771,
     unit_details[Baths],$M771,
     unit_details[Partial Baths],IF(ISNUMBER($N771),$N771,""),
     unit_details[Sqft],$P771,
     unit_details[Property Name],$F771)
 ),"")</f>
        <v/>
      </c>
      <c r="Z771" s="27" t="str">
        <f t="shared" si="132"/>
        <v/>
      </c>
      <c r="AA771" s="526">
        <f>IFERROR(
  IF($F771="Total",
    SUM(INDEX(AA:AA, ROW()-COUNTIF($F$6:INDEX($F:$F, ROW()-1), $F770)) : INDEX(AA:AA, ROW()-1)),
    COUNTIFS(
      unit_details[Leased Date], "&gt;="&amp;($AM$2-X$5),
      unit_details[Leased Date], "&lt;"&amp;$AM$2,
      unit_details[Beds], $L771,
      unit_details[Baths], $M771,
      unit_details[Partial Baths], IF(ISNUMBER($N771), $N771, ""),
      unit_details[Sqft],$P771,
      unit_details[Property Name], $F771
    )
  ),
"")</f>
        <v>0</v>
      </c>
      <c r="AB771" s="290">
        <f>IF($F771="Total",
SUM(INDEX(AB:AB, ROW()-COUNTIF($F$6:INDEX($F:$F, ROW()-1), $F770)) : INDEX(AB:AB, ROW()-1)),
COUNTIFS(unit_details[Active Listing?],TRUE,
          unit_details[Property Name], $F771,
          unit_details[Beds], $L771,
          unit_details[Baths], $M771,
          unit_details[Partial Baths],IF(ISNUMBER($N771),$N771,""),
          unit_details[Sqft],$P771))</f>
        <v>0</v>
      </c>
      <c r="AC771" s="27" t="str">
        <f t="shared" si="124"/>
        <v/>
      </c>
      <c r="AD771" s="293" t="str">
        <f>IFERROR(IF(AE771="","",IF($F771="Total",
SUMPRODUCT(
   INDEX(AD:AD, ROW()-COUNTIF($F$6:INDEX($F:$F, ROW()-1), $F770)) : INDEX(AD:AD, ROW()-1),
   INDEX(AB:AB, ROW()-COUNTIF($F$6:INDEX($F:$F, ROW()-1), $F770)) : INDEX(AB:AB, ROW()-1)
   )
   /SUM(INDEX(AB:AB, ROW()-COUNTIF($F$6:INDEX($F:$F, ROW()-1), $F770)) : INDEX(AB:AB, ROW()-1)),
          _xlfn.MINIFS(unit_details[Asking Rent],
          unit_details[Active Listing?],TRUE,
          unit_details[Property Name], $F771,
          unit_details[Beds], $L771,
          unit_details[Baths], $M771,
          unit_details[Partial Baths], IF(ISNUMBER($N771),$N771,""),
          unit_details[Sqft],$P771
))),"")</f>
        <v/>
      </c>
      <c r="AE771" s="5" t="str">
        <f>IFERROR(IF($F771="Total",
          SUMPRODUCT(
   INDEX(AE:AE, ROW()-COUNTIF($F$6:INDEX($F:$F, ROW()-1), $F770)) : INDEX(AE:AE, ROW()-1),
   INDEX(AB:AB, ROW()-COUNTIF($F$6:INDEX($F:$F, ROW()-1), $F770)) : INDEX(AB:AB, ROW()-1)
   )
   /SUM(INDEX(AB:AB, ROW()-COUNTIF($F$6:INDEX($F:$F, ROW()-1), $F770)) : INDEX(AB:AB, ROW()-1)),
          AVERAGEIFS(unit_details[Asking Rent],
          unit_details[Active Listing?],TRUE,
          unit_details[Property Name], $F771,
          unit_details[Beds], $L771,
          unit_details[Baths], $M771,
          unit_details[Partial Baths], IF(ISNUMBER($N771),$N771,""),
          unit_details[Sqft],$P771
)),"")</f>
        <v/>
      </c>
      <c r="AF771" s="5" t="str">
        <f>IFERROR(IF(AE771="","",IF($F771="Total",
SUMPRODUCT(
   INDEX(AF:AF, ROW()-COUNTIF($F$6:INDEX($F:$F, ROW()-1), $F770)) : INDEX(AF:AF, ROW()-1),
   INDEX(AB:AB, ROW()-COUNTIF($F$6:INDEX($F:$F, ROW()-1), $F770)) : INDEX(AB:AB, ROW()-1)
   )
   /SUM(INDEX(AB:AB, ROW()-COUNTIF($F$6:INDEX($F:$F, ROW()-1), $F770)) : INDEX(AB:AB, ROW()-1)),
           _xlfn.MAXIFS(unit_details[Asking Rent],
          unit_details[Active Listing?],TRUE,
          unit_details[Property Name], $F771,
          unit_details[Beds], $L771,
          unit_details[Baths], $M771,
          unit_details[Partial Baths], IF(ISNUMBER($N771),$N771,""),
          unit_details[Sqft],$P771
))),"")</f>
        <v/>
      </c>
      <c r="AG771" s="6" t="str">
        <f>IFERROR(IF($F771="Total",
         SUMPRODUCT(
         INDEX(AG:AG, ROW()-COUNTIF($F$6:INDEX($F:$F, ROW()-1), $F770)) : INDEX(AG:AG, ROW()-1),
         INDEX(AB:AB, ROW()-COUNTIF($F$6:INDEX($F:$F, ROW()-1), $F770)) : INDEX(AB:AB, ROW()-1)
         )
         /SUM(INDEX(AB:AB, ROW()-COUNTIF($F$6:INDEX($F:$F, ROW()-1), $F770)) : INDEX(AB:AB, ROW()-1)),
          AVERAGEIFS(unit_details[Asking PSF],
          unit_details[Active Listing?],TRUE,
          unit_details[Property Name], $F771,
          unit_details[Beds], $L771,
          unit_details[Baths], $M771,
          unit_details[Partial Baths], IF(ISNUMBER($N771),$N771,""),
          unit_details[Sqft],$P771
)),"")</f>
        <v/>
      </c>
      <c r="AH771" s="293" t="str">
        <f>IFERROR(IF($F771="Total",
         SUMPRODUCT(
         INDEX(AH:AH, ROW()-COUNTIF($F$6:INDEX($F:$F, ROW()-1), $F770)) : INDEX(AH:AH, ROW()-1),
         INDEX(AB:AB, ROW()-COUNTIF($F$6:INDEX($F:$F, ROW()-1), $F770)) : INDEX(AB:AB, ROW()-1)
         )
         /SUM(INDEX(AB:AB, ROW()-COUNTIF($F$6:INDEX($F:$F, ROW()-1), $F770)) : INDEX(AB:AB, ROW()-1)),
          AVERAGEIFS(unit_details[Effective Rent],
          unit_details[Active Listing?],TRUE,
          unit_details[Property Name], $F771,
          unit_details[Beds], $L771,
          unit_details[Baths], $M771,
          unit_details[Partial Baths], IF(ISNUMBER($N771),$N771,""),
          unit_details[Sqft],$P771
)),"")</f>
        <v/>
      </c>
      <c r="AI771" s="6" t="str">
        <f>IFERROR(IF($F771="Total",
         SUMPRODUCT(
         INDEX(AI:AI, ROW()-COUNTIF($F$6:INDEX($F:$F, ROW()-1), $F770)) : INDEX(AI:AI, ROW()-1),
         INDEX(AB:AB, ROW()-COUNTIF($F$6:INDEX($F:$F, ROW()-1), $F770)) : INDEX(AB:AB, ROW()-1)
         )
         /SUM(INDEX(AB:AB, ROW()-COUNTIF($F$6:INDEX($F:$F, ROW()-1), $F770)) : INDEX(AB:AB, ROW()-1)),
           AVERAGEIFS(unit_details[Effective PSF],
          unit_details[Active Listing?],TRUE,
          unit_details[Property Name], $F771,
          unit_details[Beds], $L771,
          unit_details[Baths], $M771,
          unit_details[Partial Baths], IF(ISNUMBER($N771),$N771,""),
          unit_details[Sqft],$P771
)),"")</f>
        <v/>
      </c>
      <c r="AJ771" s="824" t="str">
        <f t="shared" si="125"/>
        <v/>
      </c>
      <c r="AK771" s="531" t="str">
        <f t="shared" si="126"/>
        <v/>
      </c>
      <c r="AL771" s="714" t="str">
        <f t="shared" si="127"/>
        <v/>
      </c>
      <c r="AM771" s="531" t="str">
        <f t="shared" si="128"/>
        <v/>
      </c>
      <c r="AN771" s="716" t="str">
        <f t="shared" si="129"/>
        <v/>
      </c>
    </row>
    <row r="772" spans="6:40" x14ac:dyDescent="0.2">
      <c r="F772" s="1" t="str">
        <f t="shared" si="122"/>
        <v/>
      </c>
      <c r="G772" s="713" t="str">
        <f t="shared" si="130"/>
        <v/>
      </c>
      <c r="H772" s="17" t="str">
        <f>IFERROR(VLOOKUP($G772,Table1[[Property]:[Exposure %]],4,0),"")</f>
        <v/>
      </c>
      <c r="I772" s="3" t="str">
        <f>IFERROR(VLOOKUP($G772,Table1[[Property]:[Exposure %]],6,0),"")</f>
        <v/>
      </c>
      <c r="J772" s="3" t="str">
        <f>IFERROR(VLOOKUP($G772,Table1[[Property]:[Exposure %]],7,0),"")</f>
        <v/>
      </c>
      <c r="R772" s="4" t="str">
        <f>IFERROR(VLOOKUP(IF(F772="Total",F771,F772),Table1[[Property]:['# Units]],7,0)*S772,"")</f>
        <v/>
      </c>
      <c r="S772" s="27" t="str">
        <f t="shared" si="123"/>
        <v/>
      </c>
      <c r="T772" s="531" t="str">
        <f>IFERROR(
 IF($F772="Total",
   SUMPRODUCT(
   INDEX(T:T, ROW()-COUNTIF($F$6:INDEX($F:$F, ROW()-1), $F771)) : INDEX(T:T, ROW()-1),
   INDEX(W:W, ROW()-COUNTIF($F$6:INDEX($F:$F, ROW()-1), $F771)) : INDEX(W:W, ROW()-1)
   )
   /SUM(INDEX(W:W, ROW()-COUNTIF($F$6:INDEX($F:$F, ROW()-1), $F771)) : INDEX(W:W, ROW()-1)),
   AVERAGEIFS(
     INDEX((unit_details[Asking Rent],unit_details[Asking PSF]),0,1,IF($U$3="Chunk Rent",1,2)),
     unit_details[Leased Date],"&gt;="&amp;($AM$2-T$5),
     unit_details[Leased Date],"&lt;"&amp;$AM$2,
     unit_details[Beds],$L772,
     unit_details[Baths],$M772,
     unit_details[Partial Baths],IF(ISNUMBER($N772),$N772,""),
     unit_details[Sqft],$P772,
     unit_details[Property Name],$F772)
 ),"")</f>
        <v/>
      </c>
      <c r="U772" s="552" t="str">
        <f>IFERROR(
 IF($F772="Total",
   SUMPRODUCT(
   INDEX(U:U, ROW()-COUNTIF($F$6:INDEX($F:$F, ROW()-1), $F771)) : INDEX(U:U, ROW()-1),
   INDEX(W:W, ROW()-COUNTIF($F$6:INDEX($F:$F, ROW()-1), $F771)) : INDEX(W:W, ROW()-1)
   )
   /SUM(INDEX(W:W, ROW()-COUNTIF($F$6:INDEX($F:$F, ROW()-1), $F771)) : INDEX(W:W, ROW()-1)),
   AVERAGEIFS(
     INDEX((unit_details[Effective Rent],unit_details[Effective PSF]),0,1,IF($U$3="Chunk Rent",1,2)),
     unit_details[Leased Date],"&gt;="&amp;($AM$2-T$5),
     unit_details[Leased Date],"&lt;"&amp;$AM$2,
     unit_details[Beds],$L772,
     unit_details[Baths],$M772,
     unit_details[Partial Baths],IF(ISNUMBER($N772),$N772,""),
     unit_details[Sqft],$P772,
     unit_details[Property Name],$F772)
 ),"")</f>
        <v/>
      </c>
      <c r="V772" s="27" t="str">
        <f t="shared" si="131"/>
        <v/>
      </c>
      <c r="W772" s="526">
        <f>IFERROR(
  IF($F772="Total",
    SUM(INDEX(W:W, ROW()-COUNTIF($F$6:INDEX($F:$F, ROW()-1), $F771)) : INDEX(W:W, ROW()-1)),
    COUNTIFS(
      unit_details[Leased Date], "&gt;="&amp;($AM$2-T$5),
      unit_details[Leased Date], "&lt;"&amp;$AM$2,
      unit_details[Beds], $L772,
      unit_details[Baths], $M772,
      unit_details[Partial Baths], IF(ISNUMBER($N772), $N772, ""),
      unit_details[Sqft],$P772,
      unit_details[Property Name], $F772
    )
  ),
"")</f>
        <v>0</v>
      </c>
      <c r="X772" s="531" t="str">
        <f>IFERROR(
 IF($F772="Total",
   SUMPRODUCT(
   INDEX(X:X, ROW()-COUNTIF($F$6:INDEX($F:$F, ROW()-1), $F771)) : INDEX(X:X, ROW()-1),
   INDEX(AA:AA, ROW()-COUNTIF($F$6:INDEX($F:$F, ROW()-1), $F771)) : INDEX(AA:AA, ROW()-1)
   )
   /SUM(INDEX(AA:AA, ROW()-COUNTIF($F$6:INDEX($F:$F, ROW()-1), $F771)) : INDEX(AA:AA, ROW()-1)),
   AVERAGEIFS(
     INDEX((unit_details[Asking Rent],unit_details[Asking PSF]),0,1,IF($U$3="Chunk Rent",1,2)),
     unit_details[Leased Date],"&gt;="&amp;($AM$2-X$5),
     unit_details[Leased Date],"&lt;"&amp;$AM$2,
     unit_details[Beds],$L772,
     unit_details[Baths],$M772,
     unit_details[Partial Baths],IF(ISNUMBER($N772),$N772,""),
     unit_details[Sqft],$P772,
     unit_details[Property Name],$F772)
 ),"")</f>
        <v/>
      </c>
      <c r="Y772" s="552" t="str">
        <f>IFERROR(
 IF($F772="Total",
   SUMPRODUCT(
   INDEX(Y:Y, ROW()-COUNTIF($F$6:INDEX($F:$F, ROW()-1), $F771)) : INDEX(Y:Y, ROW()-1),
   INDEX(AA:AA, ROW()-COUNTIF($F$6:INDEX($F:$F, ROW()-1), $F771)) : INDEX(AA:AA, ROW()-1)
   )
   /SUM(INDEX(AA:AA, ROW()-COUNTIF($F$6:INDEX($F:$F, ROW()-1), $F771)) : INDEX(AA:AA, ROW()-1)),
   AVERAGEIFS(
     INDEX((unit_details[Effective Rent],unit_details[Effective PSF]),0,1,IF($U$3="Chunk Rent",1,2)),
     unit_details[Leased Date],"&gt;="&amp;($AM$2-X$5),
     unit_details[Leased Date],"&lt;"&amp;$AM$2,
     unit_details[Beds],$L772,
     unit_details[Baths],$M772,
     unit_details[Partial Baths],IF(ISNUMBER($N772),$N772,""),
     unit_details[Sqft],$P772,
     unit_details[Property Name],$F772)
 ),"")</f>
        <v/>
      </c>
      <c r="Z772" s="27" t="str">
        <f t="shared" si="132"/>
        <v/>
      </c>
      <c r="AA772" s="526">
        <f>IFERROR(
  IF($F772="Total",
    SUM(INDEX(AA:AA, ROW()-COUNTIF($F$6:INDEX($F:$F, ROW()-1), $F771)) : INDEX(AA:AA, ROW()-1)),
    COUNTIFS(
      unit_details[Leased Date], "&gt;="&amp;($AM$2-X$5),
      unit_details[Leased Date], "&lt;"&amp;$AM$2,
      unit_details[Beds], $L772,
      unit_details[Baths], $M772,
      unit_details[Partial Baths], IF(ISNUMBER($N772), $N772, ""),
      unit_details[Sqft],$P772,
      unit_details[Property Name], $F772
    )
  ),
"")</f>
        <v>0</v>
      </c>
      <c r="AB772" s="290">
        <f>IF($F772="Total",
SUM(INDEX(AB:AB, ROW()-COUNTIF($F$6:INDEX($F:$F, ROW()-1), $F771)) : INDEX(AB:AB, ROW()-1)),
COUNTIFS(unit_details[Active Listing?],TRUE,
          unit_details[Property Name], $F772,
          unit_details[Beds], $L772,
          unit_details[Baths], $M772,
          unit_details[Partial Baths],IF(ISNUMBER($N772),$N772,""),
          unit_details[Sqft],$P772))</f>
        <v>0</v>
      </c>
      <c r="AC772" s="27" t="str">
        <f t="shared" si="124"/>
        <v/>
      </c>
      <c r="AD772" s="293" t="str">
        <f>IFERROR(IF(AE772="","",IF($F772="Total",
SUMPRODUCT(
   INDEX(AD:AD, ROW()-COUNTIF($F$6:INDEX($F:$F, ROW()-1), $F771)) : INDEX(AD:AD, ROW()-1),
   INDEX(AB:AB, ROW()-COUNTIF($F$6:INDEX($F:$F, ROW()-1), $F771)) : INDEX(AB:AB, ROW()-1)
   )
   /SUM(INDEX(AB:AB, ROW()-COUNTIF($F$6:INDEX($F:$F, ROW()-1), $F771)) : INDEX(AB:AB, ROW()-1)),
          _xlfn.MINIFS(unit_details[Asking Rent],
          unit_details[Active Listing?],TRUE,
          unit_details[Property Name], $F772,
          unit_details[Beds], $L772,
          unit_details[Baths], $M772,
          unit_details[Partial Baths], IF(ISNUMBER($N772),$N772,""),
          unit_details[Sqft],$P772
))),"")</f>
        <v/>
      </c>
      <c r="AE772" s="5" t="str">
        <f>IFERROR(IF($F772="Total",
          SUMPRODUCT(
   INDEX(AE:AE, ROW()-COUNTIF($F$6:INDEX($F:$F, ROW()-1), $F771)) : INDEX(AE:AE, ROW()-1),
   INDEX(AB:AB, ROW()-COUNTIF($F$6:INDEX($F:$F, ROW()-1), $F771)) : INDEX(AB:AB, ROW()-1)
   )
   /SUM(INDEX(AB:AB, ROW()-COUNTIF($F$6:INDEX($F:$F, ROW()-1), $F771)) : INDEX(AB:AB, ROW()-1)),
          AVERAGEIFS(unit_details[Asking Rent],
          unit_details[Active Listing?],TRUE,
          unit_details[Property Name], $F772,
          unit_details[Beds], $L772,
          unit_details[Baths], $M772,
          unit_details[Partial Baths], IF(ISNUMBER($N772),$N772,""),
          unit_details[Sqft],$P772
)),"")</f>
        <v/>
      </c>
      <c r="AF772" s="5" t="str">
        <f>IFERROR(IF(AE772="","",IF($F772="Total",
SUMPRODUCT(
   INDEX(AF:AF, ROW()-COUNTIF($F$6:INDEX($F:$F, ROW()-1), $F771)) : INDEX(AF:AF, ROW()-1),
   INDEX(AB:AB, ROW()-COUNTIF($F$6:INDEX($F:$F, ROW()-1), $F771)) : INDEX(AB:AB, ROW()-1)
   )
   /SUM(INDEX(AB:AB, ROW()-COUNTIF($F$6:INDEX($F:$F, ROW()-1), $F771)) : INDEX(AB:AB, ROW()-1)),
           _xlfn.MAXIFS(unit_details[Asking Rent],
          unit_details[Active Listing?],TRUE,
          unit_details[Property Name], $F772,
          unit_details[Beds], $L772,
          unit_details[Baths], $M772,
          unit_details[Partial Baths], IF(ISNUMBER($N772),$N772,""),
          unit_details[Sqft],$P772
))),"")</f>
        <v/>
      </c>
      <c r="AG772" s="6" t="str">
        <f>IFERROR(IF($F772="Total",
         SUMPRODUCT(
         INDEX(AG:AG, ROW()-COUNTIF($F$6:INDEX($F:$F, ROW()-1), $F771)) : INDEX(AG:AG, ROW()-1),
         INDEX(AB:AB, ROW()-COUNTIF($F$6:INDEX($F:$F, ROW()-1), $F771)) : INDEX(AB:AB, ROW()-1)
         )
         /SUM(INDEX(AB:AB, ROW()-COUNTIF($F$6:INDEX($F:$F, ROW()-1), $F771)) : INDEX(AB:AB, ROW()-1)),
          AVERAGEIFS(unit_details[Asking PSF],
          unit_details[Active Listing?],TRUE,
          unit_details[Property Name], $F772,
          unit_details[Beds], $L772,
          unit_details[Baths], $M772,
          unit_details[Partial Baths], IF(ISNUMBER($N772),$N772,""),
          unit_details[Sqft],$P772
)),"")</f>
        <v/>
      </c>
      <c r="AH772" s="293" t="str">
        <f>IFERROR(IF($F772="Total",
         SUMPRODUCT(
         INDEX(AH:AH, ROW()-COUNTIF($F$6:INDEX($F:$F, ROW()-1), $F771)) : INDEX(AH:AH, ROW()-1),
         INDEX(AB:AB, ROW()-COUNTIF($F$6:INDEX($F:$F, ROW()-1), $F771)) : INDEX(AB:AB, ROW()-1)
         )
         /SUM(INDEX(AB:AB, ROW()-COUNTIF($F$6:INDEX($F:$F, ROW()-1), $F771)) : INDEX(AB:AB, ROW()-1)),
          AVERAGEIFS(unit_details[Effective Rent],
          unit_details[Active Listing?],TRUE,
          unit_details[Property Name], $F772,
          unit_details[Beds], $L772,
          unit_details[Baths], $M772,
          unit_details[Partial Baths], IF(ISNUMBER($N772),$N772,""),
          unit_details[Sqft],$P772
)),"")</f>
        <v/>
      </c>
      <c r="AI772" s="6" t="str">
        <f>IFERROR(IF($F772="Total",
         SUMPRODUCT(
         INDEX(AI:AI, ROW()-COUNTIF($F$6:INDEX($F:$F, ROW()-1), $F771)) : INDEX(AI:AI, ROW()-1),
         INDEX(AB:AB, ROW()-COUNTIF($F$6:INDEX($F:$F, ROW()-1), $F771)) : INDEX(AB:AB, ROW()-1)
         )
         /SUM(INDEX(AB:AB, ROW()-COUNTIF($F$6:INDEX($F:$F, ROW()-1), $F771)) : INDEX(AB:AB, ROW()-1)),
           AVERAGEIFS(unit_details[Effective PSF],
          unit_details[Active Listing?],TRUE,
          unit_details[Property Name], $F772,
          unit_details[Beds], $L772,
          unit_details[Baths], $M772,
          unit_details[Partial Baths], IF(ISNUMBER($N772),$N772,""),
          unit_details[Sqft],$P772
)),"")</f>
        <v/>
      </c>
      <c r="AJ772" s="824" t="str">
        <f t="shared" si="125"/>
        <v/>
      </c>
      <c r="AK772" s="531" t="str">
        <f t="shared" si="126"/>
        <v/>
      </c>
      <c r="AL772" s="714" t="str">
        <f t="shared" si="127"/>
        <v/>
      </c>
      <c r="AM772" s="531" t="str">
        <f t="shared" si="128"/>
        <v/>
      </c>
      <c r="AN772" s="716" t="str">
        <f t="shared" si="129"/>
        <v/>
      </c>
    </row>
    <row r="773" spans="6:40" x14ac:dyDescent="0.2">
      <c r="F773" s="1" t="str">
        <f t="shared" si="122"/>
        <v/>
      </c>
      <c r="G773" s="713" t="str">
        <f t="shared" si="130"/>
        <v/>
      </c>
      <c r="H773" s="17" t="str">
        <f>IFERROR(VLOOKUP($G773,Table1[[Property]:[Exposure %]],4,0),"")</f>
        <v/>
      </c>
      <c r="I773" s="3" t="str">
        <f>IFERROR(VLOOKUP($G773,Table1[[Property]:[Exposure %]],6,0),"")</f>
        <v/>
      </c>
      <c r="J773" s="3" t="str">
        <f>IFERROR(VLOOKUP($G773,Table1[[Property]:[Exposure %]],7,0),"")</f>
        <v/>
      </c>
      <c r="R773" s="4" t="str">
        <f>IFERROR(VLOOKUP(IF(F773="Total",F772,F773),Table1[[Property]:['# Units]],7,0)*S773,"")</f>
        <v/>
      </c>
      <c r="S773" s="27" t="str">
        <f t="shared" si="123"/>
        <v/>
      </c>
      <c r="T773" s="531" t="str">
        <f>IFERROR(
 IF($F773="Total",
   SUMPRODUCT(
   INDEX(T:T, ROW()-COUNTIF($F$6:INDEX($F:$F, ROW()-1), $F772)) : INDEX(T:T, ROW()-1),
   INDEX(W:W, ROW()-COUNTIF($F$6:INDEX($F:$F, ROW()-1), $F772)) : INDEX(W:W, ROW()-1)
   )
   /SUM(INDEX(W:W, ROW()-COUNTIF($F$6:INDEX($F:$F, ROW()-1), $F772)) : INDEX(W:W, ROW()-1)),
   AVERAGEIFS(
     INDEX((unit_details[Asking Rent],unit_details[Asking PSF]),0,1,IF($U$3="Chunk Rent",1,2)),
     unit_details[Leased Date],"&gt;="&amp;($AM$2-T$5),
     unit_details[Leased Date],"&lt;"&amp;$AM$2,
     unit_details[Beds],$L773,
     unit_details[Baths],$M773,
     unit_details[Partial Baths],IF(ISNUMBER($N773),$N773,""),
     unit_details[Sqft],$P773,
     unit_details[Property Name],$F773)
 ),"")</f>
        <v/>
      </c>
      <c r="U773" s="552" t="str">
        <f>IFERROR(
 IF($F773="Total",
   SUMPRODUCT(
   INDEX(U:U, ROW()-COUNTIF($F$6:INDEX($F:$F, ROW()-1), $F772)) : INDEX(U:U, ROW()-1),
   INDEX(W:W, ROW()-COUNTIF($F$6:INDEX($F:$F, ROW()-1), $F772)) : INDEX(W:W, ROW()-1)
   )
   /SUM(INDEX(W:W, ROW()-COUNTIF($F$6:INDEX($F:$F, ROW()-1), $F772)) : INDEX(W:W, ROW()-1)),
   AVERAGEIFS(
     INDEX((unit_details[Effective Rent],unit_details[Effective PSF]),0,1,IF($U$3="Chunk Rent",1,2)),
     unit_details[Leased Date],"&gt;="&amp;($AM$2-T$5),
     unit_details[Leased Date],"&lt;"&amp;$AM$2,
     unit_details[Beds],$L773,
     unit_details[Baths],$M773,
     unit_details[Partial Baths],IF(ISNUMBER($N773),$N773,""),
     unit_details[Sqft],$P773,
     unit_details[Property Name],$F773)
 ),"")</f>
        <v/>
      </c>
      <c r="V773" s="27" t="str">
        <f t="shared" si="131"/>
        <v/>
      </c>
      <c r="W773" s="526">
        <f>IFERROR(
  IF($F773="Total",
    SUM(INDEX(W:W, ROW()-COUNTIF($F$6:INDEX($F:$F, ROW()-1), $F772)) : INDEX(W:W, ROW()-1)),
    COUNTIFS(
      unit_details[Leased Date], "&gt;="&amp;($AM$2-T$5),
      unit_details[Leased Date], "&lt;"&amp;$AM$2,
      unit_details[Beds], $L773,
      unit_details[Baths], $M773,
      unit_details[Partial Baths], IF(ISNUMBER($N773), $N773, ""),
      unit_details[Sqft],$P773,
      unit_details[Property Name], $F773
    )
  ),
"")</f>
        <v>0</v>
      </c>
      <c r="X773" s="531" t="str">
        <f>IFERROR(
 IF($F773="Total",
   SUMPRODUCT(
   INDEX(X:X, ROW()-COUNTIF($F$6:INDEX($F:$F, ROW()-1), $F772)) : INDEX(X:X, ROW()-1),
   INDEX(AA:AA, ROW()-COUNTIF($F$6:INDEX($F:$F, ROW()-1), $F772)) : INDEX(AA:AA, ROW()-1)
   )
   /SUM(INDEX(AA:AA, ROW()-COUNTIF($F$6:INDEX($F:$F, ROW()-1), $F772)) : INDEX(AA:AA, ROW()-1)),
   AVERAGEIFS(
     INDEX((unit_details[Asking Rent],unit_details[Asking PSF]),0,1,IF($U$3="Chunk Rent",1,2)),
     unit_details[Leased Date],"&gt;="&amp;($AM$2-X$5),
     unit_details[Leased Date],"&lt;"&amp;$AM$2,
     unit_details[Beds],$L773,
     unit_details[Baths],$M773,
     unit_details[Partial Baths],IF(ISNUMBER($N773),$N773,""),
     unit_details[Sqft],$P773,
     unit_details[Property Name],$F773)
 ),"")</f>
        <v/>
      </c>
      <c r="Y773" s="552" t="str">
        <f>IFERROR(
 IF($F773="Total",
   SUMPRODUCT(
   INDEX(Y:Y, ROW()-COUNTIF($F$6:INDEX($F:$F, ROW()-1), $F772)) : INDEX(Y:Y, ROW()-1),
   INDEX(AA:AA, ROW()-COUNTIF($F$6:INDEX($F:$F, ROW()-1), $F772)) : INDEX(AA:AA, ROW()-1)
   )
   /SUM(INDEX(AA:AA, ROW()-COUNTIF($F$6:INDEX($F:$F, ROW()-1), $F772)) : INDEX(AA:AA, ROW()-1)),
   AVERAGEIFS(
     INDEX((unit_details[Effective Rent],unit_details[Effective PSF]),0,1,IF($U$3="Chunk Rent",1,2)),
     unit_details[Leased Date],"&gt;="&amp;($AM$2-X$5),
     unit_details[Leased Date],"&lt;"&amp;$AM$2,
     unit_details[Beds],$L773,
     unit_details[Baths],$M773,
     unit_details[Partial Baths],IF(ISNUMBER($N773),$N773,""),
     unit_details[Sqft],$P773,
     unit_details[Property Name],$F773)
 ),"")</f>
        <v/>
      </c>
      <c r="Z773" s="27" t="str">
        <f t="shared" si="132"/>
        <v/>
      </c>
      <c r="AA773" s="526">
        <f>IFERROR(
  IF($F773="Total",
    SUM(INDEX(AA:AA, ROW()-COUNTIF($F$6:INDEX($F:$F, ROW()-1), $F772)) : INDEX(AA:AA, ROW()-1)),
    COUNTIFS(
      unit_details[Leased Date], "&gt;="&amp;($AM$2-X$5),
      unit_details[Leased Date], "&lt;"&amp;$AM$2,
      unit_details[Beds], $L773,
      unit_details[Baths], $M773,
      unit_details[Partial Baths], IF(ISNUMBER($N773), $N773, ""),
      unit_details[Sqft],$P773,
      unit_details[Property Name], $F773
    )
  ),
"")</f>
        <v>0</v>
      </c>
      <c r="AB773" s="290">
        <f>IF($F773="Total",
SUM(INDEX(AB:AB, ROW()-COUNTIF($F$6:INDEX($F:$F, ROW()-1), $F772)) : INDEX(AB:AB, ROW()-1)),
COUNTIFS(unit_details[Active Listing?],TRUE,
          unit_details[Property Name], $F773,
          unit_details[Beds], $L773,
          unit_details[Baths], $M773,
          unit_details[Partial Baths],IF(ISNUMBER($N773),$N773,""),
          unit_details[Sqft],$P773))</f>
        <v>0</v>
      </c>
      <c r="AC773" s="27" t="str">
        <f t="shared" si="124"/>
        <v/>
      </c>
      <c r="AD773" s="293" t="str">
        <f>IFERROR(IF(AE773="","",IF($F773="Total",
SUMPRODUCT(
   INDEX(AD:AD, ROW()-COUNTIF($F$6:INDEX($F:$F, ROW()-1), $F772)) : INDEX(AD:AD, ROW()-1),
   INDEX(AB:AB, ROW()-COUNTIF($F$6:INDEX($F:$F, ROW()-1), $F772)) : INDEX(AB:AB, ROW()-1)
   )
   /SUM(INDEX(AB:AB, ROW()-COUNTIF($F$6:INDEX($F:$F, ROW()-1), $F772)) : INDEX(AB:AB, ROW()-1)),
          _xlfn.MINIFS(unit_details[Asking Rent],
          unit_details[Active Listing?],TRUE,
          unit_details[Property Name], $F773,
          unit_details[Beds], $L773,
          unit_details[Baths], $M773,
          unit_details[Partial Baths], IF(ISNUMBER($N773),$N773,""),
          unit_details[Sqft],$P773
))),"")</f>
        <v/>
      </c>
      <c r="AE773" s="5" t="str">
        <f>IFERROR(IF($F773="Total",
          SUMPRODUCT(
   INDEX(AE:AE, ROW()-COUNTIF($F$6:INDEX($F:$F, ROW()-1), $F772)) : INDEX(AE:AE, ROW()-1),
   INDEX(AB:AB, ROW()-COUNTIF($F$6:INDEX($F:$F, ROW()-1), $F772)) : INDEX(AB:AB, ROW()-1)
   )
   /SUM(INDEX(AB:AB, ROW()-COUNTIF($F$6:INDEX($F:$F, ROW()-1), $F772)) : INDEX(AB:AB, ROW()-1)),
          AVERAGEIFS(unit_details[Asking Rent],
          unit_details[Active Listing?],TRUE,
          unit_details[Property Name], $F773,
          unit_details[Beds], $L773,
          unit_details[Baths], $M773,
          unit_details[Partial Baths], IF(ISNUMBER($N773),$N773,""),
          unit_details[Sqft],$P773
)),"")</f>
        <v/>
      </c>
      <c r="AF773" s="5" t="str">
        <f>IFERROR(IF(AE773="","",IF($F773="Total",
SUMPRODUCT(
   INDEX(AF:AF, ROW()-COUNTIF($F$6:INDEX($F:$F, ROW()-1), $F772)) : INDEX(AF:AF, ROW()-1),
   INDEX(AB:AB, ROW()-COUNTIF($F$6:INDEX($F:$F, ROW()-1), $F772)) : INDEX(AB:AB, ROW()-1)
   )
   /SUM(INDEX(AB:AB, ROW()-COUNTIF($F$6:INDEX($F:$F, ROW()-1), $F772)) : INDEX(AB:AB, ROW()-1)),
           _xlfn.MAXIFS(unit_details[Asking Rent],
          unit_details[Active Listing?],TRUE,
          unit_details[Property Name], $F773,
          unit_details[Beds], $L773,
          unit_details[Baths], $M773,
          unit_details[Partial Baths], IF(ISNUMBER($N773),$N773,""),
          unit_details[Sqft],$P773
))),"")</f>
        <v/>
      </c>
      <c r="AG773" s="6" t="str">
        <f>IFERROR(IF($F773="Total",
         SUMPRODUCT(
         INDEX(AG:AG, ROW()-COUNTIF($F$6:INDEX($F:$F, ROW()-1), $F772)) : INDEX(AG:AG, ROW()-1),
         INDEX(AB:AB, ROW()-COUNTIF($F$6:INDEX($F:$F, ROW()-1), $F772)) : INDEX(AB:AB, ROW()-1)
         )
         /SUM(INDEX(AB:AB, ROW()-COUNTIF($F$6:INDEX($F:$F, ROW()-1), $F772)) : INDEX(AB:AB, ROW()-1)),
          AVERAGEIFS(unit_details[Asking PSF],
          unit_details[Active Listing?],TRUE,
          unit_details[Property Name], $F773,
          unit_details[Beds], $L773,
          unit_details[Baths], $M773,
          unit_details[Partial Baths], IF(ISNUMBER($N773),$N773,""),
          unit_details[Sqft],$P773
)),"")</f>
        <v/>
      </c>
      <c r="AH773" s="293" t="str">
        <f>IFERROR(IF($F773="Total",
         SUMPRODUCT(
         INDEX(AH:AH, ROW()-COUNTIF($F$6:INDEX($F:$F, ROW()-1), $F772)) : INDEX(AH:AH, ROW()-1),
         INDEX(AB:AB, ROW()-COUNTIF($F$6:INDEX($F:$F, ROW()-1), $F772)) : INDEX(AB:AB, ROW()-1)
         )
         /SUM(INDEX(AB:AB, ROW()-COUNTIF($F$6:INDEX($F:$F, ROW()-1), $F772)) : INDEX(AB:AB, ROW()-1)),
          AVERAGEIFS(unit_details[Effective Rent],
          unit_details[Active Listing?],TRUE,
          unit_details[Property Name], $F773,
          unit_details[Beds], $L773,
          unit_details[Baths], $M773,
          unit_details[Partial Baths], IF(ISNUMBER($N773),$N773,""),
          unit_details[Sqft],$P773
)),"")</f>
        <v/>
      </c>
      <c r="AI773" s="6" t="str">
        <f>IFERROR(IF($F773="Total",
         SUMPRODUCT(
         INDEX(AI:AI, ROW()-COUNTIF($F$6:INDEX($F:$F, ROW()-1), $F772)) : INDEX(AI:AI, ROW()-1),
         INDEX(AB:AB, ROW()-COUNTIF($F$6:INDEX($F:$F, ROW()-1), $F772)) : INDEX(AB:AB, ROW()-1)
         )
         /SUM(INDEX(AB:AB, ROW()-COUNTIF($F$6:INDEX($F:$F, ROW()-1), $F772)) : INDEX(AB:AB, ROW()-1)),
           AVERAGEIFS(unit_details[Effective PSF],
          unit_details[Active Listing?],TRUE,
          unit_details[Property Name], $F773,
          unit_details[Beds], $L773,
          unit_details[Baths], $M773,
          unit_details[Partial Baths], IF(ISNUMBER($N773),$N773,""),
          unit_details[Sqft],$P773
)),"")</f>
        <v/>
      </c>
      <c r="AJ773" s="824" t="str">
        <f t="shared" si="125"/>
        <v/>
      </c>
      <c r="AK773" s="531" t="str">
        <f t="shared" si="126"/>
        <v/>
      </c>
      <c r="AL773" s="714" t="str">
        <f t="shared" si="127"/>
        <v/>
      </c>
      <c r="AM773" s="531" t="str">
        <f t="shared" si="128"/>
        <v/>
      </c>
      <c r="AN773" s="716" t="str">
        <f t="shared" si="129"/>
        <v/>
      </c>
    </row>
    <row r="774" spans="6:40" x14ac:dyDescent="0.2">
      <c r="F774" s="1" t="str">
        <f t="shared" si="122"/>
        <v/>
      </c>
      <c r="G774" s="713" t="str">
        <f t="shared" si="130"/>
        <v/>
      </c>
      <c r="H774" s="17" t="str">
        <f>IFERROR(VLOOKUP($G774,Table1[[Property]:[Exposure %]],4,0),"")</f>
        <v/>
      </c>
      <c r="I774" s="3" t="str">
        <f>IFERROR(VLOOKUP($G774,Table1[[Property]:[Exposure %]],6,0),"")</f>
        <v/>
      </c>
      <c r="J774" s="3" t="str">
        <f>IFERROR(VLOOKUP($G774,Table1[[Property]:[Exposure %]],7,0),"")</f>
        <v/>
      </c>
      <c r="R774" s="4" t="str">
        <f>IFERROR(VLOOKUP(IF(F774="Total",F773,F774),Table1[[Property]:['# Units]],7,0)*S774,"")</f>
        <v/>
      </c>
      <c r="S774" s="27" t="str">
        <f t="shared" si="123"/>
        <v/>
      </c>
      <c r="T774" s="531" t="str">
        <f>IFERROR(
 IF($F774="Total",
   SUMPRODUCT(
   INDEX(T:T, ROW()-COUNTIF($F$6:INDEX($F:$F, ROW()-1), $F773)) : INDEX(T:T, ROW()-1),
   INDEX(W:W, ROW()-COUNTIF($F$6:INDEX($F:$F, ROW()-1), $F773)) : INDEX(W:W, ROW()-1)
   )
   /SUM(INDEX(W:W, ROW()-COUNTIF($F$6:INDEX($F:$F, ROW()-1), $F773)) : INDEX(W:W, ROW()-1)),
   AVERAGEIFS(
     INDEX((unit_details[Asking Rent],unit_details[Asking PSF]),0,1,IF($U$3="Chunk Rent",1,2)),
     unit_details[Leased Date],"&gt;="&amp;($AM$2-T$5),
     unit_details[Leased Date],"&lt;"&amp;$AM$2,
     unit_details[Beds],$L774,
     unit_details[Baths],$M774,
     unit_details[Partial Baths],IF(ISNUMBER($N774),$N774,""),
     unit_details[Sqft],$P774,
     unit_details[Property Name],$F774)
 ),"")</f>
        <v/>
      </c>
      <c r="U774" s="552" t="str">
        <f>IFERROR(
 IF($F774="Total",
   SUMPRODUCT(
   INDEX(U:U, ROW()-COUNTIF($F$6:INDEX($F:$F, ROW()-1), $F773)) : INDEX(U:U, ROW()-1),
   INDEX(W:W, ROW()-COUNTIF($F$6:INDEX($F:$F, ROW()-1), $F773)) : INDEX(W:W, ROW()-1)
   )
   /SUM(INDEX(W:W, ROW()-COUNTIF($F$6:INDEX($F:$F, ROW()-1), $F773)) : INDEX(W:W, ROW()-1)),
   AVERAGEIFS(
     INDEX((unit_details[Effective Rent],unit_details[Effective PSF]),0,1,IF($U$3="Chunk Rent",1,2)),
     unit_details[Leased Date],"&gt;="&amp;($AM$2-T$5),
     unit_details[Leased Date],"&lt;"&amp;$AM$2,
     unit_details[Beds],$L774,
     unit_details[Baths],$M774,
     unit_details[Partial Baths],IF(ISNUMBER($N774),$N774,""),
     unit_details[Sqft],$P774,
     unit_details[Property Name],$F774)
 ),"")</f>
        <v/>
      </c>
      <c r="V774" s="27" t="str">
        <f t="shared" si="131"/>
        <v/>
      </c>
      <c r="W774" s="526">
        <f>IFERROR(
  IF($F774="Total",
    SUM(INDEX(W:W, ROW()-COUNTIF($F$6:INDEX($F:$F, ROW()-1), $F773)) : INDEX(W:W, ROW()-1)),
    COUNTIFS(
      unit_details[Leased Date], "&gt;="&amp;($AM$2-T$5),
      unit_details[Leased Date], "&lt;"&amp;$AM$2,
      unit_details[Beds], $L774,
      unit_details[Baths], $M774,
      unit_details[Partial Baths], IF(ISNUMBER($N774), $N774, ""),
      unit_details[Sqft],$P774,
      unit_details[Property Name], $F774
    )
  ),
"")</f>
        <v>0</v>
      </c>
      <c r="X774" s="531" t="str">
        <f>IFERROR(
 IF($F774="Total",
   SUMPRODUCT(
   INDEX(X:X, ROW()-COUNTIF($F$6:INDEX($F:$F, ROW()-1), $F773)) : INDEX(X:X, ROW()-1),
   INDEX(AA:AA, ROW()-COUNTIF($F$6:INDEX($F:$F, ROW()-1), $F773)) : INDEX(AA:AA, ROW()-1)
   )
   /SUM(INDEX(AA:AA, ROW()-COUNTIF($F$6:INDEX($F:$F, ROW()-1), $F773)) : INDEX(AA:AA, ROW()-1)),
   AVERAGEIFS(
     INDEX((unit_details[Asking Rent],unit_details[Asking PSF]),0,1,IF($U$3="Chunk Rent",1,2)),
     unit_details[Leased Date],"&gt;="&amp;($AM$2-X$5),
     unit_details[Leased Date],"&lt;"&amp;$AM$2,
     unit_details[Beds],$L774,
     unit_details[Baths],$M774,
     unit_details[Partial Baths],IF(ISNUMBER($N774),$N774,""),
     unit_details[Sqft],$P774,
     unit_details[Property Name],$F774)
 ),"")</f>
        <v/>
      </c>
      <c r="Y774" s="552" t="str">
        <f>IFERROR(
 IF($F774="Total",
   SUMPRODUCT(
   INDEX(Y:Y, ROW()-COUNTIF($F$6:INDEX($F:$F, ROW()-1), $F773)) : INDEX(Y:Y, ROW()-1),
   INDEX(AA:AA, ROW()-COUNTIF($F$6:INDEX($F:$F, ROW()-1), $F773)) : INDEX(AA:AA, ROW()-1)
   )
   /SUM(INDEX(AA:AA, ROW()-COUNTIF($F$6:INDEX($F:$F, ROW()-1), $F773)) : INDEX(AA:AA, ROW()-1)),
   AVERAGEIFS(
     INDEX((unit_details[Effective Rent],unit_details[Effective PSF]),0,1,IF($U$3="Chunk Rent",1,2)),
     unit_details[Leased Date],"&gt;="&amp;($AM$2-X$5),
     unit_details[Leased Date],"&lt;"&amp;$AM$2,
     unit_details[Beds],$L774,
     unit_details[Baths],$M774,
     unit_details[Partial Baths],IF(ISNUMBER($N774),$N774,""),
     unit_details[Sqft],$P774,
     unit_details[Property Name],$F774)
 ),"")</f>
        <v/>
      </c>
      <c r="Z774" s="27" t="str">
        <f t="shared" si="132"/>
        <v/>
      </c>
      <c r="AA774" s="526">
        <f>IFERROR(
  IF($F774="Total",
    SUM(INDEX(AA:AA, ROW()-COUNTIF($F$6:INDEX($F:$F, ROW()-1), $F773)) : INDEX(AA:AA, ROW()-1)),
    COUNTIFS(
      unit_details[Leased Date], "&gt;="&amp;($AM$2-X$5),
      unit_details[Leased Date], "&lt;"&amp;$AM$2,
      unit_details[Beds], $L774,
      unit_details[Baths], $M774,
      unit_details[Partial Baths], IF(ISNUMBER($N774), $N774, ""),
      unit_details[Sqft],$P774,
      unit_details[Property Name], $F774
    )
  ),
"")</f>
        <v>0</v>
      </c>
      <c r="AB774" s="290">
        <f>IF($F774="Total",
SUM(INDEX(AB:AB, ROW()-COUNTIF($F$6:INDEX($F:$F, ROW()-1), $F773)) : INDEX(AB:AB, ROW()-1)),
COUNTIFS(unit_details[Active Listing?],TRUE,
          unit_details[Property Name], $F774,
          unit_details[Beds], $L774,
          unit_details[Baths], $M774,
          unit_details[Partial Baths],IF(ISNUMBER($N774),$N774,""),
          unit_details[Sqft],$P774))</f>
        <v>0</v>
      </c>
      <c r="AC774" s="27" t="str">
        <f t="shared" si="124"/>
        <v/>
      </c>
      <c r="AD774" s="293" t="str">
        <f>IFERROR(IF(AE774="","",IF($F774="Total",
SUMPRODUCT(
   INDEX(AD:AD, ROW()-COUNTIF($F$6:INDEX($F:$F, ROW()-1), $F773)) : INDEX(AD:AD, ROW()-1),
   INDEX(AB:AB, ROW()-COUNTIF($F$6:INDEX($F:$F, ROW()-1), $F773)) : INDEX(AB:AB, ROW()-1)
   )
   /SUM(INDEX(AB:AB, ROW()-COUNTIF($F$6:INDEX($F:$F, ROW()-1), $F773)) : INDEX(AB:AB, ROW()-1)),
          _xlfn.MINIFS(unit_details[Asking Rent],
          unit_details[Active Listing?],TRUE,
          unit_details[Property Name], $F774,
          unit_details[Beds], $L774,
          unit_details[Baths], $M774,
          unit_details[Partial Baths], IF(ISNUMBER($N774),$N774,""),
          unit_details[Sqft],$P774
))),"")</f>
        <v/>
      </c>
      <c r="AE774" s="5" t="str">
        <f>IFERROR(IF($F774="Total",
          SUMPRODUCT(
   INDEX(AE:AE, ROW()-COUNTIF($F$6:INDEX($F:$F, ROW()-1), $F773)) : INDEX(AE:AE, ROW()-1),
   INDEX(AB:AB, ROW()-COUNTIF($F$6:INDEX($F:$F, ROW()-1), $F773)) : INDEX(AB:AB, ROW()-1)
   )
   /SUM(INDEX(AB:AB, ROW()-COUNTIF($F$6:INDEX($F:$F, ROW()-1), $F773)) : INDEX(AB:AB, ROW()-1)),
          AVERAGEIFS(unit_details[Asking Rent],
          unit_details[Active Listing?],TRUE,
          unit_details[Property Name], $F774,
          unit_details[Beds], $L774,
          unit_details[Baths], $M774,
          unit_details[Partial Baths], IF(ISNUMBER($N774),$N774,""),
          unit_details[Sqft],$P774
)),"")</f>
        <v/>
      </c>
      <c r="AF774" s="5" t="str">
        <f>IFERROR(IF(AE774="","",IF($F774="Total",
SUMPRODUCT(
   INDEX(AF:AF, ROW()-COUNTIF($F$6:INDEX($F:$F, ROW()-1), $F773)) : INDEX(AF:AF, ROW()-1),
   INDEX(AB:AB, ROW()-COUNTIF($F$6:INDEX($F:$F, ROW()-1), $F773)) : INDEX(AB:AB, ROW()-1)
   )
   /SUM(INDEX(AB:AB, ROW()-COUNTIF($F$6:INDEX($F:$F, ROW()-1), $F773)) : INDEX(AB:AB, ROW()-1)),
           _xlfn.MAXIFS(unit_details[Asking Rent],
          unit_details[Active Listing?],TRUE,
          unit_details[Property Name], $F774,
          unit_details[Beds], $L774,
          unit_details[Baths], $M774,
          unit_details[Partial Baths], IF(ISNUMBER($N774),$N774,""),
          unit_details[Sqft],$P774
))),"")</f>
        <v/>
      </c>
      <c r="AG774" s="6" t="str">
        <f>IFERROR(IF($F774="Total",
         SUMPRODUCT(
         INDEX(AG:AG, ROW()-COUNTIF($F$6:INDEX($F:$F, ROW()-1), $F773)) : INDEX(AG:AG, ROW()-1),
         INDEX(AB:AB, ROW()-COUNTIF($F$6:INDEX($F:$F, ROW()-1), $F773)) : INDEX(AB:AB, ROW()-1)
         )
         /SUM(INDEX(AB:AB, ROW()-COUNTIF($F$6:INDEX($F:$F, ROW()-1), $F773)) : INDEX(AB:AB, ROW()-1)),
          AVERAGEIFS(unit_details[Asking PSF],
          unit_details[Active Listing?],TRUE,
          unit_details[Property Name], $F774,
          unit_details[Beds], $L774,
          unit_details[Baths], $M774,
          unit_details[Partial Baths], IF(ISNUMBER($N774),$N774,""),
          unit_details[Sqft],$P774
)),"")</f>
        <v/>
      </c>
      <c r="AH774" s="293" t="str">
        <f>IFERROR(IF($F774="Total",
         SUMPRODUCT(
         INDEX(AH:AH, ROW()-COUNTIF($F$6:INDEX($F:$F, ROW()-1), $F773)) : INDEX(AH:AH, ROW()-1),
         INDEX(AB:AB, ROW()-COUNTIF($F$6:INDEX($F:$F, ROW()-1), $F773)) : INDEX(AB:AB, ROW()-1)
         )
         /SUM(INDEX(AB:AB, ROW()-COUNTIF($F$6:INDEX($F:$F, ROW()-1), $F773)) : INDEX(AB:AB, ROW()-1)),
          AVERAGEIFS(unit_details[Effective Rent],
          unit_details[Active Listing?],TRUE,
          unit_details[Property Name], $F774,
          unit_details[Beds], $L774,
          unit_details[Baths], $M774,
          unit_details[Partial Baths], IF(ISNUMBER($N774),$N774,""),
          unit_details[Sqft],$P774
)),"")</f>
        <v/>
      </c>
      <c r="AI774" s="6" t="str">
        <f>IFERROR(IF($F774="Total",
         SUMPRODUCT(
         INDEX(AI:AI, ROW()-COUNTIF($F$6:INDEX($F:$F, ROW()-1), $F773)) : INDEX(AI:AI, ROW()-1),
         INDEX(AB:AB, ROW()-COUNTIF($F$6:INDEX($F:$F, ROW()-1), $F773)) : INDEX(AB:AB, ROW()-1)
         )
         /SUM(INDEX(AB:AB, ROW()-COUNTIF($F$6:INDEX($F:$F, ROW()-1), $F773)) : INDEX(AB:AB, ROW()-1)),
           AVERAGEIFS(unit_details[Effective PSF],
          unit_details[Active Listing?],TRUE,
          unit_details[Property Name], $F774,
          unit_details[Beds], $L774,
          unit_details[Baths], $M774,
          unit_details[Partial Baths], IF(ISNUMBER($N774),$N774,""),
          unit_details[Sqft],$P774
)),"")</f>
        <v/>
      </c>
      <c r="AJ774" s="824" t="str">
        <f t="shared" si="125"/>
        <v/>
      </c>
      <c r="AK774" s="531" t="str">
        <f t="shared" si="126"/>
        <v/>
      </c>
      <c r="AL774" s="714" t="str">
        <f t="shared" si="127"/>
        <v/>
      </c>
      <c r="AM774" s="531" t="str">
        <f t="shared" si="128"/>
        <v/>
      </c>
      <c r="AN774" s="716" t="str">
        <f t="shared" si="129"/>
        <v/>
      </c>
    </row>
    <row r="775" spans="6:40" x14ac:dyDescent="0.2">
      <c r="F775" s="1" t="str">
        <f t="shared" ref="F775:F806" si="133">IF(RIGHT(K775,5)="Total","Total",IF(ISTEXT(K775),K775,IF(F774="Total","",F774)))</f>
        <v/>
      </c>
      <c r="G775" s="713" t="str">
        <f t="shared" si="130"/>
        <v/>
      </c>
      <c r="H775" s="17" t="str">
        <f>IFERROR(VLOOKUP($G775,Table1[[Property]:[Exposure %]],4,0),"")</f>
        <v/>
      </c>
      <c r="I775" s="3" t="str">
        <f>IFERROR(VLOOKUP($G775,Table1[[Property]:[Exposure %]],6,0),"")</f>
        <v/>
      </c>
      <c r="J775" s="3" t="str">
        <f>IFERROR(VLOOKUP($G775,Table1[[Property]:[Exposure %]],7,0),"")</f>
        <v/>
      </c>
      <c r="R775" s="4" t="str">
        <f>IFERROR(VLOOKUP(IF(F775="Total",F774,F775),Table1[[Property]:['# Units]],7,0)*S775,"")</f>
        <v/>
      </c>
      <c r="S775" s="27" t="str">
        <f t="shared" ref="S775:S806" si="134">IF(Q775=0,"",Q775)</f>
        <v/>
      </c>
      <c r="T775" s="531" t="str">
        <f>IFERROR(
 IF($F775="Total",
   SUMPRODUCT(
   INDEX(T:T, ROW()-COUNTIF($F$6:INDEX($F:$F, ROW()-1), $F774)) : INDEX(T:T, ROW()-1),
   INDEX(W:W, ROW()-COUNTIF($F$6:INDEX($F:$F, ROW()-1), $F774)) : INDEX(W:W, ROW()-1)
   )
   /SUM(INDEX(W:W, ROW()-COUNTIF($F$6:INDEX($F:$F, ROW()-1), $F774)) : INDEX(W:W, ROW()-1)),
   AVERAGEIFS(
     INDEX((unit_details[Asking Rent],unit_details[Asking PSF]),0,1,IF($U$3="Chunk Rent",1,2)),
     unit_details[Leased Date],"&gt;="&amp;($AM$2-T$5),
     unit_details[Leased Date],"&lt;"&amp;$AM$2,
     unit_details[Beds],$L775,
     unit_details[Baths],$M775,
     unit_details[Partial Baths],IF(ISNUMBER($N775),$N775,""),
     unit_details[Sqft],$P775,
     unit_details[Property Name],$F775)
 ),"")</f>
        <v/>
      </c>
      <c r="U775" s="552" t="str">
        <f>IFERROR(
 IF($F775="Total",
   SUMPRODUCT(
   INDEX(U:U, ROW()-COUNTIF($F$6:INDEX($F:$F, ROW()-1), $F774)) : INDEX(U:U, ROW()-1),
   INDEX(W:W, ROW()-COUNTIF($F$6:INDEX($F:$F, ROW()-1), $F774)) : INDEX(W:W, ROW()-1)
   )
   /SUM(INDEX(W:W, ROW()-COUNTIF($F$6:INDEX($F:$F, ROW()-1), $F774)) : INDEX(W:W, ROW()-1)),
   AVERAGEIFS(
     INDEX((unit_details[Effective Rent],unit_details[Effective PSF]),0,1,IF($U$3="Chunk Rent",1,2)),
     unit_details[Leased Date],"&gt;="&amp;($AM$2-T$5),
     unit_details[Leased Date],"&lt;"&amp;$AM$2,
     unit_details[Beds],$L775,
     unit_details[Baths],$M775,
     unit_details[Partial Baths],IF(ISNUMBER($N775),$N775,""),
     unit_details[Sqft],$P775,
     unit_details[Property Name],$F775)
 ),"")</f>
        <v/>
      </c>
      <c r="V775" s="27" t="str">
        <f t="shared" si="131"/>
        <v/>
      </c>
      <c r="W775" s="526">
        <f>IFERROR(
  IF($F775="Total",
    SUM(INDEX(W:W, ROW()-COUNTIF($F$6:INDEX($F:$F, ROW()-1), $F774)) : INDEX(W:W, ROW()-1)),
    COUNTIFS(
      unit_details[Leased Date], "&gt;="&amp;($AM$2-T$5),
      unit_details[Leased Date], "&lt;"&amp;$AM$2,
      unit_details[Beds], $L775,
      unit_details[Baths], $M775,
      unit_details[Partial Baths], IF(ISNUMBER($N775), $N775, ""),
      unit_details[Sqft],$P775,
      unit_details[Property Name], $F775
    )
  ),
"")</f>
        <v>0</v>
      </c>
      <c r="X775" s="531" t="str">
        <f>IFERROR(
 IF($F775="Total",
   SUMPRODUCT(
   INDEX(X:X, ROW()-COUNTIF($F$6:INDEX($F:$F, ROW()-1), $F774)) : INDEX(X:X, ROW()-1),
   INDEX(AA:AA, ROW()-COUNTIF($F$6:INDEX($F:$F, ROW()-1), $F774)) : INDEX(AA:AA, ROW()-1)
   )
   /SUM(INDEX(AA:AA, ROW()-COUNTIF($F$6:INDEX($F:$F, ROW()-1), $F774)) : INDEX(AA:AA, ROW()-1)),
   AVERAGEIFS(
     INDEX((unit_details[Asking Rent],unit_details[Asking PSF]),0,1,IF($U$3="Chunk Rent",1,2)),
     unit_details[Leased Date],"&gt;="&amp;($AM$2-X$5),
     unit_details[Leased Date],"&lt;"&amp;$AM$2,
     unit_details[Beds],$L775,
     unit_details[Baths],$M775,
     unit_details[Partial Baths],IF(ISNUMBER($N775),$N775,""),
     unit_details[Sqft],$P775,
     unit_details[Property Name],$F775)
 ),"")</f>
        <v/>
      </c>
      <c r="Y775" s="552" t="str">
        <f>IFERROR(
 IF($F775="Total",
   SUMPRODUCT(
   INDEX(Y:Y, ROW()-COUNTIF($F$6:INDEX($F:$F, ROW()-1), $F774)) : INDEX(Y:Y, ROW()-1),
   INDEX(AA:AA, ROW()-COUNTIF($F$6:INDEX($F:$F, ROW()-1), $F774)) : INDEX(AA:AA, ROW()-1)
   )
   /SUM(INDEX(AA:AA, ROW()-COUNTIF($F$6:INDEX($F:$F, ROW()-1), $F774)) : INDEX(AA:AA, ROW()-1)),
   AVERAGEIFS(
     INDEX((unit_details[Effective Rent],unit_details[Effective PSF]),0,1,IF($U$3="Chunk Rent",1,2)),
     unit_details[Leased Date],"&gt;="&amp;($AM$2-X$5),
     unit_details[Leased Date],"&lt;"&amp;$AM$2,
     unit_details[Beds],$L775,
     unit_details[Baths],$M775,
     unit_details[Partial Baths],IF(ISNUMBER($N775),$N775,""),
     unit_details[Sqft],$P775,
     unit_details[Property Name],$F775)
 ),"")</f>
        <v/>
      </c>
      <c r="Z775" s="27" t="str">
        <f t="shared" si="132"/>
        <v/>
      </c>
      <c r="AA775" s="526">
        <f>IFERROR(
  IF($F775="Total",
    SUM(INDEX(AA:AA, ROW()-COUNTIF($F$6:INDEX($F:$F, ROW()-1), $F774)) : INDEX(AA:AA, ROW()-1)),
    COUNTIFS(
      unit_details[Leased Date], "&gt;="&amp;($AM$2-X$5),
      unit_details[Leased Date], "&lt;"&amp;$AM$2,
      unit_details[Beds], $L775,
      unit_details[Baths], $M775,
      unit_details[Partial Baths], IF(ISNUMBER($N775), $N775, ""),
      unit_details[Sqft],$P775,
      unit_details[Property Name], $F775
    )
  ),
"")</f>
        <v>0</v>
      </c>
      <c r="AB775" s="290">
        <f>IF($F775="Total",
SUM(INDEX(AB:AB, ROW()-COUNTIF($F$6:INDEX($F:$F, ROW()-1), $F774)) : INDEX(AB:AB, ROW()-1)),
COUNTIFS(unit_details[Active Listing?],TRUE,
          unit_details[Property Name], $F775,
          unit_details[Beds], $L775,
          unit_details[Baths], $M775,
          unit_details[Partial Baths],IF(ISNUMBER($N775),$N775,""),
          unit_details[Sqft],$P775))</f>
        <v>0</v>
      </c>
      <c r="AC775" s="27" t="str">
        <f t="shared" ref="AC775:AC806" si="135">IFERROR(AB775/R775,"")</f>
        <v/>
      </c>
      <c r="AD775" s="293" t="str">
        <f>IFERROR(IF(AE775="","",IF($F775="Total",
SUMPRODUCT(
   INDEX(AD:AD, ROW()-COUNTIF($F$6:INDEX($F:$F, ROW()-1), $F774)) : INDEX(AD:AD, ROW()-1),
   INDEX(AB:AB, ROW()-COUNTIF($F$6:INDEX($F:$F, ROW()-1), $F774)) : INDEX(AB:AB, ROW()-1)
   )
   /SUM(INDEX(AB:AB, ROW()-COUNTIF($F$6:INDEX($F:$F, ROW()-1), $F774)) : INDEX(AB:AB, ROW()-1)),
          _xlfn.MINIFS(unit_details[Asking Rent],
          unit_details[Active Listing?],TRUE,
          unit_details[Property Name], $F775,
          unit_details[Beds], $L775,
          unit_details[Baths], $M775,
          unit_details[Partial Baths], IF(ISNUMBER($N775),$N775,""),
          unit_details[Sqft],$P775
))),"")</f>
        <v/>
      </c>
      <c r="AE775" s="5" t="str">
        <f>IFERROR(IF($F775="Total",
          SUMPRODUCT(
   INDEX(AE:AE, ROW()-COUNTIF($F$6:INDEX($F:$F, ROW()-1), $F774)) : INDEX(AE:AE, ROW()-1),
   INDEX(AB:AB, ROW()-COUNTIF($F$6:INDEX($F:$F, ROW()-1), $F774)) : INDEX(AB:AB, ROW()-1)
   )
   /SUM(INDEX(AB:AB, ROW()-COUNTIF($F$6:INDEX($F:$F, ROW()-1), $F774)) : INDEX(AB:AB, ROW()-1)),
          AVERAGEIFS(unit_details[Asking Rent],
          unit_details[Active Listing?],TRUE,
          unit_details[Property Name], $F775,
          unit_details[Beds], $L775,
          unit_details[Baths], $M775,
          unit_details[Partial Baths], IF(ISNUMBER($N775),$N775,""),
          unit_details[Sqft],$P775
)),"")</f>
        <v/>
      </c>
      <c r="AF775" s="5" t="str">
        <f>IFERROR(IF(AE775="","",IF($F775="Total",
SUMPRODUCT(
   INDEX(AF:AF, ROW()-COUNTIF($F$6:INDEX($F:$F, ROW()-1), $F774)) : INDEX(AF:AF, ROW()-1),
   INDEX(AB:AB, ROW()-COUNTIF($F$6:INDEX($F:$F, ROW()-1), $F774)) : INDEX(AB:AB, ROW()-1)
   )
   /SUM(INDEX(AB:AB, ROW()-COUNTIF($F$6:INDEX($F:$F, ROW()-1), $F774)) : INDEX(AB:AB, ROW()-1)),
           _xlfn.MAXIFS(unit_details[Asking Rent],
          unit_details[Active Listing?],TRUE,
          unit_details[Property Name], $F775,
          unit_details[Beds], $L775,
          unit_details[Baths], $M775,
          unit_details[Partial Baths], IF(ISNUMBER($N775),$N775,""),
          unit_details[Sqft],$P775
))),"")</f>
        <v/>
      </c>
      <c r="AG775" s="6" t="str">
        <f>IFERROR(IF($F775="Total",
         SUMPRODUCT(
         INDEX(AG:AG, ROW()-COUNTIF($F$6:INDEX($F:$F, ROW()-1), $F774)) : INDEX(AG:AG, ROW()-1),
         INDEX(AB:AB, ROW()-COUNTIF($F$6:INDEX($F:$F, ROW()-1), $F774)) : INDEX(AB:AB, ROW()-1)
         )
         /SUM(INDEX(AB:AB, ROW()-COUNTIF($F$6:INDEX($F:$F, ROW()-1), $F774)) : INDEX(AB:AB, ROW()-1)),
          AVERAGEIFS(unit_details[Asking PSF],
          unit_details[Active Listing?],TRUE,
          unit_details[Property Name], $F775,
          unit_details[Beds], $L775,
          unit_details[Baths], $M775,
          unit_details[Partial Baths], IF(ISNUMBER($N775),$N775,""),
          unit_details[Sqft],$P775
)),"")</f>
        <v/>
      </c>
      <c r="AH775" s="293" t="str">
        <f>IFERROR(IF($F775="Total",
         SUMPRODUCT(
         INDEX(AH:AH, ROW()-COUNTIF($F$6:INDEX($F:$F, ROW()-1), $F774)) : INDEX(AH:AH, ROW()-1),
         INDEX(AB:AB, ROW()-COUNTIF($F$6:INDEX($F:$F, ROW()-1), $F774)) : INDEX(AB:AB, ROW()-1)
         )
         /SUM(INDEX(AB:AB, ROW()-COUNTIF($F$6:INDEX($F:$F, ROW()-1), $F774)) : INDEX(AB:AB, ROW()-1)),
          AVERAGEIFS(unit_details[Effective Rent],
          unit_details[Active Listing?],TRUE,
          unit_details[Property Name], $F775,
          unit_details[Beds], $L775,
          unit_details[Baths], $M775,
          unit_details[Partial Baths], IF(ISNUMBER($N775),$N775,""),
          unit_details[Sqft],$P775
)),"")</f>
        <v/>
      </c>
      <c r="AI775" s="6" t="str">
        <f>IFERROR(IF($F775="Total",
         SUMPRODUCT(
         INDEX(AI:AI, ROW()-COUNTIF($F$6:INDEX($F:$F, ROW()-1), $F774)) : INDEX(AI:AI, ROW()-1),
         INDEX(AB:AB, ROW()-COUNTIF($F$6:INDEX($F:$F, ROW()-1), $F774)) : INDEX(AB:AB, ROW()-1)
         )
         /SUM(INDEX(AB:AB, ROW()-COUNTIF($F$6:INDEX($F:$F, ROW()-1), $F774)) : INDEX(AB:AB, ROW()-1)),
           AVERAGEIFS(unit_details[Effective PSF],
          unit_details[Active Listing?],TRUE,
          unit_details[Property Name], $F775,
          unit_details[Beds], $L775,
          unit_details[Baths], $M775,
          unit_details[Partial Baths], IF(ISNUMBER($N775),$N775,""),
          unit_details[Sqft],$P775
)),"")</f>
        <v/>
      </c>
      <c r="AJ775" s="824" t="str">
        <f t="shared" ref="AJ775:AJ806" si="136">IFERROR((AE775-AH775)/AE775,"")</f>
        <v/>
      </c>
      <c r="AK775" s="531" t="str">
        <f t="shared" ref="AK775:AK806" si="137">IFERROR(
IF(AND($AM$3="Asking Rent",$U$3="Chunk Rent"),$AE775-$T775,
IF(AND($AM$3="Effective Rent",$U$3="Chunk Rent"),$AH775-$U775,
IF(AND($AM$3="Asking Rent",$U$3="Rent PSF"),$AG775-$T775,$AI775-$U775))),"")</f>
        <v/>
      </c>
      <c r="AL775" s="714" t="str">
        <f t="shared" ref="AL775:AL806" si="138">IFERROR(AK775/(IF($AM$3="Asking Rent",T775,U775)),"")</f>
        <v/>
      </c>
      <c r="AM775" s="531" t="str">
        <f t="shared" ref="AM775:AM806" si="139">IFERROR(
IF(AND($AM$3="Asking Rent",$U$3="Chunk Rent"),$AE775-$X775,
IF(AND($AM$3="Effective Rent",$U$3="Chunk Rent"),$AH775-$Y775,
IF(AND($AM$3="Asking Rent",$U$3="Rent PSF"),$AG775-$X775,$AI775-$Y775))),"")</f>
        <v/>
      </c>
      <c r="AN775" s="716" t="str">
        <f t="shared" ref="AN775:AN806" si="140">IFERROR(AM775/(IF($AM$3="Asking Rent",X775,Y775)),"")</f>
        <v/>
      </c>
    </row>
    <row r="776" spans="6:40" x14ac:dyDescent="0.2">
      <c r="F776" s="1" t="str">
        <f t="shared" si="133"/>
        <v/>
      </c>
      <c r="G776" s="713" t="str">
        <f t="shared" ref="G776:G806" si="141">IF(F776=F775,"",F776)</f>
        <v/>
      </c>
      <c r="H776" s="17" t="str">
        <f>IFERROR(VLOOKUP($G776,Table1[[Property]:[Exposure %]],4,0),"")</f>
        <v/>
      </c>
      <c r="I776" s="3" t="str">
        <f>IFERROR(VLOOKUP($G776,Table1[[Property]:[Exposure %]],6,0),"")</f>
        <v/>
      </c>
      <c r="J776" s="3" t="str">
        <f>IFERROR(VLOOKUP($G776,Table1[[Property]:[Exposure %]],7,0),"")</f>
        <v/>
      </c>
      <c r="R776" s="4" t="str">
        <f>IFERROR(VLOOKUP(IF(F776="Total",F775,F776),Table1[[Property]:['# Units]],7,0)*S776,"")</f>
        <v/>
      </c>
      <c r="S776" s="27" t="str">
        <f t="shared" si="134"/>
        <v/>
      </c>
      <c r="T776" s="531" t="str">
        <f>IFERROR(
 IF($F776="Total",
   SUMPRODUCT(
   INDEX(T:T, ROW()-COUNTIF($F$6:INDEX($F:$F, ROW()-1), $F775)) : INDEX(T:T, ROW()-1),
   INDEX(W:W, ROW()-COUNTIF($F$6:INDEX($F:$F, ROW()-1), $F775)) : INDEX(W:W, ROW()-1)
   )
   /SUM(INDEX(W:W, ROW()-COUNTIF($F$6:INDEX($F:$F, ROW()-1), $F775)) : INDEX(W:W, ROW()-1)),
   AVERAGEIFS(
     INDEX((unit_details[Asking Rent],unit_details[Asking PSF]),0,1,IF($U$3="Chunk Rent",1,2)),
     unit_details[Leased Date],"&gt;="&amp;($AM$2-T$5),
     unit_details[Leased Date],"&lt;"&amp;$AM$2,
     unit_details[Beds],$L776,
     unit_details[Baths],$M776,
     unit_details[Partial Baths],IF(ISNUMBER($N776),$N776,""),
     unit_details[Sqft],$P776,
     unit_details[Property Name],$F776)
 ),"")</f>
        <v/>
      </c>
      <c r="U776" s="552" t="str">
        <f>IFERROR(
 IF($F776="Total",
   SUMPRODUCT(
   INDEX(U:U, ROW()-COUNTIF($F$6:INDEX($F:$F, ROW()-1), $F775)) : INDEX(U:U, ROW()-1),
   INDEX(W:W, ROW()-COUNTIF($F$6:INDEX($F:$F, ROW()-1), $F775)) : INDEX(W:W, ROW()-1)
   )
   /SUM(INDEX(W:W, ROW()-COUNTIF($F$6:INDEX($F:$F, ROW()-1), $F775)) : INDEX(W:W, ROW()-1)),
   AVERAGEIFS(
     INDEX((unit_details[Effective Rent],unit_details[Effective PSF]),0,1,IF($U$3="Chunk Rent",1,2)),
     unit_details[Leased Date],"&gt;="&amp;($AM$2-T$5),
     unit_details[Leased Date],"&lt;"&amp;$AM$2,
     unit_details[Beds],$L776,
     unit_details[Baths],$M776,
     unit_details[Partial Baths],IF(ISNUMBER($N776),$N776,""),
     unit_details[Sqft],$P776,
     unit_details[Property Name],$F776)
 ),"")</f>
        <v/>
      </c>
      <c r="V776" s="27" t="str">
        <f t="shared" ref="V776:V806" si="142">IFERROR(IF((T776-U776)/T776=0,"",(T776-U776)/T776),"")</f>
        <v/>
      </c>
      <c r="W776" s="526">
        <f>IFERROR(
  IF($F776="Total",
    SUM(INDEX(W:W, ROW()-COUNTIF($F$6:INDEX($F:$F, ROW()-1), $F775)) : INDEX(W:W, ROW()-1)),
    COUNTIFS(
      unit_details[Leased Date], "&gt;="&amp;($AM$2-T$5),
      unit_details[Leased Date], "&lt;"&amp;$AM$2,
      unit_details[Beds], $L776,
      unit_details[Baths], $M776,
      unit_details[Partial Baths], IF(ISNUMBER($N776), $N776, ""),
      unit_details[Sqft],$P776,
      unit_details[Property Name], $F776
    )
  ),
"")</f>
        <v>0</v>
      </c>
      <c r="X776" s="531" t="str">
        <f>IFERROR(
 IF($F776="Total",
   SUMPRODUCT(
   INDEX(X:X, ROW()-COUNTIF($F$6:INDEX($F:$F, ROW()-1), $F775)) : INDEX(X:X, ROW()-1),
   INDEX(AA:AA, ROW()-COUNTIF($F$6:INDEX($F:$F, ROW()-1), $F775)) : INDEX(AA:AA, ROW()-1)
   )
   /SUM(INDEX(AA:AA, ROW()-COUNTIF($F$6:INDEX($F:$F, ROW()-1), $F775)) : INDEX(AA:AA, ROW()-1)),
   AVERAGEIFS(
     INDEX((unit_details[Asking Rent],unit_details[Asking PSF]),0,1,IF($U$3="Chunk Rent",1,2)),
     unit_details[Leased Date],"&gt;="&amp;($AM$2-X$5),
     unit_details[Leased Date],"&lt;"&amp;$AM$2,
     unit_details[Beds],$L776,
     unit_details[Baths],$M776,
     unit_details[Partial Baths],IF(ISNUMBER($N776),$N776,""),
     unit_details[Sqft],$P776,
     unit_details[Property Name],$F776)
 ),"")</f>
        <v/>
      </c>
      <c r="Y776" s="552" t="str">
        <f>IFERROR(
 IF($F776="Total",
   SUMPRODUCT(
   INDEX(Y:Y, ROW()-COUNTIF($F$6:INDEX($F:$F, ROW()-1), $F775)) : INDEX(Y:Y, ROW()-1),
   INDEX(AA:AA, ROW()-COUNTIF($F$6:INDEX($F:$F, ROW()-1), $F775)) : INDEX(AA:AA, ROW()-1)
   )
   /SUM(INDEX(AA:AA, ROW()-COUNTIF($F$6:INDEX($F:$F, ROW()-1), $F775)) : INDEX(AA:AA, ROW()-1)),
   AVERAGEIFS(
     INDEX((unit_details[Effective Rent],unit_details[Effective PSF]),0,1,IF($U$3="Chunk Rent",1,2)),
     unit_details[Leased Date],"&gt;="&amp;($AM$2-X$5),
     unit_details[Leased Date],"&lt;"&amp;$AM$2,
     unit_details[Beds],$L776,
     unit_details[Baths],$M776,
     unit_details[Partial Baths],IF(ISNUMBER($N776),$N776,""),
     unit_details[Sqft],$P776,
     unit_details[Property Name],$F776)
 ),"")</f>
        <v/>
      </c>
      <c r="Z776" s="27" t="str">
        <f t="shared" ref="Z776:Z806" si="143">IFERROR(IF((X776-Y776)/X776=0,"",(X776-Y776)/X776),"")</f>
        <v/>
      </c>
      <c r="AA776" s="526">
        <f>IFERROR(
  IF($F776="Total",
    SUM(INDEX(AA:AA, ROW()-COUNTIF($F$6:INDEX($F:$F, ROW()-1), $F775)) : INDEX(AA:AA, ROW()-1)),
    COUNTIFS(
      unit_details[Leased Date], "&gt;="&amp;($AM$2-X$5),
      unit_details[Leased Date], "&lt;"&amp;$AM$2,
      unit_details[Beds], $L776,
      unit_details[Baths], $M776,
      unit_details[Partial Baths], IF(ISNUMBER($N776), $N776, ""),
      unit_details[Sqft],$P776,
      unit_details[Property Name], $F776
    )
  ),
"")</f>
        <v>0</v>
      </c>
      <c r="AB776" s="290">
        <f>IF($F776="Total",
SUM(INDEX(AB:AB, ROW()-COUNTIF($F$6:INDEX($F:$F, ROW()-1), $F775)) : INDEX(AB:AB, ROW()-1)),
COUNTIFS(unit_details[Active Listing?],TRUE,
          unit_details[Property Name], $F776,
          unit_details[Beds], $L776,
          unit_details[Baths], $M776,
          unit_details[Partial Baths],IF(ISNUMBER($N776),$N776,""),
          unit_details[Sqft],$P776))</f>
        <v>0</v>
      </c>
      <c r="AC776" s="27" t="str">
        <f t="shared" si="135"/>
        <v/>
      </c>
      <c r="AD776" s="293" t="str">
        <f>IFERROR(IF(AE776="","",IF($F776="Total",
SUMPRODUCT(
   INDEX(AD:AD, ROW()-COUNTIF($F$6:INDEX($F:$F, ROW()-1), $F775)) : INDEX(AD:AD, ROW()-1),
   INDEX(AB:AB, ROW()-COUNTIF($F$6:INDEX($F:$F, ROW()-1), $F775)) : INDEX(AB:AB, ROW()-1)
   )
   /SUM(INDEX(AB:AB, ROW()-COUNTIF($F$6:INDEX($F:$F, ROW()-1), $F775)) : INDEX(AB:AB, ROW()-1)),
          _xlfn.MINIFS(unit_details[Asking Rent],
          unit_details[Active Listing?],TRUE,
          unit_details[Property Name], $F776,
          unit_details[Beds], $L776,
          unit_details[Baths], $M776,
          unit_details[Partial Baths], IF(ISNUMBER($N776),$N776,""),
          unit_details[Sqft],$P776
))),"")</f>
        <v/>
      </c>
      <c r="AE776" s="5" t="str">
        <f>IFERROR(IF($F776="Total",
          SUMPRODUCT(
   INDEX(AE:AE, ROW()-COUNTIF($F$6:INDEX($F:$F, ROW()-1), $F775)) : INDEX(AE:AE, ROW()-1),
   INDEX(AB:AB, ROW()-COUNTIF($F$6:INDEX($F:$F, ROW()-1), $F775)) : INDEX(AB:AB, ROW()-1)
   )
   /SUM(INDEX(AB:AB, ROW()-COUNTIF($F$6:INDEX($F:$F, ROW()-1), $F775)) : INDEX(AB:AB, ROW()-1)),
          AVERAGEIFS(unit_details[Asking Rent],
          unit_details[Active Listing?],TRUE,
          unit_details[Property Name], $F776,
          unit_details[Beds], $L776,
          unit_details[Baths], $M776,
          unit_details[Partial Baths], IF(ISNUMBER($N776),$N776,""),
          unit_details[Sqft],$P776
)),"")</f>
        <v/>
      </c>
      <c r="AF776" s="5" t="str">
        <f>IFERROR(IF(AE776="","",IF($F776="Total",
SUMPRODUCT(
   INDEX(AF:AF, ROW()-COUNTIF($F$6:INDEX($F:$F, ROW()-1), $F775)) : INDEX(AF:AF, ROW()-1),
   INDEX(AB:AB, ROW()-COUNTIF($F$6:INDEX($F:$F, ROW()-1), $F775)) : INDEX(AB:AB, ROW()-1)
   )
   /SUM(INDEX(AB:AB, ROW()-COUNTIF($F$6:INDEX($F:$F, ROW()-1), $F775)) : INDEX(AB:AB, ROW()-1)),
           _xlfn.MAXIFS(unit_details[Asking Rent],
          unit_details[Active Listing?],TRUE,
          unit_details[Property Name], $F776,
          unit_details[Beds], $L776,
          unit_details[Baths], $M776,
          unit_details[Partial Baths], IF(ISNUMBER($N776),$N776,""),
          unit_details[Sqft],$P776
))),"")</f>
        <v/>
      </c>
      <c r="AG776" s="6" t="str">
        <f>IFERROR(IF($F776="Total",
         SUMPRODUCT(
         INDEX(AG:AG, ROW()-COUNTIF($F$6:INDEX($F:$F, ROW()-1), $F775)) : INDEX(AG:AG, ROW()-1),
         INDEX(AB:AB, ROW()-COUNTIF($F$6:INDEX($F:$F, ROW()-1), $F775)) : INDEX(AB:AB, ROW()-1)
         )
         /SUM(INDEX(AB:AB, ROW()-COUNTIF($F$6:INDEX($F:$F, ROW()-1), $F775)) : INDEX(AB:AB, ROW()-1)),
          AVERAGEIFS(unit_details[Asking PSF],
          unit_details[Active Listing?],TRUE,
          unit_details[Property Name], $F776,
          unit_details[Beds], $L776,
          unit_details[Baths], $M776,
          unit_details[Partial Baths], IF(ISNUMBER($N776),$N776,""),
          unit_details[Sqft],$P776
)),"")</f>
        <v/>
      </c>
      <c r="AH776" s="293" t="str">
        <f>IFERROR(IF($F776="Total",
         SUMPRODUCT(
         INDEX(AH:AH, ROW()-COUNTIF($F$6:INDEX($F:$F, ROW()-1), $F775)) : INDEX(AH:AH, ROW()-1),
         INDEX(AB:AB, ROW()-COUNTIF($F$6:INDEX($F:$F, ROW()-1), $F775)) : INDEX(AB:AB, ROW()-1)
         )
         /SUM(INDEX(AB:AB, ROW()-COUNTIF($F$6:INDEX($F:$F, ROW()-1), $F775)) : INDEX(AB:AB, ROW()-1)),
          AVERAGEIFS(unit_details[Effective Rent],
          unit_details[Active Listing?],TRUE,
          unit_details[Property Name], $F776,
          unit_details[Beds], $L776,
          unit_details[Baths], $M776,
          unit_details[Partial Baths], IF(ISNUMBER($N776),$N776,""),
          unit_details[Sqft],$P776
)),"")</f>
        <v/>
      </c>
      <c r="AI776" s="6" t="str">
        <f>IFERROR(IF($F776="Total",
         SUMPRODUCT(
         INDEX(AI:AI, ROW()-COUNTIF($F$6:INDEX($F:$F, ROW()-1), $F775)) : INDEX(AI:AI, ROW()-1),
         INDEX(AB:AB, ROW()-COUNTIF($F$6:INDEX($F:$F, ROW()-1), $F775)) : INDEX(AB:AB, ROW()-1)
         )
         /SUM(INDEX(AB:AB, ROW()-COUNTIF($F$6:INDEX($F:$F, ROW()-1), $F775)) : INDEX(AB:AB, ROW()-1)),
           AVERAGEIFS(unit_details[Effective PSF],
          unit_details[Active Listing?],TRUE,
          unit_details[Property Name], $F776,
          unit_details[Beds], $L776,
          unit_details[Baths], $M776,
          unit_details[Partial Baths], IF(ISNUMBER($N776),$N776,""),
          unit_details[Sqft],$P776
)),"")</f>
        <v/>
      </c>
      <c r="AJ776" s="824" t="str">
        <f t="shared" si="136"/>
        <v/>
      </c>
      <c r="AK776" s="531" t="str">
        <f t="shared" si="137"/>
        <v/>
      </c>
      <c r="AL776" s="714" t="str">
        <f t="shared" si="138"/>
        <v/>
      </c>
      <c r="AM776" s="531" t="str">
        <f t="shared" si="139"/>
        <v/>
      </c>
      <c r="AN776" s="716" t="str">
        <f t="shared" si="140"/>
        <v/>
      </c>
    </row>
    <row r="777" spans="6:40" x14ac:dyDescent="0.2">
      <c r="F777" s="1" t="str">
        <f t="shared" si="133"/>
        <v/>
      </c>
      <c r="G777" s="713" t="str">
        <f t="shared" si="141"/>
        <v/>
      </c>
      <c r="H777" s="17" t="str">
        <f>IFERROR(VLOOKUP($G777,Table1[[Property]:[Exposure %]],4,0),"")</f>
        <v/>
      </c>
      <c r="I777" s="3" t="str">
        <f>IFERROR(VLOOKUP($G777,Table1[[Property]:[Exposure %]],6,0),"")</f>
        <v/>
      </c>
      <c r="J777" s="3" t="str">
        <f>IFERROR(VLOOKUP($G777,Table1[[Property]:[Exposure %]],7,0),"")</f>
        <v/>
      </c>
      <c r="R777" s="4" t="str">
        <f>IFERROR(VLOOKUP(IF(F777="Total",F776,F777),Table1[[Property]:['# Units]],7,0)*S777,"")</f>
        <v/>
      </c>
      <c r="S777" s="27" t="str">
        <f t="shared" si="134"/>
        <v/>
      </c>
      <c r="T777" s="531" t="str">
        <f>IFERROR(
 IF($F777="Total",
   SUMPRODUCT(
   INDEX(T:T, ROW()-COUNTIF($F$6:INDEX($F:$F, ROW()-1), $F776)) : INDEX(T:T, ROW()-1),
   INDEX(W:W, ROW()-COUNTIF($F$6:INDEX($F:$F, ROW()-1), $F776)) : INDEX(W:W, ROW()-1)
   )
   /SUM(INDEX(W:W, ROW()-COUNTIF($F$6:INDEX($F:$F, ROW()-1), $F776)) : INDEX(W:W, ROW()-1)),
   AVERAGEIFS(
     INDEX((unit_details[Asking Rent],unit_details[Asking PSF]),0,1,IF($U$3="Chunk Rent",1,2)),
     unit_details[Leased Date],"&gt;="&amp;($AM$2-T$5),
     unit_details[Leased Date],"&lt;"&amp;$AM$2,
     unit_details[Beds],$L777,
     unit_details[Baths],$M777,
     unit_details[Partial Baths],IF(ISNUMBER($N777),$N777,""),
     unit_details[Sqft],$P777,
     unit_details[Property Name],$F777)
 ),"")</f>
        <v/>
      </c>
      <c r="U777" s="552" t="str">
        <f>IFERROR(
 IF($F777="Total",
   SUMPRODUCT(
   INDEX(U:U, ROW()-COUNTIF($F$6:INDEX($F:$F, ROW()-1), $F776)) : INDEX(U:U, ROW()-1),
   INDEX(W:W, ROW()-COUNTIF($F$6:INDEX($F:$F, ROW()-1), $F776)) : INDEX(W:W, ROW()-1)
   )
   /SUM(INDEX(W:W, ROW()-COUNTIF($F$6:INDEX($F:$F, ROW()-1), $F776)) : INDEX(W:W, ROW()-1)),
   AVERAGEIFS(
     INDEX((unit_details[Effective Rent],unit_details[Effective PSF]),0,1,IF($U$3="Chunk Rent",1,2)),
     unit_details[Leased Date],"&gt;="&amp;($AM$2-T$5),
     unit_details[Leased Date],"&lt;"&amp;$AM$2,
     unit_details[Beds],$L777,
     unit_details[Baths],$M777,
     unit_details[Partial Baths],IF(ISNUMBER($N777),$N777,""),
     unit_details[Sqft],$P777,
     unit_details[Property Name],$F777)
 ),"")</f>
        <v/>
      </c>
      <c r="V777" s="27" t="str">
        <f t="shared" si="142"/>
        <v/>
      </c>
      <c r="W777" s="526">
        <f>IFERROR(
  IF($F777="Total",
    SUM(INDEX(W:W, ROW()-COUNTIF($F$6:INDEX($F:$F, ROW()-1), $F776)) : INDEX(W:W, ROW()-1)),
    COUNTIFS(
      unit_details[Leased Date], "&gt;="&amp;($AM$2-T$5),
      unit_details[Leased Date], "&lt;"&amp;$AM$2,
      unit_details[Beds], $L777,
      unit_details[Baths], $M777,
      unit_details[Partial Baths], IF(ISNUMBER($N777), $N777, ""),
      unit_details[Sqft],$P777,
      unit_details[Property Name], $F777
    )
  ),
"")</f>
        <v>0</v>
      </c>
      <c r="X777" s="531" t="str">
        <f>IFERROR(
 IF($F777="Total",
   SUMPRODUCT(
   INDEX(X:X, ROW()-COUNTIF($F$6:INDEX($F:$F, ROW()-1), $F776)) : INDEX(X:X, ROW()-1),
   INDEX(AA:AA, ROW()-COUNTIF($F$6:INDEX($F:$F, ROW()-1), $F776)) : INDEX(AA:AA, ROW()-1)
   )
   /SUM(INDEX(AA:AA, ROW()-COUNTIF($F$6:INDEX($F:$F, ROW()-1), $F776)) : INDEX(AA:AA, ROW()-1)),
   AVERAGEIFS(
     INDEX((unit_details[Asking Rent],unit_details[Asking PSF]),0,1,IF($U$3="Chunk Rent",1,2)),
     unit_details[Leased Date],"&gt;="&amp;($AM$2-X$5),
     unit_details[Leased Date],"&lt;"&amp;$AM$2,
     unit_details[Beds],$L777,
     unit_details[Baths],$M777,
     unit_details[Partial Baths],IF(ISNUMBER($N777),$N777,""),
     unit_details[Sqft],$P777,
     unit_details[Property Name],$F777)
 ),"")</f>
        <v/>
      </c>
      <c r="Y777" s="552" t="str">
        <f>IFERROR(
 IF($F777="Total",
   SUMPRODUCT(
   INDEX(Y:Y, ROW()-COUNTIF($F$6:INDEX($F:$F, ROW()-1), $F776)) : INDEX(Y:Y, ROW()-1),
   INDEX(AA:AA, ROW()-COUNTIF($F$6:INDEX($F:$F, ROW()-1), $F776)) : INDEX(AA:AA, ROW()-1)
   )
   /SUM(INDEX(AA:AA, ROW()-COUNTIF($F$6:INDEX($F:$F, ROW()-1), $F776)) : INDEX(AA:AA, ROW()-1)),
   AVERAGEIFS(
     INDEX((unit_details[Effective Rent],unit_details[Effective PSF]),0,1,IF($U$3="Chunk Rent",1,2)),
     unit_details[Leased Date],"&gt;="&amp;($AM$2-X$5),
     unit_details[Leased Date],"&lt;"&amp;$AM$2,
     unit_details[Beds],$L777,
     unit_details[Baths],$M777,
     unit_details[Partial Baths],IF(ISNUMBER($N777),$N777,""),
     unit_details[Sqft],$P777,
     unit_details[Property Name],$F777)
 ),"")</f>
        <v/>
      </c>
      <c r="Z777" s="27" t="str">
        <f t="shared" si="143"/>
        <v/>
      </c>
      <c r="AA777" s="526">
        <f>IFERROR(
  IF($F777="Total",
    SUM(INDEX(AA:AA, ROW()-COUNTIF($F$6:INDEX($F:$F, ROW()-1), $F776)) : INDEX(AA:AA, ROW()-1)),
    COUNTIFS(
      unit_details[Leased Date], "&gt;="&amp;($AM$2-X$5),
      unit_details[Leased Date], "&lt;"&amp;$AM$2,
      unit_details[Beds], $L777,
      unit_details[Baths], $M777,
      unit_details[Partial Baths], IF(ISNUMBER($N777), $N777, ""),
      unit_details[Sqft],$P777,
      unit_details[Property Name], $F777
    )
  ),
"")</f>
        <v>0</v>
      </c>
      <c r="AB777" s="290">
        <f>IF($F777="Total",
SUM(INDEX(AB:AB, ROW()-COUNTIF($F$6:INDEX($F:$F, ROW()-1), $F776)) : INDEX(AB:AB, ROW()-1)),
COUNTIFS(unit_details[Active Listing?],TRUE,
          unit_details[Property Name], $F777,
          unit_details[Beds], $L777,
          unit_details[Baths], $M777,
          unit_details[Partial Baths],IF(ISNUMBER($N777),$N777,""),
          unit_details[Sqft],$P777))</f>
        <v>0</v>
      </c>
      <c r="AC777" s="27" t="str">
        <f t="shared" si="135"/>
        <v/>
      </c>
      <c r="AD777" s="293" t="str">
        <f>IFERROR(IF(AE777="","",IF($F777="Total",
SUMPRODUCT(
   INDEX(AD:AD, ROW()-COUNTIF($F$6:INDEX($F:$F, ROW()-1), $F776)) : INDEX(AD:AD, ROW()-1),
   INDEX(AB:AB, ROW()-COUNTIF($F$6:INDEX($F:$F, ROW()-1), $F776)) : INDEX(AB:AB, ROW()-1)
   )
   /SUM(INDEX(AB:AB, ROW()-COUNTIF($F$6:INDEX($F:$F, ROW()-1), $F776)) : INDEX(AB:AB, ROW()-1)),
          _xlfn.MINIFS(unit_details[Asking Rent],
          unit_details[Active Listing?],TRUE,
          unit_details[Property Name], $F777,
          unit_details[Beds], $L777,
          unit_details[Baths], $M777,
          unit_details[Partial Baths], IF(ISNUMBER($N777),$N777,""),
          unit_details[Sqft],$P777
))),"")</f>
        <v/>
      </c>
      <c r="AE777" s="5" t="str">
        <f>IFERROR(IF($F777="Total",
          SUMPRODUCT(
   INDEX(AE:AE, ROW()-COUNTIF($F$6:INDEX($F:$F, ROW()-1), $F776)) : INDEX(AE:AE, ROW()-1),
   INDEX(AB:AB, ROW()-COUNTIF($F$6:INDEX($F:$F, ROW()-1), $F776)) : INDEX(AB:AB, ROW()-1)
   )
   /SUM(INDEX(AB:AB, ROW()-COUNTIF($F$6:INDEX($F:$F, ROW()-1), $F776)) : INDEX(AB:AB, ROW()-1)),
          AVERAGEIFS(unit_details[Asking Rent],
          unit_details[Active Listing?],TRUE,
          unit_details[Property Name], $F777,
          unit_details[Beds], $L777,
          unit_details[Baths], $M777,
          unit_details[Partial Baths], IF(ISNUMBER($N777),$N777,""),
          unit_details[Sqft],$P777
)),"")</f>
        <v/>
      </c>
      <c r="AF777" s="5" t="str">
        <f>IFERROR(IF(AE777="","",IF($F777="Total",
SUMPRODUCT(
   INDEX(AF:AF, ROW()-COUNTIF($F$6:INDEX($F:$F, ROW()-1), $F776)) : INDEX(AF:AF, ROW()-1),
   INDEX(AB:AB, ROW()-COUNTIF($F$6:INDEX($F:$F, ROW()-1), $F776)) : INDEX(AB:AB, ROW()-1)
   )
   /SUM(INDEX(AB:AB, ROW()-COUNTIF($F$6:INDEX($F:$F, ROW()-1), $F776)) : INDEX(AB:AB, ROW()-1)),
           _xlfn.MAXIFS(unit_details[Asking Rent],
          unit_details[Active Listing?],TRUE,
          unit_details[Property Name], $F777,
          unit_details[Beds], $L777,
          unit_details[Baths], $M777,
          unit_details[Partial Baths], IF(ISNUMBER($N777),$N777,""),
          unit_details[Sqft],$P777
))),"")</f>
        <v/>
      </c>
      <c r="AG777" s="6" t="str">
        <f>IFERROR(IF($F777="Total",
         SUMPRODUCT(
         INDEX(AG:AG, ROW()-COUNTIF($F$6:INDEX($F:$F, ROW()-1), $F776)) : INDEX(AG:AG, ROW()-1),
         INDEX(AB:AB, ROW()-COUNTIF($F$6:INDEX($F:$F, ROW()-1), $F776)) : INDEX(AB:AB, ROW()-1)
         )
         /SUM(INDEX(AB:AB, ROW()-COUNTIF($F$6:INDEX($F:$F, ROW()-1), $F776)) : INDEX(AB:AB, ROW()-1)),
          AVERAGEIFS(unit_details[Asking PSF],
          unit_details[Active Listing?],TRUE,
          unit_details[Property Name], $F777,
          unit_details[Beds], $L777,
          unit_details[Baths], $M777,
          unit_details[Partial Baths], IF(ISNUMBER($N777),$N777,""),
          unit_details[Sqft],$P777
)),"")</f>
        <v/>
      </c>
      <c r="AH777" s="293" t="str">
        <f>IFERROR(IF($F777="Total",
         SUMPRODUCT(
         INDEX(AH:AH, ROW()-COUNTIF($F$6:INDEX($F:$F, ROW()-1), $F776)) : INDEX(AH:AH, ROW()-1),
         INDEX(AB:AB, ROW()-COUNTIF($F$6:INDEX($F:$F, ROW()-1), $F776)) : INDEX(AB:AB, ROW()-1)
         )
         /SUM(INDEX(AB:AB, ROW()-COUNTIF($F$6:INDEX($F:$F, ROW()-1), $F776)) : INDEX(AB:AB, ROW()-1)),
          AVERAGEIFS(unit_details[Effective Rent],
          unit_details[Active Listing?],TRUE,
          unit_details[Property Name], $F777,
          unit_details[Beds], $L777,
          unit_details[Baths], $M777,
          unit_details[Partial Baths], IF(ISNUMBER($N777),$N777,""),
          unit_details[Sqft],$P777
)),"")</f>
        <v/>
      </c>
      <c r="AI777" s="6" t="str">
        <f>IFERROR(IF($F777="Total",
         SUMPRODUCT(
         INDEX(AI:AI, ROW()-COUNTIF($F$6:INDEX($F:$F, ROW()-1), $F776)) : INDEX(AI:AI, ROW()-1),
         INDEX(AB:AB, ROW()-COUNTIF($F$6:INDEX($F:$F, ROW()-1), $F776)) : INDEX(AB:AB, ROW()-1)
         )
         /SUM(INDEX(AB:AB, ROW()-COUNTIF($F$6:INDEX($F:$F, ROW()-1), $F776)) : INDEX(AB:AB, ROW()-1)),
           AVERAGEIFS(unit_details[Effective PSF],
          unit_details[Active Listing?],TRUE,
          unit_details[Property Name], $F777,
          unit_details[Beds], $L777,
          unit_details[Baths], $M777,
          unit_details[Partial Baths], IF(ISNUMBER($N777),$N777,""),
          unit_details[Sqft],$P777
)),"")</f>
        <v/>
      </c>
      <c r="AJ777" s="824" t="str">
        <f t="shared" si="136"/>
        <v/>
      </c>
      <c r="AK777" s="531" t="str">
        <f t="shared" si="137"/>
        <v/>
      </c>
      <c r="AL777" s="714" t="str">
        <f t="shared" si="138"/>
        <v/>
      </c>
      <c r="AM777" s="531" t="str">
        <f t="shared" si="139"/>
        <v/>
      </c>
      <c r="AN777" s="716" t="str">
        <f t="shared" si="140"/>
        <v/>
      </c>
    </row>
    <row r="778" spans="6:40" x14ac:dyDescent="0.2">
      <c r="F778" s="1" t="str">
        <f t="shared" si="133"/>
        <v/>
      </c>
      <c r="G778" s="713" t="str">
        <f t="shared" si="141"/>
        <v/>
      </c>
      <c r="H778" s="17" t="str">
        <f>IFERROR(VLOOKUP($G778,Table1[[Property]:[Exposure %]],4,0),"")</f>
        <v/>
      </c>
      <c r="I778" s="3" t="str">
        <f>IFERROR(VLOOKUP($G778,Table1[[Property]:[Exposure %]],6,0),"")</f>
        <v/>
      </c>
      <c r="J778" s="3" t="str">
        <f>IFERROR(VLOOKUP($G778,Table1[[Property]:[Exposure %]],7,0),"")</f>
        <v/>
      </c>
      <c r="R778" s="4" t="str">
        <f>IFERROR(VLOOKUP(IF(F778="Total",F777,F778),Table1[[Property]:['# Units]],7,0)*S778,"")</f>
        <v/>
      </c>
      <c r="S778" s="27" t="str">
        <f t="shared" si="134"/>
        <v/>
      </c>
      <c r="T778" s="531" t="str">
        <f>IFERROR(
 IF($F778="Total",
   SUMPRODUCT(
   INDEX(T:T, ROW()-COUNTIF($F$6:INDEX($F:$F, ROW()-1), $F777)) : INDEX(T:T, ROW()-1),
   INDEX(W:W, ROW()-COUNTIF($F$6:INDEX($F:$F, ROW()-1), $F777)) : INDEX(W:W, ROW()-1)
   )
   /SUM(INDEX(W:W, ROW()-COUNTIF($F$6:INDEX($F:$F, ROW()-1), $F777)) : INDEX(W:W, ROW()-1)),
   AVERAGEIFS(
     INDEX((unit_details[Asking Rent],unit_details[Asking PSF]),0,1,IF($U$3="Chunk Rent",1,2)),
     unit_details[Leased Date],"&gt;="&amp;($AM$2-T$5),
     unit_details[Leased Date],"&lt;"&amp;$AM$2,
     unit_details[Beds],$L778,
     unit_details[Baths],$M778,
     unit_details[Partial Baths],IF(ISNUMBER($N778),$N778,""),
     unit_details[Sqft],$P778,
     unit_details[Property Name],$F778)
 ),"")</f>
        <v/>
      </c>
      <c r="U778" s="552" t="str">
        <f>IFERROR(
 IF($F778="Total",
   SUMPRODUCT(
   INDEX(U:U, ROW()-COUNTIF($F$6:INDEX($F:$F, ROW()-1), $F777)) : INDEX(U:U, ROW()-1),
   INDEX(W:W, ROW()-COUNTIF($F$6:INDEX($F:$F, ROW()-1), $F777)) : INDEX(W:W, ROW()-1)
   )
   /SUM(INDEX(W:W, ROW()-COUNTIF($F$6:INDEX($F:$F, ROW()-1), $F777)) : INDEX(W:W, ROW()-1)),
   AVERAGEIFS(
     INDEX((unit_details[Effective Rent],unit_details[Effective PSF]),0,1,IF($U$3="Chunk Rent",1,2)),
     unit_details[Leased Date],"&gt;="&amp;($AM$2-T$5),
     unit_details[Leased Date],"&lt;"&amp;$AM$2,
     unit_details[Beds],$L778,
     unit_details[Baths],$M778,
     unit_details[Partial Baths],IF(ISNUMBER($N778),$N778,""),
     unit_details[Sqft],$P778,
     unit_details[Property Name],$F778)
 ),"")</f>
        <v/>
      </c>
      <c r="V778" s="27" t="str">
        <f t="shared" si="142"/>
        <v/>
      </c>
      <c r="W778" s="526">
        <f>IFERROR(
  IF($F778="Total",
    SUM(INDEX(W:W, ROW()-COUNTIF($F$6:INDEX($F:$F, ROW()-1), $F777)) : INDEX(W:W, ROW()-1)),
    COUNTIFS(
      unit_details[Leased Date], "&gt;="&amp;($AM$2-T$5),
      unit_details[Leased Date], "&lt;"&amp;$AM$2,
      unit_details[Beds], $L778,
      unit_details[Baths], $M778,
      unit_details[Partial Baths], IF(ISNUMBER($N778), $N778, ""),
      unit_details[Sqft],$P778,
      unit_details[Property Name], $F778
    )
  ),
"")</f>
        <v>0</v>
      </c>
      <c r="X778" s="531" t="str">
        <f>IFERROR(
 IF($F778="Total",
   SUMPRODUCT(
   INDEX(X:X, ROW()-COUNTIF($F$6:INDEX($F:$F, ROW()-1), $F777)) : INDEX(X:X, ROW()-1),
   INDEX(AA:AA, ROW()-COUNTIF($F$6:INDEX($F:$F, ROW()-1), $F777)) : INDEX(AA:AA, ROW()-1)
   )
   /SUM(INDEX(AA:AA, ROW()-COUNTIF($F$6:INDEX($F:$F, ROW()-1), $F777)) : INDEX(AA:AA, ROW()-1)),
   AVERAGEIFS(
     INDEX((unit_details[Asking Rent],unit_details[Asking PSF]),0,1,IF($U$3="Chunk Rent",1,2)),
     unit_details[Leased Date],"&gt;="&amp;($AM$2-X$5),
     unit_details[Leased Date],"&lt;"&amp;$AM$2,
     unit_details[Beds],$L778,
     unit_details[Baths],$M778,
     unit_details[Partial Baths],IF(ISNUMBER($N778),$N778,""),
     unit_details[Sqft],$P778,
     unit_details[Property Name],$F778)
 ),"")</f>
        <v/>
      </c>
      <c r="Y778" s="552" t="str">
        <f>IFERROR(
 IF($F778="Total",
   SUMPRODUCT(
   INDEX(Y:Y, ROW()-COUNTIF($F$6:INDEX($F:$F, ROW()-1), $F777)) : INDEX(Y:Y, ROW()-1),
   INDEX(AA:AA, ROW()-COUNTIF($F$6:INDEX($F:$F, ROW()-1), $F777)) : INDEX(AA:AA, ROW()-1)
   )
   /SUM(INDEX(AA:AA, ROW()-COUNTIF($F$6:INDEX($F:$F, ROW()-1), $F777)) : INDEX(AA:AA, ROW()-1)),
   AVERAGEIFS(
     INDEX((unit_details[Effective Rent],unit_details[Effective PSF]),0,1,IF($U$3="Chunk Rent",1,2)),
     unit_details[Leased Date],"&gt;="&amp;($AM$2-X$5),
     unit_details[Leased Date],"&lt;"&amp;$AM$2,
     unit_details[Beds],$L778,
     unit_details[Baths],$M778,
     unit_details[Partial Baths],IF(ISNUMBER($N778),$N778,""),
     unit_details[Sqft],$P778,
     unit_details[Property Name],$F778)
 ),"")</f>
        <v/>
      </c>
      <c r="Z778" s="27" t="str">
        <f t="shared" si="143"/>
        <v/>
      </c>
      <c r="AA778" s="526">
        <f>IFERROR(
  IF($F778="Total",
    SUM(INDEX(AA:AA, ROW()-COUNTIF($F$6:INDEX($F:$F, ROW()-1), $F777)) : INDEX(AA:AA, ROW()-1)),
    COUNTIFS(
      unit_details[Leased Date], "&gt;="&amp;($AM$2-X$5),
      unit_details[Leased Date], "&lt;"&amp;$AM$2,
      unit_details[Beds], $L778,
      unit_details[Baths], $M778,
      unit_details[Partial Baths], IF(ISNUMBER($N778), $N778, ""),
      unit_details[Sqft],$P778,
      unit_details[Property Name], $F778
    )
  ),
"")</f>
        <v>0</v>
      </c>
      <c r="AB778" s="290">
        <f>IF($F778="Total",
SUM(INDEX(AB:AB, ROW()-COUNTIF($F$6:INDEX($F:$F, ROW()-1), $F777)) : INDEX(AB:AB, ROW()-1)),
COUNTIFS(unit_details[Active Listing?],TRUE,
          unit_details[Property Name], $F778,
          unit_details[Beds], $L778,
          unit_details[Baths], $M778,
          unit_details[Partial Baths],IF(ISNUMBER($N778),$N778,""),
          unit_details[Sqft],$P778))</f>
        <v>0</v>
      </c>
      <c r="AC778" s="27" t="str">
        <f t="shared" si="135"/>
        <v/>
      </c>
      <c r="AD778" s="293" t="str">
        <f>IFERROR(IF(AE778="","",IF($F778="Total",
SUMPRODUCT(
   INDEX(AD:AD, ROW()-COUNTIF($F$6:INDEX($F:$F, ROW()-1), $F777)) : INDEX(AD:AD, ROW()-1),
   INDEX(AB:AB, ROW()-COUNTIF($F$6:INDEX($F:$F, ROW()-1), $F777)) : INDEX(AB:AB, ROW()-1)
   )
   /SUM(INDEX(AB:AB, ROW()-COUNTIF($F$6:INDEX($F:$F, ROW()-1), $F777)) : INDEX(AB:AB, ROW()-1)),
          _xlfn.MINIFS(unit_details[Asking Rent],
          unit_details[Active Listing?],TRUE,
          unit_details[Property Name], $F778,
          unit_details[Beds], $L778,
          unit_details[Baths], $M778,
          unit_details[Partial Baths], IF(ISNUMBER($N778),$N778,""),
          unit_details[Sqft],$P778
))),"")</f>
        <v/>
      </c>
      <c r="AE778" s="5" t="str">
        <f>IFERROR(IF($F778="Total",
          SUMPRODUCT(
   INDEX(AE:AE, ROW()-COUNTIF($F$6:INDEX($F:$F, ROW()-1), $F777)) : INDEX(AE:AE, ROW()-1),
   INDEX(AB:AB, ROW()-COUNTIF($F$6:INDEX($F:$F, ROW()-1), $F777)) : INDEX(AB:AB, ROW()-1)
   )
   /SUM(INDEX(AB:AB, ROW()-COUNTIF($F$6:INDEX($F:$F, ROW()-1), $F777)) : INDEX(AB:AB, ROW()-1)),
          AVERAGEIFS(unit_details[Asking Rent],
          unit_details[Active Listing?],TRUE,
          unit_details[Property Name], $F778,
          unit_details[Beds], $L778,
          unit_details[Baths], $M778,
          unit_details[Partial Baths], IF(ISNUMBER($N778),$N778,""),
          unit_details[Sqft],$P778
)),"")</f>
        <v/>
      </c>
      <c r="AF778" s="5" t="str">
        <f>IFERROR(IF(AE778="","",IF($F778="Total",
SUMPRODUCT(
   INDEX(AF:AF, ROW()-COUNTIF($F$6:INDEX($F:$F, ROW()-1), $F777)) : INDEX(AF:AF, ROW()-1),
   INDEX(AB:AB, ROW()-COUNTIF($F$6:INDEX($F:$F, ROW()-1), $F777)) : INDEX(AB:AB, ROW()-1)
   )
   /SUM(INDEX(AB:AB, ROW()-COUNTIF($F$6:INDEX($F:$F, ROW()-1), $F777)) : INDEX(AB:AB, ROW()-1)),
           _xlfn.MAXIFS(unit_details[Asking Rent],
          unit_details[Active Listing?],TRUE,
          unit_details[Property Name], $F778,
          unit_details[Beds], $L778,
          unit_details[Baths], $M778,
          unit_details[Partial Baths], IF(ISNUMBER($N778),$N778,""),
          unit_details[Sqft],$P778
))),"")</f>
        <v/>
      </c>
      <c r="AG778" s="6" t="str">
        <f>IFERROR(IF($F778="Total",
         SUMPRODUCT(
         INDEX(AG:AG, ROW()-COUNTIF($F$6:INDEX($F:$F, ROW()-1), $F777)) : INDEX(AG:AG, ROW()-1),
         INDEX(AB:AB, ROW()-COUNTIF($F$6:INDEX($F:$F, ROW()-1), $F777)) : INDEX(AB:AB, ROW()-1)
         )
         /SUM(INDEX(AB:AB, ROW()-COUNTIF($F$6:INDEX($F:$F, ROW()-1), $F777)) : INDEX(AB:AB, ROW()-1)),
          AVERAGEIFS(unit_details[Asking PSF],
          unit_details[Active Listing?],TRUE,
          unit_details[Property Name], $F778,
          unit_details[Beds], $L778,
          unit_details[Baths], $M778,
          unit_details[Partial Baths], IF(ISNUMBER($N778),$N778,""),
          unit_details[Sqft],$P778
)),"")</f>
        <v/>
      </c>
      <c r="AH778" s="293" t="str">
        <f>IFERROR(IF($F778="Total",
         SUMPRODUCT(
         INDEX(AH:AH, ROW()-COUNTIF($F$6:INDEX($F:$F, ROW()-1), $F777)) : INDEX(AH:AH, ROW()-1),
         INDEX(AB:AB, ROW()-COUNTIF($F$6:INDEX($F:$F, ROW()-1), $F777)) : INDEX(AB:AB, ROW()-1)
         )
         /SUM(INDEX(AB:AB, ROW()-COUNTIF($F$6:INDEX($F:$F, ROW()-1), $F777)) : INDEX(AB:AB, ROW()-1)),
          AVERAGEIFS(unit_details[Effective Rent],
          unit_details[Active Listing?],TRUE,
          unit_details[Property Name], $F778,
          unit_details[Beds], $L778,
          unit_details[Baths], $M778,
          unit_details[Partial Baths], IF(ISNUMBER($N778),$N778,""),
          unit_details[Sqft],$P778
)),"")</f>
        <v/>
      </c>
      <c r="AI778" s="6" t="str">
        <f>IFERROR(IF($F778="Total",
         SUMPRODUCT(
         INDEX(AI:AI, ROW()-COUNTIF($F$6:INDEX($F:$F, ROW()-1), $F777)) : INDEX(AI:AI, ROW()-1),
         INDEX(AB:AB, ROW()-COUNTIF($F$6:INDEX($F:$F, ROW()-1), $F777)) : INDEX(AB:AB, ROW()-1)
         )
         /SUM(INDEX(AB:AB, ROW()-COUNTIF($F$6:INDEX($F:$F, ROW()-1), $F777)) : INDEX(AB:AB, ROW()-1)),
           AVERAGEIFS(unit_details[Effective PSF],
          unit_details[Active Listing?],TRUE,
          unit_details[Property Name], $F778,
          unit_details[Beds], $L778,
          unit_details[Baths], $M778,
          unit_details[Partial Baths], IF(ISNUMBER($N778),$N778,""),
          unit_details[Sqft],$P778
)),"")</f>
        <v/>
      </c>
      <c r="AJ778" s="824" t="str">
        <f t="shared" si="136"/>
        <v/>
      </c>
      <c r="AK778" s="531" t="str">
        <f t="shared" si="137"/>
        <v/>
      </c>
      <c r="AL778" s="714" t="str">
        <f t="shared" si="138"/>
        <v/>
      </c>
      <c r="AM778" s="531" t="str">
        <f t="shared" si="139"/>
        <v/>
      </c>
      <c r="AN778" s="716" t="str">
        <f t="shared" si="140"/>
        <v/>
      </c>
    </row>
    <row r="779" spans="6:40" x14ac:dyDescent="0.2">
      <c r="F779" s="1" t="str">
        <f t="shared" si="133"/>
        <v/>
      </c>
      <c r="G779" s="713" t="str">
        <f t="shared" si="141"/>
        <v/>
      </c>
      <c r="H779" s="17" t="str">
        <f>IFERROR(VLOOKUP($G779,Table1[[Property]:[Exposure %]],4,0),"")</f>
        <v/>
      </c>
      <c r="I779" s="3" t="str">
        <f>IFERROR(VLOOKUP($G779,Table1[[Property]:[Exposure %]],6,0),"")</f>
        <v/>
      </c>
      <c r="J779" s="3" t="str">
        <f>IFERROR(VLOOKUP($G779,Table1[[Property]:[Exposure %]],7,0),"")</f>
        <v/>
      </c>
      <c r="R779" s="4" t="str">
        <f>IFERROR(VLOOKUP(IF(F779="Total",F778,F779),Table1[[Property]:['# Units]],7,0)*S779,"")</f>
        <v/>
      </c>
      <c r="S779" s="27" t="str">
        <f t="shared" si="134"/>
        <v/>
      </c>
      <c r="T779" s="531" t="str">
        <f>IFERROR(
 IF($F779="Total",
   SUMPRODUCT(
   INDEX(T:T, ROW()-COUNTIF($F$6:INDEX($F:$F, ROW()-1), $F778)) : INDEX(T:T, ROW()-1),
   INDEX(W:W, ROW()-COUNTIF($F$6:INDEX($F:$F, ROW()-1), $F778)) : INDEX(W:W, ROW()-1)
   )
   /SUM(INDEX(W:W, ROW()-COUNTIF($F$6:INDEX($F:$F, ROW()-1), $F778)) : INDEX(W:W, ROW()-1)),
   AVERAGEIFS(
     INDEX((unit_details[Asking Rent],unit_details[Asking PSF]),0,1,IF($U$3="Chunk Rent",1,2)),
     unit_details[Leased Date],"&gt;="&amp;($AM$2-T$5),
     unit_details[Leased Date],"&lt;"&amp;$AM$2,
     unit_details[Beds],$L779,
     unit_details[Baths],$M779,
     unit_details[Partial Baths],IF(ISNUMBER($N779),$N779,""),
     unit_details[Sqft],$P779,
     unit_details[Property Name],$F779)
 ),"")</f>
        <v/>
      </c>
      <c r="U779" s="552" t="str">
        <f>IFERROR(
 IF($F779="Total",
   SUMPRODUCT(
   INDEX(U:U, ROW()-COUNTIF($F$6:INDEX($F:$F, ROW()-1), $F778)) : INDEX(U:U, ROW()-1),
   INDEX(W:W, ROW()-COUNTIF($F$6:INDEX($F:$F, ROW()-1), $F778)) : INDEX(W:W, ROW()-1)
   )
   /SUM(INDEX(W:W, ROW()-COUNTIF($F$6:INDEX($F:$F, ROW()-1), $F778)) : INDEX(W:W, ROW()-1)),
   AVERAGEIFS(
     INDEX((unit_details[Effective Rent],unit_details[Effective PSF]),0,1,IF($U$3="Chunk Rent",1,2)),
     unit_details[Leased Date],"&gt;="&amp;($AM$2-T$5),
     unit_details[Leased Date],"&lt;"&amp;$AM$2,
     unit_details[Beds],$L779,
     unit_details[Baths],$M779,
     unit_details[Partial Baths],IF(ISNUMBER($N779),$N779,""),
     unit_details[Sqft],$P779,
     unit_details[Property Name],$F779)
 ),"")</f>
        <v/>
      </c>
      <c r="V779" s="27" t="str">
        <f t="shared" si="142"/>
        <v/>
      </c>
      <c r="W779" s="526">
        <f>IFERROR(
  IF($F779="Total",
    SUM(INDEX(W:W, ROW()-COUNTIF($F$6:INDEX($F:$F, ROW()-1), $F778)) : INDEX(W:W, ROW()-1)),
    COUNTIFS(
      unit_details[Leased Date], "&gt;="&amp;($AM$2-T$5),
      unit_details[Leased Date], "&lt;"&amp;$AM$2,
      unit_details[Beds], $L779,
      unit_details[Baths], $M779,
      unit_details[Partial Baths], IF(ISNUMBER($N779), $N779, ""),
      unit_details[Sqft],$P779,
      unit_details[Property Name], $F779
    )
  ),
"")</f>
        <v>0</v>
      </c>
      <c r="X779" s="531" t="str">
        <f>IFERROR(
 IF($F779="Total",
   SUMPRODUCT(
   INDEX(X:X, ROW()-COUNTIF($F$6:INDEX($F:$F, ROW()-1), $F778)) : INDEX(X:X, ROW()-1),
   INDEX(AA:AA, ROW()-COUNTIF($F$6:INDEX($F:$F, ROW()-1), $F778)) : INDEX(AA:AA, ROW()-1)
   )
   /SUM(INDEX(AA:AA, ROW()-COUNTIF($F$6:INDEX($F:$F, ROW()-1), $F778)) : INDEX(AA:AA, ROW()-1)),
   AVERAGEIFS(
     INDEX((unit_details[Asking Rent],unit_details[Asking PSF]),0,1,IF($U$3="Chunk Rent",1,2)),
     unit_details[Leased Date],"&gt;="&amp;($AM$2-X$5),
     unit_details[Leased Date],"&lt;"&amp;$AM$2,
     unit_details[Beds],$L779,
     unit_details[Baths],$M779,
     unit_details[Partial Baths],IF(ISNUMBER($N779),$N779,""),
     unit_details[Sqft],$P779,
     unit_details[Property Name],$F779)
 ),"")</f>
        <v/>
      </c>
      <c r="Y779" s="552" t="str">
        <f>IFERROR(
 IF($F779="Total",
   SUMPRODUCT(
   INDEX(Y:Y, ROW()-COUNTIF($F$6:INDEX($F:$F, ROW()-1), $F778)) : INDEX(Y:Y, ROW()-1),
   INDEX(AA:AA, ROW()-COUNTIF($F$6:INDEX($F:$F, ROW()-1), $F778)) : INDEX(AA:AA, ROW()-1)
   )
   /SUM(INDEX(AA:AA, ROW()-COUNTIF($F$6:INDEX($F:$F, ROW()-1), $F778)) : INDEX(AA:AA, ROW()-1)),
   AVERAGEIFS(
     INDEX((unit_details[Effective Rent],unit_details[Effective PSF]),0,1,IF($U$3="Chunk Rent",1,2)),
     unit_details[Leased Date],"&gt;="&amp;($AM$2-X$5),
     unit_details[Leased Date],"&lt;"&amp;$AM$2,
     unit_details[Beds],$L779,
     unit_details[Baths],$M779,
     unit_details[Partial Baths],IF(ISNUMBER($N779),$N779,""),
     unit_details[Sqft],$P779,
     unit_details[Property Name],$F779)
 ),"")</f>
        <v/>
      </c>
      <c r="Z779" s="27" t="str">
        <f t="shared" si="143"/>
        <v/>
      </c>
      <c r="AA779" s="526">
        <f>IFERROR(
  IF($F779="Total",
    SUM(INDEX(AA:AA, ROW()-COUNTIF($F$6:INDEX($F:$F, ROW()-1), $F778)) : INDEX(AA:AA, ROW()-1)),
    COUNTIFS(
      unit_details[Leased Date], "&gt;="&amp;($AM$2-X$5),
      unit_details[Leased Date], "&lt;"&amp;$AM$2,
      unit_details[Beds], $L779,
      unit_details[Baths], $M779,
      unit_details[Partial Baths], IF(ISNUMBER($N779), $N779, ""),
      unit_details[Sqft],$P779,
      unit_details[Property Name], $F779
    )
  ),
"")</f>
        <v>0</v>
      </c>
      <c r="AB779" s="290">
        <f>IF($F779="Total",
SUM(INDEX(AB:AB, ROW()-COUNTIF($F$6:INDEX($F:$F, ROW()-1), $F778)) : INDEX(AB:AB, ROW()-1)),
COUNTIFS(unit_details[Active Listing?],TRUE,
          unit_details[Property Name], $F779,
          unit_details[Beds], $L779,
          unit_details[Baths], $M779,
          unit_details[Partial Baths],IF(ISNUMBER($N779),$N779,""),
          unit_details[Sqft],$P779))</f>
        <v>0</v>
      </c>
      <c r="AC779" s="27" t="str">
        <f t="shared" si="135"/>
        <v/>
      </c>
      <c r="AD779" s="293" t="str">
        <f>IFERROR(IF(AE779="","",IF($F779="Total",
SUMPRODUCT(
   INDEX(AD:AD, ROW()-COUNTIF($F$6:INDEX($F:$F, ROW()-1), $F778)) : INDEX(AD:AD, ROW()-1),
   INDEX(AB:AB, ROW()-COUNTIF($F$6:INDEX($F:$F, ROW()-1), $F778)) : INDEX(AB:AB, ROW()-1)
   )
   /SUM(INDEX(AB:AB, ROW()-COUNTIF($F$6:INDEX($F:$F, ROW()-1), $F778)) : INDEX(AB:AB, ROW()-1)),
          _xlfn.MINIFS(unit_details[Asking Rent],
          unit_details[Active Listing?],TRUE,
          unit_details[Property Name], $F779,
          unit_details[Beds], $L779,
          unit_details[Baths], $M779,
          unit_details[Partial Baths], IF(ISNUMBER($N779),$N779,""),
          unit_details[Sqft],$P779
))),"")</f>
        <v/>
      </c>
      <c r="AE779" s="5" t="str">
        <f>IFERROR(IF($F779="Total",
          SUMPRODUCT(
   INDEX(AE:AE, ROW()-COUNTIF($F$6:INDEX($F:$F, ROW()-1), $F778)) : INDEX(AE:AE, ROW()-1),
   INDEX(AB:AB, ROW()-COUNTIF($F$6:INDEX($F:$F, ROW()-1), $F778)) : INDEX(AB:AB, ROW()-1)
   )
   /SUM(INDEX(AB:AB, ROW()-COUNTIF($F$6:INDEX($F:$F, ROW()-1), $F778)) : INDEX(AB:AB, ROW()-1)),
          AVERAGEIFS(unit_details[Asking Rent],
          unit_details[Active Listing?],TRUE,
          unit_details[Property Name], $F779,
          unit_details[Beds], $L779,
          unit_details[Baths], $M779,
          unit_details[Partial Baths], IF(ISNUMBER($N779),$N779,""),
          unit_details[Sqft],$P779
)),"")</f>
        <v/>
      </c>
      <c r="AF779" s="5" t="str">
        <f>IFERROR(IF(AE779="","",IF($F779="Total",
SUMPRODUCT(
   INDEX(AF:AF, ROW()-COUNTIF($F$6:INDEX($F:$F, ROW()-1), $F778)) : INDEX(AF:AF, ROW()-1),
   INDEX(AB:AB, ROW()-COUNTIF($F$6:INDEX($F:$F, ROW()-1), $F778)) : INDEX(AB:AB, ROW()-1)
   )
   /SUM(INDEX(AB:AB, ROW()-COUNTIF($F$6:INDEX($F:$F, ROW()-1), $F778)) : INDEX(AB:AB, ROW()-1)),
           _xlfn.MAXIFS(unit_details[Asking Rent],
          unit_details[Active Listing?],TRUE,
          unit_details[Property Name], $F779,
          unit_details[Beds], $L779,
          unit_details[Baths], $M779,
          unit_details[Partial Baths], IF(ISNUMBER($N779),$N779,""),
          unit_details[Sqft],$P779
))),"")</f>
        <v/>
      </c>
      <c r="AG779" s="6" t="str">
        <f>IFERROR(IF($F779="Total",
         SUMPRODUCT(
         INDEX(AG:AG, ROW()-COUNTIF($F$6:INDEX($F:$F, ROW()-1), $F778)) : INDEX(AG:AG, ROW()-1),
         INDEX(AB:AB, ROW()-COUNTIF($F$6:INDEX($F:$F, ROW()-1), $F778)) : INDEX(AB:AB, ROW()-1)
         )
         /SUM(INDEX(AB:AB, ROW()-COUNTIF($F$6:INDEX($F:$F, ROW()-1), $F778)) : INDEX(AB:AB, ROW()-1)),
          AVERAGEIFS(unit_details[Asking PSF],
          unit_details[Active Listing?],TRUE,
          unit_details[Property Name], $F779,
          unit_details[Beds], $L779,
          unit_details[Baths], $M779,
          unit_details[Partial Baths], IF(ISNUMBER($N779),$N779,""),
          unit_details[Sqft],$P779
)),"")</f>
        <v/>
      </c>
      <c r="AH779" s="293" t="str">
        <f>IFERROR(IF($F779="Total",
         SUMPRODUCT(
         INDEX(AH:AH, ROW()-COUNTIF($F$6:INDEX($F:$F, ROW()-1), $F778)) : INDEX(AH:AH, ROW()-1),
         INDEX(AB:AB, ROW()-COUNTIF($F$6:INDEX($F:$F, ROW()-1), $F778)) : INDEX(AB:AB, ROW()-1)
         )
         /SUM(INDEX(AB:AB, ROW()-COUNTIF($F$6:INDEX($F:$F, ROW()-1), $F778)) : INDEX(AB:AB, ROW()-1)),
          AVERAGEIFS(unit_details[Effective Rent],
          unit_details[Active Listing?],TRUE,
          unit_details[Property Name], $F779,
          unit_details[Beds], $L779,
          unit_details[Baths], $M779,
          unit_details[Partial Baths], IF(ISNUMBER($N779),$N779,""),
          unit_details[Sqft],$P779
)),"")</f>
        <v/>
      </c>
      <c r="AI779" s="6" t="str">
        <f>IFERROR(IF($F779="Total",
         SUMPRODUCT(
         INDEX(AI:AI, ROW()-COUNTIF($F$6:INDEX($F:$F, ROW()-1), $F778)) : INDEX(AI:AI, ROW()-1),
         INDEX(AB:AB, ROW()-COUNTIF($F$6:INDEX($F:$F, ROW()-1), $F778)) : INDEX(AB:AB, ROW()-1)
         )
         /SUM(INDEX(AB:AB, ROW()-COUNTIF($F$6:INDEX($F:$F, ROW()-1), $F778)) : INDEX(AB:AB, ROW()-1)),
           AVERAGEIFS(unit_details[Effective PSF],
          unit_details[Active Listing?],TRUE,
          unit_details[Property Name], $F779,
          unit_details[Beds], $L779,
          unit_details[Baths], $M779,
          unit_details[Partial Baths], IF(ISNUMBER($N779),$N779,""),
          unit_details[Sqft],$P779
)),"")</f>
        <v/>
      </c>
      <c r="AJ779" s="824" t="str">
        <f t="shared" si="136"/>
        <v/>
      </c>
      <c r="AK779" s="531" t="str">
        <f t="shared" si="137"/>
        <v/>
      </c>
      <c r="AL779" s="714" t="str">
        <f t="shared" si="138"/>
        <v/>
      </c>
      <c r="AM779" s="531" t="str">
        <f t="shared" si="139"/>
        <v/>
      </c>
      <c r="AN779" s="716" t="str">
        <f t="shared" si="140"/>
        <v/>
      </c>
    </row>
    <row r="780" spans="6:40" x14ac:dyDescent="0.2">
      <c r="F780" s="1" t="str">
        <f t="shared" si="133"/>
        <v/>
      </c>
      <c r="G780" s="713" t="str">
        <f t="shared" si="141"/>
        <v/>
      </c>
      <c r="H780" s="17" t="str">
        <f>IFERROR(VLOOKUP($G780,Table1[[Property]:[Exposure %]],4,0),"")</f>
        <v/>
      </c>
      <c r="I780" s="3" t="str">
        <f>IFERROR(VLOOKUP($G780,Table1[[Property]:[Exposure %]],6,0),"")</f>
        <v/>
      </c>
      <c r="J780" s="3" t="str">
        <f>IFERROR(VLOOKUP($G780,Table1[[Property]:[Exposure %]],7,0),"")</f>
        <v/>
      </c>
      <c r="R780" s="4" t="str">
        <f>IFERROR(VLOOKUP(IF(F780="Total",F779,F780),Table1[[Property]:['# Units]],7,0)*S780,"")</f>
        <v/>
      </c>
      <c r="S780" s="27" t="str">
        <f t="shared" si="134"/>
        <v/>
      </c>
      <c r="T780" s="531" t="str">
        <f>IFERROR(
 IF($F780="Total",
   SUMPRODUCT(
   INDEX(T:T, ROW()-COUNTIF($F$6:INDEX($F:$F, ROW()-1), $F779)) : INDEX(T:T, ROW()-1),
   INDEX(W:W, ROW()-COUNTIF($F$6:INDEX($F:$F, ROW()-1), $F779)) : INDEX(W:W, ROW()-1)
   )
   /SUM(INDEX(W:W, ROW()-COUNTIF($F$6:INDEX($F:$F, ROW()-1), $F779)) : INDEX(W:W, ROW()-1)),
   AVERAGEIFS(
     INDEX((unit_details[Asking Rent],unit_details[Asking PSF]),0,1,IF($U$3="Chunk Rent",1,2)),
     unit_details[Leased Date],"&gt;="&amp;($AM$2-T$5),
     unit_details[Leased Date],"&lt;"&amp;$AM$2,
     unit_details[Beds],$L780,
     unit_details[Baths],$M780,
     unit_details[Partial Baths],IF(ISNUMBER($N780),$N780,""),
     unit_details[Sqft],$P780,
     unit_details[Property Name],$F780)
 ),"")</f>
        <v/>
      </c>
      <c r="U780" s="552" t="str">
        <f>IFERROR(
 IF($F780="Total",
   SUMPRODUCT(
   INDEX(U:U, ROW()-COUNTIF($F$6:INDEX($F:$F, ROW()-1), $F779)) : INDEX(U:U, ROW()-1),
   INDEX(W:W, ROW()-COUNTIF($F$6:INDEX($F:$F, ROW()-1), $F779)) : INDEX(W:W, ROW()-1)
   )
   /SUM(INDEX(W:W, ROW()-COUNTIF($F$6:INDEX($F:$F, ROW()-1), $F779)) : INDEX(W:W, ROW()-1)),
   AVERAGEIFS(
     INDEX((unit_details[Effective Rent],unit_details[Effective PSF]),0,1,IF($U$3="Chunk Rent",1,2)),
     unit_details[Leased Date],"&gt;="&amp;($AM$2-T$5),
     unit_details[Leased Date],"&lt;"&amp;$AM$2,
     unit_details[Beds],$L780,
     unit_details[Baths],$M780,
     unit_details[Partial Baths],IF(ISNUMBER($N780),$N780,""),
     unit_details[Sqft],$P780,
     unit_details[Property Name],$F780)
 ),"")</f>
        <v/>
      </c>
      <c r="V780" s="27" t="str">
        <f t="shared" si="142"/>
        <v/>
      </c>
      <c r="W780" s="526">
        <f>IFERROR(
  IF($F780="Total",
    SUM(INDEX(W:W, ROW()-COUNTIF($F$6:INDEX($F:$F, ROW()-1), $F779)) : INDEX(W:W, ROW()-1)),
    COUNTIFS(
      unit_details[Leased Date], "&gt;="&amp;($AM$2-T$5),
      unit_details[Leased Date], "&lt;"&amp;$AM$2,
      unit_details[Beds], $L780,
      unit_details[Baths], $M780,
      unit_details[Partial Baths], IF(ISNUMBER($N780), $N780, ""),
      unit_details[Sqft],$P780,
      unit_details[Property Name], $F780
    )
  ),
"")</f>
        <v>0</v>
      </c>
      <c r="X780" s="531" t="str">
        <f>IFERROR(
 IF($F780="Total",
   SUMPRODUCT(
   INDEX(X:X, ROW()-COUNTIF($F$6:INDEX($F:$F, ROW()-1), $F779)) : INDEX(X:X, ROW()-1),
   INDEX(AA:AA, ROW()-COUNTIF($F$6:INDEX($F:$F, ROW()-1), $F779)) : INDEX(AA:AA, ROW()-1)
   )
   /SUM(INDEX(AA:AA, ROW()-COUNTIF($F$6:INDEX($F:$F, ROW()-1), $F779)) : INDEX(AA:AA, ROW()-1)),
   AVERAGEIFS(
     INDEX((unit_details[Asking Rent],unit_details[Asking PSF]),0,1,IF($U$3="Chunk Rent",1,2)),
     unit_details[Leased Date],"&gt;="&amp;($AM$2-X$5),
     unit_details[Leased Date],"&lt;"&amp;$AM$2,
     unit_details[Beds],$L780,
     unit_details[Baths],$M780,
     unit_details[Partial Baths],IF(ISNUMBER($N780),$N780,""),
     unit_details[Sqft],$P780,
     unit_details[Property Name],$F780)
 ),"")</f>
        <v/>
      </c>
      <c r="Y780" s="552" t="str">
        <f>IFERROR(
 IF($F780="Total",
   SUMPRODUCT(
   INDEX(Y:Y, ROW()-COUNTIF($F$6:INDEX($F:$F, ROW()-1), $F779)) : INDEX(Y:Y, ROW()-1),
   INDEX(AA:AA, ROW()-COUNTIF($F$6:INDEX($F:$F, ROW()-1), $F779)) : INDEX(AA:AA, ROW()-1)
   )
   /SUM(INDEX(AA:AA, ROW()-COUNTIF($F$6:INDEX($F:$F, ROW()-1), $F779)) : INDEX(AA:AA, ROW()-1)),
   AVERAGEIFS(
     INDEX((unit_details[Effective Rent],unit_details[Effective PSF]),0,1,IF($U$3="Chunk Rent",1,2)),
     unit_details[Leased Date],"&gt;="&amp;($AM$2-X$5),
     unit_details[Leased Date],"&lt;"&amp;$AM$2,
     unit_details[Beds],$L780,
     unit_details[Baths],$M780,
     unit_details[Partial Baths],IF(ISNUMBER($N780),$N780,""),
     unit_details[Sqft],$P780,
     unit_details[Property Name],$F780)
 ),"")</f>
        <v/>
      </c>
      <c r="Z780" s="27" t="str">
        <f t="shared" si="143"/>
        <v/>
      </c>
      <c r="AA780" s="526">
        <f>IFERROR(
  IF($F780="Total",
    SUM(INDEX(AA:AA, ROW()-COUNTIF($F$6:INDEX($F:$F, ROW()-1), $F779)) : INDEX(AA:AA, ROW()-1)),
    COUNTIFS(
      unit_details[Leased Date], "&gt;="&amp;($AM$2-X$5),
      unit_details[Leased Date], "&lt;"&amp;$AM$2,
      unit_details[Beds], $L780,
      unit_details[Baths], $M780,
      unit_details[Partial Baths], IF(ISNUMBER($N780), $N780, ""),
      unit_details[Sqft],$P780,
      unit_details[Property Name], $F780
    )
  ),
"")</f>
        <v>0</v>
      </c>
      <c r="AB780" s="290">
        <f>IF($F780="Total",
SUM(INDEX(AB:AB, ROW()-COUNTIF($F$6:INDEX($F:$F, ROW()-1), $F779)) : INDEX(AB:AB, ROW()-1)),
COUNTIFS(unit_details[Active Listing?],TRUE,
          unit_details[Property Name], $F780,
          unit_details[Beds], $L780,
          unit_details[Baths], $M780,
          unit_details[Partial Baths],IF(ISNUMBER($N780),$N780,""),
          unit_details[Sqft],$P780))</f>
        <v>0</v>
      </c>
      <c r="AC780" s="27" t="str">
        <f t="shared" si="135"/>
        <v/>
      </c>
      <c r="AD780" s="293" t="str">
        <f>IFERROR(IF(AE780="","",IF($F780="Total",
SUMPRODUCT(
   INDEX(AD:AD, ROW()-COUNTIF($F$6:INDEX($F:$F, ROW()-1), $F779)) : INDEX(AD:AD, ROW()-1),
   INDEX(AB:AB, ROW()-COUNTIF($F$6:INDEX($F:$F, ROW()-1), $F779)) : INDEX(AB:AB, ROW()-1)
   )
   /SUM(INDEX(AB:AB, ROW()-COUNTIF($F$6:INDEX($F:$F, ROW()-1), $F779)) : INDEX(AB:AB, ROW()-1)),
          _xlfn.MINIFS(unit_details[Asking Rent],
          unit_details[Active Listing?],TRUE,
          unit_details[Property Name], $F780,
          unit_details[Beds], $L780,
          unit_details[Baths], $M780,
          unit_details[Partial Baths], IF(ISNUMBER($N780),$N780,""),
          unit_details[Sqft],$P780
))),"")</f>
        <v/>
      </c>
      <c r="AE780" s="5" t="str">
        <f>IFERROR(IF($F780="Total",
          SUMPRODUCT(
   INDEX(AE:AE, ROW()-COUNTIF($F$6:INDEX($F:$F, ROW()-1), $F779)) : INDEX(AE:AE, ROW()-1),
   INDEX(AB:AB, ROW()-COUNTIF($F$6:INDEX($F:$F, ROW()-1), $F779)) : INDEX(AB:AB, ROW()-1)
   )
   /SUM(INDEX(AB:AB, ROW()-COUNTIF($F$6:INDEX($F:$F, ROW()-1), $F779)) : INDEX(AB:AB, ROW()-1)),
          AVERAGEIFS(unit_details[Asking Rent],
          unit_details[Active Listing?],TRUE,
          unit_details[Property Name], $F780,
          unit_details[Beds], $L780,
          unit_details[Baths], $M780,
          unit_details[Partial Baths], IF(ISNUMBER($N780),$N780,""),
          unit_details[Sqft],$P780
)),"")</f>
        <v/>
      </c>
      <c r="AF780" s="5" t="str">
        <f>IFERROR(IF(AE780="","",IF($F780="Total",
SUMPRODUCT(
   INDEX(AF:AF, ROW()-COUNTIF($F$6:INDEX($F:$F, ROW()-1), $F779)) : INDEX(AF:AF, ROW()-1),
   INDEX(AB:AB, ROW()-COUNTIF($F$6:INDEX($F:$F, ROW()-1), $F779)) : INDEX(AB:AB, ROW()-1)
   )
   /SUM(INDEX(AB:AB, ROW()-COUNTIF($F$6:INDEX($F:$F, ROW()-1), $F779)) : INDEX(AB:AB, ROW()-1)),
           _xlfn.MAXIFS(unit_details[Asking Rent],
          unit_details[Active Listing?],TRUE,
          unit_details[Property Name], $F780,
          unit_details[Beds], $L780,
          unit_details[Baths], $M780,
          unit_details[Partial Baths], IF(ISNUMBER($N780),$N780,""),
          unit_details[Sqft],$P780
))),"")</f>
        <v/>
      </c>
      <c r="AG780" s="6" t="str">
        <f>IFERROR(IF($F780="Total",
         SUMPRODUCT(
         INDEX(AG:AG, ROW()-COUNTIF($F$6:INDEX($F:$F, ROW()-1), $F779)) : INDEX(AG:AG, ROW()-1),
         INDEX(AB:AB, ROW()-COUNTIF($F$6:INDEX($F:$F, ROW()-1), $F779)) : INDEX(AB:AB, ROW()-1)
         )
         /SUM(INDEX(AB:AB, ROW()-COUNTIF($F$6:INDEX($F:$F, ROW()-1), $F779)) : INDEX(AB:AB, ROW()-1)),
          AVERAGEIFS(unit_details[Asking PSF],
          unit_details[Active Listing?],TRUE,
          unit_details[Property Name], $F780,
          unit_details[Beds], $L780,
          unit_details[Baths], $M780,
          unit_details[Partial Baths], IF(ISNUMBER($N780),$N780,""),
          unit_details[Sqft],$P780
)),"")</f>
        <v/>
      </c>
      <c r="AH780" s="293" t="str">
        <f>IFERROR(IF($F780="Total",
         SUMPRODUCT(
         INDEX(AH:AH, ROW()-COUNTIF($F$6:INDEX($F:$F, ROW()-1), $F779)) : INDEX(AH:AH, ROW()-1),
         INDEX(AB:AB, ROW()-COUNTIF($F$6:INDEX($F:$F, ROW()-1), $F779)) : INDEX(AB:AB, ROW()-1)
         )
         /SUM(INDEX(AB:AB, ROW()-COUNTIF($F$6:INDEX($F:$F, ROW()-1), $F779)) : INDEX(AB:AB, ROW()-1)),
          AVERAGEIFS(unit_details[Effective Rent],
          unit_details[Active Listing?],TRUE,
          unit_details[Property Name], $F780,
          unit_details[Beds], $L780,
          unit_details[Baths], $M780,
          unit_details[Partial Baths], IF(ISNUMBER($N780),$N780,""),
          unit_details[Sqft],$P780
)),"")</f>
        <v/>
      </c>
      <c r="AI780" s="6" t="str">
        <f>IFERROR(IF($F780="Total",
         SUMPRODUCT(
         INDEX(AI:AI, ROW()-COUNTIF($F$6:INDEX($F:$F, ROW()-1), $F779)) : INDEX(AI:AI, ROW()-1),
         INDEX(AB:AB, ROW()-COUNTIF($F$6:INDEX($F:$F, ROW()-1), $F779)) : INDEX(AB:AB, ROW()-1)
         )
         /SUM(INDEX(AB:AB, ROW()-COUNTIF($F$6:INDEX($F:$F, ROW()-1), $F779)) : INDEX(AB:AB, ROW()-1)),
           AVERAGEIFS(unit_details[Effective PSF],
          unit_details[Active Listing?],TRUE,
          unit_details[Property Name], $F780,
          unit_details[Beds], $L780,
          unit_details[Baths], $M780,
          unit_details[Partial Baths], IF(ISNUMBER($N780),$N780,""),
          unit_details[Sqft],$P780
)),"")</f>
        <v/>
      </c>
      <c r="AJ780" s="824" t="str">
        <f t="shared" si="136"/>
        <v/>
      </c>
      <c r="AK780" s="531" t="str">
        <f t="shared" si="137"/>
        <v/>
      </c>
      <c r="AL780" s="714" t="str">
        <f t="shared" si="138"/>
        <v/>
      </c>
      <c r="AM780" s="531" t="str">
        <f t="shared" si="139"/>
        <v/>
      </c>
      <c r="AN780" s="716" t="str">
        <f t="shared" si="140"/>
        <v/>
      </c>
    </row>
    <row r="781" spans="6:40" x14ac:dyDescent="0.2">
      <c r="F781" s="1" t="str">
        <f t="shared" si="133"/>
        <v/>
      </c>
      <c r="G781" s="713" t="str">
        <f t="shared" si="141"/>
        <v/>
      </c>
      <c r="H781" s="17" t="str">
        <f>IFERROR(VLOOKUP($G781,Table1[[Property]:[Exposure %]],4,0),"")</f>
        <v/>
      </c>
      <c r="I781" s="3" t="str">
        <f>IFERROR(VLOOKUP($G781,Table1[[Property]:[Exposure %]],6,0),"")</f>
        <v/>
      </c>
      <c r="J781" s="3" t="str">
        <f>IFERROR(VLOOKUP($G781,Table1[[Property]:[Exposure %]],7,0),"")</f>
        <v/>
      </c>
      <c r="R781" s="4" t="str">
        <f>IFERROR(VLOOKUP(IF(F781="Total",F780,F781),Table1[[Property]:['# Units]],7,0)*S781,"")</f>
        <v/>
      </c>
      <c r="S781" s="27" t="str">
        <f t="shared" si="134"/>
        <v/>
      </c>
      <c r="T781" s="531" t="str">
        <f>IFERROR(
 IF($F781="Total",
   SUMPRODUCT(
   INDEX(T:T, ROW()-COUNTIF($F$6:INDEX($F:$F, ROW()-1), $F780)) : INDEX(T:T, ROW()-1),
   INDEX(W:W, ROW()-COUNTIF($F$6:INDEX($F:$F, ROW()-1), $F780)) : INDEX(W:W, ROW()-1)
   )
   /SUM(INDEX(W:W, ROW()-COUNTIF($F$6:INDEX($F:$F, ROW()-1), $F780)) : INDEX(W:W, ROW()-1)),
   AVERAGEIFS(
     INDEX((unit_details[Asking Rent],unit_details[Asking PSF]),0,1,IF($U$3="Chunk Rent",1,2)),
     unit_details[Leased Date],"&gt;="&amp;($AM$2-T$5),
     unit_details[Leased Date],"&lt;"&amp;$AM$2,
     unit_details[Beds],$L781,
     unit_details[Baths],$M781,
     unit_details[Partial Baths],IF(ISNUMBER($N781),$N781,""),
     unit_details[Sqft],$P781,
     unit_details[Property Name],$F781)
 ),"")</f>
        <v/>
      </c>
      <c r="U781" s="552" t="str">
        <f>IFERROR(
 IF($F781="Total",
   SUMPRODUCT(
   INDEX(U:U, ROW()-COUNTIF($F$6:INDEX($F:$F, ROW()-1), $F780)) : INDEX(U:U, ROW()-1),
   INDEX(W:W, ROW()-COUNTIF($F$6:INDEX($F:$F, ROW()-1), $F780)) : INDEX(W:W, ROW()-1)
   )
   /SUM(INDEX(W:W, ROW()-COUNTIF($F$6:INDEX($F:$F, ROW()-1), $F780)) : INDEX(W:W, ROW()-1)),
   AVERAGEIFS(
     INDEX((unit_details[Effective Rent],unit_details[Effective PSF]),0,1,IF($U$3="Chunk Rent",1,2)),
     unit_details[Leased Date],"&gt;="&amp;($AM$2-T$5),
     unit_details[Leased Date],"&lt;"&amp;$AM$2,
     unit_details[Beds],$L781,
     unit_details[Baths],$M781,
     unit_details[Partial Baths],IF(ISNUMBER($N781),$N781,""),
     unit_details[Sqft],$P781,
     unit_details[Property Name],$F781)
 ),"")</f>
        <v/>
      </c>
      <c r="V781" s="27" t="str">
        <f t="shared" si="142"/>
        <v/>
      </c>
      <c r="W781" s="526">
        <f>IFERROR(
  IF($F781="Total",
    SUM(INDEX(W:W, ROW()-COUNTIF($F$6:INDEX($F:$F, ROW()-1), $F780)) : INDEX(W:W, ROW()-1)),
    COUNTIFS(
      unit_details[Leased Date], "&gt;="&amp;($AM$2-T$5),
      unit_details[Leased Date], "&lt;"&amp;$AM$2,
      unit_details[Beds], $L781,
      unit_details[Baths], $M781,
      unit_details[Partial Baths], IF(ISNUMBER($N781), $N781, ""),
      unit_details[Sqft],$P781,
      unit_details[Property Name], $F781
    )
  ),
"")</f>
        <v>0</v>
      </c>
      <c r="X781" s="531" t="str">
        <f>IFERROR(
 IF($F781="Total",
   SUMPRODUCT(
   INDEX(X:X, ROW()-COUNTIF($F$6:INDEX($F:$F, ROW()-1), $F780)) : INDEX(X:X, ROW()-1),
   INDEX(AA:AA, ROW()-COUNTIF($F$6:INDEX($F:$F, ROW()-1), $F780)) : INDEX(AA:AA, ROW()-1)
   )
   /SUM(INDEX(AA:AA, ROW()-COUNTIF($F$6:INDEX($F:$F, ROW()-1), $F780)) : INDEX(AA:AA, ROW()-1)),
   AVERAGEIFS(
     INDEX((unit_details[Asking Rent],unit_details[Asking PSF]),0,1,IF($U$3="Chunk Rent",1,2)),
     unit_details[Leased Date],"&gt;="&amp;($AM$2-X$5),
     unit_details[Leased Date],"&lt;"&amp;$AM$2,
     unit_details[Beds],$L781,
     unit_details[Baths],$M781,
     unit_details[Partial Baths],IF(ISNUMBER($N781),$N781,""),
     unit_details[Sqft],$P781,
     unit_details[Property Name],$F781)
 ),"")</f>
        <v/>
      </c>
      <c r="Y781" s="552" t="str">
        <f>IFERROR(
 IF($F781="Total",
   SUMPRODUCT(
   INDEX(Y:Y, ROW()-COUNTIF($F$6:INDEX($F:$F, ROW()-1), $F780)) : INDEX(Y:Y, ROW()-1),
   INDEX(AA:AA, ROW()-COUNTIF($F$6:INDEX($F:$F, ROW()-1), $F780)) : INDEX(AA:AA, ROW()-1)
   )
   /SUM(INDEX(AA:AA, ROW()-COUNTIF($F$6:INDEX($F:$F, ROW()-1), $F780)) : INDEX(AA:AA, ROW()-1)),
   AVERAGEIFS(
     INDEX((unit_details[Effective Rent],unit_details[Effective PSF]),0,1,IF($U$3="Chunk Rent",1,2)),
     unit_details[Leased Date],"&gt;="&amp;($AM$2-X$5),
     unit_details[Leased Date],"&lt;"&amp;$AM$2,
     unit_details[Beds],$L781,
     unit_details[Baths],$M781,
     unit_details[Partial Baths],IF(ISNUMBER($N781),$N781,""),
     unit_details[Sqft],$P781,
     unit_details[Property Name],$F781)
 ),"")</f>
        <v/>
      </c>
      <c r="Z781" s="27" t="str">
        <f t="shared" si="143"/>
        <v/>
      </c>
      <c r="AA781" s="526">
        <f>IFERROR(
  IF($F781="Total",
    SUM(INDEX(AA:AA, ROW()-COUNTIF($F$6:INDEX($F:$F, ROW()-1), $F780)) : INDEX(AA:AA, ROW()-1)),
    COUNTIFS(
      unit_details[Leased Date], "&gt;="&amp;($AM$2-X$5),
      unit_details[Leased Date], "&lt;"&amp;$AM$2,
      unit_details[Beds], $L781,
      unit_details[Baths], $M781,
      unit_details[Partial Baths], IF(ISNUMBER($N781), $N781, ""),
      unit_details[Sqft],$P781,
      unit_details[Property Name], $F781
    )
  ),
"")</f>
        <v>0</v>
      </c>
      <c r="AB781" s="290">
        <f>IF($F781="Total",
SUM(INDEX(AB:AB, ROW()-COUNTIF($F$6:INDEX($F:$F, ROW()-1), $F780)) : INDEX(AB:AB, ROW()-1)),
COUNTIFS(unit_details[Active Listing?],TRUE,
          unit_details[Property Name], $F781,
          unit_details[Beds], $L781,
          unit_details[Baths], $M781,
          unit_details[Partial Baths],IF(ISNUMBER($N781),$N781,""),
          unit_details[Sqft],$P781))</f>
        <v>0</v>
      </c>
      <c r="AC781" s="27" t="str">
        <f t="shared" si="135"/>
        <v/>
      </c>
      <c r="AD781" s="293" t="str">
        <f>IFERROR(IF(AE781="","",IF($F781="Total",
SUMPRODUCT(
   INDEX(AD:AD, ROW()-COUNTIF($F$6:INDEX($F:$F, ROW()-1), $F780)) : INDEX(AD:AD, ROW()-1),
   INDEX(AB:AB, ROW()-COUNTIF($F$6:INDEX($F:$F, ROW()-1), $F780)) : INDEX(AB:AB, ROW()-1)
   )
   /SUM(INDEX(AB:AB, ROW()-COUNTIF($F$6:INDEX($F:$F, ROW()-1), $F780)) : INDEX(AB:AB, ROW()-1)),
          _xlfn.MINIFS(unit_details[Asking Rent],
          unit_details[Active Listing?],TRUE,
          unit_details[Property Name], $F781,
          unit_details[Beds], $L781,
          unit_details[Baths], $M781,
          unit_details[Partial Baths], IF(ISNUMBER($N781),$N781,""),
          unit_details[Sqft],$P781
))),"")</f>
        <v/>
      </c>
      <c r="AE781" s="5" t="str">
        <f>IFERROR(IF($F781="Total",
          SUMPRODUCT(
   INDEX(AE:AE, ROW()-COUNTIF($F$6:INDEX($F:$F, ROW()-1), $F780)) : INDEX(AE:AE, ROW()-1),
   INDEX(AB:AB, ROW()-COUNTIF($F$6:INDEX($F:$F, ROW()-1), $F780)) : INDEX(AB:AB, ROW()-1)
   )
   /SUM(INDEX(AB:AB, ROW()-COUNTIF($F$6:INDEX($F:$F, ROW()-1), $F780)) : INDEX(AB:AB, ROW()-1)),
          AVERAGEIFS(unit_details[Asking Rent],
          unit_details[Active Listing?],TRUE,
          unit_details[Property Name], $F781,
          unit_details[Beds], $L781,
          unit_details[Baths], $M781,
          unit_details[Partial Baths], IF(ISNUMBER($N781),$N781,""),
          unit_details[Sqft],$P781
)),"")</f>
        <v/>
      </c>
      <c r="AF781" s="5" t="str">
        <f>IFERROR(IF(AE781="","",IF($F781="Total",
SUMPRODUCT(
   INDEX(AF:AF, ROW()-COUNTIF($F$6:INDEX($F:$F, ROW()-1), $F780)) : INDEX(AF:AF, ROW()-1),
   INDEX(AB:AB, ROW()-COUNTIF($F$6:INDEX($F:$F, ROW()-1), $F780)) : INDEX(AB:AB, ROW()-1)
   )
   /SUM(INDEX(AB:AB, ROW()-COUNTIF($F$6:INDEX($F:$F, ROW()-1), $F780)) : INDEX(AB:AB, ROW()-1)),
           _xlfn.MAXIFS(unit_details[Asking Rent],
          unit_details[Active Listing?],TRUE,
          unit_details[Property Name], $F781,
          unit_details[Beds], $L781,
          unit_details[Baths], $M781,
          unit_details[Partial Baths], IF(ISNUMBER($N781),$N781,""),
          unit_details[Sqft],$P781
))),"")</f>
        <v/>
      </c>
      <c r="AG781" s="6" t="str">
        <f>IFERROR(IF($F781="Total",
         SUMPRODUCT(
         INDEX(AG:AG, ROW()-COUNTIF($F$6:INDEX($F:$F, ROW()-1), $F780)) : INDEX(AG:AG, ROW()-1),
         INDEX(AB:AB, ROW()-COUNTIF($F$6:INDEX($F:$F, ROW()-1), $F780)) : INDEX(AB:AB, ROW()-1)
         )
         /SUM(INDEX(AB:AB, ROW()-COUNTIF($F$6:INDEX($F:$F, ROW()-1), $F780)) : INDEX(AB:AB, ROW()-1)),
          AVERAGEIFS(unit_details[Asking PSF],
          unit_details[Active Listing?],TRUE,
          unit_details[Property Name], $F781,
          unit_details[Beds], $L781,
          unit_details[Baths], $M781,
          unit_details[Partial Baths], IF(ISNUMBER($N781),$N781,""),
          unit_details[Sqft],$P781
)),"")</f>
        <v/>
      </c>
      <c r="AH781" s="293" t="str">
        <f>IFERROR(IF($F781="Total",
         SUMPRODUCT(
         INDEX(AH:AH, ROW()-COUNTIF($F$6:INDEX($F:$F, ROW()-1), $F780)) : INDEX(AH:AH, ROW()-1),
         INDEX(AB:AB, ROW()-COUNTIF($F$6:INDEX($F:$F, ROW()-1), $F780)) : INDEX(AB:AB, ROW()-1)
         )
         /SUM(INDEX(AB:AB, ROW()-COUNTIF($F$6:INDEX($F:$F, ROW()-1), $F780)) : INDEX(AB:AB, ROW()-1)),
          AVERAGEIFS(unit_details[Effective Rent],
          unit_details[Active Listing?],TRUE,
          unit_details[Property Name], $F781,
          unit_details[Beds], $L781,
          unit_details[Baths], $M781,
          unit_details[Partial Baths], IF(ISNUMBER($N781),$N781,""),
          unit_details[Sqft],$P781
)),"")</f>
        <v/>
      </c>
      <c r="AI781" s="6" t="str">
        <f>IFERROR(IF($F781="Total",
         SUMPRODUCT(
         INDEX(AI:AI, ROW()-COUNTIF($F$6:INDEX($F:$F, ROW()-1), $F780)) : INDEX(AI:AI, ROW()-1),
         INDEX(AB:AB, ROW()-COUNTIF($F$6:INDEX($F:$F, ROW()-1), $F780)) : INDEX(AB:AB, ROW()-1)
         )
         /SUM(INDEX(AB:AB, ROW()-COUNTIF($F$6:INDEX($F:$F, ROW()-1), $F780)) : INDEX(AB:AB, ROW()-1)),
           AVERAGEIFS(unit_details[Effective PSF],
          unit_details[Active Listing?],TRUE,
          unit_details[Property Name], $F781,
          unit_details[Beds], $L781,
          unit_details[Baths], $M781,
          unit_details[Partial Baths], IF(ISNUMBER($N781),$N781,""),
          unit_details[Sqft],$P781
)),"")</f>
        <v/>
      </c>
      <c r="AJ781" s="824" t="str">
        <f t="shared" si="136"/>
        <v/>
      </c>
      <c r="AK781" s="531" t="str">
        <f t="shared" si="137"/>
        <v/>
      </c>
      <c r="AL781" s="714" t="str">
        <f t="shared" si="138"/>
        <v/>
      </c>
      <c r="AM781" s="531" t="str">
        <f t="shared" si="139"/>
        <v/>
      </c>
      <c r="AN781" s="716" t="str">
        <f t="shared" si="140"/>
        <v/>
      </c>
    </row>
    <row r="782" spans="6:40" x14ac:dyDescent="0.2">
      <c r="F782" s="1" t="str">
        <f t="shared" si="133"/>
        <v/>
      </c>
      <c r="G782" s="713" t="str">
        <f t="shared" si="141"/>
        <v/>
      </c>
      <c r="H782" s="17" t="str">
        <f>IFERROR(VLOOKUP($G782,Table1[[Property]:[Exposure %]],4,0),"")</f>
        <v/>
      </c>
      <c r="I782" s="3" t="str">
        <f>IFERROR(VLOOKUP($G782,Table1[[Property]:[Exposure %]],6,0),"")</f>
        <v/>
      </c>
      <c r="J782" s="3" t="str">
        <f>IFERROR(VLOOKUP($G782,Table1[[Property]:[Exposure %]],7,0),"")</f>
        <v/>
      </c>
      <c r="R782" s="4" t="str">
        <f>IFERROR(VLOOKUP(IF(F782="Total",F781,F782),Table1[[Property]:['# Units]],7,0)*S782,"")</f>
        <v/>
      </c>
      <c r="S782" s="27" t="str">
        <f t="shared" si="134"/>
        <v/>
      </c>
      <c r="T782" s="531" t="str">
        <f>IFERROR(
 IF($F782="Total",
   SUMPRODUCT(
   INDEX(T:T, ROW()-COUNTIF($F$6:INDEX($F:$F, ROW()-1), $F781)) : INDEX(T:T, ROW()-1),
   INDEX(W:W, ROW()-COUNTIF($F$6:INDEX($F:$F, ROW()-1), $F781)) : INDEX(W:W, ROW()-1)
   )
   /SUM(INDEX(W:W, ROW()-COUNTIF($F$6:INDEX($F:$F, ROW()-1), $F781)) : INDEX(W:W, ROW()-1)),
   AVERAGEIFS(
     INDEX((unit_details[Asking Rent],unit_details[Asking PSF]),0,1,IF($U$3="Chunk Rent",1,2)),
     unit_details[Leased Date],"&gt;="&amp;($AM$2-T$5),
     unit_details[Leased Date],"&lt;"&amp;$AM$2,
     unit_details[Beds],$L782,
     unit_details[Baths],$M782,
     unit_details[Partial Baths],IF(ISNUMBER($N782),$N782,""),
     unit_details[Sqft],$P782,
     unit_details[Property Name],$F782)
 ),"")</f>
        <v/>
      </c>
      <c r="U782" s="552" t="str">
        <f>IFERROR(
 IF($F782="Total",
   SUMPRODUCT(
   INDEX(U:U, ROW()-COUNTIF($F$6:INDEX($F:$F, ROW()-1), $F781)) : INDEX(U:U, ROW()-1),
   INDEX(W:W, ROW()-COUNTIF($F$6:INDEX($F:$F, ROW()-1), $F781)) : INDEX(W:W, ROW()-1)
   )
   /SUM(INDEX(W:W, ROW()-COUNTIF($F$6:INDEX($F:$F, ROW()-1), $F781)) : INDEX(W:W, ROW()-1)),
   AVERAGEIFS(
     INDEX((unit_details[Effective Rent],unit_details[Effective PSF]),0,1,IF($U$3="Chunk Rent",1,2)),
     unit_details[Leased Date],"&gt;="&amp;($AM$2-T$5),
     unit_details[Leased Date],"&lt;"&amp;$AM$2,
     unit_details[Beds],$L782,
     unit_details[Baths],$M782,
     unit_details[Partial Baths],IF(ISNUMBER($N782),$N782,""),
     unit_details[Sqft],$P782,
     unit_details[Property Name],$F782)
 ),"")</f>
        <v/>
      </c>
      <c r="V782" s="27" t="str">
        <f t="shared" si="142"/>
        <v/>
      </c>
      <c r="W782" s="526">
        <f>IFERROR(
  IF($F782="Total",
    SUM(INDEX(W:W, ROW()-COUNTIF($F$6:INDEX($F:$F, ROW()-1), $F781)) : INDEX(W:W, ROW()-1)),
    COUNTIFS(
      unit_details[Leased Date], "&gt;="&amp;($AM$2-T$5),
      unit_details[Leased Date], "&lt;"&amp;$AM$2,
      unit_details[Beds], $L782,
      unit_details[Baths], $M782,
      unit_details[Partial Baths], IF(ISNUMBER($N782), $N782, ""),
      unit_details[Sqft],$P782,
      unit_details[Property Name], $F782
    )
  ),
"")</f>
        <v>0</v>
      </c>
      <c r="X782" s="531" t="str">
        <f>IFERROR(
 IF($F782="Total",
   SUMPRODUCT(
   INDEX(X:X, ROW()-COUNTIF($F$6:INDEX($F:$F, ROW()-1), $F781)) : INDEX(X:X, ROW()-1),
   INDEX(AA:AA, ROW()-COUNTIF($F$6:INDEX($F:$F, ROW()-1), $F781)) : INDEX(AA:AA, ROW()-1)
   )
   /SUM(INDEX(AA:AA, ROW()-COUNTIF($F$6:INDEX($F:$F, ROW()-1), $F781)) : INDEX(AA:AA, ROW()-1)),
   AVERAGEIFS(
     INDEX((unit_details[Asking Rent],unit_details[Asking PSF]),0,1,IF($U$3="Chunk Rent",1,2)),
     unit_details[Leased Date],"&gt;="&amp;($AM$2-X$5),
     unit_details[Leased Date],"&lt;"&amp;$AM$2,
     unit_details[Beds],$L782,
     unit_details[Baths],$M782,
     unit_details[Partial Baths],IF(ISNUMBER($N782),$N782,""),
     unit_details[Sqft],$P782,
     unit_details[Property Name],$F782)
 ),"")</f>
        <v/>
      </c>
      <c r="Y782" s="552" t="str">
        <f>IFERROR(
 IF($F782="Total",
   SUMPRODUCT(
   INDEX(Y:Y, ROW()-COUNTIF($F$6:INDEX($F:$F, ROW()-1), $F781)) : INDEX(Y:Y, ROW()-1),
   INDEX(AA:AA, ROW()-COUNTIF($F$6:INDEX($F:$F, ROW()-1), $F781)) : INDEX(AA:AA, ROW()-1)
   )
   /SUM(INDEX(AA:AA, ROW()-COUNTIF($F$6:INDEX($F:$F, ROW()-1), $F781)) : INDEX(AA:AA, ROW()-1)),
   AVERAGEIFS(
     INDEX((unit_details[Effective Rent],unit_details[Effective PSF]),0,1,IF($U$3="Chunk Rent",1,2)),
     unit_details[Leased Date],"&gt;="&amp;($AM$2-X$5),
     unit_details[Leased Date],"&lt;"&amp;$AM$2,
     unit_details[Beds],$L782,
     unit_details[Baths],$M782,
     unit_details[Partial Baths],IF(ISNUMBER($N782),$N782,""),
     unit_details[Sqft],$P782,
     unit_details[Property Name],$F782)
 ),"")</f>
        <v/>
      </c>
      <c r="Z782" s="27" t="str">
        <f t="shared" si="143"/>
        <v/>
      </c>
      <c r="AA782" s="526">
        <f>IFERROR(
  IF($F782="Total",
    SUM(INDEX(AA:AA, ROW()-COUNTIF($F$6:INDEX($F:$F, ROW()-1), $F781)) : INDEX(AA:AA, ROW()-1)),
    COUNTIFS(
      unit_details[Leased Date], "&gt;="&amp;($AM$2-X$5),
      unit_details[Leased Date], "&lt;"&amp;$AM$2,
      unit_details[Beds], $L782,
      unit_details[Baths], $M782,
      unit_details[Partial Baths], IF(ISNUMBER($N782), $N782, ""),
      unit_details[Sqft],$P782,
      unit_details[Property Name], $F782
    )
  ),
"")</f>
        <v>0</v>
      </c>
      <c r="AB782" s="290">
        <f>IF($F782="Total",
SUM(INDEX(AB:AB, ROW()-COUNTIF($F$6:INDEX($F:$F, ROW()-1), $F781)) : INDEX(AB:AB, ROW()-1)),
COUNTIFS(unit_details[Active Listing?],TRUE,
          unit_details[Property Name], $F782,
          unit_details[Beds], $L782,
          unit_details[Baths], $M782,
          unit_details[Partial Baths],IF(ISNUMBER($N782),$N782,""),
          unit_details[Sqft],$P782))</f>
        <v>0</v>
      </c>
      <c r="AC782" s="27" t="str">
        <f t="shared" si="135"/>
        <v/>
      </c>
      <c r="AD782" s="293" t="str">
        <f>IFERROR(IF(AE782="","",IF($F782="Total",
SUMPRODUCT(
   INDEX(AD:AD, ROW()-COUNTIF($F$6:INDEX($F:$F, ROW()-1), $F781)) : INDEX(AD:AD, ROW()-1),
   INDEX(AB:AB, ROW()-COUNTIF($F$6:INDEX($F:$F, ROW()-1), $F781)) : INDEX(AB:AB, ROW()-1)
   )
   /SUM(INDEX(AB:AB, ROW()-COUNTIF($F$6:INDEX($F:$F, ROW()-1), $F781)) : INDEX(AB:AB, ROW()-1)),
          _xlfn.MINIFS(unit_details[Asking Rent],
          unit_details[Active Listing?],TRUE,
          unit_details[Property Name], $F782,
          unit_details[Beds], $L782,
          unit_details[Baths], $M782,
          unit_details[Partial Baths], IF(ISNUMBER($N782),$N782,""),
          unit_details[Sqft],$P782
))),"")</f>
        <v/>
      </c>
      <c r="AE782" s="5" t="str">
        <f>IFERROR(IF($F782="Total",
          SUMPRODUCT(
   INDEX(AE:AE, ROW()-COUNTIF($F$6:INDEX($F:$F, ROW()-1), $F781)) : INDEX(AE:AE, ROW()-1),
   INDEX(AB:AB, ROW()-COUNTIF($F$6:INDEX($F:$F, ROW()-1), $F781)) : INDEX(AB:AB, ROW()-1)
   )
   /SUM(INDEX(AB:AB, ROW()-COUNTIF($F$6:INDEX($F:$F, ROW()-1), $F781)) : INDEX(AB:AB, ROW()-1)),
          AVERAGEIFS(unit_details[Asking Rent],
          unit_details[Active Listing?],TRUE,
          unit_details[Property Name], $F782,
          unit_details[Beds], $L782,
          unit_details[Baths], $M782,
          unit_details[Partial Baths], IF(ISNUMBER($N782),$N782,""),
          unit_details[Sqft],$P782
)),"")</f>
        <v/>
      </c>
      <c r="AF782" s="5" t="str">
        <f>IFERROR(IF(AE782="","",IF($F782="Total",
SUMPRODUCT(
   INDEX(AF:AF, ROW()-COUNTIF($F$6:INDEX($F:$F, ROW()-1), $F781)) : INDEX(AF:AF, ROW()-1),
   INDEX(AB:AB, ROW()-COUNTIF($F$6:INDEX($F:$F, ROW()-1), $F781)) : INDEX(AB:AB, ROW()-1)
   )
   /SUM(INDEX(AB:AB, ROW()-COUNTIF($F$6:INDEX($F:$F, ROW()-1), $F781)) : INDEX(AB:AB, ROW()-1)),
           _xlfn.MAXIFS(unit_details[Asking Rent],
          unit_details[Active Listing?],TRUE,
          unit_details[Property Name], $F782,
          unit_details[Beds], $L782,
          unit_details[Baths], $M782,
          unit_details[Partial Baths], IF(ISNUMBER($N782),$N782,""),
          unit_details[Sqft],$P782
))),"")</f>
        <v/>
      </c>
      <c r="AG782" s="6" t="str">
        <f>IFERROR(IF($F782="Total",
         SUMPRODUCT(
         INDEX(AG:AG, ROW()-COUNTIF($F$6:INDEX($F:$F, ROW()-1), $F781)) : INDEX(AG:AG, ROW()-1),
         INDEX(AB:AB, ROW()-COUNTIF($F$6:INDEX($F:$F, ROW()-1), $F781)) : INDEX(AB:AB, ROW()-1)
         )
         /SUM(INDEX(AB:AB, ROW()-COUNTIF($F$6:INDEX($F:$F, ROW()-1), $F781)) : INDEX(AB:AB, ROW()-1)),
          AVERAGEIFS(unit_details[Asking PSF],
          unit_details[Active Listing?],TRUE,
          unit_details[Property Name], $F782,
          unit_details[Beds], $L782,
          unit_details[Baths], $M782,
          unit_details[Partial Baths], IF(ISNUMBER($N782),$N782,""),
          unit_details[Sqft],$P782
)),"")</f>
        <v/>
      </c>
      <c r="AH782" s="293" t="str">
        <f>IFERROR(IF($F782="Total",
         SUMPRODUCT(
         INDEX(AH:AH, ROW()-COUNTIF($F$6:INDEX($F:$F, ROW()-1), $F781)) : INDEX(AH:AH, ROW()-1),
         INDEX(AB:AB, ROW()-COUNTIF($F$6:INDEX($F:$F, ROW()-1), $F781)) : INDEX(AB:AB, ROW()-1)
         )
         /SUM(INDEX(AB:AB, ROW()-COUNTIF($F$6:INDEX($F:$F, ROW()-1), $F781)) : INDEX(AB:AB, ROW()-1)),
          AVERAGEIFS(unit_details[Effective Rent],
          unit_details[Active Listing?],TRUE,
          unit_details[Property Name], $F782,
          unit_details[Beds], $L782,
          unit_details[Baths], $M782,
          unit_details[Partial Baths], IF(ISNUMBER($N782),$N782,""),
          unit_details[Sqft],$P782
)),"")</f>
        <v/>
      </c>
      <c r="AI782" s="6" t="str">
        <f>IFERROR(IF($F782="Total",
         SUMPRODUCT(
         INDEX(AI:AI, ROW()-COUNTIF($F$6:INDEX($F:$F, ROW()-1), $F781)) : INDEX(AI:AI, ROW()-1),
         INDEX(AB:AB, ROW()-COUNTIF($F$6:INDEX($F:$F, ROW()-1), $F781)) : INDEX(AB:AB, ROW()-1)
         )
         /SUM(INDEX(AB:AB, ROW()-COUNTIF($F$6:INDEX($F:$F, ROW()-1), $F781)) : INDEX(AB:AB, ROW()-1)),
           AVERAGEIFS(unit_details[Effective PSF],
          unit_details[Active Listing?],TRUE,
          unit_details[Property Name], $F782,
          unit_details[Beds], $L782,
          unit_details[Baths], $M782,
          unit_details[Partial Baths], IF(ISNUMBER($N782),$N782,""),
          unit_details[Sqft],$P782
)),"")</f>
        <v/>
      </c>
      <c r="AJ782" s="824" t="str">
        <f t="shared" si="136"/>
        <v/>
      </c>
      <c r="AK782" s="531" t="str">
        <f t="shared" si="137"/>
        <v/>
      </c>
      <c r="AL782" s="714" t="str">
        <f t="shared" si="138"/>
        <v/>
      </c>
      <c r="AM782" s="531" t="str">
        <f t="shared" si="139"/>
        <v/>
      </c>
      <c r="AN782" s="716" t="str">
        <f t="shared" si="140"/>
        <v/>
      </c>
    </row>
    <row r="783" spans="6:40" x14ac:dyDescent="0.2">
      <c r="F783" s="1" t="str">
        <f t="shared" si="133"/>
        <v/>
      </c>
      <c r="G783" s="713" t="str">
        <f t="shared" si="141"/>
        <v/>
      </c>
      <c r="H783" s="17" t="str">
        <f>IFERROR(VLOOKUP($G783,Table1[[Property]:[Exposure %]],4,0),"")</f>
        <v/>
      </c>
      <c r="I783" s="3" t="str">
        <f>IFERROR(VLOOKUP($G783,Table1[[Property]:[Exposure %]],6,0),"")</f>
        <v/>
      </c>
      <c r="J783" s="3" t="str">
        <f>IFERROR(VLOOKUP($G783,Table1[[Property]:[Exposure %]],7,0),"")</f>
        <v/>
      </c>
      <c r="R783" s="4" t="str">
        <f>IFERROR(VLOOKUP(IF(F783="Total",F782,F783),Table1[[Property]:['# Units]],7,0)*S783,"")</f>
        <v/>
      </c>
      <c r="S783" s="27" t="str">
        <f t="shared" si="134"/>
        <v/>
      </c>
      <c r="T783" s="531" t="str">
        <f>IFERROR(
 IF($F783="Total",
   SUMPRODUCT(
   INDEX(T:T, ROW()-COUNTIF($F$6:INDEX($F:$F, ROW()-1), $F782)) : INDEX(T:T, ROW()-1),
   INDEX(W:W, ROW()-COUNTIF($F$6:INDEX($F:$F, ROW()-1), $F782)) : INDEX(W:W, ROW()-1)
   )
   /SUM(INDEX(W:W, ROW()-COUNTIF($F$6:INDEX($F:$F, ROW()-1), $F782)) : INDEX(W:W, ROW()-1)),
   AVERAGEIFS(
     INDEX((unit_details[Asking Rent],unit_details[Asking PSF]),0,1,IF($U$3="Chunk Rent",1,2)),
     unit_details[Leased Date],"&gt;="&amp;($AM$2-T$5),
     unit_details[Leased Date],"&lt;"&amp;$AM$2,
     unit_details[Beds],$L783,
     unit_details[Baths],$M783,
     unit_details[Partial Baths],IF(ISNUMBER($N783),$N783,""),
     unit_details[Sqft],$P783,
     unit_details[Property Name],$F783)
 ),"")</f>
        <v/>
      </c>
      <c r="U783" s="552" t="str">
        <f>IFERROR(
 IF($F783="Total",
   SUMPRODUCT(
   INDEX(U:U, ROW()-COUNTIF($F$6:INDEX($F:$F, ROW()-1), $F782)) : INDEX(U:U, ROW()-1),
   INDEX(W:W, ROW()-COUNTIF($F$6:INDEX($F:$F, ROW()-1), $F782)) : INDEX(W:W, ROW()-1)
   )
   /SUM(INDEX(W:W, ROW()-COUNTIF($F$6:INDEX($F:$F, ROW()-1), $F782)) : INDEX(W:W, ROW()-1)),
   AVERAGEIFS(
     INDEX((unit_details[Effective Rent],unit_details[Effective PSF]),0,1,IF($U$3="Chunk Rent",1,2)),
     unit_details[Leased Date],"&gt;="&amp;($AM$2-T$5),
     unit_details[Leased Date],"&lt;"&amp;$AM$2,
     unit_details[Beds],$L783,
     unit_details[Baths],$M783,
     unit_details[Partial Baths],IF(ISNUMBER($N783),$N783,""),
     unit_details[Sqft],$P783,
     unit_details[Property Name],$F783)
 ),"")</f>
        <v/>
      </c>
      <c r="V783" s="27" t="str">
        <f t="shared" si="142"/>
        <v/>
      </c>
      <c r="W783" s="526">
        <f>IFERROR(
  IF($F783="Total",
    SUM(INDEX(W:W, ROW()-COUNTIF($F$6:INDEX($F:$F, ROW()-1), $F782)) : INDEX(W:W, ROW()-1)),
    COUNTIFS(
      unit_details[Leased Date], "&gt;="&amp;($AM$2-T$5),
      unit_details[Leased Date], "&lt;"&amp;$AM$2,
      unit_details[Beds], $L783,
      unit_details[Baths], $M783,
      unit_details[Partial Baths], IF(ISNUMBER($N783), $N783, ""),
      unit_details[Sqft],$P783,
      unit_details[Property Name], $F783
    )
  ),
"")</f>
        <v>0</v>
      </c>
      <c r="X783" s="531" t="str">
        <f>IFERROR(
 IF($F783="Total",
   SUMPRODUCT(
   INDEX(X:X, ROW()-COUNTIF($F$6:INDEX($F:$F, ROW()-1), $F782)) : INDEX(X:X, ROW()-1),
   INDEX(AA:AA, ROW()-COUNTIF($F$6:INDEX($F:$F, ROW()-1), $F782)) : INDEX(AA:AA, ROW()-1)
   )
   /SUM(INDEX(AA:AA, ROW()-COUNTIF($F$6:INDEX($F:$F, ROW()-1), $F782)) : INDEX(AA:AA, ROW()-1)),
   AVERAGEIFS(
     INDEX((unit_details[Asking Rent],unit_details[Asking PSF]),0,1,IF($U$3="Chunk Rent",1,2)),
     unit_details[Leased Date],"&gt;="&amp;($AM$2-X$5),
     unit_details[Leased Date],"&lt;"&amp;$AM$2,
     unit_details[Beds],$L783,
     unit_details[Baths],$M783,
     unit_details[Partial Baths],IF(ISNUMBER($N783),$N783,""),
     unit_details[Sqft],$P783,
     unit_details[Property Name],$F783)
 ),"")</f>
        <v/>
      </c>
      <c r="Y783" s="552" t="str">
        <f>IFERROR(
 IF($F783="Total",
   SUMPRODUCT(
   INDEX(Y:Y, ROW()-COUNTIF($F$6:INDEX($F:$F, ROW()-1), $F782)) : INDEX(Y:Y, ROW()-1),
   INDEX(AA:AA, ROW()-COUNTIF($F$6:INDEX($F:$F, ROW()-1), $F782)) : INDEX(AA:AA, ROW()-1)
   )
   /SUM(INDEX(AA:AA, ROW()-COUNTIF($F$6:INDEX($F:$F, ROW()-1), $F782)) : INDEX(AA:AA, ROW()-1)),
   AVERAGEIFS(
     INDEX((unit_details[Effective Rent],unit_details[Effective PSF]),0,1,IF($U$3="Chunk Rent",1,2)),
     unit_details[Leased Date],"&gt;="&amp;($AM$2-X$5),
     unit_details[Leased Date],"&lt;"&amp;$AM$2,
     unit_details[Beds],$L783,
     unit_details[Baths],$M783,
     unit_details[Partial Baths],IF(ISNUMBER($N783),$N783,""),
     unit_details[Sqft],$P783,
     unit_details[Property Name],$F783)
 ),"")</f>
        <v/>
      </c>
      <c r="Z783" s="27" t="str">
        <f t="shared" si="143"/>
        <v/>
      </c>
      <c r="AA783" s="526">
        <f>IFERROR(
  IF($F783="Total",
    SUM(INDEX(AA:AA, ROW()-COUNTIF($F$6:INDEX($F:$F, ROW()-1), $F782)) : INDEX(AA:AA, ROW()-1)),
    COUNTIFS(
      unit_details[Leased Date], "&gt;="&amp;($AM$2-X$5),
      unit_details[Leased Date], "&lt;"&amp;$AM$2,
      unit_details[Beds], $L783,
      unit_details[Baths], $M783,
      unit_details[Partial Baths], IF(ISNUMBER($N783), $N783, ""),
      unit_details[Sqft],$P783,
      unit_details[Property Name], $F783
    )
  ),
"")</f>
        <v>0</v>
      </c>
      <c r="AB783" s="290">
        <f>IF($F783="Total",
SUM(INDEX(AB:AB, ROW()-COUNTIF($F$6:INDEX($F:$F, ROW()-1), $F782)) : INDEX(AB:AB, ROW()-1)),
COUNTIFS(unit_details[Active Listing?],TRUE,
          unit_details[Property Name], $F783,
          unit_details[Beds], $L783,
          unit_details[Baths], $M783,
          unit_details[Partial Baths],IF(ISNUMBER($N783),$N783,""),
          unit_details[Sqft],$P783))</f>
        <v>0</v>
      </c>
      <c r="AC783" s="27" t="str">
        <f t="shared" si="135"/>
        <v/>
      </c>
      <c r="AD783" s="293" t="str">
        <f>IFERROR(IF(AE783="","",IF($F783="Total",
SUMPRODUCT(
   INDEX(AD:AD, ROW()-COUNTIF($F$6:INDEX($F:$F, ROW()-1), $F782)) : INDEX(AD:AD, ROW()-1),
   INDEX(AB:AB, ROW()-COUNTIF($F$6:INDEX($F:$F, ROW()-1), $F782)) : INDEX(AB:AB, ROW()-1)
   )
   /SUM(INDEX(AB:AB, ROW()-COUNTIF($F$6:INDEX($F:$F, ROW()-1), $F782)) : INDEX(AB:AB, ROW()-1)),
          _xlfn.MINIFS(unit_details[Asking Rent],
          unit_details[Active Listing?],TRUE,
          unit_details[Property Name], $F783,
          unit_details[Beds], $L783,
          unit_details[Baths], $M783,
          unit_details[Partial Baths], IF(ISNUMBER($N783),$N783,""),
          unit_details[Sqft],$P783
))),"")</f>
        <v/>
      </c>
      <c r="AE783" s="5" t="str">
        <f>IFERROR(IF($F783="Total",
          SUMPRODUCT(
   INDEX(AE:AE, ROW()-COUNTIF($F$6:INDEX($F:$F, ROW()-1), $F782)) : INDEX(AE:AE, ROW()-1),
   INDEX(AB:AB, ROW()-COUNTIF($F$6:INDEX($F:$F, ROW()-1), $F782)) : INDEX(AB:AB, ROW()-1)
   )
   /SUM(INDEX(AB:AB, ROW()-COUNTIF($F$6:INDEX($F:$F, ROW()-1), $F782)) : INDEX(AB:AB, ROW()-1)),
          AVERAGEIFS(unit_details[Asking Rent],
          unit_details[Active Listing?],TRUE,
          unit_details[Property Name], $F783,
          unit_details[Beds], $L783,
          unit_details[Baths], $M783,
          unit_details[Partial Baths], IF(ISNUMBER($N783),$N783,""),
          unit_details[Sqft],$P783
)),"")</f>
        <v/>
      </c>
      <c r="AF783" s="5" t="str">
        <f>IFERROR(IF(AE783="","",IF($F783="Total",
SUMPRODUCT(
   INDEX(AF:AF, ROW()-COUNTIF($F$6:INDEX($F:$F, ROW()-1), $F782)) : INDEX(AF:AF, ROW()-1),
   INDEX(AB:AB, ROW()-COUNTIF($F$6:INDEX($F:$F, ROW()-1), $F782)) : INDEX(AB:AB, ROW()-1)
   )
   /SUM(INDEX(AB:AB, ROW()-COUNTIF($F$6:INDEX($F:$F, ROW()-1), $F782)) : INDEX(AB:AB, ROW()-1)),
           _xlfn.MAXIFS(unit_details[Asking Rent],
          unit_details[Active Listing?],TRUE,
          unit_details[Property Name], $F783,
          unit_details[Beds], $L783,
          unit_details[Baths], $M783,
          unit_details[Partial Baths], IF(ISNUMBER($N783),$N783,""),
          unit_details[Sqft],$P783
))),"")</f>
        <v/>
      </c>
      <c r="AG783" s="6" t="str">
        <f>IFERROR(IF($F783="Total",
         SUMPRODUCT(
         INDEX(AG:AG, ROW()-COUNTIF($F$6:INDEX($F:$F, ROW()-1), $F782)) : INDEX(AG:AG, ROW()-1),
         INDEX(AB:AB, ROW()-COUNTIF($F$6:INDEX($F:$F, ROW()-1), $F782)) : INDEX(AB:AB, ROW()-1)
         )
         /SUM(INDEX(AB:AB, ROW()-COUNTIF($F$6:INDEX($F:$F, ROW()-1), $F782)) : INDEX(AB:AB, ROW()-1)),
          AVERAGEIFS(unit_details[Asking PSF],
          unit_details[Active Listing?],TRUE,
          unit_details[Property Name], $F783,
          unit_details[Beds], $L783,
          unit_details[Baths], $M783,
          unit_details[Partial Baths], IF(ISNUMBER($N783),$N783,""),
          unit_details[Sqft],$P783
)),"")</f>
        <v/>
      </c>
      <c r="AH783" s="293" t="str">
        <f>IFERROR(IF($F783="Total",
         SUMPRODUCT(
         INDEX(AH:AH, ROW()-COUNTIF($F$6:INDEX($F:$F, ROW()-1), $F782)) : INDEX(AH:AH, ROW()-1),
         INDEX(AB:AB, ROW()-COUNTIF($F$6:INDEX($F:$F, ROW()-1), $F782)) : INDEX(AB:AB, ROW()-1)
         )
         /SUM(INDEX(AB:AB, ROW()-COUNTIF($F$6:INDEX($F:$F, ROW()-1), $F782)) : INDEX(AB:AB, ROW()-1)),
          AVERAGEIFS(unit_details[Effective Rent],
          unit_details[Active Listing?],TRUE,
          unit_details[Property Name], $F783,
          unit_details[Beds], $L783,
          unit_details[Baths], $M783,
          unit_details[Partial Baths], IF(ISNUMBER($N783),$N783,""),
          unit_details[Sqft],$P783
)),"")</f>
        <v/>
      </c>
      <c r="AI783" s="6" t="str">
        <f>IFERROR(IF($F783="Total",
         SUMPRODUCT(
         INDEX(AI:AI, ROW()-COUNTIF($F$6:INDEX($F:$F, ROW()-1), $F782)) : INDEX(AI:AI, ROW()-1),
         INDEX(AB:AB, ROW()-COUNTIF($F$6:INDEX($F:$F, ROW()-1), $F782)) : INDEX(AB:AB, ROW()-1)
         )
         /SUM(INDEX(AB:AB, ROW()-COUNTIF($F$6:INDEX($F:$F, ROW()-1), $F782)) : INDEX(AB:AB, ROW()-1)),
           AVERAGEIFS(unit_details[Effective PSF],
          unit_details[Active Listing?],TRUE,
          unit_details[Property Name], $F783,
          unit_details[Beds], $L783,
          unit_details[Baths], $M783,
          unit_details[Partial Baths], IF(ISNUMBER($N783),$N783,""),
          unit_details[Sqft],$P783
)),"")</f>
        <v/>
      </c>
      <c r="AJ783" s="824" t="str">
        <f t="shared" si="136"/>
        <v/>
      </c>
      <c r="AK783" s="531" t="str">
        <f t="shared" si="137"/>
        <v/>
      </c>
      <c r="AL783" s="714" t="str">
        <f t="shared" si="138"/>
        <v/>
      </c>
      <c r="AM783" s="531" t="str">
        <f t="shared" si="139"/>
        <v/>
      </c>
      <c r="AN783" s="716" t="str">
        <f t="shared" si="140"/>
        <v/>
      </c>
    </row>
    <row r="784" spans="6:40" x14ac:dyDescent="0.2">
      <c r="F784" s="1" t="str">
        <f t="shared" si="133"/>
        <v/>
      </c>
      <c r="G784" s="713" t="str">
        <f t="shared" si="141"/>
        <v/>
      </c>
      <c r="H784" s="17" t="str">
        <f>IFERROR(VLOOKUP($G784,Table1[[Property]:[Exposure %]],4,0),"")</f>
        <v/>
      </c>
      <c r="I784" s="3" t="str">
        <f>IFERROR(VLOOKUP($G784,Table1[[Property]:[Exposure %]],6,0),"")</f>
        <v/>
      </c>
      <c r="J784" s="3" t="str">
        <f>IFERROR(VLOOKUP($G784,Table1[[Property]:[Exposure %]],7,0),"")</f>
        <v/>
      </c>
      <c r="R784" s="4" t="str">
        <f>IFERROR(VLOOKUP(IF(F784="Total",F783,F784),Table1[[Property]:['# Units]],7,0)*S784,"")</f>
        <v/>
      </c>
      <c r="S784" s="27" t="str">
        <f t="shared" si="134"/>
        <v/>
      </c>
      <c r="T784" s="531" t="str">
        <f>IFERROR(
 IF($F784="Total",
   SUMPRODUCT(
   INDEX(T:T, ROW()-COUNTIF($F$6:INDEX($F:$F, ROW()-1), $F783)) : INDEX(T:T, ROW()-1),
   INDEX(W:W, ROW()-COUNTIF($F$6:INDEX($F:$F, ROW()-1), $F783)) : INDEX(W:W, ROW()-1)
   )
   /SUM(INDEX(W:W, ROW()-COUNTIF($F$6:INDEX($F:$F, ROW()-1), $F783)) : INDEX(W:W, ROW()-1)),
   AVERAGEIFS(
     INDEX((unit_details[Asking Rent],unit_details[Asking PSF]),0,1,IF($U$3="Chunk Rent",1,2)),
     unit_details[Leased Date],"&gt;="&amp;($AM$2-T$5),
     unit_details[Leased Date],"&lt;"&amp;$AM$2,
     unit_details[Beds],$L784,
     unit_details[Baths],$M784,
     unit_details[Partial Baths],IF(ISNUMBER($N784),$N784,""),
     unit_details[Sqft],$P784,
     unit_details[Property Name],$F784)
 ),"")</f>
        <v/>
      </c>
      <c r="U784" s="552" t="str">
        <f>IFERROR(
 IF($F784="Total",
   SUMPRODUCT(
   INDEX(U:U, ROW()-COUNTIF($F$6:INDEX($F:$F, ROW()-1), $F783)) : INDEX(U:U, ROW()-1),
   INDEX(W:W, ROW()-COUNTIF($F$6:INDEX($F:$F, ROW()-1), $F783)) : INDEX(W:W, ROW()-1)
   )
   /SUM(INDEX(W:W, ROW()-COUNTIF($F$6:INDEX($F:$F, ROW()-1), $F783)) : INDEX(W:W, ROW()-1)),
   AVERAGEIFS(
     INDEX((unit_details[Effective Rent],unit_details[Effective PSF]),0,1,IF($U$3="Chunk Rent",1,2)),
     unit_details[Leased Date],"&gt;="&amp;($AM$2-T$5),
     unit_details[Leased Date],"&lt;"&amp;$AM$2,
     unit_details[Beds],$L784,
     unit_details[Baths],$M784,
     unit_details[Partial Baths],IF(ISNUMBER($N784),$N784,""),
     unit_details[Sqft],$P784,
     unit_details[Property Name],$F784)
 ),"")</f>
        <v/>
      </c>
      <c r="V784" s="27" t="str">
        <f t="shared" si="142"/>
        <v/>
      </c>
      <c r="W784" s="526">
        <f>IFERROR(
  IF($F784="Total",
    SUM(INDEX(W:W, ROW()-COUNTIF($F$6:INDEX($F:$F, ROW()-1), $F783)) : INDEX(W:W, ROW()-1)),
    COUNTIFS(
      unit_details[Leased Date], "&gt;="&amp;($AM$2-T$5),
      unit_details[Leased Date], "&lt;"&amp;$AM$2,
      unit_details[Beds], $L784,
      unit_details[Baths], $M784,
      unit_details[Partial Baths], IF(ISNUMBER($N784), $N784, ""),
      unit_details[Sqft],$P784,
      unit_details[Property Name], $F784
    )
  ),
"")</f>
        <v>0</v>
      </c>
      <c r="X784" s="531" t="str">
        <f>IFERROR(
 IF($F784="Total",
   SUMPRODUCT(
   INDEX(X:X, ROW()-COUNTIF($F$6:INDEX($F:$F, ROW()-1), $F783)) : INDEX(X:X, ROW()-1),
   INDEX(AA:AA, ROW()-COUNTIF($F$6:INDEX($F:$F, ROW()-1), $F783)) : INDEX(AA:AA, ROW()-1)
   )
   /SUM(INDEX(AA:AA, ROW()-COUNTIF($F$6:INDEX($F:$F, ROW()-1), $F783)) : INDEX(AA:AA, ROW()-1)),
   AVERAGEIFS(
     INDEX((unit_details[Asking Rent],unit_details[Asking PSF]),0,1,IF($U$3="Chunk Rent",1,2)),
     unit_details[Leased Date],"&gt;="&amp;($AM$2-X$5),
     unit_details[Leased Date],"&lt;"&amp;$AM$2,
     unit_details[Beds],$L784,
     unit_details[Baths],$M784,
     unit_details[Partial Baths],IF(ISNUMBER($N784),$N784,""),
     unit_details[Sqft],$P784,
     unit_details[Property Name],$F784)
 ),"")</f>
        <v/>
      </c>
      <c r="Y784" s="552" t="str">
        <f>IFERROR(
 IF($F784="Total",
   SUMPRODUCT(
   INDEX(Y:Y, ROW()-COUNTIF($F$6:INDEX($F:$F, ROW()-1), $F783)) : INDEX(Y:Y, ROW()-1),
   INDEX(AA:AA, ROW()-COUNTIF($F$6:INDEX($F:$F, ROW()-1), $F783)) : INDEX(AA:AA, ROW()-1)
   )
   /SUM(INDEX(AA:AA, ROW()-COUNTIF($F$6:INDEX($F:$F, ROW()-1), $F783)) : INDEX(AA:AA, ROW()-1)),
   AVERAGEIFS(
     INDEX((unit_details[Effective Rent],unit_details[Effective PSF]),0,1,IF($U$3="Chunk Rent",1,2)),
     unit_details[Leased Date],"&gt;="&amp;($AM$2-X$5),
     unit_details[Leased Date],"&lt;"&amp;$AM$2,
     unit_details[Beds],$L784,
     unit_details[Baths],$M784,
     unit_details[Partial Baths],IF(ISNUMBER($N784),$N784,""),
     unit_details[Sqft],$P784,
     unit_details[Property Name],$F784)
 ),"")</f>
        <v/>
      </c>
      <c r="Z784" s="27" t="str">
        <f t="shared" si="143"/>
        <v/>
      </c>
      <c r="AA784" s="526">
        <f>IFERROR(
  IF($F784="Total",
    SUM(INDEX(AA:AA, ROW()-COUNTIF($F$6:INDEX($F:$F, ROW()-1), $F783)) : INDEX(AA:AA, ROW()-1)),
    COUNTIFS(
      unit_details[Leased Date], "&gt;="&amp;($AM$2-X$5),
      unit_details[Leased Date], "&lt;"&amp;$AM$2,
      unit_details[Beds], $L784,
      unit_details[Baths], $M784,
      unit_details[Partial Baths], IF(ISNUMBER($N784), $N784, ""),
      unit_details[Sqft],$P784,
      unit_details[Property Name], $F784
    )
  ),
"")</f>
        <v>0</v>
      </c>
      <c r="AB784" s="290">
        <f>IF($F784="Total",
SUM(INDEX(AB:AB, ROW()-COUNTIF($F$6:INDEX($F:$F, ROW()-1), $F783)) : INDEX(AB:AB, ROW()-1)),
COUNTIFS(unit_details[Active Listing?],TRUE,
          unit_details[Property Name], $F784,
          unit_details[Beds], $L784,
          unit_details[Baths], $M784,
          unit_details[Partial Baths],IF(ISNUMBER($N784),$N784,""),
          unit_details[Sqft],$P784))</f>
        <v>0</v>
      </c>
      <c r="AC784" s="27" t="str">
        <f t="shared" si="135"/>
        <v/>
      </c>
      <c r="AD784" s="293" t="str">
        <f>IFERROR(IF(AE784="","",IF($F784="Total",
SUMPRODUCT(
   INDEX(AD:AD, ROW()-COUNTIF($F$6:INDEX($F:$F, ROW()-1), $F783)) : INDEX(AD:AD, ROW()-1),
   INDEX(AB:AB, ROW()-COUNTIF($F$6:INDEX($F:$F, ROW()-1), $F783)) : INDEX(AB:AB, ROW()-1)
   )
   /SUM(INDEX(AB:AB, ROW()-COUNTIF($F$6:INDEX($F:$F, ROW()-1), $F783)) : INDEX(AB:AB, ROW()-1)),
          _xlfn.MINIFS(unit_details[Asking Rent],
          unit_details[Active Listing?],TRUE,
          unit_details[Property Name], $F784,
          unit_details[Beds], $L784,
          unit_details[Baths], $M784,
          unit_details[Partial Baths], IF(ISNUMBER($N784),$N784,""),
          unit_details[Sqft],$P784
))),"")</f>
        <v/>
      </c>
      <c r="AE784" s="5" t="str">
        <f>IFERROR(IF($F784="Total",
          SUMPRODUCT(
   INDEX(AE:AE, ROW()-COUNTIF($F$6:INDEX($F:$F, ROW()-1), $F783)) : INDEX(AE:AE, ROW()-1),
   INDEX(AB:AB, ROW()-COUNTIF($F$6:INDEX($F:$F, ROW()-1), $F783)) : INDEX(AB:AB, ROW()-1)
   )
   /SUM(INDEX(AB:AB, ROW()-COUNTIF($F$6:INDEX($F:$F, ROW()-1), $F783)) : INDEX(AB:AB, ROW()-1)),
          AVERAGEIFS(unit_details[Asking Rent],
          unit_details[Active Listing?],TRUE,
          unit_details[Property Name], $F784,
          unit_details[Beds], $L784,
          unit_details[Baths], $M784,
          unit_details[Partial Baths], IF(ISNUMBER($N784),$N784,""),
          unit_details[Sqft],$P784
)),"")</f>
        <v/>
      </c>
      <c r="AF784" s="5" t="str">
        <f>IFERROR(IF(AE784="","",IF($F784="Total",
SUMPRODUCT(
   INDEX(AF:AF, ROW()-COUNTIF($F$6:INDEX($F:$F, ROW()-1), $F783)) : INDEX(AF:AF, ROW()-1),
   INDEX(AB:AB, ROW()-COUNTIF($F$6:INDEX($F:$F, ROW()-1), $F783)) : INDEX(AB:AB, ROW()-1)
   )
   /SUM(INDEX(AB:AB, ROW()-COUNTIF($F$6:INDEX($F:$F, ROW()-1), $F783)) : INDEX(AB:AB, ROW()-1)),
           _xlfn.MAXIFS(unit_details[Asking Rent],
          unit_details[Active Listing?],TRUE,
          unit_details[Property Name], $F784,
          unit_details[Beds], $L784,
          unit_details[Baths], $M784,
          unit_details[Partial Baths], IF(ISNUMBER($N784),$N784,""),
          unit_details[Sqft],$P784
))),"")</f>
        <v/>
      </c>
      <c r="AG784" s="6" t="str">
        <f>IFERROR(IF($F784="Total",
         SUMPRODUCT(
         INDEX(AG:AG, ROW()-COUNTIF($F$6:INDEX($F:$F, ROW()-1), $F783)) : INDEX(AG:AG, ROW()-1),
         INDEX(AB:AB, ROW()-COUNTIF($F$6:INDEX($F:$F, ROW()-1), $F783)) : INDEX(AB:AB, ROW()-1)
         )
         /SUM(INDEX(AB:AB, ROW()-COUNTIF($F$6:INDEX($F:$F, ROW()-1), $F783)) : INDEX(AB:AB, ROW()-1)),
          AVERAGEIFS(unit_details[Asking PSF],
          unit_details[Active Listing?],TRUE,
          unit_details[Property Name], $F784,
          unit_details[Beds], $L784,
          unit_details[Baths], $M784,
          unit_details[Partial Baths], IF(ISNUMBER($N784),$N784,""),
          unit_details[Sqft],$P784
)),"")</f>
        <v/>
      </c>
      <c r="AH784" s="293" t="str">
        <f>IFERROR(IF($F784="Total",
         SUMPRODUCT(
         INDEX(AH:AH, ROW()-COUNTIF($F$6:INDEX($F:$F, ROW()-1), $F783)) : INDEX(AH:AH, ROW()-1),
         INDEX(AB:AB, ROW()-COUNTIF($F$6:INDEX($F:$F, ROW()-1), $F783)) : INDEX(AB:AB, ROW()-1)
         )
         /SUM(INDEX(AB:AB, ROW()-COUNTIF($F$6:INDEX($F:$F, ROW()-1), $F783)) : INDEX(AB:AB, ROW()-1)),
          AVERAGEIFS(unit_details[Effective Rent],
          unit_details[Active Listing?],TRUE,
          unit_details[Property Name], $F784,
          unit_details[Beds], $L784,
          unit_details[Baths], $M784,
          unit_details[Partial Baths], IF(ISNUMBER($N784),$N784,""),
          unit_details[Sqft],$P784
)),"")</f>
        <v/>
      </c>
      <c r="AI784" s="6" t="str">
        <f>IFERROR(IF($F784="Total",
         SUMPRODUCT(
         INDEX(AI:AI, ROW()-COUNTIF($F$6:INDEX($F:$F, ROW()-1), $F783)) : INDEX(AI:AI, ROW()-1),
         INDEX(AB:AB, ROW()-COUNTIF($F$6:INDEX($F:$F, ROW()-1), $F783)) : INDEX(AB:AB, ROW()-1)
         )
         /SUM(INDEX(AB:AB, ROW()-COUNTIF($F$6:INDEX($F:$F, ROW()-1), $F783)) : INDEX(AB:AB, ROW()-1)),
           AVERAGEIFS(unit_details[Effective PSF],
          unit_details[Active Listing?],TRUE,
          unit_details[Property Name], $F784,
          unit_details[Beds], $L784,
          unit_details[Baths], $M784,
          unit_details[Partial Baths], IF(ISNUMBER($N784),$N784,""),
          unit_details[Sqft],$P784
)),"")</f>
        <v/>
      </c>
      <c r="AJ784" s="824" t="str">
        <f t="shared" si="136"/>
        <v/>
      </c>
      <c r="AK784" s="531" t="str">
        <f t="shared" si="137"/>
        <v/>
      </c>
      <c r="AL784" s="714" t="str">
        <f t="shared" si="138"/>
        <v/>
      </c>
      <c r="AM784" s="531" t="str">
        <f t="shared" si="139"/>
        <v/>
      </c>
      <c r="AN784" s="716" t="str">
        <f t="shared" si="140"/>
        <v/>
      </c>
    </row>
    <row r="785" spans="6:40" x14ac:dyDescent="0.2">
      <c r="F785" s="1" t="str">
        <f t="shared" si="133"/>
        <v/>
      </c>
      <c r="G785" s="713" t="str">
        <f t="shared" si="141"/>
        <v/>
      </c>
      <c r="H785" s="17" t="str">
        <f>IFERROR(VLOOKUP($G785,Table1[[Property]:[Exposure %]],4,0),"")</f>
        <v/>
      </c>
      <c r="I785" s="3" t="str">
        <f>IFERROR(VLOOKUP($G785,Table1[[Property]:[Exposure %]],6,0),"")</f>
        <v/>
      </c>
      <c r="J785" s="3" t="str">
        <f>IFERROR(VLOOKUP($G785,Table1[[Property]:[Exposure %]],7,0),"")</f>
        <v/>
      </c>
      <c r="R785" s="4" t="str">
        <f>IFERROR(VLOOKUP(IF(F785="Total",F784,F785),Table1[[Property]:['# Units]],7,0)*S785,"")</f>
        <v/>
      </c>
      <c r="S785" s="27" t="str">
        <f t="shared" si="134"/>
        <v/>
      </c>
      <c r="T785" s="531" t="str">
        <f>IFERROR(
 IF($F785="Total",
   SUMPRODUCT(
   INDEX(T:T, ROW()-COUNTIF($F$6:INDEX($F:$F, ROW()-1), $F784)) : INDEX(T:T, ROW()-1),
   INDEX(W:W, ROW()-COUNTIF($F$6:INDEX($F:$F, ROW()-1), $F784)) : INDEX(W:W, ROW()-1)
   )
   /SUM(INDEX(W:W, ROW()-COUNTIF($F$6:INDEX($F:$F, ROW()-1), $F784)) : INDEX(W:W, ROW()-1)),
   AVERAGEIFS(
     INDEX((unit_details[Asking Rent],unit_details[Asking PSF]),0,1,IF($U$3="Chunk Rent",1,2)),
     unit_details[Leased Date],"&gt;="&amp;($AM$2-T$5),
     unit_details[Leased Date],"&lt;"&amp;$AM$2,
     unit_details[Beds],$L785,
     unit_details[Baths],$M785,
     unit_details[Partial Baths],IF(ISNUMBER($N785),$N785,""),
     unit_details[Sqft],$P785,
     unit_details[Property Name],$F785)
 ),"")</f>
        <v/>
      </c>
      <c r="U785" s="552" t="str">
        <f>IFERROR(
 IF($F785="Total",
   SUMPRODUCT(
   INDEX(U:U, ROW()-COUNTIF($F$6:INDEX($F:$F, ROW()-1), $F784)) : INDEX(U:U, ROW()-1),
   INDEX(W:W, ROW()-COUNTIF($F$6:INDEX($F:$F, ROW()-1), $F784)) : INDEX(W:W, ROW()-1)
   )
   /SUM(INDEX(W:W, ROW()-COUNTIF($F$6:INDEX($F:$F, ROW()-1), $F784)) : INDEX(W:W, ROW()-1)),
   AVERAGEIFS(
     INDEX((unit_details[Effective Rent],unit_details[Effective PSF]),0,1,IF($U$3="Chunk Rent",1,2)),
     unit_details[Leased Date],"&gt;="&amp;($AM$2-T$5),
     unit_details[Leased Date],"&lt;"&amp;$AM$2,
     unit_details[Beds],$L785,
     unit_details[Baths],$M785,
     unit_details[Partial Baths],IF(ISNUMBER($N785),$N785,""),
     unit_details[Sqft],$P785,
     unit_details[Property Name],$F785)
 ),"")</f>
        <v/>
      </c>
      <c r="V785" s="27" t="str">
        <f t="shared" si="142"/>
        <v/>
      </c>
      <c r="W785" s="526">
        <f>IFERROR(
  IF($F785="Total",
    SUM(INDEX(W:W, ROW()-COUNTIF($F$6:INDEX($F:$F, ROW()-1), $F784)) : INDEX(W:W, ROW()-1)),
    COUNTIFS(
      unit_details[Leased Date], "&gt;="&amp;($AM$2-T$5),
      unit_details[Leased Date], "&lt;"&amp;$AM$2,
      unit_details[Beds], $L785,
      unit_details[Baths], $M785,
      unit_details[Partial Baths], IF(ISNUMBER($N785), $N785, ""),
      unit_details[Sqft],$P785,
      unit_details[Property Name], $F785
    )
  ),
"")</f>
        <v>0</v>
      </c>
      <c r="X785" s="531" t="str">
        <f>IFERROR(
 IF($F785="Total",
   SUMPRODUCT(
   INDEX(X:X, ROW()-COUNTIF($F$6:INDEX($F:$F, ROW()-1), $F784)) : INDEX(X:X, ROW()-1),
   INDEX(AA:AA, ROW()-COUNTIF($F$6:INDEX($F:$F, ROW()-1), $F784)) : INDEX(AA:AA, ROW()-1)
   )
   /SUM(INDEX(AA:AA, ROW()-COUNTIF($F$6:INDEX($F:$F, ROW()-1), $F784)) : INDEX(AA:AA, ROW()-1)),
   AVERAGEIFS(
     INDEX((unit_details[Asking Rent],unit_details[Asking PSF]),0,1,IF($U$3="Chunk Rent",1,2)),
     unit_details[Leased Date],"&gt;="&amp;($AM$2-X$5),
     unit_details[Leased Date],"&lt;"&amp;$AM$2,
     unit_details[Beds],$L785,
     unit_details[Baths],$M785,
     unit_details[Partial Baths],IF(ISNUMBER($N785),$N785,""),
     unit_details[Sqft],$P785,
     unit_details[Property Name],$F785)
 ),"")</f>
        <v/>
      </c>
      <c r="Y785" s="552" t="str">
        <f>IFERROR(
 IF($F785="Total",
   SUMPRODUCT(
   INDEX(Y:Y, ROW()-COUNTIF($F$6:INDEX($F:$F, ROW()-1), $F784)) : INDEX(Y:Y, ROW()-1),
   INDEX(AA:AA, ROW()-COUNTIF($F$6:INDEX($F:$F, ROW()-1), $F784)) : INDEX(AA:AA, ROW()-1)
   )
   /SUM(INDEX(AA:AA, ROW()-COUNTIF($F$6:INDEX($F:$F, ROW()-1), $F784)) : INDEX(AA:AA, ROW()-1)),
   AVERAGEIFS(
     INDEX((unit_details[Effective Rent],unit_details[Effective PSF]),0,1,IF($U$3="Chunk Rent",1,2)),
     unit_details[Leased Date],"&gt;="&amp;($AM$2-X$5),
     unit_details[Leased Date],"&lt;"&amp;$AM$2,
     unit_details[Beds],$L785,
     unit_details[Baths],$M785,
     unit_details[Partial Baths],IF(ISNUMBER($N785),$N785,""),
     unit_details[Sqft],$P785,
     unit_details[Property Name],$F785)
 ),"")</f>
        <v/>
      </c>
      <c r="Z785" s="27" t="str">
        <f t="shared" si="143"/>
        <v/>
      </c>
      <c r="AA785" s="526">
        <f>IFERROR(
  IF($F785="Total",
    SUM(INDEX(AA:AA, ROW()-COUNTIF($F$6:INDEX($F:$F, ROW()-1), $F784)) : INDEX(AA:AA, ROW()-1)),
    COUNTIFS(
      unit_details[Leased Date], "&gt;="&amp;($AM$2-X$5),
      unit_details[Leased Date], "&lt;"&amp;$AM$2,
      unit_details[Beds], $L785,
      unit_details[Baths], $M785,
      unit_details[Partial Baths], IF(ISNUMBER($N785), $N785, ""),
      unit_details[Sqft],$P785,
      unit_details[Property Name], $F785
    )
  ),
"")</f>
        <v>0</v>
      </c>
      <c r="AB785" s="290">
        <f>IF($F785="Total",
SUM(INDEX(AB:AB, ROW()-COUNTIF($F$6:INDEX($F:$F, ROW()-1), $F784)) : INDEX(AB:AB, ROW()-1)),
COUNTIFS(unit_details[Active Listing?],TRUE,
          unit_details[Property Name], $F785,
          unit_details[Beds], $L785,
          unit_details[Baths], $M785,
          unit_details[Partial Baths],IF(ISNUMBER($N785),$N785,""),
          unit_details[Sqft],$P785))</f>
        <v>0</v>
      </c>
      <c r="AC785" s="27" t="str">
        <f t="shared" si="135"/>
        <v/>
      </c>
      <c r="AD785" s="293" t="str">
        <f>IFERROR(IF(AE785="","",IF($F785="Total",
SUMPRODUCT(
   INDEX(AD:AD, ROW()-COUNTIF($F$6:INDEX($F:$F, ROW()-1), $F784)) : INDEX(AD:AD, ROW()-1),
   INDEX(AB:AB, ROW()-COUNTIF($F$6:INDEX($F:$F, ROW()-1), $F784)) : INDEX(AB:AB, ROW()-1)
   )
   /SUM(INDEX(AB:AB, ROW()-COUNTIF($F$6:INDEX($F:$F, ROW()-1), $F784)) : INDEX(AB:AB, ROW()-1)),
          _xlfn.MINIFS(unit_details[Asking Rent],
          unit_details[Active Listing?],TRUE,
          unit_details[Property Name], $F785,
          unit_details[Beds], $L785,
          unit_details[Baths], $M785,
          unit_details[Partial Baths], IF(ISNUMBER($N785),$N785,""),
          unit_details[Sqft],$P785
))),"")</f>
        <v/>
      </c>
      <c r="AE785" s="5" t="str">
        <f>IFERROR(IF($F785="Total",
          SUMPRODUCT(
   INDEX(AE:AE, ROW()-COUNTIF($F$6:INDEX($F:$F, ROW()-1), $F784)) : INDEX(AE:AE, ROW()-1),
   INDEX(AB:AB, ROW()-COUNTIF($F$6:INDEX($F:$F, ROW()-1), $F784)) : INDEX(AB:AB, ROW()-1)
   )
   /SUM(INDEX(AB:AB, ROW()-COUNTIF($F$6:INDEX($F:$F, ROW()-1), $F784)) : INDEX(AB:AB, ROW()-1)),
          AVERAGEIFS(unit_details[Asking Rent],
          unit_details[Active Listing?],TRUE,
          unit_details[Property Name], $F785,
          unit_details[Beds], $L785,
          unit_details[Baths], $M785,
          unit_details[Partial Baths], IF(ISNUMBER($N785),$N785,""),
          unit_details[Sqft],$P785
)),"")</f>
        <v/>
      </c>
      <c r="AF785" s="5" t="str">
        <f>IFERROR(IF(AE785="","",IF($F785="Total",
SUMPRODUCT(
   INDEX(AF:AF, ROW()-COUNTIF($F$6:INDEX($F:$F, ROW()-1), $F784)) : INDEX(AF:AF, ROW()-1),
   INDEX(AB:AB, ROW()-COUNTIF($F$6:INDEX($F:$F, ROW()-1), $F784)) : INDEX(AB:AB, ROW()-1)
   )
   /SUM(INDEX(AB:AB, ROW()-COUNTIF($F$6:INDEX($F:$F, ROW()-1), $F784)) : INDEX(AB:AB, ROW()-1)),
           _xlfn.MAXIFS(unit_details[Asking Rent],
          unit_details[Active Listing?],TRUE,
          unit_details[Property Name], $F785,
          unit_details[Beds], $L785,
          unit_details[Baths], $M785,
          unit_details[Partial Baths], IF(ISNUMBER($N785),$N785,""),
          unit_details[Sqft],$P785
))),"")</f>
        <v/>
      </c>
      <c r="AG785" s="6" t="str">
        <f>IFERROR(IF($F785="Total",
         SUMPRODUCT(
         INDEX(AG:AG, ROW()-COUNTIF($F$6:INDEX($F:$F, ROW()-1), $F784)) : INDEX(AG:AG, ROW()-1),
         INDEX(AB:AB, ROW()-COUNTIF($F$6:INDEX($F:$F, ROW()-1), $F784)) : INDEX(AB:AB, ROW()-1)
         )
         /SUM(INDEX(AB:AB, ROW()-COUNTIF($F$6:INDEX($F:$F, ROW()-1), $F784)) : INDEX(AB:AB, ROW()-1)),
          AVERAGEIFS(unit_details[Asking PSF],
          unit_details[Active Listing?],TRUE,
          unit_details[Property Name], $F785,
          unit_details[Beds], $L785,
          unit_details[Baths], $M785,
          unit_details[Partial Baths], IF(ISNUMBER($N785),$N785,""),
          unit_details[Sqft],$P785
)),"")</f>
        <v/>
      </c>
      <c r="AH785" s="293" t="str">
        <f>IFERROR(IF($F785="Total",
         SUMPRODUCT(
         INDEX(AH:AH, ROW()-COUNTIF($F$6:INDEX($F:$F, ROW()-1), $F784)) : INDEX(AH:AH, ROW()-1),
         INDEX(AB:AB, ROW()-COUNTIF($F$6:INDEX($F:$F, ROW()-1), $F784)) : INDEX(AB:AB, ROW()-1)
         )
         /SUM(INDEX(AB:AB, ROW()-COUNTIF($F$6:INDEX($F:$F, ROW()-1), $F784)) : INDEX(AB:AB, ROW()-1)),
          AVERAGEIFS(unit_details[Effective Rent],
          unit_details[Active Listing?],TRUE,
          unit_details[Property Name], $F785,
          unit_details[Beds], $L785,
          unit_details[Baths], $M785,
          unit_details[Partial Baths], IF(ISNUMBER($N785),$N785,""),
          unit_details[Sqft],$P785
)),"")</f>
        <v/>
      </c>
      <c r="AI785" s="6" t="str">
        <f>IFERROR(IF($F785="Total",
         SUMPRODUCT(
         INDEX(AI:AI, ROW()-COUNTIF($F$6:INDEX($F:$F, ROW()-1), $F784)) : INDEX(AI:AI, ROW()-1),
         INDEX(AB:AB, ROW()-COUNTIF($F$6:INDEX($F:$F, ROW()-1), $F784)) : INDEX(AB:AB, ROW()-1)
         )
         /SUM(INDEX(AB:AB, ROW()-COUNTIF($F$6:INDEX($F:$F, ROW()-1), $F784)) : INDEX(AB:AB, ROW()-1)),
           AVERAGEIFS(unit_details[Effective PSF],
          unit_details[Active Listing?],TRUE,
          unit_details[Property Name], $F785,
          unit_details[Beds], $L785,
          unit_details[Baths], $M785,
          unit_details[Partial Baths], IF(ISNUMBER($N785),$N785,""),
          unit_details[Sqft],$P785
)),"")</f>
        <v/>
      </c>
      <c r="AJ785" s="824" t="str">
        <f t="shared" si="136"/>
        <v/>
      </c>
      <c r="AK785" s="531" t="str">
        <f t="shared" si="137"/>
        <v/>
      </c>
      <c r="AL785" s="714" t="str">
        <f t="shared" si="138"/>
        <v/>
      </c>
      <c r="AM785" s="531" t="str">
        <f t="shared" si="139"/>
        <v/>
      </c>
      <c r="AN785" s="716" t="str">
        <f t="shared" si="140"/>
        <v/>
      </c>
    </row>
    <row r="786" spans="6:40" x14ac:dyDescent="0.2">
      <c r="F786" s="1" t="str">
        <f t="shared" si="133"/>
        <v/>
      </c>
      <c r="G786" s="713" t="str">
        <f t="shared" si="141"/>
        <v/>
      </c>
      <c r="H786" s="17" t="str">
        <f>IFERROR(VLOOKUP($G786,Table1[[Property]:[Exposure %]],4,0),"")</f>
        <v/>
      </c>
      <c r="I786" s="3" t="str">
        <f>IFERROR(VLOOKUP($G786,Table1[[Property]:[Exposure %]],6,0),"")</f>
        <v/>
      </c>
      <c r="J786" s="3" t="str">
        <f>IFERROR(VLOOKUP($G786,Table1[[Property]:[Exposure %]],7,0),"")</f>
        <v/>
      </c>
      <c r="R786" s="4" t="str">
        <f>IFERROR(VLOOKUP(IF(F786="Total",F785,F786),Table1[[Property]:['# Units]],7,0)*S786,"")</f>
        <v/>
      </c>
      <c r="S786" s="27" t="str">
        <f t="shared" si="134"/>
        <v/>
      </c>
      <c r="T786" s="531" t="str">
        <f>IFERROR(
 IF($F786="Total",
   SUMPRODUCT(
   INDEX(T:T, ROW()-COUNTIF($F$6:INDEX($F:$F, ROW()-1), $F785)) : INDEX(T:T, ROW()-1),
   INDEX(W:W, ROW()-COUNTIF($F$6:INDEX($F:$F, ROW()-1), $F785)) : INDEX(W:W, ROW()-1)
   )
   /SUM(INDEX(W:W, ROW()-COUNTIF($F$6:INDEX($F:$F, ROW()-1), $F785)) : INDEX(W:W, ROW()-1)),
   AVERAGEIFS(
     INDEX((unit_details[Asking Rent],unit_details[Asking PSF]),0,1,IF($U$3="Chunk Rent",1,2)),
     unit_details[Leased Date],"&gt;="&amp;($AM$2-T$5),
     unit_details[Leased Date],"&lt;"&amp;$AM$2,
     unit_details[Beds],$L786,
     unit_details[Baths],$M786,
     unit_details[Partial Baths],IF(ISNUMBER($N786),$N786,""),
     unit_details[Sqft],$P786,
     unit_details[Property Name],$F786)
 ),"")</f>
        <v/>
      </c>
      <c r="U786" s="552" t="str">
        <f>IFERROR(
 IF($F786="Total",
   SUMPRODUCT(
   INDEX(U:U, ROW()-COUNTIF($F$6:INDEX($F:$F, ROW()-1), $F785)) : INDEX(U:U, ROW()-1),
   INDEX(W:W, ROW()-COUNTIF($F$6:INDEX($F:$F, ROW()-1), $F785)) : INDEX(W:W, ROW()-1)
   )
   /SUM(INDEX(W:W, ROW()-COUNTIF($F$6:INDEX($F:$F, ROW()-1), $F785)) : INDEX(W:W, ROW()-1)),
   AVERAGEIFS(
     INDEX((unit_details[Effective Rent],unit_details[Effective PSF]),0,1,IF($U$3="Chunk Rent",1,2)),
     unit_details[Leased Date],"&gt;="&amp;($AM$2-T$5),
     unit_details[Leased Date],"&lt;"&amp;$AM$2,
     unit_details[Beds],$L786,
     unit_details[Baths],$M786,
     unit_details[Partial Baths],IF(ISNUMBER($N786),$N786,""),
     unit_details[Sqft],$P786,
     unit_details[Property Name],$F786)
 ),"")</f>
        <v/>
      </c>
      <c r="V786" s="27" t="str">
        <f t="shared" si="142"/>
        <v/>
      </c>
      <c r="W786" s="526">
        <f>IFERROR(
  IF($F786="Total",
    SUM(INDEX(W:W, ROW()-COUNTIF($F$6:INDEX($F:$F, ROW()-1), $F785)) : INDEX(W:W, ROW()-1)),
    COUNTIFS(
      unit_details[Leased Date], "&gt;="&amp;($AM$2-T$5),
      unit_details[Leased Date], "&lt;"&amp;$AM$2,
      unit_details[Beds], $L786,
      unit_details[Baths], $M786,
      unit_details[Partial Baths], IF(ISNUMBER($N786), $N786, ""),
      unit_details[Sqft],$P786,
      unit_details[Property Name], $F786
    )
  ),
"")</f>
        <v>0</v>
      </c>
      <c r="X786" s="531" t="str">
        <f>IFERROR(
 IF($F786="Total",
   SUMPRODUCT(
   INDEX(X:X, ROW()-COUNTIF($F$6:INDEX($F:$F, ROW()-1), $F785)) : INDEX(X:X, ROW()-1),
   INDEX(AA:AA, ROW()-COUNTIF($F$6:INDEX($F:$F, ROW()-1), $F785)) : INDEX(AA:AA, ROW()-1)
   )
   /SUM(INDEX(AA:AA, ROW()-COUNTIF($F$6:INDEX($F:$F, ROW()-1), $F785)) : INDEX(AA:AA, ROW()-1)),
   AVERAGEIFS(
     INDEX((unit_details[Asking Rent],unit_details[Asking PSF]),0,1,IF($U$3="Chunk Rent",1,2)),
     unit_details[Leased Date],"&gt;="&amp;($AM$2-X$5),
     unit_details[Leased Date],"&lt;"&amp;$AM$2,
     unit_details[Beds],$L786,
     unit_details[Baths],$M786,
     unit_details[Partial Baths],IF(ISNUMBER($N786),$N786,""),
     unit_details[Sqft],$P786,
     unit_details[Property Name],$F786)
 ),"")</f>
        <v/>
      </c>
      <c r="Y786" s="552" t="str">
        <f>IFERROR(
 IF($F786="Total",
   SUMPRODUCT(
   INDEX(Y:Y, ROW()-COUNTIF($F$6:INDEX($F:$F, ROW()-1), $F785)) : INDEX(Y:Y, ROW()-1),
   INDEX(AA:AA, ROW()-COUNTIF($F$6:INDEX($F:$F, ROW()-1), $F785)) : INDEX(AA:AA, ROW()-1)
   )
   /SUM(INDEX(AA:AA, ROW()-COUNTIF($F$6:INDEX($F:$F, ROW()-1), $F785)) : INDEX(AA:AA, ROW()-1)),
   AVERAGEIFS(
     INDEX((unit_details[Effective Rent],unit_details[Effective PSF]),0,1,IF($U$3="Chunk Rent",1,2)),
     unit_details[Leased Date],"&gt;="&amp;($AM$2-X$5),
     unit_details[Leased Date],"&lt;"&amp;$AM$2,
     unit_details[Beds],$L786,
     unit_details[Baths],$M786,
     unit_details[Partial Baths],IF(ISNUMBER($N786),$N786,""),
     unit_details[Sqft],$P786,
     unit_details[Property Name],$F786)
 ),"")</f>
        <v/>
      </c>
      <c r="Z786" s="27" t="str">
        <f t="shared" si="143"/>
        <v/>
      </c>
      <c r="AA786" s="526">
        <f>IFERROR(
  IF($F786="Total",
    SUM(INDEX(AA:AA, ROW()-COUNTIF($F$6:INDEX($F:$F, ROW()-1), $F785)) : INDEX(AA:AA, ROW()-1)),
    COUNTIFS(
      unit_details[Leased Date], "&gt;="&amp;($AM$2-X$5),
      unit_details[Leased Date], "&lt;"&amp;$AM$2,
      unit_details[Beds], $L786,
      unit_details[Baths], $M786,
      unit_details[Partial Baths], IF(ISNUMBER($N786), $N786, ""),
      unit_details[Sqft],$P786,
      unit_details[Property Name], $F786
    )
  ),
"")</f>
        <v>0</v>
      </c>
      <c r="AB786" s="290">
        <f>IF($F786="Total",
SUM(INDEX(AB:AB, ROW()-COUNTIF($F$6:INDEX($F:$F, ROW()-1), $F785)) : INDEX(AB:AB, ROW()-1)),
COUNTIFS(unit_details[Active Listing?],TRUE,
          unit_details[Property Name], $F786,
          unit_details[Beds], $L786,
          unit_details[Baths], $M786,
          unit_details[Partial Baths],IF(ISNUMBER($N786),$N786,""),
          unit_details[Sqft],$P786))</f>
        <v>0</v>
      </c>
      <c r="AC786" s="27" t="str">
        <f t="shared" si="135"/>
        <v/>
      </c>
      <c r="AD786" s="293" t="str">
        <f>IFERROR(IF(AE786="","",IF($F786="Total",
SUMPRODUCT(
   INDEX(AD:AD, ROW()-COUNTIF($F$6:INDEX($F:$F, ROW()-1), $F785)) : INDEX(AD:AD, ROW()-1),
   INDEX(AB:AB, ROW()-COUNTIF($F$6:INDEX($F:$F, ROW()-1), $F785)) : INDEX(AB:AB, ROW()-1)
   )
   /SUM(INDEX(AB:AB, ROW()-COUNTIF($F$6:INDEX($F:$F, ROW()-1), $F785)) : INDEX(AB:AB, ROW()-1)),
          _xlfn.MINIFS(unit_details[Asking Rent],
          unit_details[Active Listing?],TRUE,
          unit_details[Property Name], $F786,
          unit_details[Beds], $L786,
          unit_details[Baths], $M786,
          unit_details[Partial Baths], IF(ISNUMBER($N786),$N786,""),
          unit_details[Sqft],$P786
))),"")</f>
        <v/>
      </c>
      <c r="AE786" s="5" t="str">
        <f>IFERROR(IF($F786="Total",
          SUMPRODUCT(
   INDEX(AE:AE, ROW()-COUNTIF($F$6:INDEX($F:$F, ROW()-1), $F785)) : INDEX(AE:AE, ROW()-1),
   INDEX(AB:AB, ROW()-COUNTIF($F$6:INDEX($F:$F, ROW()-1), $F785)) : INDEX(AB:AB, ROW()-1)
   )
   /SUM(INDEX(AB:AB, ROW()-COUNTIF($F$6:INDEX($F:$F, ROW()-1), $F785)) : INDEX(AB:AB, ROW()-1)),
          AVERAGEIFS(unit_details[Asking Rent],
          unit_details[Active Listing?],TRUE,
          unit_details[Property Name], $F786,
          unit_details[Beds], $L786,
          unit_details[Baths], $M786,
          unit_details[Partial Baths], IF(ISNUMBER($N786),$N786,""),
          unit_details[Sqft],$P786
)),"")</f>
        <v/>
      </c>
      <c r="AF786" s="5" t="str">
        <f>IFERROR(IF(AE786="","",IF($F786="Total",
SUMPRODUCT(
   INDEX(AF:AF, ROW()-COUNTIF($F$6:INDEX($F:$F, ROW()-1), $F785)) : INDEX(AF:AF, ROW()-1),
   INDEX(AB:AB, ROW()-COUNTIF($F$6:INDEX($F:$F, ROW()-1), $F785)) : INDEX(AB:AB, ROW()-1)
   )
   /SUM(INDEX(AB:AB, ROW()-COUNTIF($F$6:INDEX($F:$F, ROW()-1), $F785)) : INDEX(AB:AB, ROW()-1)),
           _xlfn.MAXIFS(unit_details[Asking Rent],
          unit_details[Active Listing?],TRUE,
          unit_details[Property Name], $F786,
          unit_details[Beds], $L786,
          unit_details[Baths], $M786,
          unit_details[Partial Baths], IF(ISNUMBER($N786),$N786,""),
          unit_details[Sqft],$P786
))),"")</f>
        <v/>
      </c>
      <c r="AG786" s="6" t="str">
        <f>IFERROR(IF($F786="Total",
         SUMPRODUCT(
         INDEX(AG:AG, ROW()-COUNTIF($F$6:INDEX($F:$F, ROW()-1), $F785)) : INDEX(AG:AG, ROW()-1),
         INDEX(AB:AB, ROW()-COUNTIF($F$6:INDEX($F:$F, ROW()-1), $F785)) : INDEX(AB:AB, ROW()-1)
         )
         /SUM(INDEX(AB:AB, ROW()-COUNTIF($F$6:INDEX($F:$F, ROW()-1), $F785)) : INDEX(AB:AB, ROW()-1)),
          AVERAGEIFS(unit_details[Asking PSF],
          unit_details[Active Listing?],TRUE,
          unit_details[Property Name], $F786,
          unit_details[Beds], $L786,
          unit_details[Baths], $M786,
          unit_details[Partial Baths], IF(ISNUMBER($N786),$N786,""),
          unit_details[Sqft],$P786
)),"")</f>
        <v/>
      </c>
      <c r="AH786" s="293" t="str">
        <f>IFERROR(IF($F786="Total",
         SUMPRODUCT(
         INDEX(AH:AH, ROW()-COUNTIF($F$6:INDEX($F:$F, ROW()-1), $F785)) : INDEX(AH:AH, ROW()-1),
         INDEX(AB:AB, ROW()-COUNTIF($F$6:INDEX($F:$F, ROW()-1), $F785)) : INDEX(AB:AB, ROW()-1)
         )
         /SUM(INDEX(AB:AB, ROW()-COUNTIF($F$6:INDEX($F:$F, ROW()-1), $F785)) : INDEX(AB:AB, ROW()-1)),
          AVERAGEIFS(unit_details[Effective Rent],
          unit_details[Active Listing?],TRUE,
          unit_details[Property Name], $F786,
          unit_details[Beds], $L786,
          unit_details[Baths], $M786,
          unit_details[Partial Baths], IF(ISNUMBER($N786),$N786,""),
          unit_details[Sqft],$P786
)),"")</f>
        <v/>
      </c>
      <c r="AI786" s="6" t="str">
        <f>IFERROR(IF($F786="Total",
         SUMPRODUCT(
         INDEX(AI:AI, ROW()-COUNTIF($F$6:INDEX($F:$F, ROW()-1), $F785)) : INDEX(AI:AI, ROW()-1),
         INDEX(AB:AB, ROW()-COUNTIF($F$6:INDEX($F:$F, ROW()-1), $F785)) : INDEX(AB:AB, ROW()-1)
         )
         /SUM(INDEX(AB:AB, ROW()-COUNTIF($F$6:INDEX($F:$F, ROW()-1), $F785)) : INDEX(AB:AB, ROW()-1)),
           AVERAGEIFS(unit_details[Effective PSF],
          unit_details[Active Listing?],TRUE,
          unit_details[Property Name], $F786,
          unit_details[Beds], $L786,
          unit_details[Baths], $M786,
          unit_details[Partial Baths], IF(ISNUMBER($N786),$N786,""),
          unit_details[Sqft],$P786
)),"")</f>
        <v/>
      </c>
      <c r="AJ786" s="824" t="str">
        <f t="shared" si="136"/>
        <v/>
      </c>
      <c r="AK786" s="531" t="str">
        <f t="shared" si="137"/>
        <v/>
      </c>
      <c r="AL786" s="714" t="str">
        <f t="shared" si="138"/>
        <v/>
      </c>
      <c r="AM786" s="531" t="str">
        <f t="shared" si="139"/>
        <v/>
      </c>
      <c r="AN786" s="716" t="str">
        <f t="shared" si="140"/>
        <v/>
      </c>
    </row>
    <row r="787" spans="6:40" x14ac:dyDescent="0.2">
      <c r="F787" s="1" t="str">
        <f t="shared" si="133"/>
        <v/>
      </c>
      <c r="G787" s="713" t="str">
        <f t="shared" si="141"/>
        <v/>
      </c>
      <c r="H787" s="17" t="str">
        <f>IFERROR(VLOOKUP($G787,Table1[[Property]:[Exposure %]],4,0),"")</f>
        <v/>
      </c>
      <c r="I787" s="3" t="str">
        <f>IFERROR(VLOOKUP($G787,Table1[[Property]:[Exposure %]],6,0),"")</f>
        <v/>
      </c>
      <c r="J787" s="3" t="str">
        <f>IFERROR(VLOOKUP($G787,Table1[[Property]:[Exposure %]],7,0),"")</f>
        <v/>
      </c>
      <c r="R787" s="4" t="str">
        <f>IFERROR(VLOOKUP(IF(F787="Total",F786,F787),Table1[[Property]:['# Units]],7,0)*S787,"")</f>
        <v/>
      </c>
      <c r="S787" s="27" t="str">
        <f t="shared" si="134"/>
        <v/>
      </c>
      <c r="T787" s="531" t="str">
        <f>IFERROR(
 IF($F787="Total",
   SUMPRODUCT(
   INDEX(T:T, ROW()-COUNTIF($F$6:INDEX($F:$F, ROW()-1), $F786)) : INDEX(T:T, ROW()-1),
   INDEX(W:W, ROW()-COUNTIF($F$6:INDEX($F:$F, ROW()-1), $F786)) : INDEX(W:W, ROW()-1)
   )
   /SUM(INDEX(W:W, ROW()-COUNTIF($F$6:INDEX($F:$F, ROW()-1), $F786)) : INDEX(W:W, ROW()-1)),
   AVERAGEIFS(
     INDEX((unit_details[Asking Rent],unit_details[Asking PSF]),0,1,IF($U$3="Chunk Rent",1,2)),
     unit_details[Leased Date],"&gt;="&amp;($AM$2-T$5),
     unit_details[Leased Date],"&lt;"&amp;$AM$2,
     unit_details[Beds],$L787,
     unit_details[Baths],$M787,
     unit_details[Partial Baths],IF(ISNUMBER($N787),$N787,""),
     unit_details[Sqft],$P787,
     unit_details[Property Name],$F787)
 ),"")</f>
        <v/>
      </c>
      <c r="U787" s="552" t="str">
        <f>IFERROR(
 IF($F787="Total",
   SUMPRODUCT(
   INDEX(U:U, ROW()-COUNTIF($F$6:INDEX($F:$F, ROW()-1), $F786)) : INDEX(U:U, ROW()-1),
   INDEX(W:W, ROW()-COUNTIF($F$6:INDEX($F:$F, ROW()-1), $F786)) : INDEX(W:W, ROW()-1)
   )
   /SUM(INDEX(W:W, ROW()-COUNTIF($F$6:INDEX($F:$F, ROW()-1), $F786)) : INDEX(W:W, ROW()-1)),
   AVERAGEIFS(
     INDEX((unit_details[Effective Rent],unit_details[Effective PSF]),0,1,IF($U$3="Chunk Rent",1,2)),
     unit_details[Leased Date],"&gt;="&amp;($AM$2-T$5),
     unit_details[Leased Date],"&lt;"&amp;$AM$2,
     unit_details[Beds],$L787,
     unit_details[Baths],$M787,
     unit_details[Partial Baths],IF(ISNUMBER($N787),$N787,""),
     unit_details[Sqft],$P787,
     unit_details[Property Name],$F787)
 ),"")</f>
        <v/>
      </c>
      <c r="V787" s="27" t="str">
        <f t="shared" si="142"/>
        <v/>
      </c>
      <c r="W787" s="526">
        <f>IFERROR(
  IF($F787="Total",
    SUM(INDEX(W:W, ROW()-COUNTIF($F$6:INDEX($F:$F, ROW()-1), $F786)) : INDEX(W:W, ROW()-1)),
    COUNTIFS(
      unit_details[Leased Date], "&gt;="&amp;($AM$2-T$5),
      unit_details[Leased Date], "&lt;"&amp;$AM$2,
      unit_details[Beds], $L787,
      unit_details[Baths], $M787,
      unit_details[Partial Baths], IF(ISNUMBER($N787), $N787, ""),
      unit_details[Sqft],$P787,
      unit_details[Property Name], $F787
    )
  ),
"")</f>
        <v>0</v>
      </c>
      <c r="X787" s="531" t="str">
        <f>IFERROR(
 IF($F787="Total",
   SUMPRODUCT(
   INDEX(X:X, ROW()-COUNTIF($F$6:INDEX($F:$F, ROW()-1), $F786)) : INDEX(X:X, ROW()-1),
   INDEX(AA:AA, ROW()-COUNTIF($F$6:INDEX($F:$F, ROW()-1), $F786)) : INDEX(AA:AA, ROW()-1)
   )
   /SUM(INDEX(AA:AA, ROW()-COUNTIF($F$6:INDEX($F:$F, ROW()-1), $F786)) : INDEX(AA:AA, ROW()-1)),
   AVERAGEIFS(
     INDEX((unit_details[Asking Rent],unit_details[Asking PSF]),0,1,IF($U$3="Chunk Rent",1,2)),
     unit_details[Leased Date],"&gt;="&amp;($AM$2-X$5),
     unit_details[Leased Date],"&lt;"&amp;$AM$2,
     unit_details[Beds],$L787,
     unit_details[Baths],$M787,
     unit_details[Partial Baths],IF(ISNUMBER($N787),$N787,""),
     unit_details[Sqft],$P787,
     unit_details[Property Name],$F787)
 ),"")</f>
        <v/>
      </c>
      <c r="Y787" s="552" t="str">
        <f>IFERROR(
 IF($F787="Total",
   SUMPRODUCT(
   INDEX(Y:Y, ROW()-COUNTIF($F$6:INDEX($F:$F, ROW()-1), $F786)) : INDEX(Y:Y, ROW()-1),
   INDEX(AA:AA, ROW()-COUNTIF($F$6:INDEX($F:$F, ROW()-1), $F786)) : INDEX(AA:AA, ROW()-1)
   )
   /SUM(INDEX(AA:AA, ROW()-COUNTIF($F$6:INDEX($F:$F, ROW()-1), $F786)) : INDEX(AA:AA, ROW()-1)),
   AVERAGEIFS(
     INDEX((unit_details[Effective Rent],unit_details[Effective PSF]),0,1,IF($U$3="Chunk Rent",1,2)),
     unit_details[Leased Date],"&gt;="&amp;($AM$2-X$5),
     unit_details[Leased Date],"&lt;"&amp;$AM$2,
     unit_details[Beds],$L787,
     unit_details[Baths],$M787,
     unit_details[Partial Baths],IF(ISNUMBER($N787),$N787,""),
     unit_details[Sqft],$P787,
     unit_details[Property Name],$F787)
 ),"")</f>
        <v/>
      </c>
      <c r="Z787" s="27" t="str">
        <f t="shared" si="143"/>
        <v/>
      </c>
      <c r="AA787" s="526">
        <f>IFERROR(
  IF($F787="Total",
    SUM(INDEX(AA:AA, ROW()-COUNTIF($F$6:INDEX($F:$F, ROW()-1), $F786)) : INDEX(AA:AA, ROW()-1)),
    COUNTIFS(
      unit_details[Leased Date], "&gt;="&amp;($AM$2-X$5),
      unit_details[Leased Date], "&lt;"&amp;$AM$2,
      unit_details[Beds], $L787,
      unit_details[Baths], $M787,
      unit_details[Partial Baths], IF(ISNUMBER($N787), $N787, ""),
      unit_details[Sqft],$P787,
      unit_details[Property Name], $F787
    )
  ),
"")</f>
        <v>0</v>
      </c>
      <c r="AB787" s="290">
        <f>IF($F787="Total",
SUM(INDEX(AB:AB, ROW()-COUNTIF($F$6:INDEX($F:$F, ROW()-1), $F786)) : INDEX(AB:AB, ROW()-1)),
COUNTIFS(unit_details[Active Listing?],TRUE,
          unit_details[Property Name], $F787,
          unit_details[Beds], $L787,
          unit_details[Baths], $M787,
          unit_details[Partial Baths],IF(ISNUMBER($N787),$N787,""),
          unit_details[Sqft],$P787))</f>
        <v>0</v>
      </c>
      <c r="AC787" s="27" t="str">
        <f t="shared" si="135"/>
        <v/>
      </c>
      <c r="AD787" s="293" t="str">
        <f>IFERROR(IF(AE787="","",IF($F787="Total",
SUMPRODUCT(
   INDEX(AD:AD, ROW()-COUNTIF($F$6:INDEX($F:$F, ROW()-1), $F786)) : INDEX(AD:AD, ROW()-1),
   INDEX(AB:AB, ROW()-COUNTIF($F$6:INDEX($F:$F, ROW()-1), $F786)) : INDEX(AB:AB, ROW()-1)
   )
   /SUM(INDEX(AB:AB, ROW()-COUNTIF($F$6:INDEX($F:$F, ROW()-1), $F786)) : INDEX(AB:AB, ROW()-1)),
          _xlfn.MINIFS(unit_details[Asking Rent],
          unit_details[Active Listing?],TRUE,
          unit_details[Property Name], $F787,
          unit_details[Beds], $L787,
          unit_details[Baths], $M787,
          unit_details[Partial Baths], IF(ISNUMBER($N787),$N787,""),
          unit_details[Sqft],$P787
))),"")</f>
        <v/>
      </c>
      <c r="AE787" s="5" t="str">
        <f>IFERROR(IF($F787="Total",
          SUMPRODUCT(
   INDEX(AE:AE, ROW()-COUNTIF($F$6:INDEX($F:$F, ROW()-1), $F786)) : INDEX(AE:AE, ROW()-1),
   INDEX(AB:AB, ROW()-COUNTIF($F$6:INDEX($F:$F, ROW()-1), $F786)) : INDEX(AB:AB, ROW()-1)
   )
   /SUM(INDEX(AB:AB, ROW()-COUNTIF($F$6:INDEX($F:$F, ROW()-1), $F786)) : INDEX(AB:AB, ROW()-1)),
          AVERAGEIFS(unit_details[Asking Rent],
          unit_details[Active Listing?],TRUE,
          unit_details[Property Name], $F787,
          unit_details[Beds], $L787,
          unit_details[Baths], $M787,
          unit_details[Partial Baths], IF(ISNUMBER($N787),$N787,""),
          unit_details[Sqft],$P787
)),"")</f>
        <v/>
      </c>
      <c r="AF787" s="5" t="str">
        <f>IFERROR(IF(AE787="","",IF($F787="Total",
SUMPRODUCT(
   INDEX(AF:AF, ROW()-COUNTIF($F$6:INDEX($F:$F, ROW()-1), $F786)) : INDEX(AF:AF, ROW()-1),
   INDEX(AB:AB, ROW()-COUNTIF($F$6:INDEX($F:$F, ROW()-1), $F786)) : INDEX(AB:AB, ROW()-1)
   )
   /SUM(INDEX(AB:AB, ROW()-COUNTIF($F$6:INDEX($F:$F, ROW()-1), $F786)) : INDEX(AB:AB, ROW()-1)),
           _xlfn.MAXIFS(unit_details[Asking Rent],
          unit_details[Active Listing?],TRUE,
          unit_details[Property Name], $F787,
          unit_details[Beds], $L787,
          unit_details[Baths], $M787,
          unit_details[Partial Baths], IF(ISNUMBER($N787),$N787,""),
          unit_details[Sqft],$P787
))),"")</f>
        <v/>
      </c>
      <c r="AG787" s="6" t="str">
        <f>IFERROR(IF($F787="Total",
         SUMPRODUCT(
         INDEX(AG:AG, ROW()-COUNTIF($F$6:INDEX($F:$F, ROW()-1), $F786)) : INDEX(AG:AG, ROW()-1),
         INDEX(AB:AB, ROW()-COUNTIF($F$6:INDEX($F:$F, ROW()-1), $F786)) : INDEX(AB:AB, ROW()-1)
         )
         /SUM(INDEX(AB:AB, ROW()-COUNTIF($F$6:INDEX($F:$F, ROW()-1), $F786)) : INDEX(AB:AB, ROW()-1)),
          AVERAGEIFS(unit_details[Asking PSF],
          unit_details[Active Listing?],TRUE,
          unit_details[Property Name], $F787,
          unit_details[Beds], $L787,
          unit_details[Baths], $M787,
          unit_details[Partial Baths], IF(ISNUMBER($N787),$N787,""),
          unit_details[Sqft],$P787
)),"")</f>
        <v/>
      </c>
      <c r="AH787" s="293" t="str">
        <f>IFERROR(IF($F787="Total",
         SUMPRODUCT(
         INDEX(AH:AH, ROW()-COUNTIF($F$6:INDEX($F:$F, ROW()-1), $F786)) : INDEX(AH:AH, ROW()-1),
         INDEX(AB:AB, ROW()-COUNTIF($F$6:INDEX($F:$F, ROW()-1), $F786)) : INDEX(AB:AB, ROW()-1)
         )
         /SUM(INDEX(AB:AB, ROW()-COUNTIF($F$6:INDEX($F:$F, ROW()-1), $F786)) : INDEX(AB:AB, ROW()-1)),
          AVERAGEIFS(unit_details[Effective Rent],
          unit_details[Active Listing?],TRUE,
          unit_details[Property Name], $F787,
          unit_details[Beds], $L787,
          unit_details[Baths], $M787,
          unit_details[Partial Baths], IF(ISNUMBER($N787),$N787,""),
          unit_details[Sqft],$P787
)),"")</f>
        <v/>
      </c>
      <c r="AI787" s="6" t="str">
        <f>IFERROR(IF($F787="Total",
         SUMPRODUCT(
         INDEX(AI:AI, ROW()-COUNTIF($F$6:INDEX($F:$F, ROW()-1), $F786)) : INDEX(AI:AI, ROW()-1),
         INDEX(AB:AB, ROW()-COUNTIF($F$6:INDEX($F:$F, ROW()-1), $F786)) : INDEX(AB:AB, ROW()-1)
         )
         /SUM(INDEX(AB:AB, ROW()-COUNTIF($F$6:INDEX($F:$F, ROW()-1), $F786)) : INDEX(AB:AB, ROW()-1)),
           AVERAGEIFS(unit_details[Effective PSF],
          unit_details[Active Listing?],TRUE,
          unit_details[Property Name], $F787,
          unit_details[Beds], $L787,
          unit_details[Baths], $M787,
          unit_details[Partial Baths], IF(ISNUMBER($N787),$N787,""),
          unit_details[Sqft],$P787
)),"")</f>
        <v/>
      </c>
      <c r="AJ787" s="824" t="str">
        <f t="shared" si="136"/>
        <v/>
      </c>
      <c r="AK787" s="531" t="str">
        <f t="shared" si="137"/>
        <v/>
      </c>
      <c r="AL787" s="714" t="str">
        <f t="shared" si="138"/>
        <v/>
      </c>
      <c r="AM787" s="531" t="str">
        <f t="shared" si="139"/>
        <v/>
      </c>
      <c r="AN787" s="716" t="str">
        <f t="shared" si="140"/>
        <v/>
      </c>
    </row>
    <row r="788" spans="6:40" x14ac:dyDescent="0.2">
      <c r="F788" s="1" t="str">
        <f t="shared" si="133"/>
        <v/>
      </c>
      <c r="G788" s="713" t="str">
        <f t="shared" si="141"/>
        <v/>
      </c>
      <c r="H788" s="17" t="str">
        <f>IFERROR(VLOOKUP($G788,Table1[[Property]:[Exposure %]],4,0),"")</f>
        <v/>
      </c>
      <c r="I788" s="3" t="str">
        <f>IFERROR(VLOOKUP($G788,Table1[[Property]:[Exposure %]],6,0),"")</f>
        <v/>
      </c>
      <c r="J788" s="3" t="str">
        <f>IFERROR(VLOOKUP($G788,Table1[[Property]:[Exposure %]],7,0),"")</f>
        <v/>
      </c>
      <c r="R788" s="4" t="str">
        <f>IFERROR(VLOOKUP(IF(F788="Total",F787,F788),Table1[[Property]:['# Units]],7,0)*S788,"")</f>
        <v/>
      </c>
      <c r="S788" s="27" t="str">
        <f t="shared" si="134"/>
        <v/>
      </c>
      <c r="T788" s="531" t="str">
        <f>IFERROR(
 IF($F788="Total",
   SUMPRODUCT(
   INDEX(T:T, ROW()-COUNTIF($F$6:INDEX($F:$F, ROW()-1), $F787)) : INDEX(T:T, ROW()-1),
   INDEX(W:W, ROW()-COUNTIF($F$6:INDEX($F:$F, ROW()-1), $F787)) : INDEX(W:W, ROW()-1)
   )
   /SUM(INDEX(W:W, ROW()-COUNTIF($F$6:INDEX($F:$F, ROW()-1), $F787)) : INDEX(W:W, ROW()-1)),
   AVERAGEIFS(
     INDEX((unit_details[Asking Rent],unit_details[Asking PSF]),0,1,IF($U$3="Chunk Rent",1,2)),
     unit_details[Leased Date],"&gt;="&amp;($AM$2-T$5),
     unit_details[Leased Date],"&lt;"&amp;$AM$2,
     unit_details[Beds],$L788,
     unit_details[Baths],$M788,
     unit_details[Partial Baths],IF(ISNUMBER($N788),$N788,""),
     unit_details[Sqft],$P788,
     unit_details[Property Name],$F788)
 ),"")</f>
        <v/>
      </c>
      <c r="U788" s="552" t="str">
        <f>IFERROR(
 IF($F788="Total",
   SUMPRODUCT(
   INDEX(U:U, ROW()-COUNTIF($F$6:INDEX($F:$F, ROW()-1), $F787)) : INDEX(U:U, ROW()-1),
   INDEX(W:W, ROW()-COUNTIF($F$6:INDEX($F:$F, ROW()-1), $F787)) : INDEX(W:W, ROW()-1)
   )
   /SUM(INDEX(W:W, ROW()-COUNTIF($F$6:INDEX($F:$F, ROW()-1), $F787)) : INDEX(W:W, ROW()-1)),
   AVERAGEIFS(
     INDEX((unit_details[Effective Rent],unit_details[Effective PSF]),0,1,IF($U$3="Chunk Rent",1,2)),
     unit_details[Leased Date],"&gt;="&amp;($AM$2-T$5),
     unit_details[Leased Date],"&lt;"&amp;$AM$2,
     unit_details[Beds],$L788,
     unit_details[Baths],$M788,
     unit_details[Partial Baths],IF(ISNUMBER($N788),$N788,""),
     unit_details[Sqft],$P788,
     unit_details[Property Name],$F788)
 ),"")</f>
        <v/>
      </c>
      <c r="V788" s="27" t="str">
        <f t="shared" si="142"/>
        <v/>
      </c>
      <c r="W788" s="526">
        <f>IFERROR(
  IF($F788="Total",
    SUM(INDEX(W:W, ROW()-COUNTIF($F$6:INDEX($F:$F, ROW()-1), $F787)) : INDEX(W:W, ROW()-1)),
    COUNTIFS(
      unit_details[Leased Date], "&gt;="&amp;($AM$2-T$5),
      unit_details[Leased Date], "&lt;"&amp;$AM$2,
      unit_details[Beds], $L788,
      unit_details[Baths], $M788,
      unit_details[Partial Baths], IF(ISNUMBER($N788), $N788, ""),
      unit_details[Sqft],$P788,
      unit_details[Property Name], $F788
    )
  ),
"")</f>
        <v>0</v>
      </c>
      <c r="X788" s="531" t="str">
        <f>IFERROR(
 IF($F788="Total",
   SUMPRODUCT(
   INDEX(X:X, ROW()-COUNTIF($F$6:INDEX($F:$F, ROW()-1), $F787)) : INDEX(X:X, ROW()-1),
   INDEX(AA:AA, ROW()-COUNTIF($F$6:INDEX($F:$F, ROW()-1), $F787)) : INDEX(AA:AA, ROW()-1)
   )
   /SUM(INDEX(AA:AA, ROW()-COUNTIF($F$6:INDEX($F:$F, ROW()-1), $F787)) : INDEX(AA:AA, ROW()-1)),
   AVERAGEIFS(
     INDEX((unit_details[Asking Rent],unit_details[Asking PSF]),0,1,IF($U$3="Chunk Rent",1,2)),
     unit_details[Leased Date],"&gt;="&amp;($AM$2-X$5),
     unit_details[Leased Date],"&lt;"&amp;$AM$2,
     unit_details[Beds],$L788,
     unit_details[Baths],$M788,
     unit_details[Partial Baths],IF(ISNUMBER($N788),$N788,""),
     unit_details[Sqft],$P788,
     unit_details[Property Name],$F788)
 ),"")</f>
        <v/>
      </c>
      <c r="Y788" s="552" t="str">
        <f>IFERROR(
 IF($F788="Total",
   SUMPRODUCT(
   INDEX(Y:Y, ROW()-COUNTIF($F$6:INDEX($F:$F, ROW()-1), $F787)) : INDEX(Y:Y, ROW()-1),
   INDEX(AA:AA, ROW()-COUNTIF($F$6:INDEX($F:$F, ROW()-1), $F787)) : INDEX(AA:AA, ROW()-1)
   )
   /SUM(INDEX(AA:AA, ROW()-COUNTIF($F$6:INDEX($F:$F, ROW()-1), $F787)) : INDEX(AA:AA, ROW()-1)),
   AVERAGEIFS(
     INDEX((unit_details[Effective Rent],unit_details[Effective PSF]),0,1,IF($U$3="Chunk Rent",1,2)),
     unit_details[Leased Date],"&gt;="&amp;($AM$2-X$5),
     unit_details[Leased Date],"&lt;"&amp;$AM$2,
     unit_details[Beds],$L788,
     unit_details[Baths],$M788,
     unit_details[Partial Baths],IF(ISNUMBER($N788),$N788,""),
     unit_details[Sqft],$P788,
     unit_details[Property Name],$F788)
 ),"")</f>
        <v/>
      </c>
      <c r="Z788" s="27" t="str">
        <f t="shared" si="143"/>
        <v/>
      </c>
      <c r="AA788" s="526">
        <f>IFERROR(
  IF($F788="Total",
    SUM(INDEX(AA:AA, ROW()-COUNTIF($F$6:INDEX($F:$F, ROW()-1), $F787)) : INDEX(AA:AA, ROW()-1)),
    COUNTIFS(
      unit_details[Leased Date], "&gt;="&amp;($AM$2-X$5),
      unit_details[Leased Date], "&lt;"&amp;$AM$2,
      unit_details[Beds], $L788,
      unit_details[Baths], $M788,
      unit_details[Partial Baths], IF(ISNUMBER($N788), $N788, ""),
      unit_details[Sqft],$P788,
      unit_details[Property Name], $F788
    )
  ),
"")</f>
        <v>0</v>
      </c>
      <c r="AB788" s="290">
        <f>IF($F788="Total",
SUM(INDEX(AB:AB, ROW()-COUNTIF($F$6:INDEX($F:$F, ROW()-1), $F787)) : INDEX(AB:AB, ROW()-1)),
COUNTIFS(unit_details[Active Listing?],TRUE,
          unit_details[Property Name], $F788,
          unit_details[Beds], $L788,
          unit_details[Baths], $M788,
          unit_details[Partial Baths],IF(ISNUMBER($N788),$N788,""),
          unit_details[Sqft],$P788))</f>
        <v>0</v>
      </c>
      <c r="AC788" s="27" t="str">
        <f t="shared" si="135"/>
        <v/>
      </c>
      <c r="AD788" s="293" t="str">
        <f>IFERROR(IF(AE788="","",IF($F788="Total",
SUMPRODUCT(
   INDEX(AD:AD, ROW()-COUNTIF($F$6:INDEX($F:$F, ROW()-1), $F787)) : INDEX(AD:AD, ROW()-1),
   INDEX(AB:AB, ROW()-COUNTIF($F$6:INDEX($F:$F, ROW()-1), $F787)) : INDEX(AB:AB, ROW()-1)
   )
   /SUM(INDEX(AB:AB, ROW()-COUNTIF($F$6:INDEX($F:$F, ROW()-1), $F787)) : INDEX(AB:AB, ROW()-1)),
          _xlfn.MINIFS(unit_details[Asking Rent],
          unit_details[Active Listing?],TRUE,
          unit_details[Property Name], $F788,
          unit_details[Beds], $L788,
          unit_details[Baths], $M788,
          unit_details[Partial Baths], IF(ISNUMBER($N788),$N788,""),
          unit_details[Sqft],$P788
))),"")</f>
        <v/>
      </c>
      <c r="AE788" s="5" t="str">
        <f>IFERROR(IF($F788="Total",
          SUMPRODUCT(
   INDEX(AE:AE, ROW()-COUNTIF($F$6:INDEX($F:$F, ROW()-1), $F787)) : INDEX(AE:AE, ROW()-1),
   INDEX(AB:AB, ROW()-COUNTIF($F$6:INDEX($F:$F, ROW()-1), $F787)) : INDEX(AB:AB, ROW()-1)
   )
   /SUM(INDEX(AB:AB, ROW()-COUNTIF($F$6:INDEX($F:$F, ROW()-1), $F787)) : INDEX(AB:AB, ROW()-1)),
          AVERAGEIFS(unit_details[Asking Rent],
          unit_details[Active Listing?],TRUE,
          unit_details[Property Name], $F788,
          unit_details[Beds], $L788,
          unit_details[Baths], $M788,
          unit_details[Partial Baths], IF(ISNUMBER($N788),$N788,""),
          unit_details[Sqft],$P788
)),"")</f>
        <v/>
      </c>
      <c r="AF788" s="5" t="str">
        <f>IFERROR(IF(AE788="","",IF($F788="Total",
SUMPRODUCT(
   INDEX(AF:AF, ROW()-COUNTIF($F$6:INDEX($F:$F, ROW()-1), $F787)) : INDEX(AF:AF, ROW()-1),
   INDEX(AB:AB, ROW()-COUNTIF($F$6:INDEX($F:$F, ROW()-1), $F787)) : INDEX(AB:AB, ROW()-1)
   )
   /SUM(INDEX(AB:AB, ROW()-COUNTIF($F$6:INDEX($F:$F, ROW()-1), $F787)) : INDEX(AB:AB, ROW()-1)),
           _xlfn.MAXIFS(unit_details[Asking Rent],
          unit_details[Active Listing?],TRUE,
          unit_details[Property Name], $F788,
          unit_details[Beds], $L788,
          unit_details[Baths], $M788,
          unit_details[Partial Baths], IF(ISNUMBER($N788),$N788,""),
          unit_details[Sqft],$P788
))),"")</f>
        <v/>
      </c>
      <c r="AG788" s="6" t="str">
        <f>IFERROR(IF($F788="Total",
         SUMPRODUCT(
         INDEX(AG:AG, ROW()-COUNTIF($F$6:INDEX($F:$F, ROW()-1), $F787)) : INDEX(AG:AG, ROW()-1),
         INDEX(AB:AB, ROW()-COUNTIF($F$6:INDEX($F:$F, ROW()-1), $F787)) : INDEX(AB:AB, ROW()-1)
         )
         /SUM(INDEX(AB:AB, ROW()-COUNTIF($F$6:INDEX($F:$F, ROW()-1), $F787)) : INDEX(AB:AB, ROW()-1)),
          AVERAGEIFS(unit_details[Asking PSF],
          unit_details[Active Listing?],TRUE,
          unit_details[Property Name], $F788,
          unit_details[Beds], $L788,
          unit_details[Baths], $M788,
          unit_details[Partial Baths], IF(ISNUMBER($N788),$N788,""),
          unit_details[Sqft],$P788
)),"")</f>
        <v/>
      </c>
      <c r="AH788" s="293" t="str">
        <f>IFERROR(IF($F788="Total",
         SUMPRODUCT(
         INDEX(AH:AH, ROW()-COUNTIF($F$6:INDEX($F:$F, ROW()-1), $F787)) : INDEX(AH:AH, ROW()-1),
         INDEX(AB:AB, ROW()-COUNTIF($F$6:INDEX($F:$F, ROW()-1), $F787)) : INDEX(AB:AB, ROW()-1)
         )
         /SUM(INDEX(AB:AB, ROW()-COUNTIF($F$6:INDEX($F:$F, ROW()-1), $F787)) : INDEX(AB:AB, ROW()-1)),
          AVERAGEIFS(unit_details[Effective Rent],
          unit_details[Active Listing?],TRUE,
          unit_details[Property Name], $F788,
          unit_details[Beds], $L788,
          unit_details[Baths], $M788,
          unit_details[Partial Baths], IF(ISNUMBER($N788),$N788,""),
          unit_details[Sqft],$P788
)),"")</f>
        <v/>
      </c>
      <c r="AI788" s="6" t="str">
        <f>IFERROR(IF($F788="Total",
         SUMPRODUCT(
         INDEX(AI:AI, ROW()-COUNTIF($F$6:INDEX($F:$F, ROW()-1), $F787)) : INDEX(AI:AI, ROW()-1),
         INDEX(AB:AB, ROW()-COUNTIF($F$6:INDEX($F:$F, ROW()-1), $F787)) : INDEX(AB:AB, ROW()-1)
         )
         /SUM(INDEX(AB:AB, ROW()-COUNTIF($F$6:INDEX($F:$F, ROW()-1), $F787)) : INDEX(AB:AB, ROW()-1)),
           AVERAGEIFS(unit_details[Effective PSF],
          unit_details[Active Listing?],TRUE,
          unit_details[Property Name], $F788,
          unit_details[Beds], $L788,
          unit_details[Baths], $M788,
          unit_details[Partial Baths], IF(ISNUMBER($N788),$N788,""),
          unit_details[Sqft],$P788
)),"")</f>
        <v/>
      </c>
      <c r="AJ788" s="824" t="str">
        <f t="shared" si="136"/>
        <v/>
      </c>
      <c r="AK788" s="531" t="str">
        <f t="shared" si="137"/>
        <v/>
      </c>
      <c r="AL788" s="714" t="str">
        <f t="shared" si="138"/>
        <v/>
      </c>
      <c r="AM788" s="531" t="str">
        <f t="shared" si="139"/>
        <v/>
      </c>
      <c r="AN788" s="716" t="str">
        <f t="shared" si="140"/>
        <v/>
      </c>
    </row>
    <row r="789" spans="6:40" x14ac:dyDescent="0.2">
      <c r="F789" s="1" t="str">
        <f t="shared" si="133"/>
        <v/>
      </c>
      <c r="G789" s="713" t="str">
        <f t="shared" si="141"/>
        <v/>
      </c>
      <c r="H789" s="17" t="str">
        <f>IFERROR(VLOOKUP($G789,Table1[[Property]:[Exposure %]],4,0),"")</f>
        <v/>
      </c>
      <c r="I789" s="3" t="str">
        <f>IFERROR(VLOOKUP($G789,Table1[[Property]:[Exposure %]],6,0),"")</f>
        <v/>
      </c>
      <c r="J789" s="3" t="str">
        <f>IFERROR(VLOOKUP($G789,Table1[[Property]:[Exposure %]],7,0),"")</f>
        <v/>
      </c>
      <c r="R789" s="4" t="str">
        <f>IFERROR(VLOOKUP(IF(F789="Total",F788,F789),Table1[[Property]:['# Units]],7,0)*S789,"")</f>
        <v/>
      </c>
      <c r="S789" s="27" t="str">
        <f t="shared" si="134"/>
        <v/>
      </c>
      <c r="T789" s="531" t="str">
        <f>IFERROR(
 IF($F789="Total",
   SUMPRODUCT(
   INDEX(T:T, ROW()-COUNTIF($F$6:INDEX($F:$F, ROW()-1), $F788)) : INDEX(T:T, ROW()-1),
   INDEX(W:W, ROW()-COUNTIF($F$6:INDEX($F:$F, ROW()-1), $F788)) : INDEX(W:W, ROW()-1)
   )
   /SUM(INDEX(W:W, ROW()-COUNTIF($F$6:INDEX($F:$F, ROW()-1), $F788)) : INDEX(W:W, ROW()-1)),
   AVERAGEIFS(
     INDEX((unit_details[Asking Rent],unit_details[Asking PSF]),0,1,IF($U$3="Chunk Rent",1,2)),
     unit_details[Leased Date],"&gt;="&amp;($AM$2-T$5),
     unit_details[Leased Date],"&lt;"&amp;$AM$2,
     unit_details[Beds],$L789,
     unit_details[Baths],$M789,
     unit_details[Partial Baths],IF(ISNUMBER($N789),$N789,""),
     unit_details[Sqft],$P789,
     unit_details[Property Name],$F789)
 ),"")</f>
        <v/>
      </c>
      <c r="U789" s="552" t="str">
        <f>IFERROR(
 IF($F789="Total",
   SUMPRODUCT(
   INDEX(U:U, ROW()-COUNTIF($F$6:INDEX($F:$F, ROW()-1), $F788)) : INDEX(U:U, ROW()-1),
   INDEX(W:W, ROW()-COUNTIF($F$6:INDEX($F:$F, ROW()-1), $F788)) : INDEX(W:W, ROW()-1)
   )
   /SUM(INDEX(W:W, ROW()-COUNTIF($F$6:INDEX($F:$F, ROW()-1), $F788)) : INDEX(W:W, ROW()-1)),
   AVERAGEIFS(
     INDEX((unit_details[Effective Rent],unit_details[Effective PSF]),0,1,IF($U$3="Chunk Rent",1,2)),
     unit_details[Leased Date],"&gt;="&amp;($AM$2-T$5),
     unit_details[Leased Date],"&lt;"&amp;$AM$2,
     unit_details[Beds],$L789,
     unit_details[Baths],$M789,
     unit_details[Partial Baths],IF(ISNUMBER($N789),$N789,""),
     unit_details[Sqft],$P789,
     unit_details[Property Name],$F789)
 ),"")</f>
        <v/>
      </c>
      <c r="V789" s="27" t="str">
        <f t="shared" si="142"/>
        <v/>
      </c>
      <c r="W789" s="526">
        <f>IFERROR(
  IF($F789="Total",
    SUM(INDEX(W:W, ROW()-COUNTIF($F$6:INDEX($F:$F, ROW()-1), $F788)) : INDEX(W:W, ROW()-1)),
    COUNTIFS(
      unit_details[Leased Date], "&gt;="&amp;($AM$2-T$5),
      unit_details[Leased Date], "&lt;"&amp;$AM$2,
      unit_details[Beds], $L789,
      unit_details[Baths], $M789,
      unit_details[Partial Baths], IF(ISNUMBER($N789), $N789, ""),
      unit_details[Sqft],$P789,
      unit_details[Property Name], $F789
    )
  ),
"")</f>
        <v>0</v>
      </c>
      <c r="X789" s="531" t="str">
        <f>IFERROR(
 IF($F789="Total",
   SUMPRODUCT(
   INDEX(X:X, ROW()-COUNTIF($F$6:INDEX($F:$F, ROW()-1), $F788)) : INDEX(X:X, ROW()-1),
   INDEX(AA:AA, ROW()-COUNTIF($F$6:INDEX($F:$F, ROW()-1), $F788)) : INDEX(AA:AA, ROW()-1)
   )
   /SUM(INDEX(AA:AA, ROW()-COUNTIF($F$6:INDEX($F:$F, ROW()-1), $F788)) : INDEX(AA:AA, ROW()-1)),
   AVERAGEIFS(
     INDEX((unit_details[Asking Rent],unit_details[Asking PSF]),0,1,IF($U$3="Chunk Rent",1,2)),
     unit_details[Leased Date],"&gt;="&amp;($AM$2-X$5),
     unit_details[Leased Date],"&lt;"&amp;$AM$2,
     unit_details[Beds],$L789,
     unit_details[Baths],$M789,
     unit_details[Partial Baths],IF(ISNUMBER($N789),$N789,""),
     unit_details[Sqft],$P789,
     unit_details[Property Name],$F789)
 ),"")</f>
        <v/>
      </c>
      <c r="Y789" s="552" t="str">
        <f>IFERROR(
 IF($F789="Total",
   SUMPRODUCT(
   INDEX(Y:Y, ROW()-COUNTIF($F$6:INDEX($F:$F, ROW()-1), $F788)) : INDEX(Y:Y, ROW()-1),
   INDEX(AA:AA, ROW()-COUNTIF($F$6:INDEX($F:$F, ROW()-1), $F788)) : INDEX(AA:AA, ROW()-1)
   )
   /SUM(INDEX(AA:AA, ROW()-COUNTIF($F$6:INDEX($F:$F, ROW()-1), $F788)) : INDEX(AA:AA, ROW()-1)),
   AVERAGEIFS(
     INDEX((unit_details[Effective Rent],unit_details[Effective PSF]),0,1,IF($U$3="Chunk Rent",1,2)),
     unit_details[Leased Date],"&gt;="&amp;($AM$2-X$5),
     unit_details[Leased Date],"&lt;"&amp;$AM$2,
     unit_details[Beds],$L789,
     unit_details[Baths],$M789,
     unit_details[Partial Baths],IF(ISNUMBER($N789),$N789,""),
     unit_details[Sqft],$P789,
     unit_details[Property Name],$F789)
 ),"")</f>
        <v/>
      </c>
      <c r="Z789" s="27" t="str">
        <f t="shared" si="143"/>
        <v/>
      </c>
      <c r="AA789" s="526">
        <f>IFERROR(
  IF($F789="Total",
    SUM(INDEX(AA:AA, ROW()-COUNTIF($F$6:INDEX($F:$F, ROW()-1), $F788)) : INDEX(AA:AA, ROW()-1)),
    COUNTIFS(
      unit_details[Leased Date], "&gt;="&amp;($AM$2-X$5),
      unit_details[Leased Date], "&lt;"&amp;$AM$2,
      unit_details[Beds], $L789,
      unit_details[Baths], $M789,
      unit_details[Partial Baths], IF(ISNUMBER($N789), $N789, ""),
      unit_details[Sqft],$P789,
      unit_details[Property Name], $F789
    )
  ),
"")</f>
        <v>0</v>
      </c>
      <c r="AB789" s="290">
        <f>IF($F789="Total",
SUM(INDEX(AB:AB, ROW()-COUNTIF($F$6:INDEX($F:$F, ROW()-1), $F788)) : INDEX(AB:AB, ROW()-1)),
COUNTIFS(unit_details[Active Listing?],TRUE,
          unit_details[Property Name], $F789,
          unit_details[Beds], $L789,
          unit_details[Baths], $M789,
          unit_details[Partial Baths],IF(ISNUMBER($N789),$N789,""),
          unit_details[Sqft],$P789))</f>
        <v>0</v>
      </c>
      <c r="AC789" s="27" t="str">
        <f t="shared" si="135"/>
        <v/>
      </c>
      <c r="AD789" s="293" t="str">
        <f>IFERROR(IF(AE789="","",IF($F789="Total",
SUMPRODUCT(
   INDEX(AD:AD, ROW()-COUNTIF($F$6:INDEX($F:$F, ROW()-1), $F788)) : INDEX(AD:AD, ROW()-1),
   INDEX(AB:AB, ROW()-COUNTIF($F$6:INDEX($F:$F, ROW()-1), $F788)) : INDEX(AB:AB, ROW()-1)
   )
   /SUM(INDEX(AB:AB, ROW()-COUNTIF($F$6:INDEX($F:$F, ROW()-1), $F788)) : INDEX(AB:AB, ROW()-1)),
          _xlfn.MINIFS(unit_details[Asking Rent],
          unit_details[Active Listing?],TRUE,
          unit_details[Property Name], $F789,
          unit_details[Beds], $L789,
          unit_details[Baths], $M789,
          unit_details[Partial Baths], IF(ISNUMBER($N789),$N789,""),
          unit_details[Sqft],$P789
))),"")</f>
        <v/>
      </c>
      <c r="AE789" s="5" t="str">
        <f>IFERROR(IF($F789="Total",
          SUMPRODUCT(
   INDEX(AE:AE, ROW()-COUNTIF($F$6:INDEX($F:$F, ROW()-1), $F788)) : INDEX(AE:AE, ROW()-1),
   INDEX(AB:AB, ROW()-COUNTIF($F$6:INDEX($F:$F, ROW()-1), $F788)) : INDEX(AB:AB, ROW()-1)
   )
   /SUM(INDEX(AB:AB, ROW()-COUNTIF($F$6:INDEX($F:$F, ROW()-1), $F788)) : INDEX(AB:AB, ROW()-1)),
          AVERAGEIFS(unit_details[Asking Rent],
          unit_details[Active Listing?],TRUE,
          unit_details[Property Name], $F789,
          unit_details[Beds], $L789,
          unit_details[Baths], $M789,
          unit_details[Partial Baths], IF(ISNUMBER($N789),$N789,""),
          unit_details[Sqft],$P789
)),"")</f>
        <v/>
      </c>
      <c r="AF789" s="5" t="str">
        <f>IFERROR(IF(AE789="","",IF($F789="Total",
SUMPRODUCT(
   INDEX(AF:AF, ROW()-COUNTIF($F$6:INDEX($F:$F, ROW()-1), $F788)) : INDEX(AF:AF, ROW()-1),
   INDEX(AB:AB, ROW()-COUNTIF($F$6:INDEX($F:$F, ROW()-1), $F788)) : INDEX(AB:AB, ROW()-1)
   )
   /SUM(INDEX(AB:AB, ROW()-COUNTIF($F$6:INDEX($F:$F, ROW()-1), $F788)) : INDEX(AB:AB, ROW()-1)),
           _xlfn.MAXIFS(unit_details[Asking Rent],
          unit_details[Active Listing?],TRUE,
          unit_details[Property Name], $F789,
          unit_details[Beds], $L789,
          unit_details[Baths], $M789,
          unit_details[Partial Baths], IF(ISNUMBER($N789),$N789,""),
          unit_details[Sqft],$P789
))),"")</f>
        <v/>
      </c>
      <c r="AG789" s="6" t="str">
        <f>IFERROR(IF($F789="Total",
         SUMPRODUCT(
         INDEX(AG:AG, ROW()-COUNTIF($F$6:INDEX($F:$F, ROW()-1), $F788)) : INDEX(AG:AG, ROW()-1),
         INDEX(AB:AB, ROW()-COUNTIF($F$6:INDEX($F:$F, ROW()-1), $F788)) : INDEX(AB:AB, ROW()-1)
         )
         /SUM(INDEX(AB:AB, ROW()-COUNTIF($F$6:INDEX($F:$F, ROW()-1), $F788)) : INDEX(AB:AB, ROW()-1)),
          AVERAGEIFS(unit_details[Asking PSF],
          unit_details[Active Listing?],TRUE,
          unit_details[Property Name], $F789,
          unit_details[Beds], $L789,
          unit_details[Baths], $M789,
          unit_details[Partial Baths], IF(ISNUMBER($N789),$N789,""),
          unit_details[Sqft],$P789
)),"")</f>
        <v/>
      </c>
      <c r="AH789" s="293" t="str">
        <f>IFERROR(IF($F789="Total",
         SUMPRODUCT(
         INDEX(AH:AH, ROW()-COUNTIF($F$6:INDEX($F:$F, ROW()-1), $F788)) : INDEX(AH:AH, ROW()-1),
         INDEX(AB:AB, ROW()-COUNTIF($F$6:INDEX($F:$F, ROW()-1), $F788)) : INDEX(AB:AB, ROW()-1)
         )
         /SUM(INDEX(AB:AB, ROW()-COUNTIF($F$6:INDEX($F:$F, ROW()-1), $F788)) : INDEX(AB:AB, ROW()-1)),
          AVERAGEIFS(unit_details[Effective Rent],
          unit_details[Active Listing?],TRUE,
          unit_details[Property Name], $F789,
          unit_details[Beds], $L789,
          unit_details[Baths], $M789,
          unit_details[Partial Baths], IF(ISNUMBER($N789),$N789,""),
          unit_details[Sqft],$P789
)),"")</f>
        <v/>
      </c>
      <c r="AI789" s="6" t="str">
        <f>IFERROR(IF($F789="Total",
         SUMPRODUCT(
         INDEX(AI:AI, ROW()-COUNTIF($F$6:INDEX($F:$F, ROW()-1), $F788)) : INDEX(AI:AI, ROW()-1),
         INDEX(AB:AB, ROW()-COUNTIF($F$6:INDEX($F:$F, ROW()-1), $F788)) : INDEX(AB:AB, ROW()-1)
         )
         /SUM(INDEX(AB:AB, ROW()-COUNTIF($F$6:INDEX($F:$F, ROW()-1), $F788)) : INDEX(AB:AB, ROW()-1)),
           AVERAGEIFS(unit_details[Effective PSF],
          unit_details[Active Listing?],TRUE,
          unit_details[Property Name], $F789,
          unit_details[Beds], $L789,
          unit_details[Baths], $M789,
          unit_details[Partial Baths], IF(ISNUMBER($N789),$N789,""),
          unit_details[Sqft],$P789
)),"")</f>
        <v/>
      </c>
      <c r="AJ789" s="824" t="str">
        <f t="shared" si="136"/>
        <v/>
      </c>
      <c r="AK789" s="531" t="str">
        <f t="shared" si="137"/>
        <v/>
      </c>
      <c r="AL789" s="714" t="str">
        <f t="shared" si="138"/>
        <v/>
      </c>
      <c r="AM789" s="531" t="str">
        <f t="shared" si="139"/>
        <v/>
      </c>
      <c r="AN789" s="716" t="str">
        <f t="shared" si="140"/>
        <v/>
      </c>
    </row>
    <row r="790" spans="6:40" x14ac:dyDescent="0.2">
      <c r="F790" s="1" t="str">
        <f t="shared" si="133"/>
        <v/>
      </c>
      <c r="G790" s="713" t="str">
        <f t="shared" si="141"/>
        <v/>
      </c>
      <c r="H790" s="17" t="str">
        <f>IFERROR(VLOOKUP($G790,Table1[[Property]:[Exposure %]],4,0),"")</f>
        <v/>
      </c>
      <c r="I790" s="3" t="str">
        <f>IFERROR(VLOOKUP($G790,Table1[[Property]:[Exposure %]],6,0),"")</f>
        <v/>
      </c>
      <c r="J790" s="3" t="str">
        <f>IFERROR(VLOOKUP($G790,Table1[[Property]:[Exposure %]],7,0),"")</f>
        <v/>
      </c>
      <c r="R790" s="4" t="str">
        <f>IFERROR(VLOOKUP(IF(F790="Total",F789,F790),Table1[[Property]:['# Units]],7,0)*S790,"")</f>
        <v/>
      </c>
      <c r="S790" s="27" t="str">
        <f t="shared" si="134"/>
        <v/>
      </c>
      <c r="T790" s="531" t="str">
        <f>IFERROR(
 IF($F790="Total",
   SUMPRODUCT(
   INDEX(T:T, ROW()-COUNTIF($F$6:INDEX($F:$F, ROW()-1), $F789)) : INDEX(T:T, ROW()-1),
   INDEX(W:W, ROW()-COUNTIF($F$6:INDEX($F:$F, ROW()-1), $F789)) : INDEX(W:W, ROW()-1)
   )
   /SUM(INDEX(W:W, ROW()-COUNTIF($F$6:INDEX($F:$F, ROW()-1), $F789)) : INDEX(W:W, ROW()-1)),
   AVERAGEIFS(
     INDEX((unit_details[Asking Rent],unit_details[Asking PSF]),0,1,IF($U$3="Chunk Rent",1,2)),
     unit_details[Leased Date],"&gt;="&amp;($AM$2-T$5),
     unit_details[Leased Date],"&lt;"&amp;$AM$2,
     unit_details[Beds],$L790,
     unit_details[Baths],$M790,
     unit_details[Partial Baths],IF(ISNUMBER($N790),$N790,""),
     unit_details[Sqft],$P790,
     unit_details[Property Name],$F790)
 ),"")</f>
        <v/>
      </c>
      <c r="U790" s="552" t="str">
        <f>IFERROR(
 IF($F790="Total",
   SUMPRODUCT(
   INDEX(U:U, ROW()-COUNTIF($F$6:INDEX($F:$F, ROW()-1), $F789)) : INDEX(U:U, ROW()-1),
   INDEX(W:W, ROW()-COUNTIF($F$6:INDEX($F:$F, ROW()-1), $F789)) : INDEX(W:W, ROW()-1)
   )
   /SUM(INDEX(W:W, ROW()-COUNTIF($F$6:INDEX($F:$F, ROW()-1), $F789)) : INDEX(W:W, ROW()-1)),
   AVERAGEIFS(
     INDEX((unit_details[Effective Rent],unit_details[Effective PSF]),0,1,IF($U$3="Chunk Rent",1,2)),
     unit_details[Leased Date],"&gt;="&amp;($AM$2-T$5),
     unit_details[Leased Date],"&lt;"&amp;$AM$2,
     unit_details[Beds],$L790,
     unit_details[Baths],$M790,
     unit_details[Partial Baths],IF(ISNUMBER($N790),$N790,""),
     unit_details[Sqft],$P790,
     unit_details[Property Name],$F790)
 ),"")</f>
        <v/>
      </c>
      <c r="V790" s="27" t="str">
        <f t="shared" si="142"/>
        <v/>
      </c>
      <c r="W790" s="526">
        <f>IFERROR(
  IF($F790="Total",
    SUM(INDEX(W:W, ROW()-COUNTIF($F$6:INDEX($F:$F, ROW()-1), $F789)) : INDEX(W:W, ROW()-1)),
    COUNTIFS(
      unit_details[Leased Date], "&gt;="&amp;($AM$2-T$5),
      unit_details[Leased Date], "&lt;"&amp;$AM$2,
      unit_details[Beds], $L790,
      unit_details[Baths], $M790,
      unit_details[Partial Baths], IF(ISNUMBER($N790), $N790, ""),
      unit_details[Sqft],$P790,
      unit_details[Property Name], $F790
    )
  ),
"")</f>
        <v>0</v>
      </c>
      <c r="X790" s="531" t="str">
        <f>IFERROR(
 IF($F790="Total",
   SUMPRODUCT(
   INDEX(X:X, ROW()-COUNTIF($F$6:INDEX($F:$F, ROW()-1), $F789)) : INDEX(X:X, ROW()-1),
   INDEX(AA:AA, ROW()-COUNTIF($F$6:INDEX($F:$F, ROW()-1), $F789)) : INDEX(AA:AA, ROW()-1)
   )
   /SUM(INDEX(AA:AA, ROW()-COUNTIF($F$6:INDEX($F:$F, ROW()-1), $F789)) : INDEX(AA:AA, ROW()-1)),
   AVERAGEIFS(
     INDEX((unit_details[Asking Rent],unit_details[Asking PSF]),0,1,IF($U$3="Chunk Rent",1,2)),
     unit_details[Leased Date],"&gt;="&amp;($AM$2-X$5),
     unit_details[Leased Date],"&lt;"&amp;$AM$2,
     unit_details[Beds],$L790,
     unit_details[Baths],$M790,
     unit_details[Partial Baths],IF(ISNUMBER($N790),$N790,""),
     unit_details[Sqft],$P790,
     unit_details[Property Name],$F790)
 ),"")</f>
        <v/>
      </c>
      <c r="Y790" s="552" t="str">
        <f>IFERROR(
 IF($F790="Total",
   SUMPRODUCT(
   INDEX(Y:Y, ROW()-COUNTIF($F$6:INDEX($F:$F, ROW()-1), $F789)) : INDEX(Y:Y, ROW()-1),
   INDEX(AA:AA, ROW()-COUNTIF($F$6:INDEX($F:$F, ROW()-1), $F789)) : INDEX(AA:AA, ROW()-1)
   )
   /SUM(INDEX(AA:AA, ROW()-COUNTIF($F$6:INDEX($F:$F, ROW()-1), $F789)) : INDEX(AA:AA, ROW()-1)),
   AVERAGEIFS(
     INDEX((unit_details[Effective Rent],unit_details[Effective PSF]),0,1,IF($U$3="Chunk Rent",1,2)),
     unit_details[Leased Date],"&gt;="&amp;($AM$2-X$5),
     unit_details[Leased Date],"&lt;"&amp;$AM$2,
     unit_details[Beds],$L790,
     unit_details[Baths],$M790,
     unit_details[Partial Baths],IF(ISNUMBER($N790),$N790,""),
     unit_details[Sqft],$P790,
     unit_details[Property Name],$F790)
 ),"")</f>
        <v/>
      </c>
      <c r="Z790" s="27" t="str">
        <f t="shared" si="143"/>
        <v/>
      </c>
      <c r="AA790" s="526">
        <f>IFERROR(
  IF($F790="Total",
    SUM(INDEX(AA:AA, ROW()-COUNTIF($F$6:INDEX($F:$F, ROW()-1), $F789)) : INDEX(AA:AA, ROW()-1)),
    COUNTIFS(
      unit_details[Leased Date], "&gt;="&amp;($AM$2-X$5),
      unit_details[Leased Date], "&lt;"&amp;$AM$2,
      unit_details[Beds], $L790,
      unit_details[Baths], $M790,
      unit_details[Partial Baths], IF(ISNUMBER($N790), $N790, ""),
      unit_details[Sqft],$P790,
      unit_details[Property Name], $F790
    )
  ),
"")</f>
        <v>0</v>
      </c>
      <c r="AB790" s="290">
        <f>IF($F790="Total",
SUM(INDEX(AB:AB, ROW()-COUNTIF($F$6:INDEX($F:$F, ROW()-1), $F789)) : INDEX(AB:AB, ROW()-1)),
COUNTIFS(unit_details[Active Listing?],TRUE,
          unit_details[Property Name], $F790,
          unit_details[Beds], $L790,
          unit_details[Baths], $M790,
          unit_details[Partial Baths],IF(ISNUMBER($N790),$N790,""),
          unit_details[Sqft],$P790))</f>
        <v>0</v>
      </c>
      <c r="AC790" s="27" t="str">
        <f t="shared" si="135"/>
        <v/>
      </c>
      <c r="AD790" s="293" t="str">
        <f>IFERROR(IF(AE790="","",IF($F790="Total",
SUMPRODUCT(
   INDEX(AD:AD, ROW()-COUNTIF($F$6:INDEX($F:$F, ROW()-1), $F789)) : INDEX(AD:AD, ROW()-1),
   INDEX(AB:AB, ROW()-COUNTIF($F$6:INDEX($F:$F, ROW()-1), $F789)) : INDEX(AB:AB, ROW()-1)
   )
   /SUM(INDEX(AB:AB, ROW()-COUNTIF($F$6:INDEX($F:$F, ROW()-1), $F789)) : INDEX(AB:AB, ROW()-1)),
          _xlfn.MINIFS(unit_details[Asking Rent],
          unit_details[Active Listing?],TRUE,
          unit_details[Property Name], $F790,
          unit_details[Beds], $L790,
          unit_details[Baths], $M790,
          unit_details[Partial Baths], IF(ISNUMBER($N790),$N790,""),
          unit_details[Sqft],$P790
))),"")</f>
        <v/>
      </c>
      <c r="AE790" s="5" t="str">
        <f>IFERROR(IF($F790="Total",
          SUMPRODUCT(
   INDEX(AE:AE, ROW()-COUNTIF($F$6:INDEX($F:$F, ROW()-1), $F789)) : INDEX(AE:AE, ROW()-1),
   INDEX(AB:AB, ROW()-COUNTIF($F$6:INDEX($F:$F, ROW()-1), $F789)) : INDEX(AB:AB, ROW()-1)
   )
   /SUM(INDEX(AB:AB, ROW()-COUNTIF($F$6:INDEX($F:$F, ROW()-1), $F789)) : INDEX(AB:AB, ROW()-1)),
          AVERAGEIFS(unit_details[Asking Rent],
          unit_details[Active Listing?],TRUE,
          unit_details[Property Name], $F790,
          unit_details[Beds], $L790,
          unit_details[Baths], $M790,
          unit_details[Partial Baths], IF(ISNUMBER($N790),$N790,""),
          unit_details[Sqft],$P790
)),"")</f>
        <v/>
      </c>
      <c r="AF790" s="5" t="str">
        <f>IFERROR(IF(AE790="","",IF($F790="Total",
SUMPRODUCT(
   INDEX(AF:AF, ROW()-COUNTIF($F$6:INDEX($F:$F, ROW()-1), $F789)) : INDEX(AF:AF, ROW()-1),
   INDEX(AB:AB, ROW()-COUNTIF($F$6:INDEX($F:$F, ROW()-1), $F789)) : INDEX(AB:AB, ROW()-1)
   )
   /SUM(INDEX(AB:AB, ROW()-COUNTIF($F$6:INDEX($F:$F, ROW()-1), $F789)) : INDEX(AB:AB, ROW()-1)),
           _xlfn.MAXIFS(unit_details[Asking Rent],
          unit_details[Active Listing?],TRUE,
          unit_details[Property Name], $F790,
          unit_details[Beds], $L790,
          unit_details[Baths], $M790,
          unit_details[Partial Baths], IF(ISNUMBER($N790),$N790,""),
          unit_details[Sqft],$P790
))),"")</f>
        <v/>
      </c>
      <c r="AG790" s="6" t="str">
        <f>IFERROR(IF($F790="Total",
         SUMPRODUCT(
         INDEX(AG:AG, ROW()-COUNTIF($F$6:INDEX($F:$F, ROW()-1), $F789)) : INDEX(AG:AG, ROW()-1),
         INDEX(AB:AB, ROW()-COUNTIF($F$6:INDEX($F:$F, ROW()-1), $F789)) : INDEX(AB:AB, ROW()-1)
         )
         /SUM(INDEX(AB:AB, ROW()-COUNTIF($F$6:INDEX($F:$F, ROW()-1), $F789)) : INDEX(AB:AB, ROW()-1)),
          AVERAGEIFS(unit_details[Asking PSF],
          unit_details[Active Listing?],TRUE,
          unit_details[Property Name], $F790,
          unit_details[Beds], $L790,
          unit_details[Baths], $M790,
          unit_details[Partial Baths], IF(ISNUMBER($N790),$N790,""),
          unit_details[Sqft],$P790
)),"")</f>
        <v/>
      </c>
      <c r="AH790" s="293" t="str">
        <f>IFERROR(IF($F790="Total",
         SUMPRODUCT(
         INDEX(AH:AH, ROW()-COUNTIF($F$6:INDEX($F:$F, ROW()-1), $F789)) : INDEX(AH:AH, ROW()-1),
         INDEX(AB:AB, ROW()-COUNTIF($F$6:INDEX($F:$F, ROW()-1), $F789)) : INDEX(AB:AB, ROW()-1)
         )
         /SUM(INDEX(AB:AB, ROW()-COUNTIF($F$6:INDEX($F:$F, ROW()-1), $F789)) : INDEX(AB:AB, ROW()-1)),
          AVERAGEIFS(unit_details[Effective Rent],
          unit_details[Active Listing?],TRUE,
          unit_details[Property Name], $F790,
          unit_details[Beds], $L790,
          unit_details[Baths], $M790,
          unit_details[Partial Baths], IF(ISNUMBER($N790),$N790,""),
          unit_details[Sqft],$P790
)),"")</f>
        <v/>
      </c>
      <c r="AI790" s="6" t="str">
        <f>IFERROR(IF($F790="Total",
         SUMPRODUCT(
         INDEX(AI:AI, ROW()-COUNTIF($F$6:INDEX($F:$F, ROW()-1), $F789)) : INDEX(AI:AI, ROW()-1),
         INDEX(AB:AB, ROW()-COUNTIF($F$6:INDEX($F:$F, ROW()-1), $F789)) : INDEX(AB:AB, ROW()-1)
         )
         /SUM(INDEX(AB:AB, ROW()-COUNTIF($F$6:INDEX($F:$F, ROW()-1), $F789)) : INDEX(AB:AB, ROW()-1)),
           AVERAGEIFS(unit_details[Effective PSF],
          unit_details[Active Listing?],TRUE,
          unit_details[Property Name], $F790,
          unit_details[Beds], $L790,
          unit_details[Baths], $M790,
          unit_details[Partial Baths], IF(ISNUMBER($N790),$N790,""),
          unit_details[Sqft],$P790
)),"")</f>
        <v/>
      </c>
      <c r="AJ790" s="824" t="str">
        <f t="shared" si="136"/>
        <v/>
      </c>
      <c r="AK790" s="531" t="str">
        <f t="shared" si="137"/>
        <v/>
      </c>
      <c r="AL790" s="714" t="str">
        <f t="shared" si="138"/>
        <v/>
      </c>
      <c r="AM790" s="531" t="str">
        <f t="shared" si="139"/>
        <v/>
      </c>
      <c r="AN790" s="716" t="str">
        <f t="shared" si="140"/>
        <v/>
      </c>
    </row>
    <row r="791" spans="6:40" x14ac:dyDescent="0.2">
      <c r="F791" s="1" t="str">
        <f t="shared" si="133"/>
        <v/>
      </c>
      <c r="G791" s="713" t="str">
        <f t="shared" si="141"/>
        <v/>
      </c>
      <c r="H791" s="17" t="str">
        <f>IFERROR(VLOOKUP($G791,Table1[[Property]:[Exposure %]],4,0),"")</f>
        <v/>
      </c>
      <c r="I791" s="3" t="str">
        <f>IFERROR(VLOOKUP($G791,Table1[[Property]:[Exposure %]],6,0),"")</f>
        <v/>
      </c>
      <c r="J791" s="3" t="str">
        <f>IFERROR(VLOOKUP($G791,Table1[[Property]:[Exposure %]],7,0),"")</f>
        <v/>
      </c>
      <c r="R791" s="4" t="str">
        <f>IFERROR(VLOOKUP(IF(F791="Total",F790,F791),Table1[[Property]:['# Units]],7,0)*S791,"")</f>
        <v/>
      </c>
      <c r="S791" s="27" t="str">
        <f t="shared" si="134"/>
        <v/>
      </c>
      <c r="T791" s="531" t="str">
        <f>IFERROR(
 IF($F791="Total",
   SUMPRODUCT(
   INDEX(T:T, ROW()-COUNTIF($F$6:INDEX($F:$F, ROW()-1), $F790)) : INDEX(T:T, ROW()-1),
   INDEX(W:W, ROW()-COUNTIF($F$6:INDEX($F:$F, ROW()-1), $F790)) : INDEX(W:W, ROW()-1)
   )
   /SUM(INDEX(W:W, ROW()-COUNTIF($F$6:INDEX($F:$F, ROW()-1), $F790)) : INDEX(W:W, ROW()-1)),
   AVERAGEIFS(
     INDEX((unit_details[Asking Rent],unit_details[Asking PSF]),0,1,IF($U$3="Chunk Rent",1,2)),
     unit_details[Leased Date],"&gt;="&amp;($AM$2-T$5),
     unit_details[Leased Date],"&lt;"&amp;$AM$2,
     unit_details[Beds],$L791,
     unit_details[Baths],$M791,
     unit_details[Partial Baths],IF(ISNUMBER($N791),$N791,""),
     unit_details[Sqft],$P791,
     unit_details[Property Name],$F791)
 ),"")</f>
        <v/>
      </c>
      <c r="U791" s="552" t="str">
        <f>IFERROR(
 IF($F791="Total",
   SUMPRODUCT(
   INDEX(U:U, ROW()-COUNTIF($F$6:INDEX($F:$F, ROW()-1), $F790)) : INDEX(U:U, ROW()-1),
   INDEX(W:W, ROW()-COUNTIF($F$6:INDEX($F:$F, ROW()-1), $F790)) : INDEX(W:W, ROW()-1)
   )
   /SUM(INDEX(W:W, ROW()-COUNTIF($F$6:INDEX($F:$F, ROW()-1), $F790)) : INDEX(W:W, ROW()-1)),
   AVERAGEIFS(
     INDEX((unit_details[Effective Rent],unit_details[Effective PSF]),0,1,IF($U$3="Chunk Rent",1,2)),
     unit_details[Leased Date],"&gt;="&amp;($AM$2-T$5),
     unit_details[Leased Date],"&lt;"&amp;$AM$2,
     unit_details[Beds],$L791,
     unit_details[Baths],$M791,
     unit_details[Partial Baths],IF(ISNUMBER($N791),$N791,""),
     unit_details[Sqft],$P791,
     unit_details[Property Name],$F791)
 ),"")</f>
        <v/>
      </c>
      <c r="V791" s="27" t="str">
        <f t="shared" si="142"/>
        <v/>
      </c>
      <c r="W791" s="526">
        <f>IFERROR(
  IF($F791="Total",
    SUM(INDEX(W:W, ROW()-COUNTIF($F$6:INDEX($F:$F, ROW()-1), $F790)) : INDEX(W:W, ROW()-1)),
    COUNTIFS(
      unit_details[Leased Date], "&gt;="&amp;($AM$2-T$5),
      unit_details[Leased Date], "&lt;"&amp;$AM$2,
      unit_details[Beds], $L791,
      unit_details[Baths], $M791,
      unit_details[Partial Baths], IF(ISNUMBER($N791), $N791, ""),
      unit_details[Sqft],$P791,
      unit_details[Property Name], $F791
    )
  ),
"")</f>
        <v>0</v>
      </c>
      <c r="X791" s="531" t="str">
        <f>IFERROR(
 IF($F791="Total",
   SUMPRODUCT(
   INDEX(X:X, ROW()-COUNTIF($F$6:INDEX($F:$F, ROW()-1), $F790)) : INDEX(X:X, ROW()-1),
   INDEX(AA:AA, ROW()-COUNTIF($F$6:INDEX($F:$F, ROW()-1), $F790)) : INDEX(AA:AA, ROW()-1)
   )
   /SUM(INDEX(AA:AA, ROW()-COUNTIF($F$6:INDEX($F:$F, ROW()-1), $F790)) : INDEX(AA:AA, ROW()-1)),
   AVERAGEIFS(
     INDEX((unit_details[Asking Rent],unit_details[Asking PSF]),0,1,IF($U$3="Chunk Rent",1,2)),
     unit_details[Leased Date],"&gt;="&amp;($AM$2-X$5),
     unit_details[Leased Date],"&lt;"&amp;$AM$2,
     unit_details[Beds],$L791,
     unit_details[Baths],$M791,
     unit_details[Partial Baths],IF(ISNUMBER($N791),$N791,""),
     unit_details[Sqft],$P791,
     unit_details[Property Name],$F791)
 ),"")</f>
        <v/>
      </c>
      <c r="Y791" s="552" t="str">
        <f>IFERROR(
 IF($F791="Total",
   SUMPRODUCT(
   INDEX(Y:Y, ROW()-COUNTIF($F$6:INDEX($F:$F, ROW()-1), $F790)) : INDEX(Y:Y, ROW()-1),
   INDEX(AA:AA, ROW()-COUNTIF($F$6:INDEX($F:$F, ROW()-1), $F790)) : INDEX(AA:AA, ROW()-1)
   )
   /SUM(INDEX(AA:AA, ROW()-COUNTIF($F$6:INDEX($F:$F, ROW()-1), $F790)) : INDEX(AA:AA, ROW()-1)),
   AVERAGEIFS(
     INDEX((unit_details[Effective Rent],unit_details[Effective PSF]),0,1,IF($U$3="Chunk Rent",1,2)),
     unit_details[Leased Date],"&gt;="&amp;($AM$2-X$5),
     unit_details[Leased Date],"&lt;"&amp;$AM$2,
     unit_details[Beds],$L791,
     unit_details[Baths],$M791,
     unit_details[Partial Baths],IF(ISNUMBER($N791),$N791,""),
     unit_details[Sqft],$P791,
     unit_details[Property Name],$F791)
 ),"")</f>
        <v/>
      </c>
      <c r="Z791" s="27" t="str">
        <f t="shared" si="143"/>
        <v/>
      </c>
      <c r="AA791" s="526">
        <f>IFERROR(
  IF($F791="Total",
    SUM(INDEX(AA:AA, ROW()-COUNTIF($F$6:INDEX($F:$F, ROW()-1), $F790)) : INDEX(AA:AA, ROW()-1)),
    COUNTIFS(
      unit_details[Leased Date], "&gt;="&amp;($AM$2-X$5),
      unit_details[Leased Date], "&lt;"&amp;$AM$2,
      unit_details[Beds], $L791,
      unit_details[Baths], $M791,
      unit_details[Partial Baths], IF(ISNUMBER($N791), $N791, ""),
      unit_details[Sqft],$P791,
      unit_details[Property Name], $F791
    )
  ),
"")</f>
        <v>0</v>
      </c>
      <c r="AB791" s="290">
        <f>IF($F791="Total",
SUM(INDEX(AB:AB, ROW()-COUNTIF($F$6:INDEX($F:$F, ROW()-1), $F790)) : INDEX(AB:AB, ROW()-1)),
COUNTIFS(unit_details[Active Listing?],TRUE,
          unit_details[Property Name], $F791,
          unit_details[Beds], $L791,
          unit_details[Baths], $M791,
          unit_details[Partial Baths],IF(ISNUMBER($N791),$N791,""),
          unit_details[Sqft],$P791))</f>
        <v>0</v>
      </c>
      <c r="AC791" s="27" t="str">
        <f t="shared" si="135"/>
        <v/>
      </c>
      <c r="AD791" s="293" t="str">
        <f>IFERROR(IF(AE791="","",IF($F791="Total",
SUMPRODUCT(
   INDEX(AD:AD, ROW()-COUNTIF($F$6:INDEX($F:$F, ROW()-1), $F790)) : INDEX(AD:AD, ROW()-1),
   INDEX(AB:AB, ROW()-COUNTIF($F$6:INDEX($F:$F, ROW()-1), $F790)) : INDEX(AB:AB, ROW()-1)
   )
   /SUM(INDEX(AB:AB, ROW()-COUNTIF($F$6:INDEX($F:$F, ROW()-1), $F790)) : INDEX(AB:AB, ROW()-1)),
          _xlfn.MINIFS(unit_details[Asking Rent],
          unit_details[Active Listing?],TRUE,
          unit_details[Property Name], $F791,
          unit_details[Beds], $L791,
          unit_details[Baths], $M791,
          unit_details[Partial Baths], IF(ISNUMBER($N791),$N791,""),
          unit_details[Sqft],$P791
))),"")</f>
        <v/>
      </c>
      <c r="AE791" s="5" t="str">
        <f>IFERROR(IF($F791="Total",
          SUMPRODUCT(
   INDEX(AE:AE, ROW()-COUNTIF($F$6:INDEX($F:$F, ROW()-1), $F790)) : INDEX(AE:AE, ROW()-1),
   INDEX(AB:AB, ROW()-COUNTIF($F$6:INDEX($F:$F, ROW()-1), $F790)) : INDEX(AB:AB, ROW()-1)
   )
   /SUM(INDEX(AB:AB, ROW()-COUNTIF($F$6:INDEX($F:$F, ROW()-1), $F790)) : INDEX(AB:AB, ROW()-1)),
          AVERAGEIFS(unit_details[Asking Rent],
          unit_details[Active Listing?],TRUE,
          unit_details[Property Name], $F791,
          unit_details[Beds], $L791,
          unit_details[Baths], $M791,
          unit_details[Partial Baths], IF(ISNUMBER($N791),$N791,""),
          unit_details[Sqft],$P791
)),"")</f>
        <v/>
      </c>
      <c r="AF791" s="5" t="str">
        <f>IFERROR(IF(AE791="","",IF($F791="Total",
SUMPRODUCT(
   INDEX(AF:AF, ROW()-COUNTIF($F$6:INDEX($F:$F, ROW()-1), $F790)) : INDEX(AF:AF, ROW()-1),
   INDEX(AB:AB, ROW()-COUNTIF($F$6:INDEX($F:$F, ROW()-1), $F790)) : INDEX(AB:AB, ROW()-1)
   )
   /SUM(INDEX(AB:AB, ROW()-COUNTIF($F$6:INDEX($F:$F, ROW()-1), $F790)) : INDEX(AB:AB, ROW()-1)),
           _xlfn.MAXIFS(unit_details[Asking Rent],
          unit_details[Active Listing?],TRUE,
          unit_details[Property Name], $F791,
          unit_details[Beds], $L791,
          unit_details[Baths], $M791,
          unit_details[Partial Baths], IF(ISNUMBER($N791),$N791,""),
          unit_details[Sqft],$P791
))),"")</f>
        <v/>
      </c>
      <c r="AG791" s="6" t="str">
        <f>IFERROR(IF($F791="Total",
         SUMPRODUCT(
         INDEX(AG:AG, ROW()-COUNTIF($F$6:INDEX($F:$F, ROW()-1), $F790)) : INDEX(AG:AG, ROW()-1),
         INDEX(AB:AB, ROW()-COUNTIF($F$6:INDEX($F:$F, ROW()-1), $F790)) : INDEX(AB:AB, ROW()-1)
         )
         /SUM(INDEX(AB:AB, ROW()-COUNTIF($F$6:INDEX($F:$F, ROW()-1), $F790)) : INDEX(AB:AB, ROW()-1)),
          AVERAGEIFS(unit_details[Asking PSF],
          unit_details[Active Listing?],TRUE,
          unit_details[Property Name], $F791,
          unit_details[Beds], $L791,
          unit_details[Baths], $M791,
          unit_details[Partial Baths], IF(ISNUMBER($N791),$N791,""),
          unit_details[Sqft],$P791
)),"")</f>
        <v/>
      </c>
      <c r="AH791" s="293" t="str">
        <f>IFERROR(IF($F791="Total",
         SUMPRODUCT(
         INDEX(AH:AH, ROW()-COUNTIF($F$6:INDEX($F:$F, ROW()-1), $F790)) : INDEX(AH:AH, ROW()-1),
         INDEX(AB:AB, ROW()-COUNTIF($F$6:INDEX($F:$F, ROW()-1), $F790)) : INDEX(AB:AB, ROW()-1)
         )
         /SUM(INDEX(AB:AB, ROW()-COUNTIF($F$6:INDEX($F:$F, ROW()-1), $F790)) : INDEX(AB:AB, ROW()-1)),
          AVERAGEIFS(unit_details[Effective Rent],
          unit_details[Active Listing?],TRUE,
          unit_details[Property Name], $F791,
          unit_details[Beds], $L791,
          unit_details[Baths], $M791,
          unit_details[Partial Baths], IF(ISNUMBER($N791),$N791,""),
          unit_details[Sqft],$P791
)),"")</f>
        <v/>
      </c>
      <c r="AI791" s="6" t="str">
        <f>IFERROR(IF($F791="Total",
         SUMPRODUCT(
         INDEX(AI:AI, ROW()-COUNTIF($F$6:INDEX($F:$F, ROW()-1), $F790)) : INDEX(AI:AI, ROW()-1),
         INDEX(AB:AB, ROW()-COUNTIF($F$6:INDEX($F:$F, ROW()-1), $F790)) : INDEX(AB:AB, ROW()-1)
         )
         /SUM(INDEX(AB:AB, ROW()-COUNTIF($F$6:INDEX($F:$F, ROW()-1), $F790)) : INDEX(AB:AB, ROW()-1)),
           AVERAGEIFS(unit_details[Effective PSF],
          unit_details[Active Listing?],TRUE,
          unit_details[Property Name], $F791,
          unit_details[Beds], $L791,
          unit_details[Baths], $M791,
          unit_details[Partial Baths], IF(ISNUMBER($N791),$N791,""),
          unit_details[Sqft],$P791
)),"")</f>
        <v/>
      </c>
      <c r="AJ791" s="824" t="str">
        <f t="shared" si="136"/>
        <v/>
      </c>
      <c r="AK791" s="531" t="str">
        <f t="shared" si="137"/>
        <v/>
      </c>
      <c r="AL791" s="714" t="str">
        <f t="shared" si="138"/>
        <v/>
      </c>
      <c r="AM791" s="531" t="str">
        <f t="shared" si="139"/>
        <v/>
      </c>
      <c r="AN791" s="716" t="str">
        <f t="shared" si="140"/>
        <v/>
      </c>
    </row>
    <row r="792" spans="6:40" x14ac:dyDescent="0.2">
      <c r="F792" s="1" t="str">
        <f t="shared" si="133"/>
        <v/>
      </c>
      <c r="G792" s="713" t="str">
        <f t="shared" si="141"/>
        <v/>
      </c>
      <c r="H792" s="17" t="str">
        <f>IFERROR(VLOOKUP($G792,Table1[[Property]:[Exposure %]],4,0),"")</f>
        <v/>
      </c>
      <c r="I792" s="3" t="str">
        <f>IFERROR(VLOOKUP($G792,Table1[[Property]:[Exposure %]],6,0),"")</f>
        <v/>
      </c>
      <c r="J792" s="3" t="str">
        <f>IFERROR(VLOOKUP($G792,Table1[[Property]:[Exposure %]],7,0),"")</f>
        <v/>
      </c>
      <c r="R792" s="4" t="str">
        <f>IFERROR(VLOOKUP(IF(F792="Total",F791,F792),Table1[[Property]:['# Units]],7,0)*S792,"")</f>
        <v/>
      </c>
      <c r="S792" s="27" t="str">
        <f t="shared" si="134"/>
        <v/>
      </c>
      <c r="T792" s="531" t="str">
        <f>IFERROR(
 IF($F792="Total",
   SUMPRODUCT(
   INDEX(T:T, ROW()-COUNTIF($F$6:INDEX($F:$F, ROW()-1), $F791)) : INDEX(T:T, ROW()-1),
   INDEX(W:W, ROW()-COUNTIF($F$6:INDEX($F:$F, ROW()-1), $F791)) : INDEX(W:W, ROW()-1)
   )
   /SUM(INDEX(W:W, ROW()-COUNTIF($F$6:INDEX($F:$F, ROW()-1), $F791)) : INDEX(W:W, ROW()-1)),
   AVERAGEIFS(
     INDEX((unit_details[Asking Rent],unit_details[Asking PSF]),0,1,IF($U$3="Chunk Rent",1,2)),
     unit_details[Leased Date],"&gt;="&amp;($AM$2-T$5),
     unit_details[Leased Date],"&lt;"&amp;$AM$2,
     unit_details[Beds],$L792,
     unit_details[Baths],$M792,
     unit_details[Partial Baths],IF(ISNUMBER($N792),$N792,""),
     unit_details[Sqft],$P792,
     unit_details[Property Name],$F792)
 ),"")</f>
        <v/>
      </c>
      <c r="U792" s="552" t="str">
        <f>IFERROR(
 IF($F792="Total",
   SUMPRODUCT(
   INDEX(U:U, ROW()-COUNTIF($F$6:INDEX($F:$F, ROW()-1), $F791)) : INDEX(U:U, ROW()-1),
   INDEX(W:W, ROW()-COUNTIF($F$6:INDEX($F:$F, ROW()-1), $F791)) : INDEX(W:W, ROW()-1)
   )
   /SUM(INDEX(W:W, ROW()-COUNTIF($F$6:INDEX($F:$F, ROW()-1), $F791)) : INDEX(W:W, ROW()-1)),
   AVERAGEIFS(
     INDEX((unit_details[Effective Rent],unit_details[Effective PSF]),0,1,IF($U$3="Chunk Rent",1,2)),
     unit_details[Leased Date],"&gt;="&amp;($AM$2-T$5),
     unit_details[Leased Date],"&lt;"&amp;$AM$2,
     unit_details[Beds],$L792,
     unit_details[Baths],$M792,
     unit_details[Partial Baths],IF(ISNUMBER($N792),$N792,""),
     unit_details[Sqft],$P792,
     unit_details[Property Name],$F792)
 ),"")</f>
        <v/>
      </c>
      <c r="V792" s="27" t="str">
        <f t="shared" si="142"/>
        <v/>
      </c>
      <c r="W792" s="526">
        <f>IFERROR(
  IF($F792="Total",
    SUM(INDEX(W:W, ROW()-COUNTIF($F$6:INDEX($F:$F, ROW()-1), $F791)) : INDEX(W:W, ROW()-1)),
    COUNTIFS(
      unit_details[Leased Date], "&gt;="&amp;($AM$2-T$5),
      unit_details[Leased Date], "&lt;"&amp;$AM$2,
      unit_details[Beds], $L792,
      unit_details[Baths], $M792,
      unit_details[Partial Baths], IF(ISNUMBER($N792), $N792, ""),
      unit_details[Sqft],$P792,
      unit_details[Property Name], $F792
    )
  ),
"")</f>
        <v>0</v>
      </c>
      <c r="X792" s="531" t="str">
        <f>IFERROR(
 IF($F792="Total",
   SUMPRODUCT(
   INDEX(X:X, ROW()-COUNTIF($F$6:INDEX($F:$F, ROW()-1), $F791)) : INDEX(X:X, ROW()-1),
   INDEX(AA:AA, ROW()-COUNTIF($F$6:INDEX($F:$F, ROW()-1), $F791)) : INDEX(AA:AA, ROW()-1)
   )
   /SUM(INDEX(AA:AA, ROW()-COUNTIF($F$6:INDEX($F:$F, ROW()-1), $F791)) : INDEX(AA:AA, ROW()-1)),
   AVERAGEIFS(
     INDEX((unit_details[Asking Rent],unit_details[Asking PSF]),0,1,IF($U$3="Chunk Rent",1,2)),
     unit_details[Leased Date],"&gt;="&amp;($AM$2-X$5),
     unit_details[Leased Date],"&lt;"&amp;$AM$2,
     unit_details[Beds],$L792,
     unit_details[Baths],$M792,
     unit_details[Partial Baths],IF(ISNUMBER($N792),$N792,""),
     unit_details[Sqft],$P792,
     unit_details[Property Name],$F792)
 ),"")</f>
        <v/>
      </c>
      <c r="Y792" s="552" t="str">
        <f>IFERROR(
 IF($F792="Total",
   SUMPRODUCT(
   INDEX(Y:Y, ROW()-COUNTIF($F$6:INDEX($F:$F, ROW()-1), $F791)) : INDEX(Y:Y, ROW()-1),
   INDEX(AA:AA, ROW()-COUNTIF($F$6:INDEX($F:$F, ROW()-1), $F791)) : INDEX(AA:AA, ROW()-1)
   )
   /SUM(INDEX(AA:AA, ROW()-COUNTIF($F$6:INDEX($F:$F, ROW()-1), $F791)) : INDEX(AA:AA, ROW()-1)),
   AVERAGEIFS(
     INDEX((unit_details[Effective Rent],unit_details[Effective PSF]),0,1,IF($U$3="Chunk Rent",1,2)),
     unit_details[Leased Date],"&gt;="&amp;($AM$2-X$5),
     unit_details[Leased Date],"&lt;"&amp;$AM$2,
     unit_details[Beds],$L792,
     unit_details[Baths],$M792,
     unit_details[Partial Baths],IF(ISNUMBER($N792),$N792,""),
     unit_details[Sqft],$P792,
     unit_details[Property Name],$F792)
 ),"")</f>
        <v/>
      </c>
      <c r="Z792" s="27" t="str">
        <f t="shared" si="143"/>
        <v/>
      </c>
      <c r="AA792" s="526">
        <f>IFERROR(
  IF($F792="Total",
    SUM(INDEX(AA:AA, ROW()-COUNTIF($F$6:INDEX($F:$F, ROW()-1), $F791)) : INDEX(AA:AA, ROW()-1)),
    COUNTIFS(
      unit_details[Leased Date], "&gt;="&amp;($AM$2-X$5),
      unit_details[Leased Date], "&lt;"&amp;$AM$2,
      unit_details[Beds], $L792,
      unit_details[Baths], $M792,
      unit_details[Partial Baths], IF(ISNUMBER($N792), $N792, ""),
      unit_details[Sqft],$P792,
      unit_details[Property Name], $F792
    )
  ),
"")</f>
        <v>0</v>
      </c>
      <c r="AB792" s="290">
        <f>IF($F792="Total",
SUM(INDEX(AB:AB, ROW()-COUNTIF($F$6:INDEX($F:$F, ROW()-1), $F791)) : INDEX(AB:AB, ROW()-1)),
COUNTIFS(unit_details[Active Listing?],TRUE,
          unit_details[Property Name], $F792,
          unit_details[Beds], $L792,
          unit_details[Baths], $M792,
          unit_details[Partial Baths],IF(ISNUMBER($N792),$N792,""),
          unit_details[Sqft],$P792))</f>
        <v>0</v>
      </c>
      <c r="AC792" s="27" t="str">
        <f t="shared" si="135"/>
        <v/>
      </c>
      <c r="AD792" s="293" t="str">
        <f>IFERROR(IF(AE792="","",IF($F792="Total",
SUMPRODUCT(
   INDEX(AD:AD, ROW()-COUNTIF($F$6:INDEX($F:$F, ROW()-1), $F791)) : INDEX(AD:AD, ROW()-1),
   INDEX(AB:AB, ROW()-COUNTIF($F$6:INDEX($F:$F, ROW()-1), $F791)) : INDEX(AB:AB, ROW()-1)
   )
   /SUM(INDEX(AB:AB, ROW()-COUNTIF($F$6:INDEX($F:$F, ROW()-1), $F791)) : INDEX(AB:AB, ROW()-1)),
          _xlfn.MINIFS(unit_details[Asking Rent],
          unit_details[Active Listing?],TRUE,
          unit_details[Property Name], $F792,
          unit_details[Beds], $L792,
          unit_details[Baths], $M792,
          unit_details[Partial Baths], IF(ISNUMBER($N792),$N792,""),
          unit_details[Sqft],$P792
))),"")</f>
        <v/>
      </c>
      <c r="AE792" s="5" t="str">
        <f>IFERROR(IF($F792="Total",
          SUMPRODUCT(
   INDEX(AE:AE, ROW()-COUNTIF($F$6:INDEX($F:$F, ROW()-1), $F791)) : INDEX(AE:AE, ROW()-1),
   INDEX(AB:AB, ROW()-COUNTIF($F$6:INDEX($F:$F, ROW()-1), $F791)) : INDEX(AB:AB, ROW()-1)
   )
   /SUM(INDEX(AB:AB, ROW()-COUNTIF($F$6:INDEX($F:$F, ROW()-1), $F791)) : INDEX(AB:AB, ROW()-1)),
          AVERAGEIFS(unit_details[Asking Rent],
          unit_details[Active Listing?],TRUE,
          unit_details[Property Name], $F792,
          unit_details[Beds], $L792,
          unit_details[Baths], $M792,
          unit_details[Partial Baths], IF(ISNUMBER($N792),$N792,""),
          unit_details[Sqft],$P792
)),"")</f>
        <v/>
      </c>
      <c r="AF792" s="5" t="str">
        <f>IFERROR(IF(AE792="","",IF($F792="Total",
SUMPRODUCT(
   INDEX(AF:AF, ROW()-COUNTIF($F$6:INDEX($F:$F, ROW()-1), $F791)) : INDEX(AF:AF, ROW()-1),
   INDEX(AB:AB, ROW()-COUNTIF($F$6:INDEX($F:$F, ROW()-1), $F791)) : INDEX(AB:AB, ROW()-1)
   )
   /SUM(INDEX(AB:AB, ROW()-COUNTIF($F$6:INDEX($F:$F, ROW()-1), $F791)) : INDEX(AB:AB, ROW()-1)),
           _xlfn.MAXIFS(unit_details[Asking Rent],
          unit_details[Active Listing?],TRUE,
          unit_details[Property Name], $F792,
          unit_details[Beds], $L792,
          unit_details[Baths], $M792,
          unit_details[Partial Baths], IF(ISNUMBER($N792),$N792,""),
          unit_details[Sqft],$P792
))),"")</f>
        <v/>
      </c>
      <c r="AG792" s="6" t="str">
        <f>IFERROR(IF($F792="Total",
         SUMPRODUCT(
         INDEX(AG:AG, ROW()-COUNTIF($F$6:INDEX($F:$F, ROW()-1), $F791)) : INDEX(AG:AG, ROW()-1),
         INDEX(AB:AB, ROW()-COUNTIF($F$6:INDEX($F:$F, ROW()-1), $F791)) : INDEX(AB:AB, ROW()-1)
         )
         /SUM(INDEX(AB:AB, ROW()-COUNTIF($F$6:INDEX($F:$F, ROW()-1), $F791)) : INDEX(AB:AB, ROW()-1)),
          AVERAGEIFS(unit_details[Asking PSF],
          unit_details[Active Listing?],TRUE,
          unit_details[Property Name], $F792,
          unit_details[Beds], $L792,
          unit_details[Baths], $M792,
          unit_details[Partial Baths], IF(ISNUMBER($N792),$N792,""),
          unit_details[Sqft],$P792
)),"")</f>
        <v/>
      </c>
      <c r="AH792" s="293" t="str">
        <f>IFERROR(IF($F792="Total",
         SUMPRODUCT(
         INDEX(AH:AH, ROW()-COUNTIF($F$6:INDEX($F:$F, ROW()-1), $F791)) : INDEX(AH:AH, ROW()-1),
         INDEX(AB:AB, ROW()-COUNTIF($F$6:INDEX($F:$F, ROW()-1), $F791)) : INDEX(AB:AB, ROW()-1)
         )
         /SUM(INDEX(AB:AB, ROW()-COUNTIF($F$6:INDEX($F:$F, ROW()-1), $F791)) : INDEX(AB:AB, ROW()-1)),
          AVERAGEIFS(unit_details[Effective Rent],
          unit_details[Active Listing?],TRUE,
          unit_details[Property Name], $F792,
          unit_details[Beds], $L792,
          unit_details[Baths], $M792,
          unit_details[Partial Baths], IF(ISNUMBER($N792),$N792,""),
          unit_details[Sqft],$P792
)),"")</f>
        <v/>
      </c>
      <c r="AI792" s="6" t="str">
        <f>IFERROR(IF($F792="Total",
         SUMPRODUCT(
         INDEX(AI:AI, ROW()-COUNTIF($F$6:INDEX($F:$F, ROW()-1), $F791)) : INDEX(AI:AI, ROW()-1),
         INDEX(AB:AB, ROW()-COUNTIF($F$6:INDEX($F:$F, ROW()-1), $F791)) : INDEX(AB:AB, ROW()-1)
         )
         /SUM(INDEX(AB:AB, ROW()-COUNTIF($F$6:INDEX($F:$F, ROW()-1), $F791)) : INDEX(AB:AB, ROW()-1)),
           AVERAGEIFS(unit_details[Effective PSF],
          unit_details[Active Listing?],TRUE,
          unit_details[Property Name], $F792,
          unit_details[Beds], $L792,
          unit_details[Baths], $M792,
          unit_details[Partial Baths], IF(ISNUMBER($N792),$N792,""),
          unit_details[Sqft],$P792
)),"")</f>
        <v/>
      </c>
      <c r="AJ792" s="824" t="str">
        <f t="shared" si="136"/>
        <v/>
      </c>
      <c r="AK792" s="531" t="str">
        <f t="shared" si="137"/>
        <v/>
      </c>
      <c r="AL792" s="714" t="str">
        <f t="shared" si="138"/>
        <v/>
      </c>
      <c r="AM792" s="531" t="str">
        <f t="shared" si="139"/>
        <v/>
      </c>
      <c r="AN792" s="716" t="str">
        <f t="shared" si="140"/>
        <v/>
      </c>
    </row>
    <row r="793" spans="6:40" x14ac:dyDescent="0.2">
      <c r="F793" s="1" t="str">
        <f t="shared" si="133"/>
        <v/>
      </c>
      <c r="G793" s="713" t="str">
        <f t="shared" si="141"/>
        <v/>
      </c>
      <c r="H793" s="17" t="str">
        <f>IFERROR(VLOOKUP($G793,Table1[[Property]:[Exposure %]],4,0),"")</f>
        <v/>
      </c>
      <c r="I793" s="3" t="str">
        <f>IFERROR(VLOOKUP($G793,Table1[[Property]:[Exposure %]],6,0),"")</f>
        <v/>
      </c>
      <c r="J793" s="3" t="str">
        <f>IFERROR(VLOOKUP($G793,Table1[[Property]:[Exposure %]],7,0),"")</f>
        <v/>
      </c>
      <c r="R793" s="4" t="str">
        <f>IFERROR(VLOOKUP(IF(F793="Total",F792,F793),Table1[[Property]:['# Units]],7,0)*S793,"")</f>
        <v/>
      </c>
      <c r="S793" s="27" t="str">
        <f t="shared" si="134"/>
        <v/>
      </c>
      <c r="T793" s="531" t="str">
        <f>IFERROR(
 IF($F793="Total",
   SUMPRODUCT(
   INDEX(T:T, ROW()-COUNTIF($F$6:INDEX($F:$F, ROW()-1), $F792)) : INDEX(T:T, ROW()-1),
   INDEX(W:W, ROW()-COUNTIF($F$6:INDEX($F:$F, ROW()-1), $F792)) : INDEX(W:W, ROW()-1)
   )
   /SUM(INDEX(W:W, ROW()-COUNTIF($F$6:INDEX($F:$F, ROW()-1), $F792)) : INDEX(W:W, ROW()-1)),
   AVERAGEIFS(
     INDEX((unit_details[Asking Rent],unit_details[Asking PSF]),0,1,IF($U$3="Chunk Rent",1,2)),
     unit_details[Leased Date],"&gt;="&amp;($AM$2-T$5),
     unit_details[Leased Date],"&lt;"&amp;$AM$2,
     unit_details[Beds],$L793,
     unit_details[Baths],$M793,
     unit_details[Partial Baths],IF(ISNUMBER($N793),$N793,""),
     unit_details[Sqft],$P793,
     unit_details[Property Name],$F793)
 ),"")</f>
        <v/>
      </c>
      <c r="U793" s="552" t="str">
        <f>IFERROR(
 IF($F793="Total",
   SUMPRODUCT(
   INDEX(U:U, ROW()-COUNTIF($F$6:INDEX($F:$F, ROW()-1), $F792)) : INDEX(U:U, ROW()-1),
   INDEX(W:W, ROW()-COUNTIF($F$6:INDEX($F:$F, ROW()-1), $F792)) : INDEX(W:W, ROW()-1)
   )
   /SUM(INDEX(W:W, ROW()-COUNTIF($F$6:INDEX($F:$F, ROW()-1), $F792)) : INDEX(W:W, ROW()-1)),
   AVERAGEIFS(
     INDEX((unit_details[Effective Rent],unit_details[Effective PSF]),0,1,IF($U$3="Chunk Rent",1,2)),
     unit_details[Leased Date],"&gt;="&amp;($AM$2-T$5),
     unit_details[Leased Date],"&lt;"&amp;$AM$2,
     unit_details[Beds],$L793,
     unit_details[Baths],$M793,
     unit_details[Partial Baths],IF(ISNUMBER($N793),$N793,""),
     unit_details[Sqft],$P793,
     unit_details[Property Name],$F793)
 ),"")</f>
        <v/>
      </c>
      <c r="V793" s="27" t="str">
        <f t="shared" si="142"/>
        <v/>
      </c>
      <c r="W793" s="526">
        <f>IFERROR(
  IF($F793="Total",
    SUM(INDEX(W:W, ROW()-COUNTIF($F$6:INDEX($F:$F, ROW()-1), $F792)) : INDEX(W:W, ROW()-1)),
    COUNTIFS(
      unit_details[Leased Date], "&gt;="&amp;($AM$2-T$5),
      unit_details[Leased Date], "&lt;"&amp;$AM$2,
      unit_details[Beds], $L793,
      unit_details[Baths], $M793,
      unit_details[Partial Baths], IF(ISNUMBER($N793), $N793, ""),
      unit_details[Sqft],$P793,
      unit_details[Property Name], $F793
    )
  ),
"")</f>
        <v>0</v>
      </c>
      <c r="X793" s="531" t="str">
        <f>IFERROR(
 IF($F793="Total",
   SUMPRODUCT(
   INDEX(X:X, ROW()-COUNTIF($F$6:INDEX($F:$F, ROW()-1), $F792)) : INDEX(X:X, ROW()-1),
   INDEX(AA:AA, ROW()-COUNTIF($F$6:INDEX($F:$F, ROW()-1), $F792)) : INDEX(AA:AA, ROW()-1)
   )
   /SUM(INDEX(AA:AA, ROW()-COUNTIF($F$6:INDEX($F:$F, ROW()-1), $F792)) : INDEX(AA:AA, ROW()-1)),
   AVERAGEIFS(
     INDEX((unit_details[Asking Rent],unit_details[Asking PSF]),0,1,IF($U$3="Chunk Rent",1,2)),
     unit_details[Leased Date],"&gt;="&amp;($AM$2-X$5),
     unit_details[Leased Date],"&lt;"&amp;$AM$2,
     unit_details[Beds],$L793,
     unit_details[Baths],$M793,
     unit_details[Partial Baths],IF(ISNUMBER($N793),$N793,""),
     unit_details[Sqft],$P793,
     unit_details[Property Name],$F793)
 ),"")</f>
        <v/>
      </c>
      <c r="Y793" s="552" t="str">
        <f>IFERROR(
 IF($F793="Total",
   SUMPRODUCT(
   INDEX(Y:Y, ROW()-COUNTIF($F$6:INDEX($F:$F, ROW()-1), $F792)) : INDEX(Y:Y, ROW()-1),
   INDEX(AA:AA, ROW()-COUNTIF($F$6:INDEX($F:$F, ROW()-1), $F792)) : INDEX(AA:AA, ROW()-1)
   )
   /SUM(INDEX(AA:AA, ROW()-COUNTIF($F$6:INDEX($F:$F, ROW()-1), $F792)) : INDEX(AA:AA, ROW()-1)),
   AVERAGEIFS(
     INDEX((unit_details[Effective Rent],unit_details[Effective PSF]),0,1,IF($U$3="Chunk Rent",1,2)),
     unit_details[Leased Date],"&gt;="&amp;($AM$2-X$5),
     unit_details[Leased Date],"&lt;"&amp;$AM$2,
     unit_details[Beds],$L793,
     unit_details[Baths],$M793,
     unit_details[Partial Baths],IF(ISNUMBER($N793),$N793,""),
     unit_details[Sqft],$P793,
     unit_details[Property Name],$F793)
 ),"")</f>
        <v/>
      </c>
      <c r="Z793" s="27" t="str">
        <f t="shared" si="143"/>
        <v/>
      </c>
      <c r="AA793" s="526">
        <f>IFERROR(
  IF($F793="Total",
    SUM(INDEX(AA:AA, ROW()-COUNTIF($F$6:INDEX($F:$F, ROW()-1), $F792)) : INDEX(AA:AA, ROW()-1)),
    COUNTIFS(
      unit_details[Leased Date], "&gt;="&amp;($AM$2-X$5),
      unit_details[Leased Date], "&lt;"&amp;$AM$2,
      unit_details[Beds], $L793,
      unit_details[Baths], $M793,
      unit_details[Partial Baths], IF(ISNUMBER($N793), $N793, ""),
      unit_details[Sqft],$P793,
      unit_details[Property Name], $F793
    )
  ),
"")</f>
        <v>0</v>
      </c>
      <c r="AB793" s="290">
        <f>IF($F793="Total",
SUM(INDEX(AB:AB, ROW()-COUNTIF($F$6:INDEX($F:$F, ROW()-1), $F792)) : INDEX(AB:AB, ROW()-1)),
COUNTIFS(unit_details[Active Listing?],TRUE,
          unit_details[Property Name], $F793,
          unit_details[Beds], $L793,
          unit_details[Baths], $M793,
          unit_details[Partial Baths],IF(ISNUMBER($N793),$N793,""),
          unit_details[Sqft],$P793))</f>
        <v>0</v>
      </c>
      <c r="AC793" s="27" t="str">
        <f t="shared" si="135"/>
        <v/>
      </c>
      <c r="AD793" s="293" t="str">
        <f>IFERROR(IF(AE793="","",IF($F793="Total",
SUMPRODUCT(
   INDEX(AD:AD, ROW()-COUNTIF($F$6:INDEX($F:$F, ROW()-1), $F792)) : INDEX(AD:AD, ROW()-1),
   INDEX(AB:AB, ROW()-COUNTIF($F$6:INDEX($F:$F, ROW()-1), $F792)) : INDEX(AB:AB, ROW()-1)
   )
   /SUM(INDEX(AB:AB, ROW()-COUNTIF($F$6:INDEX($F:$F, ROW()-1), $F792)) : INDEX(AB:AB, ROW()-1)),
          _xlfn.MINIFS(unit_details[Asking Rent],
          unit_details[Active Listing?],TRUE,
          unit_details[Property Name], $F793,
          unit_details[Beds], $L793,
          unit_details[Baths], $M793,
          unit_details[Partial Baths], IF(ISNUMBER($N793),$N793,""),
          unit_details[Sqft],$P793
))),"")</f>
        <v/>
      </c>
      <c r="AE793" s="5" t="str">
        <f>IFERROR(IF($F793="Total",
          SUMPRODUCT(
   INDEX(AE:AE, ROW()-COUNTIF($F$6:INDEX($F:$F, ROW()-1), $F792)) : INDEX(AE:AE, ROW()-1),
   INDEX(AB:AB, ROW()-COUNTIF($F$6:INDEX($F:$F, ROW()-1), $F792)) : INDEX(AB:AB, ROW()-1)
   )
   /SUM(INDEX(AB:AB, ROW()-COUNTIF($F$6:INDEX($F:$F, ROW()-1), $F792)) : INDEX(AB:AB, ROW()-1)),
          AVERAGEIFS(unit_details[Asking Rent],
          unit_details[Active Listing?],TRUE,
          unit_details[Property Name], $F793,
          unit_details[Beds], $L793,
          unit_details[Baths], $M793,
          unit_details[Partial Baths], IF(ISNUMBER($N793),$N793,""),
          unit_details[Sqft],$P793
)),"")</f>
        <v/>
      </c>
      <c r="AF793" s="5" t="str">
        <f>IFERROR(IF(AE793="","",IF($F793="Total",
SUMPRODUCT(
   INDEX(AF:AF, ROW()-COUNTIF($F$6:INDEX($F:$F, ROW()-1), $F792)) : INDEX(AF:AF, ROW()-1),
   INDEX(AB:AB, ROW()-COUNTIF($F$6:INDEX($F:$F, ROW()-1), $F792)) : INDEX(AB:AB, ROW()-1)
   )
   /SUM(INDEX(AB:AB, ROW()-COUNTIF($F$6:INDEX($F:$F, ROW()-1), $F792)) : INDEX(AB:AB, ROW()-1)),
           _xlfn.MAXIFS(unit_details[Asking Rent],
          unit_details[Active Listing?],TRUE,
          unit_details[Property Name], $F793,
          unit_details[Beds], $L793,
          unit_details[Baths], $M793,
          unit_details[Partial Baths], IF(ISNUMBER($N793),$N793,""),
          unit_details[Sqft],$P793
))),"")</f>
        <v/>
      </c>
      <c r="AG793" s="6" t="str">
        <f>IFERROR(IF($F793="Total",
         SUMPRODUCT(
         INDEX(AG:AG, ROW()-COUNTIF($F$6:INDEX($F:$F, ROW()-1), $F792)) : INDEX(AG:AG, ROW()-1),
         INDEX(AB:AB, ROW()-COUNTIF($F$6:INDEX($F:$F, ROW()-1), $F792)) : INDEX(AB:AB, ROW()-1)
         )
         /SUM(INDEX(AB:AB, ROW()-COUNTIF($F$6:INDEX($F:$F, ROW()-1), $F792)) : INDEX(AB:AB, ROW()-1)),
          AVERAGEIFS(unit_details[Asking PSF],
          unit_details[Active Listing?],TRUE,
          unit_details[Property Name], $F793,
          unit_details[Beds], $L793,
          unit_details[Baths], $M793,
          unit_details[Partial Baths], IF(ISNUMBER($N793),$N793,""),
          unit_details[Sqft],$P793
)),"")</f>
        <v/>
      </c>
      <c r="AH793" s="293" t="str">
        <f>IFERROR(IF($F793="Total",
         SUMPRODUCT(
         INDEX(AH:AH, ROW()-COUNTIF($F$6:INDEX($F:$F, ROW()-1), $F792)) : INDEX(AH:AH, ROW()-1),
         INDEX(AB:AB, ROW()-COUNTIF($F$6:INDEX($F:$F, ROW()-1), $F792)) : INDEX(AB:AB, ROW()-1)
         )
         /SUM(INDEX(AB:AB, ROW()-COUNTIF($F$6:INDEX($F:$F, ROW()-1), $F792)) : INDEX(AB:AB, ROW()-1)),
          AVERAGEIFS(unit_details[Effective Rent],
          unit_details[Active Listing?],TRUE,
          unit_details[Property Name], $F793,
          unit_details[Beds], $L793,
          unit_details[Baths], $M793,
          unit_details[Partial Baths], IF(ISNUMBER($N793),$N793,""),
          unit_details[Sqft],$P793
)),"")</f>
        <v/>
      </c>
      <c r="AI793" s="6" t="str">
        <f>IFERROR(IF($F793="Total",
         SUMPRODUCT(
         INDEX(AI:AI, ROW()-COUNTIF($F$6:INDEX($F:$F, ROW()-1), $F792)) : INDEX(AI:AI, ROW()-1),
         INDEX(AB:AB, ROW()-COUNTIF($F$6:INDEX($F:$F, ROW()-1), $F792)) : INDEX(AB:AB, ROW()-1)
         )
         /SUM(INDEX(AB:AB, ROW()-COUNTIF($F$6:INDEX($F:$F, ROW()-1), $F792)) : INDEX(AB:AB, ROW()-1)),
           AVERAGEIFS(unit_details[Effective PSF],
          unit_details[Active Listing?],TRUE,
          unit_details[Property Name], $F793,
          unit_details[Beds], $L793,
          unit_details[Baths], $M793,
          unit_details[Partial Baths], IF(ISNUMBER($N793),$N793,""),
          unit_details[Sqft],$P793
)),"")</f>
        <v/>
      </c>
      <c r="AJ793" s="824" t="str">
        <f t="shared" si="136"/>
        <v/>
      </c>
      <c r="AK793" s="531" t="str">
        <f t="shared" si="137"/>
        <v/>
      </c>
      <c r="AL793" s="714" t="str">
        <f t="shared" si="138"/>
        <v/>
      </c>
      <c r="AM793" s="531" t="str">
        <f t="shared" si="139"/>
        <v/>
      </c>
      <c r="AN793" s="716" t="str">
        <f t="shared" si="140"/>
        <v/>
      </c>
    </row>
    <row r="794" spans="6:40" x14ac:dyDescent="0.2">
      <c r="F794" s="1" t="str">
        <f t="shared" si="133"/>
        <v/>
      </c>
      <c r="G794" s="713" t="str">
        <f t="shared" si="141"/>
        <v/>
      </c>
      <c r="H794" s="17" t="str">
        <f>IFERROR(VLOOKUP($G794,Table1[[Property]:[Exposure %]],4,0),"")</f>
        <v/>
      </c>
      <c r="I794" s="3" t="str">
        <f>IFERROR(VLOOKUP($G794,Table1[[Property]:[Exposure %]],6,0),"")</f>
        <v/>
      </c>
      <c r="J794" s="3" t="str">
        <f>IFERROR(VLOOKUP($G794,Table1[[Property]:[Exposure %]],7,0),"")</f>
        <v/>
      </c>
      <c r="R794" s="4" t="str">
        <f>IFERROR(VLOOKUP(IF(F794="Total",F793,F794),Table1[[Property]:['# Units]],7,0)*S794,"")</f>
        <v/>
      </c>
      <c r="S794" s="27" t="str">
        <f t="shared" si="134"/>
        <v/>
      </c>
      <c r="T794" s="531" t="str">
        <f>IFERROR(
 IF($F794="Total",
   SUMPRODUCT(
   INDEX(T:T, ROW()-COUNTIF($F$6:INDEX($F:$F, ROW()-1), $F793)) : INDEX(T:T, ROW()-1),
   INDEX(W:W, ROW()-COUNTIF($F$6:INDEX($F:$F, ROW()-1), $F793)) : INDEX(W:W, ROW()-1)
   )
   /SUM(INDEX(W:W, ROW()-COUNTIF($F$6:INDEX($F:$F, ROW()-1), $F793)) : INDEX(W:W, ROW()-1)),
   AVERAGEIFS(
     INDEX((unit_details[Asking Rent],unit_details[Asking PSF]),0,1,IF($U$3="Chunk Rent",1,2)),
     unit_details[Leased Date],"&gt;="&amp;($AM$2-T$5),
     unit_details[Leased Date],"&lt;"&amp;$AM$2,
     unit_details[Beds],$L794,
     unit_details[Baths],$M794,
     unit_details[Partial Baths],IF(ISNUMBER($N794),$N794,""),
     unit_details[Sqft],$P794,
     unit_details[Property Name],$F794)
 ),"")</f>
        <v/>
      </c>
      <c r="U794" s="552" t="str">
        <f>IFERROR(
 IF($F794="Total",
   SUMPRODUCT(
   INDEX(U:U, ROW()-COUNTIF($F$6:INDEX($F:$F, ROW()-1), $F793)) : INDEX(U:U, ROW()-1),
   INDEX(W:W, ROW()-COUNTIF($F$6:INDEX($F:$F, ROW()-1), $F793)) : INDEX(W:W, ROW()-1)
   )
   /SUM(INDEX(W:W, ROW()-COUNTIF($F$6:INDEX($F:$F, ROW()-1), $F793)) : INDEX(W:W, ROW()-1)),
   AVERAGEIFS(
     INDEX((unit_details[Effective Rent],unit_details[Effective PSF]),0,1,IF($U$3="Chunk Rent",1,2)),
     unit_details[Leased Date],"&gt;="&amp;($AM$2-T$5),
     unit_details[Leased Date],"&lt;"&amp;$AM$2,
     unit_details[Beds],$L794,
     unit_details[Baths],$M794,
     unit_details[Partial Baths],IF(ISNUMBER($N794),$N794,""),
     unit_details[Sqft],$P794,
     unit_details[Property Name],$F794)
 ),"")</f>
        <v/>
      </c>
      <c r="V794" s="27" t="str">
        <f t="shared" si="142"/>
        <v/>
      </c>
      <c r="W794" s="526">
        <f>IFERROR(
  IF($F794="Total",
    SUM(INDEX(W:W, ROW()-COUNTIF($F$6:INDEX($F:$F, ROW()-1), $F793)) : INDEX(W:W, ROW()-1)),
    COUNTIFS(
      unit_details[Leased Date], "&gt;="&amp;($AM$2-T$5),
      unit_details[Leased Date], "&lt;"&amp;$AM$2,
      unit_details[Beds], $L794,
      unit_details[Baths], $M794,
      unit_details[Partial Baths], IF(ISNUMBER($N794), $N794, ""),
      unit_details[Sqft],$P794,
      unit_details[Property Name], $F794
    )
  ),
"")</f>
        <v>0</v>
      </c>
      <c r="X794" s="531" t="str">
        <f>IFERROR(
 IF($F794="Total",
   SUMPRODUCT(
   INDEX(X:X, ROW()-COUNTIF($F$6:INDEX($F:$F, ROW()-1), $F793)) : INDEX(X:X, ROW()-1),
   INDEX(AA:AA, ROW()-COUNTIF($F$6:INDEX($F:$F, ROW()-1), $F793)) : INDEX(AA:AA, ROW()-1)
   )
   /SUM(INDEX(AA:AA, ROW()-COUNTIF($F$6:INDEX($F:$F, ROW()-1), $F793)) : INDEX(AA:AA, ROW()-1)),
   AVERAGEIFS(
     INDEX((unit_details[Asking Rent],unit_details[Asking PSF]),0,1,IF($U$3="Chunk Rent",1,2)),
     unit_details[Leased Date],"&gt;="&amp;($AM$2-X$5),
     unit_details[Leased Date],"&lt;"&amp;$AM$2,
     unit_details[Beds],$L794,
     unit_details[Baths],$M794,
     unit_details[Partial Baths],IF(ISNUMBER($N794),$N794,""),
     unit_details[Sqft],$P794,
     unit_details[Property Name],$F794)
 ),"")</f>
        <v/>
      </c>
      <c r="Y794" s="552" t="str">
        <f>IFERROR(
 IF($F794="Total",
   SUMPRODUCT(
   INDEX(Y:Y, ROW()-COUNTIF($F$6:INDEX($F:$F, ROW()-1), $F793)) : INDEX(Y:Y, ROW()-1),
   INDEX(AA:AA, ROW()-COUNTIF($F$6:INDEX($F:$F, ROW()-1), $F793)) : INDEX(AA:AA, ROW()-1)
   )
   /SUM(INDEX(AA:AA, ROW()-COUNTIF($F$6:INDEX($F:$F, ROW()-1), $F793)) : INDEX(AA:AA, ROW()-1)),
   AVERAGEIFS(
     INDEX((unit_details[Effective Rent],unit_details[Effective PSF]),0,1,IF($U$3="Chunk Rent",1,2)),
     unit_details[Leased Date],"&gt;="&amp;($AM$2-X$5),
     unit_details[Leased Date],"&lt;"&amp;$AM$2,
     unit_details[Beds],$L794,
     unit_details[Baths],$M794,
     unit_details[Partial Baths],IF(ISNUMBER($N794),$N794,""),
     unit_details[Sqft],$P794,
     unit_details[Property Name],$F794)
 ),"")</f>
        <v/>
      </c>
      <c r="Z794" s="27" t="str">
        <f t="shared" si="143"/>
        <v/>
      </c>
      <c r="AA794" s="526">
        <f>IFERROR(
  IF($F794="Total",
    SUM(INDEX(AA:AA, ROW()-COUNTIF($F$6:INDEX($F:$F, ROW()-1), $F793)) : INDEX(AA:AA, ROW()-1)),
    COUNTIFS(
      unit_details[Leased Date], "&gt;="&amp;($AM$2-X$5),
      unit_details[Leased Date], "&lt;"&amp;$AM$2,
      unit_details[Beds], $L794,
      unit_details[Baths], $M794,
      unit_details[Partial Baths], IF(ISNUMBER($N794), $N794, ""),
      unit_details[Sqft],$P794,
      unit_details[Property Name], $F794
    )
  ),
"")</f>
        <v>0</v>
      </c>
      <c r="AB794" s="290">
        <f>IF($F794="Total",
SUM(INDEX(AB:AB, ROW()-COUNTIF($F$6:INDEX($F:$F, ROW()-1), $F793)) : INDEX(AB:AB, ROW()-1)),
COUNTIFS(unit_details[Active Listing?],TRUE,
          unit_details[Property Name], $F794,
          unit_details[Beds], $L794,
          unit_details[Baths], $M794,
          unit_details[Partial Baths],IF(ISNUMBER($N794),$N794,""),
          unit_details[Sqft],$P794))</f>
        <v>0</v>
      </c>
      <c r="AC794" s="27" t="str">
        <f t="shared" si="135"/>
        <v/>
      </c>
      <c r="AD794" s="293" t="str">
        <f>IFERROR(IF(AE794="","",IF($F794="Total",
SUMPRODUCT(
   INDEX(AD:AD, ROW()-COUNTIF($F$6:INDEX($F:$F, ROW()-1), $F793)) : INDEX(AD:AD, ROW()-1),
   INDEX(AB:AB, ROW()-COUNTIF($F$6:INDEX($F:$F, ROW()-1), $F793)) : INDEX(AB:AB, ROW()-1)
   )
   /SUM(INDEX(AB:AB, ROW()-COUNTIF($F$6:INDEX($F:$F, ROW()-1), $F793)) : INDEX(AB:AB, ROW()-1)),
          _xlfn.MINIFS(unit_details[Asking Rent],
          unit_details[Active Listing?],TRUE,
          unit_details[Property Name], $F794,
          unit_details[Beds], $L794,
          unit_details[Baths], $M794,
          unit_details[Partial Baths], IF(ISNUMBER($N794),$N794,""),
          unit_details[Sqft],$P794
))),"")</f>
        <v/>
      </c>
      <c r="AE794" s="5" t="str">
        <f>IFERROR(IF($F794="Total",
          SUMPRODUCT(
   INDEX(AE:AE, ROW()-COUNTIF($F$6:INDEX($F:$F, ROW()-1), $F793)) : INDEX(AE:AE, ROW()-1),
   INDEX(AB:AB, ROW()-COUNTIF($F$6:INDEX($F:$F, ROW()-1), $F793)) : INDEX(AB:AB, ROW()-1)
   )
   /SUM(INDEX(AB:AB, ROW()-COUNTIF($F$6:INDEX($F:$F, ROW()-1), $F793)) : INDEX(AB:AB, ROW()-1)),
          AVERAGEIFS(unit_details[Asking Rent],
          unit_details[Active Listing?],TRUE,
          unit_details[Property Name], $F794,
          unit_details[Beds], $L794,
          unit_details[Baths], $M794,
          unit_details[Partial Baths], IF(ISNUMBER($N794),$N794,""),
          unit_details[Sqft],$P794
)),"")</f>
        <v/>
      </c>
      <c r="AF794" s="5" t="str">
        <f>IFERROR(IF(AE794="","",IF($F794="Total",
SUMPRODUCT(
   INDEX(AF:AF, ROW()-COUNTIF($F$6:INDEX($F:$F, ROW()-1), $F793)) : INDEX(AF:AF, ROW()-1),
   INDEX(AB:AB, ROW()-COUNTIF($F$6:INDEX($F:$F, ROW()-1), $F793)) : INDEX(AB:AB, ROW()-1)
   )
   /SUM(INDEX(AB:AB, ROW()-COUNTIF($F$6:INDEX($F:$F, ROW()-1), $F793)) : INDEX(AB:AB, ROW()-1)),
           _xlfn.MAXIFS(unit_details[Asking Rent],
          unit_details[Active Listing?],TRUE,
          unit_details[Property Name], $F794,
          unit_details[Beds], $L794,
          unit_details[Baths], $M794,
          unit_details[Partial Baths], IF(ISNUMBER($N794),$N794,""),
          unit_details[Sqft],$P794
))),"")</f>
        <v/>
      </c>
      <c r="AG794" s="6" t="str">
        <f>IFERROR(IF($F794="Total",
         SUMPRODUCT(
         INDEX(AG:AG, ROW()-COUNTIF($F$6:INDEX($F:$F, ROW()-1), $F793)) : INDEX(AG:AG, ROW()-1),
         INDEX(AB:AB, ROW()-COUNTIF($F$6:INDEX($F:$F, ROW()-1), $F793)) : INDEX(AB:AB, ROW()-1)
         )
         /SUM(INDEX(AB:AB, ROW()-COUNTIF($F$6:INDEX($F:$F, ROW()-1), $F793)) : INDEX(AB:AB, ROW()-1)),
          AVERAGEIFS(unit_details[Asking PSF],
          unit_details[Active Listing?],TRUE,
          unit_details[Property Name], $F794,
          unit_details[Beds], $L794,
          unit_details[Baths], $M794,
          unit_details[Partial Baths], IF(ISNUMBER($N794),$N794,""),
          unit_details[Sqft],$P794
)),"")</f>
        <v/>
      </c>
      <c r="AH794" s="293" t="str">
        <f>IFERROR(IF($F794="Total",
         SUMPRODUCT(
         INDEX(AH:AH, ROW()-COUNTIF($F$6:INDEX($F:$F, ROW()-1), $F793)) : INDEX(AH:AH, ROW()-1),
         INDEX(AB:AB, ROW()-COUNTIF($F$6:INDEX($F:$F, ROW()-1), $F793)) : INDEX(AB:AB, ROW()-1)
         )
         /SUM(INDEX(AB:AB, ROW()-COUNTIF($F$6:INDEX($F:$F, ROW()-1), $F793)) : INDEX(AB:AB, ROW()-1)),
          AVERAGEIFS(unit_details[Effective Rent],
          unit_details[Active Listing?],TRUE,
          unit_details[Property Name], $F794,
          unit_details[Beds], $L794,
          unit_details[Baths], $M794,
          unit_details[Partial Baths], IF(ISNUMBER($N794),$N794,""),
          unit_details[Sqft],$P794
)),"")</f>
        <v/>
      </c>
      <c r="AI794" s="6" t="str">
        <f>IFERROR(IF($F794="Total",
         SUMPRODUCT(
         INDEX(AI:AI, ROW()-COUNTIF($F$6:INDEX($F:$F, ROW()-1), $F793)) : INDEX(AI:AI, ROW()-1),
         INDEX(AB:AB, ROW()-COUNTIF($F$6:INDEX($F:$F, ROW()-1), $F793)) : INDEX(AB:AB, ROW()-1)
         )
         /SUM(INDEX(AB:AB, ROW()-COUNTIF($F$6:INDEX($F:$F, ROW()-1), $F793)) : INDEX(AB:AB, ROW()-1)),
           AVERAGEIFS(unit_details[Effective PSF],
          unit_details[Active Listing?],TRUE,
          unit_details[Property Name], $F794,
          unit_details[Beds], $L794,
          unit_details[Baths], $M794,
          unit_details[Partial Baths], IF(ISNUMBER($N794),$N794,""),
          unit_details[Sqft],$P794
)),"")</f>
        <v/>
      </c>
      <c r="AJ794" s="824" t="str">
        <f t="shared" si="136"/>
        <v/>
      </c>
      <c r="AK794" s="531" t="str">
        <f t="shared" si="137"/>
        <v/>
      </c>
      <c r="AL794" s="714" t="str">
        <f t="shared" si="138"/>
        <v/>
      </c>
      <c r="AM794" s="531" t="str">
        <f t="shared" si="139"/>
        <v/>
      </c>
      <c r="AN794" s="716" t="str">
        <f t="shared" si="140"/>
        <v/>
      </c>
    </row>
    <row r="795" spans="6:40" x14ac:dyDescent="0.2">
      <c r="F795" s="1" t="str">
        <f t="shared" si="133"/>
        <v/>
      </c>
      <c r="G795" s="713" t="str">
        <f t="shared" si="141"/>
        <v/>
      </c>
      <c r="H795" s="17" t="str">
        <f>IFERROR(VLOOKUP($G795,Table1[[Property]:[Exposure %]],4,0),"")</f>
        <v/>
      </c>
      <c r="I795" s="3" t="str">
        <f>IFERROR(VLOOKUP($G795,Table1[[Property]:[Exposure %]],6,0),"")</f>
        <v/>
      </c>
      <c r="J795" s="3" t="str">
        <f>IFERROR(VLOOKUP($G795,Table1[[Property]:[Exposure %]],7,0),"")</f>
        <v/>
      </c>
      <c r="R795" s="4" t="str">
        <f>IFERROR(VLOOKUP(IF(F795="Total",F794,F795),Table1[[Property]:['# Units]],7,0)*S795,"")</f>
        <v/>
      </c>
      <c r="S795" s="27" t="str">
        <f t="shared" si="134"/>
        <v/>
      </c>
      <c r="T795" s="531" t="str">
        <f>IFERROR(
 IF($F795="Total",
   SUMPRODUCT(
   INDEX(T:T, ROW()-COUNTIF($F$6:INDEX($F:$F, ROW()-1), $F794)) : INDEX(T:T, ROW()-1),
   INDEX(W:W, ROW()-COUNTIF($F$6:INDEX($F:$F, ROW()-1), $F794)) : INDEX(W:W, ROW()-1)
   )
   /SUM(INDEX(W:W, ROW()-COUNTIF($F$6:INDEX($F:$F, ROW()-1), $F794)) : INDEX(W:W, ROW()-1)),
   AVERAGEIFS(
     INDEX((unit_details[Asking Rent],unit_details[Asking PSF]),0,1,IF($U$3="Chunk Rent",1,2)),
     unit_details[Leased Date],"&gt;="&amp;($AM$2-T$5),
     unit_details[Leased Date],"&lt;"&amp;$AM$2,
     unit_details[Beds],$L795,
     unit_details[Baths],$M795,
     unit_details[Partial Baths],IF(ISNUMBER($N795),$N795,""),
     unit_details[Sqft],$P795,
     unit_details[Property Name],$F795)
 ),"")</f>
        <v/>
      </c>
      <c r="U795" s="552" t="str">
        <f>IFERROR(
 IF($F795="Total",
   SUMPRODUCT(
   INDEX(U:U, ROW()-COUNTIF($F$6:INDEX($F:$F, ROW()-1), $F794)) : INDEX(U:U, ROW()-1),
   INDEX(W:W, ROW()-COUNTIF($F$6:INDEX($F:$F, ROW()-1), $F794)) : INDEX(W:W, ROW()-1)
   )
   /SUM(INDEX(W:W, ROW()-COUNTIF($F$6:INDEX($F:$F, ROW()-1), $F794)) : INDEX(W:W, ROW()-1)),
   AVERAGEIFS(
     INDEX((unit_details[Effective Rent],unit_details[Effective PSF]),0,1,IF($U$3="Chunk Rent",1,2)),
     unit_details[Leased Date],"&gt;="&amp;($AM$2-T$5),
     unit_details[Leased Date],"&lt;"&amp;$AM$2,
     unit_details[Beds],$L795,
     unit_details[Baths],$M795,
     unit_details[Partial Baths],IF(ISNUMBER($N795),$N795,""),
     unit_details[Sqft],$P795,
     unit_details[Property Name],$F795)
 ),"")</f>
        <v/>
      </c>
      <c r="V795" s="27" t="str">
        <f t="shared" si="142"/>
        <v/>
      </c>
      <c r="W795" s="526">
        <f>IFERROR(
  IF($F795="Total",
    SUM(INDEX(W:W, ROW()-COUNTIF($F$6:INDEX($F:$F, ROW()-1), $F794)) : INDEX(W:W, ROW()-1)),
    COUNTIFS(
      unit_details[Leased Date], "&gt;="&amp;($AM$2-T$5),
      unit_details[Leased Date], "&lt;"&amp;$AM$2,
      unit_details[Beds], $L795,
      unit_details[Baths], $M795,
      unit_details[Partial Baths], IF(ISNUMBER($N795), $N795, ""),
      unit_details[Sqft],$P795,
      unit_details[Property Name], $F795
    )
  ),
"")</f>
        <v>0</v>
      </c>
      <c r="X795" s="531" t="str">
        <f>IFERROR(
 IF($F795="Total",
   SUMPRODUCT(
   INDEX(X:X, ROW()-COUNTIF($F$6:INDEX($F:$F, ROW()-1), $F794)) : INDEX(X:X, ROW()-1),
   INDEX(AA:AA, ROW()-COUNTIF($F$6:INDEX($F:$F, ROW()-1), $F794)) : INDEX(AA:AA, ROW()-1)
   )
   /SUM(INDEX(AA:AA, ROW()-COUNTIF($F$6:INDEX($F:$F, ROW()-1), $F794)) : INDEX(AA:AA, ROW()-1)),
   AVERAGEIFS(
     INDEX((unit_details[Asking Rent],unit_details[Asking PSF]),0,1,IF($U$3="Chunk Rent",1,2)),
     unit_details[Leased Date],"&gt;="&amp;($AM$2-X$5),
     unit_details[Leased Date],"&lt;"&amp;$AM$2,
     unit_details[Beds],$L795,
     unit_details[Baths],$M795,
     unit_details[Partial Baths],IF(ISNUMBER($N795),$N795,""),
     unit_details[Sqft],$P795,
     unit_details[Property Name],$F795)
 ),"")</f>
        <v/>
      </c>
      <c r="Y795" s="552" t="str">
        <f>IFERROR(
 IF($F795="Total",
   SUMPRODUCT(
   INDEX(Y:Y, ROW()-COUNTIF($F$6:INDEX($F:$F, ROW()-1), $F794)) : INDEX(Y:Y, ROW()-1),
   INDEX(AA:AA, ROW()-COUNTIF($F$6:INDEX($F:$F, ROW()-1), $F794)) : INDEX(AA:AA, ROW()-1)
   )
   /SUM(INDEX(AA:AA, ROW()-COUNTIF($F$6:INDEX($F:$F, ROW()-1), $F794)) : INDEX(AA:AA, ROW()-1)),
   AVERAGEIFS(
     INDEX((unit_details[Effective Rent],unit_details[Effective PSF]),0,1,IF($U$3="Chunk Rent",1,2)),
     unit_details[Leased Date],"&gt;="&amp;($AM$2-X$5),
     unit_details[Leased Date],"&lt;"&amp;$AM$2,
     unit_details[Beds],$L795,
     unit_details[Baths],$M795,
     unit_details[Partial Baths],IF(ISNUMBER($N795),$N795,""),
     unit_details[Sqft],$P795,
     unit_details[Property Name],$F795)
 ),"")</f>
        <v/>
      </c>
      <c r="Z795" s="27" t="str">
        <f t="shared" si="143"/>
        <v/>
      </c>
      <c r="AA795" s="526">
        <f>IFERROR(
  IF($F795="Total",
    SUM(INDEX(AA:AA, ROW()-COUNTIF($F$6:INDEX($F:$F, ROW()-1), $F794)) : INDEX(AA:AA, ROW()-1)),
    COUNTIFS(
      unit_details[Leased Date], "&gt;="&amp;($AM$2-X$5),
      unit_details[Leased Date], "&lt;"&amp;$AM$2,
      unit_details[Beds], $L795,
      unit_details[Baths], $M795,
      unit_details[Partial Baths], IF(ISNUMBER($N795), $N795, ""),
      unit_details[Sqft],$P795,
      unit_details[Property Name], $F795
    )
  ),
"")</f>
        <v>0</v>
      </c>
      <c r="AB795" s="290">
        <f>IF($F795="Total",
SUM(INDEX(AB:AB, ROW()-COUNTIF($F$6:INDEX($F:$F, ROW()-1), $F794)) : INDEX(AB:AB, ROW()-1)),
COUNTIFS(unit_details[Active Listing?],TRUE,
          unit_details[Property Name], $F795,
          unit_details[Beds], $L795,
          unit_details[Baths], $M795,
          unit_details[Partial Baths],IF(ISNUMBER($N795),$N795,""),
          unit_details[Sqft],$P795))</f>
        <v>0</v>
      </c>
      <c r="AC795" s="27" t="str">
        <f t="shared" si="135"/>
        <v/>
      </c>
      <c r="AD795" s="293" t="str">
        <f>IFERROR(IF(AE795="","",IF($F795="Total",
SUMPRODUCT(
   INDEX(AD:AD, ROW()-COUNTIF($F$6:INDEX($F:$F, ROW()-1), $F794)) : INDEX(AD:AD, ROW()-1),
   INDEX(AB:AB, ROW()-COUNTIF($F$6:INDEX($F:$F, ROW()-1), $F794)) : INDEX(AB:AB, ROW()-1)
   )
   /SUM(INDEX(AB:AB, ROW()-COUNTIF($F$6:INDEX($F:$F, ROW()-1), $F794)) : INDEX(AB:AB, ROW()-1)),
          _xlfn.MINIFS(unit_details[Asking Rent],
          unit_details[Active Listing?],TRUE,
          unit_details[Property Name], $F795,
          unit_details[Beds], $L795,
          unit_details[Baths], $M795,
          unit_details[Partial Baths], IF(ISNUMBER($N795),$N795,""),
          unit_details[Sqft],$P795
))),"")</f>
        <v/>
      </c>
      <c r="AE795" s="5" t="str">
        <f>IFERROR(IF($F795="Total",
          SUMPRODUCT(
   INDEX(AE:AE, ROW()-COUNTIF($F$6:INDEX($F:$F, ROW()-1), $F794)) : INDEX(AE:AE, ROW()-1),
   INDEX(AB:AB, ROW()-COUNTIF($F$6:INDEX($F:$F, ROW()-1), $F794)) : INDEX(AB:AB, ROW()-1)
   )
   /SUM(INDEX(AB:AB, ROW()-COUNTIF($F$6:INDEX($F:$F, ROW()-1), $F794)) : INDEX(AB:AB, ROW()-1)),
          AVERAGEIFS(unit_details[Asking Rent],
          unit_details[Active Listing?],TRUE,
          unit_details[Property Name], $F795,
          unit_details[Beds], $L795,
          unit_details[Baths], $M795,
          unit_details[Partial Baths], IF(ISNUMBER($N795),$N795,""),
          unit_details[Sqft],$P795
)),"")</f>
        <v/>
      </c>
      <c r="AF795" s="5" t="str">
        <f>IFERROR(IF(AE795="","",IF($F795="Total",
SUMPRODUCT(
   INDEX(AF:AF, ROW()-COUNTIF($F$6:INDEX($F:$F, ROW()-1), $F794)) : INDEX(AF:AF, ROW()-1),
   INDEX(AB:AB, ROW()-COUNTIF($F$6:INDEX($F:$F, ROW()-1), $F794)) : INDEX(AB:AB, ROW()-1)
   )
   /SUM(INDEX(AB:AB, ROW()-COUNTIF($F$6:INDEX($F:$F, ROW()-1), $F794)) : INDEX(AB:AB, ROW()-1)),
           _xlfn.MAXIFS(unit_details[Asking Rent],
          unit_details[Active Listing?],TRUE,
          unit_details[Property Name], $F795,
          unit_details[Beds], $L795,
          unit_details[Baths], $M795,
          unit_details[Partial Baths], IF(ISNUMBER($N795),$N795,""),
          unit_details[Sqft],$P795
))),"")</f>
        <v/>
      </c>
      <c r="AG795" s="6" t="str">
        <f>IFERROR(IF($F795="Total",
         SUMPRODUCT(
         INDEX(AG:AG, ROW()-COUNTIF($F$6:INDEX($F:$F, ROW()-1), $F794)) : INDEX(AG:AG, ROW()-1),
         INDEX(AB:AB, ROW()-COUNTIF($F$6:INDEX($F:$F, ROW()-1), $F794)) : INDEX(AB:AB, ROW()-1)
         )
         /SUM(INDEX(AB:AB, ROW()-COUNTIF($F$6:INDEX($F:$F, ROW()-1), $F794)) : INDEX(AB:AB, ROW()-1)),
          AVERAGEIFS(unit_details[Asking PSF],
          unit_details[Active Listing?],TRUE,
          unit_details[Property Name], $F795,
          unit_details[Beds], $L795,
          unit_details[Baths], $M795,
          unit_details[Partial Baths], IF(ISNUMBER($N795),$N795,""),
          unit_details[Sqft],$P795
)),"")</f>
        <v/>
      </c>
      <c r="AH795" s="293" t="str">
        <f>IFERROR(IF($F795="Total",
         SUMPRODUCT(
         INDEX(AH:AH, ROW()-COUNTIF($F$6:INDEX($F:$F, ROW()-1), $F794)) : INDEX(AH:AH, ROW()-1),
         INDEX(AB:AB, ROW()-COUNTIF($F$6:INDEX($F:$F, ROW()-1), $F794)) : INDEX(AB:AB, ROW()-1)
         )
         /SUM(INDEX(AB:AB, ROW()-COUNTIF($F$6:INDEX($F:$F, ROW()-1), $F794)) : INDEX(AB:AB, ROW()-1)),
          AVERAGEIFS(unit_details[Effective Rent],
          unit_details[Active Listing?],TRUE,
          unit_details[Property Name], $F795,
          unit_details[Beds], $L795,
          unit_details[Baths], $M795,
          unit_details[Partial Baths], IF(ISNUMBER($N795),$N795,""),
          unit_details[Sqft],$P795
)),"")</f>
        <v/>
      </c>
      <c r="AI795" s="6" t="str">
        <f>IFERROR(IF($F795="Total",
         SUMPRODUCT(
         INDEX(AI:AI, ROW()-COUNTIF($F$6:INDEX($F:$F, ROW()-1), $F794)) : INDEX(AI:AI, ROW()-1),
         INDEX(AB:AB, ROW()-COUNTIF($F$6:INDEX($F:$F, ROW()-1), $F794)) : INDEX(AB:AB, ROW()-1)
         )
         /SUM(INDEX(AB:AB, ROW()-COUNTIF($F$6:INDEX($F:$F, ROW()-1), $F794)) : INDEX(AB:AB, ROW()-1)),
           AVERAGEIFS(unit_details[Effective PSF],
          unit_details[Active Listing?],TRUE,
          unit_details[Property Name], $F795,
          unit_details[Beds], $L795,
          unit_details[Baths], $M795,
          unit_details[Partial Baths], IF(ISNUMBER($N795),$N795,""),
          unit_details[Sqft],$P795
)),"")</f>
        <v/>
      </c>
      <c r="AJ795" s="824" t="str">
        <f t="shared" si="136"/>
        <v/>
      </c>
      <c r="AK795" s="531" t="str">
        <f t="shared" si="137"/>
        <v/>
      </c>
      <c r="AL795" s="714" t="str">
        <f t="shared" si="138"/>
        <v/>
      </c>
      <c r="AM795" s="531" t="str">
        <f t="shared" si="139"/>
        <v/>
      </c>
      <c r="AN795" s="716" t="str">
        <f t="shared" si="140"/>
        <v/>
      </c>
    </row>
    <row r="796" spans="6:40" x14ac:dyDescent="0.2">
      <c r="F796" s="1" t="str">
        <f t="shared" si="133"/>
        <v/>
      </c>
      <c r="G796" s="713" t="str">
        <f t="shared" si="141"/>
        <v/>
      </c>
      <c r="H796" s="17" t="str">
        <f>IFERROR(VLOOKUP($G796,Table1[[Property]:[Exposure %]],4,0),"")</f>
        <v/>
      </c>
      <c r="I796" s="3" t="str">
        <f>IFERROR(VLOOKUP($G796,Table1[[Property]:[Exposure %]],6,0),"")</f>
        <v/>
      </c>
      <c r="J796" s="3" t="str">
        <f>IFERROR(VLOOKUP($G796,Table1[[Property]:[Exposure %]],7,0),"")</f>
        <v/>
      </c>
      <c r="R796" s="4" t="str">
        <f>IFERROR(VLOOKUP(IF(F796="Total",F795,F796),Table1[[Property]:['# Units]],7,0)*S796,"")</f>
        <v/>
      </c>
      <c r="S796" s="27" t="str">
        <f t="shared" si="134"/>
        <v/>
      </c>
      <c r="T796" s="531" t="str">
        <f>IFERROR(
 IF($F796="Total",
   SUMPRODUCT(
   INDEX(T:T, ROW()-COUNTIF($F$6:INDEX($F:$F, ROW()-1), $F795)) : INDEX(T:T, ROW()-1),
   INDEX(W:W, ROW()-COUNTIF($F$6:INDEX($F:$F, ROW()-1), $F795)) : INDEX(W:W, ROW()-1)
   )
   /SUM(INDEX(W:W, ROW()-COUNTIF($F$6:INDEX($F:$F, ROW()-1), $F795)) : INDEX(W:W, ROW()-1)),
   AVERAGEIFS(
     INDEX((unit_details[Asking Rent],unit_details[Asking PSF]),0,1,IF($U$3="Chunk Rent",1,2)),
     unit_details[Leased Date],"&gt;="&amp;($AM$2-T$5),
     unit_details[Leased Date],"&lt;"&amp;$AM$2,
     unit_details[Beds],$L796,
     unit_details[Baths],$M796,
     unit_details[Partial Baths],IF(ISNUMBER($N796),$N796,""),
     unit_details[Sqft],$P796,
     unit_details[Property Name],$F796)
 ),"")</f>
        <v/>
      </c>
      <c r="U796" s="552" t="str">
        <f>IFERROR(
 IF($F796="Total",
   SUMPRODUCT(
   INDEX(U:U, ROW()-COUNTIF($F$6:INDEX($F:$F, ROW()-1), $F795)) : INDEX(U:U, ROW()-1),
   INDEX(W:W, ROW()-COUNTIF($F$6:INDEX($F:$F, ROW()-1), $F795)) : INDEX(W:W, ROW()-1)
   )
   /SUM(INDEX(W:W, ROW()-COUNTIF($F$6:INDEX($F:$F, ROW()-1), $F795)) : INDEX(W:W, ROW()-1)),
   AVERAGEIFS(
     INDEX((unit_details[Effective Rent],unit_details[Effective PSF]),0,1,IF($U$3="Chunk Rent",1,2)),
     unit_details[Leased Date],"&gt;="&amp;($AM$2-T$5),
     unit_details[Leased Date],"&lt;"&amp;$AM$2,
     unit_details[Beds],$L796,
     unit_details[Baths],$M796,
     unit_details[Partial Baths],IF(ISNUMBER($N796),$N796,""),
     unit_details[Sqft],$P796,
     unit_details[Property Name],$F796)
 ),"")</f>
        <v/>
      </c>
      <c r="V796" s="27" t="str">
        <f t="shared" si="142"/>
        <v/>
      </c>
      <c r="W796" s="526">
        <f>IFERROR(
  IF($F796="Total",
    SUM(INDEX(W:W, ROW()-COUNTIF($F$6:INDEX($F:$F, ROW()-1), $F795)) : INDEX(W:W, ROW()-1)),
    COUNTIFS(
      unit_details[Leased Date], "&gt;="&amp;($AM$2-T$5),
      unit_details[Leased Date], "&lt;"&amp;$AM$2,
      unit_details[Beds], $L796,
      unit_details[Baths], $M796,
      unit_details[Partial Baths], IF(ISNUMBER($N796), $N796, ""),
      unit_details[Sqft],$P796,
      unit_details[Property Name], $F796
    )
  ),
"")</f>
        <v>0</v>
      </c>
      <c r="X796" s="531" t="str">
        <f>IFERROR(
 IF($F796="Total",
   SUMPRODUCT(
   INDEX(X:X, ROW()-COUNTIF($F$6:INDEX($F:$F, ROW()-1), $F795)) : INDEX(X:X, ROW()-1),
   INDEX(AA:AA, ROW()-COUNTIF($F$6:INDEX($F:$F, ROW()-1), $F795)) : INDEX(AA:AA, ROW()-1)
   )
   /SUM(INDEX(AA:AA, ROW()-COUNTIF($F$6:INDEX($F:$F, ROW()-1), $F795)) : INDEX(AA:AA, ROW()-1)),
   AVERAGEIFS(
     INDEX((unit_details[Asking Rent],unit_details[Asking PSF]),0,1,IF($U$3="Chunk Rent",1,2)),
     unit_details[Leased Date],"&gt;="&amp;($AM$2-X$5),
     unit_details[Leased Date],"&lt;"&amp;$AM$2,
     unit_details[Beds],$L796,
     unit_details[Baths],$M796,
     unit_details[Partial Baths],IF(ISNUMBER($N796),$N796,""),
     unit_details[Sqft],$P796,
     unit_details[Property Name],$F796)
 ),"")</f>
        <v/>
      </c>
      <c r="Y796" s="552" t="str">
        <f>IFERROR(
 IF($F796="Total",
   SUMPRODUCT(
   INDEX(Y:Y, ROW()-COUNTIF($F$6:INDEX($F:$F, ROW()-1), $F795)) : INDEX(Y:Y, ROW()-1),
   INDEX(AA:AA, ROW()-COUNTIF($F$6:INDEX($F:$F, ROW()-1), $F795)) : INDEX(AA:AA, ROW()-1)
   )
   /SUM(INDEX(AA:AA, ROW()-COUNTIF($F$6:INDEX($F:$F, ROW()-1), $F795)) : INDEX(AA:AA, ROW()-1)),
   AVERAGEIFS(
     INDEX((unit_details[Effective Rent],unit_details[Effective PSF]),0,1,IF($U$3="Chunk Rent",1,2)),
     unit_details[Leased Date],"&gt;="&amp;($AM$2-X$5),
     unit_details[Leased Date],"&lt;"&amp;$AM$2,
     unit_details[Beds],$L796,
     unit_details[Baths],$M796,
     unit_details[Partial Baths],IF(ISNUMBER($N796),$N796,""),
     unit_details[Sqft],$P796,
     unit_details[Property Name],$F796)
 ),"")</f>
        <v/>
      </c>
      <c r="Z796" s="27" t="str">
        <f t="shared" si="143"/>
        <v/>
      </c>
      <c r="AA796" s="526">
        <f>IFERROR(
  IF($F796="Total",
    SUM(INDEX(AA:AA, ROW()-COUNTIF($F$6:INDEX($F:$F, ROW()-1), $F795)) : INDEX(AA:AA, ROW()-1)),
    COUNTIFS(
      unit_details[Leased Date], "&gt;="&amp;($AM$2-X$5),
      unit_details[Leased Date], "&lt;"&amp;$AM$2,
      unit_details[Beds], $L796,
      unit_details[Baths], $M796,
      unit_details[Partial Baths], IF(ISNUMBER($N796), $N796, ""),
      unit_details[Sqft],$P796,
      unit_details[Property Name], $F796
    )
  ),
"")</f>
        <v>0</v>
      </c>
      <c r="AB796" s="290">
        <f>IF($F796="Total",
SUM(INDEX(AB:AB, ROW()-COUNTIF($F$6:INDEX($F:$F, ROW()-1), $F795)) : INDEX(AB:AB, ROW()-1)),
COUNTIFS(unit_details[Active Listing?],TRUE,
          unit_details[Property Name], $F796,
          unit_details[Beds], $L796,
          unit_details[Baths], $M796,
          unit_details[Partial Baths],IF(ISNUMBER($N796),$N796,""),
          unit_details[Sqft],$P796))</f>
        <v>0</v>
      </c>
      <c r="AC796" s="27" t="str">
        <f t="shared" si="135"/>
        <v/>
      </c>
      <c r="AD796" s="293" t="str">
        <f>IFERROR(IF(AE796="","",IF($F796="Total",
SUMPRODUCT(
   INDEX(AD:AD, ROW()-COUNTIF($F$6:INDEX($F:$F, ROW()-1), $F795)) : INDEX(AD:AD, ROW()-1),
   INDEX(AB:AB, ROW()-COUNTIF($F$6:INDEX($F:$F, ROW()-1), $F795)) : INDEX(AB:AB, ROW()-1)
   )
   /SUM(INDEX(AB:AB, ROW()-COUNTIF($F$6:INDEX($F:$F, ROW()-1), $F795)) : INDEX(AB:AB, ROW()-1)),
          _xlfn.MINIFS(unit_details[Asking Rent],
          unit_details[Active Listing?],TRUE,
          unit_details[Property Name], $F796,
          unit_details[Beds], $L796,
          unit_details[Baths], $M796,
          unit_details[Partial Baths], IF(ISNUMBER($N796),$N796,""),
          unit_details[Sqft],$P796
))),"")</f>
        <v/>
      </c>
      <c r="AE796" s="5" t="str">
        <f>IFERROR(IF($F796="Total",
          SUMPRODUCT(
   INDEX(AE:AE, ROW()-COUNTIF($F$6:INDEX($F:$F, ROW()-1), $F795)) : INDEX(AE:AE, ROW()-1),
   INDEX(AB:AB, ROW()-COUNTIF($F$6:INDEX($F:$F, ROW()-1), $F795)) : INDEX(AB:AB, ROW()-1)
   )
   /SUM(INDEX(AB:AB, ROW()-COUNTIF($F$6:INDEX($F:$F, ROW()-1), $F795)) : INDEX(AB:AB, ROW()-1)),
          AVERAGEIFS(unit_details[Asking Rent],
          unit_details[Active Listing?],TRUE,
          unit_details[Property Name], $F796,
          unit_details[Beds], $L796,
          unit_details[Baths], $M796,
          unit_details[Partial Baths], IF(ISNUMBER($N796),$N796,""),
          unit_details[Sqft],$P796
)),"")</f>
        <v/>
      </c>
      <c r="AF796" s="5" t="str">
        <f>IFERROR(IF(AE796="","",IF($F796="Total",
SUMPRODUCT(
   INDEX(AF:AF, ROW()-COUNTIF($F$6:INDEX($F:$F, ROW()-1), $F795)) : INDEX(AF:AF, ROW()-1),
   INDEX(AB:AB, ROW()-COUNTIF($F$6:INDEX($F:$F, ROW()-1), $F795)) : INDEX(AB:AB, ROW()-1)
   )
   /SUM(INDEX(AB:AB, ROW()-COUNTIF($F$6:INDEX($F:$F, ROW()-1), $F795)) : INDEX(AB:AB, ROW()-1)),
           _xlfn.MAXIFS(unit_details[Asking Rent],
          unit_details[Active Listing?],TRUE,
          unit_details[Property Name], $F796,
          unit_details[Beds], $L796,
          unit_details[Baths], $M796,
          unit_details[Partial Baths], IF(ISNUMBER($N796),$N796,""),
          unit_details[Sqft],$P796
))),"")</f>
        <v/>
      </c>
      <c r="AG796" s="6" t="str">
        <f>IFERROR(IF($F796="Total",
         SUMPRODUCT(
         INDEX(AG:AG, ROW()-COUNTIF($F$6:INDEX($F:$F, ROW()-1), $F795)) : INDEX(AG:AG, ROW()-1),
         INDEX(AB:AB, ROW()-COUNTIF($F$6:INDEX($F:$F, ROW()-1), $F795)) : INDEX(AB:AB, ROW()-1)
         )
         /SUM(INDEX(AB:AB, ROW()-COUNTIF($F$6:INDEX($F:$F, ROW()-1), $F795)) : INDEX(AB:AB, ROW()-1)),
          AVERAGEIFS(unit_details[Asking PSF],
          unit_details[Active Listing?],TRUE,
          unit_details[Property Name], $F796,
          unit_details[Beds], $L796,
          unit_details[Baths], $M796,
          unit_details[Partial Baths], IF(ISNUMBER($N796),$N796,""),
          unit_details[Sqft],$P796
)),"")</f>
        <v/>
      </c>
      <c r="AH796" s="293" t="str">
        <f>IFERROR(IF($F796="Total",
         SUMPRODUCT(
         INDEX(AH:AH, ROW()-COUNTIF($F$6:INDEX($F:$F, ROW()-1), $F795)) : INDEX(AH:AH, ROW()-1),
         INDEX(AB:AB, ROW()-COUNTIF($F$6:INDEX($F:$F, ROW()-1), $F795)) : INDEX(AB:AB, ROW()-1)
         )
         /SUM(INDEX(AB:AB, ROW()-COUNTIF($F$6:INDEX($F:$F, ROW()-1), $F795)) : INDEX(AB:AB, ROW()-1)),
          AVERAGEIFS(unit_details[Effective Rent],
          unit_details[Active Listing?],TRUE,
          unit_details[Property Name], $F796,
          unit_details[Beds], $L796,
          unit_details[Baths], $M796,
          unit_details[Partial Baths], IF(ISNUMBER($N796),$N796,""),
          unit_details[Sqft],$P796
)),"")</f>
        <v/>
      </c>
      <c r="AI796" s="6" t="str">
        <f>IFERROR(IF($F796="Total",
         SUMPRODUCT(
         INDEX(AI:AI, ROW()-COUNTIF($F$6:INDEX($F:$F, ROW()-1), $F795)) : INDEX(AI:AI, ROW()-1),
         INDEX(AB:AB, ROW()-COUNTIF($F$6:INDEX($F:$F, ROW()-1), $F795)) : INDEX(AB:AB, ROW()-1)
         )
         /SUM(INDEX(AB:AB, ROW()-COUNTIF($F$6:INDEX($F:$F, ROW()-1), $F795)) : INDEX(AB:AB, ROW()-1)),
           AVERAGEIFS(unit_details[Effective PSF],
          unit_details[Active Listing?],TRUE,
          unit_details[Property Name], $F796,
          unit_details[Beds], $L796,
          unit_details[Baths], $M796,
          unit_details[Partial Baths], IF(ISNUMBER($N796),$N796,""),
          unit_details[Sqft],$P796
)),"")</f>
        <v/>
      </c>
      <c r="AJ796" s="824" t="str">
        <f t="shared" si="136"/>
        <v/>
      </c>
      <c r="AK796" s="531" t="str">
        <f t="shared" si="137"/>
        <v/>
      </c>
      <c r="AL796" s="714" t="str">
        <f t="shared" si="138"/>
        <v/>
      </c>
      <c r="AM796" s="531" t="str">
        <f t="shared" si="139"/>
        <v/>
      </c>
      <c r="AN796" s="716" t="str">
        <f t="shared" si="140"/>
        <v/>
      </c>
    </row>
    <row r="797" spans="6:40" x14ac:dyDescent="0.2">
      <c r="F797" s="1" t="str">
        <f t="shared" si="133"/>
        <v/>
      </c>
      <c r="G797" s="713" t="str">
        <f t="shared" si="141"/>
        <v/>
      </c>
      <c r="H797" s="17" t="str">
        <f>IFERROR(VLOOKUP($G797,Table1[[Property]:[Exposure %]],4,0),"")</f>
        <v/>
      </c>
      <c r="I797" s="3" t="str">
        <f>IFERROR(VLOOKUP($G797,Table1[[Property]:[Exposure %]],6,0),"")</f>
        <v/>
      </c>
      <c r="J797" s="3" t="str">
        <f>IFERROR(VLOOKUP($G797,Table1[[Property]:[Exposure %]],7,0),"")</f>
        <v/>
      </c>
      <c r="R797" s="4" t="str">
        <f>IFERROR(VLOOKUP(IF(F797="Total",F796,F797),Table1[[Property]:['# Units]],7,0)*S797,"")</f>
        <v/>
      </c>
      <c r="S797" s="27" t="str">
        <f t="shared" si="134"/>
        <v/>
      </c>
      <c r="T797" s="531" t="str">
        <f>IFERROR(
 IF($F797="Total",
   SUMPRODUCT(
   INDEX(T:T, ROW()-COUNTIF($F$6:INDEX($F:$F, ROW()-1), $F796)) : INDEX(T:T, ROW()-1),
   INDEX(W:W, ROW()-COUNTIF($F$6:INDEX($F:$F, ROW()-1), $F796)) : INDEX(W:W, ROW()-1)
   )
   /SUM(INDEX(W:W, ROW()-COUNTIF($F$6:INDEX($F:$F, ROW()-1), $F796)) : INDEX(W:W, ROW()-1)),
   AVERAGEIFS(
     INDEX((unit_details[Asking Rent],unit_details[Asking PSF]),0,1,IF($U$3="Chunk Rent",1,2)),
     unit_details[Leased Date],"&gt;="&amp;($AM$2-T$5),
     unit_details[Leased Date],"&lt;"&amp;$AM$2,
     unit_details[Beds],$L797,
     unit_details[Baths],$M797,
     unit_details[Partial Baths],IF(ISNUMBER($N797),$N797,""),
     unit_details[Sqft],$P797,
     unit_details[Property Name],$F797)
 ),"")</f>
        <v/>
      </c>
      <c r="U797" s="552" t="str">
        <f>IFERROR(
 IF($F797="Total",
   SUMPRODUCT(
   INDEX(U:U, ROW()-COUNTIF($F$6:INDEX($F:$F, ROW()-1), $F796)) : INDEX(U:U, ROW()-1),
   INDEX(W:W, ROW()-COUNTIF($F$6:INDEX($F:$F, ROW()-1), $F796)) : INDEX(W:W, ROW()-1)
   )
   /SUM(INDEX(W:W, ROW()-COUNTIF($F$6:INDEX($F:$F, ROW()-1), $F796)) : INDEX(W:W, ROW()-1)),
   AVERAGEIFS(
     INDEX((unit_details[Effective Rent],unit_details[Effective PSF]),0,1,IF($U$3="Chunk Rent",1,2)),
     unit_details[Leased Date],"&gt;="&amp;($AM$2-T$5),
     unit_details[Leased Date],"&lt;"&amp;$AM$2,
     unit_details[Beds],$L797,
     unit_details[Baths],$M797,
     unit_details[Partial Baths],IF(ISNUMBER($N797),$N797,""),
     unit_details[Sqft],$P797,
     unit_details[Property Name],$F797)
 ),"")</f>
        <v/>
      </c>
      <c r="V797" s="27" t="str">
        <f t="shared" si="142"/>
        <v/>
      </c>
      <c r="W797" s="526">
        <f>IFERROR(
  IF($F797="Total",
    SUM(INDEX(W:W, ROW()-COUNTIF($F$6:INDEX($F:$F, ROW()-1), $F796)) : INDEX(W:W, ROW()-1)),
    COUNTIFS(
      unit_details[Leased Date], "&gt;="&amp;($AM$2-T$5),
      unit_details[Leased Date], "&lt;"&amp;$AM$2,
      unit_details[Beds], $L797,
      unit_details[Baths], $M797,
      unit_details[Partial Baths], IF(ISNUMBER($N797), $N797, ""),
      unit_details[Sqft],$P797,
      unit_details[Property Name], $F797
    )
  ),
"")</f>
        <v>0</v>
      </c>
      <c r="X797" s="531" t="str">
        <f>IFERROR(
 IF($F797="Total",
   SUMPRODUCT(
   INDEX(X:X, ROW()-COUNTIF($F$6:INDEX($F:$F, ROW()-1), $F796)) : INDEX(X:X, ROW()-1),
   INDEX(AA:AA, ROW()-COUNTIF($F$6:INDEX($F:$F, ROW()-1), $F796)) : INDEX(AA:AA, ROW()-1)
   )
   /SUM(INDEX(AA:AA, ROW()-COUNTIF($F$6:INDEX($F:$F, ROW()-1), $F796)) : INDEX(AA:AA, ROW()-1)),
   AVERAGEIFS(
     INDEX((unit_details[Asking Rent],unit_details[Asking PSF]),0,1,IF($U$3="Chunk Rent",1,2)),
     unit_details[Leased Date],"&gt;="&amp;($AM$2-X$5),
     unit_details[Leased Date],"&lt;"&amp;$AM$2,
     unit_details[Beds],$L797,
     unit_details[Baths],$M797,
     unit_details[Partial Baths],IF(ISNUMBER($N797),$N797,""),
     unit_details[Sqft],$P797,
     unit_details[Property Name],$F797)
 ),"")</f>
        <v/>
      </c>
      <c r="Y797" s="552" t="str">
        <f>IFERROR(
 IF($F797="Total",
   SUMPRODUCT(
   INDEX(Y:Y, ROW()-COUNTIF($F$6:INDEX($F:$F, ROW()-1), $F796)) : INDEX(Y:Y, ROW()-1),
   INDEX(AA:AA, ROW()-COUNTIF($F$6:INDEX($F:$F, ROW()-1), $F796)) : INDEX(AA:AA, ROW()-1)
   )
   /SUM(INDEX(AA:AA, ROW()-COUNTIF($F$6:INDEX($F:$F, ROW()-1), $F796)) : INDEX(AA:AA, ROW()-1)),
   AVERAGEIFS(
     INDEX((unit_details[Effective Rent],unit_details[Effective PSF]),0,1,IF($U$3="Chunk Rent",1,2)),
     unit_details[Leased Date],"&gt;="&amp;($AM$2-X$5),
     unit_details[Leased Date],"&lt;"&amp;$AM$2,
     unit_details[Beds],$L797,
     unit_details[Baths],$M797,
     unit_details[Partial Baths],IF(ISNUMBER($N797),$N797,""),
     unit_details[Sqft],$P797,
     unit_details[Property Name],$F797)
 ),"")</f>
        <v/>
      </c>
      <c r="Z797" s="27" t="str">
        <f t="shared" si="143"/>
        <v/>
      </c>
      <c r="AA797" s="526">
        <f>IFERROR(
  IF($F797="Total",
    SUM(INDEX(AA:AA, ROW()-COUNTIF($F$6:INDEX($F:$F, ROW()-1), $F796)) : INDEX(AA:AA, ROW()-1)),
    COUNTIFS(
      unit_details[Leased Date], "&gt;="&amp;($AM$2-X$5),
      unit_details[Leased Date], "&lt;"&amp;$AM$2,
      unit_details[Beds], $L797,
      unit_details[Baths], $M797,
      unit_details[Partial Baths], IF(ISNUMBER($N797), $N797, ""),
      unit_details[Sqft],$P797,
      unit_details[Property Name], $F797
    )
  ),
"")</f>
        <v>0</v>
      </c>
      <c r="AB797" s="290">
        <f>IF($F797="Total",
SUM(INDEX(AB:AB, ROW()-COUNTIF($F$6:INDEX($F:$F, ROW()-1), $F796)) : INDEX(AB:AB, ROW()-1)),
COUNTIFS(unit_details[Active Listing?],TRUE,
          unit_details[Property Name], $F797,
          unit_details[Beds], $L797,
          unit_details[Baths], $M797,
          unit_details[Partial Baths],IF(ISNUMBER($N797),$N797,""),
          unit_details[Sqft],$P797))</f>
        <v>0</v>
      </c>
      <c r="AC797" s="27" t="str">
        <f t="shared" si="135"/>
        <v/>
      </c>
      <c r="AD797" s="293" t="str">
        <f>IFERROR(IF(AE797="","",IF($F797="Total",
SUMPRODUCT(
   INDEX(AD:AD, ROW()-COUNTIF($F$6:INDEX($F:$F, ROW()-1), $F796)) : INDEX(AD:AD, ROW()-1),
   INDEX(AB:AB, ROW()-COUNTIF($F$6:INDEX($F:$F, ROW()-1), $F796)) : INDEX(AB:AB, ROW()-1)
   )
   /SUM(INDEX(AB:AB, ROW()-COUNTIF($F$6:INDEX($F:$F, ROW()-1), $F796)) : INDEX(AB:AB, ROW()-1)),
          _xlfn.MINIFS(unit_details[Asking Rent],
          unit_details[Active Listing?],TRUE,
          unit_details[Property Name], $F797,
          unit_details[Beds], $L797,
          unit_details[Baths], $M797,
          unit_details[Partial Baths], IF(ISNUMBER($N797),$N797,""),
          unit_details[Sqft],$P797
))),"")</f>
        <v/>
      </c>
      <c r="AE797" s="5" t="str">
        <f>IFERROR(IF($F797="Total",
          SUMPRODUCT(
   INDEX(AE:AE, ROW()-COUNTIF($F$6:INDEX($F:$F, ROW()-1), $F796)) : INDEX(AE:AE, ROW()-1),
   INDEX(AB:AB, ROW()-COUNTIF($F$6:INDEX($F:$F, ROW()-1), $F796)) : INDEX(AB:AB, ROW()-1)
   )
   /SUM(INDEX(AB:AB, ROW()-COUNTIF($F$6:INDEX($F:$F, ROW()-1), $F796)) : INDEX(AB:AB, ROW()-1)),
          AVERAGEIFS(unit_details[Asking Rent],
          unit_details[Active Listing?],TRUE,
          unit_details[Property Name], $F797,
          unit_details[Beds], $L797,
          unit_details[Baths], $M797,
          unit_details[Partial Baths], IF(ISNUMBER($N797),$N797,""),
          unit_details[Sqft],$P797
)),"")</f>
        <v/>
      </c>
      <c r="AF797" s="5" t="str">
        <f>IFERROR(IF(AE797="","",IF($F797="Total",
SUMPRODUCT(
   INDEX(AF:AF, ROW()-COUNTIF($F$6:INDEX($F:$F, ROW()-1), $F796)) : INDEX(AF:AF, ROW()-1),
   INDEX(AB:AB, ROW()-COUNTIF($F$6:INDEX($F:$F, ROW()-1), $F796)) : INDEX(AB:AB, ROW()-1)
   )
   /SUM(INDEX(AB:AB, ROW()-COUNTIF($F$6:INDEX($F:$F, ROW()-1), $F796)) : INDEX(AB:AB, ROW()-1)),
           _xlfn.MAXIFS(unit_details[Asking Rent],
          unit_details[Active Listing?],TRUE,
          unit_details[Property Name], $F797,
          unit_details[Beds], $L797,
          unit_details[Baths], $M797,
          unit_details[Partial Baths], IF(ISNUMBER($N797),$N797,""),
          unit_details[Sqft],$P797
))),"")</f>
        <v/>
      </c>
      <c r="AG797" s="6" t="str">
        <f>IFERROR(IF($F797="Total",
         SUMPRODUCT(
         INDEX(AG:AG, ROW()-COUNTIF($F$6:INDEX($F:$F, ROW()-1), $F796)) : INDEX(AG:AG, ROW()-1),
         INDEX(AB:AB, ROW()-COUNTIF($F$6:INDEX($F:$F, ROW()-1), $F796)) : INDEX(AB:AB, ROW()-1)
         )
         /SUM(INDEX(AB:AB, ROW()-COUNTIF($F$6:INDEX($F:$F, ROW()-1), $F796)) : INDEX(AB:AB, ROW()-1)),
          AVERAGEIFS(unit_details[Asking PSF],
          unit_details[Active Listing?],TRUE,
          unit_details[Property Name], $F797,
          unit_details[Beds], $L797,
          unit_details[Baths], $M797,
          unit_details[Partial Baths], IF(ISNUMBER($N797),$N797,""),
          unit_details[Sqft],$P797
)),"")</f>
        <v/>
      </c>
      <c r="AH797" s="293" t="str">
        <f>IFERROR(IF($F797="Total",
         SUMPRODUCT(
         INDEX(AH:AH, ROW()-COUNTIF($F$6:INDEX($F:$F, ROW()-1), $F796)) : INDEX(AH:AH, ROW()-1),
         INDEX(AB:AB, ROW()-COUNTIF($F$6:INDEX($F:$F, ROW()-1), $F796)) : INDEX(AB:AB, ROW()-1)
         )
         /SUM(INDEX(AB:AB, ROW()-COUNTIF($F$6:INDEX($F:$F, ROW()-1), $F796)) : INDEX(AB:AB, ROW()-1)),
          AVERAGEIFS(unit_details[Effective Rent],
          unit_details[Active Listing?],TRUE,
          unit_details[Property Name], $F797,
          unit_details[Beds], $L797,
          unit_details[Baths], $M797,
          unit_details[Partial Baths], IF(ISNUMBER($N797),$N797,""),
          unit_details[Sqft],$P797
)),"")</f>
        <v/>
      </c>
      <c r="AI797" s="6" t="str">
        <f>IFERROR(IF($F797="Total",
         SUMPRODUCT(
         INDEX(AI:AI, ROW()-COUNTIF($F$6:INDEX($F:$F, ROW()-1), $F796)) : INDEX(AI:AI, ROW()-1),
         INDEX(AB:AB, ROW()-COUNTIF($F$6:INDEX($F:$F, ROW()-1), $F796)) : INDEX(AB:AB, ROW()-1)
         )
         /SUM(INDEX(AB:AB, ROW()-COUNTIF($F$6:INDEX($F:$F, ROW()-1), $F796)) : INDEX(AB:AB, ROW()-1)),
           AVERAGEIFS(unit_details[Effective PSF],
          unit_details[Active Listing?],TRUE,
          unit_details[Property Name], $F797,
          unit_details[Beds], $L797,
          unit_details[Baths], $M797,
          unit_details[Partial Baths], IF(ISNUMBER($N797),$N797,""),
          unit_details[Sqft],$P797
)),"")</f>
        <v/>
      </c>
      <c r="AJ797" s="824" t="str">
        <f t="shared" si="136"/>
        <v/>
      </c>
      <c r="AK797" s="531" t="str">
        <f t="shared" si="137"/>
        <v/>
      </c>
      <c r="AL797" s="714" t="str">
        <f t="shared" si="138"/>
        <v/>
      </c>
      <c r="AM797" s="531" t="str">
        <f t="shared" si="139"/>
        <v/>
      </c>
      <c r="AN797" s="716" t="str">
        <f t="shared" si="140"/>
        <v/>
      </c>
    </row>
    <row r="798" spans="6:40" x14ac:dyDescent="0.2">
      <c r="F798" s="1" t="str">
        <f t="shared" si="133"/>
        <v/>
      </c>
      <c r="G798" s="713" t="str">
        <f t="shared" si="141"/>
        <v/>
      </c>
      <c r="H798" s="17" t="str">
        <f>IFERROR(VLOOKUP($G798,Table1[[Property]:[Exposure %]],4,0),"")</f>
        <v/>
      </c>
      <c r="I798" s="3" t="str">
        <f>IFERROR(VLOOKUP($G798,Table1[[Property]:[Exposure %]],6,0),"")</f>
        <v/>
      </c>
      <c r="J798" s="3" t="str">
        <f>IFERROR(VLOOKUP($G798,Table1[[Property]:[Exposure %]],7,0),"")</f>
        <v/>
      </c>
      <c r="R798" s="4" t="str">
        <f>IFERROR(VLOOKUP(IF(F798="Total",F797,F798),Table1[[Property]:['# Units]],7,0)*S798,"")</f>
        <v/>
      </c>
      <c r="S798" s="27" t="str">
        <f t="shared" si="134"/>
        <v/>
      </c>
      <c r="T798" s="531" t="str">
        <f>IFERROR(
 IF($F798="Total",
   SUMPRODUCT(
   INDEX(T:T, ROW()-COUNTIF($F$6:INDEX($F:$F, ROW()-1), $F797)) : INDEX(T:T, ROW()-1),
   INDEX(W:W, ROW()-COUNTIF($F$6:INDEX($F:$F, ROW()-1), $F797)) : INDEX(W:W, ROW()-1)
   )
   /SUM(INDEX(W:W, ROW()-COUNTIF($F$6:INDEX($F:$F, ROW()-1), $F797)) : INDEX(W:W, ROW()-1)),
   AVERAGEIFS(
     INDEX((unit_details[Asking Rent],unit_details[Asking PSF]),0,1,IF($U$3="Chunk Rent",1,2)),
     unit_details[Leased Date],"&gt;="&amp;($AM$2-T$5),
     unit_details[Leased Date],"&lt;"&amp;$AM$2,
     unit_details[Beds],$L798,
     unit_details[Baths],$M798,
     unit_details[Partial Baths],IF(ISNUMBER($N798),$N798,""),
     unit_details[Sqft],$P798,
     unit_details[Property Name],$F798)
 ),"")</f>
        <v/>
      </c>
      <c r="U798" s="552" t="str">
        <f>IFERROR(
 IF($F798="Total",
   SUMPRODUCT(
   INDEX(U:U, ROW()-COUNTIF($F$6:INDEX($F:$F, ROW()-1), $F797)) : INDEX(U:U, ROW()-1),
   INDEX(W:W, ROW()-COUNTIF($F$6:INDEX($F:$F, ROW()-1), $F797)) : INDEX(W:W, ROW()-1)
   )
   /SUM(INDEX(W:W, ROW()-COUNTIF($F$6:INDEX($F:$F, ROW()-1), $F797)) : INDEX(W:W, ROW()-1)),
   AVERAGEIFS(
     INDEX((unit_details[Effective Rent],unit_details[Effective PSF]),0,1,IF($U$3="Chunk Rent",1,2)),
     unit_details[Leased Date],"&gt;="&amp;($AM$2-T$5),
     unit_details[Leased Date],"&lt;"&amp;$AM$2,
     unit_details[Beds],$L798,
     unit_details[Baths],$M798,
     unit_details[Partial Baths],IF(ISNUMBER($N798),$N798,""),
     unit_details[Sqft],$P798,
     unit_details[Property Name],$F798)
 ),"")</f>
        <v/>
      </c>
      <c r="V798" s="27" t="str">
        <f t="shared" si="142"/>
        <v/>
      </c>
      <c r="W798" s="526">
        <f>IFERROR(
  IF($F798="Total",
    SUM(INDEX(W:W, ROW()-COUNTIF($F$6:INDEX($F:$F, ROW()-1), $F797)) : INDEX(W:W, ROW()-1)),
    COUNTIFS(
      unit_details[Leased Date], "&gt;="&amp;($AM$2-T$5),
      unit_details[Leased Date], "&lt;"&amp;$AM$2,
      unit_details[Beds], $L798,
      unit_details[Baths], $M798,
      unit_details[Partial Baths], IF(ISNUMBER($N798), $N798, ""),
      unit_details[Sqft],$P798,
      unit_details[Property Name], $F798
    )
  ),
"")</f>
        <v>0</v>
      </c>
      <c r="X798" s="531" t="str">
        <f>IFERROR(
 IF($F798="Total",
   SUMPRODUCT(
   INDEX(X:X, ROW()-COUNTIF($F$6:INDEX($F:$F, ROW()-1), $F797)) : INDEX(X:X, ROW()-1),
   INDEX(AA:AA, ROW()-COUNTIF($F$6:INDEX($F:$F, ROW()-1), $F797)) : INDEX(AA:AA, ROW()-1)
   )
   /SUM(INDEX(AA:AA, ROW()-COUNTIF($F$6:INDEX($F:$F, ROW()-1), $F797)) : INDEX(AA:AA, ROW()-1)),
   AVERAGEIFS(
     INDEX((unit_details[Asking Rent],unit_details[Asking PSF]),0,1,IF($U$3="Chunk Rent",1,2)),
     unit_details[Leased Date],"&gt;="&amp;($AM$2-X$5),
     unit_details[Leased Date],"&lt;"&amp;$AM$2,
     unit_details[Beds],$L798,
     unit_details[Baths],$M798,
     unit_details[Partial Baths],IF(ISNUMBER($N798),$N798,""),
     unit_details[Sqft],$P798,
     unit_details[Property Name],$F798)
 ),"")</f>
        <v/>
      </c>
      <c r="Y798" s="552" t="str">
        <f>IFERROR(
 IF($F798="Total",
   SUMPRODUCT(
   INDEX(Y:Y, ROW()-COUNTIF($F$6:INDEX($F:$F, ROW()-1), $F797)) : INDEX(Y:Y, ROW()-1),
   INDEX(AA:AA, ROW()-COUNTIF($F$6:INDEX($F:$F, ROW()-1), $F797)) : INDEX(AA:AA, ROW()-1)
   )
   /SUM(INDEX(AA:AA, ROW()-COUNTIF($F$6:INDEX($F:$F, ROW()-1), $F797)) : INDEX(AA:AA, ROW()-1)),
   AVERAGEIFS(
     INDEX((unit_details[Effective Rent],unit_details[Effective PSF]),0,1,IF($U$3="Chunk Rent",1,2)),
     unit_details[Leased Date],"&gt;="&amp;($AM$2-X$5),
     unit_details[Leased Date],"&lt;"&amp;$AM$2,
     unit_details[Beds],$L798,
     unit_details[Baths],$M798,
     unit_details[Partial Baths],IF(ISNUMBER($N798),$N798,""),
     unit_details[Sqft],$P798,
     unit_details[Property Name],$F798)
 ),"")</f>
        <v/>
      </c>
      <c r="Z798" s="27" t="str">
        <f t="shared" si="143"/>
        <v/>
      </c>
      <c r="AA798" s="526">
        <f>IFERROR(
  IF($F798="Total",
    SUM(INDEX(AA:AA, ROW()-COUNTIF($F$6:INDEX($F:$F, ROW()-1), $F797)) : INDEX(AA:AA, ROW()-1)),
    COUNTIFS(
      unit_details[Leased Date], "&gt;="&amp;($AM$2-X$5),
      unit_details[Leased Date], "&lt;"&amp;$AM$2,
      unit_details[Beds], $L798,
      unit_details[Baths], $M798,
      unit_details[Partial Baths], IF(ISNUMBER($N798), $N798, ""),
      unit_details[Sqft],$P798,
      unit_details[Property Name], $F798
    )
  ),
"")</f>
        <v>0</v>
      </c>
      <c r="AB798" s="290">
        <f>IF($F798="Total",
SUM(INDEX(AB:AB, ROW()-COUNTIF($F$6:INDEX($F:$F, ROW()-1), $F797)) : INDEX(AB:AB, ROW()-1)),
COUNTIFS(unit_details[Active Listing?],TRUE,
          unit_details[Property Name], $F798,
          unit_details[Beds], $L798,
          unit_details[Baths], $M798,
          unit_details[Partial Baths],IF(ISNUMBER($N798),$N798,""),
          unit_details[Sqft],$P798))</f>
        <v>0</v>
      </c>
      <c r="AC798" s="27" t="str">
        <f t="shared" si="135"/>
        <v/>
      </c>
      <c r="AD798" s="293" t="str">
        <f>IFERROR(IF(AE798="","",IF($F798="Total",
SUMPRODUCT(
   INDEX(AD:AD, ROW()-COUNTIF($F$6:INDEX($F:$F, ROW()-1), $F797)) : INDEX(AD:AD, ROW()-1),
   INDEX(AB:AB, ROW()-COUNTIF($F$6:INDEX($F:$F, ROW()-1), $F797)) : INDEX(AB:AB, ROW()-1)
   )
   /SUM(INDEX(AB:AB, ROW()-COUNTIF($F$6:INDEX($F:$F, ROW()-1), $F797)) : INDEX(AB:AB, ROW()-1)),
          _xlfn.MINIFS(unit_details[Asking Rent],
          unit_details[Active Listing?],TRUE,
          unit_details[Property Name], $F798,
          unit_details[Beds], $L798,
          unit_details[Baths], $M798,
          unit_details[Partial Baths], IF(ISNUMBER($N798),$N798,""),
          unit_details[Sqft],$P798
))),"")</f>
        <v/>
      </c>
      <c r="AE798" s="5" t="str">
        <f>IFERROR(IF($F798="Total",
          SUMPRODUCT(
   INDEX(AE:AE, ROW()-COUNTIF($F$6:INDEX($F:$F, ROW()-1), $F797)) : INDEX(AE:AE, ROW()-1),
   INDEX(AB:AB, ROW()-COUNTIF($F$6:INDEX($F:$F, ROW()-1), $F797)) : INDEX(AB:AB, ROW()-1)
   )
   /SUM(INDEX(AB:AB, ROW()-COUNTIF($F$6:INDEX($F:$F, ROW()-1), $F797)) : INDEX(AB:AB, ROW()-1)),
          AVERAGEIFS(unit_details[Asking Rent],
          unit_details[Active Listing?],TRUE,
          unit_details[Property Name], $F798,
          unit_details[Beds], $L798,
          unit_details[Baths], $M798,
          unit_details[Partial Baths], IF(ISNUMBER($N798),$N798,""),
          unit_details[Sqft],$P798
)),"")</f>
        <v/>
      </c>
      <c r="AF798" s="5" t="str">
        <f>IFERROR(IF(AE798="","",IF($F798="Total",
SUMPRODUCT(
   INDEX(AF:AF, ROW()-COUNTIF($F$6:INDEX($F:$F, ROW()-1), $F797)) : INDEX(AF:AF, ROW()-1),
   INDEX(AB:AB, ROW()-COUNTIF($F$6:INDEX($F:$F, ROW()-1), $F797)) : INDEX(AB:AB, ROW()-1)
   )
   /SUM(INDEX(AB:AB, ROW()-COUNTIF($F$6:INDEX($F:$F, ROW()-1), $F797)) : INDEX(AB:AB, ROW()-1)),
           _xlfn.MAXIFS(unit_details[Asking Rent],
          unit_details[Active Listing?],TRUE,
          unit_details[Property Name], $F798,
          unit_details[Beds], $L798,
          unit_details[Baths], $M798,
          unit_details[Partial Baths], IF(ISNUMBER($N798),$N798,""),
          unit_details[Sqft],$P798
))),"")</f>
        <v/>
      </c>
      <c r="AG798" s="6" t="str">
        <f>IFERROR(IF($F798="Total",
         SUMPRODUCT(
         INDEX(AG:AG, ROW()-COUNTIF($F$6:INDEX($F:$F, ROW()-1), $F797)) : INDEX(AG:AG, ROW()-1),
         INDEX(AB:AB, ROW()-COUNTIF($F$6:INDEX($F:$F, ROW()-1), $F797)) : INDEX(AB:AB, ROW()-1)
         )
         /SUM(INDEX(AB:AB, ROW()-COUNTIF($F$6:INDEX($F:$F, ROW()-1), $F797)) : INDEX(AB:AB, ROW()-1)),
          AVERAGEIFS(unit_details[Asking PSF],
          unit_details[Active Listing?],TRUE,
          unit_details[Property Name], $F798,
          unit_details[Beds], $L798,
          unit_details[Baths], $M798,
          unit_details[Partial Baths], IF(ISNUMBER($N798),$N798,""),
          unit_details[Sqft],$P798
)),"")</f>
        <v/>
      </c>
      <c r="AH798" s="293" t="str">
        <f>IFERROR(IF($F798="Total",
         SUMPRODUCT(
         INDEX(AH:AH, ROW()-COUNTIF($F$6:INDEX($F:$F, ROW()-1), $F797)) : INDEX(AH:AH, ROW()-1),
         INDEX(AB:AB, ROW()-COUNTIF($F$6:INDEX($F:$F, ROW()-1), $F797)) : INDEX(AB:AB, ROW()-1)
         )
         /SUM(INDEX(AB:AB, ROW()-COUNTIF($F$6:INDEX($F:$F, ROW()-1), $F797)) : INDEX(AB:AB, ROW()-1)),
          AVERAGEIFS(unit_details[Effective Rent],
          unit_details[Active Listing?],TRUE,
          unit_details[Property Name], $F798,
          unit_details[Beds], $L798,
          unit_details[Baths], $M798,
          unit_details[Partial Baths], IF(ISNUMBER($N798),$N798,""),
          unit_details[Sqft],$P798
)),"")</f>
        <v/>
      </c>
      <c r="AI798" s="6" t="str">
        <f>IFERROR(IF($F798="Total",
         SUMPRODUCT(
         INDEX(AI:AI, ROW()-COUNTIF($F$6:INDEX($F:$F, ROW()-1), $F797)) : INDEX(AI:AI, ROW()-1),
         INDEX(AB:AB, ROW()-COUNTIF($F$6:INDEX($F:$F, ROW()-1), $F797)) : INDEX(AB:AB, ROW()-1)
         )
         /SUM(INDEX(AB:AB, ROW()-COUNTIF($F$6:INDEX($F:$F, ROW()-1), $F797)) : INDEX(AB:AB, ROW()-1)),
           AVERAGEIFS(unit_details[Effective PSF],
          unit_details[Active Listing?],TRUE,
          unit_details[Property Name], $F798,
          unit_details[Beds], $L798,
          unit_details[Baths], $M798,
          unit_details[Partial Baths], IF(ISNUMBER($N798),$N798,""),
          unit_details[Sqft],$P798
)),"")</f>
        <v/>
      </c>
      <c r="AJ798" s="824" t="str">
        <f t="shared" si="136"/>
        <v/>
      </c>
      <c r="AK798" s="531" t="str">
        <f t="shared" si="137"/>
        <v/>
      </c>
      <c r="AL798" s="714" t="str">
        <f t="shared" si="138"/>
        <v/>
      </c>
      <c r="AM798" s="531" t="str">
        <f t="shared" si="139"/>
        <v/>
      </c>
      <c r="AN798" s="716" t="str">
        <f t="shared" si="140"/>
        <v/>
      </c>
    </row>
    <row r="799" spans="6:40" x14ac:dyDescent="0.2">
      <c r="F799" s="1" t="str">
        <f t="shared" si="133"/>
        <v/>
      </c>
      <c r="G799" s="713" t="str">
        <f t="shared" si="141"/>
        <v/>
      </c>
      <c r="H799" s="17" t="str">
        <f>IFERROR(VLOOKUP($G799,Table1[[Property]:[Exposure %]],4,0),"")</f>
        <v/>
      </c>
      <c r="I799" s="3" t="str">
        <f>IFERROR(VLOOKUP($G799,Table1[[Property]:[Exposure %]],6,0),"")</f>
        <v/>
      </c>
      <c r="J799" s="3" t="str">
        <f>IFERROR(VLOOKUP($G799,Table1[[Property]:[Exposure %]],7,0),"")</f>
        <v/>
      </c>
      <c r="R799" s="4" t="str">
        <f>IFERROR(VLOOKUP(IF(F799="Total",F798,F799),Table1[[Property]:['# Units]],7,0)*S799,"")</f>
        <v/>
      </c>
      <c r="S799" s="27" t="str">
        <f t="shared" si="134"/>
        <v/>
      </c>
      <c r="T799" s="531" t="str">
        <f>IFERROR(
 IF($F799="Total",
   SUMPRODUCT(
   INDEX(T:T, ROW()-COUNTIF($F$6:INDEX($F:$F, ROW()-1), $F798)) : INDEX(T:T, ROW()-1),
   INDEX(W:W, ROW()-COUNTIF($F$6:INDEX($F:$F, ROW()-1), $F798)) : INDEX(W:W, ROW()-1)
   )
   /SUM(INDEX(W:W, ROW()-COUNTIF($F$6:INDEX($F:$F, ROW()-1), $F798)) : INDEX(W:W, ROW()-1)),
   AVERAGEIFS(
     INDEX((unit_details[Asking Rent],unit_details[Asking PSF]),0,1,IF($U$3="Chunk Rent",1,2)),
     unit_details[Leased Date],"&gt;="&amp;($AM$2-T$5),
     unit_details[Leased Date],"&lt;"&amp;$AM$2,
     unit_details[Beds],$L799,
     unit_details[Baths],$M799,
     unit_details[Partial Baths],IF(ISNUMBER($N799),$N799,""),
     unit_details[Sqft],$P799,
     unit_details[Property Name],$F799)
 ),"")</f>
        <v/>
      </c>
      <c r="U799" s="552" t="str">
        <f>IFERROR(
 IF($F799="Total",
   SUMPRODUCT(
   INDEX(U:U, ROW()-COUNTIF($F$6:INDEX($F:$F, ROW()-1), $F798)) : INDEX(U:U, ROW()-1),
   INDEX(W:W, ROW()-COUNTIF($F$6:INDEX($F:$F, ROW()-1), $F798)) : INDEX(W:W, ROW()-1)
   )
   /SUM(INDEX(W:W, ROW()-COUNTIF($F$6:INDEX($F:$F, ROW()-1), $F798)) : INDEX(W:W, ROW()-1)),
   AVERAGEIFS(
     INDEX((unit_details[Effective Rent],unit_details[Effective PSF]),0,1,IF($U$3="Chunk Rent",1,2)),
     unit_details[Leased Date],"&gt;="&amp;($AM$2-T$5),
     unit_details[Leased Date],"&lt;"&amp;$AM$2,
     unit_details[Beds],$L799,
     unit_details[Baths],$M799,
     unit_details[Partial Baths],IF(ISNUMBER($N799),$N799,""),
     unit_details[Sqft],$P799,
     unit_details[Property Name],$F799)
 ),"")</f>
        <v/>
      </c>
      <c r="V799" s="27" t="str">
        <f t="shared" si="142"/>
        <v/>
      </c>
      <c r="W799" s="526">
        <f>IFERROR(
  IF($F799="Total",
    SUM(INDEX(W:W, ROW()-COUNTIF($F$6:INDEX($F:$F, ROW()-1), $F798)) : INDEX(W:W, ROW()-1)),
    COUNTIFS(
      unit_details[Leased Date], "&gt;="&amp;($AM$2-T$5),
      unit_details[Leased Date], "&lt;"&amp;$AM$2,
      unit_details[Beds], $L799,
      unit_details[Baths], $M799,
      unit_details[Partial Baths], IF(ISNUMBER($N799), $N799, ""),
      unit_details[Sqft],$P799,
      unit_details[Property Name], $F799
    )
  ),
"")</f>
        <v>0</v>
      </c>
      <c r="X799" s="531" t="str">
        <f>IFERROR(
 IF($F799="Total",
   SUMPRODUCT(
   INDEX(X:X, ROW()-COUNTIF($F$6:INDEX($F:$F, ROW()-1), $F798)) : INDEX(X:X, ROW()-1),
   INDEX(AA:AA, ROW()-COUNTIF($F$6:INDEX($F:$F, ROW()-1), $F798)) : INDEX(AA:AA, ROW()-1)
   )
   /SUM(INDEX(AA:AA, ROW()-COUNTIF($F$6:INDEX($F:$F, ROW()-1), $F798)) : INDEX(AA:AA, ROW()-1)),
   AVERAGEIFS(
     INDEX((unit_details[Asking Rent],unit_details[Asking PSF]),0,1,IF($U$3="Chunk Rent",1,2)),
     unit_details[Leased Date],"&gt;="&amp;($AM$2-X$5),
     unit_details[Leased Date],"&lt;"&amp;$AM$2,
     unit_details[Beds],$L799,
     unit_details[Baths],$M799,
     unit_details[Partial Baths],IF(ISNUMBER($N799),$N799,""),
     unit_details[Sqft],$P799,
     unit_details[Property Name],$F799)
 ),"")</f>
        <v/>
      </c>
      <c r="Y799" s="552" t="str">
        <f>IFERROR(
 IF($F799="Total",
   SUMPRODUCT(
   INDEX(Y:Y, ROW()-COUNTIF($F$6:INDEX($F:$F, ROW()-1), $F798)) : INDEX(Y:Y, ROW()-1),
   INDEX(AA:AA, ROW()-COUNTIF($F$6:INDEX($F:$F, ROW()-1), $F798)) : INDEX(AA:AA, ROW()-1)
   )
   /SUM(INDEX(AA:AA, ROW()-COUNTIF($F$6:INDEX($F:$F, ROW()-1), $F798)) : INDEX(AA:AA, ROW()-1)),
   AVERAGEIFS(
     INDEX((unit_details[Effective Rent],unit_details[Effective PSF]),0,1,IF($U$3="Chunk Rent",1,2)),
     unit_details[Leased Date],"&gt;="&amp;($AM$2-X$5),
     unit_details[Leased Date],"&lt;"&amp;$AM$2,
     unit_details[Beds],$L799,
     unit_details[Baths],$M799,
     unit_details[Partial Baths],IF(ISNUMBER($N799),$N799,""),
     unit_details[Sqft],$P799,
     unit_details[Property Name],$F799)
 ),"")</f>
        <v/>
      </c>
      <c r="Z799" s="27" t="str">
        <f t="shared" si="143"/>
        <v/>
      </c>
      <c r="AA799" s="526">
        <f>IFERROR(
  IF($F799="Total",
    SUM(INDEX(AA:AA, ROW()-COUNTIF($F$6:INDEX($F:$F, ROW()-1), $F798)) : INDEX(AA:AA, ROW()-1)),
    COUNTIFS(
      unit_details[Leased Date], "&gt;="&amp;($AM$2-X$5),
      unit_details[Leased Date], "&lt;"&amp;$AM$2,
      unit_details[Beds], $L799,
      unit_details[Baths], $M799,
      unit_details[Partial Baths], IF(ISNUMBER($N799), $N799, ""),
      unit_details[Sqft],$P799,
      unit_details[Property Name], $F799
    )
  ),
"")</f>
        <v>0</v>
      </c>
      <c r="AB799" s="290">
        <f>IF($F799="Total",
SUM(INDEX(AB:AB, ROW()-COUNTIF($F$6:INDEX($F:$F, ROW()-1), $F798)) : INDEX(AB:AB, ROW()-1)),
COUNTIFS(unit_details[Active Listing?],TRUE,
          unit_details[Property Name], $F799,
          unit_details[Beds], $L799,
          unit_details[Baths], $M799,
          unit_details[Partial Baths],IF(ISNUMBER($N799),$N799,""),
          unit_details[Sqft],$P799))</f>
        <v>0</v>
      </c>
      <c r="AC799" s="27" t="str">
        <f t="shared" si="135"/>
        <v/>
      </c>
      <c r="AD799" s="293" t="str">
        <f>IFERROR(IF(AE799="","",IF($F799="Total",
SUMPRODUCT(
   INDEX(AD:AD, ROW()-COUNTIF($F$6:INDEX($F:$F, ROW()-1), $F798)) : INDEX(AD:AD, ROW()-1),
   INDEX(AB:AB, ROW()-COUNTIF($F$6:INDEX($F:$F, ROW()-1), $F798)) : INDEX(AB:AB, ROW()-1)
   )
   /SUM(INDEX(AB:AB, ROW()-COUNTIF($F$6:INDEX($F:$F, ROW()-1), $F798)) : INDEX(AB:AB, ROW()-1)),
          _xlfn.MINIFS(unit_details[Asking Rent],
          unit_details[Active Listing?],TRUE,
          unit_details[Property Name], $F799,
          unit_details[Beds], $L799,
          unit_details[Baths], $M799,
          unit_details[Partial Baths], IF(ISNUMBER($N799),$N799,""),
          unit_details[Sqft],$P799
))),"")</f>
        <v/>
      </c>
      <c r="AE799" s="5" t="str">
        <f>IFERROR(IF($F799="Total",
          SUMPRODUCT(
   INDEX(AE:AE, ROW()-COUNTIF($F$6:INDEX($F:$F, ROW()-1), $F798)) : INDEX(AE:AE, ROW()-1),
   INDEX(AB:AB, ROW()-COUNTIF($F$6:INDEX($F:$F, ROW()-1), $F798)) : INDEX(AB:AB, ROW()-1)
   )
   /SUM(INDEX(AB:AB, ROW()-COUNTIF($F$6:INDEX($F:$F, ROW()-1), $F798)) : INDEX(AB:AB, ROW()-1)),
          AVERAGEIFS(unit_details[Asking Rent],
          unit_details[Active Listing?],TRUE,
          unit_details[Property Name], $F799,
          unit_details[Beds], $L799,
          unit_details[Baths], $M799,
          unit_details[Partial Baths], IF(ISNUMBER($N799),$N799,""),
          unit_details[Sqft],$P799
)),"")</f>
        <v/>
      </c>
      <c r="AF799" s="5" t="str">
        <f>IFERROR(IF(AE799="","",IF($F799="Total",
SUMPRODUCT(
   INDEX(AF:AF, ROW()-COUNTIF($F$6:INDEX($F:$F, ROW()-1), $F798)) : INDEX(AF:AF, ROW()-1),
   INDEX(AB:AB, ROW()-COUNTIF($F$6:INDEX($F:$F, ROW()-1), $F798)) : INDEX(AB:AB, ROW()-1)
   )
   /SUM(INDEX(AB:AB, ROW()-COUNTIF($F$6:INDEX($F:$F, ROW()-1), $F798)) : INDEX(AB:AB, ROW()-1)),
           _xlfn.MAXIFS(unit_details[Asking Rent],
          unit_details[Active Listing?],TRUE,
          unit_details[Property Name], $F799,
          unit_details[Beds], $L799,
          unit_details[Baths], $M799,
          unit_details[Partial Baths], IF(ISNUMBER($N799),$N799,""),
          unit_details[Sqft],$P799
))),"")</f>
        <v/>
      </c>
      <c r="AG799" s="6" t="str">
        <f>IFERROR(IF($F799="Total",
         SUMPRODUCT(
         INDEX(AG:AG, ROW()-COUNTIF($F$6:INDEX($F:$F, ROW()-1), $F798)) : INDEX(AG:AG, ROW()-1),
         INDEX(AB:AB, ROW()-COUNTIF($F$6:INDEX($F:$F, ROW()-1), $F798)) : INDEX(AB:AB, ROW()-1)
         )
         /SUM(INDEX(AB:AB, ROW()-COUNTIF($F$6:INDEX($F:$F, ROW()-1), $F798)) : INDEX(AB:AB, ROW()-1)),
          AVERAGEIFS(unit_details[Asking PSF],
          unit_details[Active Listing?],TRUE,
          unit_details[Property Name], $F799,
          unit_details[Beds], $L799,
          unit_details[Baths], $M799,
          unit_details[Partial Baths], IF(ISNUMBER($N799),$N799,""),
          unit_details[Sqft],$P799
)),"")</f>
        <v/>
      </c>
      <c r="AH799" s="293" t="str">
        <f>IFERROR(IF($F799="Total",
         SUMPRODUCT(
         INDEX(AH:AH, ROW()-COUNTIF($F$6:INDEX($F:$F, ROW()-1), $F798)) : INDEX(AH:AH, ROW()-1),
         INDEX(AB:AB, ROW()-COUNTIF($F$6:INDEX($F:$F, ROW()-1), $F798)) : INDEX(AB:AB, ROW()-1)
         )
         /SUM(INDEX(AB:AB, ROW()-COUNTIF($F$6:INDEX($F:$F, ROW()-1), $F798)) : INDEX(AB:AB, ROW()-1)),
          AVERAGEIFS(unit_details[Effective Rent],
          unit_details[Active Listing?],TRUE,
          unit_details[Property Name], $F799,
          unit_details[Beds], $L799,
          unit_details[Baths], $M799,
          unit_details[Partial Baths], IF(ISNUMBER($N799),$N799,""),
          unit_details[Sqft],$P799
)),"")</f>
        <v/>
      </c>
      <c r="AI799" s="6" t="str">
        <f>IFERROR(IF($F799="Total",
         SUMPRODUCT(
         INDEX(AI:AI, ROW()-COUNTIF($F$6:INDEX($F:$F, ROW()-1), $F798)) : INDEX(AI:AI, ROW()-1),
         INDEX(AB:AB, ROW()-COUNTIF($F$6:INDEX($F:$F, ROW()-1), $F798)) : INDEX(AB:AB, ROW()-1)
         )
         /SUM(INDEX(AB:AB, ROW()-COUNTIF($F$6:INDEX($F:$F, ROW()-1), $F798)) : INDEX(AB:AB, ROW()-1)),
           AVERAGEIFS(unit_details[Effective PSF],
          unit_details[Active Listing?],TRUE,
          unit_details[Property Name], $F799,
          unit_details[Beds], $L799,
          unit_details[Baths], $M799,
          unit_details[Partial Baths], IF(ISNUMBER($N799),$N799,""),
          unit_details[Sqft],$P799
)),"")</f>
        <v/>
      </c>
      <c r="AJ799" s="824" t="str">
        <f t="shared" si="136"/>
        <v/>
      </c>
      <c r="AK799" s="531" t="str">
        <f t="shared" si="137"/>
        <v/>
      </c>
      <c r="AL799" s="714" t="str">
        <f t="shared" si="138"/>
        <v/>
      </c>
      <c r="AM799" s="531" t="str">
        <f t="shared" si="139"/>
        <v/>
      </c>
      <c r="AN799" s="716" t="str">
        <f t="shared" si="140"/>
        <v/>
      </c>
    </row>
    <row r="800" spans="6:40" x14ac:dyDescent="0.2">
      <c r="F800" s="1" t="str">
        <f t="shared" si="133"/>
        <v/>
      </c>
      <c r="G800" s="713" t="str">
        <f t="shared" si="141"/>
        <v/>
      </c>
      <c r="H800" s="17" t="str">
        <f>IFERROR(VLOOKUP($G800,Table1[[Property]:[Exposure %]],4,0),"")</f>
        <v/>
      </c>
      <c r="I800" s="3" t="str">
        <f>IFERROR(VLOOKUP($G800,Table1[[Property]:[Exposure %]],6,0),"")</f>
        <v/>
      </c>
      <c r="J800" s="3" t="str">
        <f>IFERROR(VLOOKUP($G800,Table1[[Property]:[Exposure %]],7,0),"")</f>
        <v/>
      </c>
      <c r="R800" s="4" t="str">
        <f>IFERROR(VLOOKUP(IF(F800="Total",F799,F800),Table1[[Property]:['# Units]],7,0)*S800,"")</f>
        <v/>
      </c>
      <c r="S800" s="27" t="str">
        <f t="shared" si="134"/>
        <v/>
      </c>
      <c r="T800" s="531" t="str">
        <f>IFERROR(
 IF($F800="Total",
   SUMPRODUCT(
   INDEX(T:T, ROW()-COUNTIF($F$6:INDEX($F:$F, ROW()-1), $F799)) : INDEX(T:T, ROW()-1),
   INDEX(W:W, ROW()-COUNTIF($F$6:INDEX($F:$F, ROW()-1), $F799)) : INDEX(W:W, ROW()-1)
   )
   /SUM(INDEX(W:W, ROW()-COUNTIF($F$6:INDEX($F:$F, ROW()-1), $F799)) : INDEX(W:W, ROW()-1)),
   AVERAGEIFS(
     INDEX((unit_details[Asking Rent],unit_details[Asking PSF]),0,1,IF($U$3="Chunk Rent",1,2)),
     unit_details[Leased Date],"&gt;="&amp;($AM$2-T$5),
     unit_details[Leased Date],"&lt;"&amp;$AM$2,
     unit_details[Beds],$L800,
     unit_details[Baths],$M800,
     unit_details[Partial Baths],IF(ISNUMBER($N800),$N800,""),
     unit_details[Sqft],$P800,
     unit_details[Property Name],$F800)
 ),"")</f>
        <v/>
      </c>
      <c r="U800" s="552" t="str">
        <f>IFERROR(
 IF($F800="Total",
   SUMPRODUCT(
   INDEX(U:U, ROW()-COUNTIF($F$6:INDEX($F:$F, ROW()-1), $F799)) : INDEX(U:U, ROW()-1),
   INDEX(W:W, ROW()-COUNTIF($F$6:INDEX($F:$F, ROW()-1), $F799)) : INDEX(W:W, ROW()-1)
   )
   /SUM(INDEX(W:W, ROW()-COUNTIF($F$6:INDEX($F:$F, ROW()-1), $F799)) : INDEX(W:W, ROW()-1)),
   AVERAGEIFS(
     INDEX((unit_details[Effective Rent],unit_details[Effective PSF]),0,1,IF($U$3="Chunk Rent",1,2)),
     unit_details[Leased Date],"&gt;="&amp;($AM$2-T$5),
     unit_details[Leased Date],"&lt;"&amp;$AM$2,
     unit_details[Beds],$L800,
     unit_details[Baths],$M800,
     unit_details[Partial Baths],IF(ISNUMBER($N800),$N800,""),
     unit_details[Sqft],$P800,
     unit_details[Property Name],$F800)
 ),"")</f>
        <v/>
      </c>
      <c r="V800" s="27" t="str">
        <f t="shared" si="142"/>
        <v/>
      </c>
      <c r="W800" s="526">
        <f>IFERROR(
  IF($F800="Total",
    SUM(INDEX(W:W, ROW()-COUNTIF($F$6:INDEX($F:$F, ROW()-1), $F799)) : INDEX(W:W, ROW()-1)),
    COUNTIFS(
      unit_details[Leased Date], "&gt;="&amp;($AM$2-T$5),
      unit_details[Leased Date], "&lt;"&amp;$AM$2,
      unit_details[Beds], $L800,
      unit_details[Baths], $M800,
      unit_details[Partial Baths], IF(ISNUMBER($N800), $N800, ""),
      unit_details[Sqft],$P800,
      unit_details[Property Name], $F800
    )
  ),
"")</f>
        <v>0</v>
      </c>
      <c r="X800" s="531" t="str">
        <f>IFERROR(
 IF($F800="Total",
   SUMPRODUCT(
   INDEX(X:X, ROW()-COUNTIF($F$6:INDEX($F:$F, ROW()-1), $F799)) : INDEX(X:X, ROW()-1),
   INDEX(AA:AA, ROW()-COUNTIF($F$6:INDEX($F:$F, ROW()-1), $F799)) : INDEX(AA:AA, ROW()-1)
   )
   /SUM(INDEX(AA:AA, ROW()-COUNTIF($F$6:INDEX($F:$F, ROW()-1), $F799)) : INDEX(AA:AA, ROW()-1)),
   AVERAGEIFS(
     INDEX((unit_details[Asking Rent],unit_details[Asking PSF]),0,1,IF($U$3="Chunk Rent",1,2)),
     unit_details[Leased Date],"&gt;="&amp;($AM$2-X$5),
     unit_details[Leased Date],"&lt;"&amp;$AM$2,
     unit_details[Beds],$L800,
     unit_details[Baths],$M800,
     unit_details[Partial Baths],IF(ISNUMBER($N800),$N800,""),
     unit_details[Sqft],$P800,
     unit_details[Property Name],$F800)
 ),"")</f>
        <v/>
      </c>
      <c r="Y800" s="552" t="str">
        <f>IFERROR(
 IF($F800="Total",
   SUMPRODUCT(
   INDEX(Y:Y, ROW()-COUNTIF($F$6:INDEX($F:$F, ROW()-1), $F799)) : INDEX(Y:Y, ROW()-1),
   INDEX(AA:AA, ROW()-COUNTIF($F$6:INDEX($F:$F, ROW()-1), $F799)) : INDEX(AA:AA, ROW()-1)
   )
   /SUM(INDEX(AA:AA, ROW()-COUNTIF($F$6:INDEX($F:$F, ROW()-1), $F799)) : INDEX(AA:AA, ROW()-1)),
   AVERAGEIFS(
     INDEX((unit_details[Effective Rent],unit_details[Effective PSF]),0,1,IF($U$3="Chunk Rent",1,2)),
     unit_details[Leased Date],"&gt;="&amp;($AM$2-X$5),
     unit_details[Leased Date],"&lt;"&amp;$AM$2,
     unit_details[Beds],$L800,
     unit_details[Baths],$M800,
     unit_details[Partial Baths],IF(ISNUMBER($N800),$N800,""),
     unit_details[Sqft],$P800,
     unit_details[Property Name],$F800)
 ),"")</f>
        <v/>
      </c>
      <c r="Z800" s="27" t="str">
        <f t="shared" si="143"/>
        <v/>
      </c>
      <c r="AA800" s="526">
        <f>IFERROR(
  IF($F800="Total",
    SUM(INDEX(AA:AA, ROW()-COUNTIF($F$6:INDEX($F:$F, ROW()-1), $F799)) : INDEX(AA:AA, ROW()-1)),
    COUNTIFS(
      unit_details[Leased Date], "&gt;="&amp;($AM$2-X$5),
      unit_details[Leased Date], "&lt;"&amp;$AM$2,
      unit_details[Beds], $L800,
      unit_details[Baths], $M800,
      unit_details[Partial Baths], IF(ISNUMBER($N800), $N800, ""),
      unit_details[Sqft],$P800,
      unit_details[Property Name], $F800
    )
  ),
"")</f>
        <v>0</v>
      </c>
      <c r="AB800" s="290">
        <f>IF($F800="Total",
SUM(INDEX(AB:AB, ROW()-COUNTIF($F$6:INDEX($F:$F, ROW()-1), $F799)) : INDEX(AB:AB, ROW()-1)),
COUNTIFS(unit_details[Active Listing?],TRUE,
          unit_details[Property Name], $F800,
          unit_details[Beds], $L800,
          unit_details[Baths], $M800,
          unit_details[Partial Baths],IF(ISNUMBER($N800),$N800,""),
          unit_details[Sqft],$P800))</f>
        <v>0</v>
      </c>
      <c r="AC800" s="27" t="str">
        <f t="shared" si="135"/>
        <v/>
      </c>
      <c r="AD800" s="293" t="str">
        <f>IFERROR(IF(AE800="","",IF($F800="Total",
SUMPRODUCT(
   INDEX(AD:AD, ROW()-COUNTIF($F$6:INDEX($F:$F, ROW()-1), $F799)) : INDEX(AD:AD, ROW()-1),
   INDEX(AB:AB, ROW()-COUNTIF($F$6:INDEX($F:$F, ROW()-1), $F799)) : INDEX(AB:AB, ROW()-1)
   )
   /SUM(INDEX(AB:AB, ROW()-COUNTIF($F$6:INDEX($F:$F, ROW()-1), $F799)) : INDEX(AB:AB, ROW()-1)),
          _xlfn.MINIFS(unit_details[Asking Rent],
          unit_details[Active Listing?],TRUE,
          unit_details[Property Name], $F800,
          unit_details[Beds], $L800,
          unit_details[Baths], $M800,
          unit_details[Partial Baths], IF(ISNUMBER($N800),$N800,""),
          unit_details[Sqft],$P800
))),"")</f>
        <v/>
      </c>
      <c r="AE800" s="5" t="str">
        <f>IFERROR(IF($F800="Total",
          SUMPRODUCT(
   INDEX(AE:AE, ROW()-COUNTIF($F$6:INDEX($F:$F, ROW()-1), $F799)) : INDEX(AE:AE, ROW()-1),
   INDEX(AB:AB, ROW()-COUNTIF($F$6:INDEX($F:$F, ROW()-1), $F799)) : INDEX(AB:AB, ROW()-1)
   )
   /SUM(INDEX(AB:AB, ROW()-COUNTIF($F$6:INDEX($F:$F, ROW()-1), $F799)) : INDEX(AB:AB, ROW()-1)),
          AVERAGEIFS(unit_details[Asking Rent],
          unit_details[Active Listing?],TRUE,
          unit_details[Property Name], $F800,
          unit_details[Beds], $L800,
          unit_details[Baths], $M800,
          unit_details[Partial Baths], IF(ISNUMBER($N800),$N800,""),
          unit_details[Sqft],$P800
)),"")</f>
        <v/>
      </c>
      <c r="AF800" s="5" t="str">
        <f>IFERROR(IF(AE800="","",IF($F800="Total",
SUMPRODUCT(
   INDEX(AF:AF, ROW()-COUNTIF($F$6:INDEX($F:$F, ROW()-1), $F799)) : INDEX(AF:AF, ROW()-1),
   INDEX(AB:AB, ROW()-COUNTIF($F$6:INDEX($F:$F, ROW()-1), $F799)) : INDEX(AB:AB, ROW()-1)
   )
   /SUM(INDEX(AB:AB, ROW()-COUNTIF($F$6:INDEX($F:$F, ROW()-1), $F799)) : INDEX(AB:AB, ROW()-1)),
           _xlfn.MAXIFS(unit_details[Asking Rent],
          unit_details[Active Listing?],TRUE,
          unit_details[Property Name], $F800,
          unit_details[Beds], $L800,
          unit_details[Baths], $M800,
          unit_details[Partial Baths], IF(ISNUMBER($N800),$N800,""),
          unit_details[Sqft],$P800
))),"")</f>
        <v/>
      </c>
      <c r="AG800" s="6" t="str">
        <f>IFERROR(IF($F800="Total",
         SUMPRODUCT(
         INDEX(AG:AG, ROW()-COUNTIF($F$6:INDEX($F:$F, ROW()-1), $F799)) : INDEX(AG:AG, ROW()-1),
         INDEX(AB:AB, ROW()-COUNTIF($F$6:INDEX($F:$F, ROW()-1), $F799)) : INDEX(AB:AB, ROW()-1)
         )
         /SUM(INDEX(AB:AB, ROW()-COUNTIF($F$6:INDEX($F:$F, ROW()-1), $F799)) : INDEX(AB:AB, ROW()-1)),
          AVERAGEIFS(unit_details[Asking PSF],
          unit_details[Active Listing?],TRUE,
          unit_details[Property Name], $F800,
          unit_details[Beds], $L800,
          unit_details[Baths], $M800,
          unit_details[Partial Baths], IF(ISNUMBER($N800),$N800,""),
          unit_details[Sqft],$P800
)),"")</f>
        <v/>
      </c>
      <c r="AH800" s="293" t="str">
        <f>IFERROR(IF($F800="Total",
         SUMPRODUCT(
         INDEX(AH:AH, ROW()-COUNTIF($F$6:INDEX($F:$F, ROW()-1), $F799)) : INDEX(AH:AH, ROW()-1),
         INDEX(AB:AB, ROW()-COUNTIF($F$6:INDEX($F:$F, ROW()-1), $F799)) : INDEX(AB:AB, ROW()-1)
         )
         /SUM(INDEX(AB:AB, ROW()-COUNTIF($F$6:INDEX($F:$F, ROW()-1), $F799)) : INDEX(AB:AB, ROW()-1)),
          AVERAGEIFS(unit_details[Effective Rent],
          unit_details[Active Listing?],TRUE,
          unit_details[Property Name], $F800,
          unit_details[Beds], $L800,
          unit_details[Baths], $M800,
          unit_details[Partial Baths], IF(ISNUMBER($N800),$N800,""),
          unit_details[Sqft],$P800
)),"")</f>
        <v/>
      </c>
      <c r="AI800" s="6" t="str">
        <f>IFERROR(IF($F800="Total",
         SUMPRODUCT(
         INDEX(AI:AI, ROW()-COUNTIF($F$6:INDEX($F:$F, ROW()-1), $F799)) : INDEX(AI:AI, ROW()-1),
         INDEX(AB:AB, ROW()-COUNTIF($F$6:INDEX($F:$F, ROW()-1), $F799)) : INDEX(AB:AB, ROW()-1)
         )
         /SUM(INDEX(AB:AB, ROW()-COUNTIF($F$6:INDEX($F:$F, ROW()-1), $F799)) : INDEX(AB:AB, ROW()-1)),
           AVERAGEIFS(unit_details[Effective PSF],
          unit_details[Active Listing?],TRUE,
          unit_details[Property Name], $F800,
          unit_details[Beds], $L800,
          unit_details[Baths], $M800,
          unit_details[Partial Baths], IF(ISNUMBER($N800),$N800,""),
          unit_details[Sqft],$P800
)),"")</f>
        <v/>
      </c>
      <c r="AJ800" s="824" t="str">
        <f t="shared" si="136"/>
        <v/>
      </c>
      <c r="AK800" s="531" t="str">
        <f t="shared" si="137"/>
        <v/>
      </c>
      <c r="AL800" s="714" t="str">
        <f t="shared" si="138"/>
        <v/>
      </c>
      <c r="AM800" s="531" t="str">
        <f t="shared" si="139"/>
        <v/>
      </c>
      <c r="AN800" s="716" t="str">
        <f t="shared" si="140"/>
        <v/>
      </c>
    </row>
    <row r="801" spans="6:40" x14ac:dyDescent="0.2">
      <c r="F801" s="1" t="str">
        <f t="shared" si="133"/>
        <v/>
      </c>
      <c r="G801" s="713" t="str">
        <f t="shared" si="141"/>
        <v/>
      </c>
      <c r="H801" s="17" t="str">
        <f>IFERROR(VLOOKUP($G801,Table1[[Property]:[Exposure %]],4,0),"")</f>
        <v/>
      </c>
      <c r="I801" s="3" t="str">
        <f>IFERROR(VLOOKUP($G801,Table1[[Property]:[Exposure %]],6,0),"")</f>
        <v/>
      </c>
      <c r="J801" s="3" t="str">
        <f>IFERROR(VLOOKUP($G801,Table1[[Property]:[Exposure %]],7,0),"")</f>
        <v/>
      </c>
      <c r="R801" s="4" t="str">
        <f>IFERROR(VLOOKUP(IF(F801="Total",F800,F801),Table1[[Property]:['# Units]],7,0)*S801,"")</f>
        <v/>
      </c>
      <c r="S801" s="27" t="str">
        <f t="shared" si="134"/>
        <v/>
      </c>
      <c r="T801" s="531" t="str">
        <f>IFERROR(
 IF($F801="Total",
   SUMPRODUCT(
   INDEX(T:T, ROW()-COUNTIF($F$6:INDEX($F:$F, ROW()-1), $F800)) : INDEX(T:T, ROW()-1),
   INDEX(W:W, ROW()-COUNTIF($F$6:INDEX($F:$F, ROW()-1), $F800)) : INDEX(W:W, ROW()-1)
   )
   /SUM(INDEX(W:W, ROW()-COUNTIF($F$6:INDEX($F:$F, ROW()-1), $F800)) : INDEX(W:W, ROW()-1)),
   AVERAGEIFS(
     INDEX((unit_details[Asking Rent],unit_details[Asking PSF]),0,1,IF($U$3="Chunk Rent",1,2)),
     unit_details[Leased Date],"&gt;="&amp;($AM$2-T$5),
     unit_details[Leased Date],"&lt;"&amp;$AM$2,
     unit_details[Beds],$L801,
     unit_details[Baths],$M801,
     unit_details[Partial Baths],IF(ISNUMBER($N801),$N801,""),
     unit_details[Sqft],$P801,
     unit_details[Property Name],$F801)
 ),"")</f>
        <v/>
      </c>
      <c r="U801" s="552" t="str">
        <f>IFERROR(
 IF($F801="Total",
   SUMPRODUCT(
   INDEX(U:U, ROW()-COUNTIF($F$6:INDEX($F:$F, ROW()-1), $F800)) : INDEX(U:U, ROW()-1),
   INDEX(W:W, ROW()-COUNTIF($F$6:INDEX($F:$F, ROW()-1), $F800)) : INDEX(W:W, ROW()-1)
   )
   /SUM(INDEX(W:W, ROW()-COUNTIF($F$6:INDEX($F:$F, ROW()-1), $F800)) : INDEX(W:W, ROW()-1)),
   AVERAGEIFS(
     INDEX((unit_details[Effective Rent],unit_details[Effective PSF]),0,1,IF($U$3="Chunk Rent",1,2)),
     unit_details[Leased Date],"&gt;="&amp;($AM$2-T$5),
     unit_details[Leased Date],"&lt;"&amp;$AM$2,
     unit_details[Beds],$L801,
     unit_details[Baths],$M801,
     unit_details[Partial Baths],IF(ISNUMBER($N801),$N801,""),
     unit_details[Sqft],$P801,
     unit_details[Property Name],$F801)
 ),"")</f>
        <v/>
      </c>
      <c r="V801" s="27" t="str">
        <f t="shared" si="142"/>
        <v/>
      </c>
      <c r="W801" s="526">
        <f>IFERROR(
  IF($F801="Total",
    SUM(INDEX(W:W, ROW()-COUNTIF($F$6:INDEX($F:$F, ROW()-1), $F800)) : INDEX(W:W, ROW()-1)),
    COUNTIFS(
      unit_details[Leased Date], "&gt;="&amp;($AM$2-T$5),
      unit_details[Leased Date], "&lt;"&amp;$AM$2,
      unit_details[Beds], $L801,
      unit_details[Baths], $M801,
      unit_details[Partial Baths], IF(ISNUMBER($N801), $N801, ""),
      unit_details[Sqft],$P801,
      unit_details[Property Name], $F801
    )
  ),
"")</f>
        <v>0</v>
      </c>
      <c r="X801" s="531" t="str">
        <f>IFERROR(
 IF($F801="Total",
   SUMPRODUCT(
   INDEX(X:X, ROW()-COUNTIF($F$6:INDEX($F:$F, ROW()-1), $F800)) : INDEX(X:X, ROW()-1),
   INDEX(AA:AA, ROW()-COUNTIF($F$6:INDEX($F:$F, ROW()-1), $F800)) : INDEX(AA:AA, ROW()-1)
   )
   /SUM(INDEX(AA:AA, ROW()-COUNTIF($F$6:INDEX($F:$F, ROW()-1), $F800)) : INDEX(AA:AA, ROW()-1)),
   AVERAGEIFS(
     INDEX((unit_details[Asking Rent],unit_details[Asking PSF]),0,1,IF($U$3="Chunk Rent",1,2)),
     unit_details[Leased Date],"&gt;="&amp;($AM$2-X$5),
     unit_details[Leased Date],"&lt;"&amp;$AM$2,
     unit_details[Beds],$L801,
     unit_details[Baths],$M801,
     unit_details[Partial Baths],IF(ISNUMBER($N801),$N801,""),
     unit_details[Sqft],$P801,
     unit_details[Property Name],$F801)
 ),"")</f>
        <v/>
      </c>
      <c r="Y801" s="552" t="str">
        <f>IFERROR(
 IF($F801="Total",
   SUMPRODUCT(
   INDEX(Y:Y, ROW()-COUNTIF($F$6:INDEX($F:$F, ROW()-1), $F800)) : INDEX(Y:Y, ROW()-1),
   INDEX(AA:AA, ROW()-COUNTIF($F$6:INDEX($F:$F, ROW()-1), $F800)) : INDEX(AA:AA, ROW()-1)
   )
   /SUM(INDEX(AA:AA, ROW()-COUNTIF($F$6:INDEX($F:$F, ROW()-1), $F800)) : INDEX(AA:AA, ROW()-1)),
   AVERAGEIFS(
     INDEX((unit_details[Effective Rent],unit_details[Effective PSF]),0,1,IF($U$3="Chunk Rent",1,2)),
     unit_details[Leased Date],"&gt;="&amp;($AM$2-X$5),
     unit_details[Leased Date],"&lt;"&amp;$AM$2,
     unit_details[Beds],$L801,
     unit_details[Baths],$M801,
     unit_details[Partial Baths],IF(ISNUMBER($N801),$N801,""),
     unit_details[Sqft],$P801,
     unit_details[Property Name],$F801)
 ),"")</f>
        <v/>
      </c>
      <c r="Z801" s="27" t="str">
        <f t="shared" si="143"/>
        <v/>
      </c>
      <c r="AA801" s="526">
        <f>IFERROR(
  IF($F801="Total",
    SUM(INDEX(AA:AA, ROW()-COUNTIF($F$6:INDEX($F:$F, ROW()-1), $F800)) : INDEX(AA:AA, ROW()-1)),
    COUNTIFS(
      unit_details[Leased Date], "&gt;="&amp;($AM$2-X$5),
      unit_details[Leased Date], "&lt;"&amp;$AM$2,
      unit_details[Beds], $L801,
      unit_details[Baths], $M801,
      unit_details[Partial Baths], IF(ISNUMBER($N801), $N801, ""),
      unit_details[Sqft],$P801,
      unit_details[Property Name], $F801
    )
  ),
"")</f>
        <v>0</v>
      </c>
      <c r="AB801" s="290">
        <f>IF($F801="Total",
SUM(INDEX(AB:AB, ROW()-COUNTIF($F$6:INDEX($F:$F, ROW()-1), $F800)) : INDEX(AB:AB, ROW()-1)),
COUNTIFS(unit_details[Active Listing?],TRUE,
          unit_details[Property Name], $F801,
          unit_details[Beds], $L801,
          unit_details[Baths], $M801,
          unit_details[Partial Baths],IF(ISNUMBER($N801),$N801,""),
          unit_details[Sqft],$P801))</f>
        <v>0</v>
      </c>
      <c r="AC801" s="27" t="str">
        <f t="shared" si="135"/>
        <v/>
      </c>
      <c r="AD801" s="293" t="str">
        <f>IFERROR(IF(AE801="","",IF($F801="Total",
SUMPRODUCT(
   INDEX(AD:AD, ROW()-COUNTIF($F$6:INDEX($F:$F, ROW()-1), $F800)) : INDEX(AD:AD, ROW()-1),
   INDEX(AB:AB, ROW()-COUNTIF($F$6:INDEX($F:$F, ROW()-1), $F800)) : INDEX(AB:AB, ROW()-1)
   )
   /SUM(INDEX(AB:AB, ROW()-COUNTIF($F$6:INDEX($F:$F, ROW()-1), $F800)) : INDEX(AB:AB, ROW()-1)),
          _xlfn.MINIFS(unit_details[Asking Rent],
          unit_details[Active Listing?],TRUE,
          unit_details[Property Name], $F801,
          unit_details[Beds], $L801,
          unit_details[Baths], $M801,
          unit_details[Partial Baths], IF(ISNUMBER($N801),$N801,""),
          unit_details[Sqft],$P801
))),"")</f>
        <v/>
      </c>
      <c r="AE801" s="5" t="str">
        <f>IFERROR(IF($F801="Total",
          SUMPRODUCT(
   INDEX(AE:AE, ROW()-COUNTIF($F$6:INDEX($F:$F, ROW()-1), $F800)) : INDEX(AE:AE, ROW()-1),
   INDEX(AB:AB, ROW()-COUNTIF($F$6:INDEX($F:$F, ROW()-1), $F800)) : INDEX(AB:AB, ROW()-1)
   )
   /SUM(INDEX(AB:AB, ROW()-COUNTIF($F$6:INDEX($F:$F, ROW()-1), $F800)) : INDEX(AB:AB, ROW()-1)),
          AVERAGEIFS(unit_details[Asking Rent],
          unit_details[Active Listing?],TRUE,
          unit_details[Property Name], $F801,
          unit_details[Beds], $L801,
          unit_details[Baths], $M801,
          unit_details[Partial Baths], IF(ISNUMBER($N801),$N801,""),
          unit_details[Sqft],$P801
)),"")</f>
        <v/>
      </c>
      <c r="AF801" s="5" t="str">
        <f>IFERROR(IF(AE801="","",IF($F801="Total",
SUMPRODUCT(
   INDEX(AF:AF, ROW()-COUNTIF($F$6:INDEX($F:$F, ROW()-1), $F800)) : INDEX(AF:AF, ROW()-1),
   INDEX(AB:AB, ROW()-COUNTIF($F$6:INDEX($F:$F, ROW()-1), $F800)) : INDEX(AB:AB, ROW()-1)
   )
   /SUM(INDEX(AB:AB, ROW()-COUNTIF($F$6:INDEX($F:$F, ROW()-1), $F800)) : INDEX(AB:AB, ROW()-1)),
           _xlfn.MAXIFS(unit_details[Asking Rent],
          unit_details[Active Listing?],TRUE,
          unit_details[Property Name], $F801,
          unit_details[Beds], $L801,
          unit_details[Baths], $M801,
          unit_details[Partial Baths], IF(ISNUMBER($N801),$N801,""),
          unit_details[Sqft],$P801
))),"")</f>
        <v/>
      </c>
      <c r="AG801" s="6" t="str">
        <f>IFERROR(IF($F801="Total",
         SUMPRODUCT(
         INDEX(AG:AG, ROW()-COUNTIF($F$6:INDEX($F:$F, ROW()-1), $F800)) : INDEX(AG:AG, ROW()-1),
         INDEX(AB:AB, ROW()-COUNTIF($F$6:INDEX($F:$F, ROW()-1), $F800)) : INDEX(AB:AB, ROW()-1)
         )
         /SUM(INDEX(AB:AB, ROW()-COUNTIF($F$6:INDEX($F:$F, ROW()-1), $F800)) : INDEX(AB:AB, ROW()-1)),
          AVERAGEIFS(unit_details[Asking PSF],
          unit_details[Active Listing?],TRUE,
          unit_details[Property Name], $F801,
          unit_details[Beds], $L801,
          unit_details[Baths], $M801,
          unit_details[Partial Baths], IF(ISNUMBER($N801),$N801,""),
          unit_details[Sqft],$P801
)),"")</f>
        <v/>
      </c>
      <c r="AH801" s="293" t="str">
        <f>IFERROR(IF($F801="Total",
         SUMPRODUCT(
         INDEX(AH:AH, ROW()-COUNTIF($F$6:INDEX($F:$F, ROW()-1), $F800)) : INDEX(AH:AH, ROW()-1),
         INDEX(AB:AB, ROW()-COUNTIF($F$6:INDEX($F:$F, ROW()-1), $F800)) : INDEX(AB:AB, ROW()-1)
         )
         /SUM(INDEX(AB:AB, ROW()-COUNTIF($F$6:INDEX($F:$F, ROW()-1), $F800)) : INDEX(AB:AB, ROW()-1)),
          AVERAGEIFS(unit_details[Effective Rent],
          unit_details[Active Listing?],TRUE,
          unit_details[Property Name], $F801,
          unit_details[Beds], $L801,
          unit_details[Baths], $M801,
          unit_details[Partial Baths], IF(ISNUMBER($N801),$N801,""),
          unit_details[Sqft],$P801
)),"")</f>
        <v/>
      </c>
      <c r="AI801" s="6" t="str">
        <f>IFERROR(IF($F801="Total",
         SUMPRODUCT(
         INDEX(AI:AI, ROW()-COUNTIF($F$6:INDEX($F:$F, ROW()-1), $F800)) : INDEX(AI:AI, ROW()-1),
         INDEX(AB:AB, ROW()-COUNTIF($F$6:INDEX($F:$F, ROW()-1), $F800)) : INDEX(AB:AB, ROW()-1)
         )
         /SUM(INDEX(AB:AB, ROW()-COUNTIF($F$6:INDEX($F:$F, ROW()-1), $F800)) : INDEX(AB:AB, ROW()-1)),
           AVERAGEIFS(unit_details[Effective PSF],
          unit_details[Active Listing?],TRUE,
          unit_details[Property Name], $F801,
          unit_details[Beds], $L801,
          unit_details[Baths], $M801,
          unit_details[Partial Baths], IF(ISNUMBER($N801),$N801,""),
          unit_details[Sqft],$P801
)),"")</f>
        <v/>
      </c>
      <c r="AJ801" s="824" t="str">
        <f t="shared" si="136"/>
        <v/>
      </c>
      <c r="AK801" s="531" t="str">
        <f t="shared" si="137"/>
        <v/>
      </c>
      <c r="AL801" s="714" t="str">
        <f t="shared" si="138"/>
        <v/>
      </c>
      <c r="AM801" s="531" t="str">
        <f t="shared" si="139"/>
        <v/>
      </c>
      <c r="AN801" s="716" t="str">
        <f t="shared" si="140"/>
        <v/>
      </c>
    </row>
    <row r="802" spans="6:40" x14ac:dyDescent="0.2">
      <c r="F802" s="1" t="str">
        <f t="shared" si="133"/>
        <v/>
      </c>
      <c r="G802" s="713" t="str">
        <f t="shared" si="141"/>
        <v/>
      </c>
      <c r="H802" s="17" t="str">
        <f>IFERROR(VLOOKUP($G802,Table1[[Property]:[Exposure %]],4,0),"")</f>
        <v/>
      </c>
      <c r="I802" s="3" t="str">
        <f>IFERROR(VLOOKUP($G802,Table1[[Property]:[Exposure %]],6,0),"")</f>
        <v/>
      </c>
      <c r="J802" s="3" t="str">
        <f>IFERROR(VLOOKUP($G802,Table1[[Property]:[Exposure %]],7,0),"")</f>
        <v/>
      </c>
      <c r="R802" s="4" t="str">
        <f>IFERROR(VLOOKUP(IF(F802="Total",F801,F802),Table1[[Property]:['# Units]],7,0)*S802,"")</f>
        <v/>
      </c>
      <c r="S802" s="27" t="str">
        <f t="shared" si="134"/>
        <v/>
      </c>
      <c r="T802" s="531" t="str">
        <f>IFERROR(
 IF($F802="Total",
   SUMPRODUCT(
   INDEX(T:T, ROW()-COUNTIF($F$6:INDEX($F:$F, ROW()-1), $F801)) : INDEX(T:T, ROW()-1),
   INDEX(W:W, ROW()-COUNTIF($F$6:INDEX($F:$F, ROW()-1), $F801)) : INDEX(W:W, ROW()-1)
   )
   /SUM(INDEX(W:W, ROW()-COUNTIF($F$6:INDEX($F:$F, ROW()-1), $F801)) : INDEX(W:W, ROW()-1)),
   AVERAGEIFS(
     INDEX((unit_details[Asking Rent],unit_details[Asking PSF]),0,1,IF($U$3="Chunk Rent",1,2)),
     unit_details[Leased Date],"&gt;="&amp;($AM$2-T$5),
     unit_details[Leased Date],"&lt;"&amp;$AM$2,
     unit_details[Beds],$L802,
     unit_details[Baths],$M802,
     unit_details[Partial Baths],IF(ISNUMBER($N802),$N802,""),
     unit_details[Sqft],$P802,
     unit_details[Property Name],$F802)
 ),"")</f>
        <v/>
      </c>
      <c r="U802" s="552" t="str">
        <f>IFERROR(
 IF($F802="Total",
   SUMPRODUCT(
   INDEX(U:U, ROW()-COUNTIF($F$6:INDEX($F:$F, ROW()-1), $F801)) : INDEX(U:U, ROW()-1),
   INDEX(W:W, ROW()-COUNTIF($F$6:INDEX($F:$F, ROW()-1), $F801)) : INDEX(W:W, ROW()-1)
   )
   /SUM(INDEX(W:W, ROW()-COUNTIF($F$6:INDEX($F:$F, ROW()-1), $F801)) : INDEX(W:W, ROW()-1)),
   AVERAGEIFS(
     INDEX((unit_details[Effective Rent],unit_details[Effective PSF]),0,1,IF($U$3="Chunk Rent",1,2)),
     unit_details[Leased Date],"&gt;="&amp;($AM$2-T$5),
     unit_details[Leased Date],"&lt;"&amp;$AM$2,
     unit_details[Beds],$L802,
     unit_details[Baths],$M802,
     unit_details[Partial Baths],IF(ISNUMBER($N802),$N802,""),
     unit_details[Sqft],$P802,
     unit_details[Property Name],$F802)
 ),"")</f>
        <v/>
      </c>
      <c r="V802" s="27" t="str">
        <f t="shared" si="142"/>
        <v/>
      </c>
      <c r="W802" s="526">
        <f>IFERROR(
  IF($F802="Total",
    SUM(INDEX(W:W, ROW()-COUNTIF($F$6:INDEX($F:$F, ROW()-1), $F801)) : INDEX(W:W, ROW()-1)),
    COUNTIFS(
      unit_details[Leased Date], "&gt;="&amp;($AM$2-T$5),
      unit_details[Leased Date], "&lt;"&amp;$AM$2,
      unit_details[Beds], $L802,
      unit_details[Baths], $M802,
      unit_details[Partial Baths], IF(ISNUMBER($N802), $N802, ""),
      unit_details[Sqft],$P802,
      unit_details[Property Name], $F802
    )
  ),
"")</f>
        <v>0</v>
      </c>
      <c r="X802" s="531" t="str">
        <f>IFERROR(
 IF($F802="Total",
   SUMPRODUCT(
   INDEX(X:X, ROW()-COUNTIF($F$6:INDEX($F:$F, ROW()-1), $F801)) : INDEX(X:X, ROW()-1),
   INDEX(AA:AA, ROW()-COUNTIF($F$6:INDEX($F:$F, ROW()-1), $F801)) : INDEX(AA:AA, ROW()-1)
   )
   /SUM(INDEX(AA:AA, ROW()-COUNTIF($F$6:INDEX($F:$F, ROW()-1), $F801)) : INDEX(AA:AA, ROW()-1)),
   AVERAGEIFS(
     INDEX((unit_details[Asking Rent],unit_details[Asking PSF]),0,1,IF($U$3="Chunk Rent",1,2)),
     unit_details[Leased Date],"&gt;="&amp;($AM$2-X$5),
     unit_details[Leased Date],"&lt;"&amp;$AM$2,
     unit_details[Beds],$L802,
     unit_details[Baths],$M802,
     unit_details[Partial Baths],IF(ISNUMBER($N802),$N802,""),
     unit_details[Sqft],$P802,
     unit_details[Property Name],$F802)
 ),"")</f>
        <v/>
      </c>
      <c r="Y802" s="552" t="str">
        <f>IFERROR(
 IF($F802="Total",
   SUMPRODUCT(
   INDEX(Y:Y, ROW()-COUNTIF($F$6:INDEX($F:$F, ROW()-1), $F801)) : INDEX(Y:Y, ROW()-1),
   INDEX(AA:AA, ROW()-COUNTIF($F$6:INDEX($F:$F, ROW()-1), $F801)) : INDEX(AA:AA, ROW()-1)
   )
   /SUM(INDEX(AA:AA, ROW()-COUNTIF($F$6:INDEX($F:$F, ROW()-1), $F801)) : INDEX(AA:AA, ROW()-1)),
   AVERAGEIFS(
     INDEX((unit_details[Effective Rent],unit_details[Effective PSF]),0,1,IF($U$3="Chunk Rent",1,2)),
     unit_details[Leased Date],"&gt;="&amp;($AM$2-X$5),
     unit_details[Leased Date],"&lt;"&amp;$AM$2,
     unit_details[Beds],$L802,
     unit_details[Baths],$M802,
     unit_details[Partial Baths],IF(ISNUMBER($N802),$N802,""),
     unit_details[Sqft],$P802,
     unit_details[Property Name],$F802)
 ),"")</f>
        <v/>
      </c>
      <c r="Z802" s="27" t="str">
        <f t="shared" si="143"/>
        <v/>
      </c>
      <c r="AA802" s="526">
        <f>IFERROR(
  IF($F802="Total",
    SUM(INDEX(AA:AA, ROW()-COUNTIF($F$6:INDEX($F:$F, ROW()-1), $F801)) : INDEX(AA:AA, ROW()-1)),
    COUNTIFS(
      unit_details[Leased Date], "&gt;="&amp;($AM$2-X$5),
      unit_details[Leased Date], "&lt;"&amp;$AM$2,
      unit_details[Beds], $L802,
      unit_details[Baths], $M802,
      unit_details[Partial Baths], IF(ISNUMBER($N802), $N802, ""),
      unit_details[Sqft],$P802,
      unit_details[Property Name], $F802
    )
  ),
"")</f>
        <v>0</v>
      </c>
      <c r="AB802" s="290">
        <f>IF($F802="Total",
SUM(INDEX(AB:AB, ROW()-COUNTIF($F$6:INDEX($F:$F, ROW()-1), $F801)) : INDEX(AB:AB, ROW()-1)),
COUNTIFS(unit_details[Active Listing?],TRUE,
          unit_details[Property Name], $F802,
          unit_details[Beds], $L802,
          unit_details[Baths], $M802,
          unit_details[Partial Baths],IF(ISNUMBER($N802),$N802,""),
          unit_details[Sqft],$P802))</f>
        <v>0</v>
      </c>
      <c r="AC802" s="27" t="str">
        <f t="shared" si="135"/>
        <v/>
      </c>
      <c r="AD802" s="293" t="str">
        <f>IFERROR(IF(AE802="","",IF($F802="Total",
SUMPRODUCT(
   INDEX(AD:AD, ROW()-COUNTIF($F$6:INDEX($F:$F, ROW()-1), $F801)) : INDEX(AD:AD, ROW()-1),
   INDEX(AB:AB, ROW()-COUNTIF($F$6:INDEX($F:$F, ROW()-1), $F801)) : INDEX(AB:AB, ROW()-1)
   )
   /SUM(INDEX(AB:AB, ROW()-COUNTIF($F$6:INDEX($F:$F, ROW()-1), $F801)) : INDEX(AB:AB, ROW()-1)),
          _xlfn.MINIFS(unit_details[Asking Rent],
          unit_details[Active Listing?],TRUE,
          unit_details[Property Name], $F802,
          unit_details[Beds], $L802,
          unit_details[Baths], $M802,
          unit_details[Partial Baths], IF(ISNUMBER($N802),$N802,""),
          unit_details[Sqft],$P802
))),"")</f>
        <v/>
      </c>
      <c r="AE802" s="5" t="str">
        <f>IFERROR(IF($F802="Total",
          SUMPRODUCT(
   INDEX(AE:AE, ROW()-COUNTIF($F$6:INDEX($F:$F, ROW()-1), $F801)) : INDEX(AE:AE, ROW()-1),
   INDEX(AB:AB, ROW()-COUNTIF($F$6:INDEX($F:$F, ROW()-1), $F801)) : INDEX(AB:AB, ROW()-1)
   )
   /SUM(INDEX(AB:AB, ROW()-COUNTIF($F$6:INDEX($F:$F, ROW()-1), $F801)) : INDEX(AB:AB, ROW()-1)),
          AVERAGEIFS(unit_details[Asking Rent],
          unit_details[Active Listing?],TRUE,
          unit_details[Property Name], $F802,
          unit_details[Beds], $L802,
          unit_details[Baths], $M802,
          unit_details[Partial Baths], IF(ISNUMBER($N802),$N802,""),
          unit_details[Sqft],$P802
)),"")</f>
        <v/>
      </c>
      <c r="AF802" s="5" t="str">
        <f>IFERROR(IF(AE802="","",IF($F802="Total",
SUMPRODUCT(
   INDEX(AF:AF, ROW()-COUNTIF($F$6:INDEX($F:$F, ROW()-1), $F801)) : INDEX(AF:AF, ROW()-1),
   INDEX(AB:AB, ROW()-COUNTIF($F$6:INDEX($F:$F, ROW()-1), $F801)) : INDEX(AB:AB, ROW()-1)
   )
   /SUM(INDEX(AB:AB, ROW()-COUNTIF($F$6:INDEX($F:$F, ROW()-1), $F801)) : INDEX(AB:AB, ROW()-1)),
           _xlfn.MAXIFS(unit_details[Asking Rent],
          unit_details[Active Listing?],TRUE,
          unit_details[Property Name], $F802,
          unit_details[Beds], $L802,
          unit_details[Baths], $M802,
          unit_details[Partial Baths], IF(ISNUMBER($N802),$N802,""),
          unit_details[Sqft],$P802
))),"")</f>
        <v/>
      </c>
      <c r="AG802" s="6" t="str">
        <f>IFERROR(IF($F802="Total",
         SUMPRODUCT(
         INDEX(AG:AG, ROW()-COUNTIF($F$6:INDEX($F:$F, ROW()-1), $F801)) : INDEX(AG:AG, ROW()-1),
         INDEX(AB:AB, ROW()-COUNTIF($F$6:INDEX($F:$F, ROW()-1), $F801)) : INDEX(AB:AB, ROW()-1)
         )
         /SUM(INDEX(AB:AB, ROW()-COUNTIF($F$6:INDEX($F:$F, ROW()-1), $F801)) : INDEX(AB:AB, ROW()-1)),
          AVERAGEIFS(unit_details[Asking PSF],
          unit_details[Active Listing?],TRUE,
          unit_details[Property Name], $F802,
          unit_details[Beds], $L802,
          unit_details[Baths], $M802,
          unit_details[Partial Baths], IF(ISNUMBER($N802),$N802,""),
          unit_details[Sqft],$P802
)),"")</f>
        <v/>
      </c>
      <c r="AH802" s="293" t="str">
        <f>IFERROR(IF($F802="Total",
         SUMPRODUCT(
         INDEX(AH:AH, ROW()-COUNTIF($F$6:INDEX($F:$F, ROW()-1), $F801)) : INDEX(AH:AH, ROW()-1),
         INDEX(AB:AB, ROW()-COUNTIF($F$6:INDEX($F:$F, ROW()-1), $F801)) : INDEX(AB:AB, ROW()-1)
         )
         /SUM(INDEX(AB:AB, ROW()-COUNTIF($F$6:INDEX($F:$F, ROW()-1), $F801)) : INDEX(AB:AB, ROW()-1)),
          AVERAGEIFS(unit_details[Effective Rent],
          unit_details[Active Listing?],TRUE,
          unit_details[Property Name], $F802,
          unit_details[Beds], $L802,
          unit_details[Baths], $M802,
          unit_details[Partial Baths], IF(ISNUMBER($N802),$N802,""),
          unit_details[Sqft],$P802
)),"")</f>
        <v/>
      </c>
      <c r="AI802" s="6" t="str">
        <f>IFERROR(IF($F802="Total",
         SUMPRODUCT(
         INDEX(AI:AI, ROW()-COUNTIF($F$6:INDEX($F:$F, ROW()-1), $F801)) : INDEX(AI:AI, ROW()-1),
         INDEX(AB:AB, ROW()-COUNTIF($F$6:INDEX($F:$F, ROW()-1), $F801)) : INDEX(AB:AB, ROW()-1)
         )
         /SUM(INDEX(AB:AB, ROW()-COUNTIF($F$6:INDEX($F:$F, ROW()-1), $F801)) : INDEX(AB:AB, ROW()-1)),
           AVERAGEIFS(unit_details[Effective PSF],
          unit_details[Active Listing?],TRUE,
          unit_details[Property Name], $F802,
          unit_details[Beds], $L802,
          unit_details[Baths], $M802,
          unit_details[Partial Baths], IF(ISNUMBER($N802),$N802,""),
          unit_details[Sqft],$P802
)),"")</f>
        <v/>
      </c>
      <c r="AJ802" s="824" t="str">
        <f t="shared" si="136"/>
        <v/>
      </c>
      <c r="AK802" s="531" t="str">
        <f t="shared" si="137"/>
        <v/>
      </c>
      <c r="AL802" s="714" t="str">
        <f t="shared" si="138"/>
        <v/>
      </c>
      <c r="AM802" s="531" t="str">
        <f t="shared" si="139"/>
        <v/>
      </c>
      <c r="AN802" s="716" t="str">
        <f t="shared" si="140"/>
        <v/>
      </c>
    </row>
    <row r="803" spans="6:40" x14ac:dyDescent="0.2">
      <c r="F803" s="1" t="str">
        <f t="shared" si="133"/>
        <v/>
      </c>
      <c r="G803" s="713" t="str">
        <f t="shared" si="141"/>
        <v/>
      </c>
      <c r="H803" s="17" t="str">
        <f>IFERROR(VLOOKUP($G803,Table1[[Property]:[Exposure %]],4,0),"")</f>
        <v/>
      </c>
      <c r="I803" s="3" t="str">
        <f>IFERROR(VLOOKUP($G803,Table1[[Property]:[Exposure %]],6,0),"")</f>
        <v/>
      </c>
      <c r="J803" s="3" t="str">
        <f>IFERROR(VLOOKUP($G803,Table1[[Property]:[Exposure %]],7,0),"")</f>
        <v/>
      </c>
      <c r="R803" s="4" t="str">
        <f>IFERROR(VLOOKUP(IF(F803="Total",F802,F803),Table1[[Property]:['# Units]],7,0)*S803,"")</f>
        <v/>
      </c>
      <c r="S803" s="27" t="str">
        <f t="shared" si="134"/>
        <v/>
      </c>
      <c r="T803" s="531" t="str">
        <f>IFERROR(
 IF($F803="Total",
   SUMPRODUCT(
   INDEX(T:T, ROW()-COUNTIF($F$6:INDEX($F:$F, ROW()-1), $F802)) : INDEX(T:T, ROW()-1),
   INDEX(W:W, ROW()-COUNTIF($F$6:INDEX($F:$F, ROW()-1), $F802)) : INDEX(W:W, ROW()-1)
   )
   /SUM(INDEX(W:W, ROW()-COUNTIF($F$6:INDEX($F:$F, ROW()-1), $F802)) : INDEX(W:W, ROW()-1)),
   AVERAGEIFS(
     INDEX((unit_details[Asking Rent],unit_details[Asking PSF]),0,1,IF($U$3="Chunk Rent",1,2)),
     unit_details[Leased Date],"&gt;="&amp;($AM$2-T$5),
     unit_details[Leased Date],"&lt;"&amp;$AM$2,
     unit_details[Beds],$L803,
     unit_details[Baths],$M803,
     unit_details[Partial Baths],IF(ISNUMBER($N803),$N803,""),
     unit_details[Sqft],$P803,
     unit_details[Property Name],$F803)
 ),"")</f>
        <v/>
      </c>
      <c r="U803" s="552" t="str">
        <f>IFERROR(
 IF($F803="Total",
   SUMPRODUCT(
   INDEX(U:U, ROW()-COUNTIF($F$6:INDEX($F:$F, ROW()-1), $F802)) : INDEX(U:U, ROW()-1),
   INDEX(W:W, ROW()-COUNTIF($F$6:INDEX($F:$F, ROW()-1), $F802)) : INDEX(W:W, ROW()-1)
   )
   /SUM(INDEX(W:W, ROW()-COUNTIF($F$6:INDEX($F:$F, ROW()-1), $F802)) : INDEX(W:W, ROW()-1)),
   AVERAGEIFS(
     INDEX((unit_details[Effective Rent],unit_details[Effective PSF]),0,1,IF($U$3="Chunk Rent",1,2)),
     unit_details[Leased Date],"&gt;="&amp;($AM$2-T$5),
     unit_details[Leased Date],"&lt;"&amp;$AM$2,
     unit_details[Beds],$L803,
     unit_details[Baths],$M803,
     unit_details[Partial Baths],IF(ISNUMBER($N803),$N803,""),
     unit_details[Sqft],$P803,
     unit_details[Property Name],$F803)
 ),"")</f>
        <v/>
      </c>
      <c r="V803" s="27" t="str">
        <f t="shared" si="142"/>
        <v/>
      </c>
      <c r="W803" s="526">
        <f>IFERROR(
  IF($F803="Total",
    SUM(INDEX(W:W, ROW()-COUNTIF($F$6:INDEX($F:$F, ROW()-1), $F802)) : INDEX(W:W, ROW()-1)),
    COUNTIFS(
      unit_details[Leased Date], "&gt;="&amp;($AM$2-T$5),
      unit_details[Leased Date], "&lt;"&amp;$AM$2,
      unit_details[Beds], $L803,
      unit_details[Baths], $M803,
      unit_details[Partial Baths], IF(ISNUMBER($N803), $N803, ""),
      unit_details[Sqft],$P803,
      unit_details[Property Name], $F803
    )
  ),
"")</f>
        <v>0</v>
      </c>
      <c r="X803" s="531" t="str">
        <f>IFERROR(
 IF($F803="Total",
   SUMPRODUCT(
   INDEX(X:X, ROW()-COUNTIF($F$6:INDEX($F:$F, ROW()-1), $F802)) : INDEX(X:X, ROW()-1),
   INDEX(AA:AA, ROW()-COUNTIF($F$6:INDEX($F:$F, ROW()-1), $F802)) : INDEX(AA:AA, ROW()-1)
   )
   /SUM(INDEX(AA:AA, ROW()-COUNTIF($F$6:INDEX($F:$F, ROW()-1), $F802)) : INDEX(AA:AA, ROW()-1)),
   AVERAGEIFS(
     INDEX((unit_details[Asking Rent],unit_details[Asking PSF]),0,1,IF($U$3="Chunk Rent",1,2)),
     unit_details[Leased Date],"&gt;="&amp;($AM$2-X$5),
     unit_details[Leased Date],"&lt;"&amp;$AM$2,
     unit_details[Beds],$L803,
     unit_details[Baths],$M803,
     unit_details[Partial Baths],IF(ISNUMBER($N803),$N803,""),
     unit_details[Sqft],$P803,
     unit_details[Property Name],$F803)
 ),"")</f>
        <v/>
      </c>
      <c r="Y803" s="552" t="str">
        <f>IFERROR(
 IF($F803="Total",
   SUMPRODUCT(
   INDEX(Y:Y, ROW()-COUNTIF($F$6:INDEX($F:$F, ROW()-1), $F802)) : INDEX(Y:Y, ROW()-1),
   INDEX(AA:AA, ROW()-COUNTIF($F$6:INDEX($F:$F, ROW()-1), $F802)) : INDEX(AA:AA, ROW()-1)
   )
   /SUM(INDEX(AA:AA, ROW()-COUNTIF($F$6:INDEX($F:$F, ROW()-1), $F802)) : INDEX(AA:AA, ROW()-1)),
   AVERAGEIFS(
     INDEX((unit_details[Effective Rent],unit_details[Effective PSF]),0,1,IF($U$3="Chunk Rent",1,2)),
     unit_details[Leased Date],"&gt;="&amp;($AM$2-X$5),
     unit_details[Leased Date],"&lt;"&amp;$AM$2,
     unit_details[Beds],$L803,
     unit_details[Baths],$M803,
     unit_details[Partial Baths],IF(ISNUMBER($N803),$N803,""),
     unit_details[Sqft],$P803,
     unit_details[Property Name],$F803)
 ),"")</f>
        <v/>
      </c>
      <c r="Z803" s="27" t="str">
        <f t="shared" si="143"/>
        <v/>
      </c>
      <c r="AA803" s="526">
        <f>IFERROR(
  IF($F803="Total",
    SUM(INDEX(AA:AA, ROW()-COUNTIF($F$6:INDEX($F:$F, ROW()-1), $F802)) : INDEX(AA:AA, ROW()-1)),
    COUNTIFS(
      unit_details[Leased Date], "&gt;="&amp;($AM$2-X$5),
      unit_details[Leased Date], "&lt;"&amp;$AM$2,
      unit_details[Beds], $L803,
      unit_details[Baths], $M803,
      unit_details[Partial Baths], IF(ISNUMBER($N803), $N803, ""),
      unit_details[Sqft],$P803,
      unit_details[Property Name], $F803
    )
  ),
"")</f>
        <v>0</v>
      </c>
      <c r="AB803" s="290">
        <f>IF($F803="Total",
SUM(INDEX(AB:AB, ROW()-COUNTIF($F$6:INDEX($F:$F, ROW()-1), $F802)) : INDEX(AB:AB, ROW()-1)),
COUNTIFS(unit_details[Active Listing?],TRUE,
          unit_details[Property Name], $F803,
          unit_details[Beds], $L803,
          unit_details[Baths], $M803,
          unit_details[Partial Baths],IF(ISNUMBER($N803),$N803,""),
          unit_details[Sqft],$P803))</f>
        <v>0</v>
      </c>
      <c r="AC803" s="27" t="str">
        <f t="shared" si="135"/>
        <v/>
      </c>
      <c r="AD803" s="293" t="str">
        <f>IFERROR(IF(AE803="","",IF($F803="Total",
SUMPRODUCT(
   INDEX(AD:AD, ROW()-COUNTIF($F$6:INDEX($F:$F, ROW()-1), $F802)) : INDEX(AD:AD, ROW()-1),
   INDEX(AB:AB, ROW()-COUNTIF($F$6:INDEX($F:$F, ROW()-1), $F802)) : INDEX(AB:AB, ROW()-1)
   )
   /SUM(INDEX(AB:AB, ROW()-COUNTIF($F$6:INDEX($F:$F, ROW()-1), $F802)) : INDEX(AB:AB, ROW()-1)),
          _xlfn.MINIFS(unit_details[Asking Rent],
          unit_details[Active Listing?],TRUE,
          unit_details[Property Name], $F803,
          unit_details[Beds], $L803,
          unit_details[Baths], $M803,
          unit_details[Partial Baths], IF(ISNUMBER($N803),$N803,""),
          unit_details[Sqft],$P803
))),"")</f>
        <v/>
      </c>
      <c r="AE803" s="5" t="str">
        <f>IFERROR(IF($F803="Total",
          SUMPRODUCT(
   INDEX(AE:AE, ROW()-COUNTIF($F$6:INDEX($F:$F, ROW()-1), $F802)) : INDEX(AE:AE, ROW()-1),
   INDEX(AB:AB, ROW()-COUNTIF($F$6:INDEX($F:$F, ROW()-1), $F802)) : INDEX(AB:AB, ROW()-1)
   )
   /SUM(INDEX(AB:AB, ROW()-COUNTIF($F$6:INDEX($F:$F, ROW()-1), $F802)) : INDEX(AB:AB, ROW()-1)),
          AVERAGEIFS(unit_details[Asking Rent],
          unit_details[Active Listing?],TRUE,
          unit_details[Property Name], $F803,
          unit_details[Beds], $L803,
          unit_details[Baths], $M803,
          unit_details[Partial Baths], IF(ISNUMBER($N803),$N803,""),
          unit_details[Sqft],$P803
)),"")</f>
        <v/>
      </c>
      <c r="AF803" s="5" t="str">
        <f>IFERROR(IF(AE803="","",IF($F803="Total",
SUMPRODUCT(
   INDEX(AF:AF, ROW()-COUNTIF($F$6:INDEX($F:$F, ROW()-1), $F802)) : INDEX(AF:AF, ROW()-1),
   INDEX(AB:AB, ROW()-COUNTIF($F$6:INDEX($F:$F, ROW()-1), $F802)) : INDEX(AB:AB, ROW()-1)
   )
   /SUM(INDEX(AB:AB, ROW()-COUNTIF($F$6:INDEX($F:$F, ROW()-1), $F802)) : INDEX(AB:AB, ROW()-1)),
           _xlfn.MAXIFS(unit_details[Asking Rent],
          unit_details[Active Listing?],TRUE,
          unit_details[Property Name], $F803,
          unit_details[Beds], $L803,
          unit_details[Baths], $M803,
          unit_details[Partial Baths], IF(ISNUMBER($N803),$N803,""),
          unit_details[Sqft],$P803
))),"")</f>
        <v/>
      </c>
      <c r="AG803" s="6" t="str">
        <f>IFERROR(IF($F803="Total",
         SUMPRODUCT(
         INDEX(AG:AG, ROW()-COUNTIF($F$6:INDEX($F:$F, ROW()-1), $F802)) : INDEX(AG:AG, ROW()-1),
         INDEX(AB:AB, ROW()-COUNTIF($F$6:INDEX($F:$F, ROW()-1), $F802)) : INDEX(AB:AB, ROW()-1)
         )
         /SUM(INDEX(AB:AB, ROW()-COUNTIF($F$6:INDEX($F:$F, ROW()-1), $F802)) : INDEX(AB:AB, ROW()-1)),
          AVERAGEIFS(unit_details[Asking PSF],
          unit_details[Active Listing?],TRUE,
          unit_details[Property Name], $F803,
          unit_details[Beds], $L803,
          unit_details[Baths], $M803,
          unit_details[Partial Baths], IF(ISNUMBER($N803),$N803,""),
          unit_details[Sqft],$P803
)),"")</f>
        <v/>
      </c>
      <c r="AH803" s="293" t="str">
        <f>IFERROR(IF($F803="Total",
         SUMPRODUCT(
         INDEX(AH:AH, ROW()-COUNTIF($F$6:INDEX($F:$F, ROW()-1), $F802)) : INDEX(AH:AH, ROW()-1),
         INDEX(AB:AB, ROW()-COUNTIF($F$6:INDEX($F:$F, ROW()-1), $F802)) : INDEX(AB:AB, ROW()-1)
         )
         /SUM(INDEX(AB:AB, ROW()-COUNTIF($F$6:INDEX($F:$F, ROW()-1), $F802)) : INDEX(AB:AB, ROW()-1)),
          AVERAGEIFS(unit_details[Effective Rent],
          unit_details[Active Listing?],TRUE,
          unit_details[Property Name], $F803,
          unit_details[Beds], $L803,
          unit_details[Baths], $M803,
          unit_details[Partial Baths], IF(ISNUMBER($N803),$N803,""),
          unit_details[Sqft],$P803
)),"")</f>
        <v/>
      </c>
      <c r="AI803" s="6" t="str">
        <f>IFERROR(IF($F803="Total",
         SUMPRODUCT(
         INDEX(AI:AI, ROW()-COUNTIF($F$6:INDEX($F:$F, ROW()-1), $F802)) : INDEX(AI:AI, ROW()-1),
         INDEX(AB:AB, ROW()-COUNTIF($F$6:INDEX($F:$F, ROW()-1), $F802)) : INDEX(AB:AB, ROW()-1)
         )
         /SUM(INDEX(AB:AB, ROW()-COUNTIF($F$6:INDEX($F:$F, ROW()-1), $F802)) : INDEX(AB:AB, ROW()-1)),
           AVERAGEIFS(unit_details[Effective PSF],
          unit_details[Active Listing?],TRUE,
          unit_details[Property Name], $F803,
          unit_details[Beds], $L803,
          unit_details[Baths], $M803,
          unit_details[Partial Baths], IF(ISNUMBER($N803),$N803,""),
          unit_details[Sqft],$P803
)),"")</f>
        <v/>
      </c>
      <c r="AJ803" s="824" t="str">
        <f t="shared" si="136"/>
        <v/>
      </c>
      <c r="AK803" s="531" t="str">
        <f t="shared" si="137"/>
        <v/>
      </c>
      <c r="AL803" s="714" t="str">
        <f t="shared" si="138"/>
        <v/>
      </c>
      <c r="AM803" s="531" t="str">
        <f t="shared" si="139"/>
        <v/>
      </c>
      <c r="AN803" s="716" t="str">
        <f t="shared" si="140"/>
        <v/>
      </c>
    </row>
    <row r="804" spans="6:40" x14ac:dyDescent="0.2">
      <c r="F804" s="1" t="str">
        <f t="shared" si="133"/>
        <v/>
      </c>
      <c r="G804" s="713" t="str">
        <f t="shared" si="141"/>
        <v/>
      </c>
      <c r="H804" s="17" t="str">
        <f>IFERROR(VLOOKUP($G804,Table1[[Property]:[Exposure %]],4,0),"")</f>
        <v/>
      </c>
      <c r="I804" s="3" t="str">
        <f>IFERROR(VLOOKUP($G804,Table1[[Property]:[Exposure %]],6,0),"")</f>
        <v/>
      </c>
      <c r="J804" s="3" t="str">
        <f>IFERROR(VLOOKUP($G804,Table1[[Property]:[Exposure %]],7,0),"")</f>
        <v/>
      </c>
      <c r="R804" s="4" t="str">
        <f>IFERROR(VLOOKUP(IF(F804="Total",F803,F804),Table1[[Property]:['# Units]],7,0)*S804,"")</f>
        <v/>
      </c>
      <c r="S804" s="27" t="str">
        <f t="shared" si="134"/>
        <v/>
      </c>
      <c r="T804" s="531" t="str">
        <f>IFERROR(
 IF($F804="Total",
   SUMPRODUCT(
   INDEX(T:T, ROW()-COUNTIF($F$6:INDEX($F:$F, ROW()-1), $F803)) : INDEX(T:T, ROW()-1),
   INDEX(W:W, ROW()-COUNTIF($F$6:INDEX($F:$F, ROW()-1), $F803)) : INDEX(W:W, ROW()-1)
   )
   /SUM(INDEX(W:W, ROW()-COUNTIF($F$6:INDEX($F:$F, ROW()-1), $F803)) : INDEX(W:W, ROW()-1)),
   AVERAGEIFS(
     INDEX((unit_details[Asking Rent],unit_details[Asking PSF]),0,1,IF($U$3="Chunk Rent",1,2)),
     unit_details[Leased Date],"&gt;="&amp;($AM$2-T$5),
     unit_details[Leased Date],"&lt;"&amp;$AM$2,
     unit_details[Beds],$L804,
     unit_details[Baths],$M804,
     unit_details[Partial Baths],IF(ISNUMBER($N804),$N804,""),
     unit_details[Sqft],$P804,
     unit_details[Property Name],$F804)
 ),"")</f>
        <v/>
      </c>
      <c r="U804" s="552" t="str">
        <f>IFERROR(
 IF($F804="Total",
   SUMPRODUCT(
   INDEX(U:U, ROW()-COUNTIF($F$6:INDEX($F:$F, ROW()-1), $F803)) : INDEX(U:U, ROW()-1),
   INDEX(W:W, ROW()-COUNTIF($F$6:INDEX($F:$F, ROW()-1), $F803)) : INDEX(W:W, ROW()-1)
   )
   /SUM(INDEX(W:W, ROW()-COUNTIF($F$6:INDEX($F:$F, ROW()-1), $F803)) : INDEX(W:W, ROW()-1)),
   AVERAGEIFS(
     INDEX((unit_details[Effective Rent],unit_details[Effective PSF]),0,1,IF($U$3="Chunk Rent",1,2)),
     unit_details[Leased Date],"&gt;="&amp;($AM$2-T$5),
     unit_details[Leased Date],"&lt;"&amp;$AM$2,
     unit_details[Beds],$L804,
     unit_details[Baths],$M804,
     unit_details[Partial Baths],IF(ISNUMBER($N804),$N804,""),
     unit_details[Sqft],$P804,
     unit_details[Property Name],$F804)
 ),"")</f>
        <v/>
      </c>
      <c r="V804" s="27" t="str">
        <f t="shared" si="142"/>
        <v/>
      </c>
      <c r="W804" s="526">
        <f>IFERROR(
  IF($F804="Total",
    SUM(INDEX(W:W, ROW()-COUNTIF($F$6:INDEX($F:$F, ROW()-1), $F803)) : INDEX(W:W, ROW()-1)),
    COUNTIFS(
      unit_details[Leased Date], "&gt;="&amp;($AM$2-T$5),
      unit_details[Leased Date], "&lt;"&amp;$AM$2,
      unit_details[Beds], $L804,
      unit_details[Baths], $M804,
      unit_details[Partial Baths], IF(ISNUMBER($N804), $N804, ""),
      unit_details[Sqft],$P804,
      unit_details[Property Name], $F804
    )
  ),
"")</f>
        <v>0</v>
      </c>
      <c r="X804" s="531" t="str">
        <f>IFERROR(
 IF($F804="Total",
   SUMPRODUCT(
   INDEX(X:X, ROW()-COUNTIF($F$6:INDEX($F:$F, ROW()-1), $F803)) : INDEX(X:X, ROW()-1),
   INDEX(AA:AA, ROW()-COUNTIF($F$6:INDEX($F:$F, ROW()-1), $F803)) : INDEX(AA:AA, ROW()-1)
   )
   /SUM(INDEX(AA:AA, ROW()-COUNTIF($F$6:INDEX($F:$F, ROW()-1), $F803)) : INDEX(AA:AA, ROW()-1)),
   AVERAGEIFS(
     INDEX((unit_details[Asking Rent],unit_details[Asking PSF]),0,1,IF($U$3="Chunk Rent",1,2)),
     unit_details[Leased Date],"&gt;="&amp;($AM$2-X$5),
     unit_details[Leased Date],"&lt;"&amp;$AM$2,
     unit_details[Beds],$L804,
     unit_details[Baths],$M804,
     unit_details[Partial Baths],IF(ISNUMBER($N804),$N804,""),
     unit_details[Sqft],$P804,
     unit_details[Property Name],$F804)
 ),"")</f>
        <v/>
      </c>
      <c r="Y804" s="552" t="str">
        <f>IFERROR(
 IF($F804="Total",
   SUMPRODUCT(
   INDEX(Y:Y, ROW()-COUNTIF($F$6:INDEX($F:$F, ROW()-1), $F803)) : INDEX(Y:Y, ROW()-1),
   INDEX(AA:AA, ROW()-COUNTIF($F$6:INDEX($F:$F, ROW()-1), $F803)) : INDEX(AA:AA, ROW()-1)
   )
   /SUM(INDEX(AA:AA, ROW()-COUNTIF($F$6:INDEX($F:$F, ROW()-1), $F803)) : INDEX(AA:AA, ROW()-1)),
   AVERAGEIFS(
     INDEX((unit_details[Effective Rent],unit_details[Effective PSF]),0,1,IF($U$3="Chunk Rent",1,2)),
     unit_details[Leased Date],"&gt;="&amp;($AM$2-X$5),
     unit_details[Leased Date],"&lt;"&amp;$AM$2,
     unit_details[Beds],$L804,
     unit_details[Baths],$M804,
     unit_details[Partial Baths],IF(ISNUMBER($N804),$N804,""),
     unit_details[Sqft],$P804,
     unit_details[Property Name],$F804)
 ),"")</f>
        <v/>
      </c>
      <c r="Z804" s="27" t="str">
        <f t="shared" si="143"/>
        <v/>
      </c>
      <c r="AA804" s="526">
        <f>IFERROR(
  IF($F804="Total",
    SUM(INDEX(AA:AA, ROW()-COUNTIF($F$6:INDEX($F:$F, ROW()-1), $F803)) : INDEX(AA:AA, ROW()-1)),
    COUNTIFS(
      unit_details[Leased Date], "&gt;="&amp;($AM$2-X$5),
      unit_details[Leased Date], "&lt;"&amp;$AM$2,
      unit_details[Beds], $L804,
      unit_details[Baths], $M804,
      unit_details[Partial Baths], IF(ISNUMBER($N804), $N804, ""),
      unit_details[Sqft],$P804,
      unit_details[Property Name], $F804
    )
  ),
"")</f>
        <v>0</v>
      </c>
      <c r="AB804" s="290">
        <f>IF($F804="Total",
SUM(INDEX(AB:AB, ROW()-COUNTIF($F$6:INDEX($F:$F, ROW()-1), $F803)) : INDEX(AB:AB, ROW()-1)),
COUNTIFS(unit_details[Active Listing?],TRUE,
          unit_details[Property Name], $F804,
          unit_details[Beds], $L804,
          unit_details[Baths], $M804,
          unit_details[Partial Baths],IF(ISNUMBER($N804),$N804,""),
          unit_details[Sqft],$P804))</f>
        <v>0</v>
      </c>
      <c r="AC804" s="27" t="str">
        <f t="shared" si="135"/>
        <v/>
      </c>
      <c r="AD804" s="293" t="str">
        <f>IFERROR(IF(AE804="","",IF($F804="Total",
SUMPRODUCT(
   INDEX(AD:AD, ROW()-COUNTIF($F$6:INDEX($F:$F, ROW()-1), $F803)) : INDEX(AD:AD, ROW()-1),
   INDEX(AB:AB, ROW()-COUNTIF($F$6:INDEX($F:$F, ROW()-1), $F803)) : INDEX(AB:AB, ROW()-1)
   )
   /SUM(INDEX(AB:AB, ROW()-COUNTIF($F$6:INDEX($F:$F, ROW()-1), $F803)) : INDEX(AB:AB, ROW()-1)),
          _xlfn.MINIFS(unit_details[Asking Rent],
          unit_details[Active Listing?],TRUE,
          unit_details[Property Name], $F804,
          unit_details[Beds], $L804,
          unit_details[Baths], $M804,
          unit_details[Partial Baths], IF(ISNUMBER($N804),$N804,""),
          unit_details[Sqft],$P804
))),"")</f>
        <v/>
      </c>
      <c r="AE804" s="5" t="str">
        <f>IFERROR(IF($F804="Total",
          SUMPRODUCT(
   INDEX(AE:AE, ROW()-COUNTIF($F$6:INDEX($F:$F, ROW()-1), $F803)) : INDEX(AE:AE, ROW()-1),
   INDEX(AB:AB, ROW()-COUNTIF($F$6:INDEX($F:$F, ROW()-1), $F803)) : INDEX(AB:AB, ROW()-1)
   )
   /SUM(INDEX(AB:AB, ROW()-COUNTIF($F$6:INDEX($F:$F, ROW()-1), $F803)) : INDEX(AB:AB, ROW()-1)),
          AVERAGEIFS(unit_details[Asking Rent],
          unit_details[Active Listing?],TRUE,
          unit_details[Property Name], $F804,
          unit_details[Beds], $L804,
          unit_details[Baths], $M804,
          unit_details[Partial Baths], IF(ISNUMBER($N804),$N804,""),
          unit_details[Sqft],$P804
)),"")</f>
        <v/>
      </c>
      <c r="AF804" s="5" t="str">
        <f>IFERROR(IF(AE804="","",IF($F804="Total",
SUMPRODUCT(
   INDEX(AF:AF, ROW()-COUNTIF($F$6:INDEX($F:$F, ROW()-1), $F803)) : INDEX(AF:AF, ROW()-1),
   INDEX(AB:AB, ROW()-COUNTIF($F$6:INDEX($F:$F, ROW()-1), $F803)) : INDEX(AB:AB, ROW()-1)
   )
   /SUM(INDEX(AB:AB, ROW()-COUNTIF($F$6:INDEX($F:$F, ROW()-1), $F803)) : INDEX(AB:AB, ROW()-1)),
           _xlfn.MAXIFS(unit_details[Asking Rent],
          unit_details[Active Listing?],TRUE,
          unit_details[Property Name], $F804,
          unit_details[Beds], $L804,
          unit_details[Baths], $M804,
          unit_details[Partial Baths], IF(ISNUMBER($N804),$N804,""),
          unit_details[Sqft],$P804
))),"")</f>
        <v/>
      </c>
      <c r="AG804" s="6" t="str">
        <f>IFERROR(IF($F804="Total",
         SUMPRODUCT(
         INDEX(AG:AG, ROW()-COUNTIF($F$6:INDEX($F:$F, ROW()-1), $F803)) : INDEX(AG:AG, ROW()-1),
         INDEX(AB:AB, ROW()-COUNTIF($F$6:INDEX($F:$F, ROW()-1), $F803)) : INDEX(AB:AB, ROW()-1)
         )
         /SUM(INDEX(AB:AB, ROW()-COUNTIF($F$6:INDEX($F:$F, ROW()-1), $F803)) : INDEX(AB:AB, ROW()-1)),
          AVERAGEIFS(unit_details[Asking PSF],
          unit_details[Active Listing?],TRUE,
          unit_details[Property Name], $F804,
          unit_details[Beds], $L804,
          unit_details[Baths], $M804,
          unit_details[Partial Baths], IF(ISNUMBER($N804),$N804,""),
          unit_details[Sqft],$P804
)),"")</f>
        <v/>
      </c>
      <c r="AH804" s="293" t="str">
        <f>IFERROR(IF($F804="Total",
         SUMPRODUCT(
         INDEX(AH:AH, ROW()-COUNTIF($F$6:INDEX($F:$F, ROW()-1), $F803)) : INDEX(AH:AH, ROW()-1),
         INDEX(AB:AB, ROW()-COUNTIF($F$6:INDEX($F:$F, ROW()-1), $F803)) : INDEX(AB:AB, ROW()-1)
         )
         /SUM(INDEX(AB:AB, ROW()-COUNTIF($F$6:INDEX($F:$F, ROW()-1), $F803)) : INDEX(AB:AB, ROW()-1)),
          AVERAGEIFS(unit_details[Effective Rent],
          unit_details[Active Listing?],TRUE,
          unit_details[Property Name], $F804,
          unit_details[Beds], $L804,
          unit_details[Baths], $M804,
          unit_details[Partial Baths], IF(ISNUMBER($N804),$N804,""),
          unit_details[Sqft],$P804
)),"")</f>
        <v/>
      </c>
      <c r="AI804" s="6" t="str">
        <f>IFERROR(IF($F804="Total",
         SUMPRODUCT(
         INDEX(AI:AI, ROW()-COUNTIF($F$6:INDEX($F:$F, ROW()-1), $F803)) : INDEX(AI:AI, ROW()-1),
         INDEX(AB:AB, ROW()-COUNTIF($F$6:INDEX($F:$F, ROW()-1), $F803)) : INDEX(AB:AB, ROW()-1)
         )
         /SUM(INDEX(AB:AB, ROW()-COUNTIF($F$6:INDEX($F:$F, ROW()-1), $F803)) : INDEX(AB:AB, ROW()-1)),
           AVERAGEIFS(unit_details[Effective PSF],
          unit_details[Active Listing?],TRUE,
          unit_details[Property Name], $F804,
          unit_details[Beds], $L804,
          unit_details[Baths], $M804,
          unit_details[Partial Baths], IF(ISNUMBER($N804),$N804,""),
          unit_details[Sqft],$P804
)),"")</f>
        <v/>
      </c>
      <c r="AJ804" s="824" t="str">
        <f t="shared" si="136"/>
        <v/>
      </c>
      <c r="AK804" s="531" t="str">
        <f t="shared" si="137"/>
        <v/>
      </c>
      <c r="AL804" s="714" t="str">
        <f t="shared" si="138"/>
        <v/>
      </c>
      <c r="AM804" s="531" t="str">
        <f t="shared" si="139"/>
        <v/>
      </c>
      <c r="AN804" s="716" t="str">
        <f t="shared" si="140"/>
        <v/>
      </c>
    </row>
    <row r="805" spans="6:40" x14ac:dyDescent="0.2">
      <c r="F805" s="1" t="str">
        <f t="shared" si="133"/>
        <v/>
      </c>
      <c r="G805" s="713" t="str">
        <f t="shared" si="141"/>
        <v/>
      </c>
      <c r="H805" s="17" t="str">
        <f>IFERROR(VLOOKUP($G805,Table1[[Property]:[Exposure %]],4,0),"")</f>
        <v/>
      </c>
      <c r="I805" s="3" t="str">
        <f>IFERROR(VLOOKUP($G805,Table1[[Property]:[Exposure %]],6,0),"")</f>
        <v/>
      </c>
      <c r="J805" s="3" t="str">
        <f>IFERROR(VLOOKUP($G805,Table1[[Property]:[Exposure %]],7,0),"")</f>
        <v/>
      </c>
      <c r="R805" s="4" t="str">
        <f>IFERROR(VLOOKUP(IF(F805="Total",F804,F805),Table1[[Property]:['# Units]],7,0)*S805,"")</f>
        <v/>
      </c>
      <c r="S805" s="27" t="str">
        <f t="shared" si="134"/>
        <v/>
      </c>
      <c r="T805" s="531" t="str">
        <f>IFERROR(
 IF($F805="Total",
   SUMPRODUCT(
   INDEX(T:T, ROW()-COUNTIF($F$6:INDEX($F:$F, ROW()-1), $F804)) : INDEX(T:T, ROW()-1),
   INDEX(W:W, ROW()-COUNTIF($F$6:INDEX($F:$F, ROW()-1), $F804)) : INDEX(W:W, ROW()-1)
   )
   /SUM(INDEX(W:W, ROW()-COUNTIF($F$6:INDEX($F:$F, ROW()-1), $F804)) : INDEX(W:W, ROW()-1)),
   AVERAGEIFS(
     INDEX((unit_details[Asking Rent],unit_details[Asking PSF]),0,1,IF($U$3="Chunk Rent",1,2)),
     unit_details[Leased Date],"&gt;="&amp;($AM$2-T$5),
     unit_details[Leased Date],"&lt;"&amp;$AM$2,
     unit_details[Beds],$L805,
     unit_details[Baths],$M805,
     unit_details[Partial Baths],IF(ISNUMBER($N805),$N805,""),
     unit_details[Sqft],$P805,
     unit_details[Property Name],$F805)
 ),"")</f>
        <v/>
      </c>
      <c r="U805" s="552" t="str">
        <f>IFERROR(
 IF($F805="Total",
   SUMPRODUCT(
   INDEX(U:U, ROW()-COUNTIF($F$6:INDEX($F:$F, ROW()-1), $F804)) : INDEX(U:U, ROW()-1),
   INDEX(W:W, ROW()-COUNTIF($F$6:INDEX($F:$F, ROW()-1), $F804)) : INDEX(W:W, ROW()-1)
   )
   /SUM(INDEX(W:W, ROW()-COUNTIF($F$6:INDEX($F:$F, ROW()-1), $F804)) : INDEX(W:W, ROW()-1)),
   AVERAGEIFS(
     INDEX((unit_details[Effective Rent],unit_details[Effective PSF]),0,1,IF($U$3="Chunk Rent",1,2)),
     unit_details[Leased Date],"&gt;="&amp;($AM$2-T$5),
     unit_details[Leased Date],"&lt;"&amp;$AM$2,
     unit_details[Beds],$L805,
     unit_details[Baths],$M805,
     unit_details[Partial Baths],IF(ISNUMBER($N805),$N805,""),
     unit_details[Sqft],$P805,
     unit_details[Property Name],$F805)
 ),"")</f>
        <v/>
      </c>
      <c r="V805" s="27" t="str">
        <f t="shared" si="142"/>
        <v/>
      </c>
      <c r="W805" s="526">
        <f>IFERROR(
  IF($F805="Total",
    SUM(INDEX(W:W, ROW()-COUNTIF($F$6:INDEX($F:$F, ROW()-1), $F804)) : INDEX(W:W, ROW()-1)),
    COUNTIFS(
      unit_details[Leased Date], "&gt;="&amp;($AM$2-T$5),
      unit_details[Leased Date], "&lt;"&amp;$AM$2,
      unit_details[Beds], $L805,
      unit_details[Baths], $M805,
      unit_details[Partial Baths], IF(ISNUMBER($N805), $N805, ""),
      unit_details[Sqft],$P805,
      unit_details[Property Name], $F805
    )
  ),
"")</f>
        <v>0</v>
      </c>
      <c r="X805" s="531" t="str">
        <f>IFERROR(
 IF($F805="Total",
   SUMPRODUCT(
   INDEX(X:X, ROW()-COUNTIF($F$6:INDEX($F:$F, ROW()-1), $F804)) : INDEX(X:X, ROW()-1),
   INDEX(AA:AA, ROW()-COUNTIF($F$6:INDEX($F:$F, ROW()-1), $F804)) : INDEX(AA:AA, ROW()-1)
   )
   /SUM(INDEX(AA:AA, ROW()-COUNTIF($F$6:INDEX($F:$F, ROW()-1), $F804)) : INDEX(AA:AA, ROW()-1)),
   AVERAGEIFS(
     INDEX((unit_details[Asking Rent],unit_details[Asking PSF]),0,1,IF($U$3="Chunk Rent",1,2)),
     unit_details[Leased Date],"&gt;="&amp;($AM$2-X$5),
     unit_details[Leased Date],"&lt;"&amp;$AM$2,
     unit_details[Beds],$L805,
     unit_details[Baths],$M805,
     unit_details[Partial Baths],IF(ISNUMBER($N805),$N805,""),
     unit_details[Sqft],$P805,
     unit_details[Property Name],$F805)
 ),"")</f>
        <v/>
      </c>
      <c r="Y805" s="552" t="str">
        <f>IFERROR(
 IF($F805="Total",
   SUMPRODUCT(
   INDEX(Y:Y, ROW()-COUNTIF($F$6:INDEX($F:$F, ROW()-1), $F804)) : INDEX(Y:Y, ROW()-1),
   INDEX(AA:AA, ROW()-COUNTIF($F$6:INDEX($F:$F, ROW()-1), $F804)) : INDEX(AA:AA, ROW()-1)
   )
   /SUM(INDEX(AA:AA, ROW()-COUNTIF($F$6:INDEX($F:$F, ROW()-1), $F804)) : INDEX(AA:AA, ROW()-1)),
   AVERAGEIFS(
     INDEX((unit_details[Effective Rent],unit_details[Effective PSF]),0,1,IF($U$3="Chunk Rent",1,2)),
     unit_details[Leased Date],"&gt;="&amp;($AM$2-X$5),
     unit_details[Leased Date],"&lt;"&amp;$AM$2,
     unit_details[Beds],$L805,
     unit_details[Baths],$M805,
     unit_details[Partial Baths],IF(ISNUMBER($N805),$N805,""),
     unit_details[Sqft],$P805,
     unit_details[Property Name],$F805)
 ),"")</f>
        <v/>
      </c>
      <c r="Z805" s="27" t="str">
        <f t="shared" si="143"/>
        <v/>
      </c>
      <c r="AA805" s="526">
        <f>IFERROR(
  IF($F805="Total",
    SUM(INDEX(AA:AA, ROW()-COUNTIF($F$6:INDEX($F:$F, ROW()-1), $F804)) : INDEX(AA:AA, ROW()-1)),
    COUNTIFS(
      unit_details[Leased Date], "&gt;="&amp;($AM$2-X$5),
      unit_details[Leased Date], "&lt;"&amp;$AM$2,
      unit_details[Beds], $L805,
      unit_details[Baths], $M805,
      unit_details[Partial Baths], IF(ISNUMBER($N805), $N805, ""),
      unit_details[Sqft],$P805,
      unit_details[Property Name], $F805
    )
  ),
"")</f>
        <v>0</v>
      </c>
      <c r="AB805" s="290">
        <f>IF($F805="Total",
SUM(INDEX(AB:AB, ROW()-COUNTIF($F$6:INDEX($F:$F, ROW()-1), $F804)) : INDEX(AB:AB, ROW()-1)),
COUNTIFS(unit_details[Active Listing?],TRUE,
          unit_details[Property Name], $F805,
          unit_details[Beds], $L805,
          unit_details[Baths], $M805,
          unit_details[Partial Baths],IF(ISNUMBER($N805),$N805,""),
          unit_details[Sqft],$P805))</f>
        <v>0</v>
      </c>
      <c r="AC805" s="27" t="str">
        <f t="shared" si="135"/>
        <v/>
      </c>
      <c r="AD805" s="293" t="str">
        <f>IFERROR(IF(AE805="","",IF($F805="Total",
SUMPRODUCT(
   INDEX(AD:AD, ROW()-COUNTIF($F$6:INDEX($F:$F, ROW()-1), $F804)) : INDEX(AD:AD, ROW()-1),
   INDEX(AB:AB, ROW()-COUNTIF($F$6:INDEX($F:$F, ROW()-1), $F804)) : INDEX(AB:AB, ROW()-1)
   )
   /SUM(INDEX(AB:AB, ROW()-COUNTIF($F$6:INDEX($F:$F, ROW()-1), $F804)) : INDEX(AB:AB, ROW()-1)),
          _xlfn.MINIFS(unit_details[Asking Rent],
          unit_details[Active Listing?],TRUE,
          unit_details[Property Name], $F805,
          unit_details[Beds], $L805,
          unit_details[Baths], $M805,
          unit_details[Partial Baths], IF(ISNUMBER($N805),$N805,""),
          unit_details[Sqft],$P805
))),"")</f>
        <v/>
      </c>
      <c r="AE805" s="5" t="str">
        <f>IFERROR(IF($F805="Total",
          SUMPRODUCT(
   INDEX(AE:AE, ROW()-COUNTIF($F$6:INDEX($F:$F, ROW()-1), $F804)) : INDEX(AE:AE, ROW()-1),
   INDEX(AB:AB, ROW()-COUNTIF($F$6:INDEX($F:$F, ROW()-1), $F804)) : INDEX(AB:AB, ROW()-1)
   )
   /SUM(INDEX(AB:AB, ROW()-COUNTIF($F$6:INDEX($F:$F, ROW()-1), $F804)) : INDEX(AB:AB, ROW()-1)),
          AVERAGEIFS(unit_details[Asking Rent],
          unit_details[Active Listing?],TRUE,
          unit_details[Property Name], $F805,
          unit_details[Beds], $L805,
          unit_details[Baths], $M805,
          unit_details[Partial Baths], IF(ISNUMBER($N805),$N805,""),
          unit_details[Sqft],$P805
)),"")</f>
        <v/>
      </c>
      <c r="AF805" s="5" t="str">
        <f>IFERROR(IF(AE805="","",IF($F805="Total",
SUMPRODUCT(
   INDEX(AF:AF, ROW()-COUNTIF($F$6:INDEX($F:$F, ROW()-1), $F804)) : INDEX(AF:AF, ROW()-1),
   INDEX(AB:AB, ROW()-COUNTIF($F$6:INDEX($F:$F, ROW()-1), $F804)) : INDEX(AB:AB, ROW()-1)
   )
   /SUM(INDEX(AB:AB, ROW()-COUNTIF($F$6:INDEX($F:$F, ROW()-1), $F804)) : INDEX(AB:AB, ROW()-1)),
           _xlfn.MAXIFS(unit_details[Asking Rent],
          unit_details[Active Listing?],TRUE,
          unit_details[Property Name], $F805,
          unit_details[Beds], $L805,
          unit_details[Baths], $M805,
          unit_details[Partial Baths], IF(ISNUMBER($N805),$N805,""),
          unit_details[Sqft],$P805
))),"")</f>
        <v/>
      </c>
      <c r="AG805" s="6" t="str">
        <f>IFERROR(IF($F805="Total",
         SUMPRODUCT(
         INDEX(AG:AG, ROW()-COUNTIF($F$6:INDEX($F:$F, ROW()-1), $F804)) : INDEX(AG:AG, ROW()-1),
         INDEX(AB:AB, ROW()-COUNTIF($F$6:INDEX($F:$F, ROW()-1), $F804)) : INDEX(AB:AB, ROW()-1)
         )
         /SUM(INDEX(AB:AB, ROW()-COUNTIF($F$6:INDEX($F:$F, ROW()-1), $F804)) : INDEX(AB:AB, ROW()-1)),
          AVERAGEIFS(unit_details[Asking PSF],
          unit_details[Active Listing?],TRUE,
          unit_details[Property Name], $F805,
          unit_details[Beds], $L805,
          unit_details[Baths], $M805,
          unit_details[Partial Baths], IF(ISNUMBER($N805),$N805,""),
          unit_details[Sqft],$P805
)),"")</f>
        <v/>
      </c>
      <c r="AH805" s="293" t="str">
        <f>IFERROR(IF($F805="Total",
         SUMPRODUCT(
         INDEX(AH:AH, ROW()-COUNTIF($F$6:INDEX($F:$F, ROW()-1), $F804)) : INDEX(AH:AH, ROW()-1),
         INDEX(AB:AB, ROW()-COUNTIF($F$6:INDEX($F:$F, ROW()-1), $F804)) : INDEX(AB:AB, ROW()-1)
         )
         /SUM(INDEX(AB:AB, ROW()-COUNTIF($F$6:INDEX($F:$F, ROW()-1), $F804)) : INDEX(AB:AB, ROW()-1)),
          AVERAGEIFS(unit_details[Effective Rent],
          unit_details[Active Listing?],TRUE,
          unit_details[Property Name], $F805,
          unit_details[Beds], $L805,
          unit_details[Baths], $M805,
          unit_details[Partial Baths], IF(ISNUMBER($N805),$N805,""),
          unit_details[Sqft],$P805
)),"")</f>
        <v/>
      </c>
      <c r="AI805" s="6" t="str">
        <f>IFERROR(IF($F805="Total",
         SUMPRODUCT(
         INDEX(AI:AI, ROW()-COUNTIF($F$6:INDEX($F:$F, ROW()-1), $F804)) : INDEX(AI:AI, ROW()-1),
         INDEX(AB:AB, ROW()-COUNTIF($F$6:INDEX($F:$F, ROW()-1), $F804)) : INDEX(AB:AB, ROW()-1)
         )
         /SUM(INDEX(AB:AB, ROW()-COUNTIF($F$6:INDEX($F:$F, ROW()-1), $F804)) : INDEX(AB:AB, ROW()-1)),
           AVERAGEIFS(unit_details[Effective PSF],
          unit_details[Active Listing?],TRUE,
          unit_details[Property Name], $F805,
          unit_details[Beds], $L805,
          unit_details[Baths], $M805,
          unit_details[Partial Baths], IF(ISNUMBER($N805),$N805,""),
          unit_details[Sqft],$P805
)),"")</f>
        <v/>
      </c>
      <c r="AJ805" s="824" t="str">
        <f t="shared" si="136"/>
        <v/>
      </c>
      <c r="AK805" s="531" t="str">
        <f t="shared" si="137"/>
        <v/>
      </c>
      <c r="AL805" s="714" t="str">
        <f t="shared" si="138"/>
        <v/>
      </c>
      <c r="AM805" s="531" t="str">
        <f t="shared" si="139"/>
        <v/>
      </c>
      <c r="AN805" s="716" t="str">
        <f t="shared" si="140"/>
        <v/>
      </c>
    </row>
    <row r="806" spans="6:40" x14ac:dyDescent="0.2">
      <c r="F806" s="1" t="str">
        <f t="shared" si="133"/>
        <v/>
      </c>
      <c r="G806" s="713" t="str">
        <f t="shared" si="141"/>
        <v/>
      </c>
      <c r="H806" s="17" t="str">
        <f>IFERROR(VLOOKUP($G806,Table1[[Property]:[Exposure %]],4,0),"")</f>
        <v/>
      </c>
      <c r="I806" s="3" t="str">
        <f>IFERROR(VLOOKUP($G806,Table1[[Property]:[Exposure %]],6,0),"")</f>
        <v/>
      </c>
      <c r="J806" s="3" t="str">
        <f>IFERROR(VLOOKUP($G806,Table1[[Property]:[Exposure %]],7,0),"")</f>
        <v/>
      </c>
      <c r="R806" s="4" t="str">
        <f>IFERROR(VLOOKUP(IF(F806="Total",F805,F806),Table1[[Property]:['# Units]],7,0)*S806,"")</f>
        <v/>
      </c>
      <c r="S806" s="27" t="str">
        <f t="shared" si="134"/>
        <v/>
      </c>
      <c r="T806" s="531" t="str">
        <f>IFERROR(
 IF($F806="Total",
   SUMPRODUCT(
   INDEX(T:T, ROW()-COUNTIF($F$6:INDEX($F:$F, ROW()-1), $F805)) : INDEX(T:T, ROW()-1),
   INDEX(W:W, ROW()-COUNTIF($F$6:INDEX($F:$F, ROW()-1), $F805)) : INDEX(W:W, ROW()-1)
   )
   /SUM(INDEX(W:W, ROW()-COUNTIF($F$6:INDEX($F:$F, ROW()-1), $F805)) : INDEX(W:W, ROW()-1)),
   AVERAGEIFS(
     INDEX((unit_details[Asking Rent],unit_details[Asking PSF]),0,1,IF($U$3="Chunk Rent",1,2)),
     unit_details[Leased Date],"&gt;="&amp;($AM$2-T$5),
     unit_details[Leased Date],"&lt;"&amp;$AM$2,
     unit_details[Beds],$L806,
     unit_details[Baths],$M806,
     unit_details[Partial Baths],IF(ISNUMBER($N806),$N806,""),
     unit_details[Sqft],$P806,
     unit_details[Property Name],$F806)
 ),"")</f>
        <v/>
      </c>
      <c r="U806" s="552" t="str">
        <f>IFERROR(
 IF($F806="Total",
   SUMPRODUCT(
   INDEX(U:U, ROW()-COUNTIF($F$6:INDEX($F:$F, ROW()-1), $F805)) : INDEX(U:U, ROW()-1),
   INDEX(W:W, ROW()-COUNTIF($F$6:INDEX($F:$F, ROW()-1), $F805)) : INDEX(W:W, ROW()-1)
   )
   /SUM(INDEX(W:W, ROW()-COUNTIF($F$6:INDEX($F:$F, ROW()-1), $F805)) : INDEX(W:W, ROW()-1)),
   AVERAGEIFS(
     INDEX((unit_details[Effective Rent],unit_details[Effective PSF]),0,1,IF($U$3="Chunk Rent",1,2)),
     unit_details[Leased Date],"&gt;="&amp;($AM$2-T$5),
     unit_details[Leased Date],"&lt;"&amp;$AM$2,
     unit_details[Beds],$L806,
     unit_details[Baths],$M806,
     unit_details[Partial Baths],IF(ISNUMBER($N806),$N806,""),
     unit_details[Sqft],$P806,
     unit_details[Property Name],$F806)
 ),"")</f>
        <v/>
      </c>
      <c r="V806" s="27" t="str">
        <f t="shared" si="142"/>
        <v/>
      </c>
      <c r="W806" s="526">
        <f>IFERROR(
  IF($F806="Total",
    SUM(INDEX(W:W, ROW()-COUNTIF($F$6:INDEX($F:$F, ROW()-1), $F805)) : INDEX(W:W, ROW()-1)),
    COUNTIFS(
      unit_details[Leased Date], "&gt;="&amp;($AM$2-T$5),
      unit_details[Leased Date], "&lt;"&amp;$AM$2,
      unit_details[Beds], $L806,
      unit_details[Baths], $M806,
      unit_details[Partial Baths], IF(ISNUMBER($N806), $N806, ""),
      unit_details[Sqft],$P806,
      unit_details[Property Name], $F806
    )
  ),
"")</f>
        <v>0</v>
      </c>
      <c r="X806" s="531" t="str">
        <f>IFERROR(
 IF($F806="Total",
   SUMPRODUCT(
   INDEX(X:X, ROW()-COUNTIF($F$6:INDEX($F:$F, ROW()-1), $F805)) : INDEX(X:X, ROW()-1),
   INDEX(AA:AA, ROW()-COUNTIF($F$6:INDEX($F:$F, ROW()-1), $F805)) : INDEX(AA:AA, ROW()-1)
   )
   /SUM(INDEX(AA:AA, ROW()-COUNTIF($F$6:INDEX($F:$F, ROW()-1), $F805)) : INDEX(AA:AA, ROW()-1)),
   AVERAGEIFS(
     INDEX((unit_details[Asking Rent],unit_details[Asking PSF]),0,1,IF($U$3="Chunk Rent",1,2)),
     unit_details[Leased Date],"&gt;="&amp;($AM$2-X$5),
     unit_details[Leased Date],"&lt;"&amp;$AM$2,
     unit_details[Beds],$L806,
     unit_details[Baths],$M806,
     unit_details[Partial Baths],IF(ISNUMBER($N806),$N806,""),
     unit_details[Sqft],$P806,
     unit_details[Property Name],$F806)
 ),"")</f>
        <v/>
      </c>
      <c r="Y806" s="552" t="str">
        <f>IFERROR(
 IF($F806="Total",
   SUMPRODUCT(
   INDEX(Y:Y, ROW()-COUNTIF($F$6:INDEX($F:$F, ROW()-1), $F805)) : INDEX(Y:Y, ROW()-1),
   INDEX(AA:AA, ROW()-COUNTIF($F$6:INDEX($F:$F, ROW()-1), $F805)) : INDEX(AA:AA, ROW()-1)
   )
   /SUM(INDEX(AA:AA, ROW()-COUNTIF($F$6:INDEX($F:$F, ROW()-1), $F805)) : INDEX(AA:AA, ROW()-1)),
   AVERAGEIFS(
     INDEX((unit_details[Effective Rent],unit_details[Effective PSF]),0,1,IF($U$3="Chunk Rent",1,2)),
     unit_details[Leased Date],"&gt;="&amp;($AM$2-X$5),
     unit_details[Leased Date],"&lt;"&amp;$AM$2,
     unit_details[Beds],$L806,
     unit_details[Baths],$M806,
     unit_details[Partial Baths],IF(ISNUMBER($N806),$N806,""),
     unit_details[Sqft],$P806,
     unit_details[Property Name],$F806)
 ),"")</f>
        <v/>
      </c>
      <c r="Z806" s="27" t="str">
        <f t="shared" si="143"/>
        <v/>
      </c>
      <c r="AA806" s="526">
        <f>IFERROR(
  IF($F806="Total",
    SUM(INDEX(AA:AA, ROW()-COUNTIF($F$6:INDEX($F:$F, ROW()-1), $F805)) : INDEX(AA:AA, ROW()-1)),
    COUNTIFS(
      unit_details[Leased Date], "&gt;="&amp;($AM$2-X$5),
      unit_details[Leased Date], "&lt;"&amp;$AM$2,
      unit_details[Beds], $L806,
      unit_details[Baths], $M806,
      unit_details[Partial Baths], IF(ISNUMBER($N806), $N806, ""),
      unit_details[Sqft],$P806,
      unit_details[Property Name], $F806
    )
  ),
"")</f>
        <v>0</v>
      </c>
      <c r="AB806" s="290">
        <f>IF($F806="Total",
SUM(INDEX(AB:AB, ROW()-COUNTIF($F$6:INDEX($F:$F, ROW()-1), $F805)) : INDEX(AB:AB, ROW()-1)),
COUNTIFS(unit_details[Active Listing?],TRUE,
          unit_details[Property Name], $F806,
          unit_details[Beds], $L806,
          unit_details[Baths], $M806,
          unit_details[Partial Baths],IF(ISNUMBER($N806),$N806,""),
          unit_details[Sqft],$P806))</f>
        <v>0</v>
      </c>
      <c r="AC806" s="27" t="str">
        <f t="shared" si="135"/>
        <v/>
      </c>
      <c r="AD806" s="293" t="str">
        <f>IFERROR(IF(AE806="","",IF($F806="Total",
SUMPRODUCT(
   INDEX(AD:AD, ROW()-COUNTIF($F$6:INDEX($F:$F, ROW()-1), $F805)) : INDEX(AD:AD, ROW()-1),
   INDEX(AB:AB, ROW()-COUNTIF($F$6:INDEX($F:$F, ROW()-1), $F805)) : INDEX(AB:AB, ROW()-1)
   )
   /SUM(INDEX(AB:AB, ROW()-COUNTIF($F$6:INDEX($F:$F, ROW()-1), $F805)) : INDEX(AB:AB, ROW()-1)),
          _xlfn.MINIFS(unit_details[Asking Rent],
          unit_details[Active Listing?],TRUE,
          unit_details[Property Name], $F806,
          unit_details[Beds], $L806,
          unit_details[Baths], $M806,
          unit_details[Partial Baths], IF(ISNUMBER($N806),$N806,""),
          unit_details[Sqft],$P806
))),"")</f>
        <v/>
      </c>
      <c r="AE806" s="5" t="str">
        <f>IFERROR(IF($F806="Total",
          SUMPRODUCT(
   INDEX(AE:AE, ROW()-COUNTIF($F$6:INDEX($F:$F, ROW()-1), $F805)) : INDEX(AE:AE, ROW()-1),
   INDEX(AB:AB, ROW()-COUNTIF($F$6:INDEX($F:$F, ROW()-1), $F805)) : INDEX(AB:AB, ROW()-1)
   )
   /SUM(INDEX(AB:AB, ROW()-COUNTIF($F$6:INDEX($F:$F, ROW()-1), $F805)) : INDEX(AB:AB, ROW()-1)),
          AVERAGEIFS(unit_details[Asking Rent],
          unit_details[Active Listing?],TRUE,
          unit_details[Property Name], $F806,
          unit_details[Beds], $L806,
          unit_details[Baths], $M806,
          unit_details[Partial Baths], IF(ISNUMBER($N806),$N806,""),
          unit_details[Sqft],$P806
)),"")</f>
        <v/>
      </c>
      <c r="AF806" s="5" t="str">
        <f>IFERROR(IF(AE806="","",IF($F806="Total",
SUMPRODUCT(
   INDEX(AF:AF, ROW()-COUNTIF($F$6:INDEX($F:$F, ROW()-1), $F805)) : INDEX(AF:AF, ROW()-1),
   INDEX(AB:AB, ROW()-COUNTIF($F$6:INDEX($F:$F, ROW()-1), $F805)) : INDEX(AB:AB, ROW()-1)
   )
   /SUM(INDEX(AB:AB, ROW()-COUNTIF($F$6:INDEX($F:$F, ROW()-1), $F805)) : INDEX(AB:AB, ROW()-1)),
           _xlfn.MAXIFS(unit_details[Asking Rent],
          unit_details[Active Listing?],TRUE,
          unit_details[Property Name], $F806,
          unit_details[Beds], $L806,
          unit_details[Baths], $M806,
          unit_details[Partial Baths], IF(ISNUMBER($N806),$N806,""),
          unit_details[Sqft],$P806
))),"")</f>
        <v/>
      </c>
      <c r="AG806" s="6" t="str">
        <f>IFERROR(IF($F806="Total",
         SUMPRODUCT(
         INDEX(AG:AG, ROW()-COUNTIF($F$6:INDEX($F:$F, ROW()-1), $F805)) : INDEX(AG:AG, ROW()-1),
         INDEX(AB:AB, ROW()-COUNTIF($F$6:INDEX($F:$F, ROW()-1), $F805)) : INDEX(AB:AB, ROW()-1)
         )
         /SUM(INDEX(AB:AB, ROW()-COUNTIF($F$6:INDEX($F:$F, ROW()-1), $F805)) : INDEX(AB:AB, ROW()-1)),
          AVERAGEIFS(unit_details[Asking PSF],
          unit_details[Active Listing?],TRUE,
          unit_details[Property Name], $F806,
          unit_details[Beds], $L806,
          unit_details[Baths], $M806,
          unit_details[Partial Baths], IF(ISNUMBER($N806),$N806,""),
          unit_details[Sqft],$P806
)),"")</f>
        <v/>
      </c>
      <c r="AH806" s="293" t="str">
        <f>IFERROR(IF($F806="Total",
         SUMPRODUCT(
         INDEX(AH:AH, ROW()-COUNTIF($F$6:INDEX($F:$F, ROW()-1), $F805)) : INDEX(AH:AH, ROW()-1),
         INDEX(AB:AB, ROW()-COUNTIF($F$6:INDEX($F:$F, ROW()-1), $F805)) : INDEX(AB:AB, ROW()-1)
         )
         /SUM(INDEX(AB:AB, ROW()-COUNTIF($F$6:INDEX($F:$F, ROW()-1), $F805)) : INDEX(AB:AB, ROW()-1)),
          AVERAGEIFS(unit_details[Effective Rent],
          unit_details[Active Listing?],TRUE,
          unit_details[Property Name], $F806,
          unit_details[Beds], $L806,
          unit_details[Baths], $M806,
          unit_details[Partial Baths], IF(ISNUMBER($N806),$N806,""),
          unit_details[Sqft],$P806
)),"")</f>
        <v/>
      </c>
      <c r="AI806" s="6" t="str">
        <f>IFERROR(IF($F806="Total",
         SUMPRODUCT(
         INDEX(AI:AI, ROW()-COUNTIF($F$6:INDEX($F:$F, ROW()-1), $F805)) : INDEX(AI:AI, ROW()-1),
         INDEX(AB:AB, ROW()-COUNTIF($F$6:INDEX($F:$F, ROW()-1), $F805)) : INDEX(AB:AB, ROW()-1)
         )
         /SUM(INDEX(AB:AB, ROW()-COUNTIF($F$6:INDEX($F:$F, ROW()-1), $F805)) : INDEX(AB:AB, ROW()-1)),
           AVERAGEIFS(unit_details[Effective PSF],
          unit_details[Active Listing?],TRUE,
          unit_details[Property Name], $F806,
          unit_details[Beds], $L806,
          unit_details[Baths], $M806,
          unit_details[Partial Baths], IF(ISNUMBER($N806),$N806,""),
          unit_details[Sqft],$P806
)),"")</f>
        <v/>
      </c>
      <c r="AJ806" s="824" t="str">
        <f t="shared" si="136"/>
        <v/>
      </c>
      <c r="AK806" s="531" t="str">
        <f t="shared" si="137"/>
        <v/>
      </c>
      <c r="AL806" s="714" t="str">
        <f t="shared" si="138"/>
        <v/>
      </c>
      <c r="AM806" s="531" t="str">
        <f t="shared" si="139"/>
        <v/>
      </c>
      <c r="AN806" s="716" t="str">
        <f t="shared" si="140"/>
        <v/>
      </c>
    </row>
  </sheetData>
  <mergeCells count="10">
    <mergeCell ref="AM2:AN2"/>
    <mergeCell ref="U3:W3"/>
    <mergeCell ref="AK5:AL5"/>
    <mergeCell ref="AM5:AN5"/>
    <mergeCell ref="AM3:AN3"/>
    <mergeCell ref="U5:W5"/>
    <mergeCell ref="Y5:AA5"/>
    <mergeCell ref="AB5:AC5"/>
    <mergeCell ref="AD5:AG5"/>
    <mergeCell ref="AH5:AJ5"/>
  </mergeCells>
  <conditionalFormatting sqref="F7:J806 R7:AN806">
    <cfRule type="expression" dxfId="2386" priority="41">
      <formula>INDIRECT("F"&amp;ROW())="Total"</formula>
    </cfRule>
  </conditionalFormatting>
  <conditionalFormatting sqref="T7:U806">
    <cfRule type="cellIs" dxfId="2385" priority="2" operator="lessThan">
      <formula>20</formula>
    </cfRule>
  </conditionalFormatting>
  <conditionalFormatting sqref="X7:Y806">
    <cfRule type="cellIs" dxfId="2384" priority="1" operator="lessThan">
      <formula>20</formula>
    </cfRule>
  </conditionalFormatting>
  <conditionalFormatting sqref="Z7:Z806">
    <cfRule type="cellIs" dxfId="2383" priority="4" operator="equal">
      <formula>0</formula>
    </cfRule>
  </conditionalFormatting>
  <conditionalFormatting sqref="AB7:AC806">
    <cfRule type="cellIs" dxfId="2382" priority="12" operator="equal">
      <formula>0</formula>
    </cfRule>
  </conditionalFormatting>
  <conditionalFormatting sqref="AK7:AK806 AM7:AM806">
    <cfRule type="expression" dxfId="2381" priority="22">
      <formula>$U$3="Rent PSF"</formula>
    </cfRule>
  </conditionalFormatting>
  <conditionalFormatting sqref="AK7:AN806">
    <cfRule type="expression" dxfId="2380" priority="26">
      <formula>AND(ISNUMBER(AK7),AK7&lt;0)</formula>
    </cfRule>
    <cfRule type="expression" dxfId="2379" priority="27">
      <formula>AND(ISNUMBER(AK7),AK7&gt;0)</formula>
    </cfRule>
  </conditionalFormatting>
  <dataValidations disablePrompts="1" count="2">
    <dataValidation type="list" allowBlank="1" showInputMessage="1" showErrorMessage="1" sqref="U3:V3" xr:uid="{00000000-0002-0000-0800-000000000000}">
      <formula1>"Chunk Rent,Rent PSF"</formula1>
    </dataValidation>
    <dataValidation type="list" allowBlank="1" showInputMessage="1" showErrorMessage="1" sqref="AM3:AN3" xr:uid="{00000000-0002-0000-0800-000001000000}">
      <formula1>"Asking Rent,Effective Rent"</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1"/>
  </sheetPr>
  <dimension ref="B1:T115"/>
  <sheetViews>
    <sheetView showGridLines="0" zoomScale="85" zoomScaleNormal="85" workbookViewId="0"/>
  </sheetViews>
  <sheetFormatPr baseColWidth="10" defaultColWidth="8.6640625" defaultRowHeight="14" x14ac:dyDescent="0.2"/>
  <cols>
    <col min="1" max="1" width="2.5" style="1" customWidth="1"/>
    <col min="2" max="3" width="30.5" style="13" customWidth="1"/>
    <col min="4" max="4" width="17.5" style="1" customWidth="1"/>
    <col min="5" max="6" width="7.5" style="13" customWidth="1"/>
    <col min="7" max="8" width="4.83203125" style="3" customWidth="1"/>
    <col min="9" max="9" width="11.6640625" style="3" customWidth="1"/>
    <col min="10" max="10" width="9" style="3" customWidth="1"/>
    <col min="11" max="11" width="10.1640625" style="705" customWidth="1"/>
    <col min="12" max="12" width="14.5" style="705" customWidth="1"/>
    <col min="13" max="13" width="14.5" style="17" customWidth="1"/>
    <col min="14" max="14" width="11.1640625" style="3" customWidth="1"/>
    <col min="15" max="15" width="17.5" style="5" customWidth="1"/>
    <col min="16" max="16" width="13.33203125" style="5" customWidth="1"/>
    <col min="17" max="17" width="17.5" style="1" bestFit="1" customWidth="1"/>
    <col min="18" max="18" width="18.5" style="1" customWidth="1"/>
    <col min="19" max="20" width="31.83203125" style="13" customWidth="1"/>
    <col min="21" max="16384" width="8.6640625" style="1"/>
  </cols>
  <sheetData>
    <row r="1" spans="2:20" ht="8" customHeight="1" x14ac:dyDescent="0.2">
      <c r="B1" s="16"/>
      <c r="C1" s="16"/>
      <c r="D1" s="8"/>
      <c r="E1" s="9"/>
      <c r="F1" s="9"/>
      <c r="G1" s="9"/>
      <c r="H1" s="9"/>
      <c r="I1" s="9"/>
      <c r="J1" s="9"/>
      <c r="K1" s="76"/>
      <c r="L1" s="76"/>
      <c r="M1" s="699"/>
      <c r="N1" s="9"/>
      <c r="O1" s="10"/>
      <c r="P1" s="57"/>
      <c r="Q1" s="10"/>
      <c r="R1" s="57"/>
      <c r="S1" s="16"/>
      <c r="T1" s="16"/>
    </row>
    <row r="2" spans="2:20" s="7" customFormat="1" ht="24" customHeight="1" x14ac:dyDescent="0.2">
      <c r="B2" s="517" t="s">
        <v>167</v>
      </c>
      <c r="C2" s="20"/>
      <c r="D2" s="21"/>
      <c r="E2" s="21"/>
      <c r="F2" s="21"/>
      <c r="G2" s="21"/>
      <c r="H2" s="21"/>
      <c r="I2" s="21"/>
      <c r="J2" s="21"/>
      <c r="K2" s="77"/>
      <c r="L2" s="77"/>
      <c r="M2" s="475"/>
      <c r="N2" s="21"/>
      <c r="O2" s="58"/>
      <c r="P2" s="21"/>
      <c r="S2" s="522"/>
      <c r="T2" s="465" t="s">
        <v>374</v>
      </c>
    </row>
    <row r="3" spans="2:20" x14ac:dyDescent="0.2">
      <c r="B3" s="22" t="s">
        <v>9</v>
      </c>
      <c r="C3" s="22" t="s">
        <v>10</v>
      </c>
      <c r="D3" s="22" t="s">
        <v>114</v>
      </c>
      <c r="E3" s="23" t="s">
        <v>118</v>
      </c>
      <c r="F3" s="23" t="s">
        <v>125</v>
      </c>
      <c r="G3" s="23" t="s">
        <v>11</v>
      </c>
      <c r="H3" s="23" t="s">
        <v>12</v>
      </c>
      <c r="I3" s="23" t="s">
        <v>401</v>
      </c>
      <c r="J3" s="23" t="s">
        <v>14</v>
      </c>
      <c r="K3" s="78" t="s">
        <v>13</v>
      </c>
      <c r="L3" s="78" t="s">
        <v>171</v>
      </c>
      <c r="M3" s="700" t="s">
        <v>127</v>
      </c>
      <c r="N3" s="23" t="s">
        <v>123</v>
      </c>
      <c r="O3" s="23" t="s">
        <v>124</v>
      </c>
      <c r="P3" s="24" t="s">
        <v>161</v>
      </c>
      <c r="Q3" s="23" t="s">
        <v>145</v>
      </c>
      <c r="R3" s="24" t="s">
        <v>155</v>
      </c>
      <c r="S3" s="79" t="s">
        <v>383</v>
      </c>
      <c r="T3" s="79" t="s">
        <v>384</v>
      </c>
    </row>
    <row r="4" spans="2:20" x14ac:dyDescent="0.2">
      <c r="C4" s="13" t="s">
        <v>506</v>
      </c>
      <c r="E4" s="3"/>
      <c r="F4" s="3"/>
      <c r="G4" s="3">
        <v>2</v>
      </c>
      <c r="H4" s="3">
        <v>1</v>
      </c>
      <c r="J4" s="3">
        <v>952</v>
      </c>
      <c r="K4" s="705">
        <v>45189</v>
      </c>
      <c r="L4" s="705">
        <v>45204</v>
      </c>
      <c r="M4" s="17" t="b">
        <v>0</v>
      </c>
      <c r="N4" s="3">
        <v>16</v>
      </c>
      <c r="O4" s="5">
        <v>1350</v>
      </c>
      <c r="P4" s="6">
        <v>1.4180672268907564</v>
      </c>
      <c r="Q4" s="5">
        <v>1350</v>
      </c>
      <c r="R4" s="6">
        <v>1.4180672268907564</v>
      </c>
      <c r="S4" s="13" t="s">
        <v>611</v>
      </c>
      <c r="T4" s="13" t="s">
        <v>611</v>
      </c>
    </row>
    <row r="5" spans="2:20" x14ac:dyDescent="0.2">
      <c r="C5" s="13" t="s">
        <v>507</v>
      </c>
      <c r="E5" s="3" t="s">
        <v>548</v>
      </c>
      <c r="F5" s="3"/>
      <c r="G5" s="3">
        <v>2</v>
      </c>
      <c r="H5" s="3">
        <v>1</v>
      </c>
      <c r="J5" s="3">
        <v>750</v>
      </c>
      <c r="K5" s="705">
        <v>45296</v>
      </c>
      <c r="L5" s="705">
        <v>45303</v>
      </c>
      <c r="M5" s="17" t="b">
        <v>0</v>
      </c>
      <c r="N5" s="3">
        <v>8</v>
      </c>
      <c r="O5" s="5">
        <v>1225</v>
      </c>
      <c r="P5" s="6">
        <v>1.6333333333333333</v>
      </c>
      <c r="Q5" s="5">
        <v>1225</v>
      </c>
      <c r="R5" s="6">
        <v>1.6333333333333333</v>
      </c>
      <c r="S5" s="13" t="s">
        <v>611</v>
      </c>
      <c r="T5" s="13" t="s">
        <v>611</v>
      </c>
    </row>
    <row r="6" spans="2:20" x14ac:dyDescent="0.2">
      <c r="C6" s="13" t="s">
        <v>507</v>
      </c>
      <c r="E6" s="3"/>
      <c r="F6" s="3"/>
      <c r="G6" s="3">
        <v>2</v>
      </c>
      <c r="H6" s="3">
        <v>1</v>
      </c>
      <c r="J6" s="3">
        <v>1100</v>
      </c>
      <c r="K6" s="705">
        <v>45113</v>
      </c>
      <c r="L6" s="705">
        <v>45919</v>
      </c>
      <c r="M6" s="17" t="b">
        <v>0</v>
      </c>
      <c r="N6" s="3">
        <v>807</v>
      </c>
      <c r="O6" s="5">
        <v>1225</v>
      </c>
      <c r="P6" s="6">
        <v>1.1136363636363635</v>
      </c>
      <c r="Q6" s="5">
        <v>1225</v>
      </c>
      <c r="R6" s="6">
        <v>1.1136363636363635</v>
      </c>
      <c r="S6" s="13" t="s">
        <v>611</v>
      </c>
      <c r="T6" s="13" t="s">
        <v>611</v>
      </c>
    </row>
    <row r="7" spans="2:20" x14ac:dyDescent="0.2">
      <c r="C7" s="13" t="s">
        <v>508</v>
      </c>
      <c r="E7" s="3"/>
      <c r="F7" s="3"/>
      <c r="G7" s="3">
        <v>2</v>
      </c>
      <c r="H7" s="3">
        <v>1</v>
      </c>
      <c r="I7" s="3">
        <v>1</v>
      </c>
      <c r="J7" s="3">
        <v>952</v>
      </c>
      <c r="K7" s="705">
        <v>45710</v>
      </c>
      <c r="L7" s="705">
        <v>45774</v>
      </c>
      <c r="M7" s="17" t="b">
        <v>0</v>
      </c>
      <c r="N7" s="3">
        <v>65</v>
      </c>
      <c r="O7" s="5">
        <v>1500</v>
      </c>
      <c r="P7" s="6">
        <v>1.5756302521008403</v>
      </c>
      <c r="Q7" s="5">
        <v>1500</v>
      </c>
      <c r="R7" s="6">
        <v>1.5756302521008403</v>
      </c>
      <c r="S7" s="13" t="s">
        <v>611</v>
      </c>
      <c r="T7" s="13" t="s">
        <v>611</v>
      </c>
    </row>
    <row r="8" spans="2:20" x14ac:dyDescent="0.2">
      <c r="C8" s="13" t="s">
        <v>509</v>
      </c>
      <c r="D8" s="1" t="s">
        <v>530</v>
      </c>
      <c r="E8" s="3"/>
      <c r="F8" s="3"/>
      <c r="G8" s="3">
        <v>1</v>
      </c>
      <c r="H8" s="3">
        <v>1</v>
      </c>
      <c r="J8" s="3">
        <v>650</v>
      </c>
      <c r="K8" s="705">
        <v>45867</v>
      </c>
      <c r="M8" s="17" t="b">
        <v>1</v>
      </c>
      <c r="O8" s="5">
        <v>1100</v>
      </c>
      <c r="P8" s="6">
        <v>1.6923076923076923</v>
      </c>
      <c r="Q8" s="5">
        <v>1100</v>
      </c>
      <c r="R8" s="6">
        <v>1.6923076923076923</v>
      </c>
      <c r="S8" s="13" t="s">
        <v>611</v>
      </c>
      <c r="T8" s="13" t="s">
        <v>611</v>
      </c>
    </row>
    <row r="9" spans="2:20" x14ac:dyDescent="0.2">
      <c r="C9" s="13" t="s">
        <v>509</v>
      </c>
      <c r="D9" s="1" t="s">
        <v>530</v>
      </c>
      <c r="E9" s="3" t="s">
        <v>530</v>
      </c>
      <c r="F9" s="3"/>
      <c r="G9" s="3">
        <v>1</v>
      </c>
      <c r="H9" s="3">
        <v>1</v>
      </c>
      <c r="J9" s="3">
        <v>650</v>
      </c>
      <c r="K9" s="705">
        <v>45647</v>
      </c>
      <c r="L9" s="705">
        <v>45867</v>
      </c>
      <c r="M9" s="17" t="b">
        <v>0</v>
      </c>
      <c r="N9" s="3">
        <v>221</v>
      </c>
      <c r="O9" s="5">
        <v>1100</v>
      </c>
      <c r="P9" s="6">
        <v>1.6923076923076923</v>
      </c>
      <c r="Q9" s="5">
        <v>1100</v>
      </c>
      <c r="R9" s="6">
        <v>1.6923076923076923</v>
      </c>
      <c r="S9" s="13" t="s">
        <v>611</v>
      </c>
      <c r="T9" s="13" t="s">
        <v>611</v>
      </c>
    </row>
    <row r="10" spans="2:20" x14ac:dyDescent="0.2">
      <c r="C10" s="13" t="s">
        <v>509</v>
      </c>
      <c r="D10" s="1" t="s">
        <v>531</v>
      </c>
      <c r="E10" s="3"/>
      <c r="F10" s="3"/>
      <c r="G10" s="3">
        <v>1</v>
      </c>
      <c r="H10" s="3">
        <v>1</v>
      </c>
      <c r="K10" s="705">
        <v>45647</v>
      </c>
      <c r="M10" s="17" t="b">
        <v>1</v>
      </c>
      <c r="O10" s="5">
        <v>900</v>
      </c>
      <c r="P10" s="6"/>
      <c r="Q10" s="5">
        <v>900</v>
      </c>
      <c r="R10" s="6"/>
      <c r="S10" s="13" t="s">
        <v>611</v>
      </c>
      <c r="T10" s="13" t="s">
        <v>611</v>
      </c>
    </row>
    <row r="11" spans="2:20" x14ac:dyDescent="0.2">
      <c r="C11" s="13" t="s">
        <v>509</v>
      </c>
      <c r="D11" s="1" t="s">
        <v>532</v>
      </c>
      <c r="E11" s="3"/>
      <c r="F11" s="3"/>
      <c r="G11" s="3">
        <v>1</v>
      </c>
      <c r="H11" s="3">
        <v>1</v>
      </c>
      <c r="K11" s="705">
        <v>45920</v>
      </c>
      <c r="M11" s="17" t="b">
        <v>1</v>
      </c>
      <c r="O11" s="5">
        <v>1000</v>
      </c>
      <c r="P11" s="6"/>
      <c r="Q11" s="5">
        <v>1000</v>
      </c>
      <c r="R11" s="6"/>
      <c r="S11" s="13" t="s">
        <v>611</v>
      </c>
      <c r="T11" s="13" t="s">
        <v>611</v>
      </c>
    </row>
    <row r="12" spans="2:20" x14ac:dyDescent="0.2">
      <c r="C12" s="13" t="s">
        <v>509</v>
      </c>
      <c r="D12" s="1" t="s">
        <v>533</v>
      </c>
      <c r="E12" s="3"/>
      <c r="F12" s="3"/>
      <c r="G12" s="3">
        <v>1</v>
      </c>
      <c r="H12" s="3">
        <v>1</v>
      </c>
      <c r="K12" s="705">
        <v>45867</v>
      </c>
      <c r="M12" s="17" t="b">
        <v>1</v>
      </c>
      <c r="O12" s="5">
        <v>1100</v>
      </c>
      <c r="P12" s="6"/>
      <c r="Q12" s="5">
        <v>1100</v>
      </c>
      <c r="R12" s="6"/>
      <c r="S12" s="13" t="s">
        <v>611</v>
      </c>
      <c r="T12" s="13" t="s">
        <v>611</v>
      </c>
    </row>
    <row r="13" spans="2:20" x14ac:dyDescent="0.2">
      <c r="C13" s="13" t="s">
        <v>509</v>
      </c>
      <c r="D13" s="1" t="s">
        <v>533</v>
      </c>
      <c r="E13" s="3" t="s">
        <v>533</v>
      </c>
      <c r="F13" s="3"/>
      <c r="G13" s="3">
        <v>1</v>
      </c>
      <c r="H13" s="3">
        <v>1</v>
      </c>
      <c r="K13" s="705">
        <v>45846</v>
      </c>
      <c r="L13" s="705">
        <v>45867</v>
      </c>
      <c r="M13" s="17" t="b">
        <v>0</v>
      </c>
      <c r="N13" s="3">
        <v>22</v>
      </c>
      <c r="O13" s="5">
        <v>1100</v>
      </c>
      <c r="P13" s="6"/>
      <c r="Q13" s="5">
        <v>1100</v>
      </c>
      <c r="R13" s="6"/>
      <c r="S13" s="13" t="s">
        <v>611</v>
      </c>
      <c r="T13" s="13" t="s">
        <v>611</v>
      </c>
    </row>
    <row r="14" spans="2:20" x14ac:dyDescent="0.2">
      <c r="C14" s="13" t="s">
        <v>509</v>
      </c>
      <c r="D14" s="1" t="s">
        <v>532</v>
      </c>
      <c r="E14" s="3" t="s">
        <v>532</v>
      </c>
      <c r="F14" s="3"/>
      <c r="G14" s="3">
        <v>1</v>
      </c>
      <c r="H14" s="3">
        <v>1</v>
      </c>
      <c r="K14" s="705">
        <v>45898</v>
      </c>
      <c r="L14" s="705">
        <v>45919</v>
      </c>
      <c r="M14" s="17" t="b">
        <v>0</v>
      </c>
      <c r="N14" s="3">
        <v>22</v>
      </c>
      <c r="O14" s="5">
        <v>1100</v>
      </c>
      <c r="P14" s="6"/>
      <c r="Q14" s="5">
        <v>1100</v>
      </c>
      <c r="R14" s="6"/>
      <c r="S14" s="13" t="s">
        <v>611</v>
      </c>
      <c r="T14" s="13" t="s">
        <v>611</v>
      </c>
    </row>
    <row r="15" spans="2:20" x14ac:dyDescent="0.2">
      <c r="C15" s="13" t="s">
        <v>509</v>
      </c>
      <c r="D15" s="1" t="s">
        <v>534</v>
      </c>
      <c r="E15" s="3"/>
      <c r="F15" s="3"/>
      <c r="G15" s="3">
        <v>2</v>
      </c>
      <c r="H15" s="3">
        <v>1</v>
      </c>
      <c r="K15" s="705">
        <v>45920</v>
      </c>
      <c r="M15" s="17" t="b">
        <v>1</v>
      </c>
      <c r="O15" s="5">
        <v>1100</v>
      </c>
      <c r="P15" s="6"/>
      <c r="Q15" s="5">
        <v>1100</v>
      </c>
      <c r="R15" s="6"/>
      <c r="S15" s="13" t="s">
        <v>611</v>
      </c>
      <c r="T15" s="13" t="s">
        <v>611</v>
      </c>
    </row>
    <row r="16" spans="2:20" x14ac:dyDescent="0.2">
      <c r="C16" s="13" t="s">
        <v>509</v>
      </c>
      <c r="D16" s="1" t="s">
        <v>535</v>
      </c>
      <c r="E16" s="3" t="s">
        <v>535</v>
      </c>
      <c r="F16" s="3"/>
      <c r="G16" s="3">
        <v>2</v>
      </c>
      <c r="H16" s="3">
        <v>1</v>
      </c>
      <c r="K16" s="705">
        <v>45758</v>
      </c>
      <c r="L16" s="705">
        <v>45840</v>
      </c>
      <c r="M16" s="17" t="b">
        <v>0</v>
      </c>
      <c r="N16" s="3">
        <v>83</v>
      </c>
      <c r="O16" s="5">
        <v>1200</v>
      </c>
      <c r="P16" s="6"/>
      <c r="Q16" s="5">
        <v>1200</v>
      </c>
      <c r="R16" s="6"/>
      <c r="S16" s="13" t="s">
        <v>611</v>
      </c>
      <c r="T16" s="13" t="s">
        <v>611</v>
      </c>
    </row>
    <row r="17" spans="2:20" x14ac:dyDescent="0.2">
      <c r="C17" s="13" t="s">
        <v>509</v>
      </c>
      <c r="D17" s="1" t="s">
        <v>535</v>
      </c>
      <c r="E17" s="3"/>
      <c r="F17" s="3"/>
      <c r="G17" s="3">
        <v>2</v>
      </c>
      <c r="H17" s="3">
        <v>1</v>
      </c>
      <c r="K17" s="705">
        <v>45840</v>
      </c>
      <c r="M17" s="17" t="b">
        <v>1</v>
      </c>
      <c r="O17" s="5">
        <v>1200</v>
      </c>
      <c r="P17" s="6"/>
      <c r="Q17" s="5">
        <v>1200</v>
      </c>
      <c r="R17" s="6"/>
      <c r="S17" s="13" t="s">
        <v>611</v>
      </c>
      <c r="T17" s="13" t="s">
        <v>611</v>
      </c>
    </row>
    <row r="18" spans="2:20" x14ac:dyDescent="0.2">
      <c r="C18" s="13" t="s">
        <v>509</v>
      </c>
      <c r="D18" s="1" t="s">
        <v>534</v>
      </c>
      <c r="E18" s="3" t="s">
        <v>534</v>
      </c>
      <c r="F18" s="3"/>
      <c r="G18" s="3">
        <v>2</v>
      </c>
      <c r="H18" s="3">
        <v>1</v>
      </c>
      <c r="K18" s="705">
        <v>45874</v>
      </c>
      <c r="L18" s="705">
        <v>45919</v>
      </c>
      <c r="M18" s="17" t="b">
        <v>0</v>
      </c>
      <c r="N18" s="3">
        <v>46</v>
      </c>
      <c r="O18" s="5">
        <v>1200</v>
      </c>
      <c r="P18" s="6"/>
      <c r="Q18" s="5">
        <v>1200</v>
      </c>
      <c r="R18" s="6"/>
      <c r="S18" s="13" t="s">
        <v>611</v>
      </c>
      <c r="T18" s="13" t="s">
        <v>611</v>
      </c>
    </row>
    <row r="19" spans="2:20" x14ac:dyDescent="0.2">
      <c r="C19" s="13" t="s">
        <v>510</v>
      </c>
      <c r="D19" s="1" t="s">
        <v>536</v>
      </c>
      <c r="E19" s="3" t="s">
        <v>536</v>
      </c>
      <c r="F19" s="3"/>
      <c r="G19" s="3">
        <v>1</v>
      </c>
      <c r="H19" s="3">
        <v>1</v>
      </c>
      <c r="K19" s="705">
        <v>45694</v>
      </c>
      <c r="L19" s="705">
        <v>45757</v>
      </c>
      <c r="M19" s="17" t="b">
        <v>0</v>
      </c>
      <c r="N19" s="3">
        <v>64</v>
      </c>
      <c r="O19" s="5">
        <v>1000</v>
      </c>
      <c r="P19" s="6"/>
      <c r="Q19" s="5">
        <v>1000</v>
      </c>
      <c r="R19" s="6"/>
      <c r="S19" s="13" t="s">
        <v>611</v>
      </c>
      <c r="T19" s="13" t="s">
        <v>611</v>
      </c>
    </row>
    <row r="20" spans="2:20" x14ac:dyDescent="0.2">
      <c r="C20" s="13" t="s">
        <v>510</v>
      </c>
      <c r="D20" s="1" t="s">
        <v>537</v>
      </c>
      <c r="E20" s="3"/>
      <c r="F20" s="3"/>
      <c r="G20" s="3">
        <v>1</v>
      </c>
      <c r="H20" s="3">
        <v>1</v>
      </c>
      <c r="K20" s="705">
        <v>45738</v>
      </c>
      <c r="M20" s="17" t="b">
        <v>1</v>
      </c>
      <c r="O20" s="5">
        <v>1000</v>
      </c>
      <c r="P20" s="6"/>
      <c r="Q20" s="5">
        <v>1000</v>
      </c>
      <c r="R20" s="6"/>
      <c r="S20" s="13" t="s">
        <v>611</v>
      </c>
      <c r="T20" s="13" t="s">
        <v>611</v>
      </c>
    </row>
    <row r="21" spans="2:20" x14ac:dyDescent="0.2">
      <c r="C21" s="13" t="s">
        <v>510</v>
      </c>
      <c r="D21" s="1" t="s">
        <v>536</v>
      </c>
      <c r="E21" s="3"/>
      <c r="F21" s="3"/>
      <c r="G21" s="3">
        <v>1</v>
      </c>
      <c r="H21" s="3">
        <v>1</v>
      </c>
      <c r="K21" s="705">
        <v>45763</v>
      </c>
      <c r="M21" s="17" t="b">
        <v>1</v>
      </c>
      <c r="O21" s="5">
        <v>1000</v>
      </c>
      <c r="P21" s="6"/>
      <c r="Q21" s="5">
        <v>1000</v>
      </c>
      <c r="R21" s="6"/>
      <c r="S21" s="13" t="s">
        <v>611</v>
      </c>
      <c r="T21" s="13" t="s">
        <v>611</v>
      </c>
    </row>
    <row r="22" spans="2:20" x14ac:dyDescent="0.2">
      <c r="C22" s="13" t="s">
        <v>510</v>
      </c>
      <c r="D22" s="1" t="s">
        <v>537</v>
      </c>
      <c r="E22" s="3" t="s">
        <v>537</v>
      </c>
      <c r="F22" s="3"/>
      <c r="G22" s="3">
        <v>1</v>
      </c>
      <c r="H22" s="3">
        <v>1</v>
      </c>
      <c r="K22" s="705">
        <v>45870</v>
      </c>
      <c r="L22" s="705">
        <v>45919</v>
      </c>
      <c r="M22" s="17" t="b">
        <v>0</v>
      </c>
      <c r="N22" s="3">
        <v>50</v>
      </c>
      <c r="O22" s="5">
        <v>1100</v>
      </c>
      <c r="P22" s="6"/>
      <c r="Q22" s="5">
        <v>1100</v>
      </c>
      <c r="R22" s="6"/>
      <c r="S22" s="13" t="s">
        <v>611</v>
      </c>
      <c r="T22" s="13" t="s">
        <v>611</v>
      </c>
    </row>
    <row r="23" spans="2:20" x14ac:dyDescent="0.2">
      <c r="C23" s="13" t="s">
        <v>510</v>
      </c>
      <c r="D23" s="1" t="s">
        <v>538</v>
      </c>
      <c r="E23" s="3"/>
      <c r="F23" s="3"/>
      <c r="G23" s="3">
        <v>1</v>
      </c>
      <c r="H23" s="3">
        <v>1</v>
      </c>
      <c r="K23" s="705">
        <v>45920</v>
      </c>
      <c r="M23" s="17" t="b">
        <v>1</v>
      </c>
      <c r="O23" s="5">
        <v>1100</v>
      </c>
      <c r="P23" s="6"/>
      <c r="Q23" s="5">
        <v>1100</v>
      </c>
      <c r="R23" s="6"/>
      <c r="S23" s="13" t="s">
        <v>611</v>
      </c>
      <c r="T23" s="13" t="s">
        <v>611</v>
      </c>
    </row>
    <row r="24" spans="2:20" x14ac:dyDescent="0.2">
      <c r="C24" s="13" t="s">
        <v>510</v>
      </c>
      <c r="D24" s="1" t="s">
        <v>538</v>
      </c>
      <c r="E24" s="3" t="s">
        <v>538</v>
      </c>
      <c r="F24" s="3"/>
      <c r="G24" s="3">
        <v>1</v>
      </c>
      <c r="H24" s="3">
        <v>1</v>
      </c>
      <c r="K24" s="705">
        <v>45763</v>
      </c>
      <c r="L24" s="705">
        <v>45919</v>
      </c>
      <c r="M24" s="17" t="b">
        <v>0</v>
      </c>
      <c r="N24" s="3">
        <v>157</v>
      </c>
      <c r="O24" s="5">
        <v>1100</v>
      </c>
      <c r="P24" s="6"/>
      <c r="Q24" s="5">
        <v>1100</v>
      </c>
      <c r="R24" s="6"/>
      <c r="S24" s="13" t="s">
        <v>611</v>
      </c>
      <c r="T24" s="13" t="s">
        <v>611</v>
      </c>
    </row>
    <row r="25" spans="2:20" x14ac:dyDescent="0.2">
      <c r="C25" s="13" t="s">
        <v>510</v>
      </c>
      <c r="D25" s="1" t="s">
        <v>539</v>
      </c>
      <c r="E25" s="3" t="s">
        <v>539</v>
      </c>
      <c r="F25" s="3"/>
      <c r="G25" s="3">
        <v>2</v>
      </c>
      <c r="H25" s="3">
        <v>1</v>
      </c>
      <c r="K25" s="705">
        <v>45722</v>
      </c>
      <c r="L25" s="705">
        <v>45757</v>
      </c>
      <c r="M25" s="17" t="b">
        <v>0</v>
      </c>
      <c r="N25" s="3">
        <v>36</v>
      </c>
      <c r="O25" s="5">
        <v>1200</v>
      </c>
      <c r="P25" s="6"/>
      <c r="Q25" s="5">
        <v>1200</v>
      </c>
      <c r="R25" s="6"/>
      <c r="S25" s="13" t="s">
        <v>611</v>
      </c>
      <c r="T25" s="13" t="s">
        <v>611</v>
      </c>
    </row>
    <row r="26" spans="2:20" x14ac:dyDescent="0.2">
      <c r="C26" s="13" t="s">
        <v>510</v>
      </c>
      <c r="D26" s="1" t="s">
        <v>539</v>
      </c>
      <c r="E26" s="3"/>
      <c r="F26" s="3"/>
      <c r="G26" s="3">
        <v>2</v>
      </c>
      <c r="H26" s="3">
        <v>1</v>
      </c>
      <c r="K26" s="705">
        <v>45763</v>
      </c>
      <c r="M26" s="17" t="b">
        <v>1</v>
      </c>
      <c r="O26" s="5">
        <v>1200</v>
      </c>
      <c r="P26" s="6"/>
      <c r="Q26" s="5">
        <v>1200</v>
      </c>
      <c r="R26" s="6"/>
      <c r="S26" s="13" t="s">
        <v>611</v>
      </c>
      <c r="T26" s="13" t="s">
        <v>611</v>
      </c>
    </row>
    <row r="27" spans="2:20" x14ac:dyDescent="0.2">
      <c r="B27" s="13" t="s">
        <v>497</v>
      </c>
      <c r="C27" s="13" t="s">
        <v>511</v>
      </c>
      <c r="E27" s="3"/>
      <c r="F27" s="3"/>
      <c r="G27" s="3">
        <v>2</v>
      </c>
      <c r="H27" s="3">
        <v>1</v>
      </c>
      <c r="K27" s="705">
        <v>45615</v>
      </c>
      <c r="L27" s="705">
        <v>45676</v>
      </c>
      <c r="M27" s="17" t="b">
        <v>0</v>
      </c>
      <c r="N27" s="3">
        <v>62</v>
      </c>
      <c r="O27" s="5">
        <v>1300</v>
      </c>
      <c r="P27" s="6"/>
      <c r="Q27" s="5">
        <v>1300</v>
      </c>
      <c r="R27" s="6"/>
      <c r="S27" s="13" t="s">
        <v>611</v>
      </c>
      <c r="T27" s="13" t="s">
        <v>611</v>
      </c>
    </row>
    <row r="28" spans="2:20" x14ac:dyDescent="0.2">
      <c r="C28" s="13" t="s">
        <v>512</v>
      </c>
      <c r="D28" s="1" t="s">
        <v>540</v>
      </c>
      <c r="E28" s="3" t="s">
        <v>549</v>
      </c>
      <c r="F28" s="3"/>
      <c r="G28" s="3">
        <v>2</v>
      </c>
      <c r="H28" s="3">
        <v>1</v>
      </c>
      <c r="I28" s="3">
        <v>1</v>
      </c>
      <c r="J28" s="3">
        <v>951</v>
      </c>
      <c r="K28" s="705">
        <v>45771</v>
      </c>
      <c r="L28" s="705">
        <v>45785</v>
      </c>
      <c r="M28" s="17" t="b">
        <v>0</v>
      </c>
      <c r="N28" s="3">
        <v>15</v>
      </c>
      <c r="O28" s="5">
        <v>1500</v>
      </c>
      <c r="P28" s="6">
        <v>1.5772870662460567</v>
      </c>
      <c r="Q28" s="5">
        <v>1500</v>
      </c>
      <c r="R28" s="6">
        <v>1.5772870662460567</v>
      </c>
      <c r="S28" s="13" t="s">
        <v>611</v>
      </c>
      <c r="T28" s="13" t="s">
        <v>611</v>
      </c>
    </row>
    <row r="29" spans="2:20" x14ac:dyDescent="0.2">
      <c r="C29" s="13" t="s">
        <v>513</v>
      </c>
      <c r="E29" s="3" t="s">
        <v>548</v>
      </c>
      <c r="F29" s="3"/>
      <c r="G29" s="3">
        <v>2</v>
      </c>
      <c r="H29" s="3">
        <v>2</v>
      </c>
      <c r="I29" s="3">
        <v>1</v>
      </c>
      <c r="J29" s="3">
        <v>1270</v>
      </c>
      <c r="K29" s="705">
        <v>45918</v>
      </c>
      <c r="L29" s="705">
        <v>45955</v>
      </c>
      <c r="M29" s="17" t="b">
        <v>0</v>
      </c>
      <c r="N29" s="3">
        <v>38</v>
      </c>
      <c r="O29" s="5">
        <v>1850</v>
      </c>
      <c r="P29" s="6">
        <v>1.4566929133858268</v>
      </c>
      <c r="Q29" s="5">
        <v>1850</v>
      </c>
      <c r="R29" s="6">
        <v>1.4566929133858268</v>
      </c>
      <c r="S29" s="13" t="s">
        <v>611</v>
      </c>
      <c r="T29" s="13" t="s">
        <v>611</v>
      </c>
    </row>
    <row r="30" spans="2:20" x14ac:dyDescent="0.2">
      <c r="C30" s="13" t="s">
        <v>514</v>
      </c>
      <c r="E30" s="3" t="s">
        <v>550</v>
      </c>
      <c r="F30" s="3"/>
      <c r="G30" s="3">
        <v>2</v>
      </c>
      <c r="H30" s="3">
        <v>1</v>
      </c>
      <c r="J30" s="3">
        <v>900</v>
      </c>
      <c r="K30" s="705">
        <v>45156</v>
      </c>
      <c r="L30" s="705">
        <v>45204</v>
      </c>
      <c r="M30" s="17" t="b">
        <v>0</v>
      </c>
      <c r="N30" s="3">
        <v>49</v>
      </c>
      <c r="O30" s="5">
        <v>1100</v>
      </c>
      <c r="P30" s="6">
        <v>1.2222222222222223</v>
      </c>
      <c r="Q30" s="5">
        <v>1100</v>
      </c>
      <c r="R30" s="6">
        <v>1.2222222222222223</v>
      </c>
      <c r="S30" s="13" t="s">
        <v>611</v>
      </c>
      <c r="T30" s="13" t="s">
        <v>611</v>
      </c>
    </row>
    <row r="31" spans="2:20" x14ac:dyDescent="0.2">
      <c r="C31" s="13" t="s">
        <v>514</v>
      </c>
      <c r="E31" s="3" t="s">
        <v>551</v>
      </c>
      <c r="F31" s="3"/>
      <c r="G31" s="3">
        <v>2</v>
      </c>
      <c r="H31" s="3">
        <v>1</v>
      </c>
      <c r="J31" s="3">
        <v>900</v>
      </c>
      <c r="K31" s="705">
        <v>45692</v>
      </c>
      <c r="L31" s="705">
        <v>45856</v>
      </c>
      <c r="M31" s="17" t="b">
        <v>0</v>
      </c>
      <c r="N31" s="3">
        <v>165</v>
      </c>
      <c r="O31" s="5">
        <v>1200</v>
      </c>
      <c r="P31" s="6">
        <v>1.3333333333333333</v>
      </c>
      <c r="Q31" s="5">
        <v>1200</v>
      </c>
      <c r="R31" s="6">
        <v>1.3333333333333333</v>
      </c>
      <c r="S31" s="13" t="s">
        <v>611</v>
      </c>
      <c r="T31" s="13" t="s">
        <v>611</v>
      </c>
    </row>
    <row r="32" spans="2:20" x14ac:dyDescent="0.2">
      <c r="C32" s="13" t="s">
        <v>514</v>
      </c>
      <c r="D32" s="1" t="s">
        <v>541</v>
      </c>
      <c r="E32" s="3" t="s">
        <v>552</v>
      </c>
      <c r="F32" s="3"/>
      <c r="G32" s="3">
        <v>2</v>
      </c>
      <c r="H32" s="3">
        <v>1</v>
      </c>
      <c r="J32" s="3">
        <v>900</v>
      </c>
      <c r="K32" s="705">
        <v>45822</v>
      </c>
      <c r="L32" s="705">
        <v>45848</v>
      </c>
      <c r="M32" s="17" t="b">
        <v>0</v>
      </c>
      <c r="N32" s="3">
        <v>27</v>
      </c>
      <c r="O32" s="5">
        <v>1200</v>
      </c>
      <c r="P32" s="6">
        <v>1.3333333333333333</v>
      </c>
      <c r="Q32" s="5">
        <v>1200</v>
      </c>
      <c r="R32" s="6">
        <v>1.3333333333333333</v>
      </c>
      <c r="S32" s="13" t="s">
        <v>611</v>
      </c>
      <c r="T32" s="13" t="s">
        <v>611</v>
      </c>
    </row>
    <row r="33" spans="2:20" x14ac:dyDescent="0.2">
      <c r="C33" s="13" t="s">
        <v>514</v>
      </c>
      <c r="E33" s="3" t="s">
        <v>553</v>
      </c>
      <c r="F33" s="3"/>
      <c r="G33" s="3">
        <v>2</v>
      </c>
      <c r="H33" s="3">
        <v>1</v>
      </c>
      <c r="J33" s="3">
        <v>900</v>
      </c>
      <c r="K33" s="705">
        <v>45822</v>
      </c>
      <c r="L33" s="705">
        <v>45848</v>
      </c>
      <c r="M33" s="17" t="b">
        <v>0</v>
      </c>
      <c r="N33" s="3">
        <v>27</v>
      </c>
      <c r="O33" s="5">
        <v>1200</v>
      </c>
      <c r="P33" s="6">
        <v>1.3333333333333333</v>
      </c>
      <c r="Q33" s="5">
        <v>1200</v>
      </c>
      <c r="R33" s="6">
        <v>1.3333333333333333</v>
      </c>
      <c r="S33" s="13" t="s">
        <v>611</v>
      </c>
      <c r="T33" s="13" t="s">
        <v>611</v>
      </c>
    </row>
    <row r="34" spans="2:20" x14ac:dyDescent="0.2">
      <c r="C34" s="13" t="s">
        <v>514</v>
      </c>
      <c r="E34" s="3" t="s">
        <v>554</v>
      </c>
      <c r="F34" s="3"/>
      <c r="G34" s="3">
        <v>2</v>
      </c>
      <c r="H34" s="3">
        <v>1</v>
      </c>
      <c r="J34" s="3">
        <v>900</v>
      </c>
      <c r="K34" s="705">
        <v>45393</v>
      </c>
      <c r="L34" s="705">
        <v>45420</v>
      </c>
      <c r="M34" s="17" t="b">
        <v>0</v>
      </c>
      <c r="N34" s="3">
        <v>28</v>
      </c>
      <c r="O34" s="5">
        <v>1200</v>
      </c>
      <c r="P34" s="6">
        <v>1.3333333333333333</v>
      </c>
      <c r="Q34" s="5">
        <v>1200</v>
      </c>
      <c r="R34" s="6">
        <v>1.3333333333333333</v>
      </c>
      <c r="S34" s="13" t="s">
        <v>611</v>
      </c>
      <c r="T34" s="13" t="s">
        <v>611</v>
      </c>
    </row>
    <row r="35" spans="2:20" x14ac:dyDescent="0.2">
      <c r="C35" s="13" t="s">
        <v>514</v>
      </c>
      <c r="E35" s="3" t="s">
        <v>555</v>
      </c>
      <c r="F35" s="3"/>
      <c r="G35" s="3">
        <v>2</v>
      </c>
      <c r="H35" s="3">
        <v>1</v>
      </c>
      <c r="J35" s="3">
        <v>900</v>
      </c>
      <c r="K35" s="705">
        <v>45393</v>
      </c>
      <c r="L35" s="705">
        <v>45398</v>
      </c>
      <c r="M35" s="17" t="b">
        <v>0</v>
      </c>
      <c r="N35" s="3">
        <v>6</v>
      </c>
      <c r="O35" s="5">
        <v>1200</v>
      </c>
      <c r="P35" s="6">
        <v>1.3333333333333333</v>
      </c>
      <c r="Q35" s="5">
        <v>1200</v>
      </c>
      <c r="R35" s="6">
        <v>1.3333333333333333</v>
      </c>
      <c r="S35" s="13" t="s">
        <v>611</v>
      </c>
      <c r="T35" s="13" t="s">
        <v>611</v>
      </c>
    </row>
    <row r="36" spans="2:20" x14ac:dyDescent="0.2">
      <c r="C36" s="13" t="s">
        <v>514</v>
      </c>
      <c r="D36" s="1" t="s">
        <v>542</v>
      </c>
      <c r="E36" s="3" t="s">
        <v>556</v>
      </c>
      <c r="F36" s="3"/>
      <c r="G36" s="3">
        <v>2</v>
      </c>
      <c r="H36" s="3">
        <v>1</v>
      </c>
      <c r="J36" s="3">
        <v>900</v>
      </c>
      <c r="K36" s="705">
        <v>45854</v>
      </c>
      <c r="L36" s="705">
        <v>45856</v>
      </c>
      <c r="M36" s="17" t="b">
        <v>0</v>
      </c>
      <c r="N36" s="3">
        <v>3</v>
      </c>
      <c r="O36" s="5">
        <v>1200</v>
      </c>
      <c r="P36" s="6">
        <v>1.3333333333333333</v>
      </c>
      <c r="Q36" s="5">
        <v>1200</v>
      </c>
      <c r="R36" s="6">
        <v>1.3333333333333333</v>
      </c>
      <c r="S36" s="13" t="s">
        <v>611</v>
      </c>
      <c r="T36" s="13" t="s">
        <v>611</v>
      </c>
    </row>
    <row r="37" spans="2:20" x14ac:dyDescent="0.2">
      <c r="C37" s="13" t="s">
        <v>514</v>
      </c>
      <c r="E37" s="3" t="s">
        <v>557</v>
      </c>
      <c r="F37" s="3"/>
      <c r="G37" s="3">
        <v>2</v>
      </c>
      <c r="H37" s="3">
        <v>1</v>
      </c>
      <c r="J37" s="3">
        <v>900</v>
      </c>
      <c r="K37" s="705">
        <v>45393</v>
      </c>
      <c r="L37" s="705">
        <v>45422</v>
      </c>
      <c r="M37" s="17" t="b">
        <v>0</v>
      </c>
      <c r="N37" s="3">
        <v>30</v>
      </c>
      <c r="O37" s="5">
        <v>1300</v>
      </c>
      <c r="P37" s="6">
        <v>1.4444444444444444</v>
      </c>
      <c r="Q37" s="5">
        <v>1300</v>
      </c>
      <c r="R37" s="6">
        <v>1.4444444444444444</v>
      </c>
      <c r="S37" s="13" t="s">
        <v>611</v>
      </c>
      <c r="T37" s="13" t="s">
        <v>611</v>
      </c>
    </row>
    <row r="38" spans="2:20" x14ac:dyDescent="0.2">
      <c r="C38" s="13" t="s">
        <v>515</v>
      </c>
      <c r="E38" s="3" t="s">
        <v>550</v>
      </c>
      <c r="F38" s="3"/>
      <c r="G38" s="3">
        <v>2</v>
      </c>
      <c r="H38" s="3">
        <v>1</v>
      </c>
      <c r="I38" s="3">
        <v>1</v>
      </c>
      <c r="J38" s="3">
        <v>864</v>
      </c>
      <c r="K38" s="705">
        <v>45954</v>
      </c>
      <c r="M38" s="17" t="b">
        <v>1</v>
      </c>
      <c r="O38" s="5">
        <v>1300</v>
      </c>
      <c r="P38" s="6">
        <v>1.5046296296296295</v>
      </c>
      <c r="Q38" s="5">
        <v>1300</v>
      </c>
      <c r="R38" s="6">
        <v>1.5046296296296295</v>
      </c>
      <c r="S38" s="13" t="s">
        <v>611</v>
      </c>
      <c r="T38" s="13" t="s">
        <v>611</v>
      </c>
    </row>
    <row r="39" spans="2:20" x14ac:dyDescent="0.2">
      <c r="C39" s="13" t="s">
        <v>515</v>
      </c>
      <c r="E39" s="3" t="s">
        <v>558</v>
      </c>
      <c r="F39" s="3"/>
      <c r="G39" s="3">
        <v>2</v>
      </c>
      <c r="H39" s="3">
        <v>1</v>
      </c>
      <c r="I39" s="3">
        <v>1</v>
      </c>
      <c r="J39" s="3">
        <v>864</v>
      </c>
      <c r="K39" s="705">
        <v>45905</v>
      </c>
      <c r="M39" s="17" t="b">
        <v>1</v>
      </c>
      <c r="O39" s="5">
        <v>1350</v>
      </c>
      <c r="P39" s="6">
        <v>1.5625</v>
      </c>
      <c r="Q39" s="5">
        <v>1350</v>
      </c>
      <c r="R39" s="6">
        <v>1.5625</v>
      </c>
      <c r="S39" s="13" t="s">
        <v>611</v>
      </c>
      <c r="T39" s="13" t="s">
        <v>611</v>
      </c>
    </row>
    <row r="40" spans="2:20" x14ac:dyDescent="0.2">
      <c r="C40" s="13" t="s">
        <v>516</v>
      </c>
      <c r="E40" s="3" t="s">
        <v>559</v>
      </c>
      <c r="F40" s="3"/>
      <c r="G40" s="3">
        <v>2</v>
      </c>
      <c r="H40" s="3">
        <v>1</v>
      </c>
      <c r="K40" s="705">
        <v>45716</v>
      </c>
      <c r="L40" s="705">
        <v>45801</v>
      </c>
      <c r="M40" s="17" t="b">
        <v>0</v>
      </c>
      <c r="N40" s="3">
        <v>86</v>
      </c>
      <c r="O40" s="5">
        <v>1300</v>
      </c>
      <c r="P40" s="6"/>
      <c r="Q40" s="5">
        <v>1300</v>
      </c>
      <c r="R40" s="6"/>
      <c r="S40" s="13" t="s">
        <v>611</v>
      </c>
      <c r="T40" s="13" t="s">
        <v>611</v>
      </c>
    </row>
    <row r="41" spans="2:20" x14ac:dyDescent="0.2">
      <c r="C41" s="13" t="s">
        <v>516</v>
      </c>
      <c r="E41" s="3" t="s">
        <v>560</v>
      </c>
      <c r="F41" s="3"/>
      <c r="G41" s="3">
        <v>2</v>
      </c>
      <c r="H41" s="3">
        <v>1</v>
      </c>
      <c r="K41" s="705">
        <v>45716</v>
      </c>
      <c r="L41" s="705">
        <v>45801</v>
      </c>
      <c r="M41" s="17" t="b">
        <v>0</v>
      </c>
      <c r="N41" s="3">
        <v>86</v>
      </c>
      <c r="O41" s="5">
        <v>1300</v>
      </c>
      <c r="P41" s="6"/>
      <c r="Q41" s="5">
        <v>1300</v>
      </c>
      <c r="R41" s="6"/>
      <c r="S41" s="13" t="s">
        <v>611</v>
      </c>
      <c r="T41" s="13" t="s">
        <v>611</v>
      </c>
    </row>
    <row r="42" spans="2:20" x14ac:dyDescent="0.2">
      <c r="C42" s="13" t="s">
        <v>516</v>
      </c>
      <c r="E42" s="3" t="s">
        <v>551</v>
      </c>
      <c r="F42" s="3"/>
      <c r="G42" s="3">
        <v>2</v>
      </c>
      <c r="H42" s="3">
        <v>1</v>
      </c>
      <c r="K42" s="705">
        <v>45716</v>
      </c>
      <c r="L42" s="705">
        <v>45753</v>
      </c>
      <c r="M42" s="17" t="b">
        <v>0</v>
      </c>
      <c r="N42" s="3">
        <v>38</v>
      </c>
      <c r="O42" s="5">
        <v>1300</v>
      </c>
      <c r="P42" s="6"/>
      <c r="Q42" s="5">
        <v>1300</v>
      </c>
      <c r="R42" s="6"/>
      <c r="S42" s="13" t="s">
        <v>611</v>
      </c>
      <c r="T42" s="13" t="s">
        <v>611</v>
      </c>
    </row>
    <row r="43" spans="2:20" x14ac:dyDescent="0.2">
      <c r="C43" s="13" t="s">
        <v>516</v>
      </c>
      <c r="E43" s="3" t="s">
        <v>561</v>
      </c>
      <c r="F43" s="3"/>
      <c r="G43" s="3">
        <v>2</v>
      </c>
      <c r="H43" s="3">
        <v>1</v>
      </c>
      <c r="K43" s="705">
        <v>45716</v>
      </c>
      <c r="L43" s="705">
        <v>45753</v>
      </c>
      <c r="M43" s="17" t="b">
        <v>0</v>
      </c>
      <c r="N43" s="3">
        <v>38</v>
      </c>
      <c r="O43" s="5">
        <v>1300</v>
      </c>
      <c r="P43" s="6"/>
      <c r="Q43" s="5">
        <v>1300</v>
      </c>
      <c r="R43" s="6"/>
      <c r="S43" s="13" t="s">
        <v>611</v>
      </c>
      <c r="T43" s="13" t="s">
        <v>611</v>
      </c>
    </row>
    <row r="44" spans="2:20" x14ac:dyDescent="0.2">
      <c r="C44" s="13" t="s">
        <v>517</v>
      </c>
      <c r="E44" s="3" t="s">
        <v>562</v>
      </c>
      <c r="F44" s="3"/>
      <c r="G44" s="3">
        <v>2</v>
      </c>
      <c r="H44" s="3">
        <v>2</v>
      </c>
      <c r="J44" s="3">
        <v>1250</v>
      </c>
      <c r="K44" s="705">
        <v>45476</v>
      </c>
      <c r="L44" s="705">
        <v>45487</v>
      </c>
      <c r="M44" s="17" t="b">
        <v>0</v>
      </c>
      <c r="N44" s="3">
        <v>12</v>
      </c>
      <c r="O44" s="5">
        <v>1400</v>
      </c>
      <c r="P44" s="6">
        <v>1.1200000000000001</v>
      </c>
      <c r="Q44" s="5">
        <v>1400</v>
      </c>
      <c r="R44" s="6">
        <v>1.1200000000000001</v>
      </c>
      <c r="S44" s="13" t="s">
        <v>611</v>
      </c>
      <c r="T44" s="13" t="s">
        <v>611</v>
      </c>
    </row>
    <row r="45" spans="2:20" x14ac:dyDescent="0.2">
      <c r="C45" s="13" t="s">
        <v>518</v>
      </c>
      <c r="E45" s="3" t="s">
        <v>563</v>
      </c>
      <c r="F45" s="3"/>
      <c r="G45" s="3">
        <v>2</v>
      </c>
      <c r="H45" s="3">
        <v>2</v>
      </c>
      <c r="I45" s="3">
        <v>1</v>
      </c>
      <c r="J45" s="3">
        <v>1200</v>
      </c>
      <c r="K45" s="705">
        <v>45828</v>
      </c>
      <c r="L45" s="705">
        <v>45912</v>
      </c>
      <c r="M45" s="17" t="b">
        <v>0</v>
      </c>
      <c r="N45" s="3">
        <v>85</v>
      </c>
      <c r="O45" s="5">
        <v>1850</v>
      </c>
      <c r="P45" s="6">
        <v>1.5416666666666667</v>
      </c>
      <c r="Q45" s="5">
        <v>1850</v>
      </c>
      <c r="R45" s="6">
        <v>1.5416666666666667</v>
      </c>
      <c r="S45" s="13" t="s">
        <v>611</v>
      </c>
      <c r="T45" s="13" t="s">
        <v>611</v>
      </c>
    </row>
    <row r="46" spans="2:20" x14ac:dyDescent="0.2">
      <c r="C46" s="13" t="s">
        <v>519</v>
      </c>
      <c r="E46" s="3"/>
      <c r="F46" s="3"/>
      <c r="G46" s="3">
        <v>2</v>
      </c>
      <c r="H46" s="3">
        <v>1</v>
      </c>
      <c r="J46" s="3">
        <v>572</v>
      </c>
      <c r="K46" s="705">
        <v>45717</v>
      </c>
      <c r="L46" s="705">
        <v>45773</v>
      </c>
      <c r="M46" s="17" t="b">
        <v>0</v>
      </c>
      <c r="N46" s="3">
        <v>57</v>
      </c>
      <c r="O46" s="5">
        <v>1100</v>
      </c>
      <c r="P46" s="6">
        <v>1.9230769230769231</v>
      </c>
      <c r="Q46" s="5">
        <v>1100</v>
      </c>
      <c r="R46" s="6">
        <v>1.9230769230769231</v>
      </c>
      <c r="S46" s="13" t="s">
        <v>611</v>
      </c>
      <c r="T46" s="13" t="s">
        <v>611</v>
      </c>
    </row>
    <row r="47" spans="2:20" x14ac:dyDescent="0.2">
      <c r="B47" s="13" t="s">
        <v>498</v>
      </c>
      <c r="C47" s="13" t="s">
        <v>520</v>
      </c>
      <c r="D47" s="1" t="s">
        <v>498</v>
      </c>
      <c r="E47" s="3"/>
      <c r="F47" s="3"/>
      <c r="G47" s="3">
        <v>2</v>
      </c>
      <c r="H47" s="3">
        <v>1</v>
      </c>
      <c r="J47" s="3">
        <v>792</v>
      </c>
      <c r="K47" s="705">
        <v>45898</v>
      </c>
      <c r="M47" s="17" t="b">
        <v>1</v>
      </c>
      <c r="O47" s="5">
        <v>1100</v>
      </c>
      <c r="P47" s="6">
        <v>1.3888888888888888</v>
      </c>
      <c r="Q47" s="5">
        <v>1100</v>
      </c>
      <c r="R47" s="6">
        <v>1.3888888888888888</v>
      </c>
      <c r="S47" s="13" t="s">
        <v>611</v>
      </c>
      <c r="T47" s="13" t="s">
        <v>611</v>
      </c>
    </row>
    <row r="48" spans="2:20" x14ac:dyDescent="0.2">
      <c r="B48" s="13" t="s">
        <v>498</v>
      </c>
      <c r="C48" s="13" t="s">
        <v>520</v>
      </c>
      <c r="E48" s="3" t="s">
        <v>558</v>
      </c>
      <c r="F48" s="3"/>
      <c r="G48" s="3">
        <v>2</v>
      </c>
      <c r="H48" s="3">
        <v>1</v>
      </c>
      <c r="J48" s="3">
        <v>792</v>
      </c>
      <c r="K48" s="705">
        <v>45898</v>
      </c>
      <c r="M48" s="17" t="b">
        <v>1</v>
      </c>
      <c r="O48" s="5">
        <v>1200</v>
      </c>
      <c r="P48" s="6">
        <v>1.5151515151515151</v>
      </c>
      <c r="Q48" s="5">
        <v>1200</v>
      </c>
      <c r="R48" s="6">
        <v>1.5151515151515151</v>
      </c>
      <c r="S48" s="13" t="s">
        <v>611</v>
      </c>
      <c r="T48" s="13" t="s">
        <v>611</v>
      </c>
    </row>
    <row r="49" spans="2:20" x14ac:dyDescent="0.2">
      <c r="B49" s="13" t="s">
        <v>498</v>
      </c>
      <c r="C49" s="13" t="s">
        <v>520</v>
      </c>
      <c r="D49" s="1" t="s">
        <v>543</v>
      </c>
      <c r="E49" s="3"/>
      <c r="F49" s="3"/>
      <c r="G49" s="3">
        <v>2</v>
      </c>
      <c r="H49" s="3">
        <v>1</v>
      </c>
      <c r="J49" s="3">
        <v>792</v>
      </c>
      <c r="K49" s="705">
        <v>45822</v>
      </c>
      <c r="L49" s="705">
        <v>45869</v>
      </c>
      <c r="M49" s="17" t="b">
        <v>0</v>
      </c>
      <c r="N49" s="3">
        <v>48</v>
      </c>
      <c r="O49" s="5">
        <v>1200</v>
      </c>
      <c r="P49" s="6">
        <v>1.5151515151515151</v>
      </c>
      <c r="Q49" s="5">
        <v>1200</v>
      </c>
      <c r="R49" s="6">
        <v>1.5151515151515151</v>
      </c>
      <c r="S49" s="13" t="s">
        <v>611</v>
      </c>
      <c r="T49" s="13" t="s">
        <v>611</v>
      </c>
    </row>
    <row r="50" spans="2:20" x14ac:dyDescent="0.2">
      <c r="B50" s="13" t="s">
        <v>498</v>
      </c>
      <c r="C50" s="13" t="s">
        <v>520</v>
      </c>
      <c r="E50" s="3" t="s">
        <v>553</v>
      </c>
      <c r="F50" s="3"/>
      <c r="G50" s="3">
        <v>2</v>
      </c>
      <c r="H50" s="3">
        <v>1</v>
      </c>
      <c r="J50" s="3">
        <v>792</v>
      </c>
      <c r="K50" s="705">
        <v>45822</v>
      </c>
      <c r="L50" s="705">
        <v>45869</v>
      </c>
      <c r="M50" s="17" t="b">
        <v>0</v>
      </c>
      <c r="N50" s="3">
        <v>48</v>
      </c>
      <c r="O50" s="5">
        <v>1200</v>
      </c>
      <c r="P50" s="6">
        <v>1.5151515151515151</v>
      </c>
      <c r="Q50" s="5">
        <v>1200</v>
      </c>
      <c r="R50" s="6">
        <v>1.5151515151515151</v>
      </c>
      <c r="S50" s="13" t="s">
        <v>611</v>
      </c>
      <c r="T50" s="13" t="s">
        <v>611</v>
      </c>
    </row>
    <row r="51" spans="2:20" x14ac:dyDescent="0.2">
      <c r="C51" s="13" t="s">
        <v>521</v>
      </c>
      <c r="D51" s="1" t="s">
        <v>544</v>
      </c>
      <c r="E51" s="3"/>
      <c r="F51" s="3"/>
      <c r="G51" s="3">
        <v>2</v>
      </c>
      <c r="H51" s="3">
        <v>1</v>
      </c>
      <c r="J51" s="3">
        <v>835</v>
      </c>
      <c r="K51" s="705">
        <v>45913</v>
      </c>
      <c r="M51" s="17" t="b">
        <v>1</v>
      </c>
      <c r="O51" s="5">
        <v>1100</v>
      </c>
      <c r="P51" s="6">
        <v>1.3173652694610778</v>
      </c>
      <c r="Q51" s="5">
        <v>1100</v>
      </c>
      <c r="R51" s="6">
        <v>1.3173652694610778</v>
      </c>
      <c r="S51" s="13" t="s">
        <v>611</v>
      </c>
      <c r="T51" s="13" t="s">
        <v>611</v>
      </c>
    </row>
    <row r="52" spans="2:20" x14ac:dyDescent="0.2">
      <c r="C52" s="13" t="s">
        <v>521</v>
      </c>
      <c r="E52" s="3"/>
      <c r="F52" s="3"/>
      <c r="G52" s="3">
        <v>2</v>
      </c>
      <c r="H52" s="3">
        <v>1</v>
      </c>
      <c r="J52" s="3">
        <v>835</v>
      </c>
      <c r="K52" s="705">
        <v>45953</v>
      </c>
      <c r="M52" s="17" t="b">
        <v>1</v>
      </c>
      <c r="O52" s="5">
        <v>1200</v>
      </c>
      <c r="P52" s="6">
        <v>1.437125748502994</v>
      </c>
      <c r="Q52" s="5">
        <v>1200</v>
      </c>
      <c r="R52" s="6">
        <v>1.437125748502994</v>
      </c>
      <c r="S52" s="13" t="s">
        <v>611</v>
      </c>
      <c r="T52" s="13" t="s">
        <v>611</v>
      </c>
    </row>
    <row r="53" spans="2:20" x14ac:dyDescent="0.2">
      <c r="C53" s="13" t="s">
        <v>521</v>
      </c>
      <c r="E53" s="3" t="s">
        <v>551</v>
      </c>
      <c r="F53" s="3"/>
      <c r="G53" s="3">
        <v>2</v>
      </c>
      <c r="H53" s="3">
        <v>1</v>
      </c>
      <c r="J53" s="3">
        <v>835</v>
      </c>
      <c r="K53" s="705">
        <v>45875</v>
      </c>
      <c r="L53" s="705">
        <v>45953</v>
      </c>
      <c r="M53" s="17" t="b">
        <v>0</v>
      </c>
      <c r="N53" s="3">
        <v>79</v>
      </c>
      <c r="O53" s="5">
        <v>1200</v>
      </c>
      <c r="P53" s="6">
        <v>1.437125748502994</v>
      </c>
      <c r="Q53" s="5">
        <v>1200</v>
      </c>
      <c r="R53" s="6">
        <v>1.437125748502994</v>
      </c>
      <c r="S53" s="13" t="s">
        <v>611</v>
      </c>
      <c r="T53" s="13" t="s">
        <v>611</v>
      </c>
    </row>
    <row r="54" spans="2:20" x14ac:dyDescent="0.2">
      <c r="C54" s="13" t="s">
        <v>521</v>
      </c>
      <c r="D54" s="1" t="s">
        <v>545</v>
      </c>
      <c r="E54" s="3"/>
      <c r="F54" s="3"/>
      <c r="G54" s="3">
        <v>2</v>
      </c>
      <c r="H54" s="3">
        <v>1</v>
      </c>
      <c r="J54" s="3">
        <v>835</v>
      </c>
      <c r="K54" s="705">
        <v>45910</v>
      </c>
      <c r="L54" s="705">
        <v>45953</v>
      </c>
      <c r="M54" s="17" t="b">
        <v>0</v>
      </c>
      <c r="N54" s="3">
        <v>44</v>
      </c>
      <c r="O54" s="5">
        <v>1200</v>
      </c>
      <c r="P54" s="6">
        <v>1.437125748502994</v>
      </c>
      <c r="Q54" s="5">
        <v>1200</v>
      </c>
      <c r="R54" s="6">
        <v>1.437125748502994</v>
      </c>
      <c r="S54" s="13" t="s">
        <v>611</v>
      </c>
      <c r="T54" s="13" t="s">
        <v>611</v>
      </c>
    </row>
    <row r="55" spans="2:20" x14ac:dyDescent="0.2">
      <c r="C55" s="13" t="s">
        <v>521</v>
      </c>
      <c r="D55" s="1" t="s">
        <v>546</v>
      </c>
      <c r="E55" s="3"/>
      <c r="F55" s="3"/>
      <c r="G55" s="3">
        <v>2</v>
      </c>
      <c r="H55" s="3">
        <v>1</v>
      </c>
      <c r="J55" s="3">
        <v>835</v>
      </c>
      <c r="K55" s="705">
        <v>45870</v>
      </c>
      <c r="L55" s="705">
        <v>45953</v>
      </c>
      <c r="M55" s="17" t="b">
        <v>0</v>
      </c>
      <c r="N55" s="3">
        <v>84</v>
      </c>
      <c r="O55" s="5">
        <v>1200</v>
      </c>
      <c r="P55" s="6">
        <v>1.437125748502994</v>
      </c>
      <c r="Q55" s="5">
        <v>1200</v>
      </c>
      <c r="R55" s="6">
        <v>1.437125748502994</v>
      </c>
      <c r="S55" s="13" t="s">
        <v>611</v>
      </c>
      <c r="T55" s="13" t="s">
        <v>611</v>
      </c>
    </row>
    <row r="56" spans="2:20" x14ac:dyDescent="0.2">
      <c r="C56" s="13" t="s">
        <v>521</v>
      </c>
      <c r="E56" s="3" t="s">
        <v>564</v>
      </c>
      <c r="F56" s="3"/>
      <c r="G56" s="3">
        <v>2</v>
      </c>
      <c r="H56" s="3">
        <v>1</v>
      </c>
      <c r="J56" s="3">
        <v>835</v>
      </c>
      <c r="K56" s="705">
        <v>45910</v>
      </c>
      <c r="L56" s="705">
        <v>45953</v>
      </c>
      <c r="M56" s="17" t="b">
        <v>0</v>
      </c>
      <c r="N56" s="3">
        <v>44</v>
      </c>
      <c r="O56" s="5">
        <v>1200</v>
      </c>
      <c r="P56" s="6">
        <v>1.437125748502994</v>
      </c>
      <c r="Q56" s="5">
        <v>1200</v>
      </c>
      <c r="R56" s="6">
        <v>1.437125748502994</v>
      </c>
      <c r="S56" s="13" t="s">
        <v>611</v>
      </c>
      <c r="T56" s="13" t="s">
        <v>611</v>
      </c>
    </row>
    <row r="57" spans="2:20" x14ac:dyDescent="0.2">
      <c r="C57" s="13" t="s">
        <v>521</v>
      </c>
      <c r="E57" s="3" t="s">
        <v>565</v>
      </c>
      <c r="F57" s="3"/>
      <c r="G57" s="3">
        <v>2</v>
      </c>
      <c r="H57" s="3">
        <v>1</v>
      </c>
      <c r="J57" s="3">
        <v>835</v>
      </c>
      <c r="K57" s="705">
        <v>45910</v>
      </c>
      <c r="L57" s="705">
        <v>45953</v>
      </c>
      <c r="M57" s="17" t="b">
        <v>0</v>
      </c>
      <c r="N57" s="3">
        <v>44</v>
      </c>
      <c r="O57" s="5">
        <v>1200</v>
      </c>
      <c r="P57" s="6">
        <v>1.437125748502994</v>
      </c>
      <c r="Q57" s="5">
        <v>1200</v>
      </c>
      <c r="R57" s="6">
        <v>1.437125748502994</v>
      </c>
      <c r="S57" s="13" t="s">
        <v>611</v>
      </c>
      <c r="T57" s="13" t="s">
        <v>611</v>
      </c>
    </row>
    <row r="58" spans="2:20" x14ac:dyDescent="0.2">
      <c r="C58" s="13" t="s">
        <v>521</v>
      </c>
      <c r="D58" s="1" t="s">
        <v>545</v>
      </c>
      <c r="E58" s="3" t="s">
        <v>566</v>
      </c>
      <c r="F58" s="3"/>
      <c r="G58" s="3">
        <v>2</v>
      </c>
      <c r="H58" s="3">
        <v>1</v>
      </c>
      <c r="J58" s="3">
        <v>835</v>
      </c>
      <c r="K58" s="705">
        <v>45875</v>
      </c>
      <c r="L58" s="705">
        <v>45910</v>
      </c>
      <c r="M58" s="17" t="b">
        <v>0</v>
      </c>
      <c r="N58" s="3">
        <v>36</v>
      </c>
      <c r="O58" s="5">
        <v>1200</v>
      </c>
      <c r="P58" s="6">
        <v>1.437125748502994</v>
      </c>
      <c r="Q58" s="5">
        <v>1200</v>
      </c>
      <c r="R58" s="6">
        <v>1.437125748502994</v>
      </c>
      <c r="S58" s="13" t="s">
        <v>611</v>
      </c>
      <c r="T58" s="13" t="s">
        <v>611</v>
      </c>
    </row>
    <row r="59" spans="2:20" x14ac:dyDescent="0.2">
      <c r="C59" s="13" t="s">
        <v>521</v>
      </c>
      <c r="E59" s="3" t="s">
        <v>555</v>
      </c>
      <c r="F59" s="3"/>
      <c r="G59" s="3">
        <v>2</v>
      </c>
      <c r="H59" s="3">
        <v>1</v>
      </c>
      <c r="J59" s="3">
        <v>835</v>
      </c>
      <c r="K59" s="705">
        <v>45875</v>
      </c>
      <c r="M59" s="17" t="b">
        <v>1</v>
      </c>
      <c r="O59" s="5">
        <v>1200</v>
      </c>
      <c r="P59" s="6">
        <v>1.437125748502994</v>
      </c>
      <c r="Q59" s="5">
        <v>1200</v>
      </c>
      <c r="R59" s="6">
        <v>1.437125748502994</v>
      </c>
      <c r="S59" s="13" t="s">
        <v>611</v>
      </c>
      <c r="T59" s="13" t="s">
        <v>611</v>
      </c>
    </row>
    <row r="60" spans="2:20" x14ac:dyDescent="0.2">
      <c r="C60" s="13" t="s">
        <v>521</v>
      </c>
      <c r="D60" s="1" t="s">
        <v>546</v>
      </c>
      <c r="E60" s="3" t="s">
        <v>567</v>
      </c>
      <c r="F60" s="3"/>
      <c r="G60" s="3">
        <v>2</v>
      </c>
      <c r="H60" s="3">
        <v>1</v>
      </c>
      <c r="J60" s="3">
        <v>835</v>
      </c>
      <c r="K60" s="705">
        <v>45875</v>
      </c>
      <c r="L60" s="705">
        <v>45910</v>
      </c>
      <c r="M60" s="17" t="b">
        <v>0</v>
      </c>
      <c r="N60" s="3">
        <v>36</v>
      </c>
      <c r="O60" s="5">
        <v>1200</v>
      </c>
      <c r="P60" s="6">
        <v>1.437125748502994</v>
      </c>
      <c r="Q60" s="5">
        <v>1200</v>
      </c>
      <c r="R60" s="6">
        <v>1.437125748502994</v>
      </c>
      <c r="S60" s="13" t="s">
        <v>611</v>
      </c>
      <c r="T60" s="13" t="s">
        <v>611</v>
      </c>
    </row>
    <row r="61" spans="2:20" x14ac:dyDescent="0.2">
      <c r="C61" s="13" t="s">
        <v>522</v>
      </c>
      <c r="E61" s="3" t="s">
        <v>568</v>
      </c>
      <c r="F61" s="3"/>
      <c r="G61" s="3">
        <v>1</v>
      </c>
      <c r="H61" s="3">
        <v>1</v>
      </c>
      <c r="J61" s="3">
        <v>500</v>
      </c>
      <c r="K61" s="705">
        <v>45741</v>
      </c>
      <c r="L61" s="705">
        <v>45773</v>
      </c>
      <c r="M61" s="17" t="b">
        <v>0</v>
      </c>
      <c r="N61" s="3">
        <v>33</v>
      </c>
      <c r="O61" s="5">
        <v>1100</v>
      </c>
      <c r="P61" s="6">
        <v>2.2000000000000002</v>
      </c>
      <c r="Q61" s="5">
        <v>1100</v>
      </c>
      <c r="R61" s="6">
        <v>2.2000000000000002</v>
      </c>
      <c r="S61" s="13" t="s">
        <v>611</v>
      </c>
      <c r="T61" s="13" t="s">
        <v>611</v>
      </c>
    </row>
    <row r="62" spans="2:20" x14ac:dyDescent="0.2">
      <c r="C62" s="13" t="s">
        <v>522</v>
      </c>
      <c r="E62" s="3" t="s">
        <v>548</v>
      </c>
      <c r="F62" s="3"/>
      <c r="G62" s="3">
        <v>2</v>
      </c>
      <c r="H62" s="3">
        <v>1</v>
      </c>
      <c r="J62" s="3">
        <v>700</v>
      </c>
      <c r="K62" s="705">
        <v>45961</v>
      </c>
      <c r="M62" s="17" t="b">
        <v>1</v>
      </c>
      <c r="O62" s="5">
        <v>1250</v>
      </c>
      <c r="P62" s="6">
        <v>1.7857142857142858</v>
      </c>
      <c r="Q62" s="5">
        <v>1250</v>
      </c>
      <c r="R62" s="6">
        <v>1.7857142857142858</v>
      </c>
      <c r="S62" s="13" t="s">
        <v>611</v>
      </c>
      <c r="T62" s="13" t="s">
        <v>611</v>
      </c>
    </row>
    <row r="63" spans="2:20" x14ac:dyDescent="0.2">
      <c r="C63" s="13" t="s">
        <v>523</v>
      </c>
      <c r="E63" s="3"/>
      <c r="F63" s="3"/>
      <c r="G63" s="3">
        <v>2</v>
      </c>
      <c r="H63" s="3">
        <v>1</v>
      </c>
      <c r="J63" s="3">
        <v>750</v>
      </c>
      <c r="K63" s="705">
        <v>45862</v>
      </c>
      <c r="L63" s="705">
        <v>45871</v>
      </c>
      <c r="M63" s="17" t="b">
        <v>0</v>
      </c>
      <c r="N63" s="3">
        <v>10</v>
      </c>
      <c r="O63" s="5">
        <v>950</v>
      </c>
      <c r="P63" s="6">
        <v>1.2666666666666666</v>
      </c>
      <c r="Q63" s="5">
        <v>950</v>
      </c>
      <c r="R63" s="6">
        <v>1.2666666666666666</v>
      </c>
      <c r="S63" s="13" t="s">
        <v>611</v>
      </c>
      <c r="T63" s="13" t="s">
        <v>611</v>
      </c>
    </row>
    <row r="64" spans="2:20" x14ac:dyDescent="0.2">
      <c r="C64" s="13" t="s">
        <v>523</v>
      </c>
      <c r="E64" s="3"/>
      <c r="F64" s="3"/>
      <c r="G64" s="3">
        <v>2</v>
      </c>
      <c r="H64" s="3">
        <v>1</v>
      </c>
      <c r="J64" s="3">
        <v>1500</v>
      </c>
      <c r="K64" s="705">
        <v>45617</v>
      </c>
      <c r="L64" s="705">
        <v>45772</v>
      </c>
      <c r="M64" s="17" t="b">
        <v>0</v>
      </c>
      <c r="N64" s="3">
        <v>156</v>
      </c>
      <c r="O64" s="5">
        <v>1200</v>
      </c>
      <c r="P64" s="6">
        <v>0.8</v>
      </c>
      <c r="Q64" s="5">
        <v>1200</v>
      </c>
      <c r="R64" s="6">
        <v>0.8</v>
      </c>
      <c r="S64" s="13" t="s">
        <v>611</v>
      </c>
      <c r="T64" s="13" t="s">
        <v>611</v>
      </c>
    </row>
    <row r="65" spans="2:20" x14ac:dyDescent="0.2">
      <c r="C65" s="13" t="s">
        <v>524</v>
      </c>
      <c r="E65" s="3" t="s">
        <v>558</v>
      </c>
      <c r="F65" s="3"/>
      <c r="G65" s="3">
        <v>1</v>
      </c>
      <c r="H65" s="3">
        <v>1</v>
      </c>
      <c r="J65" s="3">
        <v>584</v>
      </c>
      <c r="K65" s="705">
        <v>45455</v>
      </c>
      <c r="L65" s="705">
        <v>45482</v>
      </c>
      <c r="M65" s="17" t="b">
        <v>0</v>
      </c>
      <c r="N65" s="3">
        <v>28</v>
      </c>
      <c r="O65" s="5">
        <v>950</v>
      </c>
      <c r="P65" s="6">
        <v>1.6267123287671232</v>
      </c>
      <c r="Q65" s="5">
        <v>950</v>
      </c>
      <c r="R65" s="6">
        <v>1.6267123287671232</v>
      </c>
      <c r="S65" s="13" t="s">
        <v>611</v>
      </c>
      <c r="T65" s="13" t="s">
        <v>611</v>
      </c>
    </row>
    <row r="66" spans="2:20" x14ac:dyDescent="0.2">
      <c r="C66" s="13" t="s">
        <v>524</v>
      </c>
      <c r="E66" s="3" t="s">
        <v>569</v>
      </c>
      <c r="F66" s="3"/>
      <c r="G66" s="3">
        <v>1</v>
      </c>
      <c r="H66" s="3">
        <v>1</v>
      </c>
      <c r="K66" s="705">
        <v>45349</v>
      </c>
      <c r="L66" s="705">
        <v>45367</v>
      </c>
      <c r="M66" s="17" t="b">
        <v>0</v>
      </c>
      <c r="N66" s="3">
        <v>19</v>
      </c>
      <c r="O66" s="5">
        <v>900</v>
      </c>
      <c r="P66" s="6"/>
      <c r="Q66" s="5">
        <v>900</v>
      </c>
      <c r="R66" s="6"/>
      <c r="S66" s="13" t="s">
        <v>611</v>
      </c>
      <c r="T66" s="13" t="s">
        <v>611</v>
      </c>
    </row>
    <row r="67" spans="2:20" x14ac:dyDescent="0.2">
      <c r="C67" s="13" t="s">
        <v>524</v>
      </c>
      <c r="E67" s="3" t="s">
        <v>550</v>
      </c>
      <c r="F67" s="3"/>
      <c r="G67" s="3">
        <v>1</v>
      </c>
      <c r="H67" s="3">
        <v>1</v>
      </c>
      <c r="K67" s="705">
        <v>45832</v>
      </c>
      <c r="L67" s="705">
        <v>45854</v>
      </c>
      <c r="M67" s="17" t="b">
        <v>0</v>
      </c>
      <c r="N67" s="3">
        <v>23</v>
      </c>
      <c r="O67" s="5">
        <v>950</v>
      </c>
      <c r="P67" s="6"/>
      <c r="Q67" s="5">
        <v>950</v>
      </c>
      <c r="R67" s="6"/>
      <c r="S67" s="13" t="s">
        <v>611</v>
      </c>
      <c r="T67" s="13" t="s">
        <v>611</v>
      </c>
    </row>
    <row r="68" spans="2:20" x14ac:dyDescent="0.2">
      <c r="C68" s="13" t="s">
        <v>524</v>
      </c>
      <c r="E68" s="3" t="s">
        <v>555</v>
      </c>
      <c r="F68" s="3"/>
      <c r="G68" s="3">
        <v>2</v>
      </c>
      <c r="H68" s="3">
        <v>2</v>
      </c>
      <c r="J68" s="3">
        <v>750</v>
      </c>
      <c r="K68" s="705">
        <v>45545</v>
      </c>
      <c r="L68" s="705">
        <v>45917</v>
      </c>
      <c r="M68" s="17" t="b">
        <v>0</v>
      </c>
      <c r="N68" s="3">
        <v>373</v>
      </c>
      <c r="O68" s="5">
        <v>1300</v>
      </c>
      <c r="P68" s="6">
        <v>1.7333333333333334</v>
      </c>
      <c r="Q68" s="5">
        <v>1300</v>
      </c>
      <c r="R68" s="6">
        <v>1.7333333333333334</v>
      </c>
      <c r="S68" s="13" t="s">
        <v>611</v>
      </c>
      <c r="T68" s="13" t="s">
        <v>611</v>
      </c>
    </row>
    <row r="69" spans="2:20" x14ac:dyDescent="0.2">
      <c r="B69" s="13" t="s">
        <v>499</v>
      </c>
      <c r="C69" s="13" t="s">
        <v>525</v>
      </c>
      <c r="E69" s="3" t="s">
        <v>558</v>
      </c>
      <c r="F69" s="3"/>
      <c r="G69" s="3">
        <v>2</v>
      </c>
      <c r="H69" s="3">
        <v>1</v>
      </c>
      <c r="J69" s="3">
        <v>725</v>
      </c>
      <c r="K69" s="705">
        <v>45948</v>
      </c>
      <c r="L69" s="705">
        <v>45960</v>
      </c>
      <c r="M69" s="17" t="b">
        <v>0</v>
      </c>
      <c r="N69" s="3">
        <v>13</v>
      </c>
      <c r="O69" s="5">
        <v>1150</v>
      </c>
      <c r="P69" s="6">
        <v>1.5862068965517242</v>
      </c>
      <c r="Q69" s="5">
        <v>1150</v>
      </c>
      <c r="R69" s="6">
        <v>1.5862068965517242</v>
      </c>
      <c r="S69" s="13" t="s">
        <v>611</v>
      </c>
      <c r="T69" s="13" t="s">
        <v>611</v>
      </c>
    </row>
    <row r="70" spans="2:20" x14ac:dyDescent="0.2">
      <c r="B70" s="13" t="s">
        <v>499</v>
      </c>
      <c r="C70" s="13" t="s">
        <v>525</v>
      </c>
      <c r="D70" s="1" t="s">
        <v>499</v>
      </c>
      <c r="E70" s="3"/>
      <c r="F70" s="3"/>
      <c r="G70" s="3">
        <v>2</v>
      </c>
      <c r="H70" s="3">
        <v>1</v>
      </c>
      <c r="J70" s="3">
        <v>725</v>
      </c>
      <c r="K70" s="705">
        <v>45948</v>
      </c>
      <c r="L70" s="705">
        <v>45960</v>
      </c>
      <c r="M70" s="17" t="b">
        <v>0</v>
      </c>
      <c r="N70" s="3">
        <v>13</v>
      </c>
      <c r="O70" s="5">
        <v>1150</v>
      </c>
      <c r="P70" s="6">
        <v>1.5862068965517242</v>
      </c>
      <c r="Q70" s="5">
        <v>1150</v>
      </c>
      <c r="R70" s="6">
        <v>1.5862068965517242</v>
      </c>
      <c r="S70" s="13" t="s">
        <v>611</v>
      </c>
      <c r="T70" s="13" t="s">
        <v>611</v>
      </c>
    </row>
    <row r="71" spans="2:20" x14ac:dyDescent="0.2">
      <c r="B71" s="13" t="s">
        <v>499</v>
      </c>
      <c r="C71" s="13" t="s">
        <v>525</v>
      </c>
      <c r="E71" s="3" t="s">
        <v>550</v>
      </c>
      <c r="F71" s="3"/>
      <c r="G71" s="3">
        <v>2</v>
      </c>
      <c r="H71" s="3">
        <v>1</v>
      </c>
      <c r="J71" s="3">
        <v>725</v>
      </c>
      <c r="K71" s="705">
        <v>45331</v>
      </c>
      <c r="L71" s="705">
        <v>45350</v>
      </c>
      <c r="M71" s="17" t="b">
        <v>0</v>
      </c>
      <c r="N71" s="3">
        <v>20</v>
      </c>
      <c r="O71" s="5">
        <v>1150</v>
      </c>
      <c r="P71" s="6">
        <v>1.5862068965517242</v>
      </c>
      <c r="Q71" s="5">
        <v>1150</v>
      </c>
      <c r="R71" s="6">
        <v>1.5862068965517242</v>
      </c>
      <c r="S71" s="13" t="s">
        <v>611</v>
      </c>
      <c r="T71" s="13" t="s">
        <v>611</v>
      </c>
    </row>
    <row r="72" spans="2:20" x14ac:dyDescent="0.2">
      <c r="C72" s="13" t="s">
        <v>526</v>
      </c>
      <c r="E72" s="3"/>
      <c r="F72" s="3"/>
      <c r="G72" s="3">
        <v>2</v>
      </c>
      <c r="H72" s="3">
        <v>1</v>
      </c>
      <c r="J72" s="3">
        <v>936</v>
      </c>
      <c r="K72" s="705">
        <v>45477</v>
      </c>
      <c r="L72" s="705">
        <v>45500</v>
      </c>
      <c r="M72" s="17" t="b">
        <v>0</v>
      </c>
      <c r="N72" s="3">
        <v>24</v>
      </c>
      <c r="O72" s="5">
        <v>1000</v>
      </c>
      <c r="P72" s="6">
        <v>1.0683760683760684</v>
      </c>
      <c r="Q72" s="5">
        <v>1000</v>
      </c>
      <c r="R72" s="6">
        <v>1.0683760683760684</v>
      </c>
      <c r="S72" s="13" t="s">
        <v>611</v>
      </c>
      <c r="T72" s="13" t="s">
        <v>611</v>
      </c>
    </row>
    <row r="73" spans="2:20" x14ac:dyDescent="0.2">
      <c r="C73" s="13" t="s">
        <v>527</v>
      </c>
      <c r="E73" s="3"/>
      <c r="F73" s="3"/>
      <c r="G73" s="3">
        <v>2</v>
      </c>
      <c r="H73" s="3">
        <v>1</v>
      </c>
      <c r="K73" s="705">
        <v>45251</v>
      </c>
      <c r="L73" s="705">
        <v>45260</v>
      </c>
      <c r="M73" s="17" t="b">
        <v>0</v>
      </c>
      <c r="N73" s="3">
        <v>10</v>
      </c>
      <c r="O73" s="5">
        <v>1100</v>
      </c>
      <c r="P73" s="6"/>
      <c r="Q73" s="5">
        <v>1100</v>
      </c>
      <c r="R73" s="6"/>
      <c r="S73" s="13" t="s">
        <v>611</v>
      </c>
      <c r="T73" s="13" t="s">
        <v>611</v>
      </c>
    </row>
    <row r="74" spans="2:20" x14ac:dyDescent="0.2">
      <c r="C74" s="13" t="s">
        <v>528</v>
      </c>
      <c r="E74" s="3"/>
      <c r="F74" s="3"/>
      <c r="G74" s="3">
        <v>2</v>
      </c>
      <c r="H74" s="3">
        <v>1</v>
      </c>
      <c r="J74" s="3">
        <v>584</v>
      </c>
      <c r="K74" s="705">
        <v>45839</v>
      </c>
      <c r="L74" s="705">
        <v>45852</v>
      </c>
      <c r="M74" s="17" t="b">
        <v>0</v>
      </c>
      <c r="N74" s="3">
        <v>14</v>
      </c>
      <c r="O74" s="5">
        <v>1100</v>
      </c>
      <c r="P74" s="6">
        <v>1.8835616438356164</v>
      </c>
      <c r="Q74" s="5">
        <v>1100</v>
      </c>
      <c r="R74" s="6">
        <v>1.8835616438356164</v>
      </c>
      <c r="S74" s="13" t="s">
        <v>611</v>
      </c>
      <c r="T74" s="13" t="s">
        <v>611</v>
      </c>
    </row>
    <row r="75" spans="2:20" x14ac:dyDescent="0.2">
      <c r="B75" s="13" t="s">
        <v>496</v>
      </c>
      <c r="C75" s="13" t="s">
        <v>529</v>
      </c>
      <c r="D75" s="1" t="s">
        <v>547</v>
      </c>
      <c r="E75" s="3" t="s">
        <v>570</v>
      </c>
      <c r="F75" s="3"/>
      <c r="G75" s="3">
        <v>2</v>
      </c>
      <c r="H75" s="3">
        <v>1</v>
      </c>
      <c r="I75" s="3">
        <v>1</v>
      </c>
      <c r="J75" s="3">
        <v>1113</v>
      </c>
      <c r="K75" s="705">
        <v>45448</v>
      </c>
      <c r="L75" s="705">
        <v>45450</v>
      </c>
      <c r="M75" s="17" t="b">
        <v>0</v>
      </c>
      <c r="N75" s="3">
        <v>3</v>
      </c>
      <c r="O75" s="5">
        <v>1425</v>
      </c>
      <c r="P75" s="6">
        <v>1.2803234501347709</v>
      </c>
      <c r="Q75" s="5">
        <v>1425</v>
      </c>
      <c r="R75" s="6">
        <v>1.2803234501347709</v>
      </c>
      <c r="S75" s="13" t="s">
        <v>611</v>
      </c>
      <c r="T75" s="13" t="s">
        <v>611</v>
      </c>
    </row>
    <row r="76" spans="2:20" x14ac:dyDescent="0.2">
      <c r="B76" s="13" t="s">
        <v>496</v>
      </c>
      <c r="C76" s="13" t="s">
        <v>529</v>
      </c>
      <c r="D76" s="1" t="s">
        <v>547</v>
      </c>
      <c r="E76" s="3" t="s">
        <v>571</v>
      </c>
      <c r="F76" s="3"/>
      <c r="G76" s="3">
        <v>2</v>
      </c>
      <c r="H76" s="3">
        <v>1</v>
      </c>
      <c r="I76" s="3">
        <v>1</v>
      </c>
      <c r="J76" s="3">
        <v>1113</v>
      </c>
      <c r="K76" s="705">
        <v>45953</v>
      </c>
      <c r="M76" s="17" t="b">
        <v>1</v>
      </c>
      <c r="O76" s="5">
        <v>1425</v>
      </c>
      <c r="P76" s="6">
        <v>1.2803234501347709</v>
      </c>
      <c r="Q76" s="5">
        <v>1425</v>
      </c>
      <c r="R76" s="6">
        <v>1.2803234501347709</v>
      </c>
      <c r="S76" s="13" t="s">
        <v>611</v>
      </c>
      <c r="T76" s="13" t="s">
        <v>611</v>
      </c>
    </row>
    <row r="77" spans="2:20" x14ac:dyDescent="0.2">
      <c r="B77" s="13" t="s">
        <v>496</v>
      </c>
      <c r="C77" s="13" t="s">
        <v>529</v>
      </c>
      <c r="D77" s="1" t="s">
        <v>547</v>
      </c>
      <c r="E77" s="3" t="s">
        <v>572</v>
      </c>
      <c r="F77" s="3"/>
      <c r="G77" s="3">
        <v>2</v>
      </c>
      <c r="H77" s="3">
        <v>1</v>
      </c>
      <c r="I77" s="3">
        <v>1</v>
      </c>
      <c r="J77" s="3">
        <v>1113</v>
      </c>
      <c r="K77" s="705">
        <v>45961</v>
      </c>
      <c r="M77" s="17" t="b">
        <v>1</v>
      </c>
      <c r="O77" s="5">
        <v>1425</v>
      </c>
      <c r="P77" s="6">
        <v>1.2803234501347709</v>
      </c>
      <c r="Q77" s="5">
        <v>1425</v>
      </c>
      <c r="R77" s="6">
        <v>1.2803234501347709</v>
      </c>
      <c r="S77" s="13" t="s">
        <v>611</v>
      </c>
      <c r="T77" s="13" t="s">
        <v>611</v>
      </c>
    </row>
    <row r="78" spans="2:20" x14ac:dyDescent="0.2">
      <c r="B78" s="13" t="s">
        <v>496</v>
      </c>
      <c r="C78" s="13" t="s">
        <v>529</v>
      </c>
      <c r="D78" s="1" t="s">
        <v>547</v>
      </c>
      <c r="E78" s="3" t="s">
        <v>573</v>
      </c>
      <c r="F78" s="3"/>
      <c r="G78" s="3">
        <v>2</v>
      </c>
      <c r="H78" s="3">
        <v>1</v>
      </c>
      <c r="I78" s="3">
        <v>1</v>
      </c>
      <c r="J78" s="3">
        <v>1113</v>
      </c>
      <c r="K78" s="705">
        <v>45942</v>
      </c>
      <c r="M78" s="17" t="b">
        <v>1</v>
      </c>
      <c r="O78" s="5">
        <v>1425</v>
      </c>
      <c r="P78" s="6">
        <v>1.2803234501347709</v>
      </c>
      <c r="Q78" s="5">
        <v>1425</v>
      </c>
      <c r="R78" s="6">
        <v>1.2803234501347709</v>
      </c>
      <c r="S78" s="13" t="s">
        <v>611</v>
      </c>
      <c r="T78" s="13" t="s">
        <v>611</v>
      </c>
    </row>
    <row r="79" spans="2:20" x14ac:dyDescent="0.2">
      <c r="B79" s="13" t="s">
        <v>496</v>
      </c>
      <c r="C79" s="13" t="s">
        <v>529</v>
      </c>
      <c r="D79" s="1" t="s">
        <v>547</v>
      </c>
      <c r="E79" s="3" t="s">
        <v>574</v>
      </c>
      <c r="F79" s="3"/>
      <c r="G79" s="3">
        <v>2</v>
      </c>
      <c r="H79" s="3">
        <v>1</v>
      </c>
      <c r="I79" s="3">
        <v>1</v>
      </c>
      <c r="J79" s="3">
        <v>1113</v>
      </c>
      <c r="K79" s="705">
        <v>45443</v>
      </c>
      <c r="L79" s="705">
        <v>45481</v>
      </c>
      <c r="M79" s="17" t="b">
        <v>0</v>
      </c>
      <c r="N79" s="3">
        <v>39</v>
      </c>
      <c r="O79" s="5">
        <v>1425</v>
      </c>
      <c r="P79" s="6">
        <v>1.2803234501347709</v>
      </c>
      <c r="Q79" s="5">
        <v>1425</v>
      </c>
      <c r="R79" s="6">
        <v>1.2803234501347709</v>
      </c>
      <c r="S79" s="13" t="s">
        <v>611</v>
      </c>
      <c r="T79" s="13" t="s">
        <v>611</v>
      </c>
    </row>
    <row r="80" spans="2:20" x14ac:dyDescent="0.2">
      <c r="B80" s="13" t="s">
        <v>496</v>
      </c>
      <c r="C80" s="13" t="s">
        <v>529</v>
      </c>
      <c r="D80" s="1" t="s">
        <v>547</v>
      </c>
      <c r="E80" s="3" t="s">
        <v>575</v>
      </c>
      <c r="F80" s="3"/>
      <c r="G80" s="3">
        <v>2</v>
      </c>
      <c r="H80" s="3">
        <v>1</v>
      </c>
      <c r="I80" s="3">
        <v>1</v>
      </c>
      <c r="J80" s="3">
        <v>1113</v>
      </c>
      <c r="K80" s="705">
        <v>45454</v>
      </c>
      <c r="L80" s="705">
        <v>45471</v>
      </c>
      <c r="M80" s="17" t="b">
        <v>0</v>
      </c>
      <c r="N80" s="3">
        <v>18</v>
      </c>
      <c r="O80" s="5">
        <v>1425</v>
      </c>
      <c r="P80" s="6">
        <v>1.2803234501347709</v>
      </c>
      <c r="Q80" s="5">
        <v>1425</v>
      </c>
      <c r="R80" s="6">
        <v>1.2803234501347709</v>
      </c>
      <c r="S80" s="13" t="s">
        <v>611</v>
      </c>
      <c r="T80" s="13" t="s">
        <v>611</v>
      </c>
    </row>
    <row r="81" spans="2:20" x14ac:dyDescent="0.2">
      <c r="B81" s="13" t="s">
        <v>496</v>
      </c>
      <c r="C81" s="13" t="s">
        <v>529</v>
      </c>
      <c r="D81" s="1" t="s">
        <v>547</v>
      </c>
      <c r="E81" s="3" t="s">
        <v>576</v>
      </c>
      <c r="F81" s="3"/>
      <c r="G81" s="3">
        <v>2</v>
      </c>
      <c r="H81" s="3">
        <v>1</v>
      </c>
      <c r="I81" s="3">
        <v>1</v>
      </c>
      <c r="J81" s="3">
        <v>1113</v>
      </c>
      <c r="K81" s="705">
        <v>45418</v>
      </c>
      <c r="L81" s="705">
        <v>45455</v>
      </c>
      <c r="M81" s="17" t="b">
        <v>0</v>
      </c>
      <c r="N81" s="3">
        <v>38</v>
      </c>
      <c r="O81" s="5">
        <v>1425</v>
      </c>
      <c r="P81" s="6">
        <v>1.2803234501347709</v>
      </c>
      <c r="Q81" s="5">
        <v>1425</v>
      </c>
      <c r="R81" s="6">
        <v>1.2803234501347709</v>
      </c>
      <c r="S81" s="13" t="s">
        <v>611</v>
      </c>
      <c r="T81" s="13" t="s">
        <v>611</v>
      </c>
    </row>
    <row r="82" spans="2:20" x14ac:dyDescent="0.2">
      <c r="B82" s="13" t="s">
        <v>496</v>
      </c>
      <c r="C82" s="13" t="s">
        <v>529</v>
      </c>
      <c r="D82" s="1" t="s">
        <v>547</v>
      </c>
      <c r="E82" s="3" t="s">
        <v>577</v>
      </c>
      <c r="F82" s="3"/>
      <c r="G82" s="3">
        <v>2</v>
      </c>
      <c r="H82" s="3">
        <v>1</v>
      </c>
      <c r="I82" s="3">
        <v>1</v>
      </c>
      <c r="J82" s="3">
        <v>1113</v>
      </c>
      <c r="K82" s="705">
        <v>45903</v>
      </c>
      <c r="M82" s="17" t="b">
        <v>1</v>
      </c>
      <c r="O82" s="5">
        <v>1425</v>
      </c>
      <c r="P82" s="6">
        <v>1.2803234501347709</v>
      </c>
      <c r="Q82" s="5">
        <v>1425</v>
      </c>
      <c r="R82" s="6">
        <v>1.2803234501347709</v>
      </c>
      <c r="S82" s="13" t="s">
        <v>611</v>
      </c>
      <c r="T82" s="13" t="s">
        <v>611</v>
      </c>
    </row>
    <row r="83" spans="2:20" x14ac:dyDescent="0.2">
      <c r="B83" s="13" t="s">
        <v>496</v>
      </c>
      <c r="C83" s="13" t="s">
        <v>529</v>
      </c>
      <c r="D83" s="1" t="s">
        <v>547</v>
      </c>
      <c r="E83" s="3" t="s">
        <v>578</v>
      </c>
      <c r="F83" s="3"/>
      <c r="G83" s="3">
        <v>2</v>
      </c>
      <c r="H83" s="3">
        <v>1</v>
      </c>
      <c r="I83" s="3">
        <v>1</v>
      </c>
      <c r="J83" s="3">
        <v>1113</v>
      </c>
      <c r="K83" s="705">
        <v>45896</v>
      </c>
      <c r="L83" s="705">
        <v>45931</v>
      </c>
      <c r="M83" s="17" t="b">
        <v>0</v>
      </c>
      <c r="N83" s="3">
        <v>36</v>
      </c>
      <c r="O83" s="5">
        <v>1425</v>
      </c>
      <c r="P83" s="6">
        <v>1.2803234501347709</v>
      </c>
      <c r="Q83" s="5">
        <v>1425</v>
      </c>
      <c r="R83" s="6">
        <v>1.2803234501347709</v>
      </c>
      <c r="S83" s="13" t="s">
        <v>611</v>
      </c>
      <c r="T83" s="13" t="s">
        <v>611</v>
      </c>
    </row>
    <row r="84" spans="2:20" x14ac:dyDescent="0.2">
      <c r="B84" s="13" t="s">
        <v>496</v>
      </c>
      <c r="C84" s="13" t="s">
        <v>529</v>
      </c>
      <c r="D84" s="1" t="s">
        <v>547</v>
      </c>
      <c r="E84" s="3" t="s">
        <v>579</v>
      </c>
      <c r="F84" s="3"/>
      <c r="G84" s="3">
        <v>2</v>
      </c>
      <c r="H84" s="3">
        <v>1</v>
      </c>
      <c r="I84" s="3">
        <v>1</v>
      </c>
      <c r="J84" s="3">
        <v>1113</v>
      </c>
      <c r="K84" s="705">
        <v>45896</v>
      </c>
      <c r="L84" s="705">
        <v>45916</v>
      </c>
      <c r="M84" s="17" t="b">
        <v>0</v>
      </c>
      <c r="N84" s="3">
        <v>21</v>
      </c>
      <c r="O84" s="5">
        <v>1425</v>
      </c>
      <c r="P84" s="6">
        <v>1.2803234501347709</v>
      </c>
      <c r="Q84" s="5">
        <v>1425</v>
      </c>
      <c r="R84" s="6">
        <v>1.2803234501347709</v>
      </c>
      <c r="S84" s="13" t="s">
        <v>611</v>
      </c>
      <c r="T84" s="13" t="s">
        <v>611</v>
      </c>
    </row>
    <row r="85" spans="2:20" x14ac:dyDescent="0.2">
      <c r="B85" s="13" t="s">
        <v>496</v>
      </c>
      <c r="C85" s="13" t="s">
        <v>529</v>
      </c>
      <c r="D85" s="1" t="s">
        <v>547</v>
      </c>
      <c r="E85" s="3" t="s">
        <v>580</v>
      </c>
      <c r="F85" s="3"/>
      <c r="G85" s="3">
        <v>2</v>
      </c>
      <c r="H85" s="3">
        <v>1</v>
      </c>
      <c r="I85" s="3">
        <v>1</v>
      </c>
      <c r="J85" s="3">
        <v>1113</v>
      </c>
      <c r="K85" s="705">
        <v>45870</v>
      </c>
      <c r="L85" s="705">
        <v>45893</v>
      </c>
      <c r="M85" s="17" t="b">
        <v>0</v>
      </c>
      <c r="N85" s="3">
        <v>24</v>
      </c>
      <c r="O85" s="5">
        <v>1425</v>
      </c>
      <c r="P85" s="6">
        <v>1.2803234501347709</v>
      </c>
      <c r="Q85" s="5">
        <v>1425</v>
      </c>
      <c r="R85" s="6">
        <v>1.2803234501347709</v>
      </c>
      <c r="S85" s="13" t="s">
        <v>611</v>
      </c>
      <c r="T85" s="13" t="s">
        <v>611</v>
      </c>
    </row>
    <row r="86" spans="2:20" x14ac:dyDescent="0.2">
      <c r="B86" s="13" t="s">
        <v>496</v>
      </c>
      <c r="C86" s="13" t="s">
        <v>529</v>
      </c>
      <c r="D86" s="1" t="s">
        <v>547</v>
      </c>
      <c r="E86" s="3" t="s">
        <v>581</v>
      </c>
      <c r="F86" s="3"/>
      <c r="G86" s="3">
        <v>2</v>
      </c>
      <c r="H86" s="3">
        <v>1</v>
      </c>
      <c r="I86" s="3">
        <v>1</v>
      </c>
      <c r="J86" s="3">
        <v>1113</v>
      </c>
      <c r="K86" s="705">
        <v>45885</v>
      </c>
      <c r="L86" s="705">
        <v>45893</v>
      </c>
      <c r="M86" s="17" t="b">
        <v>0</v>
      </c>
      <c r="N86" s="3">
        <v>9</v>
      </c>
      <c r="O86" s="5">
        <v>1425</v>
      </c>
      <c r="P86" s="6">
        <v>1.2803234501347709</v>
      </c>
      <c r="Q86" s="5">
        <v>1425</v>
      </c>
      <c r="R86" s="6">
        <v>1.2803234501347709</v>
      </c>
      <c r="S86" s="13" t="s">
        <v>611</v>
      </c>
      <c r="T86" s="13" t="s">
        <v>611</v>
      </c>
    </row>
    <row r="87" spans="2:20" x14ac:dyDescent="0.2">
      <c r="B87" s="13" t="s">
        <v>496</v>
      </c>
      <c r="C87" s="13" t="s">
        <v>529</v>
      </c>
      <c r="D87" s="1" t="s">
        <v>547</v>
      </c>
      <c r="E87" s="3" t="s">
        <v>582</v>
      </c>
      <c r="F87" s="3"/>
      <c r="G87" s="3">
        <v>2</v>
      </c>
      <c r="H87" s="3">
        <v>1</v>
      </c>
      <c r="I87" s="3">
        <v>1</v>
      </c>
      <c r="J87" s="3">
        <v>1113</v>
      </c>
      <c r="K87" s="705">
        <v>45794</v>
      </c>
      <c r="L87" s="705">
        <v>45861</v>
      </c>
      <c r="M87" s="17" t="b">
        <v>0</v>
      </c>
      <c r="N87" s="3">
        <v>68</v>
      </c>
      <c r="O87" s="5">
        <v>1425</v>
      </c>
      <c r="P87" s="6">
        <v>1.2803234501347709</v>
      </c>
      <c r="Q87" s="5">
        <v>1425</v>
      </c>
      <c r="R87" s="6">
        <v>1.2803234501347709</v>
      </c>
      <c r="S87" s="13" t="s">
        <v>611</v>
      </c>
      <c r="T87" s="13" t="s">
        <v>611</v>
      </c>
    </row>
    <row r="88" spans="2:20" x14ac:dyDescent="0.2">
      <c r="B88" s="13" t="s">
        <v>496</v>
      </c>
      <c r="C88" s="13" t="s">
        <v>529</v>
      </c>
      <c r="D88" s="1" t="s">
        <v>547</v>
      </c>
      <c r="E88" s="3" t="s">
        <v>583</v>
      </c>
      <c r="F88" s="3"/>
      <c r="G88" s="3">
        <v>2</v>
      </c>
      <c r="H88" s="3">
        <v>1</v>
      </c>
      <c r="I88" s="3">
        <v>1</v>
      </c>
      <c r="J88" s="3">
        <v>1113</v>
      </c>
      <c r="K88" s="705">
        <v>45834</v>
      </c>
      <c r="L88" s="705">
        <v>45848</v>
      </c>
      <c r="M88" s="17" t="b">
        <v>0</v>
      </c>
      <c r="N88" s="3">
        <v>15</v>
      </c>
      <c r="O88" s="5">
        <v>1425</v>
      </c>
      <c r="P88" s="6">
        <v>1.2803234501347709</v>
      </c>
      <c r="Q88" s="5">
        <v>1425</v>
      </c>
      <c r="R88" s="6">
        <v>1.2803234501347709</v>
      </c>
      <c r="S88" s="13" t="s">
        <v>611</v>
      </c>
      <c r="T88" s="13" t="s">
        <v>611</v>
      </c>
    </row>
    <row r="89" spans="2:20" x14ac:dyDescent="0.2">
      <c r="B89" s="13" t="s">
        <v>496</v>
      </c>
      <c r="C89" s="13" t="s">
        <v>529</v>
      </c>
      <c r="D89" s="1" t="s">
        <v>547</v>
      </c>
      <c r="E89" s="3" t="s">
        <v>584</v>
      </c>
      <c r="F89" s="3"/>
      <c r="G89" s="3">
        <v>2</v>
      </c>
      <c r="H89" s="3">
        <v>1</v>
      </c>
      <c r="I89" s="3">
        <v>1</v>
      </c>
      <c r="J89" s="3">
        <v>1113</v>
      </c>
      <c r="K89" s="705">
        <v>45777</v>
      </c>
      <c r="L89" s="705">
        <v>45847</v>
      </c>
      <c r="M89" s="17" t="b">
        <v>0</v>
      </c>
      <c r="N89" s="3">
        <v>71</v>
      </c>
      <c r="O89" s="5">
        <v>1425</v>
      </c>
      <c r="P89" s="6">
        <v>1.2803234501347709</v>
      </c>
      <c r="Q89" s="5">
        <v>1425</v>
      </c>
      <c r="R89" s="6">
        <v>1.2803234501347709</v>
      </c>
      <c r="S89" s="13" t="s">
        <v>611</v>
      </c>
      <c r="T89" s="13" t="s">
        <v>611</v>
      </c>
    </row>
    <row r="90" spans="2:20" x14ac:dyDescent="0.2">
      <c r="B90" s="13" t="s">
        <v>496</v>
      </c>
      <c r="C90" s="13" t="s">
        <v>529</v>
      </c>
      <c r="D90" s="1" t="s">
        <v>547</v>
      </c>
      <c r="E90" s="3" t="s">
        <v>585</v>
      </c>
      <c r="F90" s="3"/>
      <c r="G90" s="3">
        <v>2</v>
      </c>
      <c r="H90" s="3">
        <v>1</v>
      </c>
      <c r="I90" s="3">
        <v>1</v>
      </c>
      <c r="J90" s="3">
        <v>1113</v>
      </c>
      <c r="K90" s="705">
        <v>45791</v>
      </c>
      <c r="L90" s="705">
        <v>45842</v>
      </c>
      <c r="M90" s="17" t="b">
        <v>0</v>
      </c>
      <c r="N90" s="3">
        <v>52</v>
      </c>
      <c r="O90" s="5">
        <v>1425</v>
      </c>
      <c r="P90" s="6">
        <v>1.2803234501347709</v>
      </c>
      <c r="Q90" s="5">
        <v>1425</v>
      </c>
      <c r="R90" s="6">
        <v>1.2803234501347709</v>
      </c>
      <c r="S90" s="13" t="s">
        <v>611</v>
      </c>
      <c r="T90" s="13" t="s">
        <v>611</v>
      </c>
    </row>
    <row r="91" spans="2:20" x14ac:dyDescent="0.2">
      <c r="B91" s="13" t="s">
        <v>496</v>
      </c>
      <c r="C91" s="13" t="s">
        <v>529</v>
      </c>
      <c r="D91" s="1" t="s">
        <v>547</v>
      </c>
      <c r="E91" s="3" t="s">
        <v>586</v>
      </c>
      <c r="F91" s="3"/>
      <c r="G91" s="3">
        <v>2</v>
      </c>
      <c r="H91" s="3">
        <v>1</v>
      </c>
      <c r="I91" s="3">
        <v>1</v>
      </c>
      <c r="J91" s="3">
        <v>1113</v>
      </c>
      <c r="K91" s="705">
        <v>45790</v>
      </c>
      <c r="L91" s="705">
        <v>45840</v>
      </c>
      <c r="M91" s="17" t="b">
        <v>0</v>
      </c>
      <c r="N91" s="3">
        <v>51</v>
      </c>
      <c r="O91" s="5">
        <v>1425</v>
      </c>
      <c r="P91" s="6">
        <v>1.2803234501347709</v>
      </c>
      <c r="Q91" s="5">
        <v>1425</v>
      </c>
      <c r="R91" s="6">
        <v>1.2803234501347709</v>
      </c>
      <c r="S91" s="13" t="s">
        <v>611</v>
      </c>
      <c r="T91" s="13" t="s">
        <v>611</v>
      </c>
    </row>
    <row r="92" spans="2:20" x14ac:dyDescent="0.2">
      <c r="B92" s="13" t="s">
        <v>496</v>
      </c>
      <c r="C92" s="13" t="s">
        <v>529</v>
      </c>
      <c r="D92" s="1" t="s">
        <v>547</v>
      </c>
      <c r="E92" s="3" t="s">
        <v>587</v>
      </c>
      <c r="F92" s="3"/>
      <c r="G92" s="3">
        <v>2</v>
      </c>
      <c r="H92" s="3">
        <v>1</v>
      </c>
      <c r="I92" s="3">
        <v>1</v>
      </c>
      <c r="J92" s="3">
        <v>1113</v>
      </c>
      <c r="K92" s="705">
        <v>45778</v>
      </c>
      <c r="L92" s="705">
        <v>45821</v>
      </c>
      <c r="M92" s="17" t="b">
        <v>0</v>
      </c>
      <c r="N92" s="3">
        <v>44</v>
      </c>
      <c r="O92" s="5">
        <v>1425</v>
      </c>
      <c r="P92" s="6">
        <v>1.2803234501347709</v>
      </c>
      <c r="Q92" s="5">
        <v>1425</v>
      </c>
      <c r="R92" s="6">
        <v>1.2803234501347709</v>
      </c>
      <c r="S92" s="13" t="s">
        <v>611</v>
      </c>
      <c r="T92" s="13" t="s">
        <v>611</v>
      </c>
    </row>
    <row r="93" spans="2:20" x14ac:dyDescent="0.2">
      <c r="B93" s="13" t="s">
        <v>496</v>
      </c>
      <c r="C93" s="13" t="s">
        <v>529</v>
      </c>
      <c r="D93" s="1" t="s">
        <v>547</v>
      </c>
      <c r="E93" s="3" t="s">
        <v>588</v>
      </c>
      <c r="F93" s="3"/>
      <c r="G93" s="3">
        <v>2</v>
      </c>
      <c r="H93" s="3">
        <v>1</v>
      </c>
      <c r="I93" s="3">
        <v>1</v>
      </c>
      <c r="J93" s="3">
        <v>1113</v>
      </c>
      <c r="K93" s="705">
        <v>45818</v>
      </c>
      <c r="L93" s="705">
        <v>45819</v>
      </c>
      <c r="M93" s="17" t="b">
        <v>0</v>
      </c>
      <c r="N93" s="3">
        <v>2</v>
      </c>
      <c r="O93" s="5">
        <v>1425</v>
      </c>
      <c r="P93" s="6">
        <v>1.2803234501347709</v>
      </c>
      <c r="Q93" s="5">
        <v>1425</v>
      </c>
      <c r="R93" s="6">
        <v>1.2803234501347709</v>
      </c>
      <c r="S93" s="13" t="s">
        <v>611</v>
      </c>
      <c r="T93" s="13" t="s">
        <v>611</v>
      </c>
    </row>
    <row r="94" spans="2:20" x14ac:dyDescent="0.2">
      <c r="B94" s="13" t="s">
        <v>496</v>
      </c>
      <c r="C94" s="13" t="s">
        <v>529</v>
      </c>
      <c r="D94" s="1" t="s">
        <v>547</v>
      </c>
      <c r="E94" s="3" t="s">
        <v>589</v>
      </c>
      <c r="F94" s="3"/>
      <c r="G94" s="3">
        <v>2</v>
      </c>
      <c r="H94" s="3">
        <v>1</v>
      </c>
      <c r="I94" s="3">
        <v>1</v>
      </c>
      <c r="J94" s="3">
        <v>1113</v>
      </c>
      <c r="K94" s="705">
        <v>45808</v>
      </c>
      <c r="L94" s="705">
        <v>45818</v>
      </c>
      <c r="M94" s="17" t="b">
        <v>0</v>
      </c>
      <c r="N94" s="3">
        <v>11</v>
      </c>
      <c r="O94" s="5">
        <v>1425</v>
      </c>
      <c r="P94" s="6">
        <v>1.2803234501347709</v>
      </c>
      <c r="Q94" s="5">
        <v>1425</v>
      </c>
      <c r="R94" s="6">
        <v>1.2803234501347709</v>
      </c>
      <c r="S94" s="13" t="s">
        <v>611</v>
      </c>
      <c r="T94" s="13" t="s">
        <v>611</v>
      </c>
    </row>
    <row r="95" spans="2:20" x14ac:dyDescent="0.2">
      <c r="B95" s="13" t="s">
        <v>496</v>
      </c>
      <c r="C95" s="13" t="s">
        <v>529</v>
      </c>
      <c r="D95" s="1" t="s">
        <v>547</v>
      </c>
      <c r="E95" s="3" t="s">
        <v>590</v>
      </c>
      <c r="F95" s="3"/>
      <c r="G95" s="3">
        <v>2</v>
      </c>
      <c r="H95" s="3">
        <v>1</v>
      </c>
      <c r="I95" s="3">
        <v>1</v>
      </c>
      <c r="J95" s="3">
        <v>1113</v>
      </c>
      <c r="K95" s="705">
        <v>45777</v>
      </c>
      <c r="L95" s="705">
        <v>45805</v>
      </c>
      <c r="M95" s="17" t="b">
        <v>0</v>
      </c>
      <c r="N95" s="3">
        <v>29</v>
      </c>
      <c r="O95" s="5">
        <v>1425</v>
      </c>
      <c r="P95" s="6">
        <v>1.2803234501347709</v>
      </c>
      <c r="Q95" s="5">
        <v>1425</v>
      </c>
      <c r="R95" s="6">
        <v>1.2803234501347709</v>
      </c>
      <c r="S95" s="13" t="s">
        <v>611</v>
      </c>
      <c r="T95" s="13" t="s">
        <v>611</v>
      </c>
    </row>
    <row r="96" spans="2:20" x14ac:dyDescent="0.2">
      <c r="B96" s="13" t="s">
        <v>496</v>
      </c>
      <c r="C96" s="13" t="s">
        <v>529</v>
      </c>
      <c r="D96" s="1" t="s">
        <v>547</v>
      </c>
      <c r="E96" s="3" t="s">
        <v>591</v>
      </c>
      <c r="F96" s="3"/>
      <c r="G96" s="3">
        <v>2</v>
      </c>
      <c r="H96" s="3">
        <v>1</v>
      </c>
      <c r="I96" s="3">
        <v>1</v>
      </c>
      <c r="J96" s="3">
        <v>1113</v>
      </c>
      <c r="K96" s="705">
        <v>45602</v>
      </c>
      <c r="L96" s="705">
        <v>45785</v>
      </c>
      <c r="M96" s="17" t="b">
        <v>0</v>
      </c>
      <c r="N96" s="3">
        <v>184</v>
      </c>
      <c r="O96" s="5">
        <v>1425</v>
      </c>
      <c r="P96" s="6">
        <v>1.2803234501347709</v>
      </c>
      <c r="Q96" s="5">
        <v>1425</v>
      </c>
      <c r="R96" s="6">
        <v>1.2803234501347709</v>
      </c>
      <c r="S96" s="13" t="s">
        <v>611</v>
      </c>
      <c r="T96" s="13" t="s">
        <v>611</v>
      </c>
    </row>
    <row r="97" spans="2:20" x14ac:dyDescent="0.2">
      <c r="B97" s="13" t="s">
        <v>496</v>
      </c>
      <c r="C97" s="13" t="s">
        <v>529</v>
      </c>
      <c r="D97" s="1" t="s">
        <v>547</v>
      </c>
      <c r="E97" s="3" t="s">
        <v>592</v>
      </c>
      <c r="F97" s="3"/>
      <c r="G97" s="3">
        <v>2</v>
      </c>
      <c r="H97" s="3">
        <v>1</v>
      </c>
      <c r="I97" s="3">
        <v>1</v>
      </c>
      <c r="J97" s="3">
        <v>1113</v>
      </c>
      <c r="K97" s="705">
        <v>45702</v>
      </c>
      <c r="L97" s="705">
        <v>45785</v>
      </c>
      <c r="M97" s="17" t="b">
        <v>0</v>
      </c>
      <c r="N97" s="3">
        <v>84</v>
      </c>
      <c r="O97" s="5">
        <v>1425</v>
      </c>
      <c r="P97" s="6">
        <v>1.2803234501347709</v>
      </c>
      <c r="Q97" s="5">
        <v>1425</v>
      </c>
      <c r="R97" s="6">
        <v>1.2803234501347709</v>
      </c>
      <c r="S97" s="13" t="s">
        <v>611</v>
      </c>
      <c r="T97" s="13" t="s">
        <v>611</v>
      </c>
    </row>
    <row r="98" spans="2:20" x14ac:dyDescent="0.2">
      <c r="B98" s="13" t="s">
        <v>496</v>
      </c>
      <c r="C98" s="13" t="s">
        <v>529</v>
      </c>
      <c r="D98" s="1" t="s">
        <v>547</v>
      </c>
      <c r="E98" s="3" t="s">
        <v>593</v>
      </c>
      <c r="F98" s="3"/>
      <c r="G98" s="3">
        <v>2</v>
      </c>
      <c r="H98" s="3">
        <v>1</v>
      </c>
      <c r="I98" s="3">
        <v>1</v>
      </c>
      <c r="J98" s="3">
        <v>1113</v>
      </c>
      <c r="K98" s="705">
        <v>45751</v>
      </c>
      <c r="L98" s="705">
        <v>45759</v>
      </c>
      <c r="M98" s="17" t="b">
        <v>0</v>
      </c>
      <c r="N98" s="3">
        <v>9</v>
      </c>
      <c r="O98" s="5">
        <v>1425</v>
      </c>
      <c r="P98" s="6">
        <v>1.2803234501347709</v>
      </c>
      <c r="Q98" s="5">
        <v>1425</v>
      </c>
      <c r="R98" s="6">
        <v>1.2803234501347709</v>
      </c>
      <c r="S98" s="13" t="s">
        <v>611</v>
      </c>
      <c r="T98" s="13" t="s">
        <v>611</v>
      </c>
    </row>
    <row r="99" spans="2:20" x14ac:dyDescent="0.2">
      <c r="B99" s="13" t="s">
        <v>496</v>
      </c>
      <c r="C99" s="13" t="s">
        <v>529</v>
      </c>
      <c r="D99" s="1" t="s">
        <v>547</v>
      </c>
      <c r="E99" s="3" t="s">
        <v>594</v>
      </c>
      <c r="F99" s="3"/>
      <c r="G99" s="3">
        <v>2</v>
      </c>
      <c r="H99" s="3">
        <v>1</v>
      </c>
      <c r="I99" s="3">
        <v>1</v>
      </c>
      <c r="J99" s="3">
        <v>1113</v>
      </c>
      <c r="K99" s="705">
        <v>45702</v>
      </c>
      <c r="L99" s="705">
        <v>45751</v>
      </c>
      <c r="M99" s="17" t="b">
        <v>0</v>
      </c>
      <c r="N99" s="3">
        <v>50</v>
      </c>
      <c r="O99" s="5">
        <v>1425</v>
      </c>
      <c r="P99" s="6">
        <v>1.2803234501347709</v>
      </c>
      <c r="Q99" s="5">
        <v>1425</v>
      </c>
      <c r="R99" s="6">
        <v>1.2803234501347709</v>
      </c>
      <c r="S99" s="13" t="s">
        <v>611</v>
      </c>
      <c r="T99" s="13" t="s">
        <v>611</v>
      </c>
    </row>
    <row r="100" spans="2:20" x14ac:dyDescent="0.2">
      <c r="B100" s="13" t="s">
        <v>496</v>
      </c>
      <c r="C100" s="13" t="s">
        <v>529</v>
      </c>
      <c r="D100" s="1" t="s">
        <v>547</v>
      </c>
      <c r="E100" s="3" t="s">
        <v>595</v>
      </c>
      <c r="F100" s="3"/>
      <c r="G100" s="3">
        <v>2</v>
      </c>
      <c r="H100" s="3">
        <v>1</v>
      </c>
      <c r="I100" s="3">
        <v>1</v>
      </c>
      <c r="J100" s="3">
        <v>1113</v>
      </c>
      <c r="K100" s="705">
        <v>45713</v>
      </c>
      <c r="L100" s="705">
        <v>45737</v>
      </c>
      <c r="M100" s="17" t="b">
        <v>0</v>
      </c>
      <c r="N100" s="3">
        <v>25</v>
      </c>
      <c r="O100" s="5">
        <v>1425</v>
      </c>
      <c r="P100" s="6">
        <v>1.2803234501347709</v>
      </c>
      <c r="Q100" s="5">
        <v>1425</v>
      </c>
      <c r="R100" s="6">
        <v>1.2803234501347709</v>
      </c>
      <c r="S100" s="13" t="s">
        <v>611</v>
      </c>
      <c r="T100" s="13" t="s">
        <v>611</v>
      </c>
    </row>
    <row r="101" spans="2:20" x14ac:dyDescent="0.2">
      <c r="B101" s="13" t="s">
        <v>496</v>
      </c>
      <c r="C101" s="13" t="s">
        <v>529</v>
      </c>
      <c r="D101" s="1" t="s">
        <v>547</v>
      </c>
      <c r="E101" s="3" t="s">
        <v>596</v>
      </c>
      <c r="F101" s="3"/>
      <c r="G101" s="3">
        <v>2</v>
      </c>
      <c r="H101" s="3">
        <v>1</v>
      </c>
      <c r="I101" s="3">
        <v>1</v>
      </c>
      <c r="J101" s="3">
        <v>1113</v>
      </c>
      <c r="K101" s="705">
        <v>45687</v>
      </c>
      <c r="L101" s="705">
        <v>45721</v>
      </c>
      <c r="M101" s="17" t="b">
        <v>0</v>
      </c>
      <c r="N101" s="3">
        <v>35</v>
      </c>
      <c r="O101" s="5">
        <v>1425</v>
      </c>
      <c r="P101" s="6">
        <v>1.2803234501347709</v>
      </c>
      <c r="Q101" s="5">
        <v>1425</v>
      </c>
      <c r="R101" s="6">
        <v>1.2803234501347709</v>
      </c>
      <c r="S101" s="13" t="s">
        <v>611</v>
      </c>
      <c r="T101" s="13" t="s">
        <v>611</v>
      </c>
    </row>
    <row r="102" spans="2:20" x14ac:dyDescent="0.2">
      <c r="B102" s="13" t="s">
        <v>496</v>
      </c>
      <c r="C102" s="13" t="s">
        <v>529</v>
      </c>
      <c r="D102" s="1" t="s">
        <v>547</v>
      </c>
      <c r="E102" s="3" t="s">
        <v>597</v>
      </c>
      <c r="F102" s="3"/>
      <c r="G102" s="3">
        <v>2</v>
      </c>
      <c r="H102" s="3">
        <v>1</v>
      </c>
      <c r="I102" s="3">
        <v>1</v>
      </c>
      <c r="J102" s="3">
        <v>1113</v>
      </c>
      <c r="K102" s="705">
        <v>45678</v>
      </c>
      <c r="L102" s="705">
        <v>45695</v>
      </c>
      <c r="M102" s="17" t="b">
        <v>0</v>
      </c>
      <c r="N102" s="3">
        <v>18</v>
      </c>
      <c r="O102" s="5">
        <v>1425</v>
      </c>
      <c r="P102" s="6">
        <v>1.2803234501347709</v>
      </c>
      <c r="Q102" s="5">
        <v>1425</v>
      </c>
      <c r="R102" s="6">
        <v>1.2803234501347709</v>
      </c>
      <c r="S102" s="13" t="s">
        <v>611</v>
      </c>
      <c r="T102" s="13" t="s">
        <v>611</v>
      </c>
    </row>
    <row r="103" spans="2:20" x14ac:dyDescent="0.2">
      <c r="B103" s="13" t="s">
        <v>496</v>
      </c>
      <c r="C103" s="13" t="s">
        <v>529</v>
      </c>
      <c r="D103" s="1" t="s">
        <v>547</v>
      </c>
      <c r="E103" s="3" t="s">
        <v>598</v>
      </c>
      <c r="F103" s="3"/>
      <c r="G103" s="3">
        <v>2</v>
      </c>
      <c r="H103" s="3">
        <v>1</v>
      </c>
      <c r="I103" s="3">
        <v>1</v>
      </c>
      <c r="J103" s="3">
        <v>1113</v>
      </c>
      <c r="K103" s="705">
        <v>45637</v>
      </c>
      <c r="L103" s="705">
        <v>45664</v>
      </c>
      <c r="M103" s="17" t="b">
        <v>0</v>
      </c>
      <c r="N103" s="3">
        <v>28</v>
      </c>
      <c r="O103" s="5">
        <v>1425</v>
      </c>
      <c r="P103" s="6">
        <v>1.2803234501347709</v>
      </c>
      <c r="Q103" s="5">
        <v>1425</v>
      </c>
      <c r="R103" s="6">
        <v>1.2803234501347709</v>
      </c>
      <c r="S103" s="13" t="s">
        <v>611</v>
      </c>
      <c r="T103" s="13" t="s">
        <v>611</v>
      </c>
    </row>
    <row r="104" spans="2:20" x14ac:dyDescent="0.2">
      <c r="B104" s="13" t="s">
        <v>496</v>
      </c>
      <c r="C104" s="13" t="s">
        <v>529</v>
      </c>
      <c r="D104" s="1" t="s">
        <v>547</v>
      </c>
      <c r="E104" s="3" t="s">
        <v>599</v>
      </c>
      <c r="F104" s="3"/>
      <c r="G104" s="3">
        <v>2</v>
      </c>
      <c r="H104" s="3">
        <v>1</v>
      </c>
      <c r="I104" s="3">
        <v>1</v>
      </c>
      <c r="J104" s="3">
        <v>1113</v>
      </c>
      <c r="K104" s="705">
        <v>45631</v>
      </c>
      <c r="L104" s="705">
        <v>45656</v>
      </c>
      <c r="M104" s="17" t="b">
        <v>0</v>
      </c>
      <c r="N104" s="3">
        <v>26</v>
      </c>
      <c r="O104" s="5">
        <v>1425</v>
      </c>
      <c r="P104" s="6">
        <v>1.2803234501347709</v>
      </c>
      <c r="Q104" s="5">
        <v>1425</v>
      </c>
      <c r="R104" s="6">
        <v>1.2803234501347709</v>
      </c>
      <c r="S104" s="13" t="s">
        <v>611</v>
      </c>
      <c r="T104" s="13" t="s">
        <v>611</v>
      </c>
    </row>
    <row r="105" spans="2:20" x14ac:dyDescent="0.2">
      <c r="B105" s="13" t="s">
        <v>496</v>
      </c>
      <c r="C105" s="13" t="s">
        <v>529</v>
      </c>
      <c r="D105" s="1" t="s">
        <v>547</v>
      </c>
      <c r="E105" s="3" t="s">
        <v>600</v>
      </c>
      <c r="F105" s="3"/>
      <c r="G105" s="3">
        <v>2</v>
      </c>
      <c r="H105" s="3">
        <v>1</v>
      </c>
      <c r="I105" s="3">
        <v>1</v>
      </c>
      <c r="J105" s="3">
        <v>1113</v>
      </c>
      <c r="K105" s="705">
        <v>45631</v>
      </c>
      <c r="L105" s="705">
        <v>45646</v>
      </c>
      <c r="M105" s="17" t="b">
        <v>0</v>
      </c>
      <c r="N105" s="3">
        <v>16</v>
      </c>
      <c r="O105" s="5">
        <v>1425</v>
      </c>
      <c r="P105" s="6">
        <v>1.2803234501347709</v>
      </c>
      <c r="Q105" s="5">
        <v>1425</v>
      </c>
      <c r="R105" s="6">
        <v>1.2803234501347709</v>
      </c>
      <c r="S105" s="13" t="s">
        <v>611</v>
      </c>
      <c r="T105" s="13" t="s">
        <v>611</v>
      </c>
    </row>
    <row r="106" spans="2:20" x14ac:dyDescent="0.2">
      <c r="B106" s="13" t="s">
        <v>496</v>
      </c>
      <c r="C106" s="13" t="s">
        <v>529</v>
      </c>
      <c r="D106" s="1" t="s">
        <v>547</v>
      </c>
      <c r="E106" s="3" t="s">
        <v>601</v>
      </c>
      <c r="F106" s="3"/>
      <c r="G106" s="3">
        <v>2</v>
      </c>
      <c r="H106" s="3">
        <v>1</v>
      </c>
      <c r="I106" s="3">
        <v>1</v>
      </c>
      <c r="J106" s="3">
        <v>1113</v>
      </c>
      <c r="K106" s="705">
        <v>45611</v>
      </c>
      <c r="L106" s="705">
        <v>45623</v>
      </c>
      <c r="M106" s="17" t="b">
        <v>0</v>
      </c>
      <c r="N106" s="3">
        <v>13</v>
      </c>
      <c r="O106" s="5">
        <v>1425</v>
      </c>
      <c r="P106" s="6">
        <v>1.2803234501347709</v>
      </c>
      <c r="Q106" s="5">
        <v>1425</v>
      </c>
      <c r="R106" s="6">
        <v>1.2803234501347709</v>
      </c>
      <c r="S106" s="13" t="s">
        <v>611</v>
      </c>
      <c r="T106" s="13" t="s">
        <v>611</v>
      </c>
    </row>
    <row r="107" spans="2:20" x14ac:dyDescent="0.2">
      <c r="B107" s="13" t="s">
        <v>496</v>
      </c>
      <c r="C107" s="13" t="s">
        <v>529</v>
      </c>
      <c r="D107" s="1" t="s">
        <v>547</v>
      </c>
      <c r="E107" s="3" t="s">
        <v>602</v>
      </c>
      <c r="F107" s="3"/>
      <c r="G107" s="3">
        <v>2</v>
      </c>
      <c r="H107" s="3">
        <v>1</v>
      </c>
      <c r="I107" s="3">
        <v>1</v>
      </c>
      <c r="J107" s="3">
        <v>1113</v>
      </c>
      <c r="K107" s="705">
        <v>45622</v>
      </c>
      <c r="L107" s="705">
        <v>45623</v>
      </c>
      <c r="M107" s="17" t="b">
        <v>0</v>
      </c>
      <c r="N107" s="3">
        <v>2</v>
      </c>
      <c r="O107" s="5">
        <v>1425</v>
      </c>
      <c r="P107" s="6">
        <v>1.2803234501347709</v>
      </c>
      <c r="Q107" s="5">
        <v>1425</v>
      </c>
      <c r="R107" s="6">
        <v>1.2803234501347709</v>
      </c>
      <c r="S107" s="13" t="s">
        <v>611</v>
      </c>
      <c r="T107" s="13" t="s">
        <v>611</v>
      </c>
    </row>
    <row r="108" spans="2:20" x14ac:dyDescent="0.2">
      <c r="B108" s="13" t="s">
        <v>496</v>
      </c>
      <c r="C108" s="13" t="s">
        <v>529</v>
      </c>
      <c r="D108" s="1" t="s">
        <v>547</v>
      </c>
      <c r="E108" s="3" t="s">
        <v>603</v>
      </c>
      <c r="F108" s="3"/>
      <c r="G108" s="3">
        <v>2</v>
      </c>
      <c r="H108" s="3">
        <v>1</v>
      </c>
      <c r="I108" s="3">
        <v>1</v>
      </c>
      <c r="J108" s="3">
        <v>1113</v>
      </c>
      <c r="K108" s="705">
        <v>45601</v>
      </c>
      <c r="L108" s="705">
        <v>45617</v>
      </c>
      <c r="M108" s="17" t="b">
        <v>0</v>
      </c>
      <c r="N108" s="3">
        <v>17</v>
      </c>
      <c r="O108" s="5">
        <v>1425</v>
      </c>
      <c r="P108" s="6">
        <v>1.2803234501347709</v>
      </c>
      <c r="Q108" s="5">
        <v>1425</v>
      </c>
      <c r="R108" s="6">
        <v>1.2803234501347709</v>
      </c>
      <c r="S108" s="13" t="s">
        <v>611</v>
      </c>
      <c r="T108" s="13" t="s">
        <v>611</v>
      </c>
    </row>
    <row r="109" spans="2:20" x14ac:dyDescent="0.2">
      <c r="B109" s="13" t="s">
        <v>496</v>
      </c>
      <c r="C109" s="13" t="s">
        <v>529</v>
      </c>
      <c r="D109" s="1" t="s">
        <v>547</v>
      </c>
      <c r="E109" s="3" t="s">
        <v>604</v>
      </c>
      <c r="F109" s="3"/>
      <c r="G109" s="3">
        <v>2</v>
      </c>
      <c r="H109" s="3">
        <v>1</v>
      </c>
      <c r="I109" s="3">
        <v>1</v>
      </c>
      <c r="J109" s="3">
        <v>1113</v>
      </c>
      <c r="K109" s="705">
        <v>45567</v>
      </c>
      <c r="L109" s="705">
        <v>45609</v>
      </c>
      <c r="M109" s="17" t="b">
        <v>0</v>
      </c>
      <c r="N109" s="3">
        <v>43</v>
      </c>
      <c r="O109" s="5">
        <v>1425</v>
      </c>
      <c r="P109" s="6">
        <v>1.2803234501347709</v>
      </c>
      <c r="Q109" s="5">
        <v>1425</v>
      </c>
      <c r="R109" s="6">
        <v>1.2803234501347709</v>
      </c>
      <c r="S109" s="13" t="s">
        <v>611</v>
      </c>
      <c r="T109" s="13" t="s">
        <v>611</v>
      </c>
    </row>
    <row r="110" spans="2:20" x14ac:dyDescent="0.2">
      <c r="B110" s="13" t="s">
        <v>496</v>
      </c>
      <c r="C110" s="13" t="s">
        <v>529</v>
      </c>
      <c r="D110" s="1" t="s">
        <v>547</v>
      </c>
      <c r="E110" s="3" t="s">
        <v>605</v>
      </c>
      <c r="F110" s="3"/>
      <c r="G110" s="3">
        <v>2</v>
      </c>
      <c r="H110" s="3">
        <v>1</v>
      </c>
      <c r="I110" s="3">
        <v>1</v>
      </c>
      <c r="J110" s="3">
        <v>1113</v>
      </c>
      <c r="K110" s="705">
        <v>45554</v>
      </c>
      <c r="L110" s="705">
        <v>45604</v>
      </c>
      <c r="M110" s="17" t="b">
        <v>0</v>
      </c>
      <c r="N110" s="3">
        <v>51</v>
      </c>
      <c r="O110" s="5">
        <v>1425</v>
      </c>
      <c r="P110" s="6">
        <v>1.2803234501347709</v>
      </c>
      <c r="Q110" s="5">
        <v>1425</v>
      </c>
      <c r="R110" s="6">
        <v>1.2803234501347709</v>
      </c>
      <c r="S110" s="13" t="s">
        <v>611</v>
      </c>
      <c r="T110" s="13" t="s">
        <v>611</v>
      </c>
    </row>
    <row r="111" spans="2:20" x14ac:dyDescent="0.2">
      <c r="B111" s="13" t="s">
        <v>496</v>
      </c>
      <c r="C111" s="13" t="s">
        <v>529</v>
      </c>
      <c r="D111" s="1" t="s">
        <v>547</v>
      </c>
      <c r="E111" s="3" t="s">
        <v>606</v>
      </c>
      <c r="F111" s="3"/>
      <c r="G111" s="3">
        <v>2</v>
      </c>
      <c r="H111" s="3">
        <v>1</v>
      </c>
      <c r="I111" s="3">
        <v>1</v>
      </c>
      <c r="J111" s="3">
        <v>1113</v>
      </c>
      <c r="K111" s="705">
        <v>45483</v>
      </c>
      <c r="L111" s="705">
        <v>45525</v>
      </c>
      <c r="M111" s="17" t="b">
        <v>0</v>
      </c>
      <c r="N111" s="3">
        <v>43</v>
      </c>
      <c r="O111" s="5">
        <v>1425</v>
      </c>
      <c r="P111" s="6">
        <v>1.2803234501347709</v>
      </c>
      <c r="Q111" s="5">
        <v>1425</v>
      </c>
      <c r="R111" s="6">
        <v>1.2803234501347709</v>
      </c>
      <c r="S111" s="13" t="s">
        <v>611</v>
      </c>
      <c r="T111" s="13" t="s">
        <v>611</v>
      </c>
    </row>
    <row r="112" spans="2:20" x14ac:dyDescent="0.2">
      <c r="B112" s="13" t="s">
        <v>496</v>
      </c>
      <c r="C112" s="13" t="s">
        <v>529</v>
      </c>
      <c r="D112" s="1" t="s">
        <v>547</v>
      </c>
      <c r="E112" s="3" t="s">
        <v>607</v>
      </c>
      <c r="F112" s="3"/>
      <c r="G112" s="3">
        <v>2</v>
      </c>
      <c r="H112" s="3">
        <v>1</v>
      </c>
      <c r="I112" s="3">
        <v>1</v>
      </c>
      <c r="J112" s="3">
        <v>1113</v>
      </c>
      <c r="K112" s="705">
        <v>45931</v>
      </c>
      <c r="L112" s="705">
        <v>45977</v>
      </c>
      <c r="M112" s="17" t="b">
        <v>0</v>
      </c>
      <c r="N112" s="3">
        <v>47</v>
      </c>
      <c r="O112" s="5">
        <v>1490</v>
      </c>
      <c r="P112" s="6">
        <v>1.3387241689128482</v>
      </c>
      <c r="Q112" s="5">
        <v>1490</v>
      </c>
      <c r="R112" s="6">
        <v>1.3387241689128482</v>
      </c>
      <c r="S112" s="13" t="s">
        <v>611</v>
      </c>
      <c r="T112" s="13" t="s">
        <v>611</v>
      </c>
    </row>
    <row r="113" spans="2:20" x14ac:dyDescent="0.2">
      <c r="B113" s="13" t="s">
        <v>496</v>
      </c>
      <c r="C113" s="13" t="s">
        <v>529</v>
      </c>
      <c r="D113" s="1" t="s">
        <v>547</v>
      </c>
      <c r="E113" s="3" t="s">
        <v>608</v>
      </c>
      <c r="F113" s="3"/>
      <c r="G113" s="3">
        <v>2</v>
      </c>
      <c r="H113" s="3">
        <v>1</v>
      </c>
      <c r="I113" s="3">
        <v>1</v>
      </c>
      <c r="J113" s="3">
        <v>1113</v>
      </c>
      <c r="K113" s="705">
        <v>45744</v>
      </c>
      <c r="L113" s="705">
        <v>45826</v>
      </c>
      <c r="M113" s="17" t="b">
        <v>0</v>
      </c>
      <c r="N113" s="3">
        <v>83</v>
      </c>
      <c r="O113" s="5">
        <v>1490</v>
      </c>
      <c r="P113" s="6">
        <v>1.3387241689128482</v>
      </c>
      <c r="Q113" s="5">
        <v>1490</v>
      </c>
      <c r="R113" s="6">
        <v>1.3387241689128482</v>
      </c>
      <c r="S113" s="13" t="s">
        <v>611</v>
      </c>
      <c r="T113" s="13" t="s">
        <v>611</v>
      </c>
    </row>
    <row r="114" spans="2:20" x14ac:dyDescent="0.2">
      <c r="B114" s="13" t="s">
        <v>496</v>
      </c>
      <c r="C114" s="13" t="s">
        <v>529</v>
      </c>
      <c r="D114" s="1" t="s">
        <v>547</v>
      </c>
      <c r="E114" s="3" t="s">
        <v>609</v>
      </c>
      <c r="F114" s="3"/>
      <c r="G114" s="3">
        <v>2</v>
      </c>
      <c r="H114" s="3">
        <v>1</v>
      </c>
      <c r="I114" s="3">
        <v>1</v>
      </c>
      <c r="J114" s="3">
        <v>1113</v>
      </c>
      <c r="K114" s="705">
        <v>45749</v>
      </c>
      <c r="L114" s="705">
        <v>45813</v>
      </c>
      <c r="M114" s="17" t="b">
        <v>0</v>
      </c>
      <c r="N114" s="3">
        <v>65</v>
      </c>
      <c r="O114" s="5">
        <v>1490</v>
      </c>
      <c r="P114" s="6">
        <v>1.3387241689128482</v>
      </c>
      <c r="Q114" s="5">
        <v>1490</v>
      </c>
      <c r="R114" s="6">
        <v>1.3387241689128482</v>
      </c>
      <c r="S114" s="13" t="s">
        <v>611</v>
      </c>
      <c r="T114" s="13" t="s">
        <v>611</v>
      </c>
    </row>
    <row r="115" spans="2:20" x14ac:dyDescent="0.2">
      <c r="B115" s="13" t="s">
        <v>496</v>
      </c>
      <c r="C115" s="13" t="s">
        <v>529</v>
      </c>
      <c r="D115" s="1" t="s">
        <v>547</v>
      </c>
      <c r="E115" s="3" t="s">
        <v>610</v>
      </c>
      <c r="F115" s="3"/>
      <c r="G115" s="3">
        <v>2</v>
      </c>
      <c r="H115" s="3">
        <v>1</v>
      </c>
      <c r="I115" s="3">
        <v>1</v>
      </c>
      <c r="J115" s="3">
        <v>1113</v>
      </c>
      <c r="K115" s="705">
        <v>45771</v>
      </c>
      <c r="L115" s="705">
        <v>45818</v>
      </c>
      <c r="M115" s="17" t="b">
        <v>0</v>
      </c>
      <c r="N115" s="3">
        <v>48</v>
      </c>
      <c r="O115" s="5">
        <v>1490</v>
      </c>
      <c r="P115" s="6">
        <v>1.3387241689128482</v>
      </c>
      <c r="Q115" s="5">
        <v>1490</v>
      </c>
      <c r="R115" s="6">
        <v>1.3387241689128482</v>
      </c>
      <c r="S115" s="13" t="s">
        <v>611</v>
      </c>
      <c r="T115" s="13" t="s">
        <v>611</v>
      </c>
    </row>
  </sheetData>
  <pageMargins left="0.25" right="0.25" top="0.75" bottom="0.75" header="0.3" footer="0.3"/>
  <pageSetup scale="37" fitToHeight="0" orientation="landscape" r:id="rId1"/>
  <headerFooter>
    <oddHeader>&amp;L&amp;"-,Bold"&amp;K4438CAMarket Analysis Report&amp;R&amp;"-,Bold"&amp;K4438CAAs of: &amp;D</oddHeader>
    <oddFooter>&amp;L&amp;"-,Bold"&amp;K4438CAHelloData.ai</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1"/>
  </sheetPr>
  <dimension ref="B1:AK506"/>
  <sheetViews>
    <sheetView showGridLines="0" zoomScale="85" zoomScaleNormal="85" workbookViewId="0">
      <pane xSplit="9" ySplit="6" topLeftCell="J7" activePane="bottomRight" state="frozen"/>
      <selection pane="topRight" activeCell="J1" sqref="J1"/>
      <selection pane="bottomLeft" activeCell="A7" sqref="A7"/>
      <selection pane="bottomRight"/>
    </sheetView>
  </sheetViews>
  <sheetFormatPr baseColWidth="10" defaultColWidth="8.6640625" defaultRowHeight="14" x14ac:dyDescent="0.2"/>
  <cols>
    <col min="1" max="1" width="2.5" style="1" customWidth="1"/>
    <col min="2" max="2" width="28.5" style="13" customWidth="1"/>
    <col min="3" max="3" width="20.6640625" style="4" customWidth="1"/>
    <col min="4" max="4" width="6.6640625" style="4" customWidth="1"/>
    <col min="5" max="5" width="7.1640625" style="4" customWidth="1"/>
    <col min="6" max="6" width="10.5" style="4" customWidth="1"/>
    <col min="7" max="7" width="8.1640625" style="4" customWidth="1"/>
    <col min="8" max="8" width="15.6640625" style="4" customWidth="1"/>
    <col min="9" max="9" width="6.1640625" style="4" customWidth="1"/>
    <col min="10" max="13" width="7.83203125" style="5" customWidth="1"/>
    <col min="14" max="14" width="7.6640625" style="5" customWidth="1"/>
    <col min="15" max="15" width="7.6640625" style="6" customWidth="1"/>
    <col min="16" max="19" width="7.6640625" style="5" customWidth="1"/>
    <col min="20" max="24" width="7.6640625" style="1" customWidth="1"/>
    <col min="25" max="25" width="8.33203125" style="266" customWidth="1"/>
    <col min="26" max="26" width="11.83203125" style="265" customWidth="1"/>
    <col min="27" max="27" width="8.1640625" style="265" customWidth="1"/>
    <col min="28" max="28" width="2.6640625" style="1" customWidth="1"/>
    <col min="29" max="29" width="9.83203125" style="1" customWidth="1"/>
    <col min="30" max="30" width="14.33203125" style="1" customWidth="1"/>
    <col min="31" max="31" width="10.6640625" style="1" customWidth="1"/>
    <col min="32" max="32" width="9.1640625" style="1" customWidth="1"/>
    <col min="33" max="33" width="13.5" style="1" customWidth="1"/>
    <col min="34" max="34" width="13.1640625" style="1" customWidth="1"/>
    <col min="35" max="35" width="2.6640625" style="1" customWidth="1"/>
    <col min="36" max="37" width="6.6640625" style="1" customWidth="1"/>
    <col min="38" max="16384" width="8.6640625" style="1"/>
  </cols>
  <sheetData>
    <row r="1" spans="2:37" ht="8" customHeight="1" x14ac:dyDescent="0.2"/>
    <row r="2" spans="2:37" ht="24" x14ac:dyDescent="0.2">
      <c r="B2" s="539" t="s">
        <v>302</v>
      </c>
      <c r="C2" s="541"/>
      <c r="D2" s="541"/>
      <c r="E2" s="541"/>
      <c r="F2" s="541"/>
      <c r="G2" s="541"/>
      <c r="H2" s="541"/>
      <c r="I2" s="541"/>
      <c r="J2" s="88"/>
      <c r="K2" s="88"/>
      <c r="L2" s="88"/>
      <c r="M2" s="88"/>
      <c r="N2" s="88"/>
      <c r="O2" s="89"/>
      <c r="P2" s="88"/>
      <c r="Q2" s="88"/>
      <c r="R2" s="88"/>
      <c r="S2" s="88"/>
      <c r="T2" s="827" t="s">
        <v>388</v>
      </c>
      <c r="U2" s="859">
        <v>45978</v>
      </c>
      <c r="V2" s="859"/>
      <c r="W2" s="465"/>
      <c r="X2" s="465"/>
      <c r="Y2" s="728"/>
      <c r="Z2" s="731"/>
      <c r="AA2" s="731"/>
      <c r="AC2" s="539" t="s">
        <v>407</v>
      </c>
      <c r="AD2" s="540"/>
      <c r="AE2" s="540"/>
      <c r="AF2" s="540"/>
      <c r="AG2" s="540"/>
      <c r="AH2" s="540"/>
    </row>
    <row r="3" spans="2:37" ht="15" x14ac:dyDescent="0.2">
      <c r="B3" s="518" t="s">
        <v>473</v>
      </c>
      <c r="C3" s="1"/>
      <c r="D3" s="1"/>
      <c r="E3" s="1"/>
      <c r="F3" s="1"/>
      <c r="G3" s="1"/>
      <c r="H3" s="1"/>
      <c r="I3" s="1"/>
      <c r="L3" s="1"/>
      <c r="M3" s="1"/>
      <c r="N3" s="543" t="s">
        <v>404</v>
      </c>
      <c r="O3" s="862" t="s">
        <v>409</v>
      </c>
      <c r="P3" s="862"/>
      <c r="Q3" s="524"/>
      <c r="R3" s="524"/>
      <c r="S3" s="524"/>
      <c r="T3" s="524"/>
      <c r="U3" s="524"/>
      <c r="V3" s="524"/>
      <c r="W3" s="524"/>
      <c r="X3" s="524"/>
      <c r="Y3" s="729"/>
      <c r="Z3" s="732"/>
      <c r="AA3" s="732"/>
      <c r="AC3" s="542" t="s">
        <v>410</v>
      </c>
      <c r="AD3" s="546" t="s">
        <v>403</v>
      </c>
      <c r="AE3" s="543" t="s">
        <v>402</v>
      </c>
      <c r="AF3" s="547">
        <v>180</v>
      </c>
      <c r="AG3" s="543" t="s">
        <v>404</v>
      </c>
      <c r="AH3" s="547" t="s">
        <v>398</v>
      </c>
    </row>
    <row r="4" spans="2:37" ht="8" customHeight="1" x14ac:dyDescent="0.2">
      <c r="B4" s="1"/>
      <c r="H4" s="27"/>
      <c r="AB4" s="534"/>
    </row>
    <row r="5" spans="2:37" s="7" customFormat="1" ht="16" x14ac:dyDescent="0.2">
      <c r="C5" s="535"/>
      <c r="D5" s="535"/>
      <c r="E5" s="535"/>
      <c r="F5" s="535"/>
      <c r="G5" s="535"/>
      <c r="H5" s="535"/>
      <c r="I5" s="535"/>
      <c r="J5" s="857" t="s">
        <v>400</v>
      </c>
      <c r="K5" s="858"/>
      <c r="L5" s="858"/>
      <c r="M5" s="858"/>
      <c r="N5" s="548">
        <v>90</v>
      </c>
      <c r="O5" s="549" t="s">
        <v>412</v>
      </c>
      <c r="P5" s="544"/>
      <c r="Q5" s="548">
        <v>60</v>
      </c>
      <c r="R5" s="549" t="s">
        <v>412</v>
      </c>
      <c r="S5" s="545"/>
      <c r="T5" s="548">
        <v>30</v>
      </c>
      <c r="U5" s="549" t="s">
        <v>412</v>
      </c>
      <c r="V5" s="545"/>
      <c r="W5" s="863" t="s">
        <v>411</v>
      </c>
      <c r="X5" s="864"/>
      <c r="Y5" s="864"/>
      <c r="Z5" s="864"/>
      <c r="AA5" s="864"/>
      <c r="AB5" s="550"/>
      <c r="AC5" s="860" t="str">
        <f>"Units Tagged With "&amp;AD3</f>
        <v>Units Tagged With [Select Amenity]</v>
      </c>
      <c r="AD5" s="861"/>
      <c r="AE5" s="861"/>
      <c r="AF5" s="855" t="str">
        <f>"Units NOT Tagged with "&amp;AD3</f>
        <v>Units NOT Tagged with [Select Amenity]</v>
      </c>
      <c r="AG5" s="856"/>
      <c r="AH5" s="856"/>
      <c r="AI5" s="529"/>
      <c r="AJ5" s="1"/>
      <c r="AK5" s="524"/>
    </row>
    <row r="6" spans="2:37" ht="15" x14ac:dyDescent="0.2">
      <c r="B6" s="22" t="s">
        <v>9</v>
      </c>
      <c r="C6" s="22" t="s">
        <v>114</v>
      </c>
      <c r="D6" s="56" t="s">
        <v>11</v>
      </c>
      <c r="E6" s="56" t="s">
        <v>12</v>
      </c>
      <c r="F6" s="56" t="s">
        <v>413</v>
      </c>
      <c r="G6" s="56" t="s">
        <v>1</v>
      </c>
      <c r="H6" s="56" t="s">
        <v>169</v>
      </c>
      <c r="I6" s="56" t="s">
        <v>14</v>
      </c>
      <c r="J6" s="702" t="s">
        <v>299</v>
      </c>
      <c r="K6" s="702" t="s">
        <v>399</v>
      </c>
      <c r="L6" s="702" t="s">
        <v>300</v>
      </c>
      <c r="M6" s="702" t="s">
        <v>301</v>
      </c>
      <c r="N6" s="554" t="str">
        <f>IF($O$3="Chunk Rent","Rent","Rent PSF")</f>
        <v>Rent</v>
      </c>
      <c r="O6" s="555" t="str">
        <f>IF($O$3="Chunk Rent","NER","NER PSF")</f>
        <v>NER</v>
      </c>
      <c r="P6" s="554" t="s">
        <v>192</v>
      </c>
      <c r="Q6" s="554" t="str">
        <f>IF($O$3="Chunk Rent","Rent","Rent PSF")</f>
        <v>Rent</v>
      </c>
      <c r="R6" s="555" t="str">
        <f>IF($O$3="Chunk Rent","NER","NER PSF")</f>
        <v>NER</v>
      </c>
      <c r="S6" s="554" t="s">
        <v>192</v>
      </c>
      <c r="T6" s="554" t="str">
        <f>IF($O$3="Chunk Rent","Rent","Rent PSF")</f>
        <v>Rent</v>
      </c>
      <c r="U6" s="555" t="str">
        <f>IF($O$3="Chunk Rent","NER","NER PSF")</f>
        <v>NER</v>
      </c>
      <c r="V6" s="554" t="s">
        <v>192</v>
      </c>
      <c r="W6" s="701" t="str">
        <f>IF($O$3="Chunk Rent","Rent","Rent PSF")</f>
        <v>Rent</v>
      </c>
      <c r="X6" s="701" t="str">
        <f>IF($O$3="Chunk Rent","NER","NER PSF")</f>
        <v>NER</v>
      </c>
      <c r="Y6" s="730" t="s">
        <v>457</v>
      </c>
      <c r="Z6" s="733" t="s">
        <v>123</v>
      </c>
      <c r="AA6" s="733" t="s">
        <v>414</v>
      </c>
      <c r="AB6" s="551"/>
      <c r="AC6" s="525" t="s">
        <v>165</v>
      </c>
      <c r="AD6" s="525" t="str">
        <f>AH3</f>
        <v>Leased Rent</v>
      </c>
      <c r="AE6" s="525" t="s">
        <v>192</v>
      </c>
      <c r="AF6" s="533" t="s">
        <v>165</v>
      </c>
      <c r="AG6" s="533" t="str">
        <f>AH3</f>
        <v>Leased Rent</v>
      </c>
      <c r="AH6" s="533" t="s">
        <v>192</v>
      </c>
      <c r="AI6" s="530"/>
      <c r="AJ6" s="536" t="s">
        <v>326</v>
      </c>
      <c r="AK6" s="537" t="s">
        <v>327</v>
      </c>
    </row>
    <row r="7" spans="2:37" x14ac:dyDescent="0.2">
      <c r="B7" s="1" t="s">
        <v>496</v>
      </c>
      <c r="C7" s="53" t="s">
        <v>547</v>
      </c>
      <c r="D7" s="4">
        <v>2</v>
      </c>
      <c r="E7" s="262">
        <v>1</v>
      </c>
      <c r="F7" s="262" t="s">
        <v>405</v>
      </c>
      <c r="H7" s="4">
        <v>38.414634146341463</v>
      </c>
      <c r="I7" s="4">
        <v>1113</v>
      </c>
      <c r="J7" s="293">
        <v>1431.3414634146341</v>
      </c>
      <c r="K7" s="6">
        <v>1.2860210812350712</v>
      </c>
      <c r="L7" s="5">
        <v>1431.3414634146341</v>
      </c>
      <c r="M7" s="6">
        <v>1.2860210812350712</v>
      </c>
      <c r="N7" s="531" cm="1">
        <f t="array" aca="1" ref="N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1438</v>
      </c>
      <c r="O7" s="552" cm="1">
        <f t="array" aca="1" ref="O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1438</v>
      </c>
      <c r="P7" s="526" cm="1">
        <f t="array" aca="1" ref="P7" ca="1">COUNTIFS(unit_details[Leased Date], "&gt;=" &amp; ($U$2 - N$5),
          unit_details[Leased Date], "&lt;" &amp; $U$2,
          unit_details[Floorplan Name], INDIRECT("C"&amp;ROW()),
          unit_details[Property Name], INDIRECT("B"&amp;ROW()))</f>
        <v>5</v>
      </c>
      <c r="Q7" s="531" cm="1">
        <f t="array" aca="1" ref="Q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1457.5</v>
      </c>
      <c r="R7" s="552" cm="1">
        <f t="array" aca="1" ref="R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1457.5</v>
      </c>
      <c r="S7" s="526" cm="1">
        <f t="array" aca="1" ref="S7" ca="1">COUNTIFS(unit_details[Leased Date], "&gt;=" &amp; ($U$2 - Q$5),
          unit_details[Leased Date], "&lt;" &amp; $U$2,
          unit_details[Floorplan Name], INDIRECT("C"&amp;ROW()),
          unit_details[Property Name], INDIRECT("B"&amp;ROW()))</f>
        <v>2</v>
      </c>
      <c r="T7" s="531" cm="1">
        <f t="array" aca="1" ref="T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1490</v>
      </c>
      <c r="U7" s="552" cm="1">
        <f t="array" aca="1" ref="U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1490</v>
      </c>
      <c r="V7" s="526" cm="1">
        <f t="array" aca="1" ref="V7" ca="1">COUNTIFS(unit_details[Leased Date], "&gt;=" &amp; ($U$2 - T$5),
          unit_details[Leased Date], "&lt;" &amp; $U$2,
          unit_details[Floorplan Name], INDIRECT("C"&amp;ROW()),
          unit_details[Property Name], INDIRECT("B"&amp;ROW()))</f>
        <v>1</v>
      </c>
      <c r="W7" s="531" cm="1">
        <f t="array" aca="1" ref="W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1425</v>
      </c>
      <c r="X7" s="552" cm="1">
        <f t="array" aca="1" ref="X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1425</v>
      </c>
      <c r="Y7" s="27">
        <f ca="1">IFERROR((W7-X7)/W7,"")</f>
        <v>0</v>
      </c>
      <c r="Z7" s="4" t="str">
        <f>IFERROR($U$2-AVERAGEIFS(unit_details[First Listed],
          unit_details[Active Listing?],TRUE,
          unit_details[Property Name], $B7,
          unit_details[Beds], $D7,
          unit_details[Baths], $E7,
          unit_details[Partial Baths], IF(ISNUMBER($F7),$F7,""),
          unit_details[Floorplan Name],$C7
),"")</f>
        <v/>
      </c>
      <c r="AA7" s="262" cm="1">
        <f t="array" aca="1" ref="AA7" ca="1">COUNTIFS(unit_details[Active Listing?],TRUE,
          unit_details[Floorplan Name], INDIRECT("C"&amp;ROW()),
          unit_details[Property Name], INDIRECT("B"&amp;ROW()))</f>
        <v>4</v>
      </c>
      <c r="AB7" s="553"/>
      <c r="AC7" s="528" cm="1">
        <f t="array" aca="1" ref="AC7" ca="1">IFERROR(AVERAGEIFS(
  unit_details[Sqft],
  unit_details[Property Name], INDIRECT("B"&amp;ROW()),
  unit_details[Floorplan Name], INDIRECT("C"&amp;ROW()),
  unit_details[Beds], INDIRECT("D"&amp;ROW()),
  unit_details[Detected Unit Amenities], "*"&amp;$AD$3&amp;"*",
  unit_details[Leased Date], "&gt;=" &amp; ($U$2 - $AF$3)
),0)</f>
        <v>0</v>
      </c>
      <c r="AD7" s="527" cm="1">
        <f t="array" aca="1" ref="AD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 s="526" cm="1">
        <f t="array" aca="1" ref="AE7" ca="1">IFERROR(COUNTIFS(
  unit_details[Property Name], INDIRECT("B"&amp;ROW()),
  unit_details[Floorplan Name], INDIRECT("C"&amp;ROW()),
  unit_details[Beds], INDIRECT("D"&amp;ROW()),
  unit_details[Detected Unit Amenities], "*"&amp;$AD$3&amp;"*",
  unit_details[Leased Date], "&gt;=" &amp; ($U$2 - $AF$3)
),0)</f>
        <v>0</v>
      </c>
      <c r="AF7" s="528" cm="1">
        <f t="array" aca="1" ref="AF7" ca="1">IFERROR(AVERAGEIFS(
  unit_details[Sqft],
  unit_details[Property Name], INDIRECT("B"&amp;ROW()),
  unit_details[Floorplan Name], INDIRECT("C"&amp;ROW()),
  unit_details[Beds], INDIRECT("D"&amp;ROW()),
  unit_details[Detected Unit Amenities], "&lt;&gt;*"&amp;$AD$3&amp;"*",
  unit_details[Leased Date], "&gt;=" &amp; ($U$2 - $AF$3)
),0)</f>
        <v>1113</v>
      </c>
      <c r="AG7" s="527" cm="1">
        <f t="array" aca="1" ref="AG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1440.2941176470588</v>
      </c>
      <c r="AH7" s="526" cm="1">
        <f t="array" aca="1" ref="AH7" ca="1">IFERROR(COUNTIFS(
  unit_details[Property Name], INDIRECT("B"&amp;ROW()),
  unit_details[Floorplan Name], INDIRECT("C"&amp;ROW()),
  unit_details[Beds], INDIRECT("D"&amp;ROW()),
  unit_details[Detected Unit Amenities], "&lt;&gt;*"&amp;$AD$3&amp;"*",
  unit_details[Leased Date], "&gt;=" &amp; ($U$2 - $AF$3)
),0)</f>
        <v>17</v>
      </c>
      <c r="AI7" s="528"/>
      <c r="AJ7" s="531">
        <f ca="1">IF(OR(AD7=0,AG7=0),0,IFERROR(AD7-AG7,0))</f>
        <v>0</v>
      </c>
      <c r="AK7" s="532">
        <f ca="1">IFERROR(AJ7/AG7,0)</f>
        <v>0</v>
      </c>
    </row>
    <row r="8" spans="2:37" x14ac:dyDescent="0.2">
      <c r="B8" s="1"/>
      <c r="C8" s="53" t="s">
        <v>405</v>
      </c>
      <c r="D8" s="4">
        <v>2</v>
      </c>
      <c r="E8" s="262">
        <v>1</v>
      </c>
      <c r="F8" s="262"/>
      <c r="H8" s="4">
        <v>16</v>
      </c>
      <c r="I8" s="4">
        <v>952</v>
      </c>
      <c r="J8" s="293">
        <v>1350</v>
      </c>
      <c r="K8" s="6">
        <v>1.4180672268907564</v>
      </c>
      <c r="L8" s="5">
        <v>1350</v>
      </c>
      <c r="M8" s="6">
        <v>1.4180672268907564</v>
      </c>
      <c r="N8" s="531" t="str" cm="1">
        <f t="array" aca="1" ref="N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 s="552" t="str" cm="1">
        <f t="array" aca="1" ref="O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 s="526" cm="1">
        <f t="array" aca="1" ref="P8" ca="1">COUNTIFS(unit_details[Leased Date], "&gt;=" &amp; ($U$2 - N$5),
          unit_details[Leased Date], "&lt;" &amp; $U$2,
          unit_details[Floorplan Name], INDIRECT("C"&amp;ROW()),
          unit_details[Property Name], INDIRECT("B"&amp;ROW()))</f>
        <v>0</v>
      </c>
      <c r="Q8" s="531" t="str" cm="1">
        <f t="array" aca="1" ref="Q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 s="552" t="str" cm="1">
        <f t="array" aca="1" ref="R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 s="526" cm="1">
        <f t="array" aca="1" ref="S8" ca="1">COUNTIFS(unit_details[Leased Date], "&gt;=" &amp; ($U$2 - Q$5),
          unit_details[Leased Date], "&lt;" &amp; $U$2,
          unit_details[Floorplan Name], INDIRECT("C"&amp;ROW()),
          unit_details[Property Name], INDIRECT("B"&amp;ROW()))</f>
        <v>0</v>
      </c>
      <c r="T8" s="531" t="str" cm="1">
        <f t="array" aca="1" ref="T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 s="552" t="str" cm="1">
        <f t="array" aca="1" ref="U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 s="526" cm="1">
        <f t="array" aca="1" ref="V8" ca="1">COUNTIFS(unit_details[Leased Date], "&gt;=" &amp; ($U$2 - T$5),
          unit_details[Leased Date], "&lt;" &amp; $U$2,
          unit_details[Floorplan Name], INDIRECT("C"&amp;ROW()),
          unit_details[Property Name], INDIRECT("B"&amp;ROW()))</f>
        <v>0</v>
      </c>
      <c r="W8" s="531" t="str" cm="1">
        <f t="array" aca="1" ref="W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 s="552" t="str" cm="1">
        <f t="array" aca="1" ref="X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 s="27" t="str">
        <f t="shared" ref="Y8:Y71" ca="1" si="0">IFERROR((W8-X8)/W8,"")</f>
        <v/>
      </c>
      <c r="Z8" s="4" t="str">
        <f>IFERROR($U$2-AVERAGEIFS(unit_details[First Listed],
          unit_details[Active Listing?],TRUE,
          unit_details[Property Name], $B8,
          unit_details[Beds], $D8,
          unit_details[Baths], $E8,
          unit_details[Partial Baths], IF(ISNUMBER($F8),$F8,""),
          unit_details[Floorplan Name],$C8
),"")</f>
        <v/>
      </c>
      <c r="AA8" s="262" cm="1">
        <f t="array" aca="1" ref="AA8" ca="1">COUNTIFS(unit_details[Active Listing?],TRUE,
          unit_details[Floorplan Name], INDIRECT("C"&amp;ROW()),
          unit_details[Property Name], INDIRECT("B"&amp;ROW()))</f>
        <v>0</v>
      </c>
      <c r="AB8" s="553"/>
      <c r="AC8" s="528" cm="1">
        <f t="array" aca="1" ref="AC8" ca="1">IFERROR(AVERAGEIFS(
  unit_details[Sqft],
  unit_details[Property Name], INDIRECT("B"&amp;ROW()),
  unit_details[Floorplan Name], INDIRECT("C"&amp;ROW()),
  unit_details[Beds], INDIRECT("D"&amp;ROW()),
  unit_details[Detected Unit Amenities], "*"&amp;$AD$3&amp;"*",
  unit_details[Leased Date], "&gt;=" &amp; ($U$2 - $AF$3)
),0)</f>
        <v>0</v>
      </c>
      <c r="AD8" s="527" cm="1">
        <f t="array" aca="1" ref="AD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 s="526" cm="1">
        <f t="array" aca="1" ref="AE8" ca="1">IFERROR(COUNTIFS(
  unit_details[Property Name], INDIRECT("B"&amp;ROW()),
  unit_details[Floorplan Name], INDIRECT("C"&amp;ROW()),
  unit_details[Beds], INDIRECT("D"&amp;ROW()),
  unit_details[Detected Unit Amenities], "*"&amp;$AD$3&amp;"*",
  unit_details[Leased Date], "&gt;=" &amp; ($U$2 - $AF$3)
),0)</f>
        <v>0</v>
      </c>
      <c r="AF8" s="528" cm="1">
        <f t="array" aca="1" ref="AF8" ca="1">IFERROR(AVERAGEIFS(
  unit_details[Sqft],
  unit_details[Property Name], INDIRECT("B"&amp;ROW()),
  unit_details[Floorplan Name], INDIRECT("C"&amp;ROW()),
  unit_details[Beds], INDIRECT("D"&amp;ROW()),
  unit_details[Detected Unit Amenities], "&lt;&gt;*"&amp;$AD$3&amp;"*",
  unit_details[Leased Date], "&gt;=" &amp; ($U$2 - $AF$3)
),0)</f>
        <v>0</v>
      </c>
      <c r="AG8" s="527" cm="1">
        <f t="array" aca="1" ref="AG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 s="526" cm="1">
        <f t="array" aca="1" ref="AH8" ca="1">IFERROR(COUNTIFS(
  unit_details[Property Name], INDIRECT("B"&amp;ROW()),
  unit_details[Floorplan Name], INDIRECT("C"&amp;ROW()),
  unit_details[Beds], INDIRECT("D"&amp;ROW()),
  unit_details[Detected Unit Amenities], "&lt;&gt;*"&amp;$AD$3&amp;"*",
  unit_details[Leased Date], "&gt;=" &amp; ($U$2 - $AF$3)
),0)</f>
        <v>0</v>
      </c>
      <c r="AI8" s="528"/>
      <c r="AJ8" s="531">
        <f ca="1">IF(OR(AD8=0,AG8=0),0,IFERROR(AD8-AG8,0))</f>
        <v>0</v>
      </c>
      <c r="AK8" s="532">
        <f ca="1">IFERROR(AJ8/AG8,0)</f>
        <v>0</v>
      </c>
    </row>
    <row r="9" spans="2:37" x14ac:dyDescent="0.2">
      <c r="B9" s="1"/>
      <c r="C9" s="53" t="s">
        <v>405</v>
      </c>
      <c r="D9" s="4">
        <v>2</v>
      </c>
      <c r="E9" s="262">
        <v>1</v>
      </c>
      <c r="F9" s="262"/>
      <c r="G9" s="4">
        <v>1</v>
      </c>
      <c r="H9" s="4">
        <v>8</v>
      </c>
      <c r="I9" s="4">
        <v>750</v>
      </c>
      <c r="J9" s="293">
        <v>1225</v>
      </c>
      <c r="K9" s="6">
        <v>1.6333333333333333</v>
      </c>
      <c r="L9" s="5">
        <v>1225</v>
      </c>
      <c r="M9" s="6">
        <v>1.6333333333333333</v>
      </c>
      <c r="N9" s="531" t="str" cm="1">
        <f t="array" aca="1" ref="N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 s="552" t="str" cm="1">
        <f t="array" aca="1" ref="O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 s="526" cm="1">
        <f t="array" aca="1" ref="P9" ca="1">COUNTIFS(unit_details[Leased Date], "&gt;=" &amp; ($U$2 - N$5),
          unit_details[Leased Date], "&lt;" &amp; $U$2,
          unit_details[Floorplan Name], INDIRECT("C"&amp;ROW()),
          unit_details[Property Name], INDIRECT("B"&amp;ROW()))</f>
        <v>0</v>
      </c>
      <c r="Q9" s="531" t="str" cm="1">
        <f t="array" aca="1" ref="Q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 s="552" t="str" cm="1">
        <f t="array" aca="1" ref="R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 s="526" cm="1">
        <f t="array" aca="1" ref="S9" ca="1">COUNTIFS(unit_details[Leased Date], "&gt;=" &amp; ($U$2 - Q$5),
          unit_details[Leased Date], "&lt;" &amp; $U$2,
          unit_details[Floorplan Name], INDIRECT("C"&amp;ROW()),
          unit_details[Property Name], INDIRECT("B"&amp;ROW()))</f>
        <v>0</v>
      </c>
      <c r="T9" s="531" t="str" cm="1">
        <f t="array" aca="1" ref="T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 s="552" t="str" cm="1">
        <f t="array" aca="1" ref="U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 s="526" cm="1">
        <f t="array" aca="1" ref="V9" ca="1">COUNTIFS(unit_details[Leased Date], "&gt;=" &amp; ($U$2 - T$5),
          unit_details[Leased Date], "&lt;" &amp; $U$2,
          unit_details[Floorplan Name], INDIRECT("C"&amp;ROW()),
          unit_details[Property Name], INDIRECT("B"&amp;ROW()))</f>
        <v>0</v>
      </c>
      <c r="W9" s="531" t="str" cm="1">
        <f t="array" aca="1" ref="W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 s="552" t="str" cm="1">
        <f t="array" aca="1" ref="X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 s="27" t="str">
        <f t="shared" ca="1" si="0"/>
        <v/>
      </c>
      <c r="Z9" s="4" t="str">
        <f>IFERROR($U$2-AVERAGEIFS(unit_details[First Listed],
          unit_details[Active Listing?],TRUE,
          unit_details[Property Name], $B9,
          unit_details[Beds], $D9,
          unit_details[Baths], $E9,
          unit_details[Partial Baths], IF(ISNUMBER($F9),$F9,""),
          unit_details[Floorplan Name],$C9
),"")</f>
        <v/>
      </c>
      <c r="AA9" s="262" cm="1">
        <f t="array" aca="1" ref="AA9" ca="1">COUNTIFS(unit_details[Active Listing?],TRUE,
          unit_details[Floorplan Name], INDIRECT("C"&amp;ROW()),
          unit_details[Property Name], INDIRECT("B"&amp;ROW()))</f>
        <v>0</v>
      </c>
      <c r="AB9" s="553"/>
      <c r="AC9" s="528" cm="1">
        <f t="array" aca="1" ref="AC9" ca="1">IFERROR(AVERAGEIFS(
  unit_details[Sqft],
  unit_details[Property Name], INDIRECT("B"&amp;ROW()),
  unit_details[Floorplan Name], INDIRECT("C"&amp;ROW()),
  unit_details[Beds], INDIRECT("D"&amp;ROW()),
  unit_details[Detected Unit Amenities], "*"&amp;$AD$3&amp;"*",
  unit_details[Leased Date], "&gt;=" &amp; ($U$2 - $AF$3)
),0)</f>
        <v>0</v>
      </c>
      <c r="AD9" s="527" cm="1">
        <f t="array" aca="1" ref="AD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 s="526" cm="1">
        <f t="array" aca="1" ref="AE9" ca="1">IFERROR(COUNTIFS(
  unit_details[Property Name], INDIRECT("B"&amp;ROW()),
  unit_details[Floorplan Name], INDIRECT("C"&amp;ROW()),
  unit_details[Beds], INDIRECT("D"&amp;ROW()),
  unit_details[Detected Unit Amenities], "*"&amp;$AD$3&amp;"*",
  unit_details[Leased Date], "&gt;=" &amp; ($U$2 - $AF$3)
),0)</f>
        <v>0</v>
      </c>
      <c r="AF9" s="528" cm="1">
        <f t="array" aca="1" ref="AF9" ca="1">IFERROR(AVERAGEIFS(
  unit_details[Sqft],
  unit_details[Property Name], INDIRECT("B"&amp;ROW()),
  unit_details[Floorplan Name], INDIRECT("C"&amp;ROW()),
  unit_details[Beds], INDIRECT("D"&amp;ROW()),
  unit_details[Detected Unit Amenities], "&lt;&gt;*"&amp;$AD$3&amp;"*",
  unit_details[Leased Date], "&gt;=" &amp; ($U$2 - $AF$3)
),0)</f>
        <v>0</v>
      </c>
      <c r="AG9" s="527" cm="1">
        <f t="array" aca="1" ref="AG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 s="526" cm="1">
        <f t="array" aca="1" ref="AH9" ca="1">IFERROR(COUNTIFS(
  unit_details[Property Name], INDIRECT("B"&amp;ROW()),
  unit_details[Floorplan Name], INDIRECT("C"&amp;ROW()),
  unit_details[Beds], INDIRECT("D"&amp;ROW()),
  unit_details[Detected Unit Amenities], "&lt;&gt;*"&amp;$AD$3&amp;"*",
  unit_details[Leased Date], "&gt;=" &amp; ($U$2 - $AF$3)
),0)</f>
        <v>0</v>
      </c>
      <c r="AI9" s="528"/>
      <c r="AJ9" s="531">
        <f t="shared" ref="AJ9:AJ72" ca="1" si="1">IF(OR(AD9=0,AG9=0),0,IFERROR(AD9-AG9,0))</f>
        <v>0</v>
      </c>
      <c r="AK9" s="532">
        <f t="shared" ref="AK9:AK72" ca="1" si="2">IFERROR(AJ9/AG9,0)</f>
        <v>0</v>
      </c>
    </row>
    <row r="10" spans="2:37" x14ac:dyDescent="0.2">
      <c r="B10" s="1"/>
      <c r="C10" s="53" t="s">
        <v>405</v>
      </c>
      <c r="D10" s="4">
        <v>2</v>
      </c>
      <c r="E10" s="262">
        <v>1</v>
      </c>
      <c r="F10" s="262"/>
      <c r="G10" s="4">
        <v>1</v>
      </c>
      <c r="H10" s="4">
        <v>807</v>
      </c>
      <c r="I10" s="4">
        <v>1100</v>
      </c>
      <c r="J10" s="293">
        <v>1225</v>
      </c>
      <c r="K10" s="6">
        <v>1.1136363636363635</v>
      </c>
      <c r="L10" s="5">
        <v>1225</v>
      </c>
      <c r="M10" s="6">
        <v>1.1136363636363635</v>
      </c>
      <c r="N10" s="531" t="str" cm="1">
        <f t="array" aca="1" ref="N1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 s="552" t="str" cm="1">
        <f t="array" aca="1" ref="O1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 s="526" cm="1">
        <f t="array" aca="1" ref="P10" ca="1">COUNTIFS(unit_details[Leased Date], "&gt;=" &amp; ($U$2 - N$5),
          unit_details[Leased Date], "&lt;" &amp; $U$2,
          unit_details[Floorplan Name], INDIRECT("C"&amp;ROW()),
          unit_details[Property Name], INDIRECT("B"&amp;ROW()))</f>
        <v>0</v>
      </c>
      <c r="Q10" s="531" t="str" cm="1">
        <f t="array" aca="1" ref="Q1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 s="552" t="str" cm="1">
        <f t="array" aca="1" ref="R1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 s="526" cm="1">
        <f t="array" aca="1" ref="S10" ca="1">COUNTIFS(unit_details[Leased Date], "&gt;=" &amp; ($U$2 - Q$5),
          unit_details[Leased Date], "&lt;" &amp; $U$2,
          unit_details[Floorplan Name], INDIRECT("C"&amp;ROW()),
          unit_details[Property Name], INDIRECT("B"&amp;ROW()))</f>
        <v>0</v>
      </c>
      <c r="T10" s="531" t="str" cm="1">
        <f t="array" aca="1" ref="T1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 s="552" t="str" cm="1">
        <f t="array" aca="1" ref="U1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 s="526" cm="1">
        <f t="array" aca="1" ref="V10" ca="1">COUNTIFS(unit_details[Leased Date], "&gt;=" &amp; ($U$2 - T$5),
          unit_details[Leased Date], "&lt;" &amp; $U$2,
          unit_details[Floorplan Name], INDIRECT("C"&amp;ROW()),
          unit_details[Property Name], INDIRECT("B"&amp;ROW()))</f>
        <v>0</v>
      </c>
      <c r="W10" s="531" t="str" cm="1">
        <f t="array" aca="1" ref="W1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 s="552" t="str" cm="1">
        <f t="array" aca="1" ref="X1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 s="27" t="str">
        <f t="shared" ca="1" si="0"/>
        <v/>
      </c>
      <c r="Z10" s="4" t="str">
        <f>IFERROR($U$2-AVERAGEIFS(unit_details[First Listed],
          unit_details[Active Listing?],TRUE,
          unit_details[Property Name], $B10,
          unit_details[Beds], $D10,
          unit_details[Baths], $E10,
          unit_details[Partial Baths], IF(ISNUMBER($F10),$F10,""),
          unit_details[Floorplan Name],$C10
),"")</f>
        <v/>
      </c>
      <c r="AA10" s="262" cm="1">
        <f t="array" aca="1" ref="AA10" ca="1">COUNTIFS(unit_details[Active Listing?],TRUE,
          unit_details[Floorplan Name], INDIRECT("C"&amp;ROW()),
          unit_details[Property Name], INDIRECT("B"&amp;ROW()))</f>
        <v>0</v>
      </c>
      <c r="AB10" s="553"/>
      <c r="AC10" s="528" cm="1">
        <f t="array" aca="1" ref="AC10" ca="1">IFERROR(AVERAGEIFS(
  unit_details[Sqft],
  unit_details[Property Name], INDIRECT("B"&amp;ROW()),
  unit_details[Floorplan Name], INDIRECT("C"&amp;ROW()),
  unit_details[Beds], INDIRECT("D"&amp;ROW()),
  unit_details[Detected Unit Amenities], "*"&amp;$AD$3&amp;"*",
  unit_details[Leased Date], "&gt;=" &amp; ($U$2 - $AF$3)
),0)</f>
        <v>0</v>
      </c>
      <c r="AD10" s="527" cm="1">
        <f t="array" aca="1" ref="AD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 s="526" cm="1">
        <f t="array" aca="1" ref="AE10" ca="1">IFERROR(COUNTIFS(
  unit_details[Property Name], INDIRECT("B"&amp;ROW()),
  unit_details[Floorplan Name], INDIRECT("C"&amp;ROW()),
  unit_details[Beds], INDIRECT("D"&amp;ROW()),
  unit_details[Detected Unit Amenities], "*"&amp;$AD$3&amp;"*",
  unit_details[Leased Date], "&gt;=" &amp; ($U$2 - $AF$3)
),0)</f>
        <v>0</v>
      </c>
      <c r="AF10" s="528" cm="1">
        <f t="array" aca="1" ref="AF10" ca="1">IFERROR(AVERAGEIFS(
  unit_details[Sqft],
  unit_details[Property Name], INDIRECT("B"&amp;ROW()),
  unit_details[Floorplan Name], INDIRECT("C"&amp;ROW()),
  unit_details[Beds], INDIRECT("D"&amp;ROW()),
  unit_details[Detected Unit Amenities], "&lt;&gt;*"&amp;$AD$3&amp;"*",
  unit_details[Leased Date], "&gt;=" &amp; ($U$2 - $AF$3)
),0)</f>
        <v>0</v>
      </c>
      <c r="AG10" s="527" cm="1">
        <f t="array" aca="1" ref="AG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 s="526" cm="1">
        <f t="array" aca="1" ref="AH10" ca="1">IFERROR(COUNTIFS(
  unit_details[Property Name], INDIRECT("B"&amp;ROW()),
  unit_details[Floorplan Name], INDIRECT("C"&amp;ROW()),
  unit_details[Beds], INDIRECT("D"&amp;ROW()),
  unit_details[Detected Unit Amenities], "&lt;&gt;*"&amp;$AD$3&amp;"*",
  unit_details[Leased Date], "&gt;=" &amp; ($U$2 - $AF$3)
),0)</f>
        <v>0</v>
      </c>
      <c r="AI10" s="528"/>
      <c r="AJ10" s="531">
        <f t="shared" ca="1" si="1"/>
        <v>0</v>
      </c>
      <c r="AK10" s="532">
        <f t="shared" ca="1" si="2"/>
        <v>0</v>
      </c>
    </row>
    <row r="11" spans="2:37" x14ac:dyDescent="0.2">
      <c r="B11" s="1"/>
      <c r="C11" s="53" t="s">
        <v>405</v>
      </c>
      <c r="D11" s="4">
        <v>2</v>
      </c>
      <c r="E11" s="262">
        <v>1</v>
      </c>
      <c r="F11" s="262"/>
      <c r="H11" s="4">
        <v>65</v>
      </c>
      <c r="I11" s="4">
        <v>952</v>
      </c>
      <c r="J11" s="293">
        <v>1500</v>
      </c>
      <c r="K11" s="6">
        <v>1.5756302521008403</v>
      </c>
      <c r="L11" s="5">
        <v>1500</v>
      </c>
      <c r="M11" s="6">
        <v>1.5756302521008403</v>
      </c>
      <c r="N11" s="531" t="str" cm="1">
        <f t="array" aca="1" ref="N1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 s="552" t="str" cm="1">
        <f t="array" aca="1" ref="O1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 s="526" cm="1">
        <f t="array" aca="1" ref="P11" ca="1">COUNTIFS(unit_details[Leased Date], "&gt;=" &amp; ($U$2 - N$5),
          unit_details[Leased Date], "&lt;" &amp; $U$2,
          unit_details[Floorplan Name], INDIRECT("C"&amp;ROW()),
          unit_details[Property Name], INDIRECT("B"&amp;ROW()))</f>
        <v>0</v>
      </c>
      <c r="Q11" s="531" t="str" cm="1">
        <f t="array" aca="1" ref="Q1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 s="552" t="str" cm="1">
        <f t="array" aca="1" ref="R1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 s="526" cm="1">
        <f t="array" aca="1" ref="S11" ca="1">COUNTIFS(unit_details[Leased Date], "&gt;=" &amp; ($U$2 - Q$5),
          unit_details[Leased Date], "&lt;" &amp; $U$2,
          unit_details[Floorplan Name], INDIRECT("C"&amp;ROW()),
          unit_details[Property Name], INDIRECT("B"&amp;ROW()))</f>
        <v>0</v>
      </c>
      <c r="T11" s="531" t="str" cm="1">
        <f t="array" aca="1" ref="T1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 s="552" t="str" cm="1">
        <f t="array" aca="1" ref="U1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 s="526" cm="1">
        <f t="array" aca="1" ref="V11" ca="1">COUNTIFS(unit_details[Leased Date], "&gt;=" &amp; ($U$2 - T$5),
          unit_details[Leased Date], "&lt;" &amp; $U$2,
          unit_details[Floorplan Name], INDIRECT("C"&amp;ROW()),
          unit_details[Property Name], INDIRECT("B"&amp;ROW()))</f>
        <v>0</v>
      </c>
      <c r="W11" s="531" t="str" cm="1">
        <f t="array" aca="1" ref="W1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 s="552" t="str" cm="1">
        <f t="array" aca="1" ref="X1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 s="27" t="str">
        <f t="shared" ca="1" si="0"/>
        <v/>
      </c>
      <c r="Z11" s="4" t="str">
        <f>IFERROR($U$2-AVERAGEIFS(unit_details[First Listed],
          unit_details[Active Listing?],TRUE,
          unit_details[Property Name], $B11,
          unit_details[Beds], $D11,
          unit_details[Baths], $E11,
          unit_details[Partial Baths], IF(ISNUMBER($F11),$F11,""),
          unit_details[Floorplan Name],$C11
),"")</f>
        <v/>
      </c>
      <c r="AA11" s="262" cm="1">
        <f t="array" aca="1" ref="AA11" ca="1">COUNTIFS(unit_details[Active Listing?],TRUE,
          unit_details[Floorplan Name], INDIRECT("C"&amp;ROW()),
          unit_details[Property Name], INDIRECT("B"&amp;ROW()))</f>
        <v>0</v>
      </c>
      <c r="AB11" s="553"/>
      <c r="AC11" s="528" cm="1">
        <f t="array" aca="1" ref="AC11" ca="1">IFERROR(AVERAGEIFS(
  unit_details[Sqft],
  unit_details[Property Name], INDIRECT("B"&amp;ROW()),
  unit_details[Floorplan Name], INDIRECT("C"&amp;ROW()),
  unit_details[Beds], INDIRECT("D"&amp;ROW()),
  unit_details[Detected Unit Amenities], "*"&amp;$AD$3&amp;"*",
  unit_details[Leased Date], "&gt;=" &amp; ($U$2 - $AF$3)
),0)</f>
        <v>0</v>
      </c>
      <c r="AD11" s="527" cm="1">
        <f t="array" aca="1" ref="AD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 s="526" cm="1">
        <f t="array" aca="1" ref="AE11" ca="1">IFERROR(COUNTIFS(
  unit_details[Property Name], INDIRECT("B"&amp;ROW()),
  unit_details[Floorplan Name], INDIRECT("C"&amp;ROW()),
  unit_details[Beds], INDIRECT("D"&amp;ROW()),
  unit_details[Detected Unit Amenities], "*"&amp;$AD$3&amp;"*",
  unit_details[Leased Date], "&gt;=" &amp; ($U$2 - $AF$3)
),0)</f>
        <v>0</v>
      </c>
      <c r="AF11" s="528" cm="1">
        <f t="array" aca="1" ref="AF11" ca="1">IFERROR(AVERAGEIFS(
  unit_details[Sqft],
  unit_details[Property Name], INDIRECT("B"&amp;ROW()),
  unit_details[Floorplan Name], INDIRECT("C"&amp;ROW()),
  unit_details[Beds], INDIRECT("D"&amp;ROW()),
  unit_details[Detected Unit Amenities], "&lt;&gt;*"&amp;$AD$3&amp;"*",
  unit_details[Leased Date], "&gt;=" &amp; ($U$2 - $AF$3)
),0)</f>
        <v>0</v>
      </c>
      <c r="AG11" s="527" cm="1">
        <f t="array" aca="1" ref="AG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 s="526" cm="1">
        <f t="array" aca="1" ref="AH11" ca="1">IFERROR(COUNTIFS(
  unit_details[Property Name], INDIRECT("B"&amp;ROW()),
  unit_details[Floorplan Name], INDIRECT("C"&amp;ROW()),
  unit_details[Beds], INDIRECT("D"&amp;ROW()),
  unit_details[Detected Unit Amenities], "&lt;&gt;*"&amp;$AD$3&amp;"*",
  unit_details[Leased Date], "&gt;=" &amp; ($U$2 - $AF$3)
),0)</f>
        <v>0</v>
      </c>
      <c r="AI11" s="528"/>
      <c r="AJ11" s="531">
        <f t="shared" ca="1" si="1"/>
        <v>0</v>
      </c>
      <c r="AK11" s="532">
        <f t="shared" ca="1" si="2"/>
        <v>0</v>
      </c>
    </row>
    <row r="12" spans="2:37" x14ac:dyDescent="0.2">
      <c r="B12" s="1"/>
      <c r="C12" s="53" t="s">
        <v>530</v>
      </c>
      <c r="D12" s="4">
        <v>1</v>
      </c>
      <c r="E12" s="262">
        <v>1</v>
      </c>
      <c r="F12" s="262"/>
      <c r="G12" s="4">
        <v>1</v>
      </c>
      <c r="H12" s="4">
        <v>221</v>
      </c>
      <c r="I12" s="4">
        <v>650</v>
      </c>
      <c r="J12" s="293">
        <v>1100</v>
      </c>
      <c r="K12" s="6">
        <v>1.6923076923076923</v>
      </c>
      <c r="L12" s="5">
        <v>1100</v>
      </c>
      <c r="M12" s="6">
        <v>1.6923076923076923</v>
      </c>
      <c r="N12" s="531" t="str" cm="1">
        <f t="array" aca="1" ref="N1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 s="552" t="str" cm="1">
        <f t="array" aca="1" ref="O1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 s="526" cm="1">
        <f t="array" aca="1" ref="P12" ca="1">COUNTIFS(unit_details[Leased Date], "&gt;=" &amp; ($U$2 - N$5),
          unit_details[Leased Date], "&lt;" &amp; $U$2,
          unit_details[Floorplan Name], INDIRECT("C"&amp;ROW()),
          unit_details[Property Name], INDIRECT("B"&amp;ROW()))</f>
        <v>0</v>
      </c>
      <c r="Q12" s="531" t="str" cm="1">
        <f t="array" aca="1" ref="Q1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 s="552" t="str" cm="1">
        <f t="array" aca="1" ref="R1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 s="526" cm="1">
        <f t="array" aca="1" ref="S12" ca="1">COUNTIFS(unit_details[Leased Date], "&gt;=" &amp; ($U$2 - Q$5),
          unit_details[Leased Date], "&lt;" &amp; $U$2,
          unit_details[Floorplan Name], INDIRECT("C"&amp;ROW()),
          unit_details[Property Name], INDIRECT("B"&amp;ROW()))</f>
        <v>0</v>
      </c>
      <c r="T12" s="531" t="str" cm="1">
        <f t="array" aca="1" ref="T1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 s="552" t="str" cm="1">
        <f t="array" aca="1" ref="U1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 s="526" cm="1">
        <f t="array" aca="1" ref="V12" ca="1">COUNTIFS(unit_details[Leased Date], "&gt;=" &amp; ($U$2 - T$5),
          unit_details[Leased Date], "&lt;" &amp; $U$2,
          unit_details[Floorplan Name], INDIRECT("C"&amp;ROW()),
          unit_details[Property Name], INDIRECT("B"&amp;ROW()))</f>
        <v>0</v>
      </c>
      <c r="W12" s="531" t="str" cm="1">
        <f t="array" aca="1" ref="W1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 s="552" t="str" cm="1">
        <f t="array" aca="1" ref="X1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 s="27" t="str">
        <f t="shared" ca="1" si="0"/>
        <v/>
      </c>
      <c r="Z12" s="4" t="str">
        <f>IFERROR($U$2-AVERAGEIFS(unit_details[First Listed],
          unit_details[Active Listing?],TRUE,
          unit_details[Property Name], $B12,
          unit_details[Beds], $D12,
          unit_details[Baths], $E12,
          unit_details[Partial Baths], IF(ISNUMBER($F12),$F12,""),
          unit_details[Floorplan Name],$C12
),"")</f>
        <v/>
      </c>
      <c r="AA12" s="262" cm="1">
        <f t="array" aca="1" ref="AA12" ca="1">COUNTIFS(unit_details[Active Listing?],TRUE,
          unit_details[Floorplan Name], INDIRECT("C"&amp;ROW()),
          unit_details[Property Name], INDIRECT("B"&amp;ROW()))</f>
        <v>0</v>
      </c>
      <c r="AB12" s="553"/>
      <c r="AC12" s="528" cm="1">
        <f t="array" aca="1" ref="AC12" ca="1">IFERROR(AVERAGEIFS(
  unit_details[Sqft],
  unit_details[Property Name], INDIRECT("B"&amp;ROW()),
  unit_details[Floorplan Name], INDIRECT("C"&amp;ROW()),
  unit_details[Beds], INDIRECT("D"&amp;ROW()),
  unit_details[Detected Unit Amenities], "*"&amp;$AD$3&amp;"*",
  unit_details[Leased Date], "&gt;=" &amp; ($U$2 - $AF$3)
),0)</f>
        <v>0</v>
      </c>
      <c r="AD12" s="527" cm="1">
        <f t="array" aca="1" ref="AD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 s="526" cm="1">
        <f t="array" aca="1" ref="AE12" ca="1">IFERROR(COUNTIFS(
  unit_details[Property Name], INDIRECT("B"&amp;ROW()),
  unit_details[Floorplan Name], INDIRECT("C"&amp;ROW()),
  unit_details[Beds], INDIRECT("D"&amp;ROW()),
  unit_details[Detected Unit Amenities], "*"&amp;$AD$3&amp;"*",
  unit_details[Leased Date], "&gt;=" &amp; ($U$2 - $AF$3)
),0)</f>
        <v>0</v>
      </c>
      <c r="AF12" s="528" cm="1">
        <f t="array" aca="1" ref="AF12" ca="1">IFERROR(AVERAGEIFS(
  unit_details[Sqft],
  unit_details[Property Name], INDIRECT("B"&amp;ROW()),
  unit_details[Floorplan Name], INDIRECT("C"&amp;ROW()),
  unit_details[Beds], INDIRECT("D"&amp;ROW()),
  unit_details[Detected Unit Amenities], "&lt;&gt;*"&amp;$AD$3&amp;"*",
  unit_details[Leased Date], "&gt;=" &amp; ($U$2 - $AF$3)
),0)</f>
        <v>0</v>
      </c>
      <c r="AG12" s="527" cm="1">
        <f t="array" aca="1" ref="AG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 s="526" cm="1">
        <f t="array" aca="1" ref="AH12" ca="1">IFERROR(COUNTIFS(
  unit_details[Property Name], INDIRECT("B"&amp;ROW()),
  unit_details[Floorplan Name], INDIRECT("C"&amp;ROW()),
  unit_details[Beds], INDIRECT("D"&amp;ROW()),
  unit_details[Detected Unit Amenities], "&lt;&gt;*"&amp;$AD$3&amp;"*",
  unit_details[Leased Date], "&gt;=" &amp; ($U$2 - $AF$3)
),0)</f>
        <v>0</v>
      </c>
      <c r="AI12" s="528"/>
      <c r="AJ12" s="531">
        <f t="shared" ca="1" si="1"/>
        <v>0</v>
      </c>
      <c r="AK12" s="532">
        <f t="shared" ca="1" si="2"/>
        <v>0</v>
      </c>
    </row>
    <row r="13" spans="2:37" x14ac:dyDescent="0.2">
      <c r="B13" s="1"/>
      <c r="C13" s="53" t="s">
        <v>533</v>
      </c>
      <c r="D13" s="4">
        <v>1</v>
      </c>
      <c r="E13" s="262">
        <v>1</v>
      </c>
      <c r="F13" s="262"/>
      <c r="G13" s="4">
        <v>1</v>
      </c>
      <c r="H13" s="4">
        <v>22</v>
      </c>
      <c r="J13" s="293">
        <v>1100</v>
      </c>
      <c r="K13" s="6"/>
      <c r="L13" s="5">
        <v>1100</v>
      </c>
      <c r="M13" s="6"/>
      <c r="N13" s="531" t="str" cm="1">
        <f t="array" aca="1" ref="N1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 s="552" t="str" cm="1">
        <f t="array" aca="1" ref="O1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 s="526" cm="1">
        <f t="array" aca="1" ref="P13" ca="1">COUNTIFS(unit_details[Leased Date], "&gt;=" &amp; ($U$2 - N$5),
          unit_details[Leased Date], "&lt;" &amp; $U$2,
          unit_details[Floorplan Name], INDIRECT("C"&amp;ROW()),
          unit_details[Property Name], INDIRECT("B"&amp;ROW()))</f>
        <v>0</v>
      </c>
      <c r="Q13" s="531" t="str" cm="1">
        <f t="array" aca="1" ref="Q1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 s="552" t="str" cm="1">
        <f t="array" aca="1" ref="R1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 s="526" cm="1">
        <f t="array" aca="1" ref="S13" ca="1">COUNTIFS(unit_details[Leased Date], "&gt;=" &amp; ($U$2 - Q$5),
          unit_details[Leased Date], "&lt;" &amp; $U$2,
          unit_details[Floorplan Name], INDIRECT("C"&amp;ROW()),
          unit_details[Property Name], INDIRECT("B"&amp;ROW()))</f>
        <v>0</v>
      </c>
      <c r="T13" s="531" t="str" cm="1">
        <f t="array" aca="1" ref="T1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 s="552" t="str" cm="1">
        <f t="array" aca="1" ref="U1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 s="526" cm="1">
        <f t="array" aca="1" ref="V13" ca="1">COUNTIFS(unit_details[Leased Date], "&gt;=" &amp; ($U$2 - T$5),
          unit_details[Leased Date], "&lt;" &amp; $U$2,
          unit_details[Floorplan Name], INDIRECT("C"&amp;ROW()),
          unit_details[Property Name], INDIRECT("B"&amp;ROW()))</f>
        <v>0</v>
      </c>
      <c r="W13" s="531" t="str" cm="1">
        <f t="array" aca="1" ref="W1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 s="552" t="str" cm="1">
        <f t="array" aca="1" ref="X1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 s="27" t="str">
        <f t="shared" ca="1" si="0"/>
        <v/>
      </c>
      <c r="Z13" s="4" t="str">
        <f>IFERROR($U$2-AVERAGEIFS(unit_details[First Listed],
          unit_details[Active Listing?],TRUE,
          unit_details[Property Name], $B13,
          unit_details[Beds], $D13,
          unit_details[Baths], $E13,
          unit_details[Partial Baths], IF(ISNUMBER($F13),$F13,""),
          unit_details[Floorplan Name],$C13
),"")</f>
        <v/>
      </c>
      <c r="AA13" s="262" cm="1">
        <f t="array" aca="1" ref="AA13" ca="1">COUNTIFS(unit_details[Active Listing?],TRUE,
          unit_details[Floorplan Name], INDIRECT("C"&amp;ROW()),
          unit_details[Property Name], INDIRECT("B"&amp;ROW()))</f>
        <v>0</v>
      </c>
      <c r="AB13" s="553"/>
      <c r="AC13" s="528" cm="1">
        <f t="array" aca="1" ref="AC13" ca="1">IFERROR(AVERAGEIFS(
  unit_details[Sqft],
  unit_details[Property Name], INDIRECT("B"&amp;ROW()),
  unit_details[Floorplan Name], INDIRECT("C"&amp;ROW()),
  unit_details[Beds], INDIRECT("D"&amp;ROW()),
  unit_details[Detected Unit Amenities], "*"&amp;$AD$3&amp;"*",
  unit_details[Leased Date], "&gt;=" &amp; ($U$2 - $AF$3)
),0)</f>
        <v>0</v>
      </c>
      <c r="AD13" s="527" cm="1">
        <f t="array" aca="1" ref="AD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 s="526" cm="1">
        <f t="array" aca="1" ref="AE13" ca="1">IFERROR(COUNTIFS(
  unit_details[Property Name], INDIRECT("B"&amp;ROW()),
  unit_details[Floorplan Name], INDIRECT("C"&amp;ROW()),
  unit_details[Beds], INDIRECT("D"&amp;ROW()),
  unit_details[Detected Unit Amenities], "*"&amp;$AD$3&amp;"*",
  unit_details[Leased Date], "&gt;=" &amp; ($U$2 - $AF$3)
),0)</f>
        <v>0</v>
      </c>
      <c r="AF13" s="528" cm="1">
        <f t="array" aca="1" ref="AF13" ca="1">IFERROR(AVERAGEIFS(
  unit_details[Sqft],
  unit_details[Property Name], INDIRECT("B"&amp;ROW()),
  unit_details[Floorplan Name], INDIRECT("C"&amp;ROW()),
  unit_details[Beds], INDIRECT("D"&amp;ROW()),
  unit_details[Detected Unit Amenities], "&lt;&gt;*"&amp;$AD$3&amp;"*",
  unit_details[Leased Date], "&gt;=" &amp; ($U$2 - $AF$3)
),0)</f>
        <v>0</v>
      </c>
      <c r="AG13" s="527" cm="1">
        <f t="array" aca="1" ref="AG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 s="526" cm="1">
        <f t="array" aca="1" ref="AH13" ca="1">IFERROR(COUNTIFS(
  unit_details[Property Name], INDIRECT("B"&amp;ROW()),
  unit_details[Floorplan Name], INDIRECT("C"&amp;ROW()),
  unit_details[Beds], INDIRECT("D"&amp;ROW()),
  unit_details[Detected Unit Amenities], "&lt;&gt;*"&amp;$AD$3&amp;"*",
  unit_details[Leased Date], "&gt;=" &amp; ($U$2 - $AF$3)
),0)</f>
        <v>0</v>
      </c>
      <c r="AI13" s="528"/>
      <c r="AJ13" s="531">
        <f t="shared" ca="1" si="1"/>
        <v>0</v>
      </c>
      <c r="AK13" s="532">
        <f t="shared" ca="1" si="2"/>
        <v>0</v>
      </c>
    </row>
    <row r="14" spans="2:37" x14ac:dyDescent="0.2">
      <c r="B14" s="1"/>
      <c r="C14" s="53" t="s">
        <v>532</v>
      </c>
      <c r="D14" s="4">
        <v>1</v>
      </c>
      <c r="E14" s="262">
        <v>1</v>
      </c>
      <c r="F14" s="262"/>
      <c r="G14" s="4">
        <v>0</v>
      </c>
      <c r="H14" s="4">
        <v>22</v>
      </c>
      <c r="J14" s="293">
        <v>1100</v>
      </c>
      <c r="K14" s="6"/>
      <c r="L14" s="5">
        <v>1100</v>
      </c>
      <c r="M14" s="6"/>
      <c r="N14" s="531" t="str" cm="1">
        <f t="array" aca="1" ref="N1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 s="552" t="str" cm="1">
        <f t="array" aca="1" ref="O1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 s="526" cm="1">
        <f t="array" aca="1" ref="P14" ca="1">COUNTIFS(unit_details[Leased Date], "&gt;=" &amp; ($U$2 - N$5),
          unit_details[Leased Date], "&lt;" &amp; $U$2,
          unit_details[Floorplan Name], INDIRECT("C"&amp;ROW()),
          unit_details[Property Name], INDIRECT("B"&amp;ROW()))</f>
        <v>0</v>
      </c>
      <c r="Q14" s="531" t="str" cm="1">
        <f t="array" aca="1" ref="Q1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 s="552" t="str" cm="1">
        <f t="array" aca="1" ref="R1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 s="526" cm="1">
        <f t="array" aca="1" ref="S14" ca="1">COUNTIFS(unit_details[Leased Date], "&gt;=" &amp; ($U$2 - Q$5),
          unit_details[Leased Date], "&lt;" &amp; $U$2,
          unit_details[Floorplan Name], INDIRECT("C"&amp;ROW()),
          unit_details[Property Name], INDIRECT("B"&amp;ROW()))</f>
        <v>0</v>
      </c>
      <c r="T14" s="531" t="str" cm="1">
        <f t="array" aca="1" ref="T1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 s="552" t="str" cm="1">
        <f t="array" aca="1" ref="U1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 s="526" cm="1">
        <f t="array" aca="1" ref="V14" ca="1">COUNTIFS(unit_details[Leased Date], "&gt;=" &amp; ($U$2 - T$5),
          unit_details[Leased Date], "&lt;" &amp; $U$2,
          unit_details[Floorplan Name], INDIRECT("C"&amp;ROW()),
          unit_details[Property Name], INDIRECT("B"&amp;ROW()))</f>
        <v>0</v>
      </c>
      <c r="W14" s="531" t="str" cm="1">
        <f t="array" aca="1" ref="W1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 s="552" t="str" cm="1">
        <f t="array" aca="1" ref="X1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 s="27" t="str">
        <f t="shared" ca="1" si="0"/>
        <v/>
      </c>
      <c r="Z14" s="4" t="str">
        <f>IFERROR($U$2-AVERAGEIFS(unit_details[First Listed],
          unit_details[Active Listing?],TRUE,
          unit_details[Property Name], $B14,
          unit_details[Beds], $D14,
          unit_details[Baths], $E14,
          unit_details[Partial Baths], IF(ISNUMBER($F14),$F14,""),
          unit_details[Floorplan Name],$C14
),"")</f>
        <v/>
      </c>
      <c r="AA14" s="262" cm="1">
        <f t="array" aca="1" ref="AA14" ca="1">COUNTIFS(unit_details[Active Listing?],TRUE,
          unit_details[Floorplan Name], INDIRECT("C"&amp;ROW()),
          unit_details[Property Name], INDIRECT("B"&amp;ROW()))</f>
        <v>0</v>
      </c>
      <c r="AB14" s="553"/>
      <c r="AC14" s="528" cm="1">
        <f t="array" aca="1" ref="AC14" ca="1">IFERROR(AVERAGEIFS(
  unit_details[Sqft],
  unit_details[Property Name], INDIRECT("B"&amp;ROW()),
  unit_details[Floorplan Name], INDIRECT("C"&amp;ROW()),
  unit_details[Beds], INDIRECT("D"&amp;ROW()),
  unit_details[Detected Unit Amenities], "*"&amp;$AD$3&amp;"*",
  unit_details[Leased Date], "&gt;=" &amp; ($U$2 - $AF$3)
),0)</f>
        <v>0</v>
      </c>
      <c r="AD14" s="527" cm="1">
        <f t="array" aca="1" ref="AD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 s="526" cm="1">
        <f t="array" aca="1" ref="AE14" ca="1">IFERROR(COUNTIFS(
  unit_details[Property Name], INDIRECT("B"&amp;ROW()),
  unit_details[Floorplan Name], INDIRECT("C"&amp;ROW()),
  unit_details[Beds], INDIRECT("D"&amp;ROW()),
  unit_details[Detected Unit Amenities], "*"&amp;$AD$3&amp;"*",
  unit_details[Leased Date], "&gt;=" &amp; ($U$2 - $AF$3)
),0)</f>
        <v>0</v>
      </c>
      <c r="AF14" s="528" cm="1">
        <f t="array" aca="1" ref="AF14" ca="1">IFERROR(AVERAGEIFS(
  unit_details[Sqft],
  unit_details[Property Name], INDIRECT("B"&amp;ROW()),
  unit_details[Floorplan Name], INDIRECT("C"&amp;ROW()),
  unit_details[Beds], INDIRECT("D"&amp;ROW()),
  unit_details[Detected Unit Amenities], "&lt;&gt;*"&amp;$AD$3&amp;"*",
  unit_details[Leased Date], "&gt;=" &amp; ($U$2 - $AF$3)
),0)</f>
        <v>0</v>
      </c>
      <c r="AG14" s="527" cm="1">
        <f t="array" aca="1" ref="AG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 s="526" cm="1">
        <f t="array" aca="1" ref="AH14" ca="1">IFERROR(COUNTIFS(
  unit_details[Property Name], INDIRECT("B"&amp;ROW()),
  unit_details[Floorplan Name], INDIRECT("C"&amp;ROW()),
  unit_details[Beds], INDIRECT("D"&amp;ROW()),
  unit_details[Detected Unit Amenities], "&lt;&gt;*"&amp;$AD$3&amp;"*",
  unit_details[Leased Date], "&gt;=" &amp; ($U$2 - $AF$3)
),0)</f>
        <v>0</v>
      </c>
      <c r="AI14" s="528"/>
      <c r="AJ14" s="531">
        <f t="shared" ca="1" si="1"/>
        <v>0</v>
      </c>
      <c r="AK14" s="532">
        <f t="shared" ca="1" si="2"/>
        <v>0</v>
      </c>
    </row>
    <row r="15" spans="2:37" x14ac:dyDescent="0.2">
      <c r="B15" s="1"/>
      <c r="C15" s="53" t="s">
        <v>535</v>
      </c>
      <c r="D15" s="4">
        <v>2</v>
      </c>
      <c r="E15" s="262">
        <v>1</v>
      </c>
      <c r="F15" s="262"/>
      <c r="G15" s="4">
        <v>0</v>
      </c>
      <c r="H15" s="4">
        <v>83</v>
      </c>
      <c r="J15" s="293">
        <v>1200</v>
      </c>
      <c r="K15" s="6"/>
      <c r="L15" s="5">
        <v>1200</v>
      </c>
      <c r="M15" s="6"/>
      <c r="N15" s="531" t="str" cm="1">
        <f t="array" aca="1" ref="N1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 s="552" t="str" cm="1">
        <f t="array" aca="1" ref="O1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 s="526" cm="1">
        <f t="array" aca="1" ref="P15" ca="1">COUNTIFS(unit_details[Leased Date], "&gt;=" &amp; ($U$2 - N$5),
          unit_details[Leased Date], "&lt;" &amp; $U$2,
          unit_details[Floorplan Name], INDIRECT("C"&amp;ROW()),
          unit_details[Property Name], INDIRECT("B"&amp;ROW()))</f>
        <v>0</v>
      </c>
      <c r="Q15" s="531" t="str" cm="1">
        <f t="array" aca="1" ref="Q1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 s="552" t="str" cm="1">
        <f t="array" aca="1" ref="R1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 s="526" cm="1">
        <f t="array" aca="1" ref="S15" ca="1">COUNTIFS(unit_details[Leased Date], "&gt;=" &amp; ($U$2 - Q$5),
          unit_details[Leased Date], "&lt;" &amp; $U$2,
          unit_details[Floorplan Name], INDIRECT("C"&amp;ROW()),
          unit_details[Property Name], INDIRECT("B"&amp;ROW()))</f>
        <v>0</v>
      </c>
      <c r="T15" s="531" t="str" cm="1">
        <f t="array" aca="1" ref="T1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 s="552" t="str" cm="1">
        <f t="array" aca="1" ref="U1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 s="526" cm="1">
        <f t="array" aca="1" ref="V15" ca="1">COUNTIFS(unit_details[Leased Date], "&gt;=" &amp; ($U$2 - T$5),
          unit_details[Leased Date], "&lt;" &amp; $U$2,
          unit_details[Floorplan Name], INDIRECT("C"&amp;ROW()),
          unit_details[Property Name], INDIRECT("B"&amp;ROW()))</f>
        <v>0</v>
      </c>
      <c r="W15" s="531" t="str" cm="1">
        <f t="array" aca="1" ref="W1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 s="552" t="str" cm="1">
        <f t="array" aca="1" ref="X1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 s="27" t="str">
        <f t="shared" ca="1" si="0"/>
        <v/>
      </c>
      <c r="Z15" s="4" t="str">
        <f>IFERROR($U$2-AVERAGEIFS(unit_details[First Listed],
          unit_details[Active Listing?],TRUE,
          unit_details[Property Name], $B15,
          unit_details[Beds], $D15,
          unit_details[Baths], $E15,
          unit_details[Partial Baths], IF(ISNUMBER($F15),$F15,""),
          unit_details[Floorplan Name],$C15
),"")</f>
        <v/>
      </c>
      <c r="AA15" s="262" cm="1">
        <f t="array" aca="1" ref="AA15" ca="1">COUNTIFS(unit_details[Active Listing?],TRUE,
          unit_details[Floorplan Name], INDIRECT("C"&amp;ROW()),
          unit_details[Property Name], INDIRECT("B"&amp;ROW()))</f>
        <v>0</v>
      </c>
      <c r="AB15" s="553"/>
      <c r="AC15" s="528" cm="1">
        <f t="array" aca="1" ref="AC15" ca="1">IFERROR(AVERAGEIFS(
  unit_details[Sqft],
  unit_details[Property Name], INDIRECT("B"&amp;ROW()),
  unit_details[Floorplan Name], INDIRECT("C"&amp;ROW()),
  unit_details[Beds], INDIRECT("D"&amp;ROW()),
  unit_details[Detected Unit Amenities], "*"&amp;$AD$3&amp;"*",
  unit_details[Leased Date], "&gt;=" &amp; ($U$2 - $AF$3)
),0)</f>
        <v>0</v>
      </c>
      <c r="AD15" s="527" cm="1">
        <f t="array" aca="1" ref="AD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 s="526" cm="1">
        <f t="array" aca="1" ref="AE15" ca="1">IFERROR(COUNTIFS(
  unit_details[Property Name], INDIRECT("B"&amp;ROW()),
  unit_details[Floorplan Name], INDIRECT("C"&amp;ROW()),
  unit_details[Beds], INDIRECT("D"&amp;ROW()),
  unit_details[Detected Unit Amenities], "*"&amp;$AD$3&amp;"*",
  unit_details[Leased Date], "&gt;=" &amp; ($U$2 - $AF$3)
),0)</f>
        <v>0</v>
      </c>
      <c r="AF15" s="528" cm="1">
        <f t="array" aca="1" ref="AF15" ca="1">IFERROR(AVERAGEIFS(
  unit_details[Sqft],
  unit_details[Property Name], INDIRECT("B"&amp;ROW()),
  unit_details[Floorplan Name], INDIRECT("C"&amp;ROW()),
  unit_details[Beds], INDIRECT("D"&amp;ROW()),
  unit_details[Detected Unit Amenities], "&lt;&gt;*"&amp;$AD$3&amp;"*",
  unit_details[Leased Date], "&gt;=" &amp; ($U$2 - $AF$3)
),0)</f>
        <v>0</v>
      </c>
      <c r="AG15" s="527" cm="1">
        <f t="array" aca="1" ref="AG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 s="526" cm="1">
        <f t="array" aca="1" ref="AH15" ca="1">IFERROR(COUNTIFS(
  unit_details[Property Name], INDIRECT("B"&amp;ROW()),
  unit_details[Floorplan Name], INDIRECT("C"&amp;ROW()),
  unit_details[Beds], INDIRECT("D"&amp;ROW()),
  unit_details[Detected Unit Amenities], "&lt;&gt;*"&amp;$AD$3&amp;"*",
  unit_details[Leased Date], "&gt;=" &amp; ($U$2 - $AF$3)
),0)</f>
        <v>0</v>
      </c>
      <c r="AI15" s="528"/>
      <c r="AJ15" s="531">
        <f t="shared" ca="1" si="1"/>
        <v>0</v>
      </c>
      <c r="AK15" s="532">
        <f t="shared" ca="1" si="2"/>
        <v>0</v>
      </c>
    </row>
    <row r="16" spans="2:37" x14ac:dyDescent="0.2">
      <c r="B16" s="1"/>
      <c r="C16" s="53" t="s">
        <v>534</v>
      </c>
      <c r="D16" s="4">
        <v>2</v>
      </c>
      <c r="E16" s="262">
        <v>1</v>
      </c>
      <c r="F16" s="262"/>
      <c r="G16" s="4">
        <v>0</v>
      </c>
      <c r="H16" s="4">
        <v>46</v>
      </c>
      <c r="J16" s="293">
        <v>1200</v>
      </c>
      <c r="K16" s="6"/>
      <c r="L16" s="5">
        <v>1200</v>
      </c>
      <c r="M16" s="6"/>
      <c r="N16" s="531" t="str" cm="1">
        <f t="array" aca="1" ref="N1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 s="552" t="str" cm="1">
        <f t="array" aca="1" ref="O1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 s="526" cm="1">
        <f t="array" aca="1" ref="P16" ca="1">COUNTIFS(unit_details[Leased Date], "&gt;=" &amp; ($U$2 - N$5),
          unit_details[Leased Date], "&lt;" &amp; $U$2,
          unit_details[Floorplan Name], INDIRECT("C"&amp;ROW()),
          unit_details[Property Name], INDIRECT("B"&amp;ROW()))</f>
        <v>0</v>
      </c>
      <c r="Q16" s="531" t="str" cm="1">
        <f t="array" aca="1" ref="Q1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 s="552" t="str" cm="1">
        <f t="array" aca="1" ref="R1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 s="526" cm="1">
        <f t="array" aca="1" ref="S16" ca="1">COUNTIFS(unit_details[Leased Date], "&gt;=" &amp; ($U$2 - Q$5),
          unit_details[Leased Date], "&lt;" &amp; $U$2,
          unit_details[Floorplan Name], INDIRECT("C"&amp;ROW()),
          unit_details[Property Name], INDIRECT("B"&amp;ROW()))</f>
        <v>0</v>
      </c>
      <c r="T16" s="531" t="str" cm="1">
        <f t="array" aca="1" ref="T1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 s="552" t="str" cm="1">
        <f t="array" aca="1" ref="U1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 s="526" cm="1">
        <f t="array" aca="1" ref="V16" ca="1">COUNTIFS(unit_details[Leased Date], "&gt;=" &amp; ($U$2 - T$5),
          unit_details[Leased Date], "&lt;" &amp; $U$2,
          unit_details[Floorplan Name], INDIRECT("C"&amp;ROW()),
          unit_details[Property Name], INDIRECT("B"&amp;ROW()))</f>
        <v>0</v>
      </c>
      <c r="W16" s="531" t="str" cm="1">
        <f t="array" aca="1" ref="W1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 s="552" t="str" cm="1">
        <f t="array" aca="1" ref="X1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 s="27" t="str">
        <f t="shared" ca="1" si="0"/>
        <v/>
      </c>
      <c r="Z16" s="4" t="str">
        <f>IFERROR($U$2-AVERAGEIFS(unit_details[First Listed],
          unit_details[Active Listing?],TRUE,
          unit_details[Property Name], $B16,
          unit_details[Beds], $D16,
          unit_details[Baths], $E16,
          unit_details[Partial Baths], IF(ISNUMBER($F16),$F16,""),
          unit_details[Floorplan Name],$C16
),"")</f>
        <v/>
      </c>
      <c r="AA16" s="262" cm="1">
        <f t="array" aca="1" ref="AA16" ca="1">COUNTIFS(unit_details[Active Listing?],TRUE,
          unit_details[Floorplan Name], INDIRECT("C"&amp;ROW()),
          unit_details[Property Name], INDIRECT("B"&amp;ROW()))</f>
        <v>0</v>
      </c>
      <c r="AB16" s="553"/>
      <c r="AC16" s="528" cm="1">
        <f t="array" aca="1" ref="AC16" ca="1">IFERROR(AVERAGEIFS(
  unit_details[Sqft],
  unit_details[Property Name], INDIRECT("B"&amp;ROW()),
  unit_details[Floorplan Name], INDIRECT("C"&amp;ROW()),
  unit_details[Beds], INDIRECT("D"&amp;ROW()),
  unit_details[Detected Unit Amenities], "*"&amp;$AD$3&amp;"*",
  unit_details[Leased Date], "&gt;=" &amp; ($U$2 - $AF$3)
),0)</f>
        <v>0</v>
      </c>
      <c r="AD16" s="527" cm="1">
        <f t="array" aca="1" ref="AD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 s="526" cm="1">
        <f t="array" aca="1" ref="AE16" ca="1">IFERROR(COUNTIFS(
  unit_details[Property Name], INDIRECT("B"&amp;ROW()),
  unit_details[Floorplan Name], INDIRECT("C"&amp;ROW()),
  unit_details[Beds], INDIRECT("D"&amp;ROW()),
  unit_details[Detected Unit Amenities], "*"&amp;$AD$3&amp;"*",
  unit_details[Leased Date], "&gt;=" &amp; ($U$2 - $AF$3)
),0)</f>
        <v>0</v>
      </c>
      <c r="AF16" s="528" cm="1">
        <f t="array" aca="1" ref="AF16" ca="1">IFERROR(AVERAGEIFS(
  unit_details[Sqft],
  unit_details[Property Name], INDIRECT("B"&amp;ROW()),
  unit_details[Floorplan Name], INDIRECT("C"&amp;ROW()),
  unit_details[Beds], INDIRECT("D"&amp;ROW()),
  unit_details[Detected Unit Amenities], "&lt;&gt;*"&amp;$AD$3&amp;"*",
  unit_details[Leased Date], "&gt;=" &amp; ($U$2 - $AF$3)
),0)</f>
        <v>0</v>
      </c>
      <c r="AG16" s="527" cm="1">
        <f t="array" aca="1" ref="AG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 s="526" cm="1">
        <f t="array" aca="1" ref="AH16" ca="1">IFERROR(COUNTIFS(
  unit_details[Property Name], INDIRECT("B"&amp;ROW()),
  unit_details[Floorplan Name], INDIRECT("C"&amp;ROW()),
  unit_details[Beds], INDIRECT("D"&amp;ROW()),
  unit_details[Detected Unit Amenities], "&lt;&gt;*"&amp;$AD$3&amp;"*",
  unit_details[Leased Date], "&gt;=" &amp; ($U$2 - $AF$3)
),0)</f>
        <v>0</v>
      </c>
      <c r="AI16" s="528"/>
      <c r="AJ16" s="531">
        <f t="shared" ca="1" si="1"/>
        <v>0</v>
      </c>
      <c r="AK16" s="532">
        <f t="shared" ca="1" si="2"/>
        <v>0</v>
      </c>
    </row>
    <row r="17" spans="2:37" x14ac:dyDescent="0.2">
      <c r="B17" s="1"/>
      <c r="C17" s="53" t="s">
        <v>536</v>
      </c>
      <c r="D17" s="4">
        <v>1</v>
      </c>
      <c r="E17" s="262">
        <v>1</v>
      </c>
      <c r="F17" s="262"/>
      <c r="G17" s="4">
        <v>1</v>
      </c>
      <c r="H17" s="4">
        <v>64</v>
      </c>
      <c r="J17" s="293">
        <v>1000</v>
      </c>
      <c r="K17" s="6"/>
      <c r="L17" s="5">
        <v>1000</v>
      </c>
      <c r="M17" s="6"/>
      <c r="N17" s="531" t="str" cm="1">
        <f t="array" aca="1" ref="N1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 s="552" t="str" cm="1">
        <f t="array" aca="1" ref="O1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 s="526" cm="1">
        <f t="array" aca="1" ref="P17" ca="1">COUNTIFS(unit_details[Leased Date], "&gt;=" &amp; ($U$2 - N$5),
          unit_details[Leased Date], "&lt;" &amp; $U$2,
          unit_details[Floorplan Name], INDIRECT("C"&amp;ROW()),
          unit_details[Property Name], INDIRECT("B"&amp;ROW()))</f>
        <v>0</v>
      </c>
      <c r="Q17" s="531" t="str" cm="1">
        <f t="array" aca="1" ref="Q1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 s="552" t="str" cm="1">
        <f t="array" aca="1" ref="R1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 s="526" cm="1">
        <f t="array" aca="1" ref="S17" ca="1">COUNTIFS(unit_details[Leased Date], "&gt;=" &amp; ($U$2 - Q$5),
          unit_details[Leased Date], "&lt;" &amp; $U$2,
          unit_details[Floorplan Name], INDIRECT("C"&amp;ROW()),
          unit_details[Property Name], INDIRECT("B"&amp;ROW()))</f>
        <v>0</v>
      </c>
      <c r="T17" s="531" t="str" cm="1">
        <f t="array" aca="1" ref="T1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 s="552" t="str" cm="1">
        <f t="array" aca="1" ref="U1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 s="526" cm="1">
        <f t="array" aca="1" ref="V17" ca="1">COUNTIFS(unit_details[Leased Date], "&gt;=" &amp; ($U$2 - T$5),
          unit_details[Leased Date], "&lt;" &amp; $U$2,
          unit_details[Floorplan Name], INDIRECT("C"&amp;ROW()),
          unit_details[Property Name], INDIRECT("B"&amp;ROW()))</f>
        <v>0</v>
      </c>
      <c r="W17" s="531" t="str" cm="1">
        <f t="array" aca="1" ref="W1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 s="552" t="str" cm="1">
        <f t="array" aca="1" ref="X1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 s="27" t="str">
        <f t="shared" ca="1" si="0"/>
        <v/>
      </c>
      <c r="Z17" s="4" t="str">
        <f>IFERROR($U$2-AVERAGEIFS(unit_details[First Listed],
          unit_details[Active Listing?],TRUE,
          unit_details[Property Name], $B17,
          unit_details[Beds], $D17,
          unit_details[Baths], $E17,
          unit_details[Partial Baths], IF(ISNUMBER($F17),$F17,""),
          unit_details[Floorplan Name],$C17
),"")</f>
        <v/>
      </c>
      <c r="AA17" s="262" cm="1">
        <f t="array" aca="1" ref="AA17" ca="1">COUNTIFS(unit_details[Active Listing?],TRUE,
          unit_details[Floorplan Name], INDIRECT("C"&amp;ROW()),
          unit_details[Property Name], INDIRECT("B"&amp;ROW()))</f>
        <v>0</v>
      </c>
      <c r="AB17" s="553"/>
      <c r="AC17" s="528" cm="1">
        <f t="array" aca="1" ref="AC17" ca="1">IFERROR(AVERAGEIFS(
  unit_details[Sqft],
  unit_details[Property Name], INDIRECT("B"&amp;ROW()),
  unit_details[Floorplan Name], INDIRECT("C"&amp;ROW()),
  unit_details[Beds], INDIRECT("D"&amp;ROW()),
  unit_details[Detected Unit Amenities], "*"&amp;$AD$3&amp;"*",
  unit_details[Leased Date], "&gt;=" &amp; ($U$2 - $AF$3)
),0)</f>
        <v>0</v>
      </c>
      <c r="AD17" s="527" cm="1">
        <f t="array" aca="1" ref="AD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 s="526" cm="1">
        <f t="array" aca="1" ref="AE17" ca="1">IFERROR(COUNTIFS(
  unit_details[Property Name], INDIRECT("B"&amp;ROW()),
  unit_details[Floorplan Name], INDIRECT("C"&amp;ROW()),
  unit_details[Beds], INDIRECT("D"&amp;ROW()),
  unit_details[Detected Unit Amenities], "*"&amp;$AD$3&amp;"*",
  unit_details[Leased Date], "&gt;=" &amp; ($U$2 - $AF$3)
),0)</f>
        <v>0</v>
      </c>
      <c r="AF17" s="528" cm="1">
        <f t="array" aca="1" ref="AF17" ca="1">IFERROR(AVERAGEIFS(
  unit_details[Sqft],
  unit_details[Property Name], INDIRECT("B"&amp;ROW()),
  unit_details[Floorplan Name], INDIRECT("C"&amp;ROW()),
  unit_details[Beds], INDIRECT("D"&amp;ROW()),
  unit_details[Detected Unit Amenities], "&lt;&gt;*"&amp;$AD$3&amp;"*",
  unit_details[Leased Date], "&gt;=" &amp; ($U$2 - $AF$3)
),0)</f>
        <v>0</v>
      </c>
      <c r="AG17" s="527" cm="1">
        <f t="array" aca="1" ref="AG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 s="526" cm="1">
        <f t="array" aca="1" ref="AH17" ca="1">IFERROR(COUNTIFS(
  unit_details[Property Name], INDIRECT("B"&amp;ROW()),
  unit_details[Floorplan Name], INDIRECT("C"&amp;ROW()),
  unit_details[Beds], INDIRECT("D"&amp;ROW()),
  unit_details[Detected Unit Amenities], "&lt;&gt;*"&amp;$AD$3&amp;"*",
  unit_details[Leased Date], "&gt;=" &amp; ($U$2 - $AF$3)
),0)</f>
        <v>0</v>
      </c>
      <c r="AI17" s="528"/>
      <c r="AJ17" s="531">
        <f t="shared" ca="1" si="1"/>
        <v>0</v>
      </c>
      <c r="AK17" s="532">
        <f t="shared" ca="1" si="2"/>
        <v>0</v>
      </c>
    </row>
    <row r="18" spans="2:37" x14ac:dyDescent="0.2">
      <c r="B18" s="1"/>
      <c r="C18" s="53" t="s">
        <v>537</v>
      </c>
      <c r="D18" s="4">
        <v>1</v>
      </c>
      <c r="E18" s="262">
        <v>1</v>
      </c>
      <c r="F18" s="262"/>
      <c r="G18" s="4">
        <v>0</v>
      </c>
      <c r="H18" s="4">
        <v>50</v>
      </c>
      <c r="J18" s="293">
        <v>1100</v>
      </c>
      <c r="K18" s="6"/>
      <c r="L18" s="5">
        <v>1100</v>
      </c>
      <c r="M18" s="6"/>
      <c r="N18" s="531" t="str" cm="1">
        <f t="array" aca="1" ref="N1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 s="552" t="str" cm="1">
        <f t="array" aca="1" ref="O1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 s="526" cm="1">
        <f t="array" aca="1" ref="P18" ca="1">COUNTIFS(unit_details[Leased Date], "&gt;=" &amp; ($U$2 - N$5),
          unit_details[Leased Date], "&lt;" &amp; $U$2,
          unit_details[Floorplan Name], INDIRECT("C"&amp;ROW()),
          unit_details[Property Name], INDIRECT("B"&amp;ROW()))</f>
        <v>0</v>
      </c>
      <c r="Q18" s="531" t="str" cm="1">
        <f t="array" aca="1" ref="Q1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 s="552" t="str" cm="1">
        <f t="array" aca="1" ref="R1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 s="526" cm="1">
        <f t="array" aca="1" ref="S18" ca="1">COUNTIFS(unit_details[Leased Date], "&gt;=" &amp; ($U$2 - Q$5),
          unit_details[Leased Date], "&lt;" &amp; $U$2,
          unit_details[Floorplan Name], INDIRECT("C"&amp;ROW()),
          unit_details[Property Name], INDIRECT("B"&amp;ROW()))</f>
        <v>0</v>
      </c>
      <c r="T18" s="531" t="str" cm="1">
        <f t="array" aca="1" ref="T1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 s="552" t="str" cm="1">
        <f t="array" aca="1" ref="U1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 s="526" cm="1">
        <f t="array" aca="1" ref="V18" ca="1">COUNTIFS(unit_details[Leased Date], "&gt;=" &amp; ($U$2 - T$5),
          unit_details[Leased Date], "&lt;" &amp; $U$2,
          unit_details[Floorplan Name], INDIRECT("C"&amp;ROW()),
          unit_details[Property Name], INDIRECT("B"&amp;ROW()))</f>
        <v>0</v>
      </c>
      <c r="W18" s="531" t="str" cm="1">
        <f t="array" aca="1" ref="W1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 s="552" t="str" cm="1">
        <f t="array" aca="1" ref="X1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 s="27" t="str">
        <f t="shared" ca="1" si="0"/>
        <v/>
      </c>
      <c r="Z18" s="4" t="str">
        <f>IFERROR($U$2-AVERAGEIFS(unit_details[First Listed],
          unit_details[Active Listing?],TRUE,
          unit_details[Property Name], $B18,
          unit_details[Beds], $D18,
          unit_details[Baths], $E18,
          unit_details[Partial Baths], IF(ISNUMBER($F18),$F18,""),
          unit_details[Floorplan Name],$C18
),"")</f>
        <v/>
      </c>
      <c r="AA18" s="262" cm="1">
        <f t="array" aca="1" ref="AA18" ca="1">COUNTIFS(unit_details[Active Listing?],TRUE,
          unit_details[Floorplan Name], INDIRECT("C"&amp;ROW()),
          unit_details[Property Name], INDIRECT("B"&amp;ROW()))</f>
        <v>0</v>
      </c>
      <c r="AB18" s="553"/>
      <c r="AC18" s="528" cm="1">
        <f t="array" aca="1" ref="AC18" ca="1">IFERROR(AVERAGEIFS(
  unit_details[Sqft],
  unit_details[Property Name], INDIRECT("B"&amp;ROW()),
  unit_details[Floorplan Name], INDIRECT("C"&amp;ROW()),
  unit_details[Beds], INDIRECT("D"&amp;ROW()),
  unit_details[Detected Unit Amenities], "*"&amp;$AD$3&amp;"*",
  unit_details[Leased Date], "&gt;=" &amp; ($U$2 - $AF$3)
),0)</f>
        <v>0</v>
      </c>
      <c r="AD18" s="527" cm="1">
        <f t="array" aca="1" ref="AD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 s="526" cm="1">
        <f t="array" aca="1" ref="AE18" ca="1">IFERROR(COUNTIFS(
  unit_details[Property Name], INDIRECT("B"&amp;ROW()),
  unit_details[Floorplan Name], INDIRECT("C"&amp;ROW()),
  unit_details[Beds], INDIRECT("D"&amp;ROW()),
  unit_details[Detected Unit Amenities], "*"&amp;$AD$3&amp;"*",
  unit_details[Leased Date], "&gt;=" &amp; ($U$2 - $AF$3)
),0)</f>
        <v>0</v>
      </c>
      <c r="AF18" s="528" cm="1">
        <f t="array" aca="1" ref="AF18" ca="1">IFERROR(AVERAGEIFS(
  unit_details[Sqft],
  unit_details[Property Name], INDIRECT("B"&amp;ROW()),
  unit_details[Floorplan Name], INDIRECT("C"&amp;ROW()),
  unit_details[Beds], INDIRECT("D"&amp;ROW()),
  unit_details[Detected Unit Amenities], "&lt;&gt;*"&amp;$AD$3&amp;"*",
  unit_details[Leased Date], "&gt;=" &amp; ($U$2 - $AF$3)
),0)</f>
        <v>0</v>
      </c>
      <c r="AG18" s="527" cm="1">
        <f t="array" aca="1" ref="AG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 s="526" cm="1">
        <f t="array" aca="1" ref="AH18" ca="1">IFERROR(COUNTIFS(
  unit_details[Property Name], INDIRECT("B"&amp;ROW()),
  unit_details[Floorplan Name], INDIRECT("C"&amp;ROW()),
  unit_details[Beds], INDIRECT("D"&amp;ROW()),
  unit_details[Detected Unit Amenities], "&lt;&gt;*"&amp;$AD$3&amp;"*",
  unit_details[Leased Date], "&gt;=" &amp; ($U$2 - $AF$3)
),0)</f>
        <v>0</v>
      </c>
      <c r="AI18" s="528"/>
      <c r="AJ18" s="531">
        <f t="shared" ca="1" si="1"/>
        <v>0</v>
      </c>
      <c r="AK18" s="532">
        <f t="shared" ca="1" si="2"/>
        <v>0</v>
      </c>
    </row>
    <row r="19" spans="2:37" x14ac:dyDescent="0.2">
      <c r="B19" s="1"/>
      <c r="C19" s="53" t="s">
        <v>538</v>
      </c>
      <c r="D19" s="4">
        <v>1</v>
      </c>
      <c r="E19" s="262">
        <v>1</v>
      </c>
      <c r="F19" s="262"/>
      <c r="G19" s="4">
        <v>0</v>
      </c>
      <c r="H19" s="4">
        <v>157</v>
      </c>
      <c r="J19" s="293">
        <v>1100</v>
      </c>
      <c r="K19" s="6"/>
      <c r="L19" s="5">
        <v>1100</v>
      </c>
      <c r="M19" s="6"/>
      <c r="N19" s="531" t="str" cm="1">
        <f t="array" aca="1" ref="N1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 s="552" t="str" cm="1">
        <f t="array" aca="1" ref="O1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 s="526" cm="1">
        <f t="array" aca="1" ref="P19" ca="1">COUNTIFS(unit_details[Leased Date], "&gt;=" &amp; ($U$2 - N$5),
          unit_details[Leased Date], "&lt;" &amp; $U$2,
          unit_details[Floorplan Name], INDIRECT("C"&amp;ROW()),
          unit_details[Property Name], INDIRECT("B"&amp;ROW()))</f>
        <v>0</v>
      </c>
      <c r="Q19" s="531" t="str" cm="1">
        <f t="array" aca="1" ref="Q1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 s="552" t="str" cm="1">
        <f t="array" aca="1" ref="R1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 s="526" cm="1">
        <f t="array" aca="1" ref="S19" ca="1">COUNTIFS(unit_details[Leased Date], "&gt;=" &amp; ($U$2 - Q$5),
          unit_details[Leased Date], "&lt;" &amp; $U$2,
          unit_details[Floorplan Name], INDIRECT("C"&amp;ROW()),
          unit_details[Property Name], INDIRECT("B"&amp;ROW()))</f>
        <v>0</v>
      </c>
      <c r="T19" s="531" t="str" cm="1">
        <f t="array" aca="1" ref="T1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 s="552" t="str" cm="1">
        <f t="array" aca="1" ref="U1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 s="526" cm="1">
        <f t="array" aca="1" ref="V19" ca="1">COUNTIFS(unit_details[Leased Date], "&gt;=" &amp; ($U$2 - T$5),
          unit_details[Leased Date], "&lt;" &amp; $U$2,
          unit_details[Floorplan Name], INDIRECT("C"&amp;ROW()),
          unit_details[Property Name], INDIRECT("B"&amp;ROW()))</f>
        <v>0</v>
      </c>
      <c r="W19" s="531" t="str" cm="1">
        <f t="array" aca="1" ref="W1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 s="552" t="str" cm="1">
        <f t="array" aca="1" ref="X1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 s="27" t="str">
        <f t="shared" ca="1" si="0"/>
        <v/>
      </c>
      <c r="Z19" s="4" t="str">
        <f>IFERROR($U$2-AVERAGEIFS(unit_details[First Listed],
          unit_details[Active Listing?],TRUE,
          unit_details[Property Name], $B19,
          unit_details[Beds], $D19,
          unit_details[Baths], $E19,
          unit_details[Partial Baths], IF(ISNUMBER($F19),$F19,""),
          unit_details[Floorplan Name],$C19
),"")</f>
        <v/>
      </c>
      <c r="AA19" s="262" cm="1">
        <f t="array" aca="1" ref="AA19" ca="1">COUNTIFS(unit_details[Active Listing?],TRUE,
          unit_details[Floorplan Name], INDIRECT("C"&amp;ROW()),
          unit_details[Property Name], INDIRECT("B"&amp;ROW()))</f>
        <v>0</v>
      </c>
      <c r="AB19" s="553"/>
      <c r="AC19" s="528" cm="1">
        <f t="array" aca="1" ref="AC19" ca="1">IFERROR(AVERAGEIFS(
  unit_details[Sqft],
  unit_details[Property Name], INDIRECT("B"&amp;ROW()),
  unit_details[Floorplan Name], INDIRECT("C"&amp;ROW()),
  unit_details[Beds], INDIRECT("D"&amp;ROW()),
  unit_details[Detected Unit Amenities], "*"&amp;$AD$3&amp;"*",
  unit_details[Leased Date], "&gt;=" &amp; ($U$2 - $AF$3)
),0)</f>
        <v>0</v>
      </c>
      <c r="AD19" s="527" cm="1">
        <f t="array" aca="1" ref="AD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 s="526" cm="1">
        <f t="array" aca="1" ref="AE19" ca="1">IFERROR(COUNTIFS(
  unit_details[Property Name], INDIRECT("B"&amp;ROW()),
  unit_details[Floorplan Name], INDIRECT("C"&amp;ROW()),
  unit_details[Beds], INDIRECT("D"&amp;ROW()),
  unit_details[Detected Unit Amenities], "*"&amp;$AD$3&amp;"*",
  unit_details[Leased Date], "&gt;=" &amp; ($U$2 - $AF$3)
),0)</f>
        <v>0</v>
      </c>
      <c r="AF19" s="528" cm="1">
        <f t="array" aca="1" ref="AF19" ca="1">IFERROR(AVERAGEIFS(
  unit_details[Sqft],
  unit_details[Property Name], INDIRECT("B"&amp;ROW()),
  unit_details[Floorplan Name], INDIRECT("C"&amp;ROW()),
  unit_details[Beds], INDIRECT("D"&amp;ROW()),
  unit_details[Detected Unit Amenities], "&lt;&gt;*"&amp;$AD$3&amp;"*",
  unit_details[Leased Date], "&gt;=" &amp; ($U$2 - $AF$3)
),0)</f>
        <v>0</v>
      </c>
      <c r="AG19" s="527" cm="1">
        <f t="array" aca="1" ref="AG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 s="526" cm="1">
        <f t="array" aca="1" ref="AH19" ca="1">IFERROR(COUNTIFS(
  unit_details[Property Name], INDIRECT("B"&amp;ROW()),
  unit_details[Floorplan Name], INDIRECT("C"&amp;ROW()),
  unit_details[Beds], INDIRECT("D"&amp;ROW()),
  unit_details[Detected Unit Amenities], "&lt;&gt;*"&amp;$AD$3&amp;"*",
  unit_details[Leased Date], "&gt;=" &amp; ($U$2 - $AF$3)
),0)</f>
        <v>0</v>
      </c>
      <c r="AI19" s="528"/>
      <c r="AJ19" s="531">
        <f t="shared" ca="1" si="1"/>
        <v>0</v>
      </c>
      <c r="AK19" s="532">
        <f t="shared" ca="1" si="2"/>
        <v>0</v>
      </c>
    </row>
    <row r="20" spans="2:37" x14ac:dyDescent="0.2">
      <c r="B20" s="1"/>
      <c r="C20" s="53" t="s">
        <v>539</v>
      </c>
      <c r="D20" s="4">
        <v>2</v>
      </c>
      <c r="E20" s="262">
        <v>1</v>
      </c>
      <c r="F20" s="262"/>
      <c r="G20" s="4">
        <v>0</v>
      </c>
      <c r="H20" s="4">
        <v>36</v>
      </c>
      <c r="J20" s="293">
        <v>1200</v>
      </c>
      <c r="K20" s="6"/>
      <c r="L20" s="5">
        <v>1200</v>
      </c>
      <c r="M20" s="6"/>
      <c r="N20" s="531" t="str" cm="1">
        <f t="array" aca="1" ref="N2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 s="552" t="str" cm="1">
        <f t="array" aca="1" ref="O2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 s="526" cm="1">
        <f t="array" aca="1" ref="P20" ca="1">COUNTIFS(unit_details[Leased Date], "&gt;=" &amp; ($U$2 - N$5),
          unit_details[Leased Date], "&lt;" &amp; $U$2,
          unit_details[Floorplan Name], INDIRECT("C"&amp;ROW()),
          unit_details[Property Name], INDIRECT("B"&amp;ROW()))</f>
        <v>0</v>
      </c>
      <c r="Q20" s="531" t="str" cm="1">
        <f t="array" aca="1" ref="Q2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 s="552" t="str" cm="1">
        <f t="array" aca="1" ref="R2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 s="526" cm="1">
        <f t="array" aca="1" ref="S20" ca="1">COUNTIFS(unit_details[Leased Date], "&gt;=" &amp; ($U$2 - Q$5),
          unit_details[Leased Date], "&lt;" &amp; $U$2,
          unit_details[Floorplan Name], INDIRECT("C"&amp;ROW()),
          unit_details[Property Name], INDIRECT("B"&amp;ROW()))</f>
        <v>0</v>
      </c>
      <c r="T20" s="531" t="str" cm="1">
        <f t="array" aca="1" ref="T2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 s="552" t="str" cm="1">
        <f t="array" aca="1" ref="U2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 s="526" cm="1">
        <f t="array" aca="1" ref="V20" ca="1">COUNTIFS(unit_details[Leased Date], "&gt;=" &amp; ($U$2 - T$5),
          unit_details[Leased Date], "&lt;" &amp; $U$2,
          unit_details[Floorplan Name], INDIRECT("C"&amp;ROW()),
          unit_details[Property Name], INDIRECT("B"&amp;ROW()))</f>
        <v>0</v>
      </c>
      <c r="W20" s="531" t="str" cm="1">
        <f t="array" aca="1" ref="W2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 s="552" t="str" cm="1">
        <f t="array" aca="1" ref="X2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 s="27" t="str">
        <f t="shared" ca="1" si="0"/>
        <v/>
      </c>
      <c r="Z20" s="4" t="str">
        <f>IFERROR($U$2-AVERAGEIFS(unit_details[First Listed],
          unit_details[Active Listing?],TRUE,
          unit_details[Property Name], $B20,
          unit_details[Beds], $D20,
          unit_details[Baths], $E20,
          unit_details[Partial Baths], IF(ISNUMBER($F20),$F20,""),
          unit_details[Floorplan Name],$C20
),"")</f>
        <v/>
      </c>
      <c r="AA20" s="262" cm="1">
        <f t="array" aca="1" ref="AA20" ca="1">COUNTIFS(unit_details[Active Listing?],TRUE,
          unit_details[Floorplan Name], INDIRECT("C"&amp;ROW()),
          unit_details[Property Name], INDIRECT("B"&amp;ROW()))</f>
        <v>0</v>
      </c>
      <c r="AB20" s="553"/>
      <c r="AC20" s="528" cm="1">
        <f t="array" aca="1" ref="AC20" ca="1">IFERROR(AVERAGEIFS(
  unit_details[Sqft],
  unit_details[Property Name], INDIRECT("B"&amp;ROW()),
  unit_details[Floorplan Name], INDIRECT("C"&amp;ROW()),
  unit_details[Beds], INDIRECT("D"&amp;ROW()),
  unit_details[Detected Unit Amenities], "*"&amp;$AD$3&amp;"*",
  unit_details[Leased Date], "&gt;=" &amp; ($U$2 - $AF$3)
),0)</f>
        <v>0</v>
      </c>
      <c r="AD20" s="527" cm="1">
        <f t="array" aca="1" ref="AD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 s="526" cm="1">
        <f t="array" aca="1" ref="AE20" ca="1">IFERROR(COUNTIFS(
  unit_details[Property Name], INDIRECT("B"&amp;ROW()),
  unit_details[Floorplan Name], INDIRECT("C"&amp;ROW()),
  unit_details[Beds], INDIRECT("D"&amp;ROW()),
  unit_details[Detected Unit Amenities], "*"&amp;$AD$3&amp;"*",
  unit_details[Leased Date], "&gt;=" &amp; ($U$2 - $AF$3)
),0)</f>
        <v>0</v>
      </c>
      <c r="AF20" s="528" cm="1">
        <f t="array" aca="1" ref="AF20" ca="1">IFERROR(AVERAGEIFS(
  unit_details[Sqft],
  unit_details[Property Name], INDIRECT("B"&amp;ROW()),
  unit_details[Floorplan Name], INDIRECT("C"&amp;ROW()),
  unit_details[Beds], INDIRECT("D"&amp;ROW()),
  unit_details[Detected Unit Amenities], "&lt;&gt;*"&amp;$AD$3&amp;"*",
  unit_details[Leased Date], "&gt;=" &amp; ($U$2 - $AF$3)
),0)</f>
        <v>0</v>
      </c>
      <c r="AG20" s="527" cm="1">
        <f t="array" aca="1" ref="AG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 s="526" cm="1">
        <f t="array" aca="1" ref="AH20" ca="1">IFERROR(COUNTIFS(
  unit_details[Property Name], INDIRECT("B"&amp;ROW()),
  unit_details[Floorplan Name], INDIRECT("C"&amp;ROW()),
  unit_details[Beds], INDIRECT("D"&amp;ROW()),
  unit_details[Detected Unit Amenities], "&lt;&gt;*"&amp;$AD$3&amp;"*",
  unit_details[Leased Date], "&gt;=" &amp; ($U$2 - $AF$3)
),0)</f>
        <v>0</v>
      </c>
      <c r="AI20" s="528"/>
      <c r="AJ20" s="531">
        <f t="shared" ca="1" si="1"/>
        <v>0</v>
      </c>
      <c r="AK20" s="532">
        <f t="shared" ca="1" si="2"/>
        <v>0</v>
      </c>
    </row>
    <row r="21" spans="2:37" x14ac:dyDescent="0.2">
      <c r="B21" s="1" t="s">
        <v>497</v>
      </c>
      <c r="C21" s="53" t="s">
        <v>405</v>
      </c>
      <c r="D21" s="4">
        <v>2</v>
      </c>
      <c r="E21" s="262">
        <v>1</v>
      </c>
      <c r="F21" s="262"/>
      <c r="H21" s="4">
        <v>62</v>
      </c>
      <c r="J21" s="293">
        <v>1300</v>
      </c>
      <c r="K21" s="6"/>
      <c r="L21" s="5">
        <v>1300</v>
      </c>
      <c r="M21" s="6"/>
      <c r="N21" s="531" t="str" cm="1">
        <f t="array" aca="1" ref="N2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 s="552" t="str" cm="1">
        <f t="array" aca="1" ref="O2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 s="526" cm="1">
        <f t="array" aca="1" ref="P21" ca="1">COUNTIFS(unit_details[Leased Date], "&gt;=" &amp; ($U$2 - N$5),
          unit_details[Leased Date], "&lt;" &amp; $U$2,
          unit_details[Floorplan Name], INDIRECT("C"&amp;ROW()),
          unit_details[Property Name], INDIRECT("B"&amp;ROW()))</f>
        <v>0</v>
      </c>
      <c r="Q21" s="531" t="str" cm="1">
        <f t="array" aca="1" ref="Q2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 s="552" t="str" cm="1">
        <f t="array" aca="1" ref="R2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 s="526" cm="1">
        <f t="array" aca="1" ref="S21" ca="1">COUNTIFS(unit_details[Leased Date], "&gt;=" &amp; ($U$2 - Q$5),
          unit_details[Leased Date], "&lt;" &amp; $U$2,
          unit_details[Floorplan Name], INDIRECT("C"&amp;ROW()),
          unit_details[Property Name], INDIRECT("B"&amp;ROW()))</f>
        <v>0</v>
      </c>
      <c r="T21" s="531" t="str" cm="1">
        <f t="array" aca="1" ref="T2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 s="552" t="str" cm="1">
        <f t="array" aca="1" ref="U2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 s="526" cm="1">
        <f t="array" aca="1" ref="V21" ca="1">COUNTIFS(unit_details[Leased Date], "&gt;=" &amp; ($U$2 - T$5),
          unit_details[Leased Date], "&lt;" &amp; $U$2,
          unit_details[Floorplan Name], INDIRECT("C"&amp;ROW()),
          unit_details[Property Name], INDIRECT("B"&amp;ROW()))</f>
        <v>0</v>
      </c>
      <c r="W21" s="531" t="str" cm="1">
        <f t="array" aca="1" ref="W2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 s="552" t="str" cm="1">
        <f t="array" aca="1" ref="X2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 s="27" t="str">
        <f t="shared" ca="1" si="0"/>
        <v/>
      </c>
      <c r="Z21" s="4" t="str">
        <f>IFERROR($U$2-AVERAGEIFS(unit_details[First Listed],
          unit_details[Active Listing?],TRUE,
          unit_details[Property Name], $B21,
          unit_details[Beds], $D21,
          unit_details[Baths], $E21,
          unit_details[Partial Baths], IF(ISNUMBER($F21),$F21,""),
          unit_details[Floorplan Name],$C21
),"")</f>
        <v/>
      </c>
      <c r="AA21" s="262" cm="1">
        <f t="array" aca="1" ref="AA21" ca="1">COUNTIFS(unit_details[Active Listing?],TRUE,
          unit_details[Floorplan Name], INDIRECT("C"&amp;ROW()),
          unit_details[Property Name], INDIRECT("B"&amp;ROW()))</f>
        <v>0</v>
      </c>
      <c r="AB21" s="553"/>
      <c r="AC21" s="528" cm="1">
        <f t="array" aca="1" ref="AC21" ca="1">IFERROR(AVERAGEIFS(
  unit_details[Sqft],
  unit_details[Property Name], INDIRECT("B"&amp;ROW()),
  unit_details[Floorplan Name], INDIRECT("C"&amp;ROW()),
  unit_details[Beds], INDIRECT("D"&amp;ROW()),
  unit_details[Detected Unit Amenities], "*"&amp;$AD$3&amp;"*",
  unit_details[Leased Date], "&gt;=" &amp; ($U$2 - $AF$3)
),0)</f>
        <v>0</v>
      </c>
      <c r="AD21" s="527" cm="1">
        <f t="array" aca="1" ref="AD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 s="526" cm="1">
        <f t="array" aca="1" ref="AE21" ca="1">IFERROR(COUNTIFS(
  unit_details[Property Name], INDIRECT("B"&amp;ROW()),
  unit_details[Floorplan Name], INDIRECT("C"&amp;ROW()),
  unit_details[Beds], INDIRECT("D"&amp;ROW()),
  unit_details[Detected Unit Amenities], "*"&amp;$AD$3&amp;"*",
  unit_details[Leased Date], "&gt;=" &amp; ($U$2 - $AF$3)
),0)</f>
        <v>0</v>
      </c>
      <c r="AF21" s="528" cm="1">
        <f t="array" aca="1" ref="AF21" ca="1">IFERROR(AVERAGEIFS(
  unit_details[Sqft],
  unit_details[Property Name], INDIRECT("B"&amp;ROW()),
  unit_details[Floorplan Name], INDIRECT("C"&amp;ROW()),
  unit_details[Beds], INDIRECT("D"&amp;ROW()),
  unit_details[Detected Unit Amenities], "&lt;&gt;*"&amp;$AD$3&amp;"*",
  unit_details[Leased Date], "&gt;=" &amp; ($U$2 - $AF$3)
),0)</f>
        <v>0</v>
      </c>
      <c r="AG21" s="527" cm="1">
        <f t="array" aca="1" ref="AG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 s="526" cm="1">
        <f t="array" aca="1" ref="AH21" ca="1">IFERROR(COUNTIFS(
  unit_details[Property Name], INDIRECT("B"&amp;ROW()),
  unit_details[Floorplan Name], INDIRECT("C"&amp;ROW()),
  unit_details[Beds], INDIRECT("D"&amp;ROW()),
  unit_details[Detected Unit Amenities], "&lt;&gt;*"&amp;$AD$3&amp;"*",
  unit_details[Leased Date], "&gt;=" &amp; ($U$2 - $AF$3)
),0)</f>
        <v>0</v>
      </c>
      <c r="AI21" s="528"/>
      <c r="AJ21" s="531">
        <f t="shared" ca="1" si="1"/>
        <v>0</v>
      </c>
      <c r="AK21" s="532">
        <f t="shared" ca="1" si="2"/>
        <v>0</v>
      </c>
    </row>
    <row r="22" spans="2:37" x14ac:dyDescent="0.2">
      <c r="B22" s="1"/>
      <c r="C22" s="53" t="s">
        <v>540</v>
      </c>
      <c r="D22" s="4">
        <v>2</v>
      </c>
      <c r="E22" s="262">
        <v>1</v>
      </c>
      <c r="F22" s="262"/>
      <c r="H22" s="4">
        <v>15</v>
      </c>
      <c r="I22" s="4">
        <v>951</v>
      </c>
      <c r="J22" s="293">
        <v>1500</v>
      </c>
      <c r="K22" s="6">
        <v>1.5772870662460567</v>
      </c>
      <c r="L22" s="5">
        <v>1500</v>
      </c>
      <c r="M22" s="6">
        <v>1.5772870662460567</v>
      </c>
      <c r="N22" s="531" t="str" cm="1">
        <f t="array" aca="1" ref="N2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 s="552" t="str" cm="1">
        <f t="array" aca="1" ref="O2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 s="526" cm="1">
        <f t="array" aca="1" ref="P22" ca="1">COUNTIFS(unit_details[Leased Date], "&gt;=" &amp; ($U$2 - N$5),
          unit_details[Leased Date], "&lt;" &amp; $U$2,
          unit_details[Floorplan Name], INDIRECT("C"&amp;ROW()),
          unit_details[Property Name], INDIRECT("B"&amp;ROW()))</f>
        <v>0</v>
      </c>
      <c r="Q22" s="531" t="str" cm="1">
        <f t="array" aca="1" ref="Q2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 s="552" t="str" cm="1">
        <f t="array" aca="1" ref="R2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 s="526" cm="1">
        <f t="array" aca="1" ref="S22" ca="1">COUNTIFS(unit_details[Leased Date], "&gt;=" &amp; ($U$2 - Q$5),
          unit_details[Leased Date], "&lt;" &amp; $U$2,
          unit_details[Floorplan Name], INDIRECT("C"&amp;ROW()),
          unit_details[Property Name], INDIRECT("B"&amp;ROW()))</f>
        <v>0</v>
      </c>
      <c r="T22" s="531" t="str" cm="1">
        <f t="array" aca="1" ref="T2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 s="552" t="str" cm="1">
        <f t="array" aca="1" ref="U2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 s="526" cm="1">
        <f t="array" aca="1" ref="V22" ca="1">COUNTIFS(unit_details[Leased Date], "&gt;=" &amp; ($U$2 - T$5),
          unit_details[Leased Date], "&lt;" &amp; $U$2,
          unit_details[Floorplan Name], INDIRECT("C"&amp;ROW()),
          unit_details[Property Name], INDIRECT("B"&amp;ROW()))</f>
        <v>0</v>
      </c>
      <c r="W22" s="531" t="str" cm="1">
        <f t="array" aca="1" ref="W2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 s="552" t="str" cm="1">
        <f t="array" aca="1" ref="X2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 s="27" t="str">
        <f t="shared" ca="1" si="0"/>
        <v/>
      </c>
      <c r="Z22" s="4" t="str">
        <f>IFERROR($U$2-AVERAGEIFS(unit_details[First Listed],
          unit_details[Active Listing?],TRUE,
          unit_details[Property Name], $B22,
          unit_details[Beds], $D22,
          unit_details[Baths], $E22,
          unit_details[Partial Baths], IF(ISNUMBER($F22),$F22,""),
          unit_details[Floorplan Name],$C22
),"")</f>
        <v/>
      </c>
      <c r="AA22" s="262" cm="1">
        <f t="array" aca="1" ref="AA22" ca="1">COUNTIFS(unit_details[Active Listing?],TRUE,
          unit_details[Floorplan Name], INDIRECT("C"&amp;ROW()),
          unit_details[Property Name], INDIRECT("B"&amp;ROW()))</f>
        <v>0</v>
      </c>
      <c r="AB22" s="553"/>
      <c r="AC22" s="528" cm="1">
        <f t="array" aca="1" ref="AC22" ca="1">IFERROR(AVERAGEIFS(
  unit_details[Sqft],
  unit_details[Property Name], INDIRECT("B"&amp;ROW()),
  unit_details[Floorplan Name], INDIRECT("C"&amp;ROW()),
  unit_details[Beds], INDIRECT("D"&amp;ROW()),
  unit_details[Detected Unit Amenities], "*"&amp;$AD$3&amp;"*",
  unit_details[Leased Date], "&gt;=" &amp; ($U$2 - $AF$3)
),0)</f>
        <v>0</v>
      </c>
      <c r="AD22" s="527" cm="1">
        <f t="array" aca="1" ref="AD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 s="526" cm="1">
        <f t="array" aca="1" ref="AE22" ca="1">IFERROR(COUNTIFS(
  unit_details[Property Name], INDIRECT("B"&amp;ROW()),
  unit_details[Floorplan Name], INDIRECT("C"&amp;ROW()),
  unit_details[Beds], INDIRECT("D"&amp;ROW()),
  unit_details[Detected Unit Amenities], "*"&amp;$AD$3&amp;"*",
  unit_details[Leased Date], "&gt;=" &amp; ($U$2 - $AF$3)
),0)</f>
        <v>0</v>
      </c>
      <c r="AF22" s="528" cm="1">
        <f t="array" aca="1" ref="AF22" ca="1">IFERROR(AVERAGEIFS(
  unit_details[Sqft],
  unit_details[Property Name], INDIRECT("B"&amp;ROW()),
  unit_details[Floorplan Name], INDIRECT("C"&amp;ROW()),
  unit_details[Beds], INDIRECT("D"&amp;ROW()),
  unit_details[Detected Unit Amenities], "&lt;&gt;*"&amp;$AD$3&amp;"*",
  unit_details[Leased Date], "&gt;=" &amp; ($U$2 - $AF$3)
),0)</f>
        <v>0</v>
      </c>
      <c r="AG22" s="527" cm="1">
        <f t="array" aca="1" ref="AG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 s="526" cm="1">
        <f t="array" aca="1" ref="AH22" ca="1">IFERROR(COUNTIFS(
  unit_details[Property Name], INDIRECT("B"&amp;ROW()),
  unit_details[Floorplan Name], INDIRECT("C"&amp;ROW()),
  unit_details[Beds], INDIRECT("D"&amp;ROW()),
  unit_details[Detected Unit Amenities], "&lt;&gt;*"&amp;$AD$3&amp;"*",
  unit_details[Leased Date], "&gt;=" &amp; ($U$2 - $AF$3)
),0)</f>
        <v>0</v>
      </c>
      <c r="AI22" s="528"/>
      <c r="AJ22" s="531">
        <f t="shared" ca="1" si="1"/>
        <v>0</v>
      </c>
      <c r="AK22" s="532">
        <f t="shared" ca="1" si="2"/>
        <v>0</v>
      </c>
    </row>
    <row r="23" spans="2:37" x14ac:dyDescent="0.2">
      <c r="B23" s="1"/>
      <c r="C23" s="53" t="s">
        <v>405</v>
      </c>
      <c r="D23" s="4">
        <v>2</v>
      </c>
      <c r="E23" s="262">
        <v>2</v>
      </c>
      <c r="F23" s="262"/>
      <c r="H23" s="4">
        <v>38</v>
      </c>
      <c r="I23" s="4">
        <v>1270</v>
      </c>
      <c r="J23" s="293">
        <v>1850</v>
      </c>
      <c r="K23" s="6">
        <v>1.4566929133858268</v>
      </c>
      <c r="L23" s="5">
        <v>1850</v>
      </c>
      <c r="M23" s="6">
        <v>1.4566929133858268</v>
      </c>
      <c r="N23" s="531" t="str" cm="1">
        <f t="array" aca="1" ref="N2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 s="552" t="str" cm="1">
        <f t="array" aca="1" ref="O2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 s="526" cm="1">
        <f t="array" aca="1" ref="P23" ca="1">COUNTIFS(unit_details[Leased Date], "&gt;=" &amp; ($U$2 - N$5),
          unit_details[Leased Date], "&lt;" &amp; $U$2,
          unit_details[Floorplan Name], INDIRECT("C"&amp;ROW()),
          unit_details[Property Name], INDIRECT("B"&amp;ROW()))</f>
        <v>0</v>
      </c>
      <c r="Q23" s="531" t="str" cm="1">
        <f t="array" aca="1" ref="Q2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 s="552" t="str" cm="1">
        <f t="array" aca="1" ref="R2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 s="526" cm="1">
        <f t="array" aca="1" ref="S23" ca="1">COUNTIFS(unit_details[Leased Date], "&gt;=" &amp; ($U$2 - Q$5),
          unit_details[Leased Date], "&lt;" &amp; $U$2,
          unit_details[Floorplan Name], INDIRECT("C"&amp;ROW()),
          unit_details[Property Name], INDIRECT("B"&amp;ROW()))</f>
        <v>0</v>
      </c>
      <c r="T23" s="531" t="str" cm="1">
        <f t="array" aca="1" ref="T2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 s="552" t="str" cm="1">
        <f t="array" aca="1" ref="U2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 s="526" cm="1">
        <f t="array" aca="1" ref="V23" ca="1">COUNTIFS(unit_details[Leased Date], "&gt;=" &amp; ($U$2 - T$5),
          unit_details[Leased Date], "&lt;" &amp; $U$2,
          unit_details[Floorplan Name], INDIRECT("C"&amp;ROW()),
          unit_details[Property Name], INDIRECT("B"&amp;ROW()))</f>
        <v>0</v>
      </c>
      <c r="W23" s="531" t="str" cm="1">
        <f t="array" aca="1" ref="W2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 s="552" t="str" cm="1">
        <f t="array" aca="1" ref="X2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 s="27" t="str">
        <f t="shared" ca="1" si="0"/>
        <v/>
      </c>
      <c r="Z23" s="4" t="str">
        <f>IFERROR($U$2-AVERAGEIFS(unit_details[First Listed],
          unit_details[Active Listing?],TRUE,
          unit_details[Property Name], $B23,
          unit_details[Beds], $D23,
          unit_details[Baths], $E23,
          unit_details[Partial Baths], IF(ISNUMBER($F23),$F23,""),
          unit_details[Floorplan Name],$C23
),"")</f>
        <v/>
      </c>
      <c r="AA23" s="262" cm="1">
        <f t="array" aca="1" ref="AA23" ca="1">COUNTIFS(unit_details[Active Listing?],TRUE,
          unit_details[Floorplan Name], INDIRECT("C"&amp;ROW()),
          unit_details[Property Name], INDIRECT("B"&amp;ROW()))</f>
        <v>0</v>
      </c>
      <c r="AB23" s="553"/>
      <c r="AC23" s="528" cm="1">
        <f t="array" aca="1" ref="AC23" ca="1">IFERROR(AVERAGEIFS(
  unit_details[Sqft],
  unit_details[Property Name], INDIRECT("B"&amp;ROW()),
  unit_details[Floorplan Name], INDIRECT("C"&amp;ROW()),
  unit_details[Beds], INDIRECT("D"&amp;ROW()),
  unit_details[Detected Unit Amenities], "*"&amp;$AD$3&amp;"*",
  unit_details[Leased Date], "&gt;=" &amp; ($U$2 - $AF$3)
),0)</f>
        <v>0</v>
      </c>
      <c r="AD23" s="527" cm="1">
        <f t="array" aca="1" ref="AD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 s="526" cm="1">
        <f t="array" aca="1" ref="AE23" ca="1">IFERROR(COUNTIFS(
  unit_details[Property Name], INDIRECT("B"&amp;ROW()),
  unit_details[Floorplan Name], INDIRECT("C"&amp;ROW()),
  unit_details[Beds], INDIRECT("D"&amp;ROW()),
  unit_details[Detected Unit Amenities], "*"&amp;$AD$3&amp;"*",
  unit_details[Leased Date], "&gt;=" &amp; ($U$2 - $AF$3)
),0)</f>
        <v>0</v>
      </c>
      <c r="AF23" s="528" cm="1">
        <f t="array" aca="1" ref="AF23" ca="1">IFERROR(AVERAGEIFS(
  unit_details[Sqft],
  unit_details[Property Name], INDIRECT("B"&amp;ROW()),
  unit_details[Floorplan Name], INDIRECT("C"&amp;ROW()),
  unit_details[Beds], INDIRECT("D"&amp;ROW()),
  unit_details[Detected Unit Amenities], "&lt;&gt;*"&amp;$AD$3&amp;"*",
  unit_details[Leased Date], "&gt;=" &amp; ($U$2 - $AF$3)
),0)</f>
        <v>0</v>
      </c>
      <c r="AG23" s="527" cm="1">
        <f t="array" aca="1" ref="AG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 s="526" cm="1">
        <f t="array" aca="1" ref="AH23" ca="1">IFERROR(COUNTIFS(
  unit_details[Property Name], INDIRECT("B"&amp;ROW()),
  unit_details[Floorplan Name], INDIRECT("C"&amp;ROW()),
  unit_details[Beds], INDIRECT("D"&amp;ROW()),
  unit_details[Detected Unit Amenities], "&lt;&gt;*"&amp;$AD$3&amp;"*",
  unit_details[Leased Date], "&gt;=" &amp; ($U$2 - $AF$3)
),0)</f>
        <v>0</v>
      </c>
      <c r="AI23" s="528"/>
      <c r="AJ23" s="531">
        <f t="shared" ca="1" si="1"/>
        <v>0</v>
      </c>
      <c r="AK23" s="532">
        <f t="shared" ca="1" si="2"/>
        <v>0</v>
      </c>
    </row>
    <row r="24" spans="2:37" x14ac:dyDescent="0.2">
      <c r="B24" s="1"/>
      <c r="C24" s="53" t="s">
        <v>405</v>
      </c>
      <c r="D24" s="4">
        <v>2</v>
      </c>
      <c r="E24" s="262">
        <v>1</v>
      </c>
      <c r="F24" s="262"/>
      <c r="G24" s="4">
        <v>1</v>
      </c>
      <c r="H24" s="4">
        <v>50.833333333333336</v>
      </c>
      <c r="I24" s="4">
        <v>900</v>
      </c>
      <c r="J24" s="293">
        <v>1200</v>
      </c>
      <c r="K24" s="6">
        <v>1.3333333333333333</v>
      </c>
      <c r="L24" s="5">
        <v>1200</v>
      </c>
      <c r="M24" s="6">
        <v>1.3333333333333333</v>
      </c>
      <c r="N24" s="531" t="str" cm="1">
        <f t="array" aca="1" ref="N2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 s="552" t="str" cm="1">
        <f t="array" aca="1" ref="O2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 s="526" cm="1">
        <f t="array" aca="1" ref="P24" ca="1">COUNTIFS(unit_details[Leased Date], "&gt;=" &amp; ($U$2 - N$5),
          unit_details[Leased Date], "&lt;" &amp; $U$2,
          unit_details[Floorplan Name], INDIRECT("C"&amp;ROW()),
          unit_details[Property Name], INDIRECT("B"&amp;ROW()))</f>
        <v>0</v>
      </c>
      <c r="Q24" s="531" t="str" cm="1">
        <f t="array" aca="1" ref="Q2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 s="552" t="str" cm="1">
        <f t="array" aca="1" ref="R2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 s="526" cm="1">
        <f t="array" aca="1" ref="S24" ca="1">COUNTIFS(unit_details[Leased Date], "&gt;=" &amp; ($U$2 - Q$5),
          unit_details[Leased Date], "&lt;" &amp; $U$2,
          unit_details[Floorplan Name], INDIRECT("C"&amp;ROW()),
          unit_details[Property Name], INDIRECT("B"&amp;ROW()))</f>
        <v>0</v>
      </c>
      <c r="T24" s="531" t="str" cm="1">
        <f t="array" aca="1" ref="T2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 s="552" t="str" cm="1">
        <f t="array" aca="1" ref="U2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 s="526" cm="1">
        <f t="array" aca="1" ref="V24" ca="1">COUNTIFS(unit_details[Leased Date], "&gt;=" &amp; ($U$2 - T$5),
          unit_details[Leased Date], "&lt;" &amp; $U$2,
          unit_details[Floorplan Name], INDIRECT("C"&amp;ROW()),
          unit_details[Property Name], INDIRECT("B"&amp;ROW()))</f>
        <v>0</v>
      </c>
      <c r="W24" s="531" t="str" cm="1">
        <f t="array" aca="1" ref="W2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 s="552" t="str" cm="1">
        <f t="array" aca="1" ref="X2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 s="27" t="str">
        <f t="shared" ca="1" si="0"/>
        <v/>
      </c>
      <c r="Z24" s="4" t="str">
        <f>IFERROR($U$2-AVERAGEIFS(unit_details[First Listed],
          unit_details[Active Listing?],TRUE,
          unit_details[Property Name], $B24,
          unit_details[Beds], $D24,
          unit_details[Baths], $E24,
          unit_details[Partial Baths], IF(ISNUMBER($F24),$F24,""),
          unit_details[Floorplan Name],$C24
),"")</f>
        <v/>
      </c>
      <c r="AA24" s="262" cm="1">
        <f t="array" aca="1" ref="AA24" ca="1">COUNTIFS(unit_details[Active Listing?],TRUE,
          unit_details[Floorplan Name], INDIRECT("C"&amp;ROW()),
          unit_details[Property Name], INDIRECT("B"&amp;ROW()))</f>
        <v>0</v>
      </c>
      <c r="AB24" s="553"/>
      <c r="AC24" s="528" cm="1">
        <f t="array" aca="1" ref="AC24" ca="1">IFERROR(AVERAGEIFS(
  unit_details[Sqft],
  unit_details[Property Name], INDIRECT("B"&amp;ROW()),
  unit_details[Floorplan Name], INDIRECT("C"&amp;ROW()),
  unit_details[Beds], INDIRECT("D"&amp;ROW()),
  unit_details[Detected Unit Amenities], "*"&amp;$AD$3&amp;"*",
  unit_details[Leased Date], "&gt;=" &amp; ($U$2 - $AF$3)
),0)</f>
        <v>0</v>
      </c>
      <c r="AD24" s="527" cm="1">
        <f t="array" aca="1" ref="AD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 s="526" cm="1">
        <f t="array" aca="1" ref="AE24" ca="1">IFERROR(COUNTIFS(
  unit_details[Property Name], INDIRECT("B"&amp;ROW()),
  unit_details[Floorplan Name], INDIRECT("C"&amp;ROW()),
  unit_details[Beds], INDIRECT("D"&amp;ROW()),
  unit_details[Detected Unit Amenities], "*"&amp;$AD$3&amp;"*",
  unit_details[Leased Date], "&gt;=" &amp; ($U$2 - $AF$3)
),0)</f>
        <v>0</v>
      </c>
      <c r="AF24" s="528" cm="1">
        <f t="array" aca="1" ref="AF24" ca="1">IFERROR(AVERAGEIFS(
  unit_details[Sqft],
  unit_details[Property Name], INDIRECT("B"&amp;ROW()),
  unit_details[Floorplan Name], INDIRECT("C"&amp;ROW()),
  unit_details[Beds], INDIRECT("D"&amp;ROW()),
  unit_details[Detected Unit Amenities], "&lt;&gt;*"&amp;$AD$3&amp;"*",
  unit_details[Leased Date], "&gt;=" &amp; ($U$2 - $AF$3)
),0)</f>
        <v>0</v>
      </c>
      <c r="AG24" s="527" cm="1">
        <f t="array" aca="1" ref="AG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 s="526" cm="1">
        <f t="array" aca="1" ref="AH24" ca="1">IFERROR(COUNTIFS(
  unit_details[Property Name], INDIRECT("B"&amp;ROW()),
  unit_details[Floorplan Name], INDIRECT("C"&amp;ROW()),
  unit_details[Beds], INDIRECT("D"&amp;ROW()),
  unit_details[Detected Unit Amenities], "&lt;&gt;*"&amp;$AD$3&amp;"*",
  unit_details[Leased Date], "&gt;=" &amp; ($U$2 - $AF$3)
),0)</f>
        <v>0</v>
      </c>
      <c r="AI24" s="528"/>
      <c r="AJ24" s="531">
        <f t="shared" ca="1" si="1"/>
        <v>0</v>
      </c>
      <c r="AK24" s="532">
        <f t="shared" ca="1" si="2"/>
        <v>0</v>
      </c>
    </row>
    <row r="25" spans="2:37" x14ac:dyDescent="0.2">
      <c r="B25" s="1"/>
      <c r="C25" s="53" t="s">
        <v>541</v>
      </c>
      <c r="D25" s="4">
        <v>2</v>
      </c>
      <c r="E25" s="262">
        <v>1</v>
      </c>
      <c r="F25" s="262"/>
      <c r="G25" s="4">
        <v>0</v>
      </c>
      <c r="H25" s="4">
        <v>27</v>
      </c>
      <c r="I25" s="4">
        <v>900</v>
      </c>
      <c r="J25" s="293">
        <v>1200</v>
      </c>
      <c r="K25" s="6">
        <v>1.3333333333333333</v>
      </c>
      <c r="L25" s="5">
        <v>1200</v>
      </c>
      <c r="M25" s="6">
        <v>1.3333333333333333</v>
      </c>
      <c r="N25" s="531" t="str" cm="1">
        <f t="array" aca="1" ref="N2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 s="552" t="str" cm="1">
        <f t="array" aca="1" ref="O2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 s="526" cm="1">
        <f t="array" aca="1" ref="P25" ca="1">COUNTIFS(unit_details[Leased Date], "&gt;=" &amp; ($U$2 - N$5),
          unit_details[Leased Date], "&lt;" &amp; $U$2,
          unit_details[Floorplan Name], INDIRECT("C"&amp;ROW()),
          unit_details[Property Name], INDIRECT("B"&amp;ROW()))</f>
        <v>0</v>
      </c>
      <c r="Q25" s="531" t="str" cm="1">
        <f t="array" aca="1" ref="Q2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 s="552" t="str" cm="1">
        <f t="array" aca="1" ref="R2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 s="526" cm="1">
        <f t="array" aca="1" ref="S25" ca="1">COUNTIFS(unit_details[Leased Date], "&gt;=" &amp; ($U$2 - Q$5),
          unit_details[Leased Date], "&lt;" &amp; $U$2,
          unit_details[Floorplan Name], INDIRECT("C"&amp;ROW()),
          unit_details[Property Name], INDIRECT("B"&amp;ROW()))</f>
        <v>0</v>
      </c>
      <c r="T25" s="531" t="str" cm="1">
        <f t="array" aca="1" ref="T2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 s="552" t="str" cm="1">
        <f t="array" aca="1" ref="U2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 s="526" cm="1">
        <f t="array" aca="1" ref="V25" ca="1">COUNTIFS(unit_details[Leased Date], "&gt;=" &amp; ($U$2 - T$5),
          unit_details[Leased Date], "&lt;" &amp; $U$2,
          unit_details[Floorplan Name], INDIRECT("C"&amp;ROW()),
          unit_details[Property Name], INDIRECT("B"&amp;ROW()))</f>
        <v>0</v>
      </c>
      <c r="W25" s="531" t="str" cm="1">
        <f t="array" aca="1" ref="W2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 s="552" t="str" cm="1">
        <f t="array" aca="1" ref="X2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 s="27" t="str">
        <f t="shared" ca="1" si="0"/>
        <v/>
      </c>
      <c r="Z25" s="4" t="str">
        <f>IFERROR($U$2-AVERAGEIFS(unit_details[First Listed],
          unit_details[Active Listing?],TRUE,
          unit_details[Property Name], $B25,
          unit_details[Beds], $D25,
          unit_details[Baths], $E25,
          unit_details[Partial Baths], IF(ISNUMBER($F25),$F25,""),
          unit_details[Floorplan Name],$C25
),"")</f>
        <v/>
      </c>
      <c r="AA25" s="262" cm="1">
        <f t="array" aca="1" ref="AA25" ca="1">COUNTIFS(unit_details[Active Listing?],TRUE,
          unit_details[Floorplan Name], INDIRECT("C"&amp;ROW()),
          unit_details[Property Name], INDIRECT("B"&amp;ROW()))</f>
        <v>0</v>
      </c>
      <c r="AB25" s="553"/>
      <c r="AC25" s="528" cm="1">
        <f t="array" aca="1" ref="AC25" ca="1">IFERROR(AVERAGEIFS(
  unit_details[Sqft],
  unit_details[Property Name], INDIRECT("B"&amp;ROW()),
  unit_details[Floorplan Name], INDIRECT("C"&amp;ROW()),
  unit_details[Beds], INDIRECT("D"&amp;ROW()),
  unit_details[Detected Unit Amenities], "*"&amp;$AD$3&amp;"*",
  unit_details[Leased Date], "&gt;=" &amp; ($U$2 - $AF$3)
),0)</f>
        <v>0</v>
      </c>
      <c r="AD25" s="527" cm="1">
        <f t="array" aca="1" ref="AD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 s="526" cm="1">
        <f t="array" aca="1" ref="AE25" ca="1">IFERROR(COUNTIFS(
  unit_details[Property Name], INDIRECT("B"&amp;ROW()),
  unit_details[Floorplan Name], INDIRECT("C"&amp;ROW()),
  unit_details[Beds], INDIRECT("D"&amp;ROW()),
  unit_details[Detected Unit Amenities], "*"&amp;$AD$3&amp;"*",
  unit_details[Leased Date], "&gt;=" &amp; ($U$2 - $AF$3)
),0)</f>
        <v>0</v>
      </c>
      <c r="AF25" s="528" cm="1">
        <f t="array" aca="1" ref="AF25" ca="1">IFERROR(AVERAGEIFS(
  unit_details[Sqft],
  unit_details[Property Name], INDIRECT("B"&amp;ROW()),
  unit_details[Floorplan Name], INDIRECT("C"&amp;ROW()),
  unit_details[Beds], INDIRECT("D"&amp;ROW()),
  unit_details[Detected Unit Amenities], "&lt;&gt;*"&amp;$AD$3&amp;"*",
  unit_details[Leased Date], "&gt;=" &amp; ($U$2 - $AF$3)
),0)</f>
        <v>0</v>
      </c>
      <c r="AG25" s="527" cm="1">
        <f t="array" aca="1" ref="AG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 s="526" cm="1">
        <f t="array" aca="1" ref="AH25" ca="1">IFERROR(COUNTIFS(
  unit_details[Property Name], INDIRECT("B"&amp;ROW()),
  unit_details[Floorplan Name], INDIRECT("C"&amp;ROW()),
  unit_details[Beds], INDIRECT("D"&amp;ROW()),
  unit_details[Detected Unit Amenities], "&lt;&gt;*"&amp;$AD$3&amp;"*",
  unit_details[Leased Date], "&gt;=" &amp; ($U$2 - $AF$3)
),0)</f>
        <v>0</v>
      </c>
      <c r="AI25" s="528"/>
      <c r="AJ25" s="531">
        <f t="shared" ca="1" si="1"/>
        <v>0</v>
      </c>
      <c r="AK25" s="532">
        <f t="shared" ca="1" si="2"/>
        <v>0</v>
      </c>
    </row>
    <row r="26" spans="2:37" x14ac:dyDescent="0.2">
      <c r="B26" s="1"/>
      <c r="C26" s="53" t="s">
        <v>542</v>
      </c>
      <c r="D26" s="4">
        <v>2</v>
      </c>
      <c r="E26" s="262">
        <v>1</v>
      </c>
      <c r="F26" s="262"/>
      <c r="G26" s="4">
        <v>0</v>
      </c>
      <c r="H26" s="4">
        <v>3</v>
      </c>
      <c r="I26" s="4">
        <v>900</v>
      </c>
      <c r="J26" s="293">
        <v>1200</v>
      </c>
      <c r="K26" s="6">
        <v>1.3333333333333333</v>
      </c>
      <c r="L26" s="5">
        <v>1200</v>
      </c>
      <c r="M26" s="6">
        <v>1.3333333333333333</v>
      </c>
      <c r="N26" s="531" t="str" cm="1">
        <f t="array" aca="1" ref="N2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 s="552" t="str" cm="1">
        <f t="array" aca="1" ref="O2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 s="526" cm="1">
        <f t="array" aca="1" ref="P26" ca="1">COUNTIFS(unit_details[Leased Date], "&gt;=" &amp; ($U$2 - N$5),
          unit_details[Leased Date], "&lt;" &amp; $U$2,
          unit_details[Floorplan Name], INDIRECT("C"&amp;ROW()),
          unit_details[Property Name], INDIRECT("B"&amp;ROW()))</f>
        <v>0</v>
      </c>
      <c r="Q26" s="531" t="str" cm="1">
        <f t="array" aca="1" ref="Q2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 s="552" t="str" cm="1">
        <f t="array" aca="1" ref="R2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 s="526" cm="1">
        <f t="array" aca="1" ref="S26" ca="1">COUNTIFS(unit_details[Leased Date], "&gt;=" &amp; ($U$2 - Q$5),
          unit_details[Leased Date], "&lt;" &amp; $U$2,
          unit_details[Floorplan Name], INDIRECT("C"&amp;ROW()),
          unit_details[Property Name], INDIRECT("B"&amp;ROW()))</f>
        <v>0</v>
      </c>
      <c r="T26" s="531" t="str" cm="1">
        <f t="array" aca="1" ref="T2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 s="552" t="str" cm="1">
        <f t="array" aca="1" ref="U2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 s="526" cm="1">
        <f t="array" aca="1" ref="V26" ca="1">COUNTIFS(unit_details[Leased Date], "&gt;=" &amp; ($U$2 - T$5),
          unit_details[Leased Date], "&lt;" &amp; $U$2,
          unit_details[Floorplan Name], INDIRECT("C"&amp;ROW()),
          unit_details[Property Name], INDIRECT("B"&amp;ROW()))</f>
        <v>0</v>
      </c>
      <c r="W26" s="531" t="str" cm="1">
        <f t="array" aca="1" ref="W2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 s="552" t="str" cm="1">
        <f t="array" aca="1" ref="X2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 s="27" t="str">
        <f t="shared" ca="1" si="0"/>
        <v/>
      </c>
      <c r="Z26" s="4" t="str">
        <f>IFERROR($U$2-AVERAGEIFS(unit_details[First Listed],
          unit_details[Active Listing?],TRUE,
          unit_details[Property Name], $B26,
          unit_details[Beds], $D26,
          unit_details[Baths], $E26,
          unit_details[Partial Baths], IF(ISNUMBER($F26),$F26,""),
          unit_details[Floorplan Name],$C26
),"")</f>
        <v/>
      </c>
      <c r="AA26" s="262" cm="1">
        <f t="array" aca="1" ref="AA26" ca="1">COUNTIFS(unit_details[Active Listing?],TRUE,
          unit_details[Floorplan Name], INDIRECT("C"&amp;ROW()),
          unit_details[Property Name], INDIRECT("B"&amp;ROW()))</f>
        <v>0</v>
      </c>
      <c r="AB26" s="553"/>
      <c r="AC26" s="528" cm="1">
        <f t="array" aca="1" ref="AC26" ca="1">IFERROR(AVERAGEIFS(
  unit_details[Sqft],
  unit_details[Property Name], INDIRECT("B"&amp;ROW()),
  unit_details[Floorplan Name], INDIRECT("C"&amp;ROW()),
  unit_details[Beds], INDIRECT("D"&amp;ROW()),
  unit_details[Detected Unit Amenities], "*"&amp;$AD$3&amp;"*",
  unit_details[Leased Date], "&gt;=" &amp; ($U$2 - $AF$3)
),0)</f>
        <v>0</v>
      </c>
      <c r="AD26" s="527" cm="1">
        <f t="array" aca="1" ref="AD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 s="526" cm="1">
        <f t="array" aca="1" ref="AE26" ca="1">IFERROR(COUNTIFS(
  unit_details[Property Name], INDIRECT("B"&amp;ROW()),
  unit_details[Floorplan Name], INDIRECT("C"&amp;ROW()),
  unit_details[Beds], INDIRECT("D"&amp;ROW()),
  unit_details[Detected Unit Amenities], "*"&amp;$AD$3&amp;"*",
  unit_details[Leased Date], "&gt;=" &amp; ($U$2 - $AF$3)
),0)</f>
        <v>0</v>
      </c>
      <c r="AF26" s="528" cm="1">
        <f t="array" aca="1" ref="AF26" ca="1">IFERROR(AVERAGEIFS(
  unit_details[Sqft],
  unit_details[Property Name], INDIRECT("B"&amp;ROW()),
  unit_details[Floorplan Name], INDIRECT("C"&amp;ROW()),
  unit_details[Beds], INDIRECT("D"&amp;ROW()),
  unit_details[Detected Unit Amenities], "&lt;&gt;*"&amp;$AD$3&amp;"*",
  unit_details[Leased Date], "&gt;=" &amp; ($U$2 - $AF$3)
),0)</f>
        <v>0</v>
      </c>
      <c r="AG26" s="527" cm="1">
        <f t="array" aca="1" ref="AG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 s="526" cm="1">
        <f t="array" aca="1" ref="AH26" ca="1">IFERROR(COUNTIFS(
  unit_details[Property Name], INDIRECT("B"&amp;ROW()),
  unit_details[Floorplan Name], INDIRECT("C"&amp;ROW()),
  unit_details[Beds], INDIRECT("D"&amp;ROW()),
  unit_details[Detected Unit Amenities], "&lt;&gt;*"&amp;$AD$3&amp;"*",
  unit_details[Leased Date], "&gt;=" &amp; ($U$2 - $AF$3)
),0)</f>
        <v>0</v>
      </c>
      <c r="AI26" s="528"/>
      <c r="AJ26" s="531">
        <f t="shared" ca="1" si="1"/>
        <v>0</v>
      </c>
      <c r="AK26" s="532">
        <f t="shared" ca="1" si="2"/>
        <v>0</v>
      </c>
    </row>
    <row r="27" spans="2:37" x14ac:dyDescent="0.2">
      <c r="B27" s="1"/>
      <c r="C27" s="53" t="s">
        <v>405</v>
      </c>
      <c r="D27" s="4">
        <v>2</v>
      </c>
      <c r="E27" s="262">
        <v>1</v>
      </c>
      <c r="F27" s="262"/>
      <c r="H27" s="4">
        <v>49.5</v>
      </c>
      <c r="I27" s="4">
        <v>864</v>
      </c>
      <c r="J27" s="293">
        <v>1325</v>
      </c>
      <c r="K27" s="6">
        <v>1.5335648148148149</v>
      </c>
      <c r="L27" s="5">
        <v>1325</v>
      </c>
      <c r="M27" s="6">
        <v>1.5335648148148149</v>
      </c>
      <c r="N27" s="531" t="str" cm="1">
        <f t="array" aca="1" ref="N2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 s="552" t="str" cm="1">
        <f t="array" aca="1" ref="O2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 s="526" cm="1">
        <f t="array" aca="1" ref="P27" ca="1">COUNTIFS(unit_details[Leased Date], "&gt;=" &amp; ($U$2 - N$5),
          unit_details[Leased Date], "&lt;" &amp; $U$2,
          unit_details[Floorplan Name], INDIRECT("C"&amp;ROW()),
          unit_details[Property Name], INDIRECT("B"&amp;ROW()))</f>
        <v>0</v>
      </c>
      <c r="Q27" s="531" t="str" cm="1">
        <f t="array" aca="1" ref="Q2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 s="552" t="str" cm="1">
        <f t="array" aca="1" ref="R2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 s="526" cm="1">
        <f t="array" aca="1" ref="S27" ca="1">COUNTIFS(unit_details[Leased Date], "&gt;=" &amp; ($U$2 - Q$5),
          unit_details[Leased Date], "&lt;" &amp; $U$2,
          unit_details[Floorplan Name], INDIRECT("C"&amp;ROW()),
          unit_details[Property Name], INDIRECT("B"&amp;ROW()))</f>
        <v>0</v>
      </c>
      <c r="T27" s="531" t="str" cm="1">
        <f t="array" aca="1" ref="T2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 s="552" t="str" cm="1">
        <f t="array" aca="1" ref="U2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 s="526" cm="1">
        <f t="array" aca="1" ref="V27" ca="1">COUNTIFS(unit_details[Leased Date], "&gt;=" &amp; ($U$2 - T$5),
          unit_details[Leased Date], "&lt;" &amp; $U$2,
          unit_details[Floorplan Name], INDIRECT("C"&amp;ROW()),
          unit_details[Property Name], INDIRECT("B"&amp;ROW()))</f>
        <v>0</v>
      </c>
      <c r="W27" s="531" t="str" cm="1">
        <f t="array" aca="1" ref="W2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 s="552" t="str" cm="1">
        <f t="array" aca="1" ref="X2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 s="27" t="str">
        <f t="shared" ca="1" si="0"/>
        <v/>
      </c>
      <c r="Z27" s="4" t="str">
        <f>IFERROR($U$2-AVERAGEIFS(unit_details[First Listed],
          unit_details[Active Listing?],TRUE,
          unit_details[Property Name], $B27,
          unit_details[Beds], $D27,
          unit_details[Baths], $E27,
          unit_details[Partial Baths], IF(ISNUMBER($F27),$F27,""),
          unit_details[Floorplan Name],$C27
),"")</f>
        <v/>
      </c>
      <c r="AA27" s="262" cm="1">
        <f t="array" aca="1" ref="AA27" ca="1">COUNTIFS(unit_details[Active Listing?],TRUE,
          unit_details[Floorplan Name], INDIRECT("C"&amp;ROW()),
          unit_details[Property Name], INDIRECT("B"&amp;ROW()))</f>
        <v>0</v>
      </c>
      <c r="AB27" s="553"/>
      <c r="AC27" s="528" cm="1">
        <f t="array" aca="1" ref="AC27" ca="1">IFERROR(AVERAGEIFS(
  unit_details[Sqft],
  unit_details[Property Name], INDIRECT("B"&amp;ROW()),
  unit_details[Floorplan Name], INDIRECT("C"&amp;ROW()),
  unit_details[Beds], INDIRECT("D"&amp;ROW()),
  unit_details[Detected Unit Amenities], "*"&amp;$AD$3&amp;"*",
  unit_details[Leased Date], "&gt;=" &amp; ($U$2 - $AF$3)
),0)</f>
        <v>0</v>
      </c>
      <c r="AD27" s="527" cm="1">
        <f t="array" aca="1" ref="AD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 s="526" cm="1">
        <f t="array" aca="1" ref="AE27" ca="1">IFERROR(COUNTIFS(
  unit_details[Property Name], INDIRECT("B"&amp;ROW()),
  unit_details[Floorplan Name], INDIRECT("C"&amp;ROW()),
  unit_details[Beds], INDIRECT("D"&amp;ROW()),
  unit_details[Detected Unit Amenities], "*"&amp;$AD$3&amp;"*",
  unit_details[Leased Date], "&gt;=" &amp; ($U$2 - $AF$3)
),0)</f>
        <v>0</v>
      </c>
      <c r="AF27" s="528" cm="1">
        <f t="array" aca="1" ref="AF27" ca="1">IFERROR(AVERAGEIFS(
  unit_details[Sqft],
  unit_details[Property Name], INDIRECT("B"&amp;ROW()),
  unit_details[Floorplan Name], INDIRECT("C"&amp;ROW()),
  unit_details[Beds], INDIRECT("D"&amp;ROW()),
  unit_details[Detected Unit Amenities], "&lt;&gt;*"&amp;$AD$3&amp;"*",
  unit_details[Leased Date], "&gt;=" &amp; ($U$2 - $AF$3)
),0)</f>
        <v>0</v>
      </c>
      <c r="AG27" s="527" cm="1">
        <f t="array" aca="1" ref="AG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 s="526" cm="1">
        <f t="array" aca="1" ref="AH27" ca="1">IFERROR(COUNTIFS(
  unit_details[Property Name], INDIRECT("B"&amp;ROW()),
  unit_details[Floorplan Name], INDIRECT("C"&amp;ROW()),
  unit_details[Beds], INDIRECT("D"&amp;ROW()),
  unit_details[Detected Unit Amenities], "&lt;&gt;*"&amp;$AD$3&amp;"*",
  unit_details[Leased Date], "&gt;=" &amp; ($U$2 - $AF$3)
),0)</f>
        <v>0</v>
      </c>
      <c r="AI27" s="528"/>
      <c r="AJ27" s="531">
        <f t="shared" ca="1" si="1"/>
        <v>0</v>
      </c>
      <c r="AK27" s="532">
        <f t="shared" ca="1" si="2"/>
        <v>0</v>
      </c>
    </row>
    <row r="28" spans="2:37" x14ac:dyDescent="0.2">
      <c r="B28" s="1"/>
      <c r="C28" s="53" t="s">
        <v>405</v>
      </c>
      <c r="D28" s="4">
        <v>2</v>
      </c>
      <c r="E28" s="262">
        <v>1</v>
      </c>
      <c r="F28" s="262"/>
      <c r="G28" s="4">
        <v>2</v>
      </c>
      <c r="H28" s="4">
        <v>62</v>
      </c>
      <c r="J28" s="293">
        <v>1300</v>
      </c>
      <c r="K28" s="6"/>
      <c r="L28" s="5">
        <v>1300</v>
      </c>
      <c r="M28" s="6"/>
      <c r="N28" s="531" t="str" cm="1">
        <f t="array" aca="1" ref="N2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 s="552" t="str" cm="1">
        <f t="array" aca="1" ref="O2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 s="526" cm="1">
        <f t="array" aca="1" ref="P28" ca="1">COUNTIFS(unit_details[Leased Date], "&gt;=" &amp; ($U$2 - N$5),
          unit_details[Leased Date], "&lt;" &amp; $U$2,
          unit_details[Floorplan Name], INDIRECT("C"&amp;ROW()),
          unit_details[Property Name], INDIRECT("B"&amp;ROW()))</f>
        <v>0</v>
      </c>
      <c r="Q28" s="531" t="str" cm="1">
        <f t="array" aca="1" ref="Q2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 s="552" t="str" cm="1">
        <f t="array" aca="1" ref="R2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 s="526" cm="1">
        <f t="array" aca="1" ref="S28" ca="1">COUNTIFS(unit_details[Leased Date], "&gt;=" &amp; ($U$2 - Q$5),
          unit_details[Leased Date], "&lt;" &amp; $U$2,
          unit_details[Floorplan Name], INDIRECT("C"&amp;ROW()),
          unit_details[Property Name], INDIRECT("B"&amp;ROW()))</f>
        <v>0</v>
      </c>
      <c r="T28" s="531" t="str" cm="1">
        <f t="array" aca="1" ref="T2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 s="552" t="str" cm="1">
        <f t="array" aca="1" ref="U2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 s="526" cm="1">
        <f t="array" aca="1" ref="V28" ca="1">COUNTIFS(unit_details[Leased Date], "&gt;=" &amp; ($U$2 - T$5),
          unit_details[Leased Date], "&lt;" &amp; $U$2,
          unit_details[Floorplan Name], INDIRECT("C"&amp;ROW()),
          unit_details[Property Name], INDIRECT("B"&amp;ROW()))</f>
        <v>0</v>
      </c>
      <c r="W28" s="531" t="str" cm="1">
        <f t="array" aca="1" ref="W2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 s="552" t="str" cm="1">
        <f t="array" aca="1" ref="X2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 s="27" t="str">
        <f t="shared" ca="1" si="0"/>
        <v/>
      </c>
      <c r="Z28" s="4" t="str">
        <f>IFERROR($U$2-AVERAGEIFS(unit_details[First Listed],
          unit_details[Active Listing?],TRUE,
          unit_details[Property Name], $B28,
          unit_details[Beds], $D28,
          unit_details[Baths], $E28,
          unit_details[Partial Baths], IF(ISNUMBER($F28),$F28,""),
          unit_details[Floorplan Name],$C28
),"")</f>
        <v/>
      </c>
      <c r="AA28" s="262" cm="1">
        <f t="array" aca="1" ref="AA28" ca="1">COUNTIFS(unit_details[Active Listing?],TRUE,
          unit_details[Floorplan Name], INDIRECT("C"&amp;ROW()),
          unit_details[Property Name], INDIRECT("B"&amp;ROW()))</f>
        <v>0</v>
      </c>
      <c r="AB28" s="553"/>
      <c r="AC28" s="528" cm="1">
        <f t="array" aca="1" ref="AC28" ca="1">IFERROR(AVERAGEIFS(
  unit_details[Sqft],
  unit_details[Property Name], INDIRECT("B"&amp;ROW()),
  unit_details[Floorplan Name], INDIRECT("C"&amp;ROW()),
  unit_details[Beds], INDIRECT("D"&amp;ROW()),
  unit_details[Detected Unit Amenities], "*"&amp;$AD$3&amp;"*",
  unit_details[Leased Date], "&gt;=" &amp; ($U$2 - $AF$3)
),0)</f>
        <v>0</v>
      </c>
      <c r="AD28" s="527" cm="1">
        <f t="array" aca="1" ref="AD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 s="526" cm="1">
        <f t="array" aca="1" ref="AE28" ca="1">IFERROR(COUNTIFS(
  unit_details[Property Name], INDIRECT("B"&amp;ROW()),
  unit_details[Floorplan Name], INDIRECT("C"&amp;ROW()),
  unit_details[Beds], INDIRECT("D"&amp;ROW()),
  unit_details[Detected Unit Amenities], "*"&amp;$AD$3&amp;"*",
  unit_details[Leased Date], "&gt;=" &amp; ($U$2 - $AF$3)
),0)</f>
        <v>0</v>
      </c>
      <c r="AF28" s="528" cm="1">
        <f t="array" aca="1" ref="AF28" ca="1">IFERROR(AVERAGEIFS(
  unit_details[Sqft],
  unit_details[Property Name], INDIRECT("B"&amp;ROW()),
  unit_details[Floorplan Name], INDIRECT("C"&amp;ROW()),
  unit_details[Beds], INDIRECT("D"&amp;ROW()),
  unit_details[Detected Unit Amenities], "&lt;&gt;*"&amp;$AD$3&amp;"*",
  unit_details[Leased Date], "&gt;=" &amp; ($U$2 - $AF$3)
),0)</f>
        <v>0</v>
      </c>
      <c r="AG28" s="527" cm="1">
        <f t="array" aca="1" ref="AG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 s="526" cm="1">
        <f t="array" aca="1" ref="AH28" ca="1">IFERROR(COUNTIFS(
  unit_details[Property Name], INDIRECT("B"&amp;ROW()),
  unit_details[Floorplan Name], INDIRECT("C"&amp;ROW()),
  unit_details[Beds], INDIRECT("D"&amp;ROW()),
  unit_details[Detected Unit Amenities], "&lt;&gt;*"&amp;$AD$3&amp;"*",
  unit_details[Leased Date], "&gt;=" &amp; ($U$2 - $AF$3)
),0)</f>
        <v>0</v>
      </c>
      <c r="AI28" s="528"/>
      <c r="AJ28" s="531">
        <f t="shared" ca="1" si="1"/>
        <v>0</v>
      </c>
      <c r="AK28" s="532">
        <f t="shared" ca="1" si="2"/>
        <v>0</v>
      </c>
    </row>
    <row r="29" spans="2:37" x14ac:dyDescent="0.2">
      <c r="B29" s="1"/>
      <c r="C29" s="53" t="s">
        <v>405</v>
      </c>
      <c r="D29" s="4">
        <v>2</v>
      </c>
      <c r="E29" s="262">
        <v>2</v>
      </c>
      <c r="F29" s="262"/>
      <c r="H29" s="4">
        <v>12</v>
      </c>
      <c r="I29" s="4">
        <v>1250</v>
      </c>
      <c r="J29" s="293">
        <v>1400</v>
      </c>
      <c r="K29" s="6">
        <v>1.1200000000000001</v>
      </c>
      <c r="L29" s="5">
        <v>1400</v>
      </c>
      <c r="M29" s="6">
        <v>1.1200000000000001</v>
      </c>
      <c r="N29" s="531" t="str" cm="1">
        <f t="array" aca="1" ref="N2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 s="552" t="str" cm="1">
        <f t="array" aca="1" ref="O2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 s="526" cm="1">
        <f t="array" aca="1" ref="P29" ca="1">COUNTIFS(unit_details[Leased Date], "&gt;=" &amp; ($U$2 - N$5),
          unit_details[Leased Date], "&lt;" &amp; $U$2,
          unit_details[Floorplan Name], INDIRECT("C"&amp;ROW()),
          unit_details[Property Name], INDIRECT("B"&amp;ROW()))</f>
        <v>0</v>
      </c>
      <c r="Q29" s="531" t="str" cm="1">
        <f t="array" aca="1" ref="Q2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 s="552" t="str" cm="1">
        <f t="array" aca="1" ref="R2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 s="526" cm="1">
        <f t="array" aca="1" ref="S29" ca="1">COUNTIFS(unit_details[Leased Date], "&gt;=" &amp; ($U$2 - Q$5),
          unit_details[Leased Date], "&lt;" &amp; $U$2,
          unit_details[Floorplan Name], INDIRECT("C"&amp;ROW()),
          unit_details[Property Name], INDIRECT("B"&amp;ROW()))</f>
        <v>0</v>
      </c>
      <c r="T29" s="531" t="str" cm="1">
        <f t="array" aca="1" ref="T2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 s="552" t="str" cm="1">
        <f t="array" aca="1" ref="U2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 s="526" cm="1">
        <f t="array" aca="1" ref="V29" ca="1">COUNTIFS(unit_details[Leased Date], "&gt;=" &amp; ($U$2 - T$5),
          unit_details[Leased Date], "&lt;" &amp; $U$2,
          unit_details[Floorplan Name], INDIRECT("C"&amp;ROW()),
          unit_details[Property Name], INDIRECT("B"&amp;ROW()))</f>
        <v>0</v>
      </c>
      <c r="W29" s="531" t="str" cm="1">
        <f t="array" aca="1" ref="W2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 s="552" t="str" cm="1">
        <f t="array" aca="1" ref="X2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 s="27" t="str">
        <f t="shared" ca="1" si="0"/>
        <v/>
      </c>
      <c r="Z29" s="4" t="str">
        <f>IFERROR($U$2-AVERAGEIFS(unit_details[First Listed],
          unit_details[Active Listing?],TRUE,
          unit_details[Property Name], $B29,
          unit_details[Beds], $D29,
          unit_details[Baths], $E29,
          unit_details[Partial Baths], IF(ISNUMBER($F29),$F29,""),
          unit_details[Floorplan Name],$C29
),"")</f>
        <v/>
      </c>
      <c r="AA29" s="262" cm="1">
        <f t="array" aca="1" ref="AA29" ca="1">COUNTIFS(unit_details[Active Listing?],TRUE,
          unit_details[Floorplan Name], INDIRECT("C"&amp;ROW()),
          unit_details[Property Name], INDIRECT("B"&amp;ROW()))</f>
        <v>0</v>
      </c>
      <c r="AB29" s="553"/>
      <c r="AC29" s="528" cm="1">
        <f t="array" aca="1" ref="AC29" ca="1">IFERROR(AVERAGEIFS(
  unit_details[Sqft],
  unit_details[Property Name], INDIRECT("B"&amp;ROW()),
  unit_details[Floorplan Name], INDIRECT("C"&amp;ROW()),
  unit_details[Beds], INDIRECT("D"&amp;ROW()),
  unit_details[Detected Unit Amenities], "*"&amp;$AD$3&amp;"*",
  unit_details[Leased Date], "&gt;=" &amp; ($U$2 - $AF$3)
),0)</f>
        <v>0</v>
      </c>
      <c r="AD29" s="527" cm="1">
        <f t="array" aca="1" ref="AD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 s="526" cm="1">
        <f t="array" aca="1" ref="AE29" ca="1">IFERROR(COUNTIFS(
  unit_details[Property Name], INDIRECT("B"&amp;ROW()),
  unit_details[Floorplan Name], INDIRECT("C"&amp;ROW()),
  unit_details[Beds], INDIRECT("D"&amp;ROW()),
  unit_details[Detected Unit Amenities], "*"&amp;$AD$3&amp;"*",
  unit_details[Leased Date], "&gt;=" &amp; ($U$2 - $AF$3)
),0)</f>
        <v>0</v>
      </c>
      <c r="AF29" s="528" cm="1">
        <f t="array" aca="1" ref="AF29" ca="1">IFERROR(AVERAGEIFS(
  unit_details[Sqft],
  unit_details[Property Name], INDIRECT("B"&amp;ROW()),
  unit_details[Floorplan Name], INDIRECT("C"&amp;ROW()),
  unit_details[Beds], INDIRECT("D"&amp;ROW()),
  unit_details[Detected Unit Amenities], "&lt;&gt;*"&amp;$AD$3&amp;"*",
  unit_details[Leased Date], "&gt;=" &amp; ($U$2 - $AF$3)
),0)</f>
        <v>0</v>
      </c>
      <c r="AG29" s="527" cm="1">
        <f t="array" aca="1" ref="AG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 s="526" cm="1">
        <f t="array" aca="1" ref="AH29" ca="1">IFERROR(COUNTIFS(
  unit_details[Property Name], INDIRECT("B"&amp;ROW()),
  unit_details[Floorplan Name], INDIRECT("C"&amp;ROW()),
  unit_details[Beds], INDIRECT("D"&amp;ROW()),
  unit_details[Detected Unit Amenities], "&lt;&gt;*"&amp;$AD$3&amp;"*",
  unit_details[Leased Date], "&gt;=" &amp; ($U$2 - $AF$3)
),0)</f>
        <v>0</v>
      </c>
      <c r="AI29" s="528"/>
      <c r="AJ29" s="531">
        <f t="shared" ca="1" si="1"/>
        <v>0</v>
      </c>
      <c r="AK29" s="532">
        <f t="shared" ca="1" si="2"/>
        <v>0</v>
      </c>
    </row>
    <row r="30" spans="2:37" x14ac:dyDescent="0.2">
      <c r="B30" s="1"/>
      <c r="C30" s="53" t="s">
        <v>405</v>
      </c>
      <c r="D30" s="4">
        <v>2</v>
      </c>
      <c r="E30" s="262">
        <v>2</v>
      </c>
      <c r="F30" s="262"/>
      <c r="H30" s="4">
        <v>85</v>
      </c>
      <c r="I30" s="4">
        <v>1200</v>
      </c>
      <c r="J30" s="293">
        <v>1850</v>
      </c>
      <c r="K30" s="6">
        <v>1.5416666666666667</v>
      </c>
      <c r="L30" s="5">
        <v>1850</v>
      </c>
      <c r="M30" s="6">
        <v>1.5416666666666667</v>
      </c>
      <c r="N30" s="531" t="str" cm="1">
        <f t="array" aca="1" ref="N3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 s="552" t="str" cm="1">
        <f t="array" aca="1" ref="O3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 s="526" cm="1">
        <f t="array" aca="1" ref="P30" ca="1">COUNTIFS(unit_details[Leased Date], "&gt;=" &amp; ($U$2 - N$5),
          unit_details[Leased Date], "&lt;" &amp; $U$2,
          unit_details[Floorplan Name], INDIRECT("C"&amp;ROW()),
          unit_details[Property Name], INDIRECT("B"&amp;ROW()))</f>
        <v>0</v>
      </c>
      <c r="Q30" s="531" t="str" cm="1">
        <f t="array" aca="1" ref="Q3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 s="552" t="str" cm="1">
        <f t="array" aca="1" ref="R3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 s="526" cm="1">
        <f t="array" aca="1" ref="S30" ca="1">COUNTIFS(unit_details[Leased Date], "&gt;=" &amp; ($U$2 - Q$5),
          unit_details[Leased Date], "&lt;" &amp; $U$2,
          unit_details[Floorplan Name], INDIRECT("C"&amp;ROW()),
          unit_details[Property Name], INDIRECT("B"&amp;ROW()))</f>
        <v>0</v>
      </c>
      <c r="T30" s="531" t="str" cm="1">
        <f t="array" aca="1" ref="T3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 s="552" t="str" cm="1">
        <f t="array" aca="1" ref="U3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 s="526" cm="1">
        <f t="array" aca="1" ref="V30" ca="1">COUNTIFS(unit_details[Leased Date], "&gt;=" &amp; ($U$2 - T$5),
          unit_details[Leased Date], "&lt;" &amp; $U$2,
          unit_details[Floorplan Name], INDIRECT("C"&amp;ROW()),
          unit_details[Property Name], INDIRECT("B"&amp;ROW()))</f>
        <v>0</v>
      </c>
      <c r="W30" s="531" t="str" cm="1">
        <f t="array" aca="1" ref="W3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 s="552" t="str" cm="1">
        <f t="array" aca="1" ref="X3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 s="27" t="str">
        <f t="shared" ca="1" si="0"/>
        <v/>
      </c>
      <c r="Z30" s="4" t="str">
        <f>IFERROR($U$2-AVERAGEIFS(unit_details[First Listed],
          unit_details[Active Listing?],TRUE,
          unit_details[Property Name], $B30,
          unit_details[Beds], $D30,
          unit_details[Baths], $E30,
          unit_details[Partial Baths], IF(ISNUMBER($F30),$F30,""),
          unit_details[Floorplan Name],$C30
),"")</f>
        <v/>
      </c>
      <c r="AA30" s="262" cm="1">
        <f t="array" aca="1" ref="AA30" ca="1">COUNTIFS(unit_details[Active Listing?],TRUE,
          unit_details[Floorplan Name], INDIRECT("C"&amp;ROW()),
          unit_details[Property Name], INDIRECT("B"&amp;ROW()))</f>
        <v>0</v>
      </c>
      <c r="AB30" s="553"/>
      <c r="AC30" s="528" cm="1">
        <f t="array" aca="1" ref="AC30" ca="1">IFERROR(AVERAGEIFS(
  unit_details[Sqft],
  unit_details[Property Name], INDIRECT("B"&amp;ROW()),
  unit_details[Floorplan Name], INDIRECT("C"&amp;ROW()),
  unit_details[Beds], INDIRECT("D"&amp;ROW()),
  unit_details[Detected Unit Amenities], "*"&amp;$AD$3&amp;"*",
  unit_details[Leased Date], "&gt;=" &amp; ($U$2 - $AF$3)
),0)</f>
        <v>0</v>
      </c>
      <c r="AD30" s="527" cm="1">
        <f t="array" aca="1" ref="AD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 s="526" cm="1">
        <f t="array" aca="1" ref="AE30" ca="1">IFERROR(COUNTIFS(
  unit_details[Property Name], INDIRECT("B"&amp;ROW()),
  unit_details[Floorplan Name], INDIRECT("C"&amp;ROW()),
  unit_details[Beds], INDIRECT("D"&amp;ROW()),
  unit_details[Detected Unit Amenities], "*"&amp;$AD$3&amp;"*",
  unit_details[Leased Date], "&gt;=" &amp; ($U$2 - $AF$3)
),0)</f>
        <v>0</v>
      </c>
      <c r="AF30" s="528" cm="1">
        <f t="array" aca="1" ref="AF30" ca="1">IFERROR(AVERAGEIFS(
  unit_details[Sqft],
  unit_details[Property Name], INDIRECT("B"&amp;ROW()),
  unit_details[Floorplan Name], INDIRECT("C"&amp;ROW()),
  unit_details[Beds], INDIRECT("D"&amp;ROW()),
  unit_details[Detected Unit Amenities], "&lt;&gt;*"&amp;$AD$3&amp;"*",
  unit_details[Leased Date], "&gt;=" &amp; ($U$2 - $AF$3)
),0)</f>
        <v>0</v>
      </c>
      <c r="AG30" s="527" cm="1">
        <f t="array" aca="1" ref="AG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 s="526" cm="1">
        <f t="array" aca="1" ref="AH30" ca="1">IFERROR(COUNTIFS(
  unit_details[Property Name], INDIRECT("B"&amp;ROW()),
  unit_details[Floorplan Name], INDIRECT("C"&amp;ROW()),
  unit_details[Beds], INDIRECT("D"&amp;ROW()),
  unit_details[Detected Unit Amenities], "&lt;&gt;*"&amp;$AD$3&amp;"*",
  unit_details[Leased Date], "&gt;=" &amp; ($U$2 - $AF$3)
),0)</f>
        <v>0</v>
      </c>
      <c r="AI30" s="528"/>
      <c r="AJ30" s="531">
        <f t="shared" ca="1" si="1"/>
        <v>0</v>
      </c>
      <c r="AK30" s="532">
        <f t="shared" ca="1" si="2"/>
        <v>0</v>
      </c>
    </row>
    <row r="31" spans="2:37" x14ac:dyDescent="0.2">
      <c r="B31" s="1"/>
      <c r="C31" s="53" t="s">
        <v>405</v>
      </c>
      <c r="D31" s="4">
        <v>2</v>
      </c>
      <c r="E31" s="262">
        <v>1</v>
      </c>
      <c r="F31" s="262"/>
      <c r="H31" s="4">
        <v>57</v>
      </c>
      <c r="I31" s="4">
        <v>572</v>
      </c>
      <c r="J31" s="293">
        <v>1100</v>
      </c>
      <c r="K31" s="6">
        <v>1.9230769230769231</v>
      </c>
      <c r="L31" s="5">
        <v>1100</v>
      </c>
      <c r="M31" s="6">
        <v>1.9230769230769231</v>
      </c>
      <c r="N31" s="531" t="str" cm="1">
        <f t="array" aca="1" ref="N3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 s="552" t="str" cm="1">
        <f t="array" aca="1" ref="O3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 s="526" cm="1">
        <f t="array" aca="1" ref="P31" ca="1">COUNTIFS(unit_details[Leased Date], "&gt;=" &amp; ($U$2 - N$5),
          unit_details[Leased Date], "&lt;" &amp; $U$2,
          unit_details[Floorplan Name], INDIRECT("C"&amp;ROW()),
          unit_details[Property Name], INDIRECT("B"&amp;ROW()))</f>
        <v>0</v>
      </c>
      <c r="Q31" s="531" t="str" cm="1">
        <f t="array" aca="1" ref="Q3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 s="552" t="str" cm="1">
        <f t="array" aca="1" ref="R3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 s="526" cm="1">
        <f t="array" aca="1" ref="S31" ca="1">COUNTIFS(unit_details[Leased Date], "&gt;=" &amp; ($U$2 - Q$5),
          unit_details[Leased Date], "&lt;" &amp; $U$2,
          unit_details[Floorplan Name], INDIRECT("C"&amp;ROW()),
          unit_details[Property Name], INDIRECT("B"&amp;ROW()))</f>
        <v>0</v>
      </c>
      <c r="T31" s="531" t="str" cm="1">
        <f t="array" aca="1" ref="T3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 s="552" t="str" cm="1">
        <f t="array" aca="1" ref="U3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 s="526" cm="1">
        <f t="array" aca="1" ref="V31" ca="1">COUNTIFS(unit_details[Leased Date], "&gt;=" &amp; ($U$2 - T$5),
          unit_details[Leased Date], "&lt;" &amp; $U$2,
          unit_details[Floorplan Name], INDIRECT("C"&amp;ROW()),
          unit_details[Property Name], INDIRECT("B"&amp;ROW()))</f>
        <v>0</v>
      </c>
      <c r="W31" s="531" t="str" cm="1">
        <f t="array" aca="1" ref="W3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 s="552" t="str" cm="1">
        <f t="array" aca="1" ref="X3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 s="27" t="str">
        <f t="shared" ca="1" si="0"/>
        <v/>
      </c>
      <c r="Z31" s="4" t="str">
        <f>IFERROR($U$2-AVERAGEIFS(unit_details[First Listed],
          unit_details[Active Listing?],TRUE,
          unit_details[Property Name], $B31,
          unit_details[Beds], $D31,
          unit_details[Baths], $E31,
          unit_details[Partial Baths], IF(ISNUMBER($F31),$F31,""),
          unit_details[Floorplan Name],$C31
),"")</f>
        <v/>
      </c>
      <c r="AA31" s="262" cm="1">
        <f t="array" aca="1" ref="AA31" ca="1">COUNTIFS(unit_details[Active Listing?],TRUE,
          unit_details[Floorplan Name], INDIRECT("C"&amp;ROW()),
          unit_details[Property Name], INDIRECT("B"&amp;ROW()))</f>
        <v>0</v>
      </c>
      <c r="AB31" s="553"/>
      <c r="AC31" s="528" cm="1">
        <f t="array" aca="1" ref="AC31" ca="1">IFERROR(AVERAGEIFS(
  unit_details[Sqft],
  unit_details[Property Name], INDIRECT("B"&amp;ROW()),
  unit_details[Floorplan Name], INDIRECT("C"&amp;ROW()),
  unit_details[Beds], INDIRECT("D"&amp;ROW()),
  unit_details[Detected Unit Amenities], "*"&amp;$AD$3&amp;"*",
  unit_details[Leased Date], "&gt;=" &amp; ($U$2 - $AF$3)
),0)</f>
        <v>0</v>
      </c>
      <c r="AD31" s="527" cm="1">
        <f t="array" aca="1" ref="AD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 s="526" cm="1">
        <f t="array" aca="1" ref="AE31" ca="1">IFERROR(COUNTIFS(
  unit_details[Property Name], INDIRECT("B"&amp;ROW()),
  unit_details[Floorplan Name], INDIRECT("C"&amp;ROW()),
  unit_details[Beds], INDIRECT("D"&amp;ROW()),
  unit_details[Detected Unit Amenities], "*"&amp;$AD$3&amp;"*",
  unit_details[Leased Date], "&gt;=" &amp; ($U$2 - $AF$3)
),0)</f>
        <v>0</v>
      </c>
      <c r="AF31" s="528" cm="1">
        <f t="array" aca="1" ref="AF31" ca="1">IFERROR(AVERAGEIFS(
  unit_details[Sqft],
  unit_details[Property Name], INDIRECT("B"&amp;ROW()),
  unit_details[Floorplan Name], INDIRECT("C"&amp;ROW()),
  unit_details[Beds], INDIRECT("D"&amp;ROW()),
  unit_details[Detected Unit Amenities], "&lt;&gt;*"&amp;$AD$3&amp;"*",
  unit_details[Leased Date], "&gt;=" &amp; ($U$2 - $AF$3)
),0)</f>
        <v>0</v>
      </c>
      <c r="AG31" s="527" cm="1">
        <f t="array" aca="1" ref="AG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 s="526" cm="1">
        <f t="array" aca="1" ref="AH31" ca="1">IFERROR(COUNTIFS(
  unit_details[Property Name], INDIRECT("B"&amp;ROW()),
  unit_details[Floorplan Name], INDIRECT("C"&amp;ROW()),
  unit_details[Beds], INDIRECT("D"&amp;ROW()),
  unit_details[Detected Unit Amenities], "&lt;&gt;*"&amp;$AD$3&amp;"*",
  unit_details[Leased Date], "&gt;=" &amp; ($U$2 - $AF$3)
),0)</f>
        <v>0</v>
      </c>
      <c r="AI31" s="528"/>
      <c r="AJ31" s="531">
        <f t="shared" ca="1" si="1"/>
        <v>0</v>
      </c>
      <c r="AK31" s="532">
        <f t="shared" ca="1" si="2"/>
        <v>0</v>
      </c>
    </row>
    <row r="32" spans="2:37" x14ac:dyDescent="0.2">
      <c r="B32" s="1" t="s">
        <v>498</v>
      </c>
      <c r="C32" s="53" t="s">
        <v>405</v>
      </c>
      <c r="D32" s="4">
        <v>2</v>
      </c>
      <c r="E32" s="262">
        <v>1</v>
      </c>
      <c r="F32" s="262"/>
      <c r="H32" s="4">
        <v>64.5</v>
      </c>
      <c r="I32" s="4">
        <v>792</v>
      </c>
      <c r="J32" s="293">
        <v>1200</v>
      </c>
      <c r="K32" s="6">
        <v>1.5151515151515151</v>
      </c>
      <c r="L32" s="5">
        <v>1200</v>
      </c>
      <c r="M32" s="6">
        <v>1.5151515151515151</v>
      </c>
      <c r="N32" s="531" t="str" cm="1">
        <f t="array" aca="1" ref="N3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 s="552" t="str" cm="1">
        <f t="array" aca="1" ref="O3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 s="526" cm="1">
        <f t="array" aca="1" ref="P32" ca="1">COUNTIFS(unit_details[Leased Date], "&gt;=" &amp; ($U$2 - N$5),
          unit_details[Leased Date], "&lt;" &amp; $U$2,
          unit_details[Floorplan Name], INDIRECT("C"&amp;ROW()),
          unit_details[Property Name], INDIRECT("B"&amp;ROW()))</f>
        <v>0</v>
      </c>
      <c r="Q32" s="531" t="str" cm="1">
        <f t="array" aca="1" ref="Q3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 s="552" t="str" cm="1">
        <f t="array" aca="1" ref="R3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 s="526" cm="1">
        <f t="array" aca="1" ref="S32" ca="1">COUNTIFS(unit_details[Leased Date], "&gt;=" &amp; ($U$2 - Q$5),
          unit_details[Leased Date], "&lt;" &amp; $U$2,
          unit_details[Floorplan Name], INDIRECT("C"&amp;ROW()),
          unit_details[Property Name], INDIRECT("B"&amp;ROW()))</f>
        <v>0</v>
      </c>
      <c r="T32" s="531" t="str" cm="1">
        <f t="array" aca="1" ref="T3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 s="552" t="str" cm="1">
        <f t="array" aca="1" ref="U3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 s="526" cm="1">
        <f t="array" aca="1" ref="V32" ca="1">COUNTIFS(unit_details[Leased Date], "&gt;=" &amp; ($U$2 - T$5),
          unit_details[Leased Date], "&lt;" &amp; $U$2,
          unit_details[Floorplan Name], INDIRECT("C"&amp;ROW()),
          unit_details[Property Name], INDIRECT("B"&amp;ROW()))</f>
        <v>0</v>
      </c>
      <c r="W32" s="531" cm="1">
        <f t="array" aca="1" ref="W3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1200</v>
      </c>
      <c r="X32" s="552" cm="1">
        <f t="array" aca="1" ref="X3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1200</v>
      </c>
      <c r="Y32" s="27">
        <f t="shared" ca="1" si="0"/>
        <v>0</v>
      </c>
      <c r="Z32" s="4">
        <f>IFERROR($U$2-AVERAGEIFS(unit_details[First Listed],
          unit_details[Active Listing?],TRUE,
          unit_details[Property Name], $B32,
          unit_details[Beds], $D32,
          unit_details[Baths], $E32,
          unit_details[Partial Baths], IF(ISNUMBER($F32),$F32,""),
          unit_details[Floorplan Name],$C32
),"")</f>
        <v>80</v>
      </c>
      <c r="AA32" s="262" cm="1">
        <f t="array" aca="1" ref="AA32" ca="1">COUNTIFS(unit_details[Active Listing?],TRUE,
          unit_details[Floorplan Name], INDIRECT("C"&amp;ROW()),
          unit_details[Property Name], INDIRECT("B"&amp;ROW()))</f>
        <v>1</v>
      </c>
      <c r="AB32" s="553"/>
      <c r="AC32" s="528" cm="1">
        <f t="array" aca="1" ref="AC32" ca="1">IFERROR(AVERAGEIFS(
  unit_details[Sqft],
  unit_details[Property Name], INDIRECT("B"&amp;ROW()),
  unit_details[Floorplan Name], INDIRECT("C"&amp;ROW()),
  unit_details[Beds], INDIRECT("D"&amp;ROW()),
  unit_details[Detected Unit Amenities], "*"&amp;$AD$3&amp;"*",
  unit_details[Leased Date], "&gt;=" &amp; ($U$2 - $AF$3)
),0)</f>
        <v>0</v>
      </c>
      <c r="AD32" s="527" cm="1">
        <f t="array" aca="1" ref="AD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 s="526" cm="1">
        <f t="array" aca="1" ref="AE32" ca="1">IFERROR(COUNTIFS(
  unit_details[Property Name], INDIRECT("B"&amp;ROW()),
  unit_details[Floorplan Name], INDIRECT("C"&amp;ROW()),
  unit_details[Beds], INDIRECT("D"&amp;ROW()),
  unit_details[Detected Unit Amenities], "*"&amp;$AD$3&amp;"*",
  unit_details[Leased Date], "&gt;=" &amp; ($U$2 - $AF$3)
),0)</f>
        <v>0</v>
      </c>
      <c r="AF32" s="528" cm="1">
        <f t="array" aca="1" ref="AF32" ca="1">IFERROR(AVERAGEIFS(
  unit_details[Sqft],
  unit_details[Property Name], INDIRECT("B"&amp;ROW()),
  unit_details[Floorplan Name], INDIRECT("C"&amp;ROW()),
  unit_details[Beds], INDIRECT("D"&amp;ROW()),
  unit_details[Detected Unit Amenities], "&lt;&gt;*"&amp;$AD$3&amp;"*",
  unit_details[Leased Date], "&gt;=" &amp; ($U$2 - $AF$3)
),0)</f>
        <v>792</v>
      </c>
      <c r="AG32" s="527" cm="1">
        <f t="array" aca="1" ref="AG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1200</v>
      </c>
      <c r="AH32" s="526" cm="1">
        <f t="array" aca="1" ref="AH32" ca="1">IFERROR(COUNTIFS(
  unit_details[Property Name], INDIRECT("B"&amp;ROW()),
  unit_details[Floorplan Name], INDIRECT("C"&amp;ROW()),
  unit_details[Beds], INDIRECT("D"&amp;ROW()),
  unit_details[Detected Unit Amenities], "&lt;&gt;*"&amp;$AD$3&amp;"*",
  unit_details[Leased Date], "&gt;=" &amp; ($U$2 - $AF$3)
),0)</f>
        <v>1</v>
      </c>
      <c r="AI32" s="528"/>
      <c r="AJ32" s="531">
        <f t="shared" ca="1" si="1"/>
        <v>0</v>
      </c>
      <c r="AK32" s="532">
        <f t="shared" ca="1" si="2"/>
        <v>0</v>
      </c>
    </row>
    <row r="33" spans="2:37" x14ac:dyDescent="0.2">
      <c r="B33" s="1"/>
      <c r="C33" s="53" t="s">
        <v>405</v>
      </c>
      <c r="D33" s="4">
        <v>2</v>
      </c>
      <c r="E33" s="262">
        <v>1</v>
      </c>
      <c r="F33" s="262"/>
      <c r="G33" s="4">
        <v>1</v>
      </c>
      <c r="H33" s="4">
        <v>59.4</v>
      </c>
      <c r="I33" s="4">
        <v>835</v>
      </c>
      <c r="J33" s="293">
        <v>1200</v>
      </c>
      <c r="K33" s="6">
        <v>1.437125748502994</v>
      </c>
      <c r="L33" s="5">
        <v>1200</v>
      </c>
      <c r="M33" s="6">
        <v>1.437125748502994</v>
      </c>
      <c r="N33" s="531" t="str" cm="1">
        <f t="array" aca="1" ref="N3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 s="552" t="str" cm="1">
        <f t="array" aca="1" ref="O3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 s="526" cm="1">
        <f t="array" aca="1" ref="P33" ca="1">COUNTIFS(unit_details[Leased Date], "&gt;=" &amp; ($U$2 - N$5),
          unit_details[Leased Date], "&lt;" &amp; $U$2,
          unit_details[Floorplan Name], INDIRECT("C"&amp;ROW()),
          unit_details[Property Name], INDIRECT("B"&amp;ROW()))</f>
        <v>0</v>
      </c>
      <c r="Q33" s="531" t="str" cm="1">
        <f t="array" aca="1" ref="Q3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 s="552" t="str" cm="1">
        <f t="array" aca="1" ref="R3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 s="526" cm="1">
        <f t="array" aca="1" ref="S33" ca="1">COUNTIFS(unit_details[Leased Date], "&gt;=" &amp; ($U$2 - Q$5),
          unit_details[Leased Date], "&lt;" &amp; $U$2,
          unit_details[Floorplan Name], INDIRECT("C"&amp;ROW()),
          unit_details[Property Name], INDIRECT("B"&amp;ROW()))</f>
        <v>0</v>
      </c>
      <c r="T33" s="531" t="str" cm="1">
        <f t="array" aca="1" ref="T3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 s="552" t="str" cm="1">
        <f t="array" aca="1" ref="U3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 s="526" cm="1">
        <f t="array" aca="1" ref="V33" ca="1">COUNTIFS(unit_details[Leased Date], "&gt;=" &amp; ($U$2 - T$5),
          unit_details[Leased Date], "&lt;" &amp; $U$2,
          unit_details[Floorplan Name], INDIRECT("C"&amp;ROW()),
          unit_details[Property Name], INDIRECT("B"&amp;ROW()))</f>
        <v>0</v>
      </c>
      <c r="W33" s="531" t="str" cm="1">
        <f t="array" aca="1" ref="W3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 s="552" t="str" cm="1">
        <f t="array" aca="1" ref="X3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 s="27" t="str">
        <f t="shared" ca="1" si="0"/>
        <v/>
      </c>
      <c r="Z33" s="4" t="str">
        <f>IFERROR($U$2-AVERAGEIFS(unit_details[First Listed],
          unit_details[Active Listing?],TRUE,
          unit_details[Property Name], $B33,
          unit_details[Beds], $D33,
          unit_details[Baths], $E33,
          unit_details[Partial Baths], IF(ISNUMBER($F33),$F33,""),
          unit_details[Floorplan Name],$C33
),"")</f>
        <v/>
      </c>
      <c r="AA33" s="262" cm="1">
        <f t="array" aca="1" ref="AA33" ca="1">COUNTIFS(unit_details[Active Listing?],TRUE,
          unit_details[Floorplan Name], INDIRECT("C"&amp;ROW()),
          unit_details[Property Name], INDIRECT("B"&amp;ROW()))</f>
        <v>0</v>
      </c>
      <c r="AB33" s="553"/>
      <c r="AC33" s="528" cm="1">
        <f t="array" aca="1" ref="AC33" ca="1">IFERROR(AVERAGEIFS(
  unit_details[Sqft],
  unit_details[Property Name], INDIRECT("B"&amp;ROW()),
  unit_details[Floorplan Name], INDIRECT("C"&amp;ROW()),
  unit_details[Beds], INDIRECT("D"&amp;ROW()),
  unit_details[Detected Unit Amenities], "*"&amp;$AD$3&amp;"*",
  unit_details[Leased Date], "&gt;=" &amp; ($U$2 - $AF$3)
),0)</f>
        <v>0</v>
      </c>
      <c r="AD33" s="527" cm="1">
        <f t="array" aca="1" ref="AD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 s="526" cm="1">
        <f t="array" aca="1" ref="AE33" ca="1">IFERROR(COUNTIFS(
  unit_details[Property Name], INDIRECT("B"&amp;ROW()),
  unit_details[Floorplan Name], INDIRECT("C"&amp;ROW()),
  unit_details[Beds], INDIRECT("D"&amp;ROW()),
  unit_details[Detected Unit Amenities], "*"&amp;$AD$3&amp;"*",
  unit_details[Leased Date], "&gt;=" &amp; ($U$2 - $AF$3)
),0)</f>
        <v>0</v>
      </c>
      <c r="AF33" s="528" cm="1">
        <f t="array" aca="1" ref="AF33" ca="1">IFERROR(AVERAGEIFS(
  unit_details[Sqft],
  unit_details[Property Name], INDIRECT("B"&amp;ROW()),
  unit_details[Floorplan Name], INDIRECT("C"&amp;ROW()),
  unit_details[Beds], INDIRECT("D"&amp;ROW()),
  unit_details[Detected Unit Amenities], "&lt;&gt;*"&amp;$AD$3&amp;"*",
  unit_details[Leased Date], "&gt;=" &amp; ($U$2 - $AF$3)
),0)</f>
        <v>0</v>
      </c>
      <c r="AG33" s="527" cm="1">
        <f t="array" aca="1" ref="AG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 s="526" cm="1">
        <f t="array" aca="1" ref="AH33" ca="1">IFERROR(COUNTIFS(
  unit_details[Property Name], INDIRECT("B"&amp;ROW()),
  unit_details[Floorplan Name], INDIRECT("C"&amp;ROW()),
  unit_details[Beds], INDIRECT("D"&amp;ROW()),
  unit_details[Detected Unit Amenities], "&lt;&gt;*"&amp;$AD$3&amp;"*",
  unit_details[Leased Date], "&gt;=" &amp; ($U$2 - $AF$3)
),0)</f>
        <v>0</v>
      </c>
      <c r="AI33" s="528"/>
      <c r="AJ33" s="531">
        <f t="shared" ca="1" si="1"/>
        <v>0</v>
      </c>
      <c r="AK33" s="532">
        <f t="shared" ca="1" si="2"/>
        <v>0</v>
      </c>
    </row>
    <row r="34" spans="2:37" x14ac:dyDescent="0.2">
      <c r="B34" s="1"/>
      <c r="C34" s="53" t="s">
        <v>545</v>
      </c>
      <c r="D34" s="4">
        <v>2</v>
      </c>
      <c r="E34" s="262">
        <v>1</v>
      </c>
      <c r="F34" s="262"/>
      <c r="G34" s="4">
        <v>0</v>
      </c>
      <c r="H34" s="4">
        <v>36</v>
      </c>
      <c r="I34" s="4">
        <v>835</v>
      </c>
      <c r="J34" s="293">
        <v>1200</v>
      </c>
      <c r="K34" s="6">
        <v>1.437125748502994</v>
      </c>
      <c r="L34" s="5">
        <v>1200</v>
      </c>
      <c r="M34" s="6">
        <v>1.437125748502994</v>
      </c>
      <c r="N34" s="531" t="str" cm="1">
        <f t="array" aca="1" ref="N3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 s="552" t="str" cm="1">
        <f t="array" aca="1" ref="O3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 s="526" cm="1">
        <f t="array" aca="1" ref="P34" ca="1">COUNTIFS(unit_details[Leased Date], "&gt;=" &amp; ($U$2 - N$5),
          unit_details[Leased Date], "&lt;" &amp; $U$2,
          unit_details[Floorplan Name], INDIRECT("C"&amp;ROW()),
          unit_details[Property Name], INDIRECT("B"&amp;ROW()))</f>
        <v>0</v>
      </c>
      <c r="Q34" s="531" t="str" cm="1">
        <f t="array" aca="1" ref="Q3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 s="552" t="str" cm="1">
        <f t="array" aca="1" ref="R3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 s="526" cm="1">
        <f t="array" aca="1" ref="S34" ca="1">COUNTIFS(unit_details[Leased Date], "&gt;=" &amp; ($U$2 - Q$5),
          unit_details[Leased Date], "&lt;" &amp; $U$2,
          unit_details[Floorplan Name], INDIRECT("C"&amp;ROW()),
          unit_details[Property Name], INDIRECT("B"&amp;ROW()))</f>
        <v>0</v>
      </c>
      <c r="T34" s="531" t="str" cm="1">
        <f t="array" aca="1" ref="T3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 s="552" t="str" cm="1">
        <f t="array" aca="1" ref="U3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 s="526" cm="1">
        <f t="array" aca="1" ref="V34" ca="1">COUNTIFS(unit_details[Leased Date], "&gt;=" &amp; ($U$2 - T$5),
          unit_details[Leased Date], "&lt;" &amp; $U$2,
          unit_details[Floorplan Name], INDIRECT("C"&amp;ROW()),
          unit_details[Property Name], INDIRECT("B"&amp;ROW()))</f>
        <v>0</v>
      </c>
      <c r="W34" s="531" t="str" cm="1">
        <f t="array" aca="1" ref="W3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 s="552" t="str" cm="1">
        <f t="array" aca="1" ref="X3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 s="27" t="str">
        <f t="shared" ca="1" si="0"/>
        <v/>
      </c>
      <c r="Z34" s="4" t="str">
        <f>IFERROR($U$2-AVERAGEIFS(unit_details[First Listed],
          unit_details[Active Listing?],TRUE,
          unit_details[Property Name], $B34,
          unit_details[Beds], $D34,
          unit_details[Baths], $E34,
          unit_details[Partial Baths], IF(ISNUMBER($F34),$F34,""),
          unit_details[Floorplan Name],$C34
),"")</f>
        <v/>
      </c>
      <c r="AA34" s="262" cm="1">
        <f t="array" aca="1" ref="AA34" ca="1">COUNTIFS(unit_details[Active Listing?],TRUE,
          unit_details[Floorplan Name], INDIRECT("C"&amp;ROW()),
          unit_details[Property Name], INDIRECT("B"&amp;ROW()))</f>
        <v>0</v>
      </c>
      <c r="AB34" s="553"/>
      <c r="AC34" s="528" cm="1">
        <f t="array" aca="1" ref="AC34" ca="1">IFERROR(AVERAGEIFS(
  unit_details[Sqft],
  unit_details[Property Name], INDIRECT("B"&amp;ROW()),
  unit_details[Floorplan Name], INDIRECT("C"&amp;ROW()),
  unit_details[Beds], INDIRECT("D"&amp;ROW()),
  unit_details[Detected Unit Amenities], "*"&amp;$AD$3&amp;"*",
  unit_details[Leased Date], "&gt;=" &amp; ($U$2 - $AF$3)
),0)</f>
        <v>0</v>
      </c>
      <c r="AD34" s="527" cm="1">
        <f t="array" aca="1" ref="AD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 s="526" cm="1">
        <f t="array" aca="1" ref="AE34" ca="1">IFERROR(COUNTIFS(
  unit_details[Property Name], INDIRECT("B"&amp;ROW()),
  unit_details[Floorplan Name], INDIRECT("C"&amp;ROW()),
  unit_details[Beds], INDIRECT("D"&amp;ROW()),
  unit_details[Detected Unit Amenities], "*"&amp;$AD$3&amp;"*",
  unit_details[Leased Date], "&gt;=" &amp; ($U$2 - $AF$3)
),0)</f>
        <v>0</v>
      </c>
      <c r="AF34" s="528" cm="1">
        <f t="array" aca="1" ref="AF34" ca="1">IFERROR(AVERAGEIFS(
  unit_details[Sqft],
  unit_details[Property Name], INDIRECT("B"&amp;ROW()),
  unit_details[Floorplan Name], INDIRECT("C"&amp;ROW()),
  unit_details[Beds], INDIRECT("D"&amp;ROW()),
  unit_details[Detected Unit Amenities], "&lt;&gt;*"&amp;$AD$3&amp;"*",
  unit_details[Leased Date], "&gt;=" &amp; ($U$2 - $AF$3)
),0)</f>
        <v>0</v>
      </c>
      <c r="AG34" s="527" cm="1">
        <f t="array" aca="1" ref="AG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 s="526" cm="1">
        <f t="array" aca="1" ref="AH34" ca="1">IFERROR(COUNTIFS(
  unit_details[Property Name], INDIRECT("B"&amp;ROW()),
  unit_details[Floorplan Name], INDIRECT("C"&amp;ROW()),
  unit_details[Beds], INDIRECT("D"&amp;ROW()),
  unit_details[Detected Unit Amenities], "&lt;&gt;*"&amp;$AD$3&amp;"*",
  unit_details[Leased Date], "&gt;=" &amp; ($U$2 - $AF$3)
),0)</f>
        <v>0</v>
      </c>
      <c r="AI34" s="528"/>
      <c r="AJ34" s="531">
        <f t="shared" ca="1" si="1"/>
        <v>0</v>
      </c>
      <c r="AK34" s="532">
        <f t="shared" ca="1" si="2"/>
        <v>0</v>
      </c>
    </row>
    <row r="35" spans="2:37" x14ac:dyDescent="0.2">
      <c r="B35" s="1"/>
      <c r="C35" s="53" t="s">
        <v>546</v>
      </c>
      <c r="D35" s="4">
        <v>2</v>
      </c>
      <c r="E35" s="262">
        <v>1</v>
      </c>
      <c r="F35" s="262"/>
      <c r="G35" s="4">
        <v>0</v>
      </c>
      <c r="H35" s="4">
        <v>36</v>
      </c>
      <c r="I35" s="4">
        <v>835</v>
      </c>
      <c r="J35" s="293">
        <v>1200</v>
      </c>
      <c r="K35" s="6">
        <v>1.437125748502994</v>
      </c>
      <c r="L35" s="5">
        <v>1200</v>
      </c>
      <c r="M35" s="6">
        <v>1.437125748502994</v>
      </c>
      <c r="N35" s="531" t="str" cm="1">
        <f t="array" aca="1" ref="N3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 s="552" t="str" cm="1">
        <f t="array" aca="1" ref="O3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 s="526" cm="1">
        <f t="array" aca="1" ref="P35" ca="1">COUNTIFS(unit_details[Leased Date], "&gt;=" &amp; ($U$2 - N$5),
          unit_details[Leased Date], "&lt;" &amp; $U$2,
          unit_details[Floorplan Name], INDIRECT("C"&amp;ROW()),
          unit_details[Property Name], INDIRECT("B"&amp;ROW()))</f>
        <v>0</v>
      </c>
      <c r="Q35" s="531" t="str" cm="1">
        <f t="array" aca="1" ref="Q3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 s="552" t="str" cm="1">
        <f t="array" aca="1" ref="R3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 s="526" cm="1">
        <f t="array" aca="1" ref="S35" ca="1">COUNTIFS(unit_details[Leased Date], "&gt;=" &amp; ($U$2 - Q$5),
          unit_details[Leased Date], "&lt;" &amp; $U$2,
          unit_details[Floorplan Name], INDIRECT("C"&amp;ROW()),
          unit_details[Property Name], INDIRECT("B"&amp;ROW()))</f>
        <v>0</v>
      </c>
      <c r="T35" s="531" t="str" cm="1">
        <f t="array" aca="1" ref="T3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 s="552" t="str" cm="1">
        <f t="array" aca="1" ref="U3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 s="526" cm="1">
        <f t="array" aca="1" ref="V35" ca="1">COUNTIFS(unit_details[Leased Date], "&gt;=" &amp; ($U$2 - T$5),
          unit_details[Leased Date], "&lt;" &amp; $U$2,
          unit_details[Floorplan Name], INDIRECT("C"&amp;ROW()),
          unit_details[Property Name], INDIRECT("B"&amp;ROW()))</f>
        <v>0</v>
      </c>
      <c r="W35" s="531" t="str" cm="1">
        <f t="array" aca="1" ref="W3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 s="552" t="str" cm="1">
        <f t="array" aca="1" ref="X3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 s="27" t="str">
        <f t="shared" ca="1" si="0"/>
        <v/>
      </c>
      <c r="Z35" s="4" t="str">
        <f>IFERROR($U$2-AVERAGEIFS(unit_details[First Listed],
          unit_details[Active Listing?],TRUE,
          unit_details[Property Name], $B35,
          unit_details[Beds], $D35,
          unit_details[Baths], $E35,
          unit_details[Partial Baths], IF(ISNUMBER($F35),$F35,""),
          unit_details[Floorplan Name],$C35
),"")</f>
        <v/>
      </c>
      <c r="AA35" s="262" cm="1">
        <f t="array" aca="1" ref="AA35" ca="1">COUNTIFS(unit_details[Active Listing?],TRUE,
          unit_details[Floorplan Name], INDIRECT("C"&amp;ROW()),
          unit_details[Property Name], INDIRECT("B"&amp;ROW()))</f>
        <v>0</v>
      </c>
      <c r="AB35" s="553"/>
      <c r="AC35" s="528" cm="1">
        <f t="array" aca="1" ref="AC35" ca="1">IFERROR(AVERAGEIFS(
  unit_details[Sqft],
  unit_details[Property Name], INDIRECT("B"&amp;ROW()),
  unit_details[Floorplan Name], INDIRECT("C"&amp;ROW()),
  unit_details[Beds], INDIRECT("D"&amp;ROW()),
  unit_details[Detected Unit Amenities], "*"&amp;$AD$3&amp;"*",
  unit_details[Leased Date], "&gt;=" &amp; ($U$2 - $AF$3)
),0)</f>
        <v>0</v>
      </c>
      <c r="AD35" s="527" cm="1">
        <f t="array" aca="1" ref="AD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 s="526" cm="1">
        <f t="array" aca="1" ref="AE35" ca="1">IFERROR(COUNTIFS(
  unit_details[Property Name], INDIRECT("B"&amp;ROW()),
  unit_details[Floorplan Name], INDIRECT("C"&amp;ROW()),
  unit_details[Beds], INDIRECT("D"&amp;ROW()),
  unit_details[Detected Unit Amenities], "*"&amp;$AD$3&amp;"*",
  unit_details[Leased Date], "&gt;=" &amp; ($U$2 - $AF$3)
),0)</f>
        <v>0</v>
      </c>
      <c r="AF35" s="528" cm="1">
        <f t="array" aca="1" ref="AF35" ca="1">IFERROR(AVERAGEIFS(
  unit_details[Sqft],
  unit_details[Property Name], INDIRECT("B"&amp;ROW()),
  unit_details[Floorplan Name], INDIRECT("C"&amp;ROW()),
  unit_details[Beds], INDIRECT("D"&amp;ROW()),
  unit_details[Detected Unit Amenities], "&lt;&gt;*"&amp;$AD$3&amp;"*",
  unit_details[Leased Date], "&gt;=" &amp; ($U$2 - $AF$3)
),0)</f>
        <v>0</v>
      </c>
      <c r="AG35" s="527" cm="1">
        <f t="array" aca="1" ref="AG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 s="526" cm="1">
        <f t="array" aca="1" ref="AH35" ca="1">IFERROR(COUNTIFS(
  unit_details[Property Name], INDIRECT("B"&amp;ROW()),
  unit_details[Floorplan Name], INDIRECT("C"&amp;ROW()),
  unit_details[Beds], INDIRECT("D"&amp;ROW()),
  unit_details[Detected Unit Amenities], "&lt;&gt;*"&amp;$AD$3&amp;"*",
  unit_details[Leased Date], "&gt;=" &amp; ($U$2 - $AF$3)
),0)</f>
        <v>0</v>
      </c>
      <c r="AI35" s="528"/>
      <c r="AJ35" s="531">
        <f t="shared" ca="1" si="1"/>
        <v>0</v>
      </c>
      <c r="AK35" s="532">
        <f t="shared" ca="1" si="2"/>
        <v>0</v>
      </c>
    </row>
    <row r="36" spans="2:37" x14ac:dyDescent="0.2">
      <c r="B36" s="1"/>
      <c r="C36" s="53" t="s">
        <v>405</v>
      </c>
      <c r="D36" s="4">
        <v>1</v>
      </c>
      <c r="E36" s="262">
        <v>1</v>
      </c>
      <c r="F36" s="262"/>
      <c r="H36" s="4">
        <v>33</v>
      </c>
      <c r="I36" s="4">
        <v>500</v>
      </c>
      <c r="J36" s="293">
        <v>1100</v>
      </c>
      <c r="K36" s="6">
        <v>2.2000000000000002</v>
      </c>
      <c r="L36" s="5">
        <v>1100</v>
      </c>
      <c r="M36" s="6">
        <v>2.2000000000000002</v>
      </c>
      <c r="N36" s="531" t="str" cm="1">
        <f t="array" aca="1" ref="N3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 s="552" t="str" cm="1">
        <f t="array" aca="1" ref="O3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 s="526" cm="1">
        <f t="array" aca="1" ref="P36" ca="1">COUNTIFS(unit_details[Leased Date], "&gt;=" &amp; ($U$2 - N$5),
          unit_details[Leased Date], "&lt;" &amp; $U$2,
          unit_details[Floorplan Name], INDIRECT("C"&amp;ROW()),
          unit_details[Property Name], INDIRECT("B"&amp;ROW()))</f>
        <v>0</v>
      </c>
      <c r="Q36" s="531" t="str" cm="1">
        <f t="array" aca="1" ref="Q3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 s="552" t="str" cm="1">
        <f t="array" aca="1" ref="R3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 s="526" cm="1">
        <f t="array" aca="1" ref="S36" ca="1">COUNTIFS(unit_details[Leased Date], "&gt;=" &amp; ($U$2 - Q$5),
          unit_details[Leased Date], "&lt;" &amp; $U$2,
          unit_details[Floorplan Name], INDIRECT("C"&amp;ROW()),
          unit_details[Property Name], INDIRECT("B"&amp;ROW()))</f>
        <v>0</v>
      </c>
      <c r="T36" s="531" t="str" cm="1">
        <f t="array" aca="1" ref="T3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 s="552" t="str" cm="1">
        <f t="array" aca="1" ref="U3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 s="526" cm="1">
        <f t="array" aca="1" ref="V36" ca="1">COUNTIFS(unit_details[Leased Date], "&gt;=" &amp; ($U$2 - T$5),
          unit_details[Leased Date], "&lt;" &amp; $U$2,
          unit_details[Floorplan Name], INDIRECT("C"&amp;ROW()),
          unit_details[Property Name], INDIRECT("B"&amp;ROW()))</f>
        <v>0</v>
      </c>
      <c r="W36" s="531" t="str" cm="1">
        <f t="array" aca="1" ref="W3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 s="552" t="str" cm="1">
        <f t="array" aca="1" ref="X3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 s="27" t="str">
        <f t="shared" ca="1" si="0"/>
        <v/>
      </c>
      <c r="Z36" s="4" t="str">
        <f>IFERROR($U$2-AVERAGEIFS(unit_details[First Listed],
          unit_details[Active Listing?],TRUE,
          unit_details[Property Name], $B36,
          unit_details[Beds], $D36,
          unit_details[Baths], $E36,
          unit_details[Partial Baths], IF(ISNUMBER($F36),$F36,""),
          unit_details[Floorplan Name],$C36
),"")</f>
        <v/>
      </c>
      <c r="AA36" s="262" cm="1">
        <f t="array" aca="1" ref="AA36" ca="1">COUNTIFS(unit_details[Active Listing?],TRUE,
          unit_details[Floorplan Name], INDIRECT("C"&amp;ROW()),
          unit_details[Property Name], INDIRECT("B"&amp;ROW()))</f>
        <v>0</v>
      </c>
      <c r="AB36" s="553"/>
      <c r="AC36" s="528" cm="1">
        <f t="array" aca="1" ref="AC36" ca="1">IFERROR(AVERAGEIFS(
  unit_details[Sqft],
  unit_details[Property Name], INDIRECT("B"&amp;ROW()),
  unit_details[Floorplan Name], INDIRECT("C"&amp;ROW()),
  unit_details[Beds], INDIRECT("D"&amp;ROW()),
  unit_details[Detected Unit Amenities], "*"&amp;$AD$3&amp;"*",
  unit_details[Leased Date], "&gt;=" &amp; ($U$2 - $AF$3)
),0)</f>
        <v>0</v>
      </c>
      <c r="AD36" s="527" cm="1">
        <f t="array" aca="1" ref="AD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 s="526" cm="1">
        <f t="array" aca="1" ref="AE36" ca="1">IFERROR(COUNTIFS(
  unit_details[Property Name], INDIRECT("B"&amp;ROW()),
  unit_details[Floorplan Name], INDIRECT("C"&amp;ROW()),
  unit_details[Beds], INDIRECT("D"&amp;ROW()),
  unit_details[Detected Unit Amenities], "*"&amp;$AD$3&amp;"*",
  unit_details[Leased Date], "&gt;=" &amp; ($U$2 - $AF$3)
),0)</f>
        <v>0</v>
      </c>
      <c r="AF36" s="528" cm="1">
        <f t="array" aca="1" ref="AF36" ca="1">IFERROR(AVERAGEIFS(
  unit_details[Sqft],
  unit_details[Property Name], INDIRECT("B"&amp;ROW()),
  unit_details[Floorplan Name], INDIRECT("C"&amp;ROW()),
  unit_details[Beds], INDIRECT("D"&amp;ROW()),
  unit_details[Detected Unit Amenities], "&lt;&gt;*"&amp;$AD$3&amp;"*",
  unit_details[Leased Date], "&gt;=" &amp; ($U$2 - $AF$3)
),0)</f>
        <v>0</v>
      </c>
      <c r="AG36" s="527" cm="1">
        <f t="array" aca="1" ref="AG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 s="526" cm="1">
        <f t="array" aca="1" ref="AH36" ca="1">IFERROR(COUNTIFS(
  unit_details[Property Name], INDIRECT("B"&amp;ROW()),
  unit_details[Floorplan Name], INDIRECT("C"&amp;ROW()),
  unit_details[Beds], INDIRECT("D"&amp;ROW()),
  unit_details[Detected Unit Amenities], "&lt;&gt;*"&amp;$AD$3&amp;"*",
  unit_details[Leased Date], "&gt;=" &amp; ($U$2 - $AF$3)
),0)</f>
        <v>0</v>
      </c>
      <c r="AI36" s="528"/>
      <c r="AJ36" s="531">
        <f t="shared" ca="1" si="1"/>
        <v>0</v>
      </c>
      <c r="AK36" s="532">
        <f t="shared" ca="1" si="2"/>
        <v>0</v>
      </c>
    </row>
    <row r="37" spans="2:37" x14ac:dyDescent="0.2">
      <c r="B37" s="1"/>
      <c r="C37" s="53" t="s">
        <v>405</v>
      </c>
      <c r="D37" s="4">
        <v>2</v>
      </c>
      <c r="E37" s="262">
        <v>1</v>
      </c>
      <c r="F37" s="262"/>
      <c r="H37" s="4">
        <v>18</v>
      </c>
      <c r="I37" s="4">
        <v>700</v>
      </c>
      <c r="J37" s="293">
        <v>1250</v>
      </c>
      <c r="K37" s="6">
        <v>1.7857142857142858</v>
      </c>
      <c r="L37" s="5">
        <v>1250</v>
      </c>
      <c r="M37" s="6">
        <v>1.7857142857142858</v>
      </c>
      <c r="N37" s="531" t="str" cm="1">
        <f t="array" aca="1" ref="N3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 s="552" t="str" cm="1">
        <f t="array" aca="1" ref="O3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 s="526" cm="1">
        <f t="array" aca="1" ref="P37" ca="1">COUNTIFS(unit_details[Leased Date], "&gt;=" &amp; ($U$2 - N$5),
          unit_details[Leased Date], "&lt;" &amp; $U$2,
          unit_details[Floorplan Name], INDIRECT("C"&amp;ROW()),
          unit_details[Property Name], INDIRECT("B"&amp;ROW()))</f>
        <v>0</v>
      </c>
      <c r="Q37" s="531" t="str" cm="1">
        <f t="array" aca="1" ref="Q3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 s="552" t="str" cm="1">
        <f t="array" aca="1" ref="R3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 s="526" cm="1">
        <f t="array" aca="1" ref="S37" ca="1">COUNTIFS(unit_details[Leased Date], "&gt;=" &amp; ($U$2 - Q$5),
          unit_details[Leased Date], "&lt;" &amp; $U$2,
          unit_details[Floorplan Name], INDIRECT("C"&amp;ROW()),
          unit_details[Property Name], INDIRECT("B"&amp;ROW()))</f>
        <v>0</v>
      </c>
      <c r="T37" s="531" t="str" cm="1">
        <f t="array" aca="1" ref="T3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 s="552" t="str" cm="1">
        <f t="array" aca="1" ref="U3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 s="526" cm="1">
        <f t="array" aca="1" ref="V37" ca="1">COUNTIFS(unit_details[Leased Date], "&gt;=" &amp; ($U$2 - T$5),
          unit_details[Leased Date], "&lt;" &amp; $U$2,
          unit_details[Floorplan Name], INDIRECT("C"&amp;ROW()),
          unit_details[Property Name], INDIRECT("B"&amp;ROW()))</f>
        <v>0</v>
      </c>
      <c r="W37" s="531" t="str" cm="1">
        <f t="array" aca="1" ref="W3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 s="552" t="str" cm="1">
        <f t="array" aca="1" ref="X3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 s="27" t="str">
        <f t="shared" ca="1" si="0"/>
        <v/>
      </c>
      <c r="Z37" s="4" t="str">
        <f>IFERROR($U$2-AVERAGEIFS(unit_details[First Listed],
          unit_details[Active Listing?],TRUE,
          unit_details[Property Name], $B37,
          unit_details[Beds], $D37,
          unit_details[Baths], $E37,
          unit_details[Partial Baths], IF(ISNUMBER($F37),$F37,""),
          unit_details[Floorplan Name],$C37
),"")</f>
        <v/>
      </c>
      <c r="AA37" s="262" cm="1">
        <f t="array" aca="1" ref="AA37" ca="1">COUNTIFS(unit_details[Active Listing?],TRUE,
          unit_details[Floorplan Name], INDIRECT("C"&amp;ROW()),
          unit_details[Property Name], INDIRECT("B"&amp;ROW()))</f>
        <v>0</v>
      </c>
      <c r="AB37" s="553"/>
      <c r="AC37" s="528" cm="1">
        <f t="array" aca="1" ref="AC37" ca="1">IFERROR(AVERAGEIFS(
  unit_details[Sqft],
  unit_details[Property Name], INDIRECT("B"&amp;ROW()),
  unit_details[Floorplan Name], INDIRECT("C"&amp;ROW()),
  unit_details[Beds], INDIRECT("D"&amp;ROW()),
  unit_details[Detected Unit Amenities], "*"&amp;$AD$3&amp;"*",
  unit_details[Leased Date], "&gt;=" &amp; ($U$2 - $AF$3)
),0)</f>
        <v>0</v>
      </c>
      <c r="AD37" s="527" cm="1">
        <f t="array" aca="1" ref="AD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 s="526" cm="1">
        <f t="array" aca="1" ref="AE37" ca="1">IFERROR(COUNTIFS(
  unit_details[Property Name], INDIRECT("B"&amp;ROW()),
  unit_details[Floorplan Name], INDIRECT("C"&amp;ROW()),
  unit_details[Beds], INDIRECT("D"&amp;ROW()),
  unit_details[Detected Unit Amenities], "*"&amp;$AD$3&amp;"*",
  unit_details[Leased Date], "&gt;=" &amp; ($U$2 - $AF$3)
),0)</f>
        <v>0</v>
      </c>
      <c r="AF37" s="528" cm="1">
        <f t="array" aca="1" ref="AF37" ca="1">IFERROR(AVERAGEIFS(
  unit_details[Sqft],
  unit_details[Property Name], INDIRECT("B"&amp;ROW()),
  unit_details[Floorplan Name], INDIRECT("C"&amp;ROW()),
  unit_details[Beds], INDIRECT("D"&amp;ROW()),
  unit_details[Detected Unit Amenities], "&lt;&gt;*"&amp;$AD$3&amp;"*",
  unit_details[Leased Date], "&gt;=" &amp; ($U$2 - $AF$3)
),0)</f>
        <v>0</v>
      </c>
      <c r="AG37" s="527" cm="1">
        <f t="array" aca="1" ref="AG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 s="526" cm="1">
        <f t="array" aca="1" ref="AH37" ca="1">IFERROR(COUNTIFS(
  unit_details[Property Name], INDIRECT("B"&amp;ROW()),
  unit_details[Floorplan Name], INDIRECT("C"&amp;ROW()),
  unit_details[Beds], INDIRECT("D"&amp;ROW()),
  unit_details[Detected Unit Amenities], "&lt;&gt;*"&amp;$AD$3&amp;"*",
  unit_details[Leased Date], "&gt;=" &amp; ($U$2 - $AF$3)
),0)</f>
        <v>0</v>
      </c>
      <c r="AI37" s="528"/>
      <c r="AJ37" s="531">
        <f t="shared" ca="1" si="1"/>
        <v>0</v>
      </c>
      <c r="AK37" s="532">
        <f t="shared" ca="1" si="2"/>
        <v>0</v>
      </c>
    </row>
    <row r="38" spans="2:37" x14ac:dyDescent="0.2">
      <c r="B38" s="1"/>
      <c r="C38" s="53" t="s">
        <v>405</v>
      </c>
      <c r="D38" s="4">
        <v>2</v>
      </c>
      <c r="E38" s="262">
        <v>1</v>
      </c>
      <c r="F38" s="262"/>
      <c r="H38" s="4">
        <v>10</v>
      </c>
      <c r="I38" s="4">
        <v>750</v>
      </c>
      <c r="J38" s="293">
        <v>950</v>
      </c>
      <c r="K38" s="6">
        <v>1.2666666666666666</v>
      </c>
      <c r="L38" s="5">
        <v>950</v>
      </c>
      <c r="M38" s="6">
        <v>1.2666666666666666</v>
      </c>
      <c r="N38" s="531" t="str" cm="1">
        <f t="array" aca="1" ref="N3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 s="552" t="str" cm="1">
        <f t="array" aca="1" ref="O3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 s="526" cm="1">
        <f t="array" aca="1" ref="P38" ca="1">COUNTIFS(unit_details[Leased Date], "&gt;=" &amp; ($U$2 - N$5),
          unit_details[Leased Date], "&lt;" &amp; $U$2,
          unit_details[Floorplan Name], INDIRECT("C"&amp;ROW()),
          unit_details[Property Name], INDIRECT("B"&amp;ROW()))</f>
        <v>0</v>
      </c>
      <c r="Q38" s="531" t="str" cm="1">
        <f t="array" aca="1" ref="Q3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 s="552" t="str" cm="1">
        <f t="array" aca="1" ref="R3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 s="526" cm="1">
        <f t="array" aca="1" ref="S38" ca="1">COUNTIFS(unit_details[Leased Date], "&gt;=" &amp; ($U$2 - Q$5),
          unit_details[Leased Date], "&lt;" &amp; $U$2,
          unit_details[Floorplan Name], INDIRECT("C"&amp;ROW()),
          unit_details[Property Name], INDIRECT("B"&amp;ROW()))</f>
        <v>0</v>
      </c>
      <c r="T38" s="531" t="str" cm="1">
        <f t="array" aca="1" ref="T3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 s="552" t="str" cm="1">
        <f t="array" aca="1" ref="U3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 s="526" cm="1">
        <f t="array" aca="1" ref="V38" ca="1">COUNTIFS(unit_details[Leased Date], "&gt;=" &amp; ($U$2 - T$5),
          unit_details[Leased Date], "&lt;" &amp; $U$2,
          unit_details[Floorplan Name], INDIRECT("C"&amp;ROW()),
          unit_details[Property Name], INDIRECT("B"&amp;ROW()))</f>
        <v>0</v>
      </c>
      <c r="W38" s="531" t="str" cm="1">
        <f t="array" aca="1" ref="W3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 s="552" t="str" cm="1">
        <f t="array" aca="1" ref="X3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 s="27" t="str">
        <f t="shared" ca="1" si="0"/>
        <v/>
      </c>
      <c r="Z38" s="4" t="str">
        <f>IFERROR($U$2-AVERAGEIFS(unit_details[First Listed],
          unit_details[Active Listing?],TRUE,
          unit_details[Property Name], $B38,
          unit_details[Beds], $D38,
          unit_details[Baths], $E38,
          unit_details[Partial Baths], IF(ISNUMBER($F38),$F38,""),
          unit_details[Floorplan Name],$C38
),"")</f>
        <v/>
      </c>
      <c r="AA38" s="262" cm="1">
        <f t="array" aca="1" ref="AA38" ca="1">COUNTIFS(unit_details[Active Listing?],TRUE,
          unit_details[Floorplan Name], INDIRECT("C"&amp;ROW()),
          unit_details[Property Name], INDIRECT("B"&amp;ROW()))</f>
        <v>0</v>
      </c>
      <c r="AB38" s="553"/>
      <c r="AC38" s="528" cm="1">
        <f t="array" aca="1" ref="AC38" ca="1">IFERROR(AVERAGEIFS(
  unit_details[Sqft],
  unit_details[Property Name], INDIRECT("B"&amp;ROW()),
  unit_details[Floorplan Name], INDIRECT("C"&amp;ROW()),
  unit_details[Beds], INDIRECT("D"&amp;ROW()),
  unit_details[Detected Unit Amenities], "*"&amp;$AD$3&amp;"*",
  unit_details[Leased Date], "&gt;=" &amp; ($U$2 - $AF$3)
),0)</f>
        <v>0</v>
      </c>
      <c r="AD38" s="527" cm="1">
        <f t="array" aca="1" ref="AD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 s="526" cm="1">
        <f t="array" aca="1" ref="AE38" ca="1">IFERROR(COUNTIFS(
  unit_details[Property Name], INDIRECT("B"&amp;ROW()),
  unit_details[Floorplan Name], INDIRECT("C"&amp;ROW()),
  unit_details[Beds], INDIRECT("D"&amp;ROW()),
  unit_details[Detected Unit Amenities], "*"&amp;$AD$3&amp;"*",
  unit_details[Leased Date], "&gt;=" &amp; ($U$2 - $AF$3)
),0)</f>
        <v>0</v>
      </c>
      <c r="AF38" s="528" cm="1">
        <f t="array" aca="1" ref="AF38" ca="1">IFERROR(AVERAGEIFS(
  unit_details[Sqft],
  unit_details[Property Name], INDIRECT("B"&amp;ROW()),
  unit_details[Floorplan Name], INDIRECT("C"&amp;ROW()),
  unit_details[Beds], INDIRECT("D"&amp;ROW()),
  unit_details[Detected Unit Amenities], "&lt;&gt;*"&amp;$AD$3&amp;"*",
  unit_details[Leased Date], "&gt;=" &amp; ($U$2 - $AF$3)
),0)</f>
        <v>0</v>
      </c>
      <c r="AG38" s="527" cm="1">
        <f t="array" aca="1" ref="AG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 s="526" cm="1">
        <f t="array" aca="1" ref="AH38" ca="1">IFERROR(COUNTIFS(
  unit_details[Property Name], INDIRECT("B"&amp;ROW()),
  unit_details[Floorplan Name], INDIRECT("C"&amp;ROW()),
  unit_details[Beds], INDIRECT("D"&amp;ROW()),
  unit_details[Detected Unit Amenities], "&lt;&gt;*"&amp;$AD$3&amp;"*",
  unit_details[Leased Date], "&gt;=" &amp; ($U$2 - $AF$3)
),0)</f>
        <v>0</v>
      </c>
      <c r="AI38" s="528"/>
      <c r="AJ38" s="531">
        <f t="shared" ca="1" si="1"/>
        <v>0</v>
      </c>
      <c r="AK38" s="532">
        <f t="shared" ca="1" si="2"/>
        <v>0</v>
      </c>
    </row>
    <row r="39" spans="2:37" x14ac:dyDescent="0.2">
      <c r="B39" s="1"/>
      <c r="C39" s="53" t="s">
        <v>405</v>
      </c>
      <c r="D39" s="4">
        <v>2</v>
      </c>
      <c r="E39" s="262">
        <v>1</v>
      </c>
      <c r="F39" s="262"/>
      <c r="H39" s="4">
        <v>156</v>
      </c>
      <c r="I39" s="4">
        <v>1500</v>
      </c>
      <c r="J39" s="293">
        <v>1200</v>
      </c>
      <c r="K39" s="6">
        <v>0.8</v>
      </c>
      <c r="L39" s="5">
        <v>1200</v>
      </c>
      <c r="M39" s="6">
        <v>0.8</v>
      </c>
      <c r="N39" s="531" t="str" cm="1">
        <f t="array" aca="1" ref="N3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 s="552" t="str" cm="1">
        <f t="array" aca="1" ref="O3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 s="526" cm="1">
        <f t="array" aca="1" ref="P39" ca="1">COUNTIFS(unit_details[Leased Date], "&gt;=" &amp; ($U$2 - N$5),
          unit_details[Leased Date], "&lt;" &amp; $U$2,
          unit_details[Floorplan Name], INDIRECT("C"&amp;ROW()),
          unit_details[Property Name], INDIRECT("B"&amp;ROW()))</f>
        <v>0</v>
      </c>
      <c r="Q39" s="531" t="str" cm="1">
        <f t="array" aca="1" ref="Q3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 s="552" t="str" cm="1">
        <f t="array" aca="1" ref="R3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 s="526" cm="1">
        <f t="array" aca="1" ref="S39" ca="1">COUNTIFS(unit_details[Leased Date], "&gt;=" &amp; ($U$2 - Q$5),
          unit_details[Leased Date], "&lt;" &amp; $U$2,
          unit_details[Floorplan Name], INDIRECT("C"&amp;ROW()),
          unit_details[Property Name], INDIRECT("B"&amp;ROW()))</f>
        <v>0</v>
      </c>
      <c r="T39" s="531" t="str" cm="1">
        <f t="array" aca="1" ref="T3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 s="552" t="str" cm="1">
        <f t="array" aca="1" ref="U3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 s="526" cm="1">
        <f t="array" aca="1" ref="V39" ca="1">COUNTIFS(unit_details[Leased Date], "&gt;=" &amp; ($U$2 - T$5),
          unit_details[Leased Date], "&lt;" &amp; $U$2,
          unit_details[Floorplan Name], INDIRECT("C"&amp;ROW()),
          unit_details[Property Name], INDIRECT("B"&amp;ROW()))</f>
        <v>0</v>
      </c>
      <c r="W39" s="531" t="str" cm="1">
        <f t="array" aca="1" ref="W3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 s="552" t="str" cm="1">
        <f t="array" aca="1" ref="X3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 s="27" t="str">
        <f t="shared" ca="1" si="0"/>
        <v/>
      </c>
      <c r="Z39" s="4" t="str">
        <f>IFERROR($U$2-AVERAGEIFS(unit_details[First Listed],
          unit_details[Active Listing?],TRUE,
          unit_details[Property Name], $B39,
          unit_details[Beds], $D39,
          unit_details[Baths], $E39,
          unit_details[Partial Baths], IF(ISNUMBER($F39),$F39,""),
          unit_details[Floorplan Name],$C39
),"")</f>
        <v/>
      </c>
      <c r="AA39" s="262" cm="1">
        <f t="array" aca="1" ref="AA39" ca="1">COUNTIFS(unit_details[Active Listing?],TRUE,
          unit_details[Floorplan Name], INDIRECT("C"&amp;ROW()),
          unit_details[Property Name], INDIRECT("B"&amp;ROW()))</f>
        <v>0</v>
      </c>
      <c r="AB39" s="553"/>
      <c r="AC39" s="528" cm="1">
        <f t="array" aca="1" ref="AC39" ca="1">IFERROR(AVERAGEIFS(
  unit_details[Sqft],
  unit_details[Property Name], INDIRECT("B"&amp;ROW()),
  unit_details[Floorplan Name], INDIRECT("C"&amp;ROW()),
  unit_details[Beds], INDIRECT("D"&amp;ROW()),
  unit_details[Detected Unit Amenities], "*"&amp;$AD$3&amp;"*",
  unit_details[Leased Date], "&gt;=" &amp; ($U$2 - $AF$3)
),0)</f>
        <v>0</v>
      </c>
      <c r="AD39" s="527" cm="1">
        <f t="array" aca="1" ref="AD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 s="526" cm="1">
        <f t="array" aca="1" ref="AE39" ca="1">IFERROR(COUNTIFS(
  unit_details[Property Name], INDIRECT("B"&amp;ROW()),
  unit_details[Floorplan Name], INDIRECT("C"&amp;ROW()),
  unit_details[Beds], INDIRECT("D"&amp;ROW()),
  unit_details[Detected Unit Amenities], "*"&amp;$AD$3&amp;"*",
  unit_details[Leased Date], "&gt;=" &amp; ($U$2 - $AF$3)
),0)</f>
        <v>0</v>
      </c>
      <c r="AF39" s="528" cm="1">
        <f t="array" aca="1" ref="AF39" ca="1">IFERROR(AVERAGEIFS(
  unit_details[Sqft],
  unit_details[Property Name], INDIRECT("B"&amp;ROW()),
  unit_details[Floorplan Name], INDIRECT("C"&amp;ROW()),
  unit_details[Beds], INDIRECT("D"&amp;ROW()),
  unit_details[Detected Unit Amenities], "&lt;&gt;*"&amp;$AD$3&amp;"*",
  unit_details[Leased Date], "&gt;=" &amp; ($U$2 - $AF$3)
),0)</f>
        <v>0</v>
      </c>
      <c r="AG39" s="527" cm="1">
        <f t="array" aca="1" ref="AG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 s="526" cm="1">
        <f t="array" aca="1" ref="AH39" ca="1">IFERROR(COUNTIFS(
  unit_details[Property Name], INDIRECT("B"&amp;ROW()),
  unit_details[Floorplan Name], INDIRECT("C"&amp;ROW()),
  unit_details[Beds], INDIRECT("D"&amp;ROW()),
  unit_details[Detected Unit Amenities], "&lt;&gt;*"&amp;$AD$3&amp;"*",
  unit_details[Leased Date], "&gt;=" &amp; ($U$2 - $AF$3)
),0)</f>
        <v>0</v>
      </c>
      <c r="AI39" s="528"/>
      <c r="AJ39" s="531">
        <f t="shared" ca="1" si="1"/>
        <v>0</v>
      </c>
      <c r="AK39" s="532">
        <f t="shared" ca="1" si="2"/>
        <v>0</v>
      </c>
    </row>
    <row r="40" spans="2:37" x14ac:dyDescent="0.2">
      <c r="B40" s="1"/>
      <c r="C40" s="53" t="s">
        <v>405</v>
      </c>
      <c r="D40" s="4">
        <v>1</v>
      </c>
      <c r="E40" s="262">
        <v>1</v>
      </c>
      <c r="F40" s="262"/>
      <c r="H40" s="4">
        <v>28</v>
      </c>
      <c r="I40" s="4">
        <v>584</v>
      </c>
      <c r="J40" s="293">
        <v>950</v>
      </c>
      <c r="K40" s="6">
        <v>1.6267123287671232</v>
      </c>
      <c r="L40" s="5">
        <v>950</v>
      </c>
      <c r="M40" s="6">
        <v>1.6267123287671232</v>
      </c>
      <c r="N40" s="531" t="str" cm="1">
        <f t="array" aca="1" ref="N4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 s="552" t="str" cm="1">
        <f t="array" aca="1" ref="O4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 s="526" cm="1">
        <f t="array" aca="1" ref="P40" ca="1">COUNTIFS(unit_details[Leased Date], "&gt;=" &amp; ($U$2 - N$5),
          unit_details[Leased Date], "&lt;" &amp; $U$2,
          unit_details[Floorplan Name], INDIRECT("C"&amp;ROW()),
          unit_details[Property Name], INDIRECT("B"&amp;ROW()))</f>
        <v>0</v>
      </c>
      <c r="Q40" s="531" t="str" cm="1">
        <f t="array" aca="1" ref="Q4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 s="552" t="str" cm="1">
        <f t="array" aca="1" ref="R4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 s="526" cm="1">
        <f t="array" aca="1" ref="S40" ca="1">COUNTIFS(unit_details[Leased Date], "&gt;=" &amp; ($U$2 - Q$5),
          unit_details[Leased Date], "&lt;" &amp; $U$2,
          unit_details[Floorplan Name], INDIRECT("C"&amp;ROW()),
          unit_details[Property Name], INDIRECT("B"&amp;ROW()))</f>
        <v>0</v>
      </c>
      <c r="T40" s="531" t="str" cm="1">
        <f t="array" aca="1" ref="T4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 s="552" t="str" cm="1">
        <f t="array" aca="1" ref="U4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 s="526" cm="1">
        <f t="array" aca="1" ref="V40" ca="1">COUNTIFS(unit_details[Leased Date], "&gt;=" &amp; ($U$2 - T$5),
          unit_details[Leased Date], "&lt;" &amp; $U$2,
          unit_details[Floorplan Name], INDIRECT("C"&amp;ROW()),
          unit_details[Property Name], INDIRECT("B"&amp;ROW()))</f>
        <v>0</v>
      </c>
      <c r="W40" s="531" t="str" cm="1">
        <f t="array" aca="1" ref="W4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 s="552" t="str" cm="1">
        <f t="array" aca="1" ref="X4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 s="27" t="str">
        <f t="shared" ca="1" si="0"/>
        <v/>
      </c>
      <c r="Z40" s="4" t="str">
        <f>IFERROR($U$2-AVERAGEIFS(unit_details[First Listed],
          unit_details[Active Listing?],TRUE,
          unit_details[Property Name], $B40,
          unit_details[Beds], $D40,
          unit_details[Baths], $E40,
          unit_details[Partial Baths], IF(ISNUMBER($F40),$F40,""),
          unit_details[Floorplan Name],$C40
),"")</f>
        <v/>
      </c>
      <c r="AA40" s="262" cm="1">
        <f t="array" aca="1" ref="AA40" ca="1">COUNTIFS(unit_details[Active Listing?],TRUE,
          unit_details[Floorplan Name], INDIRECT("C"&amp;ROW()),
          unit_details[Property Name], INDIRECT("B"&amp;ROW()))</f>
        <v>0</v>
      </c>
      <c r="AB40" s="553"/>
      <c r="AC40" s="528" cm="1">
        <f t="array" aca="1" ref="AC40" ca="1">IFERROR(AVERAGEIFS(
  unit_details[Sqft],
  unit_details[Property Name], INDIRECT("B"&amp;ROW()),
  unit_details[Floorplan Name], INDIRECT("C"&amp;ROW()),
  unit_details[Beds], INDIRECT("D"&amp;ROW()),
  unit_details[Detected Unit Amenities], "*"&amp;$AD$3&amp;"*",
  unit_details[Leased Date], "&gt;=" &amp; ($U$2 - $AF$3)
),0)</f>
        <v>0</v>
      </c>
      <c r="AD40" s="527" cm="1">
        <f t="array" aca="1" ref="AD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 s="526" cm="1">
        <f t="array" aca="1" ref="AE40" ca="1">IFERROR(COUNTIFS(
  unit_details[Property Name], INDIRECT("B"&amp;ROW()),
  unit_details[Floorplan Name], INDIRECT("C"&amp;ROW()),
  unit_details[Beds], INDIRECT("D"&amp;ROW()),
  unit_details[Detected Unit Amenities], "*"&amp;$AD$3&amp;"*",
  unit_details[Leased Date], "&gt;=" &amp; ($U$2 - $AF$3)
),0)</f>
        <v>0</v>
      </c>
      <c r="AF40" s="528" cm="1">
        <f t="array" aca="1" ref="AF40" ca="1">IFERROR(AVERAGEIFS(
  unit_details[Sqft],
  unit_details[Property Name], INDIRECT("B"&amp;ROW()),
  unit_details[Floorplan Name], INDIRECT("C"&amp;ROW()),
  unit_details[Beds], INDIRECT("D"&amp;ROW()),
  unit_details[Detected Unit Amenities], "&lt;&gt;*"&amp;$AD$3&amp;"*",
  unit_details[Leased Date], "&gt;=" &amp; ($U$2 - $AF$3)
),0)</f>
        <v>0</v>
      </c>
      <c r="AG40" s="527" cm="1">
        <f t="array" aca="1" ref="AG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 s="526" cm="1">
        <f t="array" aca="1" ref="AH40" ca="1">IFERROR(COUNTIFS(
  unit_details[Property Name], INDIRECT("B"&amp;ROW()),
  unit_details[Floorplan Name], INDIRECT("C"&amp;ROW()),
  unit_details[Beds], INDIRECT("D"&amp;ROW()),
  unit_details[Detected Unit Amenities], "&lt;&gt;*"&amp;$AD$3&amp;"*",
  unit_details[Leased Date], "&gt;=" &amp; ($U$2 - $AF$3)
),0)</f>
        <v>0</v>
      </c>
      <c r="AI40" s="528"/>
      <c r="AJ40" s="531">
        <f t="shared" ca="1" si="1"/>
        <v>0</v>
      </c>
      <c r="AK40" s="532">
        <f t="shared" ca="1" si="2"/>
        <v>0</v>
      </c>
    </row>
    <row r="41" spans="2:37" x14ac:dyDescent="0.2">
      <c r="B41" s="1"/>
      <c r="C41" s="53" t="s">
        <v>405</v>
      </c>
      <c r="D41" s="4">
        <v>1</v>
      </c>
      <c r="E41" s="262">
        <v>1</v>
      </c>
      <c r="F41" s="262"/>
      <c r="H41" s="4">
        <v>21</v>
      </c>
      <c r="J41" s="293">
        <v>925</v>
      </c>
      <c r="K41" s="6"/>
      <c r="L41" s="5">
        <v>925</v>
      </c>
      <c r="M41" s="6"/>
      <c r="N41" s="531" t="str" cm="1">
        <f t="array" aca="1" ref="N4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 s="552" t="str" cm="1">
        <f t="array" aca="1" ref="O4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 s="526" cm="1">
        <f t="array" aca="1" ref="P41" ca="1">COUNTIFS(unit_details[Leased Date], "&gt;=" &amp; ($U$2 - N$5),
          unit_details[Leased Date], "&lt;" &amp; $U$2,
          unit_details[Floorplan Name], INDIRECT("C"&amp;ROW()),
          unit_details[Property Name], INDIRECT("B"&amp;ROW()))</f>
        <v>0</v>
      </c>
      <c r="Q41" s="531" t="str" cm="1">
        <f t="array" aca="1" ref="Q4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 s="552" t="str" cm="1">
        <f t="array" aca="1" ref="R4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 s="526" cm="1">
        <f t="array" aca="1" ref="S41" ca="1">COUNTIFS(unit_details[Leased Date], "&gt;=" &amp; ($U$2 - Q$5),
          unit_details[Leased Date], "&lt;" &amp; $U$2,
          unit_details[Floorplan Name], INDIRECT("C"&amp;ROW()),
          unit_details[Property Name], INDIRECT("B"&amp;ROW()))</f>
        <v>0</v>
      </c>
      <c r="T41" s="531" t="str" cm="1">
        <f t="array" aca="1" ref="T4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 s="552" t="str" cm="1">
        <f t="array" aca="1" ref="U4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 s="526" cm="1">
        <f t="array" aca="1" ref="V41" ca="1">COUNTIFS(unit_details[Leased Date], "&gt;=" &amp; ($U$2 - T$5),
          unit_details[Leased Date], "&lt;" &amp; $U$2,
          unit_details[Floorplan Name], INDIRECT("C"&amp;ROW()),
          unit_details[Property Name], INDIRECT("B"&amp;ROW()))</f>
        <v>0</v>
      </c>
      <c r="W41" s="531" t="str" cm="1">
        <f t="array" aca="1" ref="W4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 s="552" t="str" cm="1">
        <f t="array" aca="1" ref="X4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 s="27" t="str">
        <f t="shared" ca="1" si="0"/>
        <v/>
      </c>
      <c r="Z41" s="4" t="str">
        <f>IFERROR($U$2-AVERAGEIFS(unit_details[First Listed],
          unit_details[Active Listing?],TRUE,
          unit_details[Property Name], $B41,
          unit_details[Beds], $D41,
          unit_details[Baths], $E41,
          unit_details[Partial Baths], IF(ISNUMBER($F41),$F41,""),
          unit_details[Floorplan Name],$C41
),"")</f>
        <v/>
      </c>
      <c r="AA41" s="262" cm="1">
        <f t="array" aca="1" ref="AA41" ca="1">COUNTIFS(unit_details[Active Listing?],TRUE,
          unit_details[Floorplan Name], INDIRECT("C"&amp;ROW()),
          unit_details[Property Name], INDIRECT("B"&amp;ROW()))</f>
        <v>0</v>
      </c>
      <c r="AB41" s="553"/>
      <c r="AC41" s="528" cm="1">
        <f t="array" aca="1" ref="AC41" ca="1">IFERROR(AVERAGEIFS(
  unit_details[Sqft],
  unit_details[Property Name], INDIRECT("B"&amp;ROW()),
  unit_details[Floorplan Name], INDIRECT("C"&amp;ROW()),
  unit_details[Beds], INDIRECT("D"&amp;ROW()),
  unit_details[Detected Unit Amenities], "*"&amp;$AD$3&amp;"*",
  unit_details[Leased Date], "&gt;=" &amp; ($U$2 - $AF$3)
),0)</f>
        <v>0</v>
      </c>
      <c r="AD41" s="527" cm="1">
        <f t="array" aca="1" ref="AD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 s="526" cm="1">
        <f t="array" aca="1" ref="AE41" ca="1">IFERROR(COUNTIFS(
  unit_details[Property Name], INDIRECT("B"&amp;ROW()),
  unit_details[Floorplan Name], INDIRECT("C"&amp;ROW()),
  unit_details[Beds], INDIRECT("D"&amp;ROW()),
  unit_details[Detected Unit Amenities], "*"&amp;$AD$3&amp;"*",
  unit_details[Leased Date], "&gt;=" &amp; ($U$2 - $AF$3)
),0)</f>
        <v>0</v>
      </c>
      <c r="AF41" s="528" cm="1">
        <f t="array" aca="1" ref="AF41" ca="1">IFERROR(AVERAGEIFS(
  unit_details[Sqft],
  unit_details[Property Name], INDIRECT("B"&amp;ROW()),
  unit_details[Floorplan Name], INDIRECT("C"&amp;ROW()),
  unit_details[Beds], INDIRECT("D"&amp;ROW()),
  unit_details[Detected Unit Amenities], "&lt;&gt;*"&amp;$AD$3&amp;"*",
  unit_details[Leased Date], "&gt;=" &amp; ($U$2 - $AF$3)
),0)</f>
        <v>0</v>
      </c>
      <c r="AG41" s="527" cm="1">
        <f t="array" aca="1" ref="AG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 s="526" cm="1">
        <f t="array" aca="1" ref="AH41" ca="1">IFERROR(COUNTIFS(
  unit_details[Property Name], INDIRECT("B"&amp;ROW()),
  unit_details[Floorplan Name], INDIRECT("C"&amp;ROW()),
  unit_details[Beds], INDIRECT("D"&amp;ROW()),
  unit_details[Detected Unit Amenities], "&lt;&gt;*"&amp;$AD$3&amp;"*",
  unit_details[Leased Date], "&gt;=" &amp; ($U$2 - $AF$3)
),0)</f>
        <v>0</v>
      </c>
      <c r="AI41" s="528"/>
      <c r="AJ41" s="531">
        <f t="shared" ca="1" si="1"/>
        <v>0</v>
      </c>
      <c r="AK41" s="532">
        <f t="shared" ca="1" si="2"/>
        <v>0</v>
      </c>
    </row>
    <row r="42" spans="2:37" x14ac:dyDescent="0.2">
      <c r="B42" s="1"/>
      <c r="C42" s="53" t="s">
        <v>405</v>
      </c>
      <c r="D42" s="4">
        <v>2</v>
      </c>
      <c r="E42" s="262">
        <v>2</v>
      </c>
      <c r="F42" s="262"/>
      <c r="H42" s="4">
        <v>373</v>
      </c>
      <c r="I42" s="4">
        <v>750</v>
      </c>
      <c r="J42" s="293">
        <v>1300</v>
      </c>
      <c r="K42" s="6">
        <v>1.7333333333333334</v>
      </c>
      <c r="L42" s="5">
        <v>1300</v>
      </c>
      <c r="M42" s="6">
        <v>1.7333333333333334</v>
      </c>
      <c r="N42" s="531" t="str" cm="1">
        <f t="array" aca="1" ref="N4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 s="552" t="str" cm="1">
        <f t="array" aca="1" ref="O4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 s="526" cm="1">
        <f t="array" aca="1" ref="P42" ca="1">COUNTIFS(unit_details[Leased Date], "&gt;=" &amp; ($U$2 - N$5),
          unit_details[Leased Date], "&lt;" &amp; $U$2,
          unit_details[Floorplan Name], INDIRECT("C"&amp;ROW()),
          unit_details[Property Name], INDIRECT("B"&amp;ROW()))</f>
        <v>0</v>
      </c>
      <c r="Q42" s="531" t="str" cm="1">
        <f t="array" aca="1" ref="Q4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 s="552" t="str" cm="1">
        <f t="array" aca="1" ref="R4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 s="526" cm="1">
        <f t="array" aca="1" ref="S42" ca="1">COUNTIFS(unit_details[Leased Date], "&gt;=" &amp; ($U$2 - Q$5),
          unit_details[Leased Date], "&lt;" &amp; $U$2,
          unit_details[Floorplan Name], INDIRECT("C"&amp;ROW()),
          unit_details[Property Name], INDIRECT("B"&amp;ROW()))</f>
        <v>0</v>
      </c>
      <c r="T42" s="531" t="str" cm="1">
        <f t="array" aca="1" ref="T4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 s="552" t="str" cm="1">
        <f t="array" aca="1" ref="U4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 s="526" cm="1">
        <f t="array" aca="1" ref="V42" ca="1">COUNTIFS(unit_details[Leased Date], "&gt;=" &amp; ($U$2 - T$5),
          unit_details[Leased Date], "&lt;" &amp; $U$2,
          unit_details[Floorplan Name], INDIRECT("C"&amp;ROW()),
          unit_details[Property Name], INDIRECT("B"&amp;ROW()))</f>
        <v>0</v>
      </c>
      <c r="W42" s="531" t="str" cm="1">
        <f t="array" aca="1" ref="W4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 s="552" t="str" cm="1">
        <f t="array" aca="1" ref="X4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 s="27" t="str">
        <f t="shared" ca="1" si="0"/>
        <v/>
      </c>
      <c r="Z42" s="4" t="str">
        <f>IFERROR($U$2-AVERAGEIFS(unit_details[First Listed],
          unit_details[Active Listing?],TRUE,
          unit_details[Property Name], $B42,
          unit_details[Beds], $D42,
          unit_details[Baths], $E42,
          unit_details[Partial Baths], IF(ISNUMBER($F42),$F42,""),
          unit_details[Floorplan Name],$C42
),"")</f>
        <v/>
      </c>
      <c r="AA42" s="262" cm="1">
        <f t="array" aca="1" ref="AA42" ca="1">COUNTIFS(unit_details[Active Listing?],TRUE,
          unit_details[Floorplan Name], INDIRECT("C"&amp;ROW()),
          unit_details[Property Name], INDIRECT("B"&amp;ROW()))</f>
        <v>0</v>
      </c>
      <c r="AB42" s="553"/>
      <c r="AC42" s="528" cm="1">
        <f t="array" aca="1" ref="AC42" ca="1">IFERROR(AVERAGEIFS(
  unit_details[Sqft],
  unit_details[Property Name], INDIRECT("B"&amp;ROW()),
  unit_details[Floorplan Name], INDIRECT("C"&amp;ROW()),
  unit_details[Beds], INDIRECT("D"&amp;ROW()),
  unit_details[Detected Unit Amenities], "*"&amp;$AD$3&amp;"*",
  unit_details[Leased Date], "&gt;=" &amp; ($U$2 - $AF$3)
),0)</f>
        <v>0</v>
      </c>
      <c r="AD42" s="527" cm="1">
        <f t="array" aca="1" ref="AD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 s="526" cm="1">
        <f t="array" aca="1" ref="AE42" ca="1">IFERROR(COUNTIFS(
  unit_details[Property Name], INDIRECT("B"&amp;ROW()),
  unit_details[Floorplan Name], INDIRECT("C"&amp;ROW()),
  unit_details[Beds], INDIRECT("D"&amp;ROW()),
  unit_details[Detected Unit Amenities], "*"&amp;$AD$3&amp;"*",
  unit_details[Leased Date], "&gt;=" &amp; ($U$2 - $AF$3)
),0)</f>
        <v>0</v>
      </c>
      <c r="AF42" s="528" cm="1">
        <f t="array" aca="1" ref="AF42" ca="1">IFERROR(AVERAGEIFS(
  unit_details[Sqft],
  unit_details[Property Name], INDIRECT("B"&amp;ROW()),
  unit_details[Floorplan Name], INDIRECT("C"&amp;ROW()),
  unit_details[Beds], INDIRECT("D"&amp;ROW()),
  unit_details[Detected Unit Amenities], "&lt;&gt;*"&amp;$AD$3&amp;"*",
  unit_details[Leased Date], "&gt;=" &amp; ($U$2 - $AF$3)
),0)</f>
        <v>0</v>
      </c>
      <c r="AG42" s="527" cm="1">
        <f t="array" aca="1" ref="AG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 s="526" cm="1">
        <f t="array" aca="1" ref="AH42" ca="1">IFERROR(COUNTIFS(
  unit_details[Property Name], INDIRECT("B"&amp;ROW()),
  unit_details[Floorplan Name], INDIRECT("C"&amp;ROW()),
  unit_details[Beds], INDIRECT("D"&amp;ROW()),
  unit_details[Detected Unit Amenities], "&lt;&gt;*"&amp;$AD$3&amp;"*",
  unit_details[Leased Date], "&gt;=" &amp; ($U$2 - $AF$3)
),0)</f>
        <v>0</v>
      </c>
      <c r="AI42" s="528"/>
      <c r="AJ42" s="531">
        <f t="shared" ca="1" si="1"/>
        <v>0</v>
      </c>
      <c r="AK42" s="532">
        <f t="shared" ca="1" si="2"/>
        <v>0</v>
      </c>
    </row>
    <row r="43" spans="2:37" x14ac:dyDescent="0.2">
      <c r="B43" s="1" t="s">
        <v>499</v>
      </c>
      <c r="C43" s="53" t="s">
        <v>405</v>
      </c>
      <c r="D43" s="4">
        <v>2</v>
      </c>
      <c r="E43" s="262">
        <v>1</v>
      </c>
      <c r="F43" s="262"/>
      <c r="H43" s="4">
        <v>16.5</v>
      </c>
      <c r="I43" s="4">
        <v>725</v>
      </c>
      <c r="J43" s="293">
        <v>1150</v>
      </c>
      <c r="K43" s="6">
        <v>1.5862068965517242</v>
      </c>
      <c r="L43" s="5">
        <v>1150</v>
      </c>
      <c r="M43" s="6">
        <v>1.5862068965517242</v>
      </c>
      <c r="N43" s="531" cm="1">
        <f t="array" aca="1" ref="N4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1150</v>
      </c>
      <c r="O43" s="552" cm="1">
        <f t="array" aca="1" ref="O4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1150</v>
      </c>
      <c r="P43" s="526" cm="1">
        <f t="array" aca="1" ref="P43" ca="1">COUNTIFS(unit_details[Leased Date], "&gt;=" &amp; ($U$2 - N$5),
          unit_details[Leased Date], "&lt;" &amp; $U$2,
          unit_details[Floorplan Name], INDIRECT("C"&amp;ROW()),
          unit_details[Property Name], INDIRECT("B"&amp;ROW()))</f>
        <v>1</v>
      </c>
      <c r="Q43" s="531" cm="1">
        <f t="array" aca="1" ref="Q4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1150</v>
      </c>
      <c r="R43" s="552" cm="1">
        <f t="array" aca="1" ref="R4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1150</v>
      </c>
      <c r="S43" s="526" cm="1">
        <f t="array" aca="1" ref="S43" ca="1">COUNTIFS(unit_details[Leased Date], "&gt;=" &amp; ($U$2 - Q$5),
          unit_details[Leased Date], "&lt;" &amp; $U$2,
          unit_details[Floorplan Name], INDIRECT("C"&amp;ROW()),
          unit_details[Property Name], INDIRECT("B"&amp;ROW()))</f>
        <v>1</v>
      </c>
      <c r="T43" s="531" cm="1">
        <f t="array" aca="1" ref="T4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1150</v>
      </c>
      <c r="U43" s="552" cm="1">
        <f t="array" aca="1" ref="U4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1150</v>
      </c>
      <c r="V43" s="526" cm="1">
        <f t="array" aca="1" ref="V43" ca="1">COUNTIFS(unit_details[Leased Date], "&gt;=" &amp; ($U$2 - T$5),
          unit_details[Leased Date], "&lt;" &amp; $U$2,
          unit_details[Floorplan Name], INDIRECT("C"&amp;ROW()),
          unit_details[Property Name], INDIRECT("B"&amp;ROW()))</f>
        <v>1</v>
      </c>
      <c r="W43" s="531" t="str" cm="1">
        <f t="array" aca="1" ref="W4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 s="552" t="str" cm="1">
        <f t="array" aca="1" ref="X4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 s="27" t="str">
        <f t="shared" ca="1" si="0"/>
        <v/>
      </c>
      <c r="Z43" s="4" t="str">
        <f>IFERROR($U$2-AVERAGEIFS(unit_details[First Listed],
          unit_details[Active Listing?],TRUE,
          unit_details[Property Name], $B43,
          unit_details[Beds], $D43,
          unit_details[Baths], $E43,
          unit_details[Partial Baths], IF(ISNUMBER($F43),$F43,""),
          unit_details[Floorplan Name],$C43
),"")</f>
        <v/>
      </c>
      <c r="AA43" s="262" cm="1">
        <f t="array" aca="1" ref="AA43" ca="1">COUNTIFS(unit_details[Active Listing?],TRUE,
          unit_details[Floorplan Name], INDIRECT("C"&amp;ROW()),
          unit_details[Property Name], INDIRECT("B"&amp;ROW()))</f>
        <v>0</v>
      </c>
      <c r="AB43" s="553"/>
      <c r="AC43" s="528" cm="1">
        <f t="array" aca="1" ref="AC43" ca="1">IFERROR(AVERAGEIFS(
  unit_details[Sqft],
  unit_details[Property Name], INDIRECT("B"&amp;ROW()),
  unit_details[Floorplan Name], INDIRECT("C"&amp;ROW()),
  unit_details[Beds], INDIRECT("D"&amp;ROW()),
  unit_details[Detected Unit Amenities], "*"&amp;$AD$3&amp;"*",
  unit_details[Leased Date], "&gt;=" &amp; ($U$2 - $AF$3)
),0)</f>
        <v>0</v>
      </c>
      <c r="AD43" s="527" cm="1">
        <f t="array" aca="1" ref="AD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 s="526" cm="1">
        <f t="array" aca="1" ref="AE43" ca="1">IFERROR(COUNTIFS(
  unit_details[Property Name], INDIRECT("B"&amp;ROW()),
  unit_details[Floorplan Name], INDIRECT("C"&amp;ROW()),
  unit_details[Beds], INDIRECT("D"&amp;ROW()),
  unit_details[Detected Unit Amenities], "*"&amp;$AD$3&amp;"*",
  unit_details[Leased Date], "&gt;=" &amp; ($U$2 - $AF$3)
),0)</f>
        <v>0</v>
      </c>
      <c r="AF43" s="528" cm="1">
        <f t="array" aca="1" ref="AF43" ca="1">IFERROR(AVERAGEIFS(
  unit_details[Sqft],
  unit_details[Property Name], INDIRECT("B"&amp;ROW()),
  unit_details[Floorplan Name], INDIRECT("C"&amp;ROW()),
  unit_details[Beds], INDIRECT("D"&amp;ROW()),
  unit_details[Detected Unit Amenities], "&lt;&gt;*"&amp;$AD$3&amp;"*",
  unit_details[Leased Date], "&gt;=" &amp; ($U$2 - $AF$3)
),0)</f>
        <v>725</v>
      </c>
      <c r="AG43" s="527" cm="1">
        <f t="array" aca="1" ref="AG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1150</v>
      </c>
      <c r="AH43" s="526" cm="1">
        <f t="array" aca="1" ref="AH43" ca="1">IFERROR(COUNTIFS(
  unit_details[Property Name], INDIRECT("B"&amp;ROW()),
  unit_details[Floorplan Name], INDIRECT("C"&amp;ROW()),
  unit_details[Beds], INDIRECT("D"&amp;ROW()),
  unit_details[Detected Unit Amenities], "&lt;&gt;*"&amp;$AD$3&amp;"*",
  unit_details[Leased Date], "&gt;=" &amp; ($U$2 - $AF$3)
),0)</f>
        <v>1</v>
      </c>
      <c r="AI43" s="528"/>
      <c r="AJ43" s="531">
        <f t="shared" ca="1" si="1"/>
        <v>0</v>
      </c>
      <c r="AK43" s="532">
        <f t="shared" ca="1" si="2"/>
        <v>0</v>
      </c>
    </row>
    <row r="44" spans="2:37" x14ac:dyDescent="0.2">
      <c r="B44" s="1"/>
      <c r="C44" s="53" t="s">
        <v>405</v>
      </c>
      <c r="D44" s="4">
        <v>2</v>
      </c>
      <c r="E44" s="262">
        <v>1</v>
      </c>
      <c r="F44" s="262"/>
      <c r="H44" s="4">
        <v>24</v>
      </c>
      <c r="I44" s="4">
        <v>936</v>
      </c>
      <c r="J44" s="293">
        <v>1000</v>
      </c>
      <c r="K44" s="6">
        <v>1.0683760683760684</v>
      </c>
      <c r="L44" s="5">
        <v>1000</v>
      </c>
      <c r="M44" s="6">
        <v>1.0683760683760684</v>
      </c>
      <c r="N44" s="531" t="str" cm="1">
        <f t="array" aca="1" ref="N4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 s="552" t="str" cm="1">
        <f t="array" aca="1" ref="O4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 s="526" cm="1">
        <f t="array" aca="1" ref="P44" ca="1">COUNTIFS(unit_details[Leased Date], "&gt;=" &amp; ($U$2 - N$5),
          unit_details[Leased Date], "&lt;" &amp; $U$2,
          unit_details[Floorplan Name], INDIRECT("C"&amp;ROW()),
          unit_details[Property Name], INDIRECT("B"&amp;ROW()))</f>
        <v>0</v>
      </c>
      <c r="Q44" s="531" t="str" cm="1">
        <f t="array" aca="1" ref="Q4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 s="552" t="str" cm="1">
        <f t="array" aca="1" ref="R4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 s="526" cm="1">
        <f t="array" aca="1" ref="S44" ca="1">COUNTIFS(unit_details[Leased Date], "&gt;=" &amp; ($U$2 - Q$5),
          unit_details[Leased Date], "&lt;" &amp; $U$2,
          unit_details[Floorplan Name], INDIRECT("C"&amp;ROW()),
          unit_details[Property Name], INDIRECT("B"&amp;ROW()))</f>
        <v>0</v>
      </c>
      <c r="T44" s="531" t="str" cm="1">
        <f t="array" aca="1" ref="T4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 s="552" t="str" cm="1">
        <f t="array" aca="1" ref="U4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 s="526" cm="1">
        <f t="array" aca="1" ref="V44" ca="1">COUNTIFS(unit_details[Leased Date], "&gt;=" &amp; ($U$2 - T$5),
          unit_details[Leased Date], "&lt;" &amp; $U$2,
          unit_details[Floorplan Name], INDIRECT("C"&amp;ROW()),
          unit_details[Property Name], INDIRECT("B"&amp;ROW()))</f>
        <v>0</v>
      </c>
      <c r="W44" s="531" t="str" cm="1">
        <f t="array" aca="1" ref="W4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 s="552" t="str" cm="1">
        <f t="array" aca="1" ref="X4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 s="27" t="str">
        <f t="shared" ca="1" si="0"/>
        <v/>
      </c>
      <c r="Z44" s="4" t="str">
        <f>IFERROR($U$2-AVERAGEIFS(unit_details[First Listed],
          unit_details[Active Listing?],TRUE,
          unit_details[Property Name], $B44,
          unit_details[Beds], $D44,
          unit_details[Baths], $E44,
          unit_details[Partial Baths], IF(ISNUMBER($F44),$F44,""),
          unit_details[Floorplan Name],$C44
),"")</f>
        <v/>
      </c>
      <c r="AA44" s="262" cm="1">
        <f t="array" aca="1" ref="AA44" ca="1">COUNTIFS(unit_details[Active Listing?],TRUE,
          unit_details[Floorplan Name], INDIRECT("C"&amp;ROW()),
          unit_details[Property Name], INDIRECT("B"&amp;ROW()))</f>
        <v>0</v>
      </c>
      <c r="AB44" s="553"/>
      <c r="AC44" s="528" cm="1">
        <f t="array" aca="1" ref="AC44" ca="1">IFERROR(AVERAGEIFS(
  unit_details[Sqft],
  unit_details[Property Name], INDIRECT("B"&amp;ROW()),
  unit_details[Floorplan Name], INDIRECT("C"&amp;ROW()),
  unit_details[Beds], INDIRECT("D"&amp;ROW()),
  unit_details[Detected Unit Amenities], "*"&amp;$AD$3&amp;"*",
  unit_details[Leased Date], "&gt;=" &amp; ($U$2 - $AF$3)
),0)</f>
        <v>0</v>
      </c>
      <c r="AD44" s="527" cm="1">
        <f t="array" aca="1" ref="AD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 s="526" cm="1">
        <f t="array" aca="1" ref="AE44" ca="1">IFERROR(COUNTIFS(
  unit_details[Property Name], INDIRECT("B"&amp;ROW()),
  unit_details[Floorplan Name], INDIRECT("C"&amp;ROW()),
  unit_details[Beds], INDIRECT("D"&amp;ROW()),
  unit_details[Detected Unit Amenities], "*"&amp;$AD$3&amp;"*",
  unit_details[Leased Date], "&gt;=" &amp; ($U$2 - $AF$3)
),0)</f>
        <v>0</v>
      </c>
      <c r="AF44" s="528" cm="1">
        <f t="array" aca="1" ref="AF44" ca="1">IFERROR(AVERAGEIFS(
  unit_details[Sqft],
  unit_details[Property Name], INDIRECT("B"&amp;ROW()),
  unit_details[Floorplan Name], INDIRECT("C"&amp;ROW()),
  unit_details[Beds], INDIRECT("D"&amp;ROW()),
  unit_details[Detected Unit Amenities], "&lt;&gt;*"&amp;$AD$3&amp;"*",
  unit_details[Leased Date], "&gt;=" &amp; ($U$2 - $AF$3)
),0)</f>
        <v>0</v>
      </c>
      <c r="AG44" s="527" cm="1">
        <f t="array" aca="1" ref="AG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 s="526" cm="1">
        <f t="array" aca="1" ref="AH44" ca="1">IFERROR(COUNTIFS(
  unit_details[Property Name], INDIRECT("B"&amp;ROW()),
  unit_details[Floorplan Name], INDIRECT("C"&amp;ROW()),
  unit_details[Beds], INDIRECT("D"&amp;ROW()),
  unit_details[Detected Unit Amenities], "&lt;&gt;*"&amp;$AD$3&amp;"*",
  unit_details[Leased Date], "&gt;=" &amp; ($U$2 - $AF$3)
),0)</f>
        <v>0</v>
      </c>
      <c r="AI44" s="528"/>
      <c r="AJ44" s="531">
        <f t="shared" ca="1" si="1"/>
        <v>0</v>
      </c>
      <c r="AK44" s="532">
        <f t="shared" ca="1" si="2"/>
        <v>0</v>
      </c>
    </row>
    <row r="45" spans="2:37" x14ac:dyDescent="0.2">
      <c r="B45" s="1"/>
      <c r="C45" s="53" t="s">
        <v>405</v>
      </c>
      <c r="D45" s="4">
        <v>2</v>
      </c>
      <c r="E45" s="262">
        <v>1</v>
      </c>
      <c r="F45" s="262"/>
      <c r="H45" s="4">
        <v>10</v>
      </c>
      <c r="J45" s="293">
        <v>1100</v>
      </c>
      <c r="K45" s="6"/>
      <c r="L45" s="5">
        <v>1100</v>
      </c>
      <c r="M45" s="6"/>
      <c r="N45" s="531" t="str" cm="1">
        <f t="array" aca="1" ref="N4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 s="552" t="str" cm="1">
        <f t="array" aca="1" ref="O4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 s="526" cm="1">
        <f t="array" aca="1" ref="P45" ca="1">COUNTIFS(unit_details[Leased Date], "&gt;=" &amp; ($U$2 - N$5),
          unit_details[Leased Date], "&lt;" &amp; $U$2,
          unit_details[Floorplan Name], INDIRECT("C"&amp;ROW()),
          unit_details[Property Name], INDIRECT("B"&amp;ROW()))</f>
        <v>0</v>
      </c>
      <c r="Q45" s="531" t="str" cm="1">
        <f t="array" aca="1" ref="Q4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 s="552" t="str" cm="1">
        <f t="array" aca="1" ref="R4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 s="526" cm="1">
        <f t="array" aca="1" ref="S45" ca="1">COUNTIFS(unit_details[Leased Date], "&gt;=" &amp; ($U$2 - Q$5),
          unit_details[Leased Date], "&lt;" &amp; $U$2,
          unit_details[Floorplan Name], INDIRECT("C"&amp;ROW()),
          unit_details[Property Name], INDIRECT("B"&amp;ROW()))</f>
        <v>0</v>
      </c>
      <c r="T45" s="531" t="str" cm="1">
        <f t="array" aca="1" ref="T4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 s="552" t="str" cm="1">
        <f t="array" aca="1" ref="U4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 s="526" cm="1">
        <f t="array" aca="1" ref="V45" ca="1">COUNTIFS(unit_details[Leased Date], "&gt;=" &amp; ($U$2 - T$5),
          unit_details[Leased Date], "&lt;" &amp; $U$2,
          unit_details[Floorplan Name], INDIRECT("C"&amp;ROW()),
          unit_details[Property Name], INDIRECT("B"&amp;ROW()))</f>
        <v>0</v>
      </c>
      <c r="W45" s="531" t="str" cm="1">
        <f t="array" aca="1" ref="W4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 s="552" t="str" cm="1">
        <f t="array" aca="1" ref="X4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 s="27" t="str">
        <f t="shared" ca="1" si="0"/>
        <v/>
      </c>
      <c r="Z45" s="4" t="str">
        <f>IFERROR($U$2-AVERAGEIFS(unit_details[First Listed],
          unit_details[Active Listing?],TRUE,
          unit_details[Property Name], $B45,
          unit_details[Beds], $D45,
          unit_details[Baths], $E45,
          unit_details[Partial Baths], IF(ISNUMBER($F45),$F45,""),
          unit_details[Floorplan Name],$C45
),"")</f>
        <v/>
      </c>
      <c r="AA45" s="262" cm="1">
        <f t="array" aca="1" ref="AA45" ca="1">COUNTIFS(unit_details[Active Listing?],TRUE,
          unit_details[Floorplan Name], INDIRECT("C"&amp;ROW()),
          unit_details[Property Name], INDIRECT("B"&amp;ROW()))</f>
        <v>0</v>
      </c>
      <c r="AB45" s="553"/>
      <c r="AC45" s="528" cm="1">
        <f t="array" aca="1" ref="AC45" ca="1">IFERROR(AVERAGEIFS(
  unit_details[Sqft],
  unit_details[Property Name], INDIRECT("B"&amp;ROW()),
  unit_details[Floorplan Name], INDIRECT("C"&amp;ROW()),
  unit_details[Beds], INDIRECT("D"&amp;ROW()),
  unit_details[Detected Unit Amenities], "*"&amp;$AD$3&amp;"*",
  unit_details[Leased Date], "&gt;=" &amp; ($U$2 - $AF$3)
),0)</f>
        <v>0</v>
      </c>
      <c r="AD45" s="527" cm="1">
        <f t="array" aca="1" ref="AD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 s="526" cm="1">
        <f t="array" aca="1" ref="AE45" ca="1">IFERROR(COUNTIFS(
  unit_details[Property Name], INDIRECT("B"&amp;ROW()),
  unit_details[Floorplan Name], INDIRECT("C"&amp;ROW()),
  unit_details[Beds], INDIRECT("D"&amp;ROW()),
  unit_details[Detected Unit Amenities], "*"&amp;$AD$3&amp;"*",
  unit_details[Leased Date], "&gt;=" &amp; ($U$2 - $AF$3)
),0)</f>
        <v>0</v>
      </c>
      <c r="AF45" s="528" cm="1">
        <f t="array" aca="1" ref="AF45" ca="1">IFERROR(AVERAGEIFS(
  unit_details[Sqft],
  unit_details[Property Name], INDIRECT("B"&amp;ROW()),
  unit_details[Floorplan Name], INDIRECT("C"&amp;ROW()),
  unit_details[Beds], INDIRECT("D"&amp;ROW()),
  unit_details[Detected Unit Amenities], "&lt;&gt;*"&amp;$AD$3&amp;"*",
  unit_details[Leased Date], "&gt;=" &amp; ($U$2 - $AF$3)
),0)</f>
        <v>0</v>
      </c>
      <c r="AG45" s="527" cm="1">
        <f t="array" aca="1" ref="AG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 s="526" cm="1">
        <f t="array" aca="1" ref="AH45" ca="1">IFERROR(COUNTIFS(
  unit_details[Property Name], INDIRECT("B"&amp;ROW()),
  unit_details[Floorplan Name], INDIRECT("C"&amp;ROW()),
  unit_details[Beds], INDIRECT("D"&amp;ROW()),
  unit_details[Detected Unit Amenities], "&lt;&gt;*"&amp;$AD$3&amp;"*",
  unit_details[Leased Date], "&gt;=" &amp; ($U$2 - $AF$3)
),0)</f>
        <v>0</v>
      </c>
      <c r="AI45" s="528"/>
      <c r="AJ45" s="531">
        <f t="shared" ca="1" si="1"/>
        <v>0</v>
      </c>
      <c r="AK45" s="532">
        <f t="shared" ca="1" si="2"/>
        <v>0</v>
      </c>
    </row>
    <row r="46" spans="2:37" x14ac:dyDescent="0.2">
      <c r="B46" s="1"/>
      <c r="C46" s="53" t="s">
        <v>405</v>
      </c>
      <c r="D46" s="4">
        <v>2</v>
      </c>
      <c r="E46" s="262">
        <v>1</v>
      </c>
      <c r="F46" s="262"/>
      <c r="H46" s="4">
        <v>14</v>
      </c>
      <c r="I46" s="4">
        <v>584</v>
      </c>
      <c r="J46" s="293">
        <v>1100</v>
      </c>
      <c r="K46" s="6">
        <v>1.8835616438356164</v>
      </c>
      <c r="L46" s="5">
        <v>1100</v>
      </c>
      <c r="M46" s="6">
        <v>1.8835616438356164</v>
      </c>
      <c r="N46" s="531" t="str" cm="1">
        <f t="array" aca="1" ref="N4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 s="552" t="str" cm="1">
        <f t="array" aca="1" ref="O4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 s="526" cm="1">
        <f t="array" aca="1" ref="P46" ca="1">COUNTIFS(unit_details[Leased Date], "&gt;=" &amp; ($U$2 - N$5),
          unit_details[Leased Date], "&lt;" &amp; $U$2,
          unit_details[Floorplan Name], INDIRECT("C"&amp;ROW()),
          unit_details[Property Name], INDIRECT("B"&amp;ROW()))</f>
        <v>0</v>
      </c>
      <c r="Q46" s="531" t="str" cm="1">
        <f t="array" aca="1" ref="Q4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 s="552" t="str" cm="1">
        <f t="array" aca="1" ref="R4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 s="526" cm="1">
        <f t="array" aca="1" ref="S46" ca="1">COUNTIFS(unit_details[Leased Date], "&gt;=" &amp; ($U$2 - Q$5),
          unit_details[Leased Date], "&lt;" &amp; $U$2,
          unit_details[Floorplan Name], INDIRECT("C"&amp;ROW()),
          unit_details[Property Name], INDIRECT("B"&amp;ROW()))</f>
        <v>0</v>
      </c>
      <c r="T46" s="531" t="str" cm="1">
        <f t="array" aca="1" ref="T4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 s="552" t="str" cm="1">
        <f t="array" aca="1" ref="U4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 s="526" cm="1">
        <f t="array" aca="1" ref="V46" ca="1">COUNTIFS(unit_details[Leased Date], "&gt;=" &amp; ($U$2 - T$5),
          unit_details[Leased Date], "&lt;" &amp; $U$2,
          unit_details[Floorplan Name], INDIRECT("C"&amp;ROW()),
          unit_details[Property Name], INDIRECT("B"&amp;ROW()))</f>
        <v>0</v>
      </c>
      <c r="W46" s="531" t="str" cm="1">
        <f t="array" aca="1" ref="W4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 s="552" t="str" cm="1">
        <f t="array" aca="1" ref="X4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 s="27" t="str">
        <f t="shared" ca="1" si="0"/>
        <v/>
      </c>
      <c r="Z46" s="4" t="str">
        <f>IFERROR($U$2-AVERAGEIFS(unit_details[First Listed],
          unit_details[Active Listing?],TRUE,
          unit_details[Property Name], $B46,
          unit_details[Beds], $D46,
          unit_details[Baths], $E46,
          unit_details[Partial Baths], IF(ISNUMBER($F46),$F46,""),
          unit_details[Floorplan Name],$C46
),"")</f>
        <v/>
      </c>
      <c r="AA46" s="262" cm="1">
        <f t="array" aca="1" ref="AA46" ca="1">COUNTIFS(unit_details[Active Listing?],TRUE,
          unit_details[Floorplan Name], INDIRECT("C"&amp;ROW()),
          unit_details[Property Name], INDIRECT("B"&amp;ROW()))</f>
        <v>0</v>
      </c>
      <c r="AB46" s="553"/>
      <c r="AC46" s="528" cm="1">
        <f t="array" aca="1" ref="AC46" ca="1">IFERROR(AVERAGEIFS(
  unit_details[Sqft],
  unit_details[Property Name], INDIRECT("B"&amp;ROW()),
  unit_details[Floorplan Name], INDIRECT("C"&amp;ROW()),
  unit_details[Beds], INDIRECT("D"&amp;ROW()),
  unit_details[Detected Unit Amenities], "*"&amp;$AD$3&amp;"*",
  unit_details[Leased Date], "&gt;=" &amp; ($U$2 - $AF$3)
),0)</f>
        <v>0</v>
      </c>
      <c r="AD46" s="527" cm="1">
        <f t="array" aca="1" ref="AD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 s="526" cm="1">
        <f t="array" aca="1" ref="AE46" ca="1">IFERROR(COUNTIFS(
  unit_details[Property Name], INDIRECT("B"&amp;ROW()),
  unit_details[Floorplan Name], INDIRECT("C"&amp;ROW()),
  unit_details[Beds], INDIRECT("D"&amp;ROW()),
  unit_details[Detected Unit Amenities], "*"&amp;$AD$3&amp;"*",
  unit_details[Leased Date], "&gt;=" &amp; ($U$2 - $AF$3)
),0)</f>
        <v>0</v>
      </c>
      <c r="AF46" s="528" cm="1">
        <f t="array" aca="1" ref="AF46" ca="1">IFERROR(AVERAGEIFS(
  unit_details[Sqft],
  unit_details[Property Name], INDIRECT("B"&amp;ROW()),
  unit_details[Floorplan Name], INDIRECT("C"&amp;ROW()),
  unit_details[Beds], INDIRECT("D"&amp;ROW()),
  unit_details[Detected Unit Amenities], "&lt;&gt;*"&amp;$AD$3&amp;"*",
  unit_details[Leased Date], "&gt;=" &amp; ($U$2 - $AF$3)
),0)</f>
        <v>0</v>
      </c>
      <c r="AG46" s="527" cm="1">
        <f t="array" aca="1" ref="AG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 s="526" cm="1">
        <f t="array" aca="1" ref="AH46" ca="1">IFERROR(COUNTIFS(
  unit_details[Property Name], INDIRECT("B"&amp;ROW()),
  unit_details[Floorplan Name], INDIRECT("C"&amp;ROW()),
  unit_details[Beds], INDIRECT("D"&amp;ROW()),
  unit_details[Detected Unit Amenities], "&lt;&gt;*"&amp;$AD$3&amp;"*",
  unit_details[Leased Date], "&gt;=" &amp; ($U$2 - $AF$3)
),0)</f>
        <v>0</v>
      </c>
      <c r="AI46" s="528"/>
      <c r="AJ46" s="531">
        <f t="shared" ca="1" si="1"/>
        <v>0</v>
      </c>
      <c r="AK46" s="532">
        <f t="shared" ca="1" si="2"/>
        <v>0</v>
      </c>
    </row>
    <row r="47" spans="2:37" x14ac:dyDescent="0.2">
      <c r="B47" s="566"/>
      <c r="C47" s="53"/>
      <c r="E47" s="262"/>
      <c r="F47" s="262"/>
      <c r="J47" s="293"/>
      <c r="K47" s="6"/>
      <c r="M47" s="6"/>
      <c r="N47" s="531" t="str" cm="1">
        <f t="array" aca="1" ref="N4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 s="552" t="str" cm="1">
        <f t="array" aca="1" ref="O4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 s="526" cm="1">
        <f t="array" aca="1" ref="P47" ca="1">COUNTIFS(unit_details[Leased Date], "&gt;=" &amp; ($U$2 - N$5),
          unit_details[Leased Date], "&lt;" &amp; $U$2,
          unit_details[Floorplan Name], INDIRECT("C"&amp;ROW()),
          unit_details[Property Name], INDIRECT("B"&amp;ROW()))</f>
        <v>0</v>
      </c>
      <c r="Q47" s="531" t="str" cm="1">
        <f t="array" aca="1" ref="Q4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 s="552" t="str" cm="1">
        <f t="array" aca="1" ref="R4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 s="526" cm="1">
        <f t="array" aca="1" ref="S47" ca="1">COUNTIFS(unit_details[Leased Date], "&gt;=" &amp; ($U$2 - Q$5),
          unit_details[Leased Date], "&lt;" &amp; $U$2,
          unit_details[Floorplan Name], INDIRECT("C"&amp;ROW()),
          unit_details[Property Name], INDIRECT("B"&amp;ROW()))</f>
        <v>0</v>
      </c>
      <c r="T47" s="531" t="str" cm="1">
        <f t="array" aca="1" ref="T4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 s="552" t="str" cm="1">
        <f t="array" aca="1" ref="U4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 s="526" cm="1">
        <f t="array" aca="1" ref="V47" ca="1">COUNTIFS(unit_details[Leased Date], "&gt;=" &amp; ($U$2 - T$5),
          unit_details[Leased Date], "&lt;" &amp; $U$2,
          unit_details[Floorplan Name], INDIRECT("C"&amp;ROW()),
          unit_details[Property Name], INDIRECT("B"&amp;ROW()))</f>
        <v>0</v>
      </c>
      <c r="W47" s="531" t="str" cm="1">
        <f t="array" aca="1" ref="W4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 s="552" t="str" cm="1">
        <f t="array" aca="1" ref="X4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 s="27" t="str">
        <f t="shared" ca="1" si="0"/>
        <v/>
      </c>
      <c r="Z47" s="4" t="str">
        <f>IFERROR($U$2-AVERAGEIFS(unit_details[First Listed],
          unit_details[Active Listing?],TRUE,
          unit_details[Property Name], $B47,
          unit_details[Beds], $D47,
          unit_details[Baths], $E47,
          unit_details[Partial Baths], IF(ISNUMBER($F47),$F47,""),
          unit_details[Floorplan Name],$C47
),"")</f>
        <v/>
      </c>
      <c r="AA47" s="262" cm="1">
        <f t="array" aca="1" ref="AA47" ca="1">COUNTIFS(unit_details[Active Listing?],TRUE,
          unit_details[Floorplan Name], INDIRECT("C"&amp;ROW()),
          unit_details[Property Name], INDIRECT("B"&amp;ROW()))</f>
        <v>0</v>
      </c>
      <c r="AB47" s="553"/>
      <c r="AC47" s="528" cm="1">
        <f t="array" aca="1" ref="AC47" ca="1">IFERROR(AVERAGEIFS(
  unit_details[Sqft],
  unit_details[Property Name], INDIRECT("B"&amp;ROW()),
  unit_details[Floorplan Name], INDIRECT("C"&amp;ROW()),
  unit_details[Beds], INDIRECT("D"&amp;ROW()),
  unit_details[Detected Unit Amenities], "*"&amp;$AD$3&amp;"*",
  unit_details[Leased Date], "&gt;=" &amp; ($U$2 - $AF$3)
),0)</f>
        <v>0</v>
      </c>
      <c r="AD47" s="527" cm="1">
        <f t="array" aca="1" ref="AD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 s="526" cm="1">
        <f t="array" aca="1" ref="AE47" ca="1">IFERROR(COUNTIFS(
  unit_details[Property Name], INDIRECT("B"&amp;ROW()),
  unit_details[Floorplan Name], INDIRECT("C"&amp;ROW()),
  unit_details[Beds], INDIRECT("D"&amp;ROW()),
  unit_details[Detected Unit Amenities], "*"&amp;$AD$3&amp;"*",
  unit_details[Leased Date], "&gt;=" &amp; ($U$2 - $AF$3)
),0)</f>
        <v>0</v>
      </c>
      <c r="AF47" s="528" cm="1">
        <f t="array" aca="1" ref="AF47" ca="1">IFERROR(AVERAGEIFS(
  unit_details[Sqft],
  unit_details[Property Name], INDIRECT("B"&amp;ROW()),
  unit_details[Floorplan Name], INDIRECT("C"&amp;ROW()),
  unit_details[Beds], INDIRECT("D"&amp;ROW()),
  unit_details[Detected Unit Amenities], "&lt;&gt;*"&amp;$AD$3&amp;"*",
  unit_details[Leased Date], "&gt;=" &amp; ($U$2 - $AF$3)
),0)</f>
        <v>0</v>
      </c>
      <c r="AG47" s="527" cm="1">
        <f t="array" aca="1" ref="AG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 s="526" cm="1">
        <f t="array" aca="1" ref="AH47" ca="1">IFERROR(COUNTIFS(
  unit_details[Property Name], INDIRECT("B"&amp;ROW()),
  unit_details[Floorplan Name], INDIRECT("C"&amp;ROW()),
  unit_details[Beds], INDIRECT("D"&amp;ROW()),
  unit_details[Detected Unit Amenities], "&lt;&gt;*"&amp;$AD$3&amp;"*",
  unit_details[Leased Date], "&gt;=" &amp; ($U$2 - $AF$3)
),0)</f>
        <v>0</v>
      </c>
      <c r="AI47" s="528"/>
      <c r="AJ47" s="531">
        <f t="shared" ca="1" si="1"/>
        <v>0</v>
      </c>
      <c r="AK47" s="532">
        <f t="shared" ca="1" si="2"/>
        <v>0</v>
      </c>
    </row>
    <row r="48" spans="2:37" x14ac:dyDescent="0.2">
      <c r="B48" s="566"/>
      <c r="C48" s="53"/>
      <c r="E48" s="262"/>
      <c r="F48" s="262"/>
      <c r="J48" s="293"/>
      <c r="K48" s="6"/>
      <c r="M48" s="6"/>
      <c r="N48" s="531" t="str" cm="1">
        <f t="array" aca="1" ref="N4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 s="552" t="str" cm="1">
        <f t="array" aca="1" ref="O4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 s="526" cm="1">
        <f t="array" aca="1" ref="P48" ca="1">COUNTIFS(unit_details[Leased Date], "&gt;=" &amp; ($U$2 - N$5),
          unit_details[Leased Date], "&lt;" &amp; $U$2,
          unit_details[Floorplan Name], INDIRECT("C"&amp;ROW()),
          unit_details[Property Name], INDIRECT("B"&amp;ROW()))</f>
        <v>0</v>
      </c>
      <c r="Q48" s="531" t="str" cm="1">
        <f t="array" aca="1" ref="Q4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 s="552" t="str" cm="1">
        <f t="array" aca="1" ref="R4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 s="526" cm="1">
        <f t="array" aca="1" ref="S48" ca="1">COUNTIFS(unit_details[Leased Date], "&gt;=" &amp; ($U$2 - Q$5),
          unit_details[Leased Date], "&lt;" &amp; $U$2,
          unit_details[Floorplan Name], INDIRECT("C"&amp;ROW()),
          unit_details[Property Name], INDIRECT("B"&amp;ROW()))</f>
        <v>0</v>
      </c>
      <c r="T48" s="531" t="str" cm="1">
        <f t="array" aca="1" ref="T4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 s="552" t="str" cm="1">
        <f t="array" aca="1" ref="U4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 s="526" cm="1">
        <f t="array" aca="1" ref="V48" ca="1">COUNTIFS(unit_details[Leased Date], "&gt;=" &amp; ($U$2 - T$5),
          unit_details[Leased Date], "&lt;" &amp; $U$2,
          unit_details[Floorplan Name], INDIRECT("C"&amp;ROW()),
          unit_details[Property Name], INDIRECT("B"&amp;ROW()))</f>
        <v>0</v>
      </c>
      <c r="W48" s="531" t="str" cm="1">
        <f t="array" aca="1" ref="W4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 s="552" t="str" cm="1">
        <f t="array" aca="1" ref="X4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 s="27" t="str">
        <f t="shared" ca="1" si="0"/>
        <v/>
      </c>
      <c r="Z48" s="4" t="str">
        <f>IFERROR($U$2-AVERAGEIFS(unit_details[First Listed],
          unit_details[Active Listing?],TRUE,
          unit_details[Property Name], $B48,
          unit_details[Beds], $D48,
          unit_details[Baths], $E48,
          unit_details[Partial Baths], IF(ISNUMBER($F48),$F48,""),
          unit_details[Floorplan Name],$C48
),"")</f>
        <v/>
      </c>
      <c r="AA48" s="262" cm="1">
        <f t="array" aca="1" ref="AA48" ca="1">COUNTIFS(unit_details[Active Listing?],TRUE,
          unit_details[Floorplan Name], INDIRECT("C"&amp;ROW()),
          unit_details[Property Name], INDIRECT("B"&amp;ROW()))</f>
        <v>0</v>
      </c>
      <c r="AB48" s="553"/>
      <c r="AC48" s="528" cm="1">
        <f t="array" aca="1" ref="AC48" ca="1">IFERROR(AVERAGEIFS(
  unit_details[Sqft],
  unit_details[Property Name], INDIRECT("B"&amp;ROW()),
  unit_details[Floorplan Name], INDIRECT("C"&amp;ROW()),
  unit_details[Beds], INDIRECT("D"&amp;ROW()),
  unit_details[Detected Unit Amenities], "*"&amp;$AD$3&amp;"*",
  unit_details[Leased Date], "&gt;=" &amp; ($U$2 - $AF$3)
),0)</f>
        <v>0</v>
      </c>
      <c r="AD48" s="527" cm="1">
        <f t="array" aca="1" ref="AD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 s="526" cm="1">
        <f t="array" aca="1" ref="AE48" ca="1">IFERROR(COUNTIFS(
  unit_details[Property Name], INDIRECT("B"&amp;ROW()),
  unit_details[Floorplan Name], INDIRECT("C"&amp;ROW()),
  unit_details[Beds], INDIRECT("D"&amp;ROW()),
  unit_details[Detected Unit Amenities], "*"&amp;$AD$3&amp;"*",
  unit_details[Leased Date], "&gt;=" &amp; ($U$2 - $AF$3)
),0)</f>
        <v>0</v>
      </c>
      <c r="AF48" s="528" cm="1">
        <f t="array" aca="1" ref="AF48" ca="1">IFERROR(AVERAGEIFS(
  unit_details[Sqft],
  unit_details[Property Name], INDIRECT("B"&amp;ROW()),
  unit_details[Floorplan Name], INDIRECT("C"&amp;ROW()),
  unit_details[Beds], INDIRECT("D"&amp;ROW()),
  unit_details[Detected Unit Amenities], "&lt;&gt;*"&amp;$AD$3&amp;"*",
  unit_details[Leased Date], "&gt;=" &amp; ($U$2 - $AF$3)
),0)</f>
        <v>0</v>
      </c>
      <c r="AG48" s="527" cm="1">
        <f t="array" aca="1" ref="AG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 s="526" cm="1">
        <f t="array" aca="1" ref="AH48" ca="1">IFERROR(COUNTIFS(
  unit_details[Property Name], INDIRECT("B"&amp;ROW()),
  unit_details[Floorplan Name], INDIRECT("C"&amp;ROW()),
  unit_details[Beds], INDIRECT("D"&amp;ROW()),
  unit_details[Detected Unit Amenities], "&lt;&gt;*"&amp;$AD$3&amp;"*",
  unit_details[Leased Date], "&gt;=" &amp; ($U$2 - $AF$3)
),0)</f>
        <v>0</v>
      </c>
      <c r="AI48" s="528"/>
      <c r="AJ48" s="531">
        <f t="shared" ca="1" si="1"/>
        <v>0</v>
      </c>
      <c r="AK48" s="532">
        <f t="shared" ca="1" si="2"/>
        <v>0</v>
      </c>
    </row>
    <row r="49" spans="2:37" x14ac:dyDescent="0.2">
      <c r="B49" s="566"/>
      <c r="C49" s="53"/>
      <c r="E49" s="262"/>
      <c r="F49" s="262"/>
      <c r="J49" s="293"/>
      <c r="K49" s="6"/>
      <c r="M49" s="6"/>
      <c r="N49" s="531" t="str" cm="1">
        <f t="array" aca="1" ref="N4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 s="552" t="str" cm="1">
        <f t="array" aca="1" ref="O4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 s="526" cm="1">
        <f t="array" aca="1" ref="P49" ca="1">COUNTIFS(unit_details[Leased Date], "&gt;=" &amp; ($U$2 - N$5),
          unit_details[Leased Date], "&lt;" &amp; $U$2,
          unit_details[Floorplan Name], INDIRECT("C"&amp;ROW()),
          unit_details[Property Name], INDIRECT("B"&amp;ROW()))</f>
        <v>0</v>
      </c>
      <c r="Q49" s="531" t="str" cm="1">
        <f t="array" aca="1" ref="Q4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 s="552" t="str" cm="1">
        <f t="array" aca="1" ref="R4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 s="526" cm="1">
        <f t="array" aca="1" ref="S49" ca="1">COUNTIFS(unit_details[Leased Date], "&gt;=" &amp; ($U$2 - Q$5),
          unit_details[Leased Date], "&lt;" &amp; $U$2,
          unit_details[Floorplan Name], INDIRECT("C"&amp;ROW()),
          unit_details[Property Name], INDIRECT("B"&amp;ROW()))</f>
        <v>0</v>
      </c>
      <c r="T49" s="531" t="str" cm="1">
        <f t="array" aca="1" ref="T4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 s="552" t="str" cm="1">
        <f t="array" aca="1" ref="U4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 s="526" cm="1">
        <f t="array" aca="1" ref="V49" ca="1">COUNTIFS(unit_details[Leased Date], "&gt;=" &amp; ($U$2 - T$5),
          unit_details[Leased Date], "&lt;" &amp; $U$2,
          unit_details[Floorplan Name], INDIRECT("C"&amp;ROW()),
          unit_details[Property Name], INDIRECT("B"&amp;ROW()))</f>
        <v>0</v>
      </c>
      <c r="W49" s="531" t="str" cm="1">
        <f t="array" aca="1" ref="W4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 s="552" t="str" cm="1">
        <f t="array" aca="1" ref="X4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 s="27" t="str">
        <f t="shared" ca="1" si="0"/>
        <v/>
      </c>
      <c r="Z49" s="4" t="str">
        <f>IFERROR($U$2-AVERAGEIFS(unit_details[First Listed],
          unit_details[Active Listing?],TRUE,
          unit_details[Property Name], $B49,
          unit_details[Beds], $D49,
          unit_details[Baths], $E49,
          unit_details[Partial Baths], IF(ISNUMBER($F49),$F49,""),
          unit_details[Floorplan Name],$C49
),"")</f>
        <v/>
      </c>
      <c r="AA49" s="262" cm="1">
        <f t="array" aca="1" ref="AA49" ca="1">COUNTIFS(unit_details[Active Listing?],TRUE,
          unit_details[Floorplan Name], INDIRECT("C"&amp;ROW()),
          unit_details[Property Name], INDIRECT("B"&amp;ROW()))</f>
        <v>0</v>
      </c>
      <c r="AB49" s="553"/>
      <c r="AC49" s="528" cm="1">
        <f t="array" aca="1" ref="AC49" ca="1">IFERROR(AVERAGEIFS(
  unit_details[Sqft],
  unit_details[Property Name], INDIRECT("B"&amp;ROW()),
  unit_details[Floorplan Name], INDIRECT("C"&amp;ROW()),
  unit_details[Beds], INDIRECT("D"&amp;ROW()),
  unit_details[Detected Unit Amenities], "*"&amp;$AD$3&amp;"*",
  unit_details[Leased Date], "&gt;=" &amp; ($U$2 - $AF$3)
),0)</f>
        <v>0</v>
      </c>
      <c r="AD49" s="527" cm="1">
        <f t="array" aca="1" ref="AD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 s="526" cm="1">
        <f t="array" aca="1" ref="AE49" ca="1">IFERROR(COUNTIFS(
  unit_details[Property Name], INDIRECT("B"&amp;ROW()),
  unit_details[Floorplan Name], INDIRECT("C"&amp;ROW()),
  unit_details[Beds], INDIRECT("D"&amp;ROW()),
  unit_details[Detected Unit Amenities], "*"&amp;$AD$3&amp;"*",
  unit_details[Leased Date], "&gt;=" &amp; ($U$2 - $AF$3)
),0)</f>
        <v>0</v>
      </c>
      <c r="AF49" s="528" cm="1">
        <f t="array" aca="1" ref="AF49" ca="1">IFERROR(AVERAGEIFS(
  unit_details[Sqft],
  unit_details[Property Name], INDIRECT("B"&amp;ROW()),
  unit_details[Floorplan Name], INDIRECT("C"&amp;ROW()),
  unit_details[Beds], INDIRECT("D"&amp;ROW()),
  unit_details[Detected Unit Amenities], "&lt;&gt;*"&amp;$AD$3&amp;"*",
  unit_details[Leased Date], "&gt;=" &amp; ($U$2 - $AF$3)
),0)</f>
        <v>0</v>
      </c>
      <c r="AG49" s="527" cm="1">
        <f t="array" aca="1" ref="AG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 s="526" cm="1">
        <f t="array" aca="1" ref="AH49" ca="1">IFERROR(COUNTIFS(
  unit_details[Property Name], INDIRECT("B"&amp;ROW()),
  unit_details[Floorplan Name], INDIRECT("C"&amp;ROW()),
  unit_details[Beds], INDIRECT("D"&amp;ROW()),
  unit_details[Detected Unit Amenities], "&lt;&gt;*"&amp;$AD$3&amp;"*",
  unit_details[Leased Date], "&gt;=" &amp; ($U$2 - $AF$3)
),0)</f>
        <v>0</v>
      </c>
      <c r="AI49" s="528"/>
      <c r="AJ49" s="531">
        <f t="shared" ca="1" si="1"/>
        <v>0</v>
      </c>
      <c r="AK49" s="532">
        <f t="shared" ca="1" si="2"/>
        <v>0</v>
      </c>
    </row>
    <row r="50" spans="2:37" x14ac:dyDescent="0.2">
      <c r="B50" s="566"/>
      <c r="C50" s="53"/>
      <c r="E50" s="262"/>
      <c r="F50" s="262"/>
      <c r="J50" s="293"/>
      <c r="K50" s="6"/>
      <c r="M50" s="6"/>
      <c r="N50" s="531" t="str" cm="1">
        <f t="array" aca="1" ref="N5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 s="552" t="str" cm="1">
        <f t="array" aca="1" ref="O5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 s="526" cm="1">
        <f t="array" aca="1" ref="P50" ca="1">COUNTIFS(unit_details[Leased Date], "&gt;=" &amp; ($U$2 - N$5),
          unit_details[Leased Date], "&lt;" &amp; $U$2,
          unit_details[Floorplan Name], INDIRECT("C"&amp;ROW()),
          unit_details[Property Name], INDIRECT("B"&amp;ROW()))</f>
        <v>0</v>
      </c>
      <c r="Q50" s="531" t="str" cm="1">
        <f t="array" aca="1" ref="Q5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 s="552" t="str" cm="1">
        <f t="array" aca="1" ref="R5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 s="526" cm="1">
        <f t="array" aca="1" ref="S50" ca="1">COUNTIFS(unit_details[Leased Date], "&gt;=" &amp; ($U$2 - Q$5),
          unit_details[Leased Date], "&lt;" &amp; $U$2,
          unit_details[Floorplan Name], INDIRECT("C"&amp;ROW()),
          unit_details[Property Name], INDIRECT("B"&amp;ROW()))</f>
        <v>0</v>
      </c>
      <c r="T50" s="531" t="str" cm="1">
        <f t="array" aca="1" ref="T5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 s="552" t="str" cm="1">
        <f t="array" aca="1" ref="U5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 s="526" cm="1">
        <f t="array" aca="1" ref="V50" ca="1">COUNTIFS(unit_details[Leased Date], "&gt;=" &amp; ($U$2 - T$5),
          unit_details[Leased Date], "&lt;" &amp; $U$2,
          unit_details[Floorplan Name], INDIRECT("C"&amp;ROW()),
          unit_details[Property Name], INDIRECT("B"&amp;ROW()))</f>
        <v>0</v>
      </c>
      <c r="W50" s="531" t="str" cm="1">
        <f t="array" aca="1" ref="W5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 s="552" t="str" cm="1">
        <f t="array" aca="1" ref="X5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 s="27" t="str">
        <f t="shared" ca="1" si="0"/>
        <v/>
      </c>
      <c r="Z50" s="4" t="str">
        <f>IFERROR($U$2-AVERAGEIFS(unit_details[First Listed],
          unit_details[Active Listing?],TRUE,
          unit_details[Property Name], $B50,
          unit_details[Beds], $D50,
          unit_details[Baths], $E50,
          unit_details[Partial Baths], IF(ISNUMBER($F50),$F50,""),
          unit_details[Floorplan Name],$C50
),"")</f>
        <v/>
      </c>
      <c r="AA50" s="262" cm="1">
        <f t="array" aca="1" ref="AA50" ca="1">COUNTIFS(unit_details[Active Listing?],TRUE,
          unit_details[Floorplan Name], INDIRECT("C"&amp;ROW()),
          unit_details[Property Name], INDIRECT("B"&amp;ROW()))</f>
        <v>0</v>
      </c>
      <c r="AB50" s="553"/>
      <c r="AC50" s="528" cm="1">
        <f t="array" aca="1" ref="AC50" ca="1">IFERROR(AVERAGEIFS(
  unit_details[Sqft],
  unit_details[Property Name], INDIRECT("B"&amp;ROW()),
  unit_details[Floorplan Name], INDIRECT("C"&amp;ROW()),
  unit_details[Beds], INDIRECT("D"&amp;ROW()),
  unit_details[Detected Unit Amenities], "*"&amp;$AD$3&amp;"*",
  unit_details[Leased Date], "&gt;=" &amp; ($U$2 - $AF$3)
),0)</f>
        <v>0</v>
      </c>
      <c r="AD50" s="527" cm="1">
        <f t="array" aca="1" ref="AD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 s="526" cm="1">
        <f t="array" aca="1" ref="AE50" ca="1">IFERROR(COUNTIFS(
  unit_details[Property Name], INDIRECT("B"&amp;ROW()),
  unit_details[Floorplan Name], INDIRECT("C"&amp;ROW()),
  unit_details[Beds], INDIRECT("D"&amp;ROW()),
  unit_details[Detected Unit Amenities], "*"&amp;$AD$3&amp;"*",
  unit_details[Leased Date], "&gt;=" &amp; ($U$2 - $AF$3)
),0)</f>
        <v>0</v>
      </c>
      <c r="AF50" s="528" cm="1">
        <f t="array" aca="1" ref="AF50" ca="1">IFERROR(AVERAGEIFS(
  unit_details[Sqft],
  unit_details[Property Name], INDIRECT("B"&amp;ROW()),
  unit_details[Floorplan Name], INDIRECT("C"&amp;ROW()),
  unit_details[Beds], INDIRECT("D"&amp;ROW()),
  unit_details[Detected Unit Amenities], "&lt;&gt;*"&amp;$AD$3&amp;"*",
  unit_details[Leased Date], "&gt;=" &amp; ($U$2 - $AF$3)
),0)</f>
        <v>0</v>
      </c>
      <c r="AG50" s="527" cm="1">
        <f t="array" aca="1" ref="AG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 s="526" cm="1">
        <f t="array" aca="1" ref="AH50" ca="1">IFERROR(COUNTIFS(
  unit_details[Property Name], INDIRECT("B"&amp;ROW()),
  unit_details[Floorplan Name], INDIRECT("C"&amp;ROW()),
  unit_details[Beds], INDIRECT("D"&amp;ROW()),
  unit_details[Detected Unit Amenities], "&lt;&gt;*"&amp;$AD$3&amp;"*",
  unit_details[Leased Date], "&gt;=" &amp; ($U$2 - $AF$3)
),0)</f>
        <v>0</v>
      </c>
      <c r="AI50" s="528"/>
      <c r="AJ50" s="531">
        <f t="shared" ca="1" si="1"/>
        <v>0</v>
      </c>
      <c r="AK50" s="532">
        <f t="shared" ca="1" si="2"/>
        <v>0</v>
      </c>
    </row>
    <row r="51" spans="2:37" x14ac:dyDescent="0.2">
      <c r="B51" s="566"/>
      <c r="C51" s="53"/>
      <c r="E51" s="262"/>
      <c r="F51" s="262"/>
      <c r="J51" s="293"/>
      <c r="K51" s="6"/>
      <c r="M51" s="6"/>
      <c r="N51" s="531" t="str" cm="1">
        <f t="array" aca="1" ref="N5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1" s="552" t="str" cm="1">
        <f t="array" aca="1" ref="O5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1" s="526" cm="1">
        <f t="array" aca="1" ref="P51" ca="1">COUNTIFS(unit_details[Leased Date], "&gt;=" &amp; ($U$2 - N$5),
          unit_details[Leased Date], "&lt;" &amp; $U$2,
          unit_details[Floorplan Name], INDIRECT("C"&amp;ROW()),
          unit_details[Property Name], INDIRECT("B"&amp;ROW()))</f>
        <v>0</v>
      </c>
      <c r="Q51" s="531" t="str" cm="1">
        <f t="array" aca="1" ref="Q5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1" s="552" t="str" cm="1">
        <f t="array" aca="1" ref="R5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1" s="526" cm="1">
        <f t="array" aca="1" ref="S51" ca="1">COUNTIFS(unit_details[Leased Date], "&gt;=" &amp; ($U$2 - Q$5),
          unit_details[Leased Date], "&lt;" &amp; $U$2,
          unit_details[Floorplan Name], INDIRECT("C"&amp;ROW()),
          unit_details[Property Name], INDIRECT("B"&amp;ROW()))</f>
        <v>0</v>
      </c>
      <c r="T51" s="531" t="str" cm="1">
        <f t="array" aca="1" ref="T5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1" s="552" t="str" cm="1">
        <f t="array" aca="1" ref="U5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1" s="526" cm="1">
        <f t="array" aca="1" ref="V51" ca="1">COUNTIFS(unit_details[Leased Date], "&gt;=" &amp; ($U$2 - T$5),
          unit_details[Leased Date], "&lt;" &amp; $U$2,
          unit_details[Floorplan Name], INDIRECT("C"&amp;ROW()),
          unit_details[Property Name], INDIRECT("B"&amp;ROW()))</f>
        <v>0</v>
      </c>
      <c r="W51" s="531" t="str" cm="1">
        <f t="array" aca="1" ref="W5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1" s="552" t="str" cm="1">
        <f t="array" aca="1" ref="X5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1" s="27" t="str">
        <f t="shared" ca="1" si="0"/>
        <v/>
      </c>
      <c r="Z51" s="4" t="str">
        <f>IFERROR($U$2-AVERAGEIFS(unit_details[First Listed],
          unit_details[Active Listing?],TRUE,
          unit_details[Property Name], $B51,
          unit_details[Beds], $D51,
          unit_details[Baths], $E51,
          unit_details[Partial Baths], IF(ISNUMBER($F51),$F51,""),
          unit_details[Floorplan Name],$C51
),"")</f>
        <v/>
      </c>
      <c r="AA51" s="262" cm="1">
        <f t="array" aca="1" ref="AA51" ca="1">COUNTIFS(unit_details[Active Listing?],TRUE,
          unit_details[Floorplan Name], INDIRECT("C"&amp;ROW()),
          unit_details[Property Name], INDIRECT("B"&amp;ROW()))</f>
        <v>0</v>
      </c>
      <c r="AB51" s="553"/>
      <c r="AC51" s="528" cm="1">
        <f t="array" aca="1" ref="AC51" ca="1">IFERROR(AVERAGEIFS(
  unit_details[Sqft],
  unit_details[Property Name], INDIRECT("B"&amp;ROW()),
  unit_details[Floorplan Name], INDIRECT("C"&amp;ROW()),
  unit_details[Beds], INDIRECT("D"&amp;ROW()),
  unit_details[Detected Unit Amenities], "*"&amp;$AD$3&amp;"*",
  unit_details[Leased Date], "&gt;=" &amp; ($U$2 - $AF$3)
),0)</f>
        <v>0</v>
      </c>
      <c r="AD51" s="527" cm="1">
        <f t="array" aca="1" ref="AD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1" s="526" cm="1">
        <f t="array" aca="1" ref="AE51" ca="1">IFERROR(COUNTIFS(
  unit_details[Property Name], INDIRECT("B"&amp;ROW()),
  unit_details[Floorplan Name], INDIRECT("C"&amp;ROW()),
  unit_details[Beds], INDIRECT("D"&amp;ROW()),
  unit_details[Detected Unit Amenities], "*"&amp;$AD$3&amp;"*",
  unit_details[Leased Date], "&gt;=" &amp; ($U$2 - $AF$3)
),0)</f>
        <v>0</v>
      </c>
      <c r="AF51" s="528" cm="1">
        <f t="array" aca="1" ref="AF51" ca="1">IFERROR(AVERAGEIFS(
  unit_details[Sqft],
  unit_details[Property Name], INDIRECT("B"&amp;ROW()),
  unit_details[Floorplan Name], INDIRECT("C"&amp;ROW()),
  unit_details[Beds], INDIRECT("D"&amp;ROW()),
  unit_details[Detected Unit Amenities], "&lt;&gt;*"&amp;$AD$3&amp;"*",
  unit_details[Leased Date], "&gt;=" &amp; ($U$2 - $AF$3)
),0)</f>
        <v>0</v>
      </c>
      <c r="AG51" s="527" cm="1">
        <f t="array" aca="1" ref="AG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1" s="526" cm="1">
        <f t="array" aca="1" ref="AH51" ca="1">IFERROR(COUNTIFS(
  unit_details[Property Name], INDIRECT("B"&amp;ROW()),
  unit_details[Floorplan Name], INDIRECT("C"&amp;ROW()),
  unit_details[Beds], INDIRECT("D"&amp;ROW()),
  unit_details[Detected Unit Amenities], "&lt;&gt;*"&amp;$AD$3&amp;"*",
  unit_details[Leased Date], "&gt;=" &amp; ($U$2 - $AF$3)
),0)</f>
        <v>0</v>
      </c>
      <c r="AI51" s="528"/>
      <c r="AJ51" s="531">
        <f t="shared" ca="1" si="1"/>
        <v>0</v>
      </c>
      <c r="AK51" s="532">
        <f t="shared" ca="1" si="2"/>
        <v>0</v>
      </c>
    </row>
    <row r="52" spans="2:37" x14ac:dyDescent="0.2">
      <c r="B52" s="566"/>
      <c r="C52" s="53"/>
      <c r="E52" s="262"/>
      <c r="F52" s="262"/>
      <c r="J52" s="293"/>
      <c r="K52" s="6"/>
      <c r="M52" s="6"/>
      <c r="N52" s="531" t="str" cm="1">
        <f t="array" aca="1" ref="N5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2" s="552" t="str" cm="1">
        <f t="array" aca="1" ref="O5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2" s="526" cm="1">
        <f t="array" aca="1" ref="P52" ca="1">COUNTIFS(unit_details[Leased Date], "&gt;=" &amp; ($U$2 - N$5),
          unit_details[Leased Date], "&lt;" &amp; $U$2,
          unit_details[Floorplan Name], INDIRECT("C"&amp;ROW()),
          unit_details[Property Name], INDIRECT("B"&amp;ROW()))</f>
        <v>0</v>
      </c>
      <c r="Q52" s="531" t="str" cm="1">
        <f t="array" aca="1" ref="Q5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2" s="552" t="str" cm="1">
        <f t="array" aca="1" ref="R5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2" s="526" cm="1">
        <f t="array" aca="1" ref="S52" ca="1">COUNTIFS(unit_details[Leased Date], "&gt;=" &amp; ($U$2 - Q$5),
          unit_details[Leased Date], "&lt;" &amp; $U$2,
          unit_details[Floorplan Name], INDIRECT("C"&amp;ROW()),
          unit_details[Property Name], INDIRECT("B"&amp;ROW()))</f>
        <v>0</v>
      </c>
      <c r="T52" s="531" t="str" cm="1">
        <f t="array" aca="1" ref="T5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2" s="552" t="str" cm="1">
        <f t="array" aca="1" ref="U5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2" s="526" cm="1">
        <f t="array" aca="1" ref="V52" ca="1">COUNTIFS(unit_details[Leased Date], "&gt;=" &amp; ($U$2 - T$5),
          unit_details[Leased Date], "&lt;" &amp; $U$2,
          unit_details[Floorplan Name], INDIRECT("C"&amp;ROW()),
          unit_details[Property Name], INDIRECT("B"&amp;ROW()))</f>
        <v>0</v>
      </c>
      <c r="W52" s="531" t="str" cm="1">
        <f t="array" aca="1" ref="W5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2" s="552" t="str" cm="1">
        <f t="array" aca="1" ref="X5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2" s="27" t="str">
        <f t="shared" ca="1" si="0"/>
        <v/>
      </c>
      <c r="Z52" s="4" t="str">
        <f>IFERROR($U$2-AVERAGEIFS(unit_details[First Listed],
          unit_details[Active Listing?],TRUE,
          unit_details[Property Name], $B52,
          unit_details[Beds], $D52,
          unit_details[Baths], $E52,
          unit_details[Partial Baths], IF(ISNUMBER($F52),$F52,""),
          unit_details[Floorplan Name],$C52
),"")</f>
        <v/>
      </c>
      <c r="AA52" s="262" cm="1">
        <f t="array" aca="1" ref="AA52" ca="1">COUNTIFS(unit_details[Active Listing?],TRUE,
          unit_details[Floorplan Name], INDIRECT("C"&amp;ROW()),
          unit_details[Property Name], INDIRECT("B"&amp;ROW()))</f>
        <v>0</v>
      </c>
      <c r="AB52" s="553"/>
      <c r="AC52" s="528" cm="1">
        <f t="array" aca="1" ref="AC52" ca="1">IFERROR(AVERAGEIFS(
  unit_details[Sqft],
  unit_details[Property Name], INDIRECT("B"&amp;ROW()),
  unit_details[Floorplan Name], INDIRECT("C"&amp;ROW()),
  unit_details[Beds], INDIRECT("D"&amp;ROW()),
  unit_details[Detected Unit Amenities], "*"&amp;$AD$3&amp;"*",
  unit_details[Leased Date], "&gt;=" &amp; ($U$2 - $AF$3)
),0)</f>
        <v>0</v>
      </c>
      <c r="AD52" s="527" cm="1">
        <f t="array" aca="1" ref="AD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2" s="526" cm="1">
        <f t="array" aca="1" ref="AE52" ca="1">IFERROR(COUNTIFS(
  unit_details[Property Name], INDIRECT("B"&amp;ROW()),
  unit_details[Floorplan Name], INDIRECT("C"&amp;ROW()),
  unit_details[Beds], INDIRECT("D"&amp;ROW()),
  unit_details[Detected Unit Amenities], "*"&amp;$AD$3&amp;"*",
  unit_details[Leased Date], "&gt;=" &amp; ($U$2 - $AF$3)
),0)</f>
        <v>0</v>
      </c>
      <c r="AF52" s="528" cm="1">
        <f t="array" aca="1" ref="AF52" ca="1">IFERROR(AVERAGEIFS(
  unit_details[Sqft],
  unit_details[Property Name], INDIRECT("B"&amp;ROW()),
  unit_details[Floorplan Name], INDIRECT("C"&amp;ROW()),
  unit_details[Beds], INDIRECT("D"&amp;ROW()),
  unit_details[Detected Unit Amenities], "&lt;&gt;*"&amp;$AD$3&amp;"*",
  unit_details[Leased Date], "&gt;=" &amp; ($U$2 - $AF$3)
),0)</f>
        <v>0</v>
      </c>
      <c r="AG52" s="527" cm="1">
        <f t="array" aca="1" ref="AG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2" s="526" cm="1">
        <f t="array" aca="1" ref="AH52" ca="1">IFERROR(COUNTIFS(
  unit_details[Property Name], INDIRECT("B"&amp;ROW()),
  unit_details[Floorplan Name], INDIRECT("C"&amp;ROW()),
  unit_details[Beds], INDIRECT("D"&amp;ROW()),
  unit_details[Detected Unit Amenities], "&lt;&gt;*"&amp;$AD$3&amp;"*",
  unit_details[Leased Date], "&gt;=" &amp; ($U$2 - $AF$3)
),0)</f>
        <v>0</v>
      </c>
      <c r="AI52" s="528"/>
      <c r="AJ52" s="531">
        <f t="shared" ca="1" si="1"/>
        <v>0</v>
      </c>
      <c r="AK52" s="532">
        <f t="shared" ca="1" si="2"/>
        <v>0</v>
      </c>
    </row>
    <row r="53" spans="2:37" x14ac:dyDescent="0.2">
      <c r="B53" s="566"/>
      <c r="C53" s="53"/>
      <c r="E53" s="262"/>
      <c r="F53" s="262"/>
      <c r="J53" s="293"/>
      <c r="K53" s="6"/>
      <c r="M53" s="6"/>
      <c r="N53" s="531" t="str" cm="1">
        <f t="array" aca="1" ref="N5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3" s="552" t="str" cm="1">
        <f t="array" aca="1" ref="O5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3" s="526" cm="1">
        <f t="array" aca="1" ref="P53" ca="1">COUNTIFS(unit_details[Leased Date], "&gt;=" &amp; ($U$2 - N$5),
          unit_details[Leased Date], "&lt;" &amp; $U$2,
          unit_details[Floorplan Name], INDIRECT("C"&amp;ROW()),
          unit_details[Property Name], INDIRECT("B"&amp;ROW()))</f>
        <v>0</v>
      </c>
      <c r="Q53" s="531" t="str" cm="1">
        <f t="array" aca="1" ref="Q5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3" s="552" t="str" cm="1">
        <f t="array" aca="1" ref="R5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3" s="526" cm="1">
        <f t="array" aca="1" ref="S53" ca="1">COUNTIFS(unit_details[Leased Date], "&gt;=" &amp; ($U$2 - Q$5),
          unit_details[Leased Date], "&lt;" &amp; $U$2,
          unit_details[Floorplan Name], INDIRECT("C"&amp;ROW()),
          unit_details[Property Name], INDIRECT("B"&amp;ROW()))</f>
        <v>0</v>
      </c>
      <c r="T53" s="531" t="str" cm="1">
        <f t="array" aca="1" ref="T5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3" s="552" t="str" cm="1">
        <f t="array" aca="1" ref="U5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3" s="526" cm="1">
        <f t="array" aca="1" ref="V53" ca="1">COUNTIFS(unit_details[Leased Date], "&gt;=" &amp; ($U$2 - T$5),
          unit_details[Leased Date], "&lt;" &amp; $U$2,
          unit_details[Floorplan Name], INDIRECT("C"&amp;ROW()),
          unit_details[Property Name], INDIRECT("B"&amp;ROW()))</f>
        <v>0</v>
      </c>
      <c r="W53" s="531" t="str" cm="1">
        <f t="array" aca="1" ref="W5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3" s="552" t="str" cm="1">
        <f t="array" aca="1" ref="X5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3" s="27" t="str">
        <f t="shared" ca="1" si="0"/>
        <v/>
      </c>
      <c r="Z53" s="4" t="str">
        <f>IFERROR($U$2-AVERAGEIFS(unit_details[First Listed],
          unit_details[Active Listing?],TRUE,
          unit_details[Property Name], $B53,
          unit_details[Beds], $D53,
          unit_details[Baths], $E53,
          unit_details[Partial Baths], IF(ISNUMBER($F53),$F53,""),
          unit_details[Floorplan Name],$C53
),"")</f>
        <v/>
      </c>
      <c r="AA53" s="262" cm="1">
        <f t="array" aca="1" ref="AA53" ca="1">COUNTIFS(unit_details[Active Listing?],TRUE,
          unit_details[Floorplan Name], INDIRECT("C"&amp;ROW()),
          unit_details[Property Name], INDIRECT("B"&amp;ROW()))</f>
        <v>0</v>
      </c>
      <c r="AB53" s="553"/>
      <c r="AC53" s="528" cm="1">
        <f t="array" aca="1" ref="AC53" ca="1">IFERROR(AVERAGEIFS(
  unit_details[Sqft],
  unit_details[Property Name], INDIRECT("B"&amp;ROW()),
  unit_details[Floorplan Name], INDIRECT("C"&amp;ROW()),
  unit_details[Beds], INDIRECT("D"&amp;ROW()),
  unit_details[Detected Unit Amenities], "*"&amp;$AD$3&amp;"*",
  unit_details[Leased Date], "&gt;=" &amp; ($U$2 - $AF$3)
),0)</f>
        <v>0</v>
      </c>
      <c r="AD53" s="527" cm="1">
        <f t="array" aca="1" ref="AD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3" s="526" cm="1">
        <f t="array" aca="1" ref="AE53" ca="1">IFERROR(COUNTIFS(
  unit_details[Property Name], INDIRECT("B"&amp;ROW()),
  unit_details[Floorplan Name], INDIRECT("C"&amp;ROW()),
  unit_details[Beds], INDIRECT("D"&amp;ROW()),
  unit_details[Detected Unit Amenities], "*"&amp;$AD$3&amp;"*",
  unit_details[Leased Date], "&gt;=" &amp; ($U$2 - $AF$3)
),0)</f>
        <v>0</v>
      </c>
      <c r="AF53" s="528" cm="1">
        <f t="array" aca="1" ref="AF53" ca="1">IFERROR(AVERAGEIFS(
  unit_details[Sqft],
  unit_details[Property Name], INDIRECT("B"&amp;ROW()),
  unit_details[Floorplan Name], INDIRECT("C"&amp;ROW()),
  unit_details[Beds], INDIRECT("D"&amp;ROW()),
  unit_details[Detected Unit Amenities], "&lt;&gt;*"&amp;$AD$3&amp;"*",
  unit_details[Leased Date], "&gt;=" &amp; ($U$2 - $AF$3)
),0)</f>
        <v>0</v>
      </c>
      <c r="AG53" s="527" cm="1">
        <f t="array" aca="1" ref="AG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3" s="526" cm="1">
        <f t="array" aca="1" ref="AH53" ca="1">IFERROR(COUNTIFS(
  unit_details[Property Name], INDIRECT("B"&amp;ROW()),
  unit_details[Floorplan Name], INDIRECT("C"&amp;ROW()),
  unit_details[Beds], INDIRECT("D"&amp;ROW()),
  unit_details[Detected Unit Amenities], "&lt;&gt;*"&amp;$AD$3&amp;"*",
  unit_details[Leased Date], "&gt;=" &amp; ($U$2 - $AF$3)
),0)</f>
        <v>0</v>
      </c>
      <c r="AI53" s="528"/>
      <c r="AJ53" s="531">
        <f t="shared" ca="1" si="1"/>
        <v>0</v>
      </c>
      <c r="AK53" s="532">
        <f t="shared" ca="1" si="2"/>
        <v>0</v>
      </c>
    </row>
    <row r="54" spans="2:37" x14ac:dyDescent="0.2">
      <c r="B54" s="566"/>
      <c r="C54" s="53"/>
      <c r="E54" s="262"/>
      <c r="F54" s="262"/>
      <c r="J54" s="293"/>
      <c r="K54" s="6"/>
      <c r="M54" s="6"/>
      <c r="N54" s="531" t="str" cm="1">
        <f t="array" aca="1" ref="N5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4" s="552" t="str" cm="1">
        <f t="array" aca="1" ref="O5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4" s="526" cm="1">
        <f t="array" aca="1" ref="P54" ca="1">COUNTIFS(unit_details[Leased Date], "&gt;=" &amp; ($U$2 - N$5),
          unit_details[Leased Date], "&lt;" &amp; $U$2,
          unit_details[Floorplan Name], INDIRECT("C"&amp;ROW()),
          unit_details[Property Name], INDIRECT("B"&amp;ROW()))</f>
        <v>0</v>
      </c>
      <c r="Q54" s="531" t="str" cm="1">
        <f t="array" aca="1" ref="Q5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4" s="552" t="str" cm="1">
        <f t="array" aca="1" ref="R5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4" s="526" cm="1">
        <f t="array" aca="1" ref="S54" ca="1">COUNTIFS(unit_details[Leased Date], "&gt;=" &amp; ($U$2 - Q$5),
          unit_details[Leased Date], "&lt;" &amp; $U$2,
          unit_details[Floorplan Name], INDIRECT("C"&amp;ROW()),
          unit_details[Property Name], INDIRECT("B"&amp;ROW()))</f>
        <v>0</v>
      </c>
      <c r="T54" s="531" t="str" cm="1">
        <f t="array" aca="1" ref="T5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4" s="552" t="str" cm="1">
        <f t="array" aca="1" ref="U5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4" s="526" cm="1">
        <f t="array" aca="1" ref="V54" ca="1">COUNTIFS(unit_details[Leased Date], "&gt;=" &amp; ($U$2 - T$5),
          unit_details[Leased Date], "&lt;" &amp; $U$2,
          unit_details[Floorplan Name], INDIRECT("C"&amp;ROW()),
          unit_details[Property Name], INDIRECT("B"&amp;ROW()))</f>
        <v>0</v>
      </c>
      <c r="W54" s="531" t="str" cm="1">
        <f t="array" aca="1" ref="W5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4" s="552" t="str" cm="1">
        <f t="array" aca="1" ref="X5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4" s="27" t="str">
        <f t="shared" ca="1" si="0"/>
        <v/>
      </c>
      <c r="Z54" s="4" t="str">
        <f>IFERROR($U$2-AVERAGEIFS(unit_details[First Listed],
          unit_details[Active Listing?],TRUE,
          unit_details[Property Name], $B54,
          unit_details[Beds], $D54,
          unit_details[Baths], $E54,
          unit_details[Partial Baths], IF(ISNUMBER($F54),$F54,""),
          unit_details[Floorplan Name],$C54
),"")</f>
        <v/>
      </c>
      <c r="AA54" s="262" cm="1">
        <f t="array" aca="1" ref="AA54" ca="1">COUNTIFS(unit_details[Active Listing?],TRUE,
          unit_details[Floorplan Name], INDIRECT("C"&amp;ROW()),
          unit_details[Property Name], INDIRECT("B"&amp;ROW()))</f>
        <v>0</v>
      </c>
      <c r="AB54" s="553"/>
      <c r="AC54" s="528" cm="1">
        <f t="array" aca="1" ref="AC54" ca="1">IFERROR(AVERAGEIFS(
  unit_details[Sqft],
  unit_details[Property Name], INDIRECT("B"&amp;ROW()),
  unit_details[Floorplan Name], INDIRECT("C"&amp;ROW()),
  unit_details[Beds], INDIRECT("D"&amp;ROW()),
  unit_details[Detected Unit Amenities], "*"&amp;$AD$3&amp;"*",
  unit_details[Leased Date], "&gt;=" &amp; ($U$2 - $AF$3)
),0)</f>
        <v>0</v>
      </c>
      <c r="AD54" s="527" cm="1">
        <f t="array" aca="1" ref="AD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4" s="526" cm="1">
        <f t="array" aca="1" ref="AE54" ca="1">IFERROR(COUNTIFS(
  unit_details[Property Name], INDIRECT("B"&amp;ROW()),
  unit_details[Floorplan Name], INDIRECT("C"&amp;ROW()),
  unit_details[Beds], INDIRECT("D"&amp;ROW()),
  unit_details[Detected Unit Amenities], "*"&amp;$AD$3&amp;"*",
  unit_details[Leased Date], "&gt;=" &amp; ($U$2 - $AF$3)
),0)</f>
        <v>0</v>
      </c>
      <c r="AF54" s="528" cm="1">
        <f t="array" aca="1" ref="AF54" ca="1">IFERROR(AVERAGEIFS(
  unit_details[Sqft],
  unit_details[Property Name], INDIRECT("B"&amp;ROW()),
  unit_details[Floorplan Name], INDIRECT("C"&amp;ROW()),
  unit_details[Beds], INDIRECT("D"&amp;ROW()),
  unit_details[Detected Unit Amenities], "&lt;&gt;*"&amp;$AD$3&amp;"*",
  unit_details[Leased Date], "&gt;=" &amp; ($U$2 - $AF$3)
),0)</f>
        <v>0</v>
      </c>
      <c r="AG54" s="527" cm="1">
        <f t="array" aca="1" ref="AG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4" s="526" cm="1">
        <f t="array" aca="1" ref="AH54" ca="1">IFERROR(COUNTIFS(
  unit_details[Property Name], INDIRECT("B"&amp;ROW()),
  unit_details[Floorplan Name], INDIRECT("C"&amp;ROW()),
  unit_details[Beds], INDIRECT("D"&amp;ROW()),
  unit_details[Detected Unit Amenities], "&lt;&gt;*"&amp;$AD$3&amp;"*",
  unit_details[Leased Date], "&gt;=" &amp; ($U$2 - $AF$3)
),0)</f>
        <v>0</v>
      </c>
      <c r="AI54" s="528"/>
      <c r="AJ54" s="531">
        <f t="shared" ca="1" si="1"/>
        <v>0</v>
      </c>
      <c r="AK54" s="532">
        <f t="shared" ca="1" si="2"/>
        <v>0</v>
      </c>
    </row>
    <row r="55" spans="2:37" x14ac:dyDescent="0.2">
      <c r="B55" s="566"/>
      <c r="C55" s="53"/>
      <c r="E55" s="262"/>
      <c r="F55" s="262"/>
      <c r="J55" s="293"/>
      <c r="K55" s="6"/>
      <c r="M55" s="6"/>
      <c r="N55" s="531" t="str" cm="1">
        <f t="array" aca="1" ref="N5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5" s="552" t="str" cm="1">
        <f t="array" aca="1" ref="O5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5" s="526" cm="1">
        <f t="array" aca="1" ref="P55" ca="1">COUNTIFS(unit_details[Leased Date], "&gt;=" &amp; ($U$2 - N$5),
          unit_details[Leased Date], "&lt;" &amp; $U$2,
          unit_details[Floorplan Name], INDIRECT("C"&amp;ROW()),
          unit_details[Property Name], INDIRECT("B"&amp;ROW()))</f>
        <v>0</v>
      </c>
      <c r="Q55" s="531" t="str" cm="1">
        <f t="array" aca="1" ref="Q5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5" s="552" t="str" cm="1">
        <f t="array" aca="1" ref="R5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5" s="526" cm="1">
        <f t="array" aca="1" ref="S55" ca="1">COUNTIFS(unit_details[Leased Date], "&gt;=" &amp; ($U$2 - Q$5),
          unit_details[Leased Date], "&lt;" &amp; $U$2,
          unit_details[Floorplan Name], INDIRECT("C"&amp;ROW()),
          unit_details[Property Name], INDIRECT("B"&amp;ROW()))</f>
        <v>0</v>
      </c>
      <c r="T55" s="531" t="str" cm="1">
        <f t="array" aca="1" ref="T5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5" s="552" t="str" cm="1">
        <f t="array" aca="1" ref="U5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5" s="526" cm="1">
        <f t="array" aca="1" ref="V55" ca="1">COUNTIFS(unit_details[Leased Date], "&gt;=" &amp; ($U$2 - T$5),
          unit_details[Leased Date], "&lt;" &amp; $U$2,
          unit_details[Floorplan Name], INDIRECT("C"&amp;ROW()),
          unit_details[Property Name], INDIRECT("B"&amp;ROW()))</f>
        <v>0</v>
      </c>
      <c r="W55" s="531" t="str" cm="1">
        <f t="array" aca="1" ref="W5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5" s="552" t="str" cm="1">
        <f t="array" aca="1" ref="X5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5" s="27" t="str">
        <f t="shared" ca="1" si="0"/>
        <v/>
      </c>
      <c r="Z55" s="4" t="str">
        <f>IFERROR($U$2-AVERAGEIFS(unit_details[First Listed],
          unit_details[Active Listing?],TRUE,
          unit_details[Property Name], $B55,
          unit_details[Beds], $D55,
          unit_details[Baths], $E55,
          unit_details[Partial Baths], IF(ISNUMBER($F55),$F55,""),
          unit_details[Floorplan Name],$C55
),"")</f>
        <v/>
      </c>
      <c r="AA55" s="262" cm="1">
        <f t="array" aca="1" ref="AA55" ca="1">COUNTIFS(unit_details[Active Listing?],TRUE,
          unit_details[Floorplan Name], INDIRECT("C"&amp;ROW()),
          unit_details[Property Name], INDIRECT("B"&amp;ROW()))</f>
        <v>0</v>
      </c>
      <c r="AB55" s="553"/>
      <c r="AC55" s="528" cm="1">
        <f t="array" aca="1" ref="AC55" ca="1">IFERROR(AVERAGEIFS(
  unit_details[Sqft],
  unit_details[Property Name], INDIRECT("B"&amp;ROW()),
  unit_details[Floorplan Name], INDIRECT("C"&amp;ROW()),
  unit_details[Beds], INDIRECT("D"&amp;ROW()),
  unit_details[Detected Unit Amenities], "*"&amp;$AD$3&amp;"*",
  unit_details[Leased Date], "&gt;=" &amp; ($U$2 - $AF$3)
),0)</f>
        <v>0</v>
      </c>
      <c r="AD55" s="527" cm="1">
        <f t="array" aca="1" ref="AD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5" s="526" cm="1">
        <f t="array" aca="1" ref="AE55" ca="1">IFERROR(COUNTIFS(
  unit_details[Property Name], INDIRECT("B"&amp;ROW()),
  unit_details[Floorplan Name], INDIRECT("C"&amp;ROW()),
  unit_details[Beds], INDIRECT("D"&amp;ROW()),
  unit_details[Detected Unit Amenities], "*"&amp;$AD$3&amp;"*",
  unit_details[Leased Date], "&gt;=" &amp; ($U$2 - $AF$3)
),0)</f>
        <v>0</v>
      </c>
      <c r="AF55" s="528" cm="1">
        <f t="array" aca="1" ref="AF55" ca="1">IFERROR(AVERAGEIFS(
  unit_details[Sqft],
  unit_details[Property Name], INDIRECT("B"&amp;ROW()),
  unit_details[Floorplan Name], INDIRECT("C"&amp;ROW()),
  unit_details[Beds], INDIRECT("D"&amp;ROW()),
  unit_details[Detected Unit Amenities], "&lt;&gt;*"&amp;$AD$3&amp;"*",
  unit_details[Leased Date], "&gt;=" &amp; ($U$2 - $AF$3)
),0)</f>
        <v>0</v>
      </c>
      <c r="AG55" s="527" cm="1">
        <f t="array" aca="1" ref="AG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5" s="526" cm="1">
        <f t="array" aca="1" ref="AH55" ca="1">IFERROR(COUNTIFS(
  unit_details[Property Name], INDIRECT("B"&amp;ROW()),
  unit_details[Floorplan Name], INDIRECT("C"&amp;ROW()),
  unit_details[Beds], INDIRECT("D"&amp;ROW()),
  unit_details[Detected Unit Amenities], "&lt;&gt;*"&amp;$AD$3&amp;"*",
  unit_details[Leased Date], "&gt;=" &amp; ($U$2 - $AF$3)
),0)</f>
        <v>0</v>
      </c>
      <c r="AI55" s="528"/>
      <c r="AJ55" s="531">
        <f t="shared" ca="1" si="1"/>
        <v>0</v>
      </c>
      <c r="AK55" s="532">
        <f t="shared" ca="1" si="2"/>
        <v>0</v>
      </c>
    </row>
    <row r="56" spans="2:37" x14ac:dyDescent="0.2">
      <c r="B56" s="566"/>
      <c r="C56" s="53"/>
      <c r="E56" s="262"/>
      <c r="F56" s="262"/>
      <c r="J56" s="293"/>
      <c r="K56" s="6"/>
      <c r="M56" s="6"/>
      <c r="N56" s="531" t="str" cm="1">
        <f t="array" aca="1" ref="N5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6" s="552" t="str" cm="1">
        <f t="array" aca="1" ref="O5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6" s="526" cm="1">
        <f t="array" aca="1" ref="P56" ca="1">COUNTIFS(unit_details[Leased Date], "&gt;=" &amp; ($U$2 - N$5),
          unit_details[Leased Date], "&lt;" &amp; $U$2,
          unit_details[Floorplan Name], INDIRECT("C"&amp;ROW()),
          unit_details[Property Name], INDIRECT("B"&amp;ROW()))</f>
        <v>0</v>
      </c>
      <c r="Q56" s="531" t="str" cm="1">
        <f t="array" aca="1" ref="Q5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6" s="552" t="str" cm="1">
        <f t="array" aca="1" ref="R5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6" s="526" cm="1">
        <f t="array" aca="1" ref="S56" ca="1">COUNTIFS(unit_details[Leased Date], "&gt;=" &amp; ($U$2 - Q$5),
          unit_details[Leased Date], "&lt;" &amp; $U$2,
          unit_details[Floorplan Name], INDIRECT("C"&amp;ROW()),
          unit_details[Property Name], INDIRECT("B"&amp;ROW()))</f>
        <v>0</v>
      </c>
      <c r="T56" s="531" t="str" cm="1">
        <f t="array" aca="1" ref="T5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6" s="552" t="str" cm="1">
        <f t="array" aca="1" ref="U5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6" s="526" cm="1">
        <f t="array" aca="1" ref="V56" ca="1">COUNTIFS(unit_details[Leased Date], "&gt;=" &amp; ($U$2 - T$5),
          unit_details[Leased Date], "&lt;" &amp; $U$2,
          unit_details[Floorplan Name], INDIRECT("C"&amp;ROW()),
          unit_details[Property Name], INDIRECT("B"&amp;ROW()))</f>
        <v>0</v>
      </c>
      <c r="W56" s="531" t="str" cm="1">
        <f t="array" aca="1" ref="W5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6" s="552" t="str" cm="1">
        <f t="array" aca="1" ref="X5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6" s="27" t="str">
        <f t="shared" ca="1" si="0"/>
        <v/>
      </c>
      <c r="Z56" s="4" t="str">
        <f>IFERROR($U$2-AVERAGEIFS(unit_details[First Listed],
          unit_details[Active Listing?],TRUE,
          unit_details[Property Name], $B56,
          unit_details[Beds], $D56,
          unit_details[Baths], $E56,
          unit_details[Partial Baths], IF(ISNUMBER($F56),$F56,""),
          unit_details[Floorplan Name],$C56
),"")</f>
        <v/>
      </c>
      <c r="AA56" s="262" cm="1">
        <f t="array" aca="1" ref="AA56" ca="1">COUNTIFS(unit_details[Active Listing?],TRUE,
          unit_details[Floorplan Name], INDIRECT("C"&amp;ROW()),
          unit_details[Property Name], INDIRECT("B"&amp;ROW()))</f>
        <v>0</v>
      </c>
      <c r="AB56" s="553"/>
      <c r="AC56" s="528" cm="1">
        <f t="array" aca="1" ref="AC56" ca="1">IFERROR(AVERAGEIFS(
  unit_details[Sqft],
  unit_details[Property Name], INDIRECT("B"&amp;ROW()),
  unit_details[Floorplan Name], INDIRECT("C"&amp;ROW()),
  unit_details[Beds], INDIRECT("D"&amp;ROW()),
  unit_details[Detected Unit Amenities], "*"&amp;$AD$3&amp;"*",
  unit_details[Leased Date], "&gt;=" &amp; ($U$2 - $AF$3)
),0)</f>
        <v>0</v>
      </c>
      <c r="AD56" s="527" cm="1">
        <f t="array" aca="1" ref="AD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6" s="526" cm="1">
        <f t="array" aca="1" ref="AE56" ca="1">IFERROR(COUNTIFS(
  unit_details[Property Name], INDIRECT("B"&amp;ROW()),
  unit_details[Floorplan Name], INDIRECT("C"&amp;ROW()),
  unit_details[Beds], INDIRECT("D"&amp;ROW()),
  unit_details[Detected Unit Amenities], "*"&amp;$AD$3&amp;"*",
  unit_details[Leased Date], "&gt;=" &amp; ($U$2 - $AF$3)
),0)</f>
        <v>0</v>
      </c>
      <c r="AF56" s="528" cm="1">
        <f t="array" aca="1" ref="AF56" ca="1">IFERROR(AVERAGEIFS(
  unit_details[Sqft],
  unit_details[Property Name], INDIRECT("B"&amp;ROW()),
  unit_details[Floorplan Name], INDIRECT("C"&amp;ROW()),
  unit_details[Beds], INDIRECT("D"&amp;ROW()),
  unit_details[Detected Unit Amenities], "&lt;&gt;*"&amp;$AD$3&amp;"*",
  unit_details[Leased Date], "&gt;=" &amp; ($U$2 - $AF$3)
),0)</f>
        <v>0</v>
      </c>
      <c r="AG56" s="527" cm="1">
        <f t="array" aca="1" ref="AG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6" s="526" cm="1">
        <f t="array" aca="1" ref="AH56" ca="1">IFERROR(COUNTIFS(
  unit_details[Property Name], INDIRECT("B"&amp;ROW()),
  unit_details[Floorplan Name], INDIRECT("C"&amp;ROW()),
  unit_details[Beds], INDIRECT("D"&amp;ROW()),
  unit_details[Detected Unit Amenities], "&lt;&gt;*"&amp;$AD$3&amp;"*",
  unit_details[Leased Date], "&gt;=" &amp; ($U$2 - $AF$3)
),0)</f>
        <v>0</v>
      </c>
      <c r="AI56" s="528"/>
      <c r="AJ56" s="531">
        <f t="shared" ca="1" si="1"/>
        <v>0</v>
      </c>
      <c r="AK56" s="532">
        <f t="shared" ca="1" si="2"/>
        <v>0</v>
      </c>
    </row>
    <row r="57" spans="2:37" x14ac:dyDescent="0.2">
      <c r="B57" s="566"/>
      <c r="C57" s="53"/>
      <c r="E57" s="262"/>
      <c r="F57" s="262"/>
      <c r="J57" s="293"/>
      <c r="K57" s="6"/>
      <c r="M57" s="6"/>
      <c r="N57" s="531" t="str" cm="1">
        <f t="array" aca="1" ref="N5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7" s="552" t="str" cm="1">
        <f t="array" aca="1" ref="O5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7" s="526" cm="1">
        <f t="array" aca="1" ref="P57" ca="1">COUNTIFS(unit_details[Leased Date], "&gt;=" &amp; ($U$2 - N$5),
          unit_details[Leased Date], "&lt;" &amp; $U$2,
          unit_details[Floorplan Name], INDIRECT("C"&amp;ROW()),
          unit_details[Property Name], INDIRECT("B"&amp;ROW()))</f>
        <v>0</v>
      </c>
      <c r="Q57" s="531" t="str" cm="1">
        <f t="array" aca="1" ref="Q5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7" s="552" t="str" cm="1">
        <f t="array" aca="1" ref="R5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7" s="526" cm="1">
        <f t="array" aca="1" ref="S57" ca="1">COUNTIFS(unit_details[Leased Date], "&gt;=" &amp; ($U$2 - Q$5),
          unit_details[Leased Date], "&lt;" &amp; $U$2,
          unit_details[Floorplan Name], INDIRECT("C"&amp;ROW()),
          unit_details[Property Name], INDIRECT("B"&amp;ROW()))</f>
        <v>0</v>
      </c>
      <c r="T57" s="531" t="str" cm="1">
        <f t="array" aca="1" ref="T5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7" s="552" t="str" cm="1">
        <f t="array" aca="1" ref="U5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7" s="526" cm="1">
        <f t="array" aca="1" ref="V57" ca="1">COUNTIFS(unit_details[Leased Date], "&gt;=" &amp; ($U$2 - T$5),
          unit_details[Leased Date], "&lt;" &amp; $U$2,
          unit_details[Floorplan Name], INDIRECT("C"&amp;ROW()),
          unit_details[Property Name], INDIRECT("B"&amp;ROW()))</f>
        <v>0</v>
      </c>
      <c r="W57" s="531" t="str" cm="1">
        <f t="array" aca="1" ref="W5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7" s="552" t="str" cm="1">
        <f t="array" aca="1" ref="X5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7" s="27" t="str">
        <f t="shared" ca="1" si="0"/>
        <v/>
      </c>
      <c r="Z57" s="4" t="str">
        <f>IFERROR($U$2-AVERAGEIFS(unit_details[First Listed],
          unit_details[Active Listing?],TRUE,
          unit_details[Property Name], $B57,
          unit_details[Beds], $D57,
          unit_details[Baths], $E57,
          unit_details[Partial Baths], IF(ISNUMBER($F57),$F57,""),
          unit_details[Floorplan Name],$C57
),"")</f>
        <v/>
      </c>
      <c r="AA57" s="262" cm="1">
        <f t="array" aca="1" ref="AA57" ca="1">COUNTIFS(unit_details[Active Listing?],TRUE,
          unit_details[Floorplan Name], INDIRECT("C"&amp;ROW()),
          unit_details[Property Name], INDIRECT("B"&amp;ROW()))</f>
        <v>0</v>
      </c>
      <c r="AB57" s="553"/>
      <c r="AC57" s="528" cm="1">
        <f t="array" aca="1" ref="AC57" ca="1">IFERROR(AVERAGEIFS(
  unit_details[Sqft],
  unit_details[Property Name], INDIRECT("B"&amp;ROW()),
  unit_details[Floorplan Name], INDIRECT("C"&amp;ROW()),
  unit_details[Beds], INDIRECT("D"&amp;ROW()),
  unit_details[Detected Unit Amenities], "*"&amp;$AD$3&amp;"*",
  unit_details[Leased Date], "&gt;=" &amp; ($U$2 - $AF$3)
),0)</f>
        <v>0</v>
      </c>
      <c r="AD57" s="527" cm="1">
        <f t="array" aca="1" ref="AD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7" s="526" cm="1">
        <f t="array" aca="1" ref="AE57" ca="1">IFERROR(COUNTIFS(
  unit_details[Property Name], INDIRECT("B"&amp;ROW()),
  unit_details[Floorplan Name], INDIRECT("C"&amp;ROW()),
  unit_details[Beds], INDIRECT("D"&amp;ROW()),
  unit_details[Detected Unit Amenities], "*"&amp;$AD$3&amp;"*",
  unit_details[Leased Date], "&gt;=" &amp; ($U$2 - $AF$3)
),0)</f>
        <v>0</v>
      </c>
      <c r="AF57" s="528" cm="1">
        <f t="array" aca="1" ref="AF57" ca="1">IFERROR(AVERAGEIFS(
  unit_details[Sqft],
  unit_details[Property Name], INDIRECT("B"&amp;ROW()),
  unit_details[Floorplan Name], INDIRECT("C"&amp;ROW()),
  unit_details[Beds], INDIRECT("D"&amp;ROW()),
  unit_details[Detected Unit Amenities], "&lt;&gt;*"&amp;$AD$3&amp;"*",
  unit_details[Leased Date], "&gt;=" &amp; ($U$2 - $AF$3)
),0)</f>
        <v>0</v>
      </c>
      <c r="AG57" s="527" cm="1">
        <f t="array" aca="1" ref="AG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7" s="526" cm="1">
        <f t="array" aca="1" ref="AH57" ca="1">IFERROR(COUNTIFS(
  unit_details[Property Name], INDIRECT("B"&amp;ROW()),
  unit_details[Floorplan Name], INDIRECT("C"&amp;ROW()),
  unit_details[Beds], INDIRECT("D"&amp;ROW()),
  unit_details[Detected Unit Amenities], "&lt;&gt;*"&amp;$AD$3&amp;"*",
  unit_details[Leased Date], "&gt;=" &amp; ($U$2 - $AF$3)
),0)</f>
        <v>0</v>
      </c>
      <c r="AI57" s="528"/>
      <c r="AJ57" s="531">
        <f t="shared" ca="1" si="1"/>
        <v>0</v>
      </c>
      <c r="AK57" s="532">
        <f t="shared" ca="1" si="2"/>
        <v>0</v>
      </c>
    </row>
    <row r="58" spans="2:37" x14ac:dyDescent="0.2">
      <c r="B58" s="566"/>
      <c r="C58" s="53"/>
      <c r="E58" s="262"/>
      <c r="F58" s="262"/>
      <c r="J58" s="293"/>
      <c r="K58" s="6"/>
      <c r="M58" s="6"/>
      <c r="N58" s="531" t="str" cm="1">
        <f t="array" aca="1" ref="N5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8" s="552" t="str" cm="1">
        <f t="array" aca="1" ref="O5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8" s="526" cm="1">
        <f t="array" aca="1" ref="P58" ca="1">COUNTIFS(unit_details[Leased Date], "&gt;=" &amp; ($U$2 - N$5),
          unit_details[Leased Date], "&lt;" &amp; $U$2,
          unit_details[Floorplan Name], INDIRECT("C"&amp;ROW()),
          unit_details[Property Name], INDIRECT("B"&amp;ROW()))</f>
        <v>0</v>
      </c>
      <c r="Q58" s="531" t="str" cm="1">
        <f t="array" aca="1" ref="Q5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8" s="552" t="str" cm="1">
        <f t="array" aca="1" ref="R5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8" s="526" cm="1">
        <f t="array" aca="1" ref="S58" ca="1">COUNTIFS(unit_details[Leased Date], "&gt;=" &amp; ($U$2 - Q$5),
          unit_details[Leased Date], "&lt;" &amp; $U$2,
          unit_details[Floorplan Name], INDIRECT("C"&amp;ROW()),
          unit_details[Property Name], INDIRECT("B"&amp;ROW()))</f>
        <v>0</v>
      </c>
      <c r="T58" s="531" t="str" cm="1">
        <f t="array" aca="1" ref="T5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8" s="552" t="str" cm="1">
        <f t="array" aca="1" ref="U5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8" s="526" cm="1">
        <f t="array" aca="1" ref="V58" ca="1">COUNTIFS(unit_details[Leased Date], "&gt;=" &amp; ($U$2 - T$5),
          unit_details[Leased Date], "&lt;" &amp; $U$2,
          unit_details[Floorplan Name], INDIRECT("C"&amp;ROW()),
          unit_details[Property Name], INDIRECT("B"&amp;ROW()))</f>
        <v>0</v>
      </c>
      <c r="W58" s="531" t="str" cm="1">
        <f t="array" aca="1" ref="W5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8" s="552" t="str" cm="1">
        <f t="array" aca="1" ref="X5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8" s="27" t="str">
        <f t="shared" ca="1" si="0"/>
        <v/>
      </c>
      <c r="Z58" s="4" t="str">
        <f>IFERROR($U$2-AVERAGEIFS(unit_details[First Listed],
          unit_details[Active Listing?],TRUE,
          unit_details[Property Name], $B58,
          unit_details[Beds], $D58,
          unit_details[Baths], $E58,
          unit_details[Partial Baths], IF(ISNUMBER($F58),$F58,""),
          unit_details[Floorplan Name],$C58
),"")</f>
        <v/>
      </c>
      <c r="AA58" s="262" cm="1">
        <f t="array" aca="1" ref="AA58" ca="1">COUNTIFS(unit_details[Active Listing?],TRUE,
          unit_details[Floorplan Name], INDIRECT("C"&amp;ROW()),
          unit_details[Property Name], INDIRECT("B"&amp;ROW()))</f>
        <v>0</v>
      </c>
      <c r="AB58" s="553"/>
      <c r="AC58" s="528" cm="1">
        <f t="array" aca="1" ref="AC58" ca="1">IFERROR(AVERAGEIFS(
  unit_details[Sqft],
  unit_details[Property Name], INDIRECT("B"&amp;ROW()),
  unit_details[Floorplan Name], INDIRECT("C"&amp;ROW()),
  unit_details[Beds], INDIRECT("D"&amp;ROW()),
  unit_details[Detected Unit Amenities], "*"&amp;$AD$3&amp;"*",
  unit_details[Leased Date], "&gt;=" &amp; ($U$2 - $AF$3)
),0)</f>
        <v>0</v>
      </c>
      <c r="AD58" s="527" cm="1">
        <f t="array" aca="1" ref="AD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8" s="526" cm="1">
        <f t="array" aca="1" ref="AE58" ca="1">IFERROR(COUNTIFS(
  unit_details[Property Name], INDIRECT("B"&amp;ROW()),
  unit_details[Floorplan Name], INDIRECT("C"&amp;ROW()),
  unit_details[Beds], INDIRECT("D"&amp;ROW()),
  unit_details[Detected Unit Amenities], "*"&amp;$AD$3&amp;"*",
  unit_details[Leased Date], "&gt;=" &amp; ($U$2 - $AF$3)
),0)</f>
        <v>0</v>
      </c>
      <c r="AF58" s="528" cm="1">
        <f t="array" aca="1" ref="AF58" ca="1">IFERROR(AVERAGEIFS(
  unit_details[Sqft],
  unit_details[Property Name], INDIRECT("B"&amp;ROW()),
  unit_details[Floorplan Name], INDIRECT("C"&amp;ROW()),
  unit_details[Beds], INDIRECT("D"&amp;ROW()),
  unit_details[Detected Unit Amenities], "&lt;&gt;*"&amp;$AD$3&amp;"*",
  unit_details[Leased Date], "&gt;=" &amp; ($U$2 - $AF$3)
),0)</f>
        <v>0</v>
      </c>
      <c r="AG58" s="527" cm="1">
        <f t="array" aca="1" ref="AG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8" s="526" cm="1">
        <f t="array" aca="1" ref="AH58" ca="1">IFERROR(COUNTIFS(
  unit_details[Property Name], INDIRECT("B"&amp;ROW()),
  unit_details[Floorplan Name], INDIRECT("C"&amp;ROW()),
  unit_details[Beds], INDIRECT("D"&amp;ROW()),
  unit_details[Detected Unit Amenities], "&lt;&gt;*"&amp;$AD$3&amp;"*",
  unit_details[Leased Date], "&gt;=" &amp; ($U$2 - $AF$3)
),0)</f>
        <v>0</v>
      </c>
      <c r="AI58" s="528"/>
      <c r="AJ58" s="531">
        <f t="shared" ca="1" si="1"/>
        <v>0</v>
      </c>
      <c r="AK58" s="532">
        <f t="shared" ca="1" si="2"/>
        <v>0</v>
      </c>
    </row>
    <row r="59" spans="2:37" x14ac:dyDescent="0.2">
      <c r="B59" s="566"/>
      <c r="C59" s="53"/>
      <c r="E59" s="262"/>
      <c r="F59" s="262"/>
      <c r="J59" s="293"/>
      <c r="K59" s="6"/>
      <c r="M59" s="6"/>
      <c r="N59" s="531" t="str" cm="1">
        <f t="array" aca="1" ref="N5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9" s="552" t="str" cm="1">
        <f t="array" aca="1" ref="O5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9" s="526" cm="1">
        <f t="array" aca="1" ref="P59" ca="1">COUNTIFS(unit_details[Leased Date], "&gt;=" &amp; ($U$2 - N$5),
          unit_details[Leased Date], "&lt;" &amp; $U$2,
          unit_details[Floorplan Name], INDIRECT("C"&amp;ROW()),
          unit_details[Property Name], INDIRECT("B"&amp;ROW()))</f>
        <v>0</v>
      </c>
      <c r="Q59" s="531" t="str" cm="1">
        <f t="array" aca="1" ref="Q5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9" s="552" t="str" cm="1">
        <f t="array" aca="1" ref="R5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9" s="526" cm="1">
        <f t="array" aca="1" ref="S59" ca="1">COUNTIFS(unit_details[Leased Date], "&gt;=" &amp; ($U$2 - Q$5),
          unit_details[Leased Date], "&lt;" &amp; $U$2,
          unit_details[Floorplan Name], INDIRECT("C"&amp;ROW()),
          unit_details[Property Name], INDIRECT("B"&amp;ROW()))</f>
        <v>0</v>
      </c>
      <c r="T59" s="531" t="str" cm="1">
        <f t="array" aca="1" ref="T5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9" s="552" t="str" cm="1">
        <f t="array" aca="1" ref="U5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9" s="526" cm="1">
        <f t="array" aca="1" ref="V59" ca="1">COUNTIFS(unit_details[Leased Date], "&gt;=" &amp; ($U$2 - T$5),
          unit_details[Leased Date], "&lt;" &amp; $U$2,
          unit_details[Floorplan Name], INDIRECT("C"&amp;ROW()),
          unit_details[Property Name], INDIRECT("B"&amp;ROW()))</f>
        <v>0</v>
      </c>
      <c r="W59" s="531" t="str" cm="1">
        <f t="array" aca="1" ref="W5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9" s="552" t="str" cm="1">
        <f t="array" aca="1" ref="X5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9" s="27" t="str">
        <f t="shared" ca="1" si="0"/>
        <v/>
      </c>
      <c r="Z59" s="4" t="str">
        <f>IFERROR($U$2-AVERAGEIFS(unit_details[First Listed],
          unit_details[Active Listing?],TRUE,
          unit_details[Property Name], $B59,
          unit_details[Beds], $D59,
          unit_details[Baths], $E59,
          unit_details[Partial Baths], IF(ISNUMBER($F59),$F59,""),
          unit_details[Floorplan Name],$C59
),"")</f>
        <v/>
      </c>
      <c r="AA59" s="262" cm="1">
        <f t="array" aca="1" ref="AA59" ca="1">COUNTIFS(unit_details[Active Listing?],TRUE,
          unit_details[Floorplan Name], INDIRECT("C"&amp;ROW()),
          unit_details[Property Name], INDIRECT("B"&amp;ROW()))</f>
        <v>0</v>
      </c>
      <c r="AB59" s="553"/>
      <c r="AC59" s="528" cm="1">
        <f t="array" aca="1" ref="AC59" ca="1">IFERROR(AVERAGEIFS(
  unit_details[Sqft],
  unit_details[Property Name], INDIRECT("B"&amp;ROW()),
  unit_details[Floorplan Name], INDIRECT("C"&amp;ROW()),
  unit_details[Beds], INDIRECT("D"&amp;ROW()),
  unit_details[Detected Unit Amenities], "*"&amp;$AD$3&amp;"*",
  unit_details[Leased Date], "&gt;=" &amp; ($U$2 - $AF$3)
),0)</f>
        <v>0</v>
      </c>
      <c r="AD59" s="527" cm="1">
        <f t="array" aca="1" ref="AD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9" s="526" cm="1">
        <f t="array" aca="1" ref="AE59" ca="1">IFERROR(COUNTIFS(
  unit_details[Property Name], INDIRECT("B"&amp;ROW()),
  unit_details[Floorplan Name], INDIRECT("C"&amp;ROW()),
  unit_details[Beds], INDIRECT("D"&amp;ROW()),
  unit_details[Detected Unit Amenities], "*"&amp;$AD$3&amp;"*",
  unit_details[Leased Date], "&gt;=" &amp; ($U$2 - $AF$3)
),0)</f>
        <v>0</v>
      </c>
      <c r="AF59" s="528" cm="1">
        <f t="array" aca="1" ref="AF59" ca="1">IFERROR(AVERAGEIFS(
  unit_details[Sqft],
  unit_details[Property Name], INDIRECT("B"&amp;ROW()),
  unit_details[Floorplan Name], INDIRECT("C"&amp;ROW()),
  unit_details[Beds], INDIRECT("D"&amp;ROW()),
  unit_details[Detected Unit Amenities], "&lt;&gt;*"&amp;$AD$3&amp;"*",
  unit_details[Leased Date], "&gt;=" &amp; ($U$2 - $AF$3)
),0)</f>
        <v>0</v>
      </c>
      <c r="AG59" s="527" cm="1">
        <f t="array" aca="1" ref="AG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9" s="526" cm="1">
        <f t="array" aca="1" ref="AH59" ca="1">IFERROR(COUNTIFS(
  unit_details[Property Name], INDIRECT("B"&amp;ROW()),
  unit_details[Floorplan Name], INDIRECT("C"&amp;ROW()),
  unit_details[Beds], INDIRECT("D"&amp;ROW()),
  unit_details[Detected Unit Amenities], "&lt;&gt;*"&amp;$AD$3&amp;"*",
  unit_details[Leased Date], "&gt;=" &amp; ($U$2 - $AF$3)
),0)</f>
        <v>0</v>
      </c>
      <c r="AI59" s="528"/>
      <c r="AJ59" s="531">
        <f t="shared" ca="1" si="1"/>
        <v>0</v>
      </c>
      <c r="AK59" s="532">
        <f t="shared" ca="1" si="2"/>
        <v>0</v>
      </c>
    </row>
    <row r="60" spans="2:37" x14ac:dyDescent="0.2">
      <c r="B60" s="566"/>
      <c r="C60" s="53"/>
      <c r="E60" s="262"/>
      <c r="F60" s="262"/>
      <c r="J60" s="293"/>
      <c r="K60" s="6"/>
      <c r="M60" s="6"/>
      <c r="N60" s="531" t="str" cm="1">
        <f t="array" aca="1" ref="N6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0" s="552" t="str" cm="1">
        <f t="array" aca="1" ref="O6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0" s="526" cm="1">
        <f t="array" aca="1" ref="P60" ca="1">COUNTIFS(unit_details[Leased Date], "&gt;=" &amp; ($U$2 - N$5),
          unit_details[Leased Date], "&lt;" &amp; $U$2,
          unit_details[Floorplan Name], INDIRECT("C"&amp;ROW()),
          unit_details[Property Name], INDIRECT("B"&amp;ROW()))</f>
        <v>0</v>
      </c>
      <c r="Q60" s="531" t="str" cm="1">
        <f t="array" aca="1" ref="Q6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0" s="552" t="str" cm="1">
        <f t="array" aca="1" ref="R6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0" s="526" cm="1">
        <f t="array" aca="1" ref="S60" ca="1">COUNTIFS(unit_details[Leased Date], "&gt;=" &amp; ($U$2 - Q$5),
          unit_details[Leased Date], "&lt;" &amp; $U$2,
          unit_details[Floorplan Name], INDIRECT("C"&amp;ROW()),
          unit_details[Property Name], INDIRECT("B"&amp;ROW()))</f>
        <v>0</v>
      </c>
      <c r="T60" s="531" t="str" cm="1">
        <f t="array" aca="1" ref="T6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0" s="552" t="str" cm="1">
        <f t="array" aca="1" ref="U6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0" s="526" cm="1">
        <f t="array" aca="1" ref="V60" ca="1">COUNTIFS(unit_details[Leased Date], "&gt;=" &amp; ($U$2 - T$5),
          unit_details[Leased Date], "&lt;" &amp; $U$2,
          unit_details[Floorplan Name], INDIRECT("C"&amp;ROW()),
          unit_details[Property Name], INDIRECT("B"&amp;ROW()))</f>
        <v>0</v>
      </c>
      <c r="W60" s="531" t="str" cm="1">
        <f t="array" aca="1" ref="W6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0" s="552" t="str" cm="1">
        <f t="array" aca="1" ref="X6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0" s="27" t="str">
        <f t="shared" ca="1" si="0"/>
        <v/>
      </c>
      <c r="Z60" s="4" t="str">
        <f>IFERROR($U$2-AVERAGEIFS(unit_details[First Listed],
          unit_details[Active Listing?],TRUE,
          unit_details[Property Name], $B60,
          unit_details[Beds], $D60,
          unit_details[Baths], $E60,
          unit_details[Partial Baths], IF(ISNUMBER($F60),$F60,""),
          unit_details[Floorplan Name],$C60
),"")</f>
        <v/>
      </c>
      <c r="AA60" s="262" cm="1">
        <f t="array" aca="1" ref="AA60" ca="1">COUNTIFS(unit_details[Active Listing?],TRUE,
          unit_details[Floorplan Name], INDIRECT("C"&amp;ROW()),
          unit_details[Property Name], INDIRECT("B"&amp;ROW()))</f>
        <v>0</v>
      </c>
      <c r="AB60" s="553"/>
      <c r="AC60" s="528" cm="1">
        <f t="array" aca="1" ref="AC60" ca="1">IFERROR(AVERAGEIFS(
  unit_details[Sqft],
  unit_details[Property Name], INDIRECT("B"&amp;ROW()),
  unit_details[Floorplan Name], INDIRECT("C"&amp;ROW()),
  unit_details[Beds], INDIRECT("D"&amp;ROW()),
  unit_details[Detected Unit Amenities], "*"&amp;$AD$3&amp;"*",
  unit_details[Leased Date], "&gt;=" &amp; ($U$2 - $AF$3)
),0)</f>
        <v>0</v>
      </c>
      <c r="AD60" s="527" cm="1">
        <f t="array" aca="1" ref="AD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0" s="526" cm="1">
        <f t="array" aca="1" ref="AE60" ca="1">IFERROR(COUNTIFS(
  unit_details[Property Name], INDIRECT("B"&amp;ROW()),
  unit_details[Floorplan Name], INDIRECT("C"&amp;ROW()),
  unit_details[Beds], INDIRECT("D"&amp;ROW()),
  unit_details[Detected Unit Amenities], "*"&amp;$AD$3&amp;"*",
  unit_details[Leased Date], "&gt;=" &amp; ($U$2 - $AF$3)
),0)</f>
        <v>0</v>
      </c>
      <c r="AF60" s="528" cm="1">
        <f t="array" aca="1" ref="AF60" ca="1">IFERROR(AVERAGEIFS(
  unit_details[Sqft],
  unit_details[Property Name], INDIRECT("B"&amp;ROW()),
  unit_details[Floorplan Name], INDIRECT("C"&amp;ROW()),
  unit_details[Beds], INDIRECT("D"&amp;ROW()),
  unit_details[Detected Unit Amenities], "&lt;&gt;*"&amp;$AD$3&amp;"*",
  unit_details[Leased Date], "&gt;=" &amp; ($U$2 - $AF$3)
),0)</f>
        <v>0</v>
      </c>
      <c r="AG60" s="527" cm="1">
        <f t="array" aca="1" ref="AG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0" s="526" cm="1">
        <f t="array" aca="1" ref="AH60" ca="1">IFERROR(COUNTIFS(
  unit_details[Property Name], INDIRECT("B"&amp;ROW()),
  unit_details[Floorplan Name], INDIRECT("C"&amp;ROW()),
  unit_details[Beds], INDIRECT("D"&amp;ROW()),
  unit_details[Detected Unit Amenities], "&lt;&gt;*"&amp;$AD$3&amp;"*",
  unit_details[Leased Date], "&gt;=" &amp; ($U$2 - $AF$3)
),0)</f>
        <v>0</v>
      </c>
      <c r="AI60" s="528"/>
      <c r="AJ60" s="531">
        <f t="shared" ca="1" si="1"/>
        <v>0</v>
      </c>
      <c r="AK60" s="532">
        <f t="shared" ca="1" si="2"/>
        <v>0</v>
      </c>
    </row>
    <row r="61" spans="2:37" x14ac:dyDescent="0.2">
      <c r="B61" s="566"/>
      <c r="C61" s="53"/>
      <c r="E61" s="262"/>
      <c r="F61" s="262"/>
      <c r="J61" s="293"/>
      <c r="K61" s="6"/>
      <c r="M61" s="6"/>
      <c r="N61" s="531" t="str" cm="1">
        <f t="array" aca="1" ref="N6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1" s="552" t="str" cm="1">
        <f t="array" aca="1" ref="O6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1" s="526" cm="1">
        <f t="array" aca="1" ref="P61" ca="1">COUNTIFS(unit_details[Leased Date], "&gt;=" &amp; ($U$2 - N$5),
          unit_details[Leased Date], "&lt;" &amp; $U$2,
          unit_details[Floorplan Name], INDIRECT("C"&amp;ROW()),
          unit_details[Property Name], INDIRECT("B"&amp;ROW()))</f>
        <v>0</v>
      </c>
      <c r="Q61" s="531" t="str" cm="1">
        <f t="array" aca="1" ref="Q6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1" s="552" t="str" cm="1">
        <f t="array" aca="1" ref="R6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1" s="526" cm="1">
        <f t="array" aca="1" ref="S61" ca="1">COUNTIFS(unit_details[Leased Date], "&gt;=" &amp; ($U$2 - Q$5),
          unit_details[Leased Date], "&lt;" &amp; $U$2,
          unit_details[Floorplan Name], INDIRECT("C"&amp;ROW()),
          unit_details[Property Name], INDIRECT("B"&amp;ROW()))</f>
        <v>0</v>
      </c>
      <c r="T61" s="531" t="str" cm="1">
        <f t="array" aca="1" ref="T6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1" s="552" t="str" cm="1">
        <f t="array" aca="1" ref="U6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1" s="526" cm="1">
        <f t="array" aca="1" ref="V61" ca="1">COUNTIFS(unit_details[Leased Date], "&gt;=" &amp; ($U$2 - T$5),
          unit_details[Leased Date], "&lt;" &amp; $U$2,
          unit_details[Floorplan Name], INDIRECT("C"&amp;ROW()),
          unit_details[Property Name], INDIRECT("B"&amp;ROW()))</f>
        <v>0</v>
      </c>
      <c r="W61" s="531" t="str" cm="1">
        <f t="array" aca="1" ref="W6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1" s="552" t="str" cm="1">
        <f t="array" aca="1" ref="X6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1" s="27" t="str">
        <f t="shared" ca="1" si="0"/>
        <v/>
      </c>
      <c r="Z61" s="4" t="str">
        <f>IFERROR($U$2-AVERAGEIFS(unit_details[First Listed],
          unit_details[Active Listing?],TRUE,
          unit_details[Property Name], $B61,
          unit_details[Beds], $D61,
          unit_details[Baths], $E61,
          unit_details[Partial Baths], IF(ISNUMBER($F61),$F61,""),
          unit_details[Floorplan Name],$C61
),"")</f>
        <v/>
      </c>
      <c r="AA61" s="262" cm="1">
        <f t="array" aca="1" ref="AA61" ca="1">COUNTIFS(unit_details[Active Listing?],TRUE,
          unit_details[Floorplan Name], INDIRECT("C"&amp;ROW()),
          unit_details[Property Name], INDIRECT("B"&amp;ROW()))</f>
        <v>0</v>
      </c>
      <c r="AB61" s="553"/>
      <c r="AC61" s="528" cm="1">
        <f t="array" aca="1" ref="AC61" ca="1">IFERROR(AVERAGEIFS(
  unit_details[Sqft],
  unit_details[Property Name], INDIRECT("B"&amp;ROW()),
  unit_details[Floorplan Name], INDIRECT("C"&amp;ROW()),
  unit_details[Beds], INDIRECT("D"&amp;ROW()),
  unit_details[Detected Unit Amenities], "*"&amp;$AD$3&amp;"*",
  unit_details[Leased Date], "&gt;=" &amp; ($U$2 - $AF$3)
),0)</f>
        <v>0</v>
      </c>
      <c r="AD61" s="527" cm="1">
        <f t="array" aca="1" ref="AD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1" s="526" cm="1">
        <f t="array" aca="1" ref="AE61" ca="1">IFERROR(COUNTIFS(
  unit_details[Property Name], INDIRECT("B"&amp;ROW()),
  unit_details[Floorplan Name], INDIRECT("C"&amp;ROW()),
  unit_details[Beds], INDIRECT("D"&amp;ROW()),
  unit_details[Detected Unit Amenities], "*"&amp;$AD$3&amp;"*",
  unit_details[Leased Date], "&gt;=" &amp; ($U$2 - $AF$3)
),0)</f>
        <v>0</v>
      </c>
      <c r="AF61" s="528" cm="1">
        <f t="array" aca="1" ref="AF61" ca="1">IFERROR(AVERAGEIFS(
  unit_details[Sqft],
  unit_details[Property Name], INDIRECT("B"&amp;ROW()),
  unit_details[Floorplan Name], INDIRECT("C"&amp;ROW()),
  unit_details[Beds], INDIRECT("D"&amp;ROW()),
  unit_details[Detected Unit Amenities], "&lt;&gt;*"&amp;$AD$3&amp;"*",
  unit_details[Leased Date], "&gt;=" &amp; ($U$2 - $AF$3)
),0)</f>
        <v>0</v>
      </c>
      <c r="AG61" s="527" cm="1">
        <f t="array" aca="1" ref="AG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1" s="526" cm="1">
        <f t="array" aca="1" ref="AH61" ca="1">IFERROR(COUNTIFS(
  unit_details[Property Name], INDIRECT("B"&amp;ROW()),
  unit_details[Floorplan Name], INDIRECT("C"&amp;ROW()),
  unit_details[Beds], INDIRECT("D"&amp;ROW()),
  unit_details[Detected Unit Amenities], "&lt;&gt;*"&amp;$AD$3&amp;"*",
  unit_details[Leased Date], "&gt;=" &amp; ($U$2 - $AF$3)
),0)</f>
        <v>0</v>
      </c>
      <c r="AI61" s="528"/>
      <c r="AJ61" s="531">
        <f t="shared" ca="1" si="1"/>
        <v>0</v>
      </c>
      <c r="AK61" s="532">
        <f t="shared" ca="1" si="2"/>
        <v>0</v>
      </c>
    </row>
    <row r="62" spans="2:37" x14ac:dyDescent="0.2">
      <c r="B62" s="566"/>
      <c r="C62" s="53"/>
      <c r="E62" s="262"/>
      <c r="F62" s="262"/>
      <c r="J62" s="293"/>
      <c r="K62" s="6"/>
      <c r="M62" s="6"/>
      <c r="N62" s="531" t="str" cm="1">
        <f t="array" aca="1" ref="N6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2" s="552" t="str" cm="1">
        <f t="array" aca="1" ref="O6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2" s="526" cm="1">
        <f t="array" aca="1" ref="P62" ca="1">COUNTIFS(unit_details[Leased Date], "&gt;=" &amp; ($U$2 - N$5),
          unit_details[Leased Date], "&lt;" &amp; $U$2,
          unit_details[Floorplan Name], INDIRECT("C"&amp;ROW()),
          unit_details[Property Name], INDIRECT("B"&amp;ROW()))</f>
        <v>0</v>
      </c>
      <c r="Q62" s="531" t="str" cm="1">
        <f t="array" aca="1" ref="Q6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2" s="552" t="str" cm="1">
        <f t="array" aca="1" ref="R6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2" s="526" cm="1">
        <f t="array" aca="1" ref="S62" ca="1">COUNTIFS(unit_details[Leased Date], "&gt;=" &amp; ($U$2 - Q$5),
          unit_details[Leased Date], "&lt;" &amp; $U$2,
          unit_details[Floorplan Name], INDIRECT("C"&amp;ROW()),
          unit_details[Property Name], INDIRECT("B"&amp;ROW()))</f>
        <v>0</v>
      </c>
      <c r="T62" s="531" t="str" cm="1">
        <f t="array" aca="1" ref="T6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2" s="552" t="str" cm="1">
        <f t="array" aca="1" ref="U6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2" s="526" cm="1">
        <f t="array" aca="1" ref="V62" ca="1">COUNTIFS(unit_details[Leased Date], "&gt;=" &amp; ($U$2 - T$5),
          unit_details[Leased Date], "&lt;" &amp; $U$2,
          unit_details[Floorplan Name], INDIRECT("C"&amp;ROW()),
          unit_details[Property Name], INDIRECT("B"&amp;ROW()))</f>
        <v>0</v>
      </c>
      <c r="W62" s="531" t="str" cm="1">
        <f t="array" aca="1" ref="W6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2" s="552" t="str" cm="1">
        <f t="array" aca="1" ref="X6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2" s="27" t="str">
        <f t="shared" ca="1" si="0"/>
        <v/>
      </c>
      <c r="Z62" s="4" t="str">
        <f>IFERROR($U$2-AVERAGEIFS(unit_details[First Listed],
          unit_details[Active Listing?],TRUE,
          unit_details[Property Name], $B62,
          unit_details[Beds], $D62,
          unit_details[Baths], $E62,
          unit_details[Partial Baths], IF(ISNUMBER($F62),$F62,""),
          unit_details[Floorplan Name],$C62
),"")</f>
        <v/>
      </c>
      <c r="AA62" s="262" cm="1">
        <f t="array" aca="1" ref="AA62" ca="1">COUNTIFS(unit_details[Active Listing?],TRUE,
          unit_details[Floorplan Name], INDIRECT("C"&amp;ROW()),
          unit_details[Property Name], INDIRECT("B"&amp;ROW()))</f>
        <v>0</v>
      </c>
      <c r="AB62" s="553"/>
      <c r="AC62" s="528" cm="1">
        <f t="array" aca="1" ref="AC62" ca="1">IFERROR(AVERAGEIFS(
  unit_details[Sqft],
  unit_details[Property Name], INDIRECT("B"&amp;ROW()),
  unit_details[Floorplan Name], INDIRECT("C"&amp;ROW()),
  unit_details[Beds], INDIRECT("D"&amp;ROW()),
  unit_details[Detected Unit Amenities], "*"&amp;$AD$3&amp;"*",
  unit_details[Leased Date], "&gt;=" &amp; ($U$2 - $AF$3)
),0)</f>
        <v>0</v>
      </c>
      <c r="AD62" s="527" cm="1">
        <f t="array" aca="1" ref="AD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2" s="526" cm="1">
        <f t="array" aca="1" ref="AE62" ca="1">IFERROR(COUNTIFS(
  unit_details[Property Name], INDIRECT("B"&amp;ROW()),
  unit_details[Floorplan Name], INDIRECT("C"&amp;ROW()),
  unit_details[Beds], INDIRECT("D"&amp;ROW()),
  unit_details[Detected Unit Amenities], "*"&amp;$AD$3&amp;"*",
  unit_details[Leased Date], "&gt;=" &amp; ($U$2 - $AF$3)
),0)</f>
        <v>0</v>
      </c>
      <c r="AF62" s="528" cm="1">
        <f t="array" aca="1" ref="AF62" ca="1">IFERROR(AVERAGEIFS(
  unit_details[Sqft],
  unit_details[Property Name], INDIRECT("B"&amp;ROW()),
  unit_details[Floorplan Name], INDIRECT("C"&amp;ROW()),
  unit_details[Beds], INDIRECT("D"&amp;ROW()),
  unit_details[Detected Unit Amenities], "&lt;&gt;*"&amp;$AD$3&amp;"*",
  unit_details[Leased Date], "&gt;=" &amp; ($U$2 - $AF$3)
),0)</f>
        <v>0</v>
      </c>
      <c r="AG62" s="527" cm="1">
        <f t="array" aca="1" ref="AG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2" s="526" cm="1">
        <f t="array" aca="1" ref="AH62" ca="1">IFERROR(COUNTIFS(
  unit_details[Property Name], INDIRECT("B"&amp;ROW()),
  unit_details[Floorplan Name], INDIRECT("C"&amp;ROW()),
  unit_details[Beds], INDIRECT("D"&amp;ROW()),
  unit_details[Detected Unit Amenities], "&lt;&gt;*"&amp;$AD$3&amp;"*",
  unit_details[Leased Date], "&gt;=" &amp; ($U$2 - $AF$3)
),0)</f>
        <v>0</v>
      </c>
      <c r="AI62" s="528"/>
      <c r="AJ62" s="531">
        <f t="shared" ca="1" si="1"/>
        <v>0</v>
      </c>
      <c r="AK62" s="532">
        <f t="shared" ca="1" si="2"/>
        <v>0</v>
      </c>
    </row>
    <row r="63" spans="2:37" x14ac:dyDescent="0.2">
      <c r="B63" s="566"/>
      <c r="C63" s="53"/>
      <c r="E63" s="262"/>
      <c r="F63" s="262"/>
      <c r="J63" s="293"/>
      <c r="K63" s="6"/>
      <c r="M63" s="6"/>
      <c r="N63" s="531" t="str" cm="1">
        <f t="array" aca="1" ref="N6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3" s="552" t="str" cm="1">
        <f t="array" aca="1" ref="O6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3" s="526" cm="1">
        <f t="array" aca="1" ref="P63" ca="1">COUNTIFS(unit_details[Leased Date], "&gt;=" &amp; ($U$2 - N$5),
          unit_details[Leased Date], "&lt;" &amp; $U$2,
          unit_details[Floorplan Name], INDIRECT("C"&amp;ROW()),
          unit_details[Property Name], INDIRECT("B"&amp;ROW()))</f>
        <v>0</v>
      </c>
      <c r="Q63" s="531" t="str" cm="1">
        <f t="array" aca="1" ref="Q6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3" s="552" t="str" cm="1">
        <f t="array" aca="1" ref="R6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3" s="526" cm="1">
        <f t="array" aca="1" ref="S63" ca="1">COUNTIFS(unit_details[Leased Date], "&gt;=" &amp; ($U$2 - Q$5),
          unit_details[Leased Date], "&lt;" &amp; $U$2,
          unit_details[Floorplan Name], INDIRECT("C"&amp;ROW()),
          unit_details[Property Name], INDIRECT("B"&amp;ROW()))</f>
        <v>0</v>
      </c>
      <c r="T63" s="531" t="str" cm="1">
        <f t="array" aca="1" ref="T6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3" s="552" t="str" cm="1">
        <f t="array" aca="1" ref="U6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3" s="526" cm="1">
        <f t="array" aca="1" ref="V63" ca="1">COUNTIFS(unit_details[Leased Date], "&gt;=" &amp; ($U$2 - T$5),
          unit_details[Leased Date], "&lt;" &amp; $U$2,
          unit_details[Floorplan Name], INDIRECT("C"&amp;ROW()),
          unit_details[Property Name], INDIRECT("B"&amp;ROW()))</f>
        <v>0</v>
      </c>
      <c r="W63" s="531" t="str" cm="1">
        <f t="array" aca="1" ref="W6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3" s="552" t="str" cm="1">
        <f t="array" aca="1" ref="X6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3" s="27" t="str">
        <f t="shared" ca="1" si="0"/>
        <v/>
      </c>
      <c r="Z63" s="4" t="str">
        <f>IFERROR($U$2-AVERAGEIFS(unit_details[First Listed],
          unit_details[Active Listing?],TRUE,
          unit_details[Property Name], $B63,
          unit_details[Beds], $D63,
          unit_details[Baths], $E63,
          unit_details[Partial Baths], IF(ISNUMBER($F63),$F63,""),
          unit_details[Floorplan Name],$C63
),"")</f>
        <v/>
      </c>
      <c r="AA63" s="262" cm="1">
        <f t="array" aca="1" ref="AA63" ca="1">COUNTIFS(unit_details[Active Listing?],TRUE,
          unit_details[Floorplan Name], INDIRECT("C"&amp;ROW()),
          unit_details[Property Name], INDIRECT("B"&amp;ROW()))</f>
        <v>0</v>
      </c>
      <c r="AB63" s="553"/>
      <c r="AC63" s="528" cm="1">
        <f t="array" aca="1" ref="AC63" ca="1">IFERROR(AVERAGEIFS(
  unit_details[Sqft],
  unit_details[Property Name], INDIRECT("B"&amp;ROW()),
  unit_details[Floorplan Name], INDIRECT("C"&amp;ROW()),
  unit_details[Beds], INDIRECT("D"&amp;ROW()),
  unit_details[Detected Unit Amenities], "*"&amp;$AD$3&amp;"*",
  unit_details[Leased Date], "&gt;=" &amp; ($U$2 - $AF$3)
),0)</f>
        <v>0</v>
      </c>
      <c r="AD63" s="527" cm="1">
        <f t="array" aca="1" ref="AD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3" s="526" cm="1">
        <f t="array" aca="1" ref="AE63" ca="1">IFERROR(COUNTIFS(
  unit_details[Property Name], INDIRECT("B"&amp;ROW()),
  unit_details[Floorplan Name], INDIRECT("C"&amp;ROW()),
  unit_details[Beds], INDIRECT("D"&amp;ROW()),
  unit_details[Detected Unit Amenities], "*"&amp;$AD$3&amp;"*",
  unit_details[Leased Date], "&gt;=" &amp; ($U$2 - $AF$3)
),0)</f>
        <v>0</v>
      </c>
      <c r="AF63" s="528" cm="1">
        <f t="array" aca="1" ref="AF63" ca="1">IFERROR(AVERAGEIFS(
  unit_details[Sqft],
  unit_details[Property Name], INDIRECT("B"&amp;ROW()),
  unit_details[Floorplan Name], INDIRECT("C"&amp;ROW()),
  unit_details[Beds], INDIRECT("D"&amp;ROW()),
  unit_details[Detected Unit Amenities], "&lt;&gt;*"&amp;$AD$3&amp;"*",
  unit_details[Leased Date], "&gt;=" &amp; ($U$2 - $AF$3)
),0)</f>
        <v>0</v>
      </c>
      <c r="AG63" s="527" cm="1">
        <f t="array" aca="1" ref="AG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3" s="526" cm="1">
        <f t="array" aca="1" ref="AH63" ca="1">IFERROR(COUNTIFS(
  unit_details[Property Name], INDIRECT("B"&amp;ROW()),
  unit_details[Floorplan Name], INDIRECT("C"&amp;ROW()),
  unit_details[Beds], INDIRECT("D"&amp;ROW()),
  unit_details[Detected Unit Amenities], "&lt;&gt;*"&amp;$AD$3&amp;"*",
  unit_details[Leased Date], "&gt;=" &amp; ($U$2 - $AF$3)
),0)</f>
        <v>0</v>
      </c>
      <c r="AI63" s="528"/>
      <c r="AJ63" s="531">
        <f t="shared" ca="1" si="1"/>
        <v>0</v>
      </c>
      <c r="AK63" s="532">
        <f t="shared" ca="1" si="2"/>
        <v>0</v>
      </c>
    </row>
    <row r="64" spans="2:37" x14ac:dyDescent="0.2">
      <c r="B64" s="566"/>
      <c r="C64" s="53"/>
      <c r="E64" s="262"/>
      <c r="F64" s="262"/>
      <c r="J64" s="293"/>
      <c r="K64" s="6"/>
      <c r="M64" s="6"/>
      <c r="N64" s="531" t="str" cm="1">
        <f t="array" aca="1" ref="N6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4" s="552" t="str" cm="1">
        <f t="array" aca="1" ref="O6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4" s="526" cm="1">
        <f t="array" aca="1" ref="P64" ca="1">COUNTIFS(unit_details[Leased Date], "&gt;=" &amp; ($U$2 - N$5),
          unit_details[Leased Date], "&lt;" &amp; $U$2,
          unit_details[Floorplan Name], INDIRECT("C"&amp;ROW()),
          unit_details[Property Name], INDIRECT("B"&amp;ROW()))</f>
        <v>0</v>
      </c>
      <c r="Q64" s="531" t="str" cm="1">
        <f t="array" aca="1" ref="Q6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4" s="552" t="str" cm="1">
        <f t="array" aca="1" ref="R6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4" s="526" cm="1">
        <f t="array" aca="1" ref="S64" ca="1">COUNTIFS(unit_details[Leased Date], "&gt;=" &amp; ($U$2 - Q$5),
          unit_details[Leased Date], "&lt;" &amp; $U$2,
          unit_details[Floorplan Name], INDIRECT("C"&amp;ROW()),
          unit_details[Property Name], INDIRECT("B"&amp;ROW()))</f>
        <v>0</v>
      </c>
      <c r="T64" s="531" t="str" cm="1">
        <f t="array" aca="1" ref="T6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4" s="552" t="str" cm="1">
        <f t="array" aca="1" ref="U6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4" s="526" cm="1">
        <f t="array" aca="1" ref="V64" ca="1">COUNTIFS(unit_details[Leased Date], "&gt;=" &amp; ($U$2 - T$5),
          unit_details[Leased Date], "&lt;" &amp; $U$2,
          unit_details[Floorplan Name], INDIRECT("C"&amp;ROW()),
          unit_details[Property Name], INDIRECT("B"&amp;ROW()))</f>
        <v>0</v>
      </c>
      <c r="W64" s="531" t="str" cm="1">
        <f t="array" aca="1" ref="W6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4" s="552" t="str" cm="1">
        <f t="array" aca="1" ref="X6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4" s="27" t="str">
        <f t="shared" ca="1" si="0"/>
        <v/>
      </c>
      <c r="Z64" s="4" t="str">
        <f>IFERROR($U$2-AVERAGEIFS(unit_details[First Listed],
          unit_details[Active Listing?],TRUE,
          unit_details[Property Name], $B64,
          unit_details[Beds], $D64,
          unit_details[Baths], $E64,
          unit_details[Partial Baths], IF(ISNUMBER($F64),$F64,""),
          unit_details[Floorplan Name],$C64
),"")</f>
        <v/>
      </c>
      <c r="AA64" s="262" cm="1">
        <f t="array" aca="1" ref="AA64" ca="1">COUNTIFS(unit_details[Active Listing?],TRUE,
          unit_details[Floorplan Name], INDIRECT("C"&amp;ROW()),
          unit_details[Property Name], INDIRECT("B"&amp;ROW()))</f>
        <v>0</v>
      </c>
      <c r="AB64" s="553"/>
      <c r="AC64" s="528" cm="1">
        <f t="array" aca="1" ref="AC64" ca="1">IFERROR(AVERAGEIFS(
  unit_details[Sqft],
  unit_details[Property Name], INDIRECT("B"&amp;ROW()),
  unit_details[Floorplan Name], INDIRECT("C"&amp;ROW()),
  unit_details[Beds], INDIRECT("D"&amp;ROW()),
  unit_details[Detected Unit Amenities], "*"&amp;$AD$3&amp;"*",
  unit_details[Leased Date], "&gt;=" &amp; ($U$2 - $AF$3)
),0)</f>
        <v>0</v>
      </c>
      <c r="AD64" s="527" cm="1">
        <f t="array" aca="1" ref="AD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4" s="526" cm="1">
        <f t="array" aca="1" ref="AE64" ca="1">IFERROR(COUNTIFS(
  unit_details[Property Name], INDIRECT("B"&amp;ROW()),
  unit_details[Floorplan Name], INDIRECT("C"&amp;ROW()),
  unit_details[Beds], INDIRECT("D"&amp;ROW()),
  unit_details[Detected Unit Amenities], "*"&amp;$AD$3&amp;"*",
  unit_details[Leased Date], "&gt;=" &amp; ($U$2 - $AF$3)
),0)</f>
        <v>0</v>
      </c>
      <c r="AF64" s="528" cm="1">
        <f t="array" aca="1" ref="AF64" ca="1">IFERROR(AVERAGEIFS(
  unit_details[Sqft],
  unit_details[Property Name], INDIRECT("B"&amp;ROW()),
  unit_details[Floorplan Name], INDIRECT("C"&amp;ROW()),
  unit_details[Beds], INDIRECT("D"&amp;ROW()),
  unit_details[Detected Unit Amenities], "&lt;&gt;*"&amp;$AD$3&amp;"*",
  unit_details[Leased Date], "&gt;=" &amp; ($U$2 - $AF$3)
),0)</f>
        <v>0</v>
      </c>
      <c r="AG64" s="527" cm="1">
        <f t="array" aca="1" ref="AG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4" s="526" cm="1">
        <f t="array" aca="1" ref="AH64" ca="1">IFERROR(COUNTIFS(
  unit_details[Property Name], INDIRECT("B"&amp;ROW()),
  unit_details[Floorplan Name], INDIRECT("C"&amp;ROW()),
  unit_details[Beds], INDIRECT("D"&amp;ROW()),
  unit_details[Detected Unit Amenities], "&lt;&gt;*"&amp;$AD$3&amp;"*",
  unit_details[Leased Date], "&gt;=" &amp; ($U$2 - $AF$3)
),0)</f>
        <v>0</v>
      </c>
      <c r="AI64" s="528"/>
      <c r="AJ64" s="531">
        <f t="shared" ca="1" si="1"/>
        <v>0</v>
      </c>
      <c r="AK64" s="532">
        <f t="shared" ca="1" si="2"/>
        <v>0</v>
      </c>
    </row>
    <row r="65" spans="2:37" x14ac:dyDescent="0.2">
      <c r="B65" s="566"/>
      <c r="C65" s="53"/>
      <c r="E65" s="262"/>
      <c r="F65" s="262"/>
      <c r="J65" s="293"/>
      <c r="K65" s="6"/>
      <c r="M65" s="6"/>
      <c r="N65" s="531" t="str" cm="1">
        <f t="array" aca="1" ref="N6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5" s="552" t="str" cm="1">
        <f t="array" aca="1" ref="O6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5" s="526" cm="1">
        <f t="array" aca="1" ref="P65" ca="1">COUNTIFS(unit_details[Leased Date], "&gt;=" &amp; ($U$2 - N$5),
          unit_details[Leased Date], "&lt;" &amp; $U$2,
          unit_details[Floorplan Name], INDIRECT("C"&amp;ROW()),
          unit_details[Property Name], INDIRECT("B"&amp;ROW()))</f>
        <v>0</v>
      </c>
      <c r="Q65" s="531" t="str" cm="1">
        <f t="array" aca="1" ref="Q6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5" s="552" t="str" cm="1">
        <f t="array" aca="1" ref="R6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5" s="526" cm="1">
        <f t="array" aca="1" ref="S65" ca="1">COUNTIFS(unit_details[Leased Date], "&gt;=" &amp; ($U$2 - Q$5),
          unit_details[Leased Date], "&lt;" &amp; $U$2,
          unit_details[Floorplan Name], INDIRECT("C"&amp;ROW()),
          unit_details[Property Name], INDIRECT("B"&amp;ROW()))</f>
        <v>0</v>
      </c>
      <c r="T65" s="531" t="str" cm="1">
        <f t="array" aca="1" ref="T6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5" s="552" t="str" cm="1">
        <f t="array" aca="1" ref="U6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5" s="526" cm="1">
        <f t="array" aca="1" ref="V65" ca="1">COUNTIFS(unit_details[Leased Date], "&gt;=" &amp; ($U$2 - T$5),
          unit_details[Leased Date], "&lt;" &amp; $U$2,
          unit_details[Floorplan Name], INDIRECT("C"&amp;ROW()),
          unit_details[Property Name], INDIRECT("B"&amp;ROW()))</f>
        <v>0</v>
      </c>
      <c r="W65" s="531" t="str" cm="1">
        <f t="array" aca="1" ref="W6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5" s="552" t="str" cm="1">
        <f t="array" aca="1" ref="X6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5" s="27" t="str">
        <f t="shared" ca="1" si="0"/>
        <v/>
      </c>
      <c r="Z65" s="4" t="str">
        <f>IFERROR($U$2-AVERAGEIFS(unit_details[First Listed],
          unit_details[Active Listing?],TRUE,
          unit_details[Property Name], $B65,
          unit_details[Beds], $D65,
          unit_details[Baths], $E65,
          unit_details[Partial Baths], IF(ISNUMBER($F65),$F65,""),
          unit_details[Floorplan Name],$C65
),"")</f>
        <v/>
      </c>
      <c r="AA65" s="262" cm="1">
        <f t="array" aca="1" ref="AA65" ca="1">COUNTIFS(unit_details[Active Listing?],TRUE,
          unit_details[Floorplan Name], INDIRECT("C"&amp;ROW()),
          unit_details[Property Name], INDIRECT("B"&amp;ROW()))</f>
        <v>0</v>
      </c>
      <c r="AB65" s="553"/>
      <c r="AC65" s="528" cm="1">
        <f t="array" aca="1" ref="AC65" ca="1">IFERROR(AVERAGEIFS(
  unit_details[Sqft],
  unit_details[Property Name], INDIRECT("B"&amp;ROW()),
  unit_details[Floorplan Name], INDIRECT("C"&amp;ROW()),
  unit_details[Beds], INDIRECT("D"&amp;ROW()),
  unit_details[Detected Unit Amenities], "*"&amp;$AD$3&amp;"*",
  unit_details[Leased Date], "&gt;=" &amp; ($U$2 - $AF$3)
),0)</f>
        <v>0</v>
      </c>
      <c r="AD65" s="527" cm="1">
        <f t="array" aca="1" ref="AD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5" s="526" cm="1">
        <f t="array" aca="1" ref="AE65" ca="1">IFERROR(COUNTIFS(
  unit_details[Property Name], INDIRECT("B"&amp;ROW()),
  unit_details[Floorplan Name], INDIRECT("C"&amp;ROW()),
  unit_details[Beds], INDIRECT("D"&amp;ROW()),
  unit_details[Detected Unit Amenities], "*"&amp;$AD$3&amp;"*",
  unit_details[Leased Date], "&gt;=" &amp; ($U$2 - $AF$3)
),0)</f>
        <v>0</v>
      </c>
      <c r="AF65" s="528" cm="1">
        <f t="array" aca="1" ref="AF65" ca="1">IFERROR(AVERAGEIFS(
  unit_details[Sqft],
  unit_details[Property Name], INDIRECT("B"&amp;ROW()),
  unit_details[Floorplan Name], INDIRECT("C"&amp;ROW()),
  unit_details[Beds], INDIRECT("D"&amp;ROW()),
  unit_details[Detected Unit Amenities], "&lt;&gt;*"&amp;$AD$3&amp;"*",
  unit_details[Leased Date], "&gt;=" &amp; ($U$2 - $AF$3)
),0)</f>
        <v>0</v>
      </c>
      <c r="AG65" s="527" cm="1">
        <f t="array" aca="1" ref="AG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5" s="526" cm="1">
        <f t="array" aca="1" ref="AH65" ca="1">IFERROR(COUNTIFS(
  unit_details[Property Name], INDIRECT("B"&amp;ROW()),
  unit_details[Floorplan Name], INDIRECT("C"&amp;ROW()),
  unit_details[Beds], INDIRECT("D"&amp;ROW()),
  unit_details[Detected Unit Amenities], "&lt;&gt;*"&amp;$AD$3&amp;"*",
  unit_details[Leased Date], "&gt;=" &amp; ($U$2 - $AF$3)
),0)</f>
        <v>0</v>
      </c>
      <c r="AI65" s="528"/>
      <c r="AJ65" s="531">
        <f t="shared" ca="1" si="1"/>
        <v>0</v>
      </c>
      <c r="AK65" s="532">
        <f t="shared" ca="1" si="2"/>
        <v>0</v>
      </c>
    </row>
    <row r="66" spans="2:37" x14ac:dyDescent="0.2">
      <c r="B66" s="566"/>
      <c r="C66" s="53"/>
      <c r="E66" s="262"/>
      <c r="F66" s="262"/>
      <c r="J66" s="293"/>
      <c r="K66" s="6"/>
      <c r="M66" s="6"/>
      <c r="N66" s="531" t="str" cm="1">
        <f t="array" aca="1" ref="N6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6" s="552" t="str" cm="1">
        <f t="array" aca="1" ref="O6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6" s="526" cm="1">
        <f t="array" aca="1" ref="P66" ca="1">COUNTIFS(unit_details[Leased Date], "&gt;=" &amp; ($U$2 - N$5),
          unit_details[Leased Date], "&lt;" &amp; $U$2,
          unit_details[Floorplan Name], INDIRECT("C"&amp;ROW()),
          unit_details[Property Name], INDIRECT("B"&amp;ROW()))</f>
        <v>0</v>
      </c>
      <c r="Q66" s="531" t="str" cm="1">
        <f t="array" aca="1" ref="Q6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6" s="552" t="str" cm="1">
        <f t="array" aca="1" ref="R6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6" s="526" cm="1">
        <f t="array" aca="1" ref="S66" ca="1">COUNTIFS(unit_details[Leased Date], "&gt;=" &amp; ($U$2 - Q$5),
          unit_details[Leased Date], "&lt;" &amp; $U$2,
          unit_details[Floorplan Name], INDIRECT("C"&amp;ROW()),
          unit_details[Property Name], INDIRECT("B"&amp;ROW()))</f>
        <v>0</v>
      </c>
      <c r="T66" s="531" t="str" cm="1">
        <f t="array" aca="1" ref="T6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6" s="552" t="str" cm="1">
        <f t="array" aca="1" ref="U6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6" s="526" cm="1">
        <f t="array" aca="1" ref="V66" ca="1">COUNTIFS(unit_details[Leased Date], "&gt;=" &amp; ($U$2 - T$5),
          unit_details[Leased Date], "&lt;" &amp; $U$2,
          unit_details[Floorplan Name], INDIRECT("C"&amp;ROW()),
          unit_details[Property Name], INDIRECT("B"&amp;ROW()))</f>
        <v>0</v>
      </c>
      <c r="W66" s="531" t="str" cm="1">
        <f t="array" aca="1" ref="W6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6" s="552" t="str" cm="1">
        <f t="array" aca="1" ref="X6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6" s="27" t="str">
        <f t="shared" ca="1" si="0"/>
        <v/>
      </c>
      <c r="Z66" s="4" t="str">
        <f>IFERROR($U$2-AVERAGEIFS(unit_details[First Listed],
          unit_details[Active Listing?],TRUE,
          unit_details[Property Name], $B66,
          unit_details[Beds], $D66,
          unit_details[Baths], $E66,
          unit_details[Partial Baths], IF(ISNUMBER($F66),$F66,""),
          unit_details[Floorplan Name],$C66
),"")</f>
        <v/>
      </c>
      <c r="AA66" s="262" cm="1">
        <f t="array" aca="1" ref="AA66" ca="1">COUNTIFS(unit_details[Active Listing?],TRUE,
          unit_details[Floorplan Name], INDIRECT("C"&amp;ROW()),
          unit_details[Property Name], INDIRECT("B"&amp;ROW()))</f>
        <v>0</v>
      </c>
      <c r="AB66" s="553"/>
      <c r="AC66" s="528" cm="1">
        <f t="array" aca="1" ref="AC66" ca="1">IFERROR(AVERAGEIFS(
  unit_details[Sqft],
  unit_details[Property Name], INDIRECT("B"&amp;ROW()),
  unit_details[Floorplan Name], INDIRECT("C"&amp;ROW()),
  unit_details[Beds], INDIRECT("D"&amp;ROW()),
  unit_details[Detected Unit Amenities], "*"&amp;$AD$3&amp;"*",
  unit_details[Leased Date], "&gt;=" &amp; ($U$2 - $AF$3)
),0)</f>
        <v>0</v>
      </c>
      <c r="AD66" s="527" cm="1">
        <f t="array" aca="1" ref="AD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6" s="526" cm="1">
        <f t="array" aca="1" ref="AE66" ca="1">IFERROR(COUNTIFS(
  unit_details[Property Name], INDIRECT("B"&amp;ROW()),
  unit_details[Floorplan Name], INDIRECT("C"&amp;ROW()),
  unit_details[Beds], INDIRECT("D"&amp;ROW()),
  unit_details[Detected Unit Amenities], "*"&amp;$AD$3&amp;"*",
  unit_details[Leased Date], "&gt;=" &amp; ($U$2 - $AF$3)
),0)</f>
        <v>0</v>
      </c>
      <c r="AF66" s="528" cm="1">
        <f t="array" aca="1" ref="AF66" ca="1">IFERROR(AVERAGEIFS(
  unit_details[Sqft],
  unit_details[Property Name], INDIRECT("B"&amp;ROW()),
  unit_details[Floorplan Name], INDIRECT("C"&amp;ROW()),
  unit_details[Beds], INDIRECT("D"&amp;ROW()),
  unit_details[Detected Unit Amenities], "&lt;&gt;*"&amp;$AD$3&amp;"*",
  unit_details[Leased Date], "&gt;=" &amp; ($U$2 - $AF$3)
),0)</f>
        <v>0</v>
      </c>
      <c r="AG66" s="527" cm="1">
        <f t="array" aca="1" ref="AG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6" s="526" cm="1">
        <f t="array" aca="1" ref="AH66" ca="1">IFERROR(COUNTIFS(
  unit_details[Property Name], INDIRECT("B"&amp;ROW()),
  unit_details[Floorplan Name], INDIRECT("C"&amp;ROW()),
  unit_details[Beds], INDIRECT("D"&amp;ROW()),
  unit_details[Detected Unit Amenities], "&lt;&gt;*"&amp;$AD$3&amp;"*",
  unit_details[Leased Date], "&gt;=" &amp; ($U$2 - $AF$3)
),0)</f>
        <v>0</v>
      </c>
      <c r="AI66" s="528"/>
      <c r="AJ66" s="531">
        <f t="shared" ca="1" si="1"/>
        <v>0</v>
      </c>
      <c r="AK66" s="532">
        <f t="shared" ca="1" si="2"/>
        <v>0</v>
      </c>
    </row>
    <row r="67" spans="2:37" x14ac:dyDescent="0.2">
      <c r="B67" s="566"/>
      <c r="C67" s="53"/>
      <c r="E67" s="262"/>
      <c r="F67" s="262"/>
      <c r="J67" s="293"/>
      <c r="K67" s="6"/>
      <c r="M67" s="6"/>
      <c r="N67" s="531" t="str" cm="1">
        <f t="array" aca="1" ref="N6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7" s="552" t="str" cm="1">
        <f t="array" aca="1" ref="O6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7" s="526" cm="1">
        <f t="array" aca="1" ref="P67" ca="1">COUNTIFS(unit_details[Leased Date], "&gt;=" &amp; ($U$2 - N$5),
          unit_details[Leased Date], "&lt;" &amp; $U$2,
          unit_details[Floorplan Name], INDIRECT("C"&amp;ROW()),
          unit_details[Property Name], INDIRECT("B"&amp;ROW()))</f>
        <v>0</v>
      </c>
      <c r="Q67" s="531" t="str" cm="1">
        <f t="array" aca="1" ref="Q6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7" s="552" t="str" cm="1">
        <f t="array" aca="1" ref="R6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7" s="526" cm="1">
        <f t="array" aca="1" ref="S67" ca="1">COUNTIFS(unit_details[Leased Date], "&gt;=" &amp; ($U$2 - Q$5),
          unit_details[Leased Date], "&lt;" &amp; $U$2,
          unit_details[Floorplan Name], INDIRECT("C"&amp;ROW()),
          unit_details[Property Name], INDIRECT("B"&amp;ROW()))</f>
        <v>0</v>
      </c>
      <c r="T67" s="531" t="str" cm="1">
        <f t="array" aca="1" ref="T6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7" s="552" t="str" cm="1">
        <f t="array" aca="1" ref="U6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7" s="526" cm="1">
        <f t="array" aca="1" ref="V67" ca="1">COUNTIFS(unit_details[Leased Date], "&gt;=" &amp; ($U$2 - T$5),
          unit_details[Leased Date], "&lt;" &amp; $U$2,
          unit_details[Floorplan Name], INDIRECT("C"&amp;ROW()),
          unit_details[Property Name], INDIRECT("B"&amp;ROW()))</f>
        <v>0</v>
      </c>
      <c r="W67" s="531" t="str" cm="1">
        <f t="array" aca="1" ref="W6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7" s="552" t="str" cm="1">
        <f t="array" aca="1" ref="X6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7" s="27" t="str">
        <f t="shared" ca="1" si="0"/>
        <v/>
      </c>
      <c r="Z67" s="4" t="str">
        <f>IFERROR($U$2-AVERAGEIFS(unit_details[First Listed],
          unit_details[Active Listing?],TRUE,
          unit_details[Property Name], $B67,
          unit_details[Beds], $D67,
          unit_details[Baths], $E67,
          unit_details[Partial Baths], IF(ISNUMBER($F67),$F67,""),
          unit_details[Floorplan Name],$C67
),"")</f>
        <v/>
      </c>
      <c r="AA67" s="262" cm="1">
        <f t="array" aca="1" ref="AA67" ca="1">COUNTIFS(unit_details[Active Listing?],TRUE,
          unit_details[Floorplan Name], INDIRECT("C"&amp;ROW()),
          unit_details[Property Name], INDIRECT("B"&amp;ROW()))</f>
        <v>0</v>
      </c>
      <c r="AB67" s="553"/>
      <c r="AC67" s="528" cm="1">
        <f t="array" aca="1" ref="AC67" ca="1">IFERROR(AVERAGEIFS(
  unit_details[Sqft],
  unit_details[Property Name], INDIRECT("B"&amp;ROW()),
  unit_details[Floorplan Name], INDIRECT("C"&amp;ROW()),
  unit_details[Beds], INDIRECT("D"&amp;ROW()),
  unit_details[Detected Unit Amenities], "*"&amp;$AD$3&amp;"*",
  unit_details[Leased Date], "&gt;=" &amp; ($U$2 - $AF$3)
),0)</f>
        <v>0</v>
      </c>
      <c r="AD67" s="527" cm="1">
        <f t="array" aca="1" ref="AD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7" s="526" cm="1">
        <f t="array" aca="1" ref="AE67" ca="1">IFERROR(COUNTIFS(
  unit_details[Property Name], INDIRECT("B"&amp;ROW()),
  unit_details[Floorplan Name], INDIRECT("C"&amp;ROW()),
  unit_details[Beds], INDIRECT("D"&amp;ROW()),
  unit_details[Detected Unit Amenities], "*"&amp;$AD$3&amp;"*",
  unit_details[Leased Date], "&gt;=" &amp; ($U$2 - $AF$3)
),0)</f>
        <v>0</v>
      </c>
      <c r="AF67" s="528" cm="1">
        <f t="array" aca="1" ref="AF67" ca="1">IFERROR(AVERAGEIFS(
  unit_details[Sqft],
  unit_details[Property Name], INDIRECT("B"&amp;ROW()),
  unit_details[Floorplan Name], INDIRECT("C"&amp;ROW()),
  unit_details[Beds], INDIRECT("D"&amp;ROW()),
  unit_details[Detected Unit Amenities], "&lt;&gt;*"&amp;$AD$3&amp;"*",
  unit_details[Leased Date], "&gt;=" &amp; ($U$2 - $AF$3)
),0)</f>
        <v>0</v>
      </c>
      <c r="AG67" s="527" cm="1">
        <f t="array" aca="1" ref="AG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7" s="526" cm="1">
        <f t="array" aca="1" ref="AH67" ca="1">IFERROR(COUNTIFS(
  unit_details[Property Name], INDIRECT("B"&amp;ROW()),
  unit_details[Floorplan Name], INDIRECT("C"&amp;ROW()),
  unit_details[Beds], INDIRECT("D"&amp;ROW()),
  unit_details[Detected Unit Amenities], "&lt;&gt;*"&amp;$AD$3&amp;"*",
  unit_details[Leased Date], "&gt;=" &amp; ($U$2 - $AF$3)
),0)</f>
        <v>0</v>
      </c>
      <c r="AI67" s="528"/>
      <c r="AJ67" s="531">
        <f t="shared" ca="1" si="1"/>
        <v>0</v>
      </c>
      <c r="AK67" s="532">
        <f t="shared" ca="1" si="2"/>
        <v>0</v>
      </c>
    </row>
    <row r="68" spans="2:37" x14ac:dyDescent="0.2">
      <c r="B68" s="566"/>
      <c r="C68" s="53"/>
      <c r="E68" s="262"/>
      <c r="F68" s="262"/>
      <c r="J68" s="293"/>
      <c r="K68" s="6"/>
      <c r="M68" s="6"/>
      <c r="N68" s="531" t="str" cm="1">
        <f t="array" aca="1" ref="N6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8" s="552" t="str" cm="1">
        <f t="array" aca="1" ref="O6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8" s="526" cm="1">
        <f t="array" aca="1" ref="P68" ca="1">COUNTIFS(unit_details[Leased Date], "&gt;=" &amp; ($U$2 - N$5),
          unit_details[Leased Date], "&lt;" &amp; $U$2,
          unit_details[Floorplan Name], INDIRECT("C"&amp;ROW()),
          unit_details[Property Name], INDIRECT("B"&amp;ROW()))</f>
        <v>0</v>
      </c>
      <c r="Q68" s="531" t="str" cm="1">
        <f t="array" aca="1" ref="Q6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8" s="552" t="str" cm="1">
        <f t="array" aca="1" ref="R6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8" s="526" cm="1">
        <f t="array" aca="1" ref="S68" ca="1">COUNTIFS(unit_details[Leased Date], "&gt;=" &amp; ($U$2 - Q$5),
          unit_details[Leased Date], "&lt;" &amp; $U$2,
          unit_details[Floorplan Name], INDIRECT("C"&amp;ROW()),
          unit_details[Property Name], INDIRECT("B"&amp;ROW()))</f>
        <v>0</v>
      </c>
      <c r="T68" s="531" t="str" cm="1">
        <f t="array" aca="1" ref="T6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8" s="552" t="str" cm="1">
        <f t="array" aca="1" ref="U6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8" s="526" cm="1">
        <f t="array" aca="1" ref="V68" ca="1">COUNTIFS(unit_details[Leased Date], "&gt;=" &amp; ($U$2 - T$5),
          unit_details[Leased Date], "&lt;" &amp; $U$2,
          unit_details[Floorplan Name], INDIRECT("C"&amp;ROW()),
          unit_details[Property Name], INDIRECT("B"&amp;ROW()))</f>
        <v>0</v>
      </c>
      <c r="W68" s="531" t="str" cm="1">
        <f t="array" aca="1" ref="W6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8" s="552" t="str" cm="1">
        <f t="array" aca="1" ref="X6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8" s="27" t="str">
        <f t="shared" ca="1" si="0"/>
        <v/>
      </c>
      <c r="Z68" s="4" t="str">
        <f>IFERROR($U$2-AVERAGEIFS(unit_details[First Listed],
          unit_details[Active Listing?],TRUE,
          unit_details[Property Name], $B68,
          unit_details[Beds], $D68,
          unit_details[Baths], $E68,
          unit_details[Partial Baths], IF(ISNUMBER($F68),$F68,""),
          unit_details[Floorplan Name],$C68
),"")</f>
        <v/>
      </c>
      <c r="AA68" s="262" cm="1">
        <f t="array" aca="1" ref="AA68" ca="1">COUNTIFS(unit_details[Active Listing?],TRUE,
          unit_details[Floorplan Name], INDIRECT("C"&amp;ROW()),
          unit_details[Property Name], INDIRECT("B"&amp;ROW()))</f>
        <v>0</v>
      </c>
      <c r="AB68" s="553"/>
      <c r="AC68" s="528" cm="1">
        <f t="array" aca="1" ref="AC68" ca="1">IFERROR(AVERAGEIFS(
  unit_details[Sqft],
  unit_details[Property Name], INDIRECT("B"&amp;ROW()),
  unit_details[Floorplan Name], INDIRECT("C"&amp;ROW()),
  unit_details[Beds], INDIRECT("D"&amp;ROW()),
  unit_details[Detected Unit Amenities], "*"&amp;$AD$3&amp;"*",
  unit_details[Leased Date], "&gt;=" &amp; ($U$2 - $AF$3)
),0)</f>
        <v>0</v>
      </c>
      <c r="AD68" s="527" cm="1">
        <f t="array" aca="1" ref="AD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8" s="526" cm="1">
        <f t="array" aca="1" ref="AE68" ca="1">IFERROR(COUNTIFS(
  unit_details[Property Name], INDIRECT("B"&amp;ROW()),
  unit_details[Floorplan Name], INDIRECT("C"&amp;ROW()),
  unit_details[Beds], INDIRECT("D"&amp;ROW()),
  unit_details[Detected Unit Amenities], "*"&amp;$AD$3&amp;"*",
  unit_details[Leased Date], "&gt;=" &amp; ($U$2 - $AF$3)
),0)</f>
        <v>0</v>
      </c>
      <c r="AF68" s="528" cm="1">
        <f t="array" aca="1" ref="AF68" ca="1">IFERROR(AVERAGEIFS(
  unit_details[Sqft],
  unit_details[Property Name], INDIRECT("B"&amp;ROW()),
  unit_details[Floorplan Name], INDIRECT("C"&amp;ROW()),
  unit_details[Beds], INDIRECT("D"&amp;ROW()),
  unit_details[Detected Unit Amenities], "&lt;&gt;*"&amp;$AD$3&amp;"*",
  unit_details[Leased Date], "&gt;=" &amp; ($U$2 - $AF$3)
),0)</f>
        <v>0</v>
      </c>
      <c r="AG68" s="527" cm="1">
        <f t="array" aca="1" ref="AG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8" s="526" cm="1">
        <f t="array" aca="1" ref="AH68" ca="1">IFERROR(COUNTIFS(
  unit_details[Property Name], INDIRECT("B"&amp;ROW()),
  unit_details[Floorplan Name], INDIRECT("C"&amp;ROW()),
  unit_details[Beds], INDIRECT("D"&amp;ROW()),
  unit_details[Detected Unit Amenities], "&lt;&gt;*"&amp;$AD$3&amp;"*",
  unit_details[Leased Date], "&gt;=" &amp; ($U$2 - $AF$3)
),0)</f>
        <v>0</v>
      </c>
      <c r="AI68" s="528"/>
      <c r="AJ68" s="531">
        <f t="shared" ca="1" si="1"/>
        <v>0</v>
      </c>
      <c r="AK68" s="532">
        <f t="shared" ca="1" si="2"/>
        <v>0</v>
      </c>
    </row>
    <row r="69" spans="2:37" x14ac:dyDescent="0.2">
      <c r="B69" s="566"/>
      <c r="C69" s="53"/>
      <c r="E69" s="262"/>
      <c r="F69" s="262"/>
      <c r="J69" s="293"/>
      <c r="K69" s="6"/>
      <c r="M69" s="6"/>
      <c r="N69" s="531" t="str" cm="1">
        <f t="array" aca="1" ref="N6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69" s="552" t="str" cm="1">
        <f t="array" aca="1" ref="O6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69" s="526" cm="1">
        <f t="array" aca="1" ref="P69" ca="1">COUNTIFS(unit_details[Leased Date], "&gt;=" &amp; ($U$2 - N$5),
          unit_details[Leased Date], "&lt;" &amp; $U$2,
          unit_details[Floorplan Name], INDIRECT("C"&amp;ROW()),
          unit_details[Property Name], INDIRECT("B"&amp;ROW()))</f>
        <v>0</v>
      </c>
      <c r="Q69" s="531" t="str" cm="1">
        <f t="array" aca="1" ref="Q6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69" s="552" t="str" cm="1">
        <f t="array" aca="1" ref="R6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69" s="526" cm="1">
        <f t="array" aca="1" ref="S69" ca="1">COUNTIFS(unit_details[Leased Date], "&gt;=" &amp; ($U$2 - Q$5),
          unit_details[Leased Date], "&lt;" &amp; $U$2,
          unit_details[Floorplan Name], INDIRECT("C"&amp;ROW()),
          unit_details[Property Name], INDIRECT("B"&amp;ROW()))</f>
        <v>0</v>
      </c>
      <c r="T69" s="531" t="str" cm="1">
        <f t="array" aca="1" ref="T6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69" s="552" t="str" cm="1">
        <f t="array" aca="1" ref="U6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69" s="526" cm="1">
        <f t="array" aca="1" ref="V69" ca="1">COUNTIFS(unit_details[Leased Date], "&gt;=" &amp; ($U$2 - T$5),
          unit_details[Leased Date], "&lt;" &amp; $U$2,
          unit_details[Floorplan Name], INDIRECT("C"&amp;ROW()),
          unit_details[Property Name], INDIRECT("B"&amp;ROW()))</f>
        <v>0</v>
      </c>
      <c r="W69" s="531" t="str" cm="1">
        <f t="array" aca="1" ref="W6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69" s="552" t="str" cm="1">
        <f t="array" aca="1" ref="X6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69" s="27" t="str">
        <f t="shared" ca="1" si="0"/>
        <v/>
      </c>
      <c r="Z69" s="4" t="str">
        <f>IFERROR($U$2-AVERAGEIFS(unit_details[First Listed],
          unit_details[Active Listing?],TRUE,
          unit_details[Property Name], $B69,
          unit_details[Beds], $D69,
          unit_details[Baths], $E69,
          unit_details[Partial Baths], IF(ISNUMBER($F69),$F69,""),
          unit_details[Floorplan Name],$C69
),"")</f>
        <v/>
      </c>
      <c r="AA69" s="262" cm="1">
        <f t="array" aca="1" ref="AA69" ca="1">COUNTIFS(unit_details[Active Listing?],TRUE,
          unit_details[Floorplan Name], INDIRECT("C"&amp;ROW()),
          unit_details[Property Name], INDIRECT("B"&amp;ROW()))</f>
        <v>0</v>
      </c>
      <c r="AB69" s="553"/>
      <c r="AC69" s="528" cm="1">
        <f t="array" aca="1" ref="AC69" ca="1">IFERROR(AVERAGEIFS(
  unit_details[Sqft],
  unit_details[Property Name], INDIRECT("B"&amp;ROW()),
  unit_details[Floorplan Name], INDIRECT("C"&amp;ROW()),
  unit_details[Beds], INDIRECT("D"&amp;ROW()),
  unit_details[Detected Unit Amenities], "*"&amp;$AD$3&amp;"*",
  unit_details[Leased Date], "&gt;=" &amp; ($U$2 - $AF$3)
),0)</f>
        <v>0</v>
      </c>
      <c r="AD69" s="527" cm="1">
        <f t="array" aca="1" ref="AD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69" s="526" cm="1">
        <f t="array" aca="1" ref="AE69" ca="1">IFERROR(COUNTIFS(
  unit_details[Property Name], INDIRECT("B"&amp;ROW()),
  unit_details[Floorplan Name], INDIRECT("C"&amp;ROW()),
  unit_details[Beds], INDIRECT("D"&amp;ROW()),
  unit_details[Detected Unit Amenities], "*"&amp;$AD$3&amp;"*",
  unit_details[Leased Date], "&gt;=" &amp; ($U$2 - $AF$3)
),0)</f>
        <v>0</v>
      </c>
      <c r="AF69" s="528" cm="1">
        <f t="array" aca="1" ref="AF69" ca="1">IFERROR(AVERAGEIFS(
  unit_details[Sqft],
  unit_details[Property Name], INDIRECT("B"&amp;ROW()),
  unit_details[Floorplan Name], INDIRECT("C"&amp;ROW()),
  unit_details[Beds], INDIRECT("D"&amp;ROW()),
  unit_details[Detected Unit Amenities], "&lt;&gt;*"&amp;$AD$3&amp;"*",
  unit_details[Leased Date], "&gt;=" &amp; ($U$2 - $AF$3)
),0)</f>
        <v>0</v>
      </c>
      <c r="AG69" s="527" cm="1">
        <f t="array" aca="1" ref="AG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69" s="526" cm="1">
        <f t="array" aca="1" ref="AH69" ca="1">IFERROR(COUNTIFS(
  unit_details[Property Name], INDIRECT("B"&amp;ROW()),
  unit_details[Floorplan Name], INDIRECT("C"&amp;ROW()),
  unit_details[Beds], INDIRECT("D"&amp;ROW()),
  unit_details[Detected Unit Amenities], "&lt;&gt;*"&amp;$AD$3&amp;"*",
  unit_details[Leased Date], "&gt;=" &amp; ($U$2 - $AF$3)
),0)</f>
        <v>0</v>
      </c>
      <c r="AI69" s="528"/>
      <c r="AJ69" s="531">
        <f t="shared" ca="1" si="1"/>
        <v>0</v>
      </c>
      <c r="AK69" s="532">
        <f t="shared" ca="1" si="2"/>
        <v>0</v>
      </c>
    </row>
    <row r="70" spans="2:37" x14ac:dyDescent="0.2">
      <c r="B70" s="566"/>
      <c r="C70" s="53"/>
      <c r="E70" s="262"/>
      <c r="F70" s="262"/>
      <c r="J70" s="293"/>
      <c r="K70" s="6"/>
      <c r="M70" s="6"/>
      <c r="N70" s="531" t="str" cm="1">
        <f t="array" aca="1" ref="N7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0" s="552" t="str" cm="1">
        <f t="array" aca="1" ref="O7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0" s="526" cm="1">
        <f t="array" aca="1" ref="P70" ca="1">COUNTIFS(unit_details[Leased Date], "&gt;=" &amp; ($U$2 - N$5),
          unit_details[Leased Date], "&lt;" &amp; $U$2,
          unit_details[Floorplan Name], INDIRECT("C"&amp;ROW()),
          unit_details[Property Name], INDIRECT("B"&amp;ROW()))</f>
        <v>0</v>
      </c>
      <c r="Q70" s="531" t="str" cm="1">
        <f t="array" aca="1" ref="Q7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0" s="552" t="str" cm="1">
        <f t="array" aca="1" ref="R7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0" s="526" cm="1">
        <f t="array" aca="1" ref="S70" ca="1">COUNTIFS(unit_details[Leased Date], "&gt;=" &amp; ($U$2 - Q$5),
          unit_details[Leased Date], "&lt;" &amp; $U$2,
          unit_details[Floorplan Name], INDIRECT("C"&amp;ROW()),
          unit_details[Property Name], INDIRECT("B"&amp;ROW()))</f>
        <v>0</v>
      </c>
      <c r="T70" s="531" t="str" cm="1">
        <f t="array" aca="1" ref="T7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0" s="552" t="str" cm="1">
        <f t="array" aca="1" ref="U7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0" s="526" cm="1">
        <f t="array" aca="1" ref="V70" ca="1">COUNTIFS(unit_details[Leased Date], "&gt;=" &amp; ($U$2 - T$5),
          unit_details[Leased Date], "&lt;" &amp; $U$2,
          unit_details[Floorplan Name], INDIRECT("C"&amp;ROW()),
          unit_details[Property Name], INDIRECT("B"&amp;ROW()))</f>
        <v>0</v>
      </c>
      <c r="W70" s="531" t="str" cm="1">
        <f t="array" aca="1" ref="W7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0" s="552" t="str" cm="1">
        <f t="array" aca="1" ref="X7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0" s="27" t="str">
        <f t="shared" ca="1" si="0"/>
        <v/>
      </c>
      <c r="Z70" s="4" t="str">
        <f>IFERROR($U$2-AVERAGEIFS(unit_details[First Listed],
          unit_details[Active Listing?],TRUE,
          unit_details[Property Name], $B70,
          unit_details[Beds], $D70,
          unit_details[Baths], $E70,
          unit_details[Partial Baths], IF(ISNUMBER($F70),$F70,""),
          unit_details[Floorplan Name],$C70
),"")</f>
        <v/>
      </c>
      <c r="AA70" s="262" cm="1">
        <f t="array" aca="1" ref="AA70" ca="1">COUNTIFS(unit_details[Active Listing?],TRUE,
          unit_details[Floorplan Name], INDIRECT("C"&amp;ROW()),
          unit_details[Property Name], INDIRECT("B"&amp;ROW()))</f>
        <v>0</v>
      </c>
      <c r="AB70" s="553"/>
      <c r="AC70" s="528" cm="1">
        <f t="array" aca="1" ref="AC70" ca="1">IFERROR(AVERAGEIFS(
  unit_details[Sqft],
  unit_details[Property Name], INDIRECT("B"&amp;ROW()),
  unit_details[Floorplan Name], INDIRECT("C"&amp;ROW()),
  unit_details[Beds], INDIRECT("D"&amp;ROW()),
  unit_details[Detected Unit Amenities], "*"&amp;$AD$3&amp;"*",
  unit_details[Leased Date], "&gt;=" &amp; ($U$2 - $AF$3)
),0)</f>
        <v>0</v>
      </c>
      <c r="AD70" s="527" cm="1">
        <f t="array" aca="1" ref="AD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0" s="526" cm="1">
        <f t="array" aca="1" ref="AE70" ca="1">IFERROR(COUNTIFS(
  unit_details[Property Name], INDIRECT("B"&amp;ROW()),
  unit_details[Floorplan Name], INDIRECT("C"&amp;ROW()),
  unit_details[Beds], INDIRECT("D"&amp;ROW()),
  unit_details[Detected Unit Amenities], "*"&amp;$AD$3&amp;"*",
  unit_details[Leased Date], "&gt;=" &amp; ($U$2 - $AF$3)
),0)</f>
        <v>0</v>
      </c>
      <c r="AF70" s="528" cm="1">
        <f t="array" aca="1" ref="AF70" ca="1">IFERROR(AVERAGEIFS(
  unit_details[Sqft],
  unit_details[Property Name], INDIRECT("B"&amp;ROW()),
  unit_details[Floorplan Name], INDIRECT("C"&amp;ROW()),
  unit_details[Beds], INDIRECT("D"&amp;ROW()),
  unit_details[Detected Unit Amenities], "&lt;&gt;*"&amp;$AD$3&amp;"*",
  unit_details[Leased Date], "&gt;=" &amp; ($U$2 - $AF$3)
),0)</f>
        <v>0</v>
      </c>
      <c r="AG70" s="527" cm="1">
        <f t="array" aca="1" ref="AG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0" s="526" cm="1">
        <f t="array" aca="1" ref="AH70" ca="1">IFERROR(COUNTIFS(
  unit_details[Property Name], INDIRECT("B"&amp;ROW()),
  unit_details[Floorplan Name], INDIRECT("C"&amp;ROW()),
  unit_details[Beds], INDIRECT("D"&amp;ROW()),
  unit_details[Detected Unit Amenities], "&lt;&gt;*"&amp;$AD$3&amp;"*",
  unit_details[Leased Date], "&gt;=" &amp; ($U$2 - $AF$3)
),0)</f>
        <v>0</v>
      </c>
      <c r="AI70" s="528"/>
      <c r="AJ70" s="531">
        <f t="shared" ca="1" si="1"/>
        <v>0</v>
      </c>
      <c r="AK70" s="532">
        <f t="shared" ca="1" si="2"/>
        <v>0</v>
      </c>
    </row>
    <row r="71" spans="2:37" x14ac:dyDescent="0.2">
      <c r="B71" s="566"/>
      <c r="C71" s="53"/>
      <c r="E71" s="262"/>
      <c r="F71" s="262"/>
      <c r="J71" s="293"/>
      <c r="K71" s="6"/>
      <c r="M71" s="6"/>
      <c r="N71" s="531" t="str" cm="1">
        <f t="array" aca="1" ref="N7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1" s="552" t="str" cm="1">
        <f t="array" aca="1" ref="O7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1" s="526" cm="1">
        <f t="array" aca="1" ref="P71" ca="1">COUNTIFS(unit_details[Leased Date], "&gt;=" &amp; ($U$2 - N$5),
          unit_details[Leased Date], "&lt;" &amp; $U$2,
          unit_details[Floorplan Name], INDIRECT("C"&amp;ROW()),
          unit_details[Property Name], INDIRECT("B"&amp;ROW()))</f>
        <v>0</v>
      </c>
      <c r="Q71" s="531" t="str" cm="1">
        <f t="array" aca="1" ref="Q7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1" s="552" t="str" cm="1">
        <f t="array" aca="1" ref="R7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1" s="526" cm="1">
        <f t="array" aca="1" ref="S71" ca="1">COUNTIFS(unit_details[Leased Date], "&gt;=" &amp; ($U$2 - Q$5),
          unit_details[Leased Date], "&lt;" &amp; $U$2,
          unit_details[Floorplan Name], INDIRECT("C"&amp;ROW()),
          unit_details[Property Name], INDIRECT("B"&amp;ROW()))</f>
        <v>0</v>
      </c>
      <c r="T71" s="531" t="str" cm="1">
        <f t="array" aca="1" ref="T7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1" s="552" t="str" cm="1">
        <f t="array" aca="1" ref="U7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1" s="526" cm="1">
        <f t="array" aca="1" ref="V71" ca="1">COUNTIFS(unit_details[Leased Date], "&gt;=" &amp; ($U$2 - T$5),
          unit_details[Leased Date], "&lt;" &amp; $U$2,
          unit_details[Floorplan Name], INDIRECT("C"&amp;ROW()),
          unit_details[Property Name], INDIRECT("B"&amp;ROW()))</f>
        <v>0</v>
      </c>
      <c r="W71" s="531" t="str" cm="1">
        <f t="array" aca="1" ref="W7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1" s="552" t="str" cm="1">
        <f t="array" aca="1" ref="X7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1" s="27" t="str">
        <f t="shared" ca="1" si="0"/>
        <v/>
      </c>
      <c r="Z71" s="4" t="str">
        <f>IFERROR($U$2-AVERAGEIFS(unit_details[First Listed],
          unit_details[Active Listing?],TRUE,
          unit_details[Property Name], $B71,
          unit_details[Beds], $D71,
          unit_details[Baths], $E71,
          unit_details[Partial Baths], IF(ISNUMBER($F71),$F71,""),
          unit_details[Floorplan Name],$C71
),"")</f>
        <v/>
      </c>
      <c r="AA71" s="262" cm="1">
        <f t="array" aca="1" ref="AA71" ca="1">COUNTIFS(unit_details[Active Listing?],TRUE,
          unit_details[Floorplan Name], INDIRECT("C"&amp;ROW()),
          unit_details[Property Name], INDIRECT("B"&amp;ROW()))</f>
        <v>0</v>
      </c>
      <c r="AB71" s="553"/>
      <c r="AC71" s="528" cm="1">
        <f t="array" aca="1" ref="AC71" ca="1">IFERROR(AVERAGEIFS(
  unit_details[Sqft],
  unit_details[Property Name], INDIRECT("B"&amp;ROW()),
  unit_details[Floorplan Name], INDIRECT("C"&amp;ROW()),
  unit_details[Beds], INDIRECT("D"&amp;ROW()),
  unit_details[Detected Unit Amenities], "*"&amp;$AD$3&amp;"*",
  unit_details[Leased Date], "&gt;=" &amp; ($U$2 - $AF$3)
),0)</f>
        <v>0</v>
      </c>
      <c r="AD71" s="527" cm="1">
        <f t="array" aca="1" ref="AD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1" s="526" cm="1">
        <f t="array" aca="1" ref="AE71" ca="1">IFERROR(COUNTIFS(
  unit_details[Property Name], INDIRECT("B"&amp;ROW()),
  unit_details[Floorplan Name], INDIRECT("C"&amp;ROW()),
  unit_details[Beds], INDIRECT("D"&amp;ROW()),
  unit_details[Detected Unit Amenities], "*"&amp;$AD$3&amp;"*",
  unit_details[Leased Date], "&gt;=" &amp; ($U$2 - $AF$3)
),0)</f>
        <v>0</v>
      </c>
      <c r="AF71" s="528" cm="1">
        <f t="array" aca="1" ref="AF71" ca="1">IFERROR(AVERAGEIFS(
  unit_details[Sqft],
  unit_details[Property Name], INDIRECT("B"&amp;ROW()),
  unit_details[Floorplan Name], INDIRECT("C"&amp;ROW()),
  unit_details[Beds], INDIRECT("D"&amp;ROW()),
  unit_details[Detected Unit Amenities], "&lt;&gt;*"&amp;$AD$3&amp;"*",
  unit_details[Leased Date], "&gt;=" &amp; ($U$2 - $AF$3)
),0)</f>
        <v>0</v>
      </c>
      <c r="AG71" s="527" cm="1">
        <f t="array" aca="1" ref="AG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1" s="526" cm="1">
        <f t="array" aca="1" ref="AH71" ca="1">IFERROR(COUNTIFS(
  unit_details[Property Name], INDIRECT("B"&amp;ROW()),
  unit_details[Floorplan Name], INDIRECT("C"&amp;ROW()),
  unit_details[Beds], INDIRECT("D"&amp;ROW()),
  unit_details[Detected Unit Amenities], "&lt;&gt;*"&amp;$AD$3&amp;"*",
  unit_details[Leased Date], "&gt;=" &amp; ($U$2 - $AF$3)
),0)</f>
        <v>0</v>
      </c>
      <c r="AI71" s="528"/>
      <c r="AJ71" s="531">
        <f t="shared" ca="1" si="1"/>
        <v>0</v>
      </c>
      <c r="AK71" s="532">
        <f t="shared" ca="1" si="2"/>
        <v>0</v>
      </c>
    </row>
    <row r="72" spans="2:37" x14ac:dyDescent="0.2">
      <c r="B72" s="566"/>
      <c r="C72" s="53"/>
      <c r="E72" s="262"/>
      <c r="F72" s="262"/>
      <c r="J72" s="293"/>
      <c r="K72" s="6"/>
      <c r="M72" s="6"/>
      <c r="N72" s="531" t="str" cm="1">
        <f t="array" aca="1" ref="N7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2" s="552" t="str" cm="1">
        <f t="array" aca="1" ref="O7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2" s="526" cm="1">
        <f t="array" aca="1" ref="P72" ca="1">COUNTIFS(unit_details[Leased Date], "&gt;=" &amp; ($U$2 - N$5),
          unit_details[Leased Date], "&lt;" &amp; $U$2,
          unit_details[Floorplan Name], INDIRECT("C"&amp;ROW()),
          unit_details[Property Name], INDIRECT("B"&amp;ROW()))</f>
        <v>0</v>
      </c>
      <c r="Q72" s="531" t="str" cm="1">
        <f t="array" aca="1" ref="Q7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2" s="552" t="str" cm="1">
        <f t="array" aca="1" ref="R7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2" s="526" cm="1">
        <f t="array" aca="1" ref="S72" ca="1">COUNTIFS(unit_details[Leased Date], "&gt;=" &amp; ($U$2 - Q$5),
          unit_details[Leased Date], "&lt;" &amp; $U$2,
          unit_details[Floorplan Name], INDIRECT("C"&amp;ROW()),
          unit_details[Property Name], INDIRECT("B"&amp;ROW()))</f>
        <v>0</v>
      </c>
      <c r="T72" s="531" t="str" cm="1">
        <f t="array" aca="1" ref="T7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2" s="552" t="str" cm="1">
        <f t="array" aca="1" ref="U7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2" s="526" cm="1">
        <f t="array" aca="1" ref="V72" ca="1">COUNTIFS(unit_details[Leased Date], "&gt;=" &amp; ($U$2 - T$5),
          unit_details[Leased Date], "&lt;" &amp; $U$2,
          unit_details[Floorplan Name], INDIRECT("C"&amp;ROW()),
          unit_details[Property Name], INDIRECT("B"&amp;ROW()))</f>
        <v>0</v>
      </c>
      <c r="W72" s="531" t="str" cm="1">
        <f t="array" aca="1" ref="W7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2" s="552" t="str" cm="1">
        <f t="array" aca="1" ref="X7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2" s="27" t="str">
        <f t="shared" ref="Y72:Y135" ca="1" si="3">IFERROR((W72-X72)/W72,"")</f>
        <v/>
      </c>
      <c r="Z72" s="4" t="str">
        <f>IFERROR($U$2-AVERAGEIFS(unit_details[First Listed],
          unit_details[Active Listing?],TRUE,
          unit_details[Property Name], $B72,
          unit_details[Beds], $D72,
          unit_details[Baths], $E72,
          unit_details[Partial Baths], IF(ISNUMBER($F72),$F72,""),
          unit_details[Floorplan Name],$C72
),"")</f>
        <v/>
      </c>
      <c r="AA72" s="262" cm="1">
        <f t="array" aca="1" ref="AA72" ca="1">COUNTIFS(unit_details[Active Listing?],TRUE,
          unit_details[Floorplan Name], INDIRECT("C"&amp;ROW()),
          unit_details[Property Name], INDIRECT("B"&amp;ROW()))</f>
        <v>0</v>
      </c>
      <c r="AB72" s="553"/>
      <c r="AC72" s="528" cm="1">
        <f t="array" aca="1" ref="AC72" ca="1">IFERROR(AVERAGEIFS(
  unit_details[Sqft],
  unit_details[Property Name], INDIRECT("B"&amp;ROW()),
  unit_details[Floorplan Name], INDIRECT("C"&amp;ROW()),
  unit_details[Beds], INDIRECT("D"&amp;ROW()),
  unit_details[Detected Unit Amenities], "*"&amp;$AD$3&amp;"*",
  unit_details[Leased Date], "&gt;=" &amp; ($U$2 - $AF$3)
),0)</f>
        <v>0</v>
      </c>
      <c r="AD72" s="527" cm="1">
        <f t="array" aca="1" ref="AD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2" s="526" cm="1">
        <f t="array" aca="1" ref="AE72" ca="1">IFERROR(COUNTIFS(
  unit_details[Property Name], INDIRECT("B"&amp;ROW()),
  unit_details[Floorplan Name], INDIRECT("C"&amp;ROW()),
  unit_details[Beds], INDIRECT("D"&amp;ROW()),
  unit_details[Detected Unit Amenities], "*"&amp;$AD$3&amp;"*",
  unit_details[Leased Date], "&gt;=" &amp; ($U$2 - $AF$3)
),0)</f>
        <v>0</v>
      </c>
      <c r="AF72" s="528" cm="1">
        <f t="array" aca="1" ref="AF72" ca="1">IFERROR(AVERAGEIFS(
  unit_details[Sqft],
  unit_details[Property Name], INDIRECT("B"&amp;ROW()),
  unit_details[Floorplan Name], INDIRECT("C"&amp;ROW()),
  unit_details[Beds], INDIRECT("D"&amp;ROW()),
  unit_details[Detected Unit Amenities], "&lt;&gt;*"&amp;$AD$3&amp;"*",
  unit_details[Leased Date], "&gt;=" &amp; ($U$2 - $AF$3)
),0)</f>
        <v>0</v>
      </c>
      <c r="AG72" s="527" cm="1">
        <f t="array" aca="1" ref="AG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2" s="526" cm="1">
        <f t="array" aca="1" ref="AH72" ca="1">IFERROR(COUNTIFS(
  unit_details[Property Name], INDIRECT("B"&amp;ROW()),
  unit_details[Floorplan Name], INDIRECT("C"&amp;ROW()),
  unit_details[Beds], INDIRECT("D"&amp;ROW()),
  unit_details[Detected Unit Amenities], "&lt;&gt;*"&amp;$AD$3&amp;"*",
  unit_details[Leased Date], "&gt;=" &amp; ($U$2 - $AF$3)
),0)</f>
        <v>0</v>
      </c>
      <c r="AI72" s="528"/>
      <c r="AJ72" s="531">
        <f t="shared" ca="1" si="1"/>
        <v>0</v>
      </c>
      <c r="AK72" s="532">
        <f t="shared" ca="1" si="2"/>
        <v>0</v>
      </c>
    </row>
    <row r="73" spans="2:37" x14ac:dyDescent="0.2">
      <c r="B73" s="566"/>
      <c r="C73" s="53"/>
      <c r="E73" s="262"/>
      <c r="F73" s="262"/>
      <c r="J73" s="293"/>
      <c r="K73" s="6"/>
      <c r="M73" s="6"/>
      <c r="N73" s="531" t="str" cm="1">
        <f t="array" aca="1" ref="N7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3" s="552" t="str" cm="1">
        <f t="array" aca="1" ref="O7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3" s="526" cm="1">
        <f t="array" aca="1" ref="P73" ca="1">COUNTIFS(unit_details[Leased Date], "&gt;=" &amp; ($U$2 - N$5),
          unit_details[Leased Date], "&lt;" &amp; $U$2,
          unit_details[Floorplan Name], INDIRECT("C"&amp;ROW()),
          unit_details[Property Name], INDIRECT("B"&amp;ROW()))</f>
        <v>0</v>
      </c>
      <c r="Q73" s="531" t="str" cm="1">
        <f t="array" aca="1" ref="Q7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3" s="552" t="str" cm="1">
        <f t="array" aca="1" ref="R7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3" s="526" cm="1">
        <f t="array" aca="1" ref="S73" ca="1">COUNTIFS(unit_details[Leased Date], "&gt;=" &amp; ($U$2 - Q$5),
          unit_details[Leased Date], "&lt;" &amp; $U$2,
          unit_details[Floorplan Name], INDIRECT("C"&amp;ROW()),
          unit_details[Property Name], INDIRECT("B"&amp;ROW()))</f>
        <v>0</v>
      </c>
      <c r="T73" s="531" t="str" cm="1">
        <f t="array" aca="1" ref="T7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3" s="552" t="str" cm="1">
        <f t="array" aca="1" ref="U7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3" s="526" cm="1">
        <f t="array" aca="1" ref="V73" ca="1">COUNTIFS(unit_details[Leased Date], "&gt;=" &amp; ($U$2 - T$5),
          unit_details[Leased Date], "&lt;" &amp; $U$2,
          unit_details[Floorplan Name], INDIRECT("C"&amp;ROW()),
          unit_details[Property Name], INDIRECT("B"&amp;ROW()))</f>
        <v>0</v>
      </c>
      <c r="W73" s="531" t="str" cm="1">
        <f t="array" aca="1" ref="W7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3" s="552" t="str" cm="1">
        <f t="array" aca="1" ref="X7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3" s="27" t="str">
        <f t="shared" ca="1" si="3"/>
        <v/>
      </c>
      <c r="Z73" s="4" t="str">
        <f>IFERROR($U$2-AVERAGEIFS(unit_details[First Listed],
          unit_details[Active Listing?],TRUE,
          unit_details[Property Name], $B73,
          unit_details[Beds], $D73,
          unit_details[Baths], $E73,
          unit_details[Partial Baths], IF(ISNUMBER($F73),$F73,""),
          unit_details[Floorplan Name],$C73
),"")</f>
        <v/>
      </c>
      <c r="AA73" s="262" cm="1">
        <f t="array" aca="1" ref="AA73" ca="1">COUNTIFS(unit_details[Active Listing?],TRUE,
          unit_details[Floorplan Name], INDIRECT("C"&amp;ROW()),
          unit_details[Property Name], INDIRECT("B"&amp;ROW()))</f>
        <v>0</v>
      </c>
      <c r="AB73" s="553"/>
      <c r="AC73" s="528" cm="1">
        <f t="array" aca="1" ref="AC73" ca="1">IFERROR(AVERAGEIFS(
  unit_details[Sqft],
  unit_details[Property Name], INDIRECT("B"&amp;ROW()),
  unit_details[Floorplan Name], INDIRECT("C"&amp;ROW()),
  unit_details[Beds], INDIRECT("D"&amp;ROW()),
  unit_details[Detected Unit Amenities], "*"&amp;$AD$3&amp;"*",
  unit_details[Leased Date], "&gt;=" &amp; ($U$2 - $AF$3)
),0)</f>
        <v>0</v>
      </c>
      <c r="AD73" s="527" cm="1">
        <f t="array" aca="1" ref="AD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3" s="526" cm="1">
        <f t="array" aca="1" ref="AE73" ca="1">IFERROR(COUNTIFS(
  unit_details[Property Name], INDIRECT("B"&amp;ROW()),
  unit_details[Floorplan Name], INDIRECT("C"&amp;ROW()),
  unit_details[Beds], INDIRECT("D"&amp;ROW()),
  unit_details[Detected Unit Amenities], "*"&amp;$AD$3&amp;"*",
  unit_details[Leased Date], "&gt;=" &amp; ($U$2 - $AF$3)
),0)</f>
        <v>0</v>
      </c>
      <c r="AF73" s="528" cm="1">
        <f t="array" aca="1" ref="AF73" ca="1">IFERROR(AVERAGEIFS(
  unit_details[Sqft],
  unit_details[Property Name], INDIRECT("B"&amp;ROW()),
  unit_details[Floorplan Name], INDIRECT("C"&amp;ROW()),
  unit_details[Beds], INDIRECT("D"&amp;ROW()),
  unit_details[Detected Unit Amenities], "&lt;&gt;*"&amp;$AD$3&amp;"*",
  unit_details[Leased Date], "&gt;=" &amp; ($U$2 - $AF$3)
),0)</f>
        <v>0</v>
      </c>
      <c r="AG73" s="527" cm="1">
        <f t="array" aca="1" ref="AG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3" s="526" cm="1">
        <f t="array" aca="1" ref="AH73" ca="1">IFERROR(COUNTIFS(
  unit_details[Property Name], INDIRECT("B"&amp;ROW()),
  unit_details[Floorplan Name], INDIRECT("C"&amp;ROW()),
  unit_details[Beds], INDIRECT("D"&amp;ROW()),
  unit_details[Detected Unit Amenities], "&lt;&gt;*"&amp;$AD$3&amp;"*",
  unit_details[Leased Date], "&gt;=" &amp; ($U$2 - $AF$3)
),0)</f>
        <v>0</v>
      </c>
      <c r="AI73" s="528"/>
      <c r="AJ73" s="531">
        <f t="shared" ref="AJ73:AJ136" ca="1" si="4">IF(OR(AD73=0,AG73=0),0,IFERROR(AD73-AG73,0))</f>
        <v>0</v>
      </c>
      <c r="AK73" s="532">
        <f t="shared" ref="AK73:AK136" ca="1" si="5">IFERROR(AJ73/AG73,0)</f>
        <v>0</v>
      </c>
    </row>
    <row r="74" spans="2:37" x14ac:dyDescent="0.2">
      <c r="B74" s="566"/>
      <c r="C74" s="53"/>
      <c r="E74" s="262"/>
      <c r="F74" s="262"/>
      <c r="J74" s="293"/>
      <c r="K74" s="6"/>
      <c r="M74" s="6"/>
      <c r="N74" s="531" t="str" cm="1">
        <f t="array" aca="1" ref="N7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4" s="552" t="str" cm="1">
        <f t="array" aca="1" ref="O7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4" s="526" cm="1">
        <f t="array" aca="1" ref="P74" ca="1">COUNTIFS(unit_details[Leased Date], "&gt;=" &amp; ($U$2 - N$5),
          unit_details[Leased Date], "&lt;" &amp; $U$2,
          unit_details[Floorplan Name], INDIRECT("C"&amp;ROW()),
          unit_details[Property Name], INDIRECT("B"&amp;ROW()))</f>
        <v>0</v>
      </c>
      <c r="Q74" s="531" t="str" cm="1">
        <f t="array" aca="1" ref="Q7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4" s="552" t="str" cm="1">
        <f t="array" aca="1" ref="R7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4" s="526" cm="1">
        <f t="array" aca="1" ref="S74" ca="1">COUNTIFS(unit_details[Leased Date], "&gt;=" &amp; ($U$2 - Q$5),
          unit_details[Leased Date], "&lt;" &amp; $U$2,
          unit_details[Floorplan Name], INDIRECT("C"&amp;ROW()),
          unit_details[Property Name], INDIRECT("B"&amp;ROW()))</f>
        <v>0</v>
      </c>
      <c r="T74" s="531" t="str" cm="1">
        <f t="array" aca="1" ref="T7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4" s="552" t="str" cm="1">
        <f t="array" aca="1" ref="U7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4" s="526" cm="1">
        <f t="array" aca="1" ref="V74" ca="1">COUNTIFS(unit_details[Leased Date], "&gt;=" &amp; ($U$2 - T$5),
          unit_details[Leased Date], "&lt;" &amp; $U$2,
          unit_details[Floorplan Name], INDIRECT("C"&amp;ROW()),
          unit_details[Property Name], INDIRECT("B"&amp;ROW()))</f>
        <v>0</v>
      </c>
      <c r="W74" s="531" t="str" cm="1">
        <f t="array" aca="1" ref="W7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4" s="552" t="str" cm="1">
        <f t="array" aca="1" ref="X7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4" s="27" t="str">
        <f t="shared" ca="1" si="3"/>
        <v/>
      </c>
      <c r="Z74" s="4" t="str">
        <f>IFERROR($U$2-AVERAGEIFS(unit_details[First Listed],
          unit_details[Active Listing?],TRUE,
          unit_details[Property Name], $B74,
          unit_details[Beds], $D74,
          unit_details[Baths], $E74,
          unit_details[Partial Baths], IF(ISNUMBER($F74),$F74,""),
          unit_details[Floorplan Name],$C74
),"")</f>
        <v/>
      </c>
      <c r="AA74" s="262" cm="1">
        <f t="array" aca="1" ref="AA74" ca="1">COUNTIFS(unit_details[Active Listing?],TRUE,
          unit_details[Floorplan Name], INDIRECT("C"&amp;ROW()),
          unit_details[Property Name], INDIRECT("B"&amp;ROW()))</f>
        <v>0</v>
      </c>
      <c r="AB74" s="553"/>
      <c r="AC74" s="528" cm="1">
        <f t="array" aca="1" ref="AC74" ca="1">IFERROR(AVERAGEIFS(
  unit_details[Sqft],
  unit_details[Property Name], INDIRECT("B"&amp;ROW()),
  unit_details[Floorplan Name], INDIRECT("C"&amp;ROW()),
  unit_details[Beds], INDIRECT("D"&amp;ROW()),
  unit_details[Detected Unit Amenities], "*"&amp;$AD$3&amp;"*",
  unit_details[Leased Date], "&gt;=" &amp; ($U$2 - $AF$3)
),0)</f>
        <v>0</v>
      </c>
      <c r="AD74" s="527" cm="1">
        <f t="array" aca="1" ref="AD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4" s="526" cm="1">
        <f t="array" aca="1" ref="AE74" ca="1">IFERROR(COUNTIFS(
  unit_details[Property Name], INDIRECT("B"&amp;ROW()),
  unit_details[Floorplan Name], INDIRECT("C"&amp;ROW()),
  unit_details[Beds], INDIRECT("D"&amp;ROW()),
  unit_details[Detected Unit Amenities], "*"&amp;$AD$3&amp;"*",
  unit_details[Leased Date], "&gt;=" &amp; ($U$2 - $AF$3)
),0)</f>
        <v>0</v>
      </c>
      <c r="AF74" s="528" cm="1">
        <f t="array" aca="1" ref="AF74" ca="1">IFERROR(AVERAGEIFS(
  unit_details[Sqft],
  unit_details[Property Name], INDIRECT("B"&amp;ROW()),
  unit_details[Floorplan Name], INDIRECT("C"&amp;ROW()),
  unit_details[Beds], INDIRECT("D"&amp;ROW()),
  unit_details[Detected Unit Amenities], "&lt;&gt;*"&amp;$AD$3&amp;"*",
  unit_details[Leased Date], "&gt;=" &amp; ($U$2 - $AF$3)
),0)</f>
        <v>0</v>
      </c>
      <c r="AG74" s="527" cm="1">
        <f t="array" aca="1" ref="AG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4" s="526" cm="1">
        <f t="array" aca="1" ref="AH74" ca="1">IFERROR(COUNTIFS(
  unit_details[Property Name], INDIRECT("B"&amp;ROW()),
  unit_details[Floorplan Name], INDIRECT("C"&amp;ROW()),
  unit_details[Beds], INDIRECT("D"&amp;ROW()),
  unit_details[Detected Unit Amenities], "&lt;&gt;*"&amp;$AD$3&amp;"*",
  unit_details[Leased Date], "&gt;=" &amp; ($U$2 - $AF$3)
),0)</f>
        <v>0</v>
      </c>
      <c r="AI74" s="528"/>
      <c r="AJ74" s="531">
        <f t="shared" ca="1" si="4"/>
        <v>0</v>
      </c>
      <c r="AK74" s="532">
        <f t="shared" ca="1" si="5"/>
        <v>0</v>
      </c>
    </row>
    <row r="75" spans="2:37" x14ac:dyDescent="0.2">
      <c r="B75" s="566"/>
      <c r="C75" s="53"/>
      <c r="E75" s="262"/>
      <c r="F75" s="262"/>
      <c r="J75" s="293"/>
      <c r="K75" s="6"/>
      <c r="M75" s="6"/>
      <c r="N75" s="531" t="str" cm="1">
        <f t="array" aca="1" ref="N7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5" s="552" t="str" cm="1">
        <f t="array" aca="1" ref="O7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5" s="526" cm="1">
        <f t="array" aca="1" ref="P75" ca="1">COUNTIFS(unit_details[Leased Date], "&gt;=" &amp; ($U$2 - N$5),
          unit_details[Leased Date], "&lt;" &amp; $U$2,
          unit_details[Floorplan Name], INDIRECT("C"&amp;ROW()),
          unit_details[Property Name], INDIRECT("B"&amp;ROW()))</f>
        <v>0</v>
      </c>
      <c r="Q75" s="531" t="str" cm="1">
        <f t="array" aca="1" ref="Q7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5" s="552" t="str" cm="1">
        <f t="array" aca="1" ref="R7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5" s="526" cm="1">
        <f t="array" aca="1" ref="S75" ca="1">COUNTIFS(unit_details[Leased Date], "&gt;=" &amp; ($U$2 - Q$5),
          unit_details[Leased Date], "&lt;" &amp; $U$2,
          unit_details[Floorplan Name], INDIRECT("C"&amp;ROW()),
          unit_details[Property Name], INDIRECT("B"&amp;ROW()))</f>
        <v>0</v>
      </c>
      <c r="T75" s="531" t="str" cm="1">
        <f t="array" aca="1" ref="T7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5" s="552" t="str" cm="1">
        <f t="array" aca="1" ref="U7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5" s="526" cm="1">
        <f t="array" aca="1" ref="V75" ca="1">COUNTIFS(unit_details[Leased Date], "&gt;=" &amp; ($U$2 - T$5),
          unit_details[Leased Date], "&lt;" &amp; $U$2,
          unit_details[Floorplan Name], INDIRECT("C"&amp;ROW()),
          unit_details[Property Name], INDIRECT("B"&amp;ROW()))</f>
        <v>0</v>
      </c>
      <c r="W75" s="531" t="str" cm="1">
        <f t="array" aca="1" ref="W7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5" s="552" t="str" cm="1">
        <f t="array" aca="1" ref="X7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5" s="27" t="str">
        <f t="shared" ca="1" si="3"/>
        <v/>
      </c>
      <c r="Z75" s="4" t="str">
        <f>IFERROR($U$2-AVERAGEIFS(unit_details[First Listed],
          unit_details[Active Listing?],TRUE,
          unit_details[Property Name], $B75,
          unit_details[Beds], $D75,
          unit_details[Baths], $E75,
          unit_details[Partial Baths], IF(ISNUMBER($F75),$F75,""),
          unit_details[Floorplan Name],$C75
),"")</f>
        <v/>
      </c>
      <c r="AA75" s="262" cm="1">
        <f t="array" aca="1" ref="AA75" ca="1">COUNTIFS(unit_details[Active Listing?],TRUE,
          unit_details[Floorplan Name], INDIRECT("C"&amp;ROW()),
          unit_details[Property Name], INDIRECT("B"&amp;ROW()))</f>
        <v>0</v>
      </c>
      <c r="AB75" s="553"/>
      <c r="AC75" s="528" cm="1">
        <f t="array" aca="1" ref="AC75" ca="1">IFERROR(AVERAGEIFS(
  unit_details[Sqft],
  unit_details[Property Name], INDIRECT("B"&amp;ROW()),
  unit_details[Floorplan Name], INDIRECT("C"&amp;ROW()),
  unit_details[Beds], INDIRECT("D"&amp;ROW()),
  unit_details[Detected Unit Amenities], "*"&amp;$AD$3&amp;"*",
  unit_details[Leased Date], "&gt;=" &amp; ($U$2 - $AF$3)
),0)</f>
        <v>0</v>
      </c>
      <c r="AD75" s="527" cm="1">
        <f t="array" aca="1" ref="AD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5" s="526" cm="1">
        <f t="array" aca="1" ref="AE75" ca="1">IFERROR(COUNTIFS(
  unit_details[Property Name], INDIRECT("B"&amp;ROW()),
  unit_details[Floorplan Name], INDIRECT("C"&amp;ROW()),
  unit_details[Beds], INDIRECT("D"&amp;ROW()),
  unit_details[Detected Unit Amenities], "*"&amp;$AD$3&amp;"*",
  unit_details[Leased Date], "&gt;=" &amp; ($U$2 - $AF$3)
),0)</f>
        <v>0</v>
      </c>
      <c r="AF75" s="528" cm="1">
        <f t="array" aca="1" ref="AF75" ca="1">IFERROR(AVERAGEIFS(
  unit_details[Sqft],
  unit_details[Property Name], INDIRECT("B"&amp;ROW()),
  unit_details[Floorplan Name], INDIRECT("C"&amp;ROW()),
  unit_details[Beds], INDIRECT("D"&amp;ROW()),
  unit_details[Detected Unit Amenities], "&lt;&gt;*"&amp;$AD$3&amp;"*",
  unit_details[Leased Date], "&gt;=" &amp; ($U$2 - $AF$3)
),0)</f>
        <v>0</v>
      </c>
      <c r="AG75" s="527" cm="1">
        <f t="array" aca="1" ref="AG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5" s="526" cm="1">
        <f t="array" aca="1" ref="AH75" ca="1">IFERROR(COUNTIFS(
  unit_details[Property Name], INDIRECT("B"&amp;ROW()),
  unit_details[Floorplan Name], INDIRECT("C"&amp;ROW()),
  unit_details[Beds], INDIRECT("D"&amp;ROW()),
  unit_details[Detected Unit Amenities], "&lt;&gt;*"&amp;$AD$3&amp;"*",
  unit_details[Leased Date], "&gt;=" &amp; ($U$2 - $AF$3)
),0)</f>
        <v>0</v>
      </c>
      <c r="AI75" s="528"/>
      <c r="AJ75" s="531">
        <f t="shared" ca="1" si="4"/>
        <v>0</v>
      </c>
      <c r="AK75" s="532">
        <f t="shared" ca="1" si="5"/>
        <v>0</v>
      </c>
    </row>
    <row r="76" spans="2:37" x14ac:dyDescent="0.2">
      <c r="B76" s="566"/>
      <c r="C76" s="53"/>
      <c r="E76" s="262"/>
      <c r="F76" s="262"/>
      <c r="J76" s="293"/>
      <c r="K76" s="6"/>
      <c r="M76" s="6"/>
      <c r="N76" s="531" t="str" cm="1">
        <f t="array" aca="1" ref="N7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6" s="552" t="str" cm="1">
        <f t="array" aca="1" ref="O7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6" s="526" cm="1">
        <f t="array" aca="1" ref="P76" ca="1">COUNTIFS(unit_details[Leased Date], "&gt;=" &amp; ($U$2 - N$5),
          unit_details[Leased Date], "&lt;" &amp; $U$2,
          unit_details[Floorplan Name], INDIRECT("C"&amp;ROW()),
          unit_details[Property Name], INDIRECT("B"&amp;ROW()))</f>
        <v>0</v>
      </c>
      <c r="Q76" s="531" t="str" cm="1">
        <f t="array" aca="1" ref="Q7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6" s="552" t="str" cm="1">
        <f t="array" aca="1" ref="R7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6" s="526" cm="1">
        <f t="array" aca="1" ref="S76" ca="1">COUNTIFS(unit_details[Leased Date], "&gt;=" &amp; ($U$2 - Q$5),
          unit_details[Leased Date], "&lt;" &amp; $U$2,
          unit_details[Floorplan Name], INDIRECT("C"&amp;ROW()),
          unit_details[Property Name], INDIRECT("B"&amp;ROW()))</f>
        <v>0</v>
      </c>
      <c r="T76" s="531" t="str" cm="1">
        <f t="array" aca="1" ref="T7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6" s="552" t="str" cm="1">
        <f t="array" aca="1" ref="U7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6" s="526" cm="1">
        <f t="array" aca="1" ref="V76" ca="1">COUNTIFS(unit_details[Leased Date], "&gt;=" &amp; ($U$2 - T$5),
          unit_details[Leased Date], "&lt;" &amp; $U$2,
          unit_details[Floorplan Name], INDIRECT("C"&amp;ROW()),
          unit_details[Property Name], INDIRECT("B"&amp;ROW()))</f>
        <v>0</v>
      </c>
      <c r="W76" s="531" t="str" cm="1">
        <f t="array" aca="1" ref="W7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6" s="552" t="str" cm="1">
        <f t="array" aca="1" ref="X7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6" s="27" t="str">
        <f t="shared" ca="1" si="3"/>
        <v/>
      </c>
      <c r="Z76" s="4" t="str">
        <f>IFERROR($U$2-AVERAGEIFS(unit_details[First Listed],
          unit_details[Active Listing?],TRUE,
          unit_details[Property Name], $B76,
          unit_details[Beds], $D76,
          unit_details[Baths], $E76,
          unit_details[Partial Baths], IF(ISNUMBER($F76),$F76,""),
          unit_details[Floorplan Name],$C76
),"")</f>
        <v/>
      </c>
      <c r="AA76" s="262" cm="1">
        <f t="array" aca="1" ref="AA76" ca="1">COUNTIFS(unit_details[Active Listing?],TRUE,
          unit_details[Floorplan Name], INDIRECT("C"&amp;ROW()),
          unit_details[Property Name], INDIRECT("B"&amp;ROW()))</f>
        <v>0</v>
      </c>
      <c r="AB76" s="553"/>
      <c r="AC76" s="528" cm="1">
        <f t="array" aca="1" ref="AC76" ca="1">IFERROR(AVERAGEIFS(
  unit_details[Sqft],
  unit_details[Property Name], INDIRECT("B"&amp;ROW()),
  unit_details[Floorplan Name], INDIRECT("C"&amp;ROW()),
  unit_details[Beds], INDIRECT("D"&amp;ROW()),
  unit_details[Detected Unit Amenities], "*"&amp;$AD$3&amp;"*",
  unit_details[Leased Date], "&gt;=" &amp; ($U$2 - $AF$3)
),0)</f>
        <v>0</v>
      </c>
      <c r="AD76" s="527" cm="1">
        <f t="array" aca="1" ref="AD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6" s="526" cm="1">
        <f t="array" aca="1" ref="AE76" ca="1">IFERROR(COUNTIFS(
  unit_details[Property Name], INDIRECT("B"&amp;ROW()),
  unit_details[Floorplan Name], INDIRECT("C"&amp;ROW()),
  unit_details[Beds], INDIRECT("D"&amp;ROW()),
  unit_details[Detected Unit Amenities], "*"&amp;$AD$3&amp;"*",
  unit_details[Leased Date], "&gt;=" &amp; ($U$2 - $AF$3)
),0)</f>
        <v>0</v>
      </c>
      <c r="AF76" s="528" cm="1">
        <f t="array" aca="1" ref="AF76" ca="1">IFERROR(AVERAGEIFS(
  unit_details[Sqft],
  unit_details[Property Name], INDIRECT("B"&amp;ROW()),
  unit_details[Floorplan Name], INDIRECT("C"&amp;ROW()),
  unit_details[Beds], INDIRECT("D"&amp;ROW()),
  unit_details[Detected Unit Amenities], "&lt;&gt;*"&amp;$AD$3&amp;"*",
  unit_details[Leased Date], "&gt;=" &amp; ($U$2 - $AF$3)
),0)</f>
        <v>0</v>
      </c>
      <c r="AG76" s="527" cm="1">
        <f t="array" aca="1" ref="AG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6" s="526" cm="1">
        <f t="array" aca="1" ref="AH76" ca="1">IFERROR(COUNTIFS(
  unit_details[Property Name], INDIRECT("B"&amp;ROW()),
  unit_details[Floorplan Name], INDIRECT("C"&amp;ROW()),
  unit_details[Beds], INDIRECT("D"&amp;ROW()),
  unit_details[Detected Unit Amenities], "&lt;&gt;*"&amp;$AD$3&amp;"*",
  unit_details[Leased Date], "&gt;=" &amp; ($U$2 - $AF$3)
),0)</f>
        <v>0</v>
      </c>
      <c r="AI76" s="528"/>
      <c r="AJ76" s="531">
        <f t="shared" ca="1" si="4"/>
        <v>0</v>
      </c>
      <c r="AK76" s="532">
        <f t="shared" ca="1" si="5"/>
        <v>0</v>
      </c>
    </row>
    <row r="77" spans="2:37" x14ac:dyDescent="0.2">
      <c r="B77" s="566"/>
      <c r="C77" s="53"/>
      <c r="E77" s="262"/>
      <c r="F77" s="262"/>
      <c r="J77" s="293"/>
      <c r="K77" s="6"/>
      <c r="M77" s="6"/>
      <c r="N77" s="531" t="str" cm="1">
        <f t="array" aca="1" ref="N7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7" s="552" t="str" cm="1">
        <f t="array" aca="1" ref="O7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7" s="526" cm="1">
        <f t="array" aca="1" ref="P77" ca="1">COUNTIFS(unit_details[Leased Date], "&gt;=" &amp; ($U$2 - N$5),
          unit_details[Leased Date], "&lt;" &amp; $U$2,
          unit_details[Floorplan Name], INDIRECT("C"&amp;ROW()),
          unit_details[Property Name], INDIRECT("B"&amp;ROW()))</f>
        <v>0</v>
      </c>
      <c r="Q77" s="531" t="str" cm="1">
        <f t="array" aca="1" ref="Q7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7" s="552" t="str" cm="1">
        <f t="array" aca="1" ref="R7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7" s="526" cm="1">
        <f t="array" aca="1" ref="S77" ca="1">COUNTIFS(unit_details[Leased Date], "&gt;=" &amp; ($U$2 - Q$5),
          unit_details[Leased Date], "&lt;" &amp; $U$2,
          unit_details[Floorplan Name], INDIRECT("C"&amp;ROW()),
          unit_details[Property Name], INDIRECT("B"&amp;ROW()))</f>
        <v>0</v>
      </c>
      <c r="T77" s="531" t="str" cm="1">
        <f t="array" aca="1" ref="T7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7" s="552" t="str" cm="1">
        <f t="array" aca="1" ref="U7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7" s="526" cm="1">
        <f t="array" aca="1" ref="V77" ca="1">COUNTIFS(unit_details[Leased Date], "&gt;=" &amp; ($U$2 - T$5),
          unit_details[Leased Date], "&lt;" &amp; $U$2,
          unit_details[Floorplan Name], INDIRECT("C"&amp;ROW()),
          unit_details[Property Name], INDIRECT("B"&amp;ROW()))</f>
        <v>0</v>
      </c>
      <c r="W77" s="531" t="str" cm="1">
        <f t="array" aca="1" ref="W7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7" s="552" t="str" cm="1">
        <f t="array" aca="1" ref="X7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7" s="27" t="str">
        <f t="shared" ca="1" si="3"/>
        <v/>
      </c>
      <c r="Z77" s="4" t="str">
        <f>IFERROR($U$2-AVERAGEIFS(unit_details[First Listed],
          unit_details[Active Listing?],TRUE,
          unit_details[Property Name], $B77,
          unit_details[Beds], $D77,
          unit_details[Baths], $E77,
          unit_details[Partial Baths], IF(ISNUMBER($F77),$F77,""),
          unit_details[Floorplan Name],$C77
),"")</f>
        <v/>
      </c>
      <c r="AA77" s="262" cm="1">
        <f t="array" aca="1" ref="AA77" ca="1">COUNTIFS(unit_details[Active Listing?],TRUE,
          unit_details[Floorplan Name], INDIRECT("C"&amp;ROW()),
          unit_details[Property Name], INDIRECT("B"&amp;ROW()))</f>
        <v>0</v>
      </c>
      <c r="AB77" s="553"/>
      <c r="AC77" s="528" cm="1">
        <f t="array" aca="1" ref="AC77" ca="1">IFERROR(AVERAGEIFS(
  unit_details[Sqft],
  unit_details[Property Name], INDIRECT("B"&amp;ROW()),
  unit_details[Floorplan Name], INDIRECT("C"&amp;ROW()),
  unit_details[Beds], INDIRECT("D"&amp;ROW()),
  unit_details[Detected Unit Amenities], "*"&amp;$AD$3&amp;"*",
  unit_details[Leased Date], "&gt;=" &amp; ($U$2 - $AF$3)
),0)</f>
        <v>0</v>
      </c>
      <c r="AD77" s="527" cm="1">
        <f t="array" aca="1" ref="AD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7" s="526" cm="1">
        <f t="array" aca="1" ref="AE77" ca="1">IFERROR(COUNTIFS(
  unit_details[Property Name], INDIRECT("B"&amp;ROW()),
  unit_details[Floorplan Name], INDIRECT("C"&amp;ROW()),
  unit_details[Beds], INDIRECT("D"&amp;ROW()),
  unit_details[Detected Unit Amenities], "*"&amp;$AD$3&amp;"*",
  unit_details[Leased Date], "&gt;=" &amp; ($U$2 - $AF$3)
),0)</f>
        <v>0</v>
      </c>
      <c r="AF77" s="528" cm="1">
        <f t="array" aca="1" ref="AF77" ca="1">IFERROR(AVERAGEIFS(
  unit_details[Sqft],
  unit_details[Property Name], INDIRECT("B"&amp;ROW()),
  unit_details[Floorplan Name], INDIRECT("C"&amp;ROW()),
  unit_details[Beds], INDIRECT("D"&amp;ROW()),
  unit_details[Detected Unit Amenities], "&lt;&gt;*"&amp;$AD$3&amp;"*",
  unit_details[Leased Date], "&gt;=" &amp; ($U$2 - $AF$3)
),0)</f>
        <v>0</v>
      </c>
      <c r="AG77" s="527" cm="1">
        <f t="array" aca="1" ref="AG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7" s="526" cm="1">
        <f t="array" aca="1" ref="AH77" ca="1">IFERROR(COUNTIFS(
  unit_details[Property Name], INDIRECT("B"&amp;ROW()),
  unit_details[Floorplan Name], INDIRECT("C"&amp;ROW()),
  unit_details[Beds], INDIRECT("D"&amp;ROW()),
  unit_details[Detected Unit Amenities], "&lt;&gt;*"&amp;$AD$3&amp;"*",
  unit_details[Leased Date], "&gt;=" &amp; ($U$2 - $AF$3)
),0)</f>
        <v>0</v>
      </c>
      <c r="AI77" s="528"/>
      <c r="AJ77" s="531">
        <f t="shared" ca="1" si="4"/>
        <v>0</v>
      </c>
      <c r="AK77" s="532">
        <f t="shared" ca="1" si="5"/>
        <v>0</v>
      </c>
    </row>
    <row r="78" spans="2:37" x14ac:dyDescent="0.2">
      <c r="B78" s="566"/>
      <c r="C78" s="53"/>
      <c r="E78" s="262"/>
      <c r="F78" s="262"/>
      <c r="J78" s="293"/>
      <c r="K78" s="6"/>
      <c r="M78" s="6"/>
      <c r="N78" s="531" t="str" cm="1">
        <f t="array" aca="1" ref="N7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8" s="552" t="str" cm="1">
        <f t="array" aca="1" ref="O7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8" s="526" cm="1">
        <f t="array" aca="1" ref="P78" ca="1">COUNTIFS(unit_details[Leased Date], "&gt;=" &amp; ($U$2 - N$5),
          unit_details[Leased Date], "&lt;" &amp; $U$2,
          unit_details[Floorplan Name], INDIRECT("C"&amp;ROW()),
          unit_details[Property Name], INDIRECT("B"&amp;ROW()))</f>
        <v>0</v>
      </c>
      <c r="Q78" s="531" t="str" cm="1">
        <f t="array" aca="1" ref="Q7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8" s="552" t="str" cm="1">
        <f t="array" aca="1" ref="R7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8" s="526" cm="1">
        <f t="array" aca="1" ref="S78" ca="1">COUNTIFS(unit_details[Leased Date], "&gt;=" &amp; ($U$2 - Q$5),
          unit_details[Leased Date], "&lt;" &amp; $U$2,
          unit_details[Floorplan Name], INDIRECT("C"&amp;ROW()),
          unit_details[Property Name], INDIRECT("B"&amp;ROW()))</f>
        <v>0</v>
      </c>
      <c r="T78" s="531" t="str" cm="1">
        <f t="array" aca="1" ref="T7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8" s="552" t="str" cm="1">
        <f t="array" aca="1" ref="U7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8" s="526" cm="1">
        <f t="array" aca="1" ref="V78" ca="1">COUNTIFS(unit_details[Leased Date], "&gt;=" &amp; ($U$2 - T$5),
          unit_details[Leased Date], "&lt;" &amp; $U$2,
          unit_details[Floorplan Name], INDIRECT("C"&amp;ROW()),
          unit_details[Property Name], INDIRECT("B"&amp;ROW()))</f>
        <v>0</v>
      </c>
      <c r="W78" s="531" t="str" cm="1">
        <f t="array" aca="1" ref="W7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8" s="552" t="str" cm="1">
        <f t="array" aca="1" ref="X7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8" s="27" t="str">
        <f t="shared" ca="1" si="3"/>
        <v/>
      </c>
      <c r="Z78" s="4" t="str">
        <f>IFERROR($U$2-AVERAGEIFS(unit_details[First Listed],
          unit_details[Active Listing?],TRUE,
          unit_details[Property Name], $B78,
          unit_details[Beds], $D78,
          unit_details[Baths], $E78,
          unit_details[Partial Baths], IF(ISNUMBER($F78),$F78,""),
          unit_details[Floorplan Name],$C78
),"")</f>
        <v/>
      </c>
      <c r="AA78" s="262" cm="1">
        <f t="array" aca="1" ref="AA78" ca="1">COUNTIFS(unit_details[Active Listing?],TRUE,
          unit_details[Floorplan Name], INDIRECT("C"&amp;ROW()),
          unit_details[Property Name], INDIRECT("B"&amp;ROW()))</f>
        <v>0</v>
      </c>
      <c r="AB78" s="553"/>
      <c r="AC78" s="528" cm="1">
        <f t="array" aca="1" ref="AC78" ca="1">IFERROR(AVERAGEIFS(
  unit_details[Sqft],
  unit_details[Property Name], INDIRECT("B"&amp;ROW()),
  unit_details[Floorplan Name], INDIRECT("C"&amp;ROW()),
  unit_details[Beds], INDIRECT("D"&amp;ROW()),
  unit_details[Detected Unit Amenities], "*"&amp;$AD$3&amp;"*",
  unit_details[Leased Date], "&gt;=" &amp; ($U$2 - $AF$3)
),0)</f>
        <v>0</v>
      </c>
      <c r="AD78" s="527" cm="1">
        <f t="array" aca="1" ref="AD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8" s="526" cm="1">
        <f t="array" aca="1" ref="AE78" ca="1">IFERROR(COUNTIFS(
  unit_details[Property Name], INDIRECT("B"&amp;ROW()),
  unit_details[Floorplan Name], INDIRECT("C"&amp;ROW()),
  unit_details[Beds], INDIRECT("D"&amp;ROW()),
  unit_details[Detected Unit Amenities], "*"&amp;$AD$3&amp;"*",
  unit_details[Leased Date], "&gt;=" &amp; ($U$2 - $AF$3)
),0)</f>
        <v>0</v>
      </c>
      <c r="AF78" s="528" cm="1">
        <f t="array" aca="1" ref="AF78" ca="1">IFERROR(AVERAGEIFS(
  unit_details[Sqft],
  unit_details[Property Name], INDIRECT("B"&amp;ROW()),
  unit_details[Floorplan Name], INDIRECT("C"&amp;ROW()),
  unit_details[Beds], INDIRECT("D"&amp;ROW()),
  unit_details[Detected Unit Amenities], "&lt;&gt;*"&amp;$AD$3&amp;"*",
  unit_details[Leased Date], "&gt;=" &amp; ($U$2 - $AF$3)
),0)</f>
        <v>0</v>
      </c>
      <c r="AG78" s="527" cm="1">
        <f t="array" aca="1" ref="AG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8" s="526" cm="1">
        <f t="array" aca="1" ref="AH78" ca="1">IFERROR(COUNTIFS(
  unit_details[Property Name], INDIRECT("B"&amp;ROW()),
  unit_details[Floorplan Name], INDIRECT("C"&amp;ROW()),
  unit_details[Beds], INDIRECT("D"&amp;ROW()),
  unit_details[Detected Unit Amenities], "&lt;&gt;*"&amp;$AD$3&amp;"*",
  unit_details[Leased Date], "&gt;=" &amp; ($U$2 - $AF$3)
),0)</f>
        <v>0</v>
      </c>
      <c r="AI78" s="528"/>
      <c r="AJ78" s="531">
        <f t="shared" ca="1" si="4"/>
        <v>0</v>
      </c>
      <c r="AK78" s="532">
        <f t="shared" ca="1" si="5"/>
        <v>0</v>
      </c>
    </row>
    <row r="79" spans="2:37" x14ac:dyDescent="0.2">
      <c r="B79" s="566"/>
      <c r="C79" s="53"/>
      <c r="E79" s="262"/>
      <c r="F79" s="262"/>
      <c r="J79" s="293"/>
      <c r="K79" s="6"/>
      <c r="M79" s="6"/>
      <c r="N79" s="531" t="str" cm="1">
        <f t="array" aca="1" ref="N7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79" s="552" t="str" cm="1">
        <f t="array" aca="1" ref="O7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79" s="526" cm="1">
        <f t="array" aca="1" ref="P79" ca="1">COUNTIFS(unit_details[Leased Date], "&gt;=" &amp; ($U$2 - N$5),
          unit_details[Leased Date], "&lt;" &amp; $U$2,
          unit_details[Floorplan Name], INDIRECT("C"&amp;ROW()),
          unit_details[Property Name], INDIRECT("B"&amp;ROW()))</f>
        <v>0</v>
      </c>
      <c r="Q79" s="531" t="str" cm="1">
        <f t="array" aca="1" ref="Q7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79" s="552" t="str" cm="1">
        <f t="array" aca="1" ref="R7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79" s="526" cm="1">
        <f t="array" aca="1" ref="S79" ca="1">COUNTIFS(unit_details[Leased Date], "&gt;=" &amp; ($U$2 - Q$5),
          unit_details[Leased Date], "&lt;" &amp; $U$2,
          unit_details[Floorplan Name], INDIRECT("C"&amp;ROW()),
          unit_details[Property Name], INDIRECT("B"&amp;ROW()))</f>
        <v>0</v>
      </c>
      <c r="T79" s="531" t="str" cm="1">
        <f t="array" aca="1" ref="T7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79" s="552" t="str" cm="1">
        <f t="array" aca="1" ref="U7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79" s="526" cm="1">
        <f t="array" aca="1" ref="V79" ca="1">COUNTIFS(unit_details[Leased Date], "&gt;=" &amp; ($U$2 - T$5),
          unit_details[Leased Date], "&lt;" &amp; $U$2,
          unit_details[Floorplan Name], INDIRECT("C"&amp;ROW()),
          unit_details[Property Name], INDIRECT("B"&amp;ROW()))</f>
        <v>0</v>
      </c>
      <c r="W79" s="531" t="str" cm="1">
        <f t="array" aca="1" ref="W7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79" s="552" t="str" cm="1">
        <f t="array" aca="1" ref="X7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79" s="27" t="str">
        <f t="shared" ca="1" si="3"/>
        <v/>
      </c>
      <c r="Z79" s="4" t="str">
        <f>IFERROR($U$2-AVERAGEIFS(unit_details[First Listed],
          unit_details[Active Listing?],TRUE,
          unit_details[Property Name], $B79,
          unit_details[Beds], $D79,
          unit_details[Baths], $E79,
          unit_details[Partial Baths], IF(ISNUMBER($F79),$F79,""),
          unit_details[Floorplan Name],$C79
),"")</f>
        <v/>
      </c>
      <c r="AA79" s="262" cm="1">
        <f t="array" aca="1" ref="AA79" ca="1">COUNTIFS(unit_details[Active Listing?],TRUE,
          unit_details[Floorplan Name], INDIRECT("C"&amp;ROW()),
          unit_details[Property Name], INDIRECT("B"&amp;ROW()))</f>
        <v>0</v>
      </c>
      <c r="AB79" s="553"/>
      <c r="AC79" s="528" cm="1">
        <f t="array" aca="1" ref="AC79" ca="1">IFERROR(AVERAGEIFS(
  unit_details[Sqft],
  unit_details[Property Name], INDIRECT("B"&amp;ROW()),
  unit_details[Floorplan Name], INDIRECT("C"&amp;ROW()),
  unit_details[Beds], INDIRECT("D"&amp;ROW()),
  unit_details[Detected Unit Amenities], "*"&amp;$AD$3&amp;"*",
  unit_details[Leased Date], "&gt;=" &amp; ($U$2 - $AF$3)
),0)</f>
        <v>0</v>
      </c>
      <c r="AD79" s="527" cm="1">
        <f t="array" aca="1" ref="AD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79" s="526" cm="1">
        <f t="array" aca="1" ref="AE79" ca="1">IFERROR(COUNTIFS(
  unit_details[Property Name], INDIRECT("B"&amp;ROW()),
  unit_details[Floorplan Name], INDIRECT("C"&amp;ROW()),
  unit_details[Beds], INDIRECT("D"&amp;ROW()),
  unit_details[Detected Unit Amenities], "*"&amp;$AD$3&amp;"*",
  unit_details[Leased Date], "&gt;=" &amp; ($U$2 - $AF$3)
),0)</f>
        <v>0</v>
      </c>
      <c r="AF79" s="528" cm="1">
        <f t="array" aca="1" ref="AF79" ca="1">IFERROR(AVERAGEIFS(
  unit_details[Sqft],
  unit_details[Property Name], INDIRECT("B"&amp;ROW()),
  unit_details[Floorplan Name], INDIRECT("C"&amp;ROW()),
  unit_details[Beds], INDIRECT("D"&amp;ROW()),
  unit_details[Detected Unit Amenities], "&lt;&gt;*"&amp;$AD$3&amp;"*",
  unit_details[Leased Date], "&gt;=" &amp; ($U$2 - $AF$3)
),0)</f>
        <v>0</v>
      </c>
      <c r="AG79" s="527" cm="1">
        <f t="array" aca="1" ref="AG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79" s="526" cm="1">
        <f t="array" aca="1" ref="AH79" ca="1">IFERROR(COUNTIFS(
  unit_details[Property Name], INDIRECT("B"&amp;ROW()),
  unit_details[Floorplan Name], INDIRECT("C"&amp;ROW()),
  unit_details[Beds], INDIRECT("D"&amp;ROW()),
  unit_details[Detected Unit Amenities], "&lt;&gt;*"&amp;$AD$3&amp;"*",
  unit_details[Leased Date], "&gt;=" &amp; ($U$2 - $AF$3)
),0)</f>
        <v>0</v>
      </c>
      <c r="AI79" s="528"/>
      <c r="AJ79" s="531">
        <f t="shared" ca="1" si="4"/>
        <v>0</v>
      </c>
      <c r="AK79" s="532">
        <f t="shared" ca="1" si="5"/>
        <v>0</v>
      </c>
    </row>
    <row r="80" spans="2:37" x14ac:dyDescent="0.2">
      <c r="B80" s="566"/>
      <c r="C80" s="53"/>
      <c r="E80" s="262"/>
      <c r="F80" s="262"/>
      <c r="J80" s="293"/>
      <c r="K80" s="6"/>
      <c r="M80" s="6"/>
      <c r="N80" s="531" t="str" cm="1">
        <f t="array" aca="1" ref="N8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0" s="552" t="str" cm="1">
        <f t="array" aca="1" ref="O8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0" s="526" cm="1">
        <f t="array" aca="1" ref="P80" ca="1">COUNTIFS(unit_details[Leased Date], "&gt;=" &amp; ($U$2 - N$5),
          unit_details[Leased Date], "&lt;" &amp; $U$2,
          unit_details[Floorplan Name], INDIRECT("C"&amp;ROW()),
          unit_details[Property Name], INDIRECT("B"&amp;ROW()))</f>
        <v>0</v>
      </c>
      <c r="Q80" s="531" t="str" cm="1">
        <f t="array" aca="1" ref="Q8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0" s="552" t="str" cm="1">
        <f t="array" aca="1" ref="R8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0" s="526" cm="1">
        <f t="array" aca="1" ref="S80" ca="1">COUNTIFS(unit_details[Leased Date], "&gt;=" &amp; ($U$2 - Q$5),
          unit_details[Leased Date], "&lt;" &amp; $U$2,
          unit_details[Floorplan Name], INDIRECT("C"&amp;ROW()),
          unit_details[Property Name], INDIRECT("B"&amp;ROW()))</f>
        <v>0</v>
      </c>
      <c r="T80" s="531" t="str" cm="1">
        <f t="array" aca="1" ref="T8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0" s="552" t="str" cm="1">
        <f t="array" aca="1" ref="U8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0" s="526" cm="1">
        <f t="array" aca="1" ref="V80" ca="1">COUNTIFS(unit_details[Leased Date], "&gt;=" &amp; ($U$2 - T$5),
          unit_details[Leased Date], "&lt;" &amp; $U$2,
          unit_details[Floorplan Name], INDIRECT("C"&amp;ROW()),
          unit_details[Property Name], INDIRECT("B"&amp;ROW()))</f>
        <v>0</v>
      </c>
      <c r="W80" s="531" t="str" cm="1">
        <f t="array" aca="1" ref="W8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0" s="552" t="str" cm="1">
        <f t="array" aca="1" ref="X8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0" s="27" t="str">
        <f t="shared" ca="1" si="3"/>
        <v/>
      </c>
      <c r="Z80" s="4" t="str">
        <f>IFERROR($U$2-AVERAGEIFS(unit_details[First Listed],
          unit_details[Active Listing?],TRUE,
          unit_details[Property Name], $B80,
          unit_details[Beds], $D80,
          unit_details[Baths], $E80,
          unit_details[Partial Baths], IF(ISNUMBER($F80),$F80,""),
          unit_details[Floorplan Name],$C80
),"")</f>
        <v/>
      </c>
      <c r="AA80" s="262" cm="1">
        <f t="array" aca="1" ref="AA80" ca="1">COUNTIFS(unit_details[Active Listing?],TRUE,
          unit_details[Floorplan Name], INDIRECT("C"&amp;ROW()),
          unit_details[Property Name], INDIRECT("B"&amp;ROW()))</f>
        <v>0</v>
      </c>
      <c r="AB80" s="553"/>
      <c r="AC80" s="528" cm="1">
        <f t="array" aca="1" ref="AC80" ca="1">IFERROR(AVERAGEIFS(
  unit_details[Sqft],
  unit_details[Property Name], INDIRECT("B"&amp;ROW()),
  unit_details[Floorplan Name], INDIRECT("C"&amp;ROW()),
  unit_details[Beds], INDIRECT("D"&amp;ROW()),
  unit_details[Detected Unit Amenities], "*"&amp;$AD$3&amp;"*",
  unit_details[Leased Date], "&gt;=" &amp; ($U$2 - $AF$3)
),0)</f>
        <v>0</v>
      </c>
      <c r="AD80" s="527" cm="1">
        <f t="array" aca="1" ref="AD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0" s="526" cm="1">
        <f t="array" aca="1" ref="AE80" ca="1">IFERROR(COUNTIFS(
  unit_details[Property Name], INDIRECT("B"&amp;ROW()),
  unit_details[Floorplan Name], INDIRECT("C"&amp;ROW()),
  unit_details[Beds], INDIRECT("D"&amp;ROW()),
  unit_details[Detected Unit Amenities], "*"&amp;$AD$3&amp;"*",
  unit_details[Leased Date], "&gt;=" &amp; ($U$2 - $AF$3)
),0)</f>
        <v>0</v>
      </c>
      <c r="AF80" s="528" cm="1">
        <f t="array" aca="1" ref="AF80" ca="1">IFERROR(AVERAGEIFS(
  unit_details[Sqft],
  unit_details[Property Name], INDIRECT("B"&amp;ROW()),
  unit_details[Floorplan Name], INDIRECT("C"&amp;ROW()),
  unit_details[Beds], INDIRECT("D"&amp;ROW()),
  unit_details[Detected Unit Amenities], "&lt;&gt;*"&amp;$AD$3&amp;"*",
  unit_details[Leased Date], "&gt;=" &amp; ($U$2 - $AF$3)
),0)</f>
        <v>0</v>
      </c>
      <c r="AG80" s="527" cm="1">
        <f t="array" aca="1" ref="AG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0" s="526" cm="1">
        <f t="array" aca="1" ref="AH80" ca="1">IFERROR(COUNTIFS(
  unit_details[Property Name], INDIRECT("B"&amp;ROW()),
  unit_details[Floorplan Name], INDIRECT("C"&amp;ROW()),
  unit_details[Beds], INDIRECT("D"&amp;ROW()),
  unit_details[Detected Unit Amenities], "&lt;&gt;*"&amp;$AD$3&amp;"*",
  unit_details[Leased Date], "&gt;=" &amp; ($U$2 - $AF$3)
),0)</f>
        <v>0</v>
      </c>
      <c r="AI80" s="528"/>
      <c r="AJ80" s="531">
        <f t="shared" ca="1" si="4"/>
        <v>0</v>
      </c>
      <c r="AK80" s="532">
        <f t="shared" ca="1" si="5"/>
        <v>0</v>
      </c>
    </row>
    <row r="81" spans="2:37" x14ac:dyDescent="0.2">
      <c r="B81" s="566"/>
      <c r="C81" s="53"/>
      <c r="E81" s="262"/>
      <c r="F81" s="262"/>
      <c r="J81" s="293"/>
      <c r="K81" s="6"/>
      <c r="M81" s="6"/>
      <c r="N81" s="531" t="str" cm="1">
        <f t="array" aca="1" ref="N8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1" s="552" t="str" cm="1">
        <f t="array" aca="1" ref="O8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1" s="526" cm="1">
        <f t="array" aca="1" ref="P81" ca="1">COUNTIFS(unit_details[Leased Date], "&gt;=" &amp; ($U$2 - N$5),
          unit_details[Leased Date], "&lt;" &amp; $U$2,
          unit_details[Floorplan Name], INDIRECT("C"&amp;ROW()),
          unit_details[Property Name], INDIRECT("B"&amp;ROW()))</f>
        <v>0</v>
      </c>
      <c r="Q81" s="531" t="str" cm="1">
        <f t="array" aca="1" ref="Q8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1" s="552" t="str" cm="1">
        <f t="array" aca="1" ref="R8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1" s="526" cm="1">
        <f t="array" aca="1" ref="S81" ca="1">COUNTIFS(unit_details[Leased Date], "&gt;=" &amp; ($U$2 - Q$5),
          unit_details[Leased Date], "&lt;" &amp; $U$2,
          unit_details[Floorplan Name], INDIRECT("C"&amp;ROW()),
          unit_details[Property Name], INDIRECT("B"&amp;ROW()))</f>
        <v>0</v>
      </c>
      <c r="T81" s="531" t="str" cm="1">
        <f t="array" aca="1" ref="T8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1" s="552" t="str" cm="1">
        <f t="array" aca="1" ref="U8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1" s="526" cm="1">
        <f t="array" aca="1" ref="V81" ca="1">COUNTIFS(unit_details[Leased Date], "&gt;=" &amp; ($U$2 - T$5),
          unit_details[Leased Date], "&lt;" &amp; $U$2,
          unit_details[Floorplan Name], INDIRECT("C"&amp;ROW()),
          unit_details[Property Name], INDIRECT("B"&amp;ROW()))</f>
        <v>0</v>
      </c>
      <c r="W81" s="531" t="str" cm="1">
        <f t="array" aca="1" ref="W8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1" s="552" t="str" cm="1">
        <f t="array" aca="1" ref="X8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1" s="27" t="str">
        <f t="shared" ca="1" si="3"/>
        <v/>
      </c>
      <c r="Z81" s="4" t="str">
        <f>IFERROR($U$2-AVERAGEIFS(unit_details[First Listed],
          unit_details[Active Listing?],TRUE,
          unit_details[Property Name], $B81,
          unit_details[Beds], $D81,
          unit_details[Baths], $E81,
          unit_details[Partial Baths], IF(ISNUMBER($F81),$F81,""),
          unit_details[Floorplan Name],$C81
),"")</f>
        <v/>
      </c>
      <c r="AA81" s="262" cm="1">
        <f t="array" aca="1" ref="AA81" ca="1">COUNTIFS(unit_details[Active Listing?],TRUE,
          unit_details[Floorplan Name], INDIRECT("C"&amp;ROW()),
          unit_details[Property Name], INDIRECT("B"&amp;ROW()))</f>
        <v>0</v>
      </c>
      <c r="AB81" s="553"/>
      <c r="AC81" s="528" cm="1">
        <f t="array" aca="1" ref="AC81" ca="1">IFERROR(AVERAGEIFS(
  unit_details[Sqft],
  unit_details[Property Name], INDIRECT("B"&amp;ROW()),
  unit_details[Floorplan Name], INDIRECT("C"&amp;ROW()),
  unit_details[Beds], INDIRECT("D"&amp;ROW()),
  unit_details[Detected Unit Amenities], "*"&amp;$AD$3&amp;"*",
  unit_details[Leased Date], "&gt;=" &amp; ($U$2 - $AF$3)
),0)</f>
        <v>0</v>
      </c>
      <c r="AD81" s="527" cm="1">
        <f t="array" aca="1" ref="AD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1" s="526" cm="1">
        <f t="array" aca="1" ref="AE81" ca="1">IFERROR(COUNTIFS(
  unit_details[Property Name], INDIRECT("B"&amp;ROW()),
  unit_details[Floorplan Name], INDIRECT("C"&amp;ROW()),
  unit_details[Beds], INDIRECT("D"&amp;ROW()),
  unit_details[Detected Unit Amenities], "*"&amp;$AD$3&amp;"*",
  unit_details[Leased Date], "&gt;=" &amp; ($U$2 - $AF$3)
),0)</f>
        <v>0</v>
      </c>
      <c r="AF81" s="528" cm="1">
        <f t="array" aca="1" ref="AF81" ca="1">IFERROR(AVERAGEIFS(
  unit_details[Sqft],
  unit_details[Property Name], INDIRECT("B"&amp;ROW()),
  unit_details[Floorplan Name], INDIRECT("C"&amp;ROW()),
  unit_details[Beds], INDIRECT("D"&amp;ROW()),
  unit_details[Detected Unit Amenities], "&lt;&gt;*"&amp;$AD$3&amp;"*",
  unit_details[Leased Date], "&gt;=" &amp; ($U$2 - $AF$3)
),0)</f>
        <v>0</v>
      </c>
      <c r="AG81" s="527" cm="1">
        <f t="array" aca="1" ref="AG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1" s="526" cm="1">
        <f t="array" aca="1" ref="AH81" ca="1">IFERROR(COUNTIFS(
  unit_details[Property Name], INDIRECT("B"&amp;ROW()),
  unit_details[Floorplan Name], INDIRECT("C"&amp;ROW()),
  unit_details[Beds], INDIRECT("D"&amp;ROW()),
  unit_details[Detected Unit Amenities], "&lt;&gt;*"&amp;$AD$3&amp;"*",
  unit_details[Leased Date], "&gt;=" &amp; ($U$2 - $AF$3)
),0)</f>
        <v>0</v>
      </c>
      <c r="AI81" s="528"/>
      <c r="AJ81" s="531">
        <f t="shared" ca="1" si="4"/>
        <v>0</v>
      </c>
      <c r="AK81" s="532">
        <f t="shared" ca="1" si="5"/>
        <v>0</v>
      </c>
    </row>
    <row r="82" spans="2:37" x14ac:dyDescent="0.2">
      <c r="B82" s="566"/>
      <c r="C82" s="53"/>
      <c r="E82" s="262"/>
      <c r="F82" s="262"/>
      <c r="J82" s="293"/>
      <c r="K82" s="6"/>
      <c r="M82" s="6"/>
      <c r="N82" s="531" t="str" cm="1">
        <f t="array" aca="1" ref="N8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2" s="552" t="str" cm="1">
        <f t="array" aca="1" ref="O8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2" s="526" cm="1">
        <f t="array" aca="1" ref="P82" ca="1">COUNTIFS(unit_details[Leased Date], "&gt;=" &amp; ($U$2 - N$5),
          unit_details[Leased Date], "&lt;" &amp; $U$2,
          unit_details[Floorplan Name], INDIRECT("C"&amp;ROW()),
          unit_details[Property Name], INDIRECT("B"&amp;ROW()))</f>
        <v>0</v>
      </c>
      <c r="Q82" s="531" t="str" cm="1">
        <f t="array" aca="1" ref="Q8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2" s="552" t="str" cm="1">
        <f t="array" aca="1" ref="R8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2" s="526" cm="1">
        <f t="array" aca="1" ref="S82" ca="1">COUNTIFS(unit_details[Leased Date], "&gt;=" &amp; ($U$2 - Q$5),
          unit_details[Leased Date], "&lt;" &amp; $U$2,
          unit_details[Floorplan Name], INDIRECT("C"&amp;ROW()),
          unit_details[Property Name], INDIRECT("B"&amp;ROW()))</f>
        <v>0</v>
      </c>
      <c r="T82" s="531" t="str" cm="1">
        <f t="array" aca="1" ref="T8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2" s="552" t="str" cm="1">
        <f t="array" aca="1" ref="U8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2" s="526" cm="1">
        <f t="array" aca="1" ref="V82" ca="1">COUNTIFS(unit_details[Leased Date], "&gt;=" &amp; ($U$2 - T$5),
          unit_details[Leased Date], "&lt;" &amp; $U$2,
          unit_details[Floorplan Name], INDIRECT("C"&amp;ROW()),
          unit_details[Property Name], INDIRECT("B"&amp;ROW()))</f>
        <v>0</v>
      </c>
      <c r="W82" s="531" t="str" cm="1">
        <f t="array" aca="1" ref="W8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2" s="552" t="str" cm="1">
        <f t="array" aca="1" ref="X8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2" s="27" t="str">
        <f t="shared" ca="1" si="3"/>
        <v/>
      </c>
      <c r="Z82" s="4" t="str">
        <f>IFERROR($U$2-AVERAGEIFS(unit_details[First Listed],
          unit_details[Active Listing?],TRUE,
          unit_details[Property Name], $B82,
          unit_details[Beds], $D82,
          unit_details[Baths], $E82,
          unit_details[Partial Baths], IF(ISNUMBER($F82),$F82,""),
          unit_details[Floorplan Name],$C82
),"")</f>
        <v/>
      </c>
      <c r="AA82" s="262" cm="1">
        <f t="array" aca="1" ref="AA82" ca="1">COUNTIFS(unit_details[Active Listing?],TRUE,
          unit_details[Floorplan Name], INDIRECT("C"&amp;ROW()),
          unit_details[Property Name], INDIRECT("B"&amp;ROW()))</f>
        <v>0</v>
      </c>
      <c r="AB82" s="553"/>
      <c r="AC82" s="528" cm="1">
        <f t="array" aca="1" ref="AC82" ca="1">IFERROR(AVERAGEIFS(
  unit_details[Sqft],
  unit_details[Property Name], INDIRECT("B"&amp;ROW()),
  unit_details[Floorplan Name], INDIRECT("C"&amp;ROW()),
  unit_details[Beds], INDIRECT("D"&amp;ROW()),
  unit_details[Detected Unit Amenities], "*"&amp;$AD$3&amp;"*",
  unit_details[Leased Date], "&gt;=" &amp; ($U$2 - $AF$3)
),0)</f>
        <v>0</v>
      </c>
      <c r="AD82" s="527" cm="1">
        <f t="array" aca="1" ref="AD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2" s="526" cm="1">
        <f t="array" aca="1" ref="AE82" ca="1">IFERROR(COUNTIFS(
  unit_details[Property Name], INDIRECT("B"&amp;ROW()),
  unit_details[Floorplan Name], INDIRECT("C"&amp;ROW()),
  unit_details[Beds], INDIRECT("D"&amp;ROW()),
  unit_details[Detected Unit Amenities], "*"&amp;$AD$3&amp;"*",
  unit_details[Leased Date], "&gt;=" &amp; ($U$2 - $AF$3)
),0)</f>
        <v>0</v>
      </c>
      <c r="AF82" s="528" cm="1">
        <f t="array" aca="1" ref="AF82" ca="1">IFERROR(AVERAGEIFS(
  unit_details[Sqft],
  unit_details[Property Name], INDIRECT("B"&amp;ROW()),
  unit_details[Floorplan Name], INDIRECT("C"&amp;ROW()),
  unit_details[Beds], INDIRECT("D"&amp;ROW()),
  unit_details[Detected Unit Amenities], "&lt;&gt;*"&amp;$AD$3&amp;"*",
  unit_details[Leased Date], "&gt;=" &amp; ($U$2 - $AF$3)
),0)</f>
        <v>0</v>
      </c>
      <c r="AG82" s="527" cm="1">
        <f t="array" aca="1" ref="AG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2" s="526" cm="1">
        <f t="array" aca="1" ref="AH82" ca="1">IFERROR(COUNTIFS(
  unit_details[Property Name], INDIRECT("B"&amp;ROW()),
  unit_details[Floorplan Name], INDIRECT("C"&amp;ROW()),
  unit_details[Beds], INDIRECT("D"&amp;ROW()),
  unit_details[Detected Unit Amenities], "&lt;&gt;*"&amp;$AD$3&amp;"*",
  unit_details[Leased Date], "&gt;=" &amp; ($U$2 - $AF$3)
),0)</f>
        <v>0</v>
      </c>
      <c r="AI82" s="528"/>
      <c r="AJ82" s="531">
        <f t="shared" ca="1" si="4"/>
        <v>0</v>
      </c>
      <c r="AK82" s="532">
        <f t="shared" ca="1" si="5"/>
        <v>0</v>
      </c>
    </row>
    <row r="83" spans="2:37" x14ac:dyDescent="0.2">
      <c r="B83" s="566"/>
      <c r="C83" s="53"/>
      <c r="E83" s="262"/>
      <c r="F83" s="262"/>
      <c r="J83" s="293"/>
      <c r="K83" s="6"/>
      <c r="M83" s="6"/>
      <c r="N83" s="531" t="str" cm="1">
        <f t="array" aca="1" ref="N8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3" s="552" t="str" cm="1">
        <f t="array" aca="1" ref="O8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3" s="526" cm="1">
        <f t="array" aca="1" ref="P83" ca="1">COUNTIFS(unit_details[Leased Date], "&gt;=" &amp; ($U$2 - N$5),
          unit_details[Leased Date], "&lt;" &amp; $U$2,
          unit_details[Floorplan Name], INDIRECT("C"&amp;ROW()),
          unit_details[Property Name], INDIRECT("B"&amp;ROW()))</f>
        <v>0</v>
      </c>
      <c r="Q83" s="531" t="str" cm="1">
        <f t="array" aca="1" ref="Q8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3" s="552" t="str" cm="1">
        <f t="array" aca="1" ref="R8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3" s="526" cm="1">
        <f t="array" aca="1" ref="S83" ca="1">COUNTIFS(unit_details[Leased Date], "&gt;=" &amp; ($U$2 - Q$5),
          unit_details[Leased Date], "&lt;" &amp; $U$2,
          unit_details[Floorplan Name], INDIRECT("C"&amp;ROW()),
          unit_details[Property Name], INDIRECT("B"&amp;ROW()))</f>
        <v>0</v>
      </c>
      <c r="T83" s="531" t="str" cm="1">
        <f t="array" aca="1" ref="T8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3" s="552" t="str" cm="1">
        <f t="array" aca="1" ref="U8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3" s="526" cm="1">
        <f t="array" aca="1" ref="V83" ca="1">COUNTIFS(unit_details[Leased Date], "&gt;=" &amp; ($U$2 - T$5),
          unit_details[Leased Date], "&lt;" &amp; $U$2,
          unit_details[Floorplan Name], INDIRECT("C"&amp;ROW()),
          unit_details[Property Name], INDIRECT("B"&amp;ROW()))</f>
        <v>0</v>
      </c>
      <c r="W83" s="531" t="str" cm="1">
        <f t="array" aca="1" ref="W8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3" s="552" t="str" cm="1">
        <f t="array" aca="1" ref="X8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3" s="27" t="str">
        <f t="shared" ca="1" si="3"/>
        <v/>
      </c>
      <c r="Z83" s="4" t="str">
        <f>IFERROR($U$2-AVERAGEIFS(unit_details[First Listed],
          unit_details[Active Listing?],TRUE,
          unit_details[Property Name], $B83,
          unit_details[Beds], $D83,
          unit_details[Baths], $E83,
          unit_details[Partial Baths], IF(ISNUMBER($F83),$F83,""),
          unit_details[Floorplan Name],$C83
),"")</f>
        <v/>
      </c>
      <c r="AA83" s="262" cm="1">
        <f t="array" aca="1" ref="AA83" ca="1">COUNTIFS(unit_details[Active Listing?],TRUE,
          unit_details[Floorplan Name], INDIRECT("C"&amp;ROW()),
          unit_details[Property Name], INDIRECT("B"&amp;ROW()))</f>
        <v>0</v>
      </c>
      <c r="AB83" s="553"/>
      <c r="AC83" s="528" cm="1">
        <f t="array" aca="1" ref="AC83" ca="1">IFERROR(AVERAGEIFS(
  unit_details[Sqft],
  unit_details[Property Name], INDIRECT("B"&amp;ROW()),
  unit_details[Floorplan Name], INDIRECT("C"&amp;ROW()),
  unit_details[Beds], INDIRECT("D"&amp;ROW()),
  unit_details[Detected Unit Amenities], "*"&amp;$AD$3&amp;"*",
  unit_details[Leased Date], "&gt;=" &amp; ($U$2 - $AF$3)
),0)</f>
        <v>0</v>
      </c>
      <c r="AD83" s="527" cm="1">
        <f t="array" aca="1" ref="AD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3" s="526" cm="1">
        <f t="array" aca="1" ref="AE83" ca="1">IFERROR(COUNTIFS(
  unit_details[Property Name], INDIRECT("B"&amp;ROW()),
  unit_details[Floorplan Name], INDIRECT("C"&amp;ROW()),
  unit_details[Beds], INDIRECT("D"&amp;ROW()),
  unit_details[Detected Unit Amenities], "*"&amp;$AD$3&amp;"*",
  unit_details[Leased Date], "&gt;=" &amp; ($U$2 - $AF$3)
),0)</f>
        <v>0</v>
      </c>
      <c r="AF83" s="528" cm="1">
        <f t="array" aca="1" ref="AF83" ca="1">IFERROR(AVERAGEIFS(
  unit_details[Sqft],
  unit_details[Property Name], INDIRECT("B"&amp;ROW()),
  unit_details[Floorplan Name], INDIRECT("C"&amp;ROW()),
  unit_details[Beds], INDIRECT("D"&amp;ROW()),
  unit_details[Detected Unit Amenities], "&lt;&gt;*"&amp;$AD$3&amp;"*",
  unit_details[Leased Date], "&gt;=" &amp; ($U$2 - $AF$3)
),0)</f>
        <v>0</v>
      </c>
      <c r="AG83" s="527" cm="1">
        <f t="array" aca="1" ref="AG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3" s="526" cm="1">
        <f t="array" aca="1" ref="AH83" ca="1">IFERROR(COUNTIFS(
  unit_details[Property Name], INDIRECT("B"&amp;ROW()),
  unit_details[Floorplan Name], INDIRECT("C"&amp;ROW()),
  unit_details[Beds], INDIRECT("D"&amp;ROW()),
  unit_details[Detected Unit Amenities], "&lt;&gt;*"&amp;$AD$3&amp;"*",
  unit_details[Leased Date], "&gt;=" &amp; ($U$2 - $AF$3)
),0)</f>
        <v>0</v>
      </c>
      <c r="AI83" s="528"/>
      <c r="AJ83" s="531">
        <f t="shared" ca="1" si="4"/>
        <v>0</v>
      </c>
      <c r="AK83" s="532">
        <f t="shared" ca="1" si="5"/>
        <v>0</v>
      </c>
    </row>
    <row r="84" spans="2:37" x14ac:dyDescent="0.2">
      <c r="B84" s="566"/>
      <c r="C84" s="53"/>
      <c r="E84" s="262"/>
      <c r="F84" s="262"/>
      <c r="J84" s="293"/>
      <c r="K84" s="6"/>
      <c r="M84" s="6"/>
      <c r="N84" s="531" t="str" cm="1">
        <f t="array" aca="1" ref="N8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4" s="552" t="str" cm="1">
        <f t="array" aca="1" ref="O8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4" s="526" cm="1">
        <f t="array" aca="1" ref="P84" ca="1">COUNTIFS(unit_details[Leased Date], "&gt;=" &amp; ($U$2 - N$5),
          unit_details[Leased Date], "&lt;" &amp; $U$2,
          unit_details[Floorplan Name], INDIRECT("C"&amp;ROW()),
          unit_details[Property Name], INDIRECT("B"&amp;ROW()))</f>
        <v>0</v>
      </c>
      <c r="Q84" s="531" t="str" cm="1">
        <f t="array" aca="1" ref="Q8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4" s="552" t="str" cm="1">
        <f t="array" aca="1" ref="R8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4" s="526" cm="1">
        <f t="array" aca="1" ref="S84" ca="1">COUNTIFS(unit_details[Leased Date], "&gt;=" &amp; ($U$2 - Q$5),
          unit_details[Leased Date], "&lt;" &amp; $U$2,
          unit_details[Floorplan Name], INDIRECT("C"&amp;ROW()),
          unit_details[Property Name], INDIRECT("B"&amp;ROW()))</f>
        <v>0</v>
      </c>
      <c r="T84" s="531" t="str" cm="1">
        <f t="array" aca="1" ref="T8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4" s="552" t="str" cm="1">
        <f t="array" aca="1" ref="U8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4" s="526" cm="1">
        <f t="array" aca="1" ref="V84" ca="1">COUNTIFS(unit_details[Leased Date], "&gt;=" &amp; ($U$2 - T$5),
          unit_details[Leased Date], "&lt;" &amp; $U$2,
          unit_details[Floorplan Name], INDIRECT("C"&amp;ROW()),
          unit_details[Property Name], INDIRECT("B"&amp;ROW()))</f>
        <v>0</v>
      </c>
      <c r="W84" s="531" t="str" cm="1">
        <f t="array" aca="1" ref="W8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4" s="552" t="str" cm="1">
        <f t="array" aca="1" ref="X8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4" s="27" t="str">
        <f t="shared" ca="1" si="3"/>
        <v/>
      </c>
      <c r="Z84" s="4" t="str">
        <f>IFERROR($U$2-AVERAGEIFS(unit_details[First Listed],
          unit_details[Active Listing?],TRUE,
          unit_details[Property Name], $B84,
          unit_details[Beds], $D84,
          unit_details[Baths], $E84,
          unit_details[Partial Baths], IF(ISNUMBER($F84),$F84,""),
          unit_details[Floorplan Name],$C84
),"")</f>
        <v/>
      </c>
      <c r="AA84" s="262" cm="1">
        <f t="array" aca="1" ref="AA84" ca="1">COUNTIFS(unit_details[Active Listing?],TRUE,
          unit_details[Floorplan Name], INDIRECT("C"&amp;ROW()),
          unit_details[Property Name], INDIRECT("B"&amp;ROW()))</f>
        <v>0</v>
      </c>
      <c r="AB84" s="553"/>
      <c r="AC84" s="528" cm="1">
        <f t="array" aca="1" ref="AC84" ca="1">IFERROR(AVERAGEIFS(
  unit_details[Sqft],
  unit_details[Property Name], INDIRECT("B"&amp;ROW()),
  unit_details[Floorplan Name], INDIRECT("C"&amp;ROW()),
  unit_details[Beds], INDIRECT("D"&amp;ROW()),
  unit_details[Detected Unit Amenities], "*"&amp;$AD$3&amp;"*",
  unit_details[Leased Date], "&gt;=" &amp; ($U$2 - $AF$3)
),0)</f>
        <v>0</v>
      </c>
      <c r="AD84" s="527" cm="1">
        <f t="array" aca="1" ref="AD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4" s="526" cm="1">
        <f t="array" aca="1" ref="AE84" ca="1">IFERROR(COUNTIFS(
  unit_details[Property Name], INDIRECT("B"&amp;ROW()),
  unit_details[Floorplan Name], INDIRECT("C"&amp;ROW()),
  unit_details[Beds], INDIRECT("D"&amp;ROW()),
  unit_details[Detected Unit Amenities], "*"&amp;$AD$3&amp;"*",
  unit_details[Leased Date], "&gt;=" &amp; ($U$2 - $AF$3)
),0)</f>
        <v>0</v>
      </c>
      <c r="AF84" s="528" cm="1">
        <f t="array" aca="1" ref="AF84" ca="1">IFERROR(AVERAGEIFS(
  unit_details[Sqft],
  unit_details[Property Name], INDIRECT("B"&amp;ROW()),
  unit_details[Floorplan Name], INDIRECT("C"&amp;ROW()),
  unit_details[Beds], INDIRECT("D"&amp;ROW()),
  unit_details[Detected Unit Amenities], "&lt;&gt;*"&amp;$AD$3&amp;"*",
  unit_details[Leased Date], "&gt;=" &amp; ($U$2 - $AF$3)
),0)</f>
        <v>0</v>
      </c>
      <c r="AG84" s="527" cm="1">
        <f t="array" aca="1" ref="AG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4" s="526" cm="1">
        <f t="array" aca="1" ref="AH84" ca="1">IFERROR(COUNTIFS(
  unit_details[Property Name], INDIRECT("B"&amp;ROW()),
  unit_details[Floorplan Name], INDIRECT("C"&amp;ROW()),
  unit_details[Beds], INDIRECT("D"&amp;ROW()),
  unit_details[Detected Unit Amenities], "&lt;&gt;*"&amp;$AD$3&amp;"*",
  unit_details[Leased Date], "&gt;=" &amp; ($U$2 - $AF$3)
),0)</f>
        <v>0</v>
      </c>
      <c r="AI84" s="528"/>
      <c r="AJ84" s="531">
        <f t="shared" ca="1" si="4"/>
        <v>0</v>
      </c>
      <c r="AK84" s="532">
        <f t="shared" ca="1" si="5"/>
        <v>0</v>
      </c>
    </row>
    <row r="85" spans="2:37" x14ac:dyDescent="0.2">
      <c r="B85" s="566"/>
      <c r="C85" s="53"/>
      <c r="E85" s="262"/>
      <c r="F85" s="262"/>
      <c r="J85" s="293"/>
      <c r="K85" s="6"/>
      <c r="M85" s="6"/>
      <c r="N85" s="531" t="str" cm="1">
        <f t="array" aca="1" ref="N8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5" s="552" t="str" cm="1">
        <f t="array" aca="1" ref="O8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5" s="526" cm="1">
        <f t="array" aca="1" ref="P85" ca="1">COUNTIFS(unit_details[Leased Date], "&gt;=" &amp; ($U$2 - N$5),
          unit_details[Leased Date], "&lt;" &amp; $U$2,
          unit_details[Floorplan Name], INDIRECT("C"&amp;ROW()),
          unit_details[Property Name], INDIRECT("B"&amp;ROW()))</f>
        <v>0</v>
      </c>
      <c r="Q85" s="531" t="str" cm="1">
        <f t="array" aca="1" ref="Q8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5" s="552" t="str" cm="1">
        <f t="array" aca="1" ref="R8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5" s="526" cm="1">
        <f t="array" aca="1" ref="S85" ca="1">COUNTIFS(unit_details[Leased Date], "&gt;=" &amp; ($U$2 - Q$5),
          unit_details[Leased Date], "&lt;" &amp; $U$2,
          unit_details[Floorplan Name], INDIRECT("C"&amp;ROW()),
          unit_details[Property Name], INDIRECT("B"&amp;ROW()))</f>
        <v>0</v>
      </c>
      <c r="T85" s="531" t="str" cm="1">
        <f t="array" aca="1" ref="T8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5" s="552" t="str" cm="1">
        <f t="array" aca="1" ref="U8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5" s="526" cm="1">
        <f t="array" aca="1" ref="V85" ca="1">COUNTIFS(unit_details[Leased Date], "&gt;=" &amp; ($U$2 - T$5),
          unit_details[Leased Date], "&lt;" &amp; $U$2,
          unit_details[Floorplan Name], INDIRECT("C"&amp;ROW()),
          unit_details[Property Name], INDIRECT("B"&amp;ROW()))</f>
        <v>0</v>
      </c>
      <c r="W85" s="531" t="str" cm="1">
        <f t="array" aca="1" ref="W8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5" s="552" t="str" cm="1">
        <f t="array" aca="1" ref="X8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5" s="27" t="str">
        <f t="shared" ca="1" si="3"/>
        <v/>
      </c>
      <c r="Z85" s="4" t="str">
        <f>IFERROR($U$2-AVERAGEIFS(unit_details[First Listed],
          unit_details[Active Listing?],TRUE,
          unit_details[Property Name], $B85,
          unit_details[Beds], $D85,
          unit_details[Baths], $E85,
          unit_details[Partial Baths], IF(ISNUMBER($F85),$F85,""),
          unit_details[Floorplan Name],$C85
),"")</f>
        <v/>
      </c>
      <c r="AA85" s="262" cm="1">
        <f t="array" aca="1" ref="AA85" ca="1">COUNTIFS(unit_details[Active Listing?],TRUE,
          unit_details[Floorplan Name], INDIRECT("C"&amp;ROW()),
          unit_details[Property Name], INDIRECT("B"&amp;ROW()))</f>
        <v>0</v>
      </c>
      <c r="AB85" s="553"/>
      <c r="AC85" s="528" cm="1">
        <f t="array" aca="1" ref="AC85" ca="1">IFERROR(AVERAGEIFS(
  unit_details[Sqft],
  unit_details[Property Name], INDIRECT("B"&amp;ROW()),
  unit_details[Floorplan Name], INDIRECT("C"&amp;ROW()),
  unit_details[Beds], INDIRECT("D"&amp;ROW()),
  unit_details[Detected Unit Amenities], "*"&amp;$AD$3&amp;"*",
  unit_details[Leased Date], "&gt;=" &amp; ($U$2 - $AF$3)
),0)</f>
        <v>0</v>
      </c>
      <c r="AD85" s="527" cm="1">
        <f t="array" aca="1" ref="AD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5" s="526" cm="1">
        <f t="array" aca="1" ref="AE85" ca="1">IFERROR(COUNTIFS(
  unit_details[Property Name], INDIRECT("B"&amp;ROW()),
  unit_details[Floorplan Name], INDIRECT("C"&amp;ROW()),
  unit_details[Beds], INDIRECT("D"&amp;ROW()),
  unit_details[Detected Unit Amenities], "*"&amp;$AD$3&amp;"*",
  unit_details[Leased Date], "&gt;=" &amp; ($U$2 - $AF$3)
),0)</f>
        <v>0</v>
      </c>
      <c r="AF85" s="528" cm="1">
        <f t="array" aca="1" ref="AF85" ca="1">IFERROR(AVERAGEIFS(
  unit_details[Sqft],
  unit_details[Property Name], INDIRECT("B"&amp;ROW()),
  unit_details[Floorplan Name], INDIRECT("C"&amp;ROW()),
  unit_details[Beds], INDIRECT("D"&amp;ROW()),
  unit_details[Detected Unit Amenities], "&lt;&gt;*"&amp;$AD$3&amp;"*",
  unit_details[Leased Date], "&gt;=" &amp; ($U$2 - $AF$3)
),0)</f>
        <v>0</v>
      </c>
      <c r="AG85" s="527" cm="1">
        <f t="array" aca="1" ref="AG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5" s="526" cm="1">
        <f t="array" aca="1" ref="AH85" ca="1">IFERROR(COUNTIFS(
  unit_details[Property Name], INDIRECT("B"&amp;ROW()),
  unit_details[Floorplan Name], INDIRECT("C"&amp;ROW()),
  unit_details[Beds], INDIRECT("D"&amp;ROW()),
  unit_details[Detected Unit Amenities], "&lt;&gt;*"&amp;$AD$3&amp;"*",
  unit_details[Leased Date], "&gt;=" &amp; ($U$2 - $AF$3)
),0)</f>
        <v>0</v>
      </c>
      <c r="AI85" s="528"/>
      <c r="AJ85" s="531">
        <f t="shared" ca="1" si="4"/>
        <v>0</v>
      </c>
      <c r="AK85" s="532">
        <f t="shared" ca="1" si="5"/>
        <v>0</v>
      </c>
    </row>
    <row r="86" spans="2:37" x14ac:dyDescent="0.2">
      <c r="B86" s="566"/>
      <c r="C86" s="53"/>
      <c r="E86" s="262"/>
      <c r="F86" s="262"/>
      <c r="J86" s="293"/>
      <c r="K86" s="6"/>
      <c r="M86" s="6"/>
      <c r="N86" s="531" t="str" cm="1">
        <f t="array" aca="1" ref="N8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6" s="552" t="str" cm="1">
        <f t="array" aca="1" ref="O8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6" s="526" cm="1">
        <f t="array" aca="1" ref="P86" ca="1">COUNTIFS(unit_details[Leased Date], "&gt;=" &amp; ($U$2 - N$5),
          unit_details[Leased Date], "&lt;" &amp; $U$2,
          unit_details[Floorplan Name], INDIRECT("C"&amp;ROW()),
          unit_details[Property Name], INDIRECT("B"&amp;ROW()))</f>
        <v>0</v>
      </c>
      <c r="Q86" s="531" t="str" cm="1">
        <f t="array" aca="1" ref="Q8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6" s="552" t="str" cm="1">
        <f t="array" aca="1" ref="R8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6" s="526" cm="1">
        <f t="array" aca="1" ref="S86" ca="1">COUNTIFS(unit_details[Leased Date], "&gt;=" &amp; ($U$2 - Q$5),
          unit_details[Leased Date], "&lt;" &amp; $U$2,
          unit_details[Floorplan Name], INDIRECT("C"&amp;ROW()),
          unit_details[Property Name], INDIRECT("B"&amp;ROW()))</f>
        <v>0</v>
      </c>
      <c r="T86" s="531" t="str" cm="1">
        <f t="array" aca="1" ref="T8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6" s="552" t="str" cm="1">
        <f t="array" aca="1" ref="U8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6" s="526" cm="1">
        <f t="array" aca="1" ref="V86" ca="1">COUNTIFS(unit_details[Leased Date], "&gt;=" &amp; ($U$2 - T$5),
          unit_details[Leased Date], "&lt;" &amp; $U$2,
          unit_details[Floorplan Name], INDIRECT("C"&amp;ROW()),
          unit_details[Property Name], INDIRECT("B"&amp;ROW()))</f>
        <v>0</v>
      </c>
      <c r="W86" s="531" t="str" cm="1">
        <f t="array" aca="1" ref="W8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6" s="552" t="str" cm="1">
        <f t="array" aca="1" ref="X8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6" s="27" t="str">
        <f t="shared" ca="1" si="3"/>
        <v/>
      </c>
      <c r="Z86" s="4" t="str">
        <f>IFERROR($U$2-AVERAGEIFS(unit_details[First Listed],
          unit_details[Active Listing?],TRUE,
          unit_details[Property Name], $B86,
          unit_details[Beds], $D86,
          unit_details[Baths], $E86,
          unit_details[Partial Baths], IF(ISNUMBER($F86),$F86,""),
          unit_details[Floorplan Name],$C86
),"")</f>
        <v/>
      </c>
      <c r="AA86" s="262" cm="1">
        <f t="array" aca="1" ref="AA86" ca="1">COUNTIFS(unit_details[Active Listing?],TRUE,
          unit_details[Floorplan Name], INDIRECT("C"&amp;ROW()),
          unit_details[Property Name], INDIRECT("B"&amp;ROW()))</f>
        <v>0</v>
      </c>
      <c r="AB86" s="553"/>
      <c r="AC86" s="528" cm="1">
        <f t="array" aca="1" ref="AC86" ca="1">IFERROR(AVERAGEIFS(
  unit_details[Sqft],
  unit_details[Property Name], INDIRECT("B"&amp;ROW()),
  unit_details[Floorplan Name], INDIRECT("C"&amp;ROW()),
  unit_details[Beds], INDIRECT("D"&amp;ROW()),
  unit_details[Detected Unit Amenities], "*"&amp;$AD$3&amp;"*",
  unit_details[Leased Date], "&gt;=" &amp; ($U$2 - $AF$3)
),0)</f>
        <v>0</v>
      </c>
      <c r="AD86" s="527" cm="1">
        <f t="array" aca="1" ref="AD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6" s="526" cm="1">
        <f t="array" aca="1" ref="AE86" ca="1">IFERROR(COUNTIFS(
  unit_details[Property Name], INDIRECT("B"&amp;ROW()),
  unit_details[Floorplan Name], INDIRECT("C"&amp;ROW()),
  unit_details[Beds], INDIRECT("D"&amp;ROW()),
  unit_details[Detected Unit Amenities], "*"&amp;$AD$3&amp;"*",
  unit_details[Leased Date], "&gt;=" &amp; ($U$2 - $AF$3)
),0)</f>
        <v>0</v>
      </c>
      <c r="AF86" s="528" cm="1">
        <f t="array" aca="1" ref="AF86" ca="1">IFERROR(AVERAGEIFS(
  unit_details[Sqft],
  unit_details[Property Name], INDIRECT("B"&amp;ROW()),
  unit_details[Floorplan Name], INDIRECT("C"&amp;ROW()),
  unit_details[Beds], INDIRECT("D"&amp;ROW()),
  unit_details[Detected Unit Amenities], "&lt;&gt;*"&amp;$AD$3&amp;"*",
  unit_details[Leased Date], "&gt;=" &amp; ($U$2 - $AF$3)
),0)</f>
        <v>0</v>
      </c>
      <c r="AG86" s="527" cm="1">
        <f t="array" aca="1" ref="AG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6" s="526" cm="1">
        <f t="array" aca="1" ref="AH86" ca="1">IFERROR(COUNTIFS(
  unit_details[Property Name], INDIRECT("B"&amp;ROW()),
  unit_details[Floorplan Name], INDIRECT("C"&amp;ROW()),
  unit_details[Beds], INDIRECT("D"&amp;ROW()),
  unit_details[Detected Unit Amenities], "&lt;&gt;*"&amp;$AD$3&amp;"*",
  unit_details[Leased Date], "&gt;=" &amp; ($U$2 - $AF$3)
),0)</f>
        <v>0</v>
      </c>
      <c r="AI86" s="528"/>
      <c r="AJ86" s="531">
        <f t="shared" ca="1" si="4"/>
        <v>0</v>
      </c>
      <c r="AK86" s="532">
        <f t="shared" ca="1" si="5"/>
        <v>0</v>
      </c>
    </row>
    <row r="87" spans="2:37" x14ac:dyDescent="0.2">
      <c r="B87" s="566"/>
      <c r="C87" s="53"/>
      <c r="E87" s="262"/>
      <c r="F87" s="262"/>
      <c r="J87" s="293"/>
      <c r="K87" s="6"/>
      <c r="M87" s="6"/>
      <c r="N87" s="531" t="str" cm="1">
        <f t="array" aca="1" ref="N8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7" s="552" t="str" cm="1">
        <f t="array" aca="1" ref="O8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7" s="526" cm="1">
        <f t="array" aca="1" ref="P87" ca="1">COUNTIFS(unit_details[Leased Date], "&gt;=" &amp; ($U$2 - N$5),
          unit_details[Leased Date], "&lt;" &amp; $U$2,
          unit_details[Floorplan Name], INDIRECT("C"&amp;ROW()),
          unit_details[Property Name], INDIRECT("B"&amp;ROW()))</f>
        <v>0</v>
      </c>
      <c r="Q87" s="531" t="str" cm="1">
        <f t="array" aca="1" ref="Q8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7" s="552" t="str" cm="1">
        <f t="array" aca="1" ref="R8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7" s="526" cm="1">
        <f t="array" aca="1" ref="S87" ca="1">COUNTIFS(unit_details[Leased Date], "&gt;=" &amp; ($U$2 - Q$5),
          unit_details[Leased Date], "&lt;" &amp; $U$2,
          unit_details[Floorplan Name], INDIRECT("C"&amp;ROW()),
          unit_details[Property Name], INDIRECT("B"&amp;ROW()))</f>
        <v>0</v>
      </c>
      <c r="T87" s="531" t="str" cm="1">
        <f t="array" aca="1" ref="T8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7" s="552" t="str" cm="1">
        <f t="array" aca="1" ref="U8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7" s="526" cm="1">
        <f t="array" aca="1" ref="V87" ca="1">COUNTIFS(unit_details[Leased Date], "&gt;=" &amp; ($U$2 - T$5),
          unit_details[Leased Date], "&lt;" &amp; $U$2,
          unit_details[Floorplan Name], INDIRECT("C"&amp;ROW()),
          unit_details[Property Name], INDIRECT("B"&amp;ROW()))</f>
        <v>0</v>
      </c>
      <c r="W87" s="531" t="str" cm="1">
        <f t="array" aca="1" ref="W8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7" s="552" t="str" cm="1">
        <f t="array" aca="1" ref="X8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7" s="27" t="str">
        <f t="shared" ca="1" si="3"/>
        <v/>
      </c>
      <c r="Z87" s="4" t="str">
        <f>IFERROR($U$2-AVERAGEIFS(unit_details[First Listed],
          unit_details[Active Listing?],TRUE,
          unit_details[Property Name], $B87,
          unit_details[Beds], $D87,
          unit_details[Baths], $E87,
          unit_details[Partial Baths], IF(ISNUMBER($F87),$F87,""),
          unit_details[Floorplan Name],$C87
),"")</f>
        <v/>
      </c>
      <c r="AA87" s="262" cm="1">
        <f t="array" aca="1" ref="AA87" ca="1">COUNTIFS(unit_details[Active Listing?],TRUE,
          unit_details[Floorplan Name], INDIRECT("C"&amp;ROW()),
          unit_details[Property Name], INDIRECT("B"&amp;ROW()))</f>
        <v>0</v>
      </c>
      <c r="AB87" s="553"/>
      <c r="AC87" s="528" cm="1">
        <f t="array" aca="1" ref="AC87" ca="1">IFERROR(AVERAGEIFS(
  unit_details[Sqft],
  unit_details[Property Name], INDIRECT("B"&amp;ROW()),
  unit_details[Floorplan Name], INDIRECT("C"&amp;ROW()),
  unit_details[Beds], INDIRECT("D"&amp;ROW()),
  unit_details[Detected Unit Amenities], "*"&amp;$AD$3&amp;"*",
  unit_details[Leased Date], "&gt;=" &amp; ($U$2 - $AF$3)
),0)</f>
        <v>0</v>
      </c>
      <c r="AD87" s="527" cm="1">
        <f t="array" aca="1" ref="AD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7" s="526" cm="1">
        <f t="array" aca="1" ref="AE87" ca="1">IFERROR(COUNTIFS(
  unit_details[Property Name], INDIRECT("B"&amp;ROW()),
  unit_details[Floorplan Name], INDIRECT("C"&amp;ROW()),
  unit_details[Beds], INDIRECT("D"&amp;ROW()),
  unit_details[Detected Unit Amenities], "*"&amp;$AD$3&amp;"*",
  unit_details[Leased Date], "&gt;=" &amp; ($U$2 - $AF$3)
),0)</f>
        <v>0</v>
      </c>
      <c r="AF87" s="528" cm="1">
        <f t="array" aca="1" ref="AF87" ca="1">IFERROR(AVERAGEIFS(
  unit_details[Sqft],
  unit_details[Property Name], INDIRECT("B"&amp;ROW()),
  unit_details[Floorplan Name], INDIRECT("C"&amp;ROW()),
  unit_details[Beds], INDIRECT("D"&amp;ROW()),
  unit_details[Detected Unit Amenities], "&lt;&gt;*"&amp;$AD$3&amp;"*",
  unit_details[Leased Date], "&gt;=" &amp; ($U$2 - $AF$3)
),0)</f>
        <v>0</v>
      </c>
      <c r="AG87" s="527" cm="1">
        <f t="array" aca="1" ref="AG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7" s="526" cm="1">
        <f t="array" aca="1" ref="AH87" ca="1">IFERROR(COUNTIFS(
  unit_details[Property Name], INDIRECT("B"&amp;ROW()),
  unit_details[Floorplan Name], INDIRECT("C"&amp;ROW()),
  unit_details[Beds], INDIRECT("D"&amp;ROW()),
  unit_details[Detected Unit Amenities], "&lt;&gt;*"&amp;$AD$3&amp;"*",
  unit_details[Leased Date], "&gt;=" &amp; ($U$2 - $AF$3)
),0)</f>
        <v>0</v>
      </c>
      <c r="AI87" s="528"/>
      <c r="AJ87" s="531">
        <f t="shared" ca="1" si="4"/>
        <v>0</v>
      </c>
      <c r="AK87" s="532">
        <f t="shared" ca="1" si="5"/>
        <v>0</v>
      </c>
    </row>
    <row r="88" spans="2:37" x14ac:dyDescent="0.2">
      <c r="B88" s="566"/>
      <c r="C88" s="53"/>
      <c r="E88" s="262"/>
      <c r="F88" s="262"/>
      <c r="J88" s="293"/>
      <c r="K88" s="6"/>
      <c r="M88" s="6"/>
      <c r="N88" s="531" t="str" cm="1">
        <f t="array" aca="1" ref="N8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8" s="552" t="str" cm="1">
        <f t="array" aca="1" ref="O8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8" s="526" cm="1">
        <f t="array" aca="1" ref="P88" ca="1">COUNTIFS(unit_details[Leased Date], "&gt;=" &amp; ($U$2 - N$5),
          unit_details[Leased Date], "&lt;" &amp; $U$2,
          unit_details[Floorplan Name], INDIRECT("C"&amp;ROW()),
          unit_details[Property Name], INDIRECT("B"&amp;ROW()))</f>
        <v>0</v>
      </c>
      <c r="Q88" s="531" t="str" cm="1">
        <f t="array" aca="1" ref="Q8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8" s="552" t="str" cm="1">
        <f t="array" aca="1" ref="R8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8" s="526" cm="1">
        <f t="array" aca="1" ref="S88" ca="1">COUNTIFS(unit_details[Leased Date], "&gt;=" &amp; ($U$2 - Q$5),
          unit_details[Leased Date], "&lt;" &amp; $U$2,
          unit_details[Floorplan Name], INDIRECT("C"&amp;ROW()),
          unit_details[Property Name], INDIRECT("B"&amp;ROW()))</f>
        <v>0</v>
      </c>
      <c r="T88" s="531" t="str" cm="1">
        <f t="array" aca="1" ref="T8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8" s="552" t="str" cm="1">
        <f t="array" aca="1" ref="U8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8" s="526" cm="1">
        <f t="array" aca="1" ref="V88" ca="1">COUNTIFS(unit_details[Leased Date], "&gt;=" &amp; ($U$2 - T$5),
          unit_details[Leased Date], "&lt;" &amp; $U$2,
          unit_details[Floorplan Name], INDIRECT("C"&amp;ROW()),
          unit_details[Property Name], INDIRECT("B"&amp;ROW()))</f>
        <v>0</v>
      </c>
      <c r="W88" s="531" t="str" cm="1">
        <f t="array" aca="1" ref="W8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8" s="552" t="str" cm="1">
        <f t="array" aca="1" ref="X8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8" s="27" t="str">
        <f t="shared" ca="1" si="3"/>
        <v/>
      </c>
      <c r="Z88" s="4" t="str">
        <f>IFERROR($U$2-AVERAGEIFS(unit_details[First Listed],
          unit_details[Active Listing?],TRUE,
          unit_details[Property Name], $B88,
          unit_details[Beds], $D88,
          unit_details[Baths], $E88,
          unit_details[Partial Baths], IF(ISNUMBER($F88),$F88,""),
          unit_details[Floorplan Name],$C88
),"")</f>
        <v/>
      </c>
      <c r="AA88" s="262" cm="1">
        <f t="array" aca="1" ref="AA88" ca="1">COUNTIFS(unit_details[Active Listing?],TRUE,
          unit_details[Floorplan Name], INDIRECT("C"&amp;ROW()),
          unit_details[Property Name], INDIRECT("B"&amp;ROW()))</f>
        <v>0</v>
      </c>
      <c r="AB88" s="553"/>
      <c r="AC88" s="528" cm="1">
        <f t="array" aca="1" ref="AC88" ca="1">IFERROR(AVERAGEIFS(
  unit_details[Sqft],
  unit_details[Property Name], INDIRECT("B"&amp;ROW()),
  unit_details[Floorplan Name], INDIRECT("C"&amp;ROW()),
  unit_details[Beds], INDIRECT("D"&amp;ROW()),
  unit_details[Detected Unit Amenities], "*"&amp;$AD$3&amp;"*",
  unit_details[Leased Date], "&gt;=" &amp; ($U$2 - $AF$3)
),0)</f>
        <v>0</v>
      </c>
      <c r="AD88" s="527" cm="1">
        <f t="array" aca="1" ref="AD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8" s="526" cm="1">
        <f t="array" aca="1" ref="AE88" ca="1">IFERROR(COUNTIFS(
  unit_details[Property Name], INDIRECT("B"&amp;ROW()),
  unit_details[Floorplan Name], INDIRECT("C"&amp;ROW()),
  unit_details[Beds], INDIRECT("D"&amp;ROW()),
  unit_details[Detected Unit Amenities], "*"&amp;$AD$3&amp;"*",
  unit_details[Leased Date], "&gt;=" &amp; ($U$2 - $AF$3)
),0)</f>
        <v>0</v>
      </c>
      <c r="AF88" s="528" cm="1">
        <f t="array" aca="1" ref="AF88" ca="1">IFERROR(AVERAGEIFS(
  unit_details[Sqft],
  unit_details[Property Name], INDIRECT("B"&amp;ROW()),
  unit_details[Floorplan Name], INDIRECT("C"&amp;ROW()),
  unit_details[Beds], INDIRECT("D"&amp;ROW()),
  unit_details[Detected Unit Amenities], "&lt;&gt;*"&amp;$AD$3&amp;"*",
  unit_details[Leased Date], "&gt;=" &amp; ($U$2 - $AF$3)
),0)</f>
        <v>0</v>
      </c>
      <c r="AG88" s="527" cm="1">
        <f t="array" aca="1" ref="AG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8" s="526" cm="1">
        <f t="array" aca="1" ref="AH88" ca="1">IFERROR(COUNTIFS(
  unit_details[Property Name], INDIRECT("B"&amp;ROW()),
  unit_details[Floorplan Name], INDIRECT("C"&amp;ROW()),
  unit_details[Beds], INDIRECT("D"&amp;ROW()),
  unit_details[Detected Unit Amenities], "&lt;&gt;*"&amp;$AD$3&amp;"*",
  unit_details[Leased Date], "&gt;=" &amp; ($U$2 - $AF$3)
),0)</f>
        <v>0</v>
      </c>
      <c r="AI88" s="528"/>
      <c r="AJ88" s="531">
        <f t="shared" ca="1" si="4"/>
        <v>0</v>
      </c>
      <c r="AK88" s="532">
        <f t="shared" ca="1" si="5"/>
        <v>0</v>
      </c>
    </row>
    <row r="89" spans="2:37" x14ac:dyDescent="0.2">
      <c r="B89" s="566"/>
      <c r="C89" s="53"/>
      <c r="E89" s="262"/>
      <c r="F89" s="262"/>
      <c r="J89" s="293"/>
      <c r="K89" s="6"/>
      <c r="M89" s="6"/>
      <c r="N89" s="531" t="str" cm="1">
        <f t="array" aca="1" ref="N8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89" s="552" t="str" cm="1">
        <f t="array" aca="1" ref="O8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89" s="526" cm="1">
        <f t="array" aca="1" ref="P89" ca="1">COUNTIFS(unit_details[Leased Date], "&gt;=" &amp; ($U$2 - N$5),
          unit_details[Leased Date], "&lt;" &amp; $U$2,
          unit_details[Floorplan Name], INDIRECT("C"&amp;ROW()),
          unit_details[Property Name], INDIRECT("B"&amp;ROW()))</f>
        <v>0</v>
      </c>
      <c r="Q89" s="531" t="str" cm="1">
        <f t="array" aca="1" ref="Q8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89" s="552" t="str" cm="1">
        <f t="array" aca="1" ref="R8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89" s="526" cm="1">
        <f t="array" aca="1" ref="S89" ca="1">COUNTIFS(unit_details[Leased Date], "&gt;=" &amp; ($U$2 - Q$5),
          unit_details[Leased Date], "&lt;" &amp; $U$2,
          unit_details[Floorplan Name], INDIRECT("C"&amp;ROW()),
          unit_details[Property Name], INDIRECT("B"&amp;ROW()))</f>
        <v>0</v>
      </c>
      <c r="T89" s="531" t="str" cm="1">
        <f t="array" aca="1" ref="T8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89" s="552" t="str" cm="1">
        <f t="array" aca="1" ref="U8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89" s="526" cm="1">
        <f t="array" aca="1" ref="V89" ca="1">COUNTIFS(unit_details[Leased Date], "&gt;=" &amp; ($U$2 - T$5),
          unit_details[Leased Date], "&lt;" &amp; $U$2,
          unit_details[Floorplan Name], INDIRECT("C"&amp;ROW()),
          unit_details[Property Name], INDIRECT("B"&amp;ROW()))</f>
        <v>0</v>
      </c>
      <c r="W89" s="531" t="str" cm="1">
        <f t="array" aca="1" ref="W8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89" s="552" t="str" cm="1">
        <f t="array" aca="1" ref="X8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89" s="27" t="str">
        <f t="shared" ca="1" si="3"/>
        <v/>
      </c>
      <c r="Z89" s="4" t="str">
        <f>IFERROR($U$2-AVERAGEIFS(unit_details[First Listed],
          unit_details[Active Listing?],TRUE,
          unit_details[Property Name], $B89,
          unit_details[Beds], $D89,
          unit_details[Baths], $E89,
          unit_details[Partial Baths], IF(ISNUMBER($F89),$F89,""),
          unit_details[Floorplan Name],$C89
),"")</f>
        <v/>
      </c>
      <c r="AA89" s="262" cm="1">
        <f t="array" aca="1" ref="AA89" ca="1">COUNTIFS(unit_details[Active Listing?],TRUE,
          unit_details[Floorplan Name], INDIRECT("C"&amp;ROW()),
          unit_details[Property Name], INDIRECT("B"&amp;ROW()))</f>
        <v>0</v>
      </c>
      <c r="AB89" s="553"/>
      <c r="AC89" s="528" cm="1">
        <f t="array" aca="1" ref="AC89" ca="1">IFERROR(AVERAGEIFS(
  unit_details[Sqft],
  unit_details[Property Name], INDIRECT("B"&amp;ROW()),
  unit_details[Floorplan Name], INDIRECT("C"&amp;ROW()),
  unit_details[Beds], INDIRECT("D"&amp;ROW()),
  unit_details[Detected Unit Amenities], "*"&amp;$AD$3&amp;"*",
  unit_details[Leased Date], "&gt;=" &amp; ($U$2 - $AF$3)
),0)</f>
        <v>0</v>
      </c>
      <c r="AD89" s="527" cm="1">
        <f t="array" aca="1" ref="AD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89" s="526" cm="1">
        <f t="array" aca="1" ref="AE89" ca="1">IFERROR(COUNTIFS(
  unit_details[Property Name], INDIRECT("B"&amp;ROW()),
  unit_details[Floorplan Name], INDIRECT("C"&amp;ROW()),
  unit_details[Beds], INDIRECT("D"&amp;ROW()),
  unit_details[Detected Unit Amenities], "*"&amp;$AD$3&amp;"*",
  unit_details[Leased Date], "&gt;=" &amp; ($U$2 - $AF$3)
),0)</f>
        <v>0</v>
      </c>
      <c r="AF89" s="528" cm="1">
        <f t="array" aca="1" ref="AF89" ca="1">IFERROR(AVERAGEIFS(
  unit_details[Sqft],
  unit_details[Property Name], INDIRECT("B"&amp;ROW()),
  unit_details[Floorplan Name], INDIRECT("C"&amp;ROW()),
  unit_details[Beds], INDIRECT("D"&amp;ROW()),
  unit_details[Detected Unit Amenities], "&lt;&gt;*"&amp;$AD$3&amp;"*",
  unit_details[Leased Date], "&gt;=" &amp; ($U$2 - $AF$3)
),0)</f>
        <v>0</v>
      </c>
      <c r="AG89" s="527" cm="1">
        <f t="array" aca="1" ref="AG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89" s="526" cm="1">
        <f t="array" aca="1" ref="AH89" ca="1">IFERROR(COUNTIFS(
  unit_details[Property Name], INDIRECT("B"&amp;ROW()),
  unit_details[Floorplan Name], INDIRECT("C"&amp;ROW()),
  unit_details[Beds], INDIRECT("D"&amp;ROW()),
  unit_details[Detected Unit Amenities], "&lt;&gt;*"&amp;$AD$3&amp;"*",
  unit_details[Leased Date], "&gt;=" &amp; ($U$2 - $AF$3)
),0)</f>
        <v>0</v>
      </c>
      <c r="AI89" s="528"/>
      <c r="AJ89" s="531">
        <f t="shared" ca="1" si="4"/>
        <v>0</v>
      </c>
      <c r="AK89" s="532">
        <f t="shared" ca="1" si="5"/>
        <v>0</v>
      </c>
    </row>
    <row r="90" spans="2:37" x14ac:dyDescent="0.2">
      <c r="B90" s="566"/>
      <c r="C90" s="53"/>
      <c r="E90" s="262"/>
      <c r="F90" s="262"/>
      <c r="J90" s="293"/>
      <c r="K90" s="6"/>
      <c r="M90" s="6"/>
      <c r="N90" s="531" t="str" cm="1">
        <f t="array" aca="1" ref="N9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0" s="552" t="str" cm="1">
        <f t="array" aca="1" ref="O9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0" s="526" cm="1">
        <f t="array" aca="1" ref="P90" ca="1">COUNTIFS(unit_details[Leased Date], "&gt;=" &amp; ($U$2 - N$5),
          unit_details[Leased Date], "&lt;" &amp; $U$2,
          unit_details[Floorplan Name], INDIRECT("C"&amp;ROW()),
          unit_details[Property Name], INDIRECT("B"&amp;ROW()))</f>
        <v>0</v>
      </c>
      <c r="Q90" s="531" t="str" cm="1">
        <f t="array" aca="1" ref="Q9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0" s="552" t="str" cm="1">
        <f t="array" aca="1" ref="R9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0" s="526" cm="1">
        <f t="array" aca="1" ref="S90" ca="1">COUNTIFS(unit_details[Leased Date], "&gt;=" &amp; ($U$2 - Q$5),
          unit_details[Leased Date], "&lt;" &amp; $U$2,
          unit_details[Floorplan Name], INDIRECT("C"&amp;ROW()),
          unit_details[Property Name], INDIRECT("B"&amp;ROW()))</f>
        <v>0</v>
      </c>
      <c r="T90" s="531" t="str" cm="1">
        <f t="array" aca="1" ref="T9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0" s="552" t="str" cm="1">
        <f t="array" aca="1" ref="U9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0" s="526" cm="1">
        <f t="array" aca="1" ref="V90" ca="1">COUNTIFS(unit_details[Leased Date], "&gt;=" &amp; ($U$2 - T$5),
          unit_details[Leased Date], "&lt;" &amp; $U$2,
          unit_details[Floorplan Name], INDIRECT("C"&amp;ROW()),
          unit_details[Property Name], INDIRECT("B"&amp;ROW()))</f>
        <v>0</v>
      </c>
      <c r="W90" s="531" t="str" cm="1">
        <f t="array" aca="1" ref="W9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0" s="552" t="str" cm="1">
        <f t="array" aca="1" ref="X9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0" s="27" t="str">
        <f t="shared" ca="1" si="3"/>
        <v/>
      </c>
      <c r="Z90" s="4" t="str">
        <f>IFERROR($U$2-AVERAGEIFS(unit_details[First Listed],
          unit_details[Active Listing?],TRUE,
          unit_details[Property Name], $B90,
          unit_details[Beds], $D90,
          unit_details[Baths], $E90,
          unit_details[Partial Baths], IF(ISNUMBER($F90),$F90,""),
          unit_details[Floorplan Name],$C90
),"")</f>
        <v/>
      </c>
      <c r="AA90" s="262" cm="1">
        <f t="array" aca="1" ref="AA90" ca="1">COUNTIFS(unit_details[Active Listing?],TRUE,
          unit_details[Floorplan Name], INDIRECT("C"&amp;ROW()),
          unit_details[Property Name], INDIRECT("B"&amp;ROW()))</f>
        <v>0</v>
      </c>
      <c r="AB90" s="553"/>
      <c r="AC90" s="528" cm="1">
        <f t="array" aca="1" ref="AC90" ca="1">IFERROR(AVERAGEIFS(
  unit_details[Sqft],
  unit_details[Property Name], INDIRECT("B"&amp;ROW()),
  unit_details[Floorplan Name], INDIRECT("C"&amp;ROW()),
  unit_details[Beds], INDIRECT("D"&amp;ROW()),
  unit_details[Detected Unit Amenities], "*"&amp;$AD$3&amp;"*",
  unit_details[Leased Date], "&gt;=" &amp; ($U$2 - $AF$3)
),0)</f>
        <v>0</v>
      </c>
      <c r="AD90" s="527" cm="1">
        <f t="array" aca="1" ref="AD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0" s="526" cm="1">
        <f t="array" aca="1" ref="AE90" ca="1">IFERROR(COUNTIFS(
  unit_details[Property Name], INDIRECT("B"&amp;ROW()),
  unit_details[Floorplan Name], INDIRECT("C"&amp;ROW()),
  unit_details[Beds], INDIRECT("D"&amp;ROW()),
  unit_details[Detected Unit Amenities], "*"&amp;$AD$3&amp;"*",
  unit_details[Leased Date], "&gt;=" &amp; ($U$2 - $AF$3)
),0)</f>
        <v>0</v>
      </c>
      <c r="AF90" s="528" cm="1">
        <f t="array" aca="1" ref="AF90" ca="1">IFERROR(AVERAGEIFS(
  unit_details[Sqft],
  unit_details[Property Name], INDIRECT("B"&amp;ROW()),
  unit_details[Floorplan Name], INDIRECT("C"&amp;ROW()),
  unit_details[Beds], INDIRECT("D"&amp;ROW()),
  unit_details[Detected Unit Amenities], "&lt;&gt;*"&amp;$AD$3&amp;"*",
  unit_details[Leased Date], "&gt;=" &amp; ($U$2 - $AF$3)
),0)</f>
        <v>0</v>
      </c>
      <c r="AG90" s="527" cm="1">
        <f t="array" aca="1" ref="AG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0" s="526" cm="1">
        <f t="array" aca="1" ref="AH90" ca="1">IFERROR(COUNTIFS(
  unit_details[Property Name], INDIRECT("B"&amp;ROW()),
  unit_details[Floorplan Name], INDIRECT("C"&amp;ROW()),
  unit_details[Beds], INDIRECT("D"&amp;ROW()),
  unit_details[Detected Unit Amenities], "&lt;&gt;*"&amp;$AD$3&amp;"*",
  unit_details[Leased Date], "&gt;=" &amp; ($U$2 - $AF$3)
),0)</f>
        <v>0</v>
      </c>
      <c r="AI90" s="528"/>
      <c r="AJ90" s="531">
        <f t="shared" ca="1" si="4"/>
        <v>0</v>
      </c>
      <c r="AK90" s="532">
        <f t="shared" ca="1" si="5"/>
        <v>0</v>
      </c>
    </row>
    <row r="91" spans="2:37" x14ac:dyDescent="0.2">
      <c r="B91" s="566"/>
      <c r="C91" s="53"/>
      <c r="E91" s="262"/>
      <c r="F91" s="262"/>
      <c r="J91" s="293"/>
      <c r="K91" s="6"/>
      <c r="M91" s="6"/>
      <c r="N91" s="531" t="str" cm="1">
        <f t="array" aca="1" ref="N9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1" s="552" t="str" cm="1">
        <f t="array" aca="1" ref="O9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1" s="526" cm="1">
        <f t="array" aca="1" ref="P91" ca="1">COUNTIFS(unit_details[Leased Date], "&gt;=" &amp; ($U$2 - N$5),
          unit_details[Leased Date], "&lt;" &amp; $U$2,
          unit_details[Floorplan Name], INDIRECT("C"&amp;ROW()),
          unit_details[Property Name], INDIRECT("B"&amp;ROW()))</f>
        <v>0</v>
      </c>
      <c r="Q91" s="531" t="str" cm="1">
        <f t="array" aca="1" ref="Q9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1" s="552" t="str" cm="1">
        <f t="array" aca="1" ref="R9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1" s="526" cm="1">
        <f t="array" aca="1" ref="S91" ca="1">COUNTIFS(unit_details[Leased Date], "&gt;=" &amp; ($U$2 - Q$5),
          unit_details[Leased Date], "&lt;" &amp; $U$2,
          unit_details[Floorplan Name], INDIRECT("C"&amp;ROW()),
          unit_details[Property Name], INDIRECT("B"&amp;ROW()))</f>
        <v>0</v>
      </c>
      <c r="T91" s="531" t="str" cm="1">
        <f t="array" aca="1" ref="T9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1" s="552" t="str" cm="1">
        <f t="array" aca="1" ref="U9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1" s="526" cm="1">
        <f t="array" aca="1" ref="V91" ca="1">COUNTIFS(unit_details[Leased Date], "&gt;=" &amp; ($U$2 - T$5),
          unit_details[Leased Date], "&lt;" &amp; $U$2,
          unit_details[Floorplan Name], INDIRECT("C"&amp;ROW()),
          unit_details[Property Name], INDIRECT("B"&amp;ROW()))</f>
        <v>0</v>
      </c>
      <c r="W91" s="531" t="str" cm="1">
        <f t="array" aca="1" ref="W9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1" s="552" t="str" cm="1">
        <f t="array" aca="1" ref="X9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1" s="27" t="str">
        <f t="shared" ca="1" si="3"/>
        <v/>
      </c>
      <c r="Z91" s="4" t="str">
        <f>IFERROR($U$2-AVERAGEIFS(unit_details[First Listed],
          unit_details[Active Listing?],TRUE,
          unit_details[Property Name], $B91,
          unit_details[Beds], $D91,
          unit_details[Baths], $E91,
          unit_details[Partial Baths], IF(ISNUMBER($F91),$F91,""),
          unit_details[Floorplan Name],$C91
),"")</f>
        <v/>
      </c>
      <c r="AA91" s="262" cm="1">
        <f t="array" aca="1" ref="AA91" ca="1">COUNTIFS(unit_details[Active Listing?],TRUE,
          unit_details[Floorplan Name], INDIRECT("C"&amp;ROW()),
          unit_details[Property Name], INDIRECT("B"&amp;ROW()))</f>
        <v>0</v>
      </c>
      <c r="AB91" s="553"/>
      <c r="AC91" s="528" cm="1">
        <f t="array" aca="1" ref="AC91" ca="1">IFERROR(AVERAGEIFS(
  unit_details[Sqft],
  unit_details[Property Name], INDIRECT("B"&amp;ROW()),
  unit_details[Floorplan Name], INDIRECT("C"&amp;ROW()),
  unit_details[Beds], INDIRECT("D"&amp;ROW()),
  unit_details[Detected Unit Amenities], "*"&amp;$AD$3&amp;"*",
  unit_details[Leased Date], "&gt;=" &amp; ($U$2 - $AF$3)
),0)</f>
        <v>0</v>
      </c>
      <c r="AD91" s="527" cm="1">
        <f t="array" aca="1" ref="AD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1" s="526" cm="1">
        <f t="array" aca="1" ref="AE91" ca="1">IFERROR(COUNTIFS(
  unit_details[Property Name], INDIRECT("B"&amp;ROW()),
  unit_details[Floorplan Name], INDIRECT("C"&amp;ROW()),
  unit_details[Beds], INDIRECT("D"&amp;ROW()),
  unit_details[Detected Unit Amenities], "*"&amp;$AD$3&amp;"*",
  unit_details[Leased Date], "&gt;=" &amp; ($U$2 - $AF$3)
),0)</f>
        <v>0</v>
      </c>
      <c r="AF91" s="528" cm="1">
        <f t="array" aca="1" ref="AF91" ca="1">IFERROR(AVERAGEIFS(
  unit_details[Sqft],
  unit_details[Property Name], INDIRECT("B"&amp;ROW()),
  unit_details[Floorplan Name], INDIRECT("C"&amp;ROW()),
  unit_details[Beds], INDIRECT("D"&amp;ROW()),
  unit_details[Detected Unit Amenities], "&lt;&gt;*"&amp;$AD$3&amp;"*",
  unit_details[Leased Date], "&gt;=" &amp; ($U$2 - $AF$3)
),0)</f>
        <v>0</v>
      </c>
      <c r="AG91" s="527" cm="1">
        <f t="array" aca="1" ref="AG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1" s="526" cm="1">
        <f t="array" aca="1" ref="AH91" ca="1">IFERROR(COUNTIFS(
  unit_details[Property Name], INDIRECT("B"&amp;ROW()),
  unit_details[Floorplan Name], INDIRECT("C"&amp;ROW()),
  unit_details[Beds], INDIRECT("D"&amp;ROW()),
  unit_details[Detected Unit Amenities], "&lt;&gt;*"&amp;$AD$3&amp;"*",
  unit_details[Leased Date], "&gt;=" &amp; ($U$2 - $AF$3)
),0)</f>
        <v>0</v>
      </c>
      <c r="AI91" s="528"/>
      <c r="AJ91" s="531">
        <f t="shared" ca="1" si="4"/>
        <v>0</v>
      </c>
      <c r="AK91" s="532">
        <f t="shared" ca="1" si="5"/>
        <v>0</v>
      </c>
    </row>
    <row r="92" spans="2:37" x14ac:dyDescent="0.2">
      <c r="B92" s="566"/>
      <c r="C92" s="53"/>
      <c r="E92" s="262"/>
      <c r="F92" s="262"/>
      <c r="J92" s="293"/>
      <c r="K92" s="6"/>
      <c r="M92" s="6"/>
      <c r="N92" s="531" t="str" cm="1">
        <f t="array" aca="1" ref="N9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2" s="552" t="str" cm="1">
        <f t="array" aca="1" ref="O9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2" s="526" cm="1">
        <f t="array" aca="1" ref="P92" ca="1">COUNTIFS(unit_details[Leased Date], "&gt;=" &amp; ($U$2 - N$5),
          unit_details[Leased Date], "&lt;" &amp; $U$2,
          unit_details[Floorplan Name], INDIRECT("C"&amp;ROW()),
          unit_details[Property Name], INDIRECT("B"&amp;ROW()))</f>
        <v>0</v>
      </c>
      <c r="Q92" s="531" t="str" cm="1">
        <f t="array" aca="1" ref="Q9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2" s="552" t="str" cm="1">
        <f t="array" aca="1" ref="R9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2" s="526" cm="1">
        <f t="array" aca="1" ref="S92" ca="1">COUNTIFS(unit_details[Leased Date], "&gt;=" &amp; ($U$2 - Q$5),
          unit_details[Leased Date], "&lt;" &amp; $U$2,
          unit_details[Floorplan Name], INDIRECT("C"&amp;ROW()),
          unit_details[Property Name], INDIRECT("B"&amp;ROW()))</f>
        <v>0</v>
      </c>
      <c r="T92" s="531" t="str" cm="1">
        <f t="array" aca="1" ref="T9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2" s="552" t="str" cm="1">
        <f t="array" aca="1" ref="U9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2" s="526" cm="1">
        <f t="array" aca="1" ref="V92" ca="1">COUNTIFS(unit_details[Leased Date], "&gt;=" &amp; ($U$2 - T$5),
          unit_details[Leased Date], "&lt;" &amp; $U$2,
          unit_details[Floorplan Name], INDIRECT("C"&amp;ROW()),
          unit_details[Property Name], INDIRECT("B"&amp;ROW()))</f>
        <v>0</v>
      </c>
      <c r="W92" s="531" t="str" cm="1">
        <f t="array" aca="1" ref="W9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2" s="552" t="str" cm="1">
        <f t="array" aca="1" ref="X9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2" s="27" t="str">
        <f t="shared" ca="1" si="3"/>
        <v/>
      </c>
      <c r="Z92" s="4" t="str">
        <f>IFERROR($U$2-AVERAGEIFS(unit_details[First Listed],
          unit_details[Active Listing?],TRUE,
          unit_details[Property Name], $B92,
          unit_details[Beds], $D92,
          unit_details[Baths], $E92,
          unit_details[Partial Baths], IF(ISNUMBER($F92),$F92,""),
          unit_details[Floorplan Name],$C92
),"")</f>
        <v/>
      </c>
      <c r="AA92" s="262" cm="1">
        <f t="array" aca="1" ref="AA92" ca="1">COUNTIFS(unit_details[Active Listing?],TRUE,
          unit_details[Floorplan Name], INDIRECT("C"&amp;ROW()),
          unit_details[Property Name], INDIRECT("B"&amp;ROW()))</f>
        <v>0</v>
      </c>
      <c r="AB92" s="553"/>
      <c r="AC92" s="528" cm="1">
        <f t="array" aca="1" ref="AC92" ca="1">IFERROR(AVERAGEIFS(
  unit_details[Sqft],
  unit_details[Property Name], INDIRECT("B"&amp;ROW()),
  unit_details[Floorplan Name], INDIRECT("C"&amp;ROW()),
  unit_details[Beds], INDIRECT("D"&amp;ROW()),
  unit_details[Detected Unit Amenities], "*"&amp;$AD$3&amp;"*",
  unit_details[Leased Date], "&gt;=" &amp; ($U$2 - $AF$3)
),0)</f>
        <v>0</v>
      </c>
      <c r="AD92" s="527" cm="1">
        <f t="array" aca="1" ref="AD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2" s="526" cm="1">
        <f t="array" aca="1" ref="AE92" ca="1">IFERROR(COUNTIFS(
  unit_details[Property Name], INDIRECT("B"&amp;ROW()),
  unit_details[Floorplan Name], INDIRECT("C"&amp;ROW()),
  unit_details[Beds], INDIRECT("D"&amp;ROW()),
  unit_details[Detected Unit Amenities], "*"&amp;$AD$3&amp;"*",
  unit_details[Leased Date], "&gt;=" &amp; ($U$2 - $AF$3)
),0)</f>
        <v>0</v>
      </c>
      <c r="AF92" s="528" cm="1">
        <f t="array" aca="1" ref="AF92" ca="1">IFERROR(AVERAGEIFS(
  unit_details[Sqft],
  unit_details[Property Name], INDIRECT("B"&amp;ROW()),
  unit_details[Floorplan Name], INDIRECT("C"&amp;ROW()),
  unit_details[Beds], INDIRECT("D"&amp;ROW()),
  unit_details[Detected Unit Amenities], "&lt;&gt;*"&amp;$AD$3&amp;"*",
  unit_details[Leased Date], "&gt;=" &amp; ($U$2 - $AF$3)
),0)</f>
        <v>0</v>
      </c>
      <c r="AG92" s="527" cm="1">
        <f t="array" aca="1" ref="AG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2" s="526" cm="1">
        <f t="array" aca="1" ref="AH92" ca="1">IFERROR(COUNTIFS(
  unit_details[Property Name], INDIRECT("B"&amp;ROW()),
  unit_details[Floorplan Name], INDIRECT("C"&amp;ROW()),
  unit_details[Beds], INDIRECT("D"&amp;ROW()),
  unit_details[Detected Unit Amenities], "&lt;&gt;*"&amp;$AD$3&amp;"*",
  unit_details[Leased Date], "&gt;=" &amp; ($U$2 - $AF$3)
),0)</f>
        <v>0</v>
      </c>
      <c r="AI92" s="528"/>
      <c r="AJ92" s="531">
        <f t="shared" ca="1" si="4"/>
        <v>0</v>
      </c>
      <c r="AK92" s="532">
        <f t="shared" ca="1" si="5"/>
        <v>0</v>
      </c>
    </row>
    <row r="93" spans="2:37" x14ac:dyDescent="0.2">
      <c r="B93" s="566"/>
      <c r="C93" s="53"/>
      <c r="E93" s="262"/>
      <c r="F93" s="262"/>
      <c r="J93" s="293"/>
      <c r="K93" s="6"/>
      <c r="M93" s="6"/>
      <c r="N93" s="531" t="str" cm="1">
        <f t="array" aca="1" ref="N9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3" s="552" t="str" cm="1">
        <f t="array" aca="1" ref="O9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3" s="526" cm="1">
        <f t="array" aca="1" ref="P93" ca="1">COUNTIFS(unit_details[Leased Date], "&gt;=" &amp; ($U$2 - N$5),
          unit_details[Leased Date], "&lt;" &amp; $U$2,
          unit_details[Floorplan Name], INDIRECT("C"&amp;ROW()),
          unit_details[Property Name], INDIRECT("B"&amp;ROW()))</f>
        <v>0</v>
      </c>
      <c r="Q93" s="531" t="str" cm="1">
        <f t="array" aca="1" ref="Q9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3" s="552" t="str" cm="1">
        <f t="array" aca="1" ref="R9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3" s="526" cm="1">
        <f t="array" aca="1" ref="S93" ca="1">COUNTIFS(unit_details[Leased Date], "&gt;=" &amp; ($U$2 - Q$5),
          unit_details[Leased Date], "&lt;" &amp; $U$2,
          unit_details[Floorplan Name], INDIRECT("C"&amp;ROW()),
          unit_details[Property Name], INDIRECT("B"&amp;ROW()))</f>
        <v>0</v>
      </c>
      <c r="T93" s="531" t="str" cm="1">
        <f t="array" aca="1" ref="T9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3" s="552" t="str" cm="1">
        <f t="array" aca="1" ref="U9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3" s="526" cm="1">
        <f t="array" aca="1" ref="V93" ca="1">COUNTIFS(unit_details[Leased Date], "&gt;=" &amp; ($U$2 - T$5),
          unit_details[Leased Date], "&lt;" &amp; $U$2,
          unit_details[Floorplan Name], INDIRECT("C"&amp;ROW()),
          unit_details[Property Name], INDIRECT("B"&amp;ROW()))</f>
        <v>0</v>
      </c>
      <c r="W93" s="531" t="str" cm="1">
        <f t="array" aca="1" ref="W9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3" s="552" t="str" cm="1">
        <f t="array" aca="1" ref="X9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3" s="27" t="str">
        <f t="shared" ca="1" si="3"/>
        <v/>
      </c>
      <c r="Z93" s="4" t="str">
        <f>IFERROR($U$2-AVERAGEIFS(unit_details[First Listed],
          unit_details[Active Listing?],TRUE,
          unit_details[Property Name], $B93,
          unit_details[Beds], $D93,
          unit_details[Baths], $E93,
          unit_details[Partial Baths], IF(ISNUMBER($F93),$F93,""),
          unit_details[Floorplan Name],$C93
),"")</f>
        <v/>
      </c>
      <c r="AA93" s="262" cm="1">
        <f t="array" aca="1" ref="AA93" ca="1">COUNTIFS(unit_details[Active Listing?],TRUE,
          unit_details[Floorplan Name], INDIRECT("C"&amp;ROW()),
          unit_details[Property Name], INDIRECT("B"&amp;ROW()))</f>
        <v>0</v>
      </c>
      <c r="AB93" s="553"/>
      <c r="AC93" s="528" cm="1">
        <f t="array" aca="1" ref="AC93" ca="1">IFERROR(AVERAGEIFS(
  unit_details[Sqft],
  unit_details[Property Name], INDIRECT("B"&amp;ROW()),
  unit_details[Floorplan Name], INDIRECT("C"&amp;ROW()),
  unit_details[Beds], INDIRECT("D"&amp;ROW()),
  unit_details[Detected Unit Amenities], "*"&amp;$AD$3&amp;"*",
  unit_details[Leased Date], "&gt;=" &amp; ($U$2 - $AF$3)
),0)</f>
        <v>0</v>
      </c>
      <c r="AD93" s="527" cm="1">
        <f t="array" aca="1" ref="AD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3" s="526" cm="1">
        <f t="array" aca="1" ref="AE93" ca="1">IFERROR(COUNTIFS(
  unit_details[Property Name], INDIRECT("B"&amp;ROW()),
  unit_details[Floorplan Name], INDIRECT("C"&amp;ROW()),
  unit_details[Beds], INDIRECT("D"&amp;ROW()),
  unit_details[Detected Unit Amenities], "*"&amp;$AD$3&amp;"*",
  unit_details[Leased Date], "&gt;=" &amp; ($U$2 - $AF$3)
),0)</f>
        <v>0</v>
      </c>
      <c r="AF93" s="528" cm="1">
        <f t="array" aca="1" ref="AF93" ca="1">IFERROR(AVERAGEIFS(
  unit_details[Sqft],
  unit_details[Property Name], INDIRECT("B"&amp;ROW()),
  unit_details[Floorplan Name], INDIRECT("C"&amp;ROW()),
  unit_details[Beds], INDIRECT("D"&amp;ROW()),
  unit_details[Detected Unit Amenities], "&lt;&gt;*"&amp;$AD$3&amp;"*",
  unit_details[Leased Date], "&gt;=" &amp; ($U$2 - $AF$3)
),0)</f>
        <v>0</v>
      </c>
      <c r="AG93" s="527" cm="1">
        <f t="array" aca="1" ref="AG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3" s="526" cm="1">
        <f t="array" aca="1" ref="AH93" ca="1">IFERROR(COUNTIFS(
  unit_details[Property Name], INDIRECT("B"&amp;ROW()),
  unit_details[Floorplan Name], INDIRECT("C"&amp;ROW()),
  unit_details[Beds], INDIRECT("D"&amp;ROW()),
  unit_details[Detected Unit Amenities], "&lt;&gt;*"&amp;$AD$3&amp;"*",
  unit_details[Leased Date], "&gt;=" &amp; ($U$2 - $AF$3)
),0)</f>
        <v>0</v>
      </c>
      <c r="AI93" s="528"/>
      <c r="AJ93" s="531">
        <f t="shared" ca="1" si="4"/>
        <v>0</v>
      </c>
      <c r="AK93" s="532">
        <f t="shared" ca="1" si="5"/>
        <v>0</v>
      </c>
    </row>
    <row r="94" spans="2:37" x14ac:dyDescent="0.2">
      <c r="B94" s="566"/>
      <c r="C94" s="53"/>
      <c r="E94" s="262"/>
      <c r="F94" s="262"/>
      <c r="J94" s="293"/>
      <c r="K94" s="6"/>
      <c r="M94" s="6"/>
      <c r="N94" s="531" t="str" cm="1">
        <f t="array" aca="1" ref="N9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4" s="552" t="str" cm="1">
        <f t="array" aca="1" ref="O9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4" s="526" cm="1">
        <f t="array" aca="1" ref="P94" ca="1">COUNTIFS(unit_details[Leased Date], "&gt;=" &amp; ($U$2 - N$5),
          unit_details[Leased Date], "&lt;" &amp; $U$2,
          unit_details[Floorplan Name], INDIRECT("C"&amp;ROW()),
          unit_details[Property Name], INDIRECT("B"&amp;ROW()))</f>
        <v>0</v>
      </c>
      <c r="Q94" s="531" t="str" cm="1">
        <f t="array" aca="1" ref="Q9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4" s="552" t="str" cm="1">
        <f t="array" aca="1" ref="R9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4" s="526" cm="1">
        <f t="array" aca="1" ref="S94" ca="1">COUNTIFS(unit_details[Leased Date], "&gt;=" &amp; ($U$2 - Q$5),
          unit_details[Leased Date], "&lt;" &amp; $U$2,
          unit_details[Floorplan Name], INDIRECT("C"&amp;ROW()),
          unit_details[Property Name], INDIRECT("B"&amp;ROW()))</f>
        <v>0</v>
      </c>
      <c r="T94" s="531" t="str" cm="1">
        <f t="array" aca="1" ref="T9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4" s="552" t="str" cm="1">
        <f t="array" aca="1" ref="U9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4" s="526" cm="1">
        <f t="array" aca="1" ref="V94" ca="1">COUNTIFS(unit_details[Leased Date], "&gt;=" &amp; ($U$2 - T$5),
          unit_details[Leased Date], "&lt;" &amp; $U$2,
          unit_details[Floorplan Name], INDIRECT("C"&amp;ROW()),
          unit_details[Property Name], INDIRECT("B"&amp;ROW()))</f>
        <v>0</v>
      </c>
      <c r="W94" s="531" t="str" cm="1">
        <f t="array" aca="1" ref="W9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4" s="552" t="str" cm="1">
        <f t="array" aca="1" ref="X9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4" s="27" t="str">
        <f t="shared" ca="1" si="3"/>
        <v/>
      </c>
      <c r="Z94" s="4" t="str">
        <f>IFERROR($U$2-AVERAGEIFS(unit_details[First Listed],
          unit_details[Active Listing?],TRUE,
          unit_details[Property Name], $B94,
          unit_details[Beds], $D94,
          unit_details[Baths], $E94,
          unit_details[Partial Baths], IF(ISNUMBER($F94),$F94,""),
          unit_details[Floorplan Name],$C94
),"")</f>
        <v/>
      </c>
      <c r="AA94" s="262" cm="1">
        <f t="array" aca="1" ref="AA94" ca="1">COUNTIFS(unit_details[Active Listing?],TRUE,
          unit_details[Floorplan Name], INDIRECT("C"&amp;ROW()),
          unit_details[Property Name], INDIRECT("B"&amp;ROW()))</f>
        <v>0</v>
      </c>
      <c r="AB94" s="553"/>
      <c r="AC94" s="528" cm="1">
        <f t="array" aca="1" ref="AC94" ca="1">IFERROR(AVERAGEIFS(
  unit_details[Sqft],
  unit_details[Property Name], INDIRECT("B"&amp;ROW()),
  unit_details[Floorplan Name], INDIRECT("C"&amp;ROW()),
  unit_details[Beds], INDIRECT("D"&amp;ROW()),
  unit_details[Detected Unit Amenities], "*"&amp;$AD$3&amp;"*",
  unit_details[Leased Date], "&gt;=" &amp; ($U$2 - $AF$3)
),0)</f>
        <v>0</v>
      </c>
      <c r="AD94" s="527" cm="1">
        <f t="array" aca="1" ref="AD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4" s="526" cm="1">
        <f t="array" aca="1" ref="AE94" ca="1">IFERROR(COUNTIFS(
  unit_details[Property Name], INDIRECT("B"&amp;ROW()),
  unit_details[Floorplan Name], INDIRECT("C"&amp;ROW()),
  unit_details[Beds], INDIRECT("D"&amp;ROW()),
  unit_details[Detected Unit Amenities], "*"&amp;$AD$3&amp;"*",
  unit_details[Leased Date], "&gt;=" &amp; ($U$2 - $AF$3)
),0)</f>
        <v>0</v>
      </c>
      <c r="AF94" s="528" cm="1">
        <f t="array" aca="1" ref="AF94" ca="1">IFERROR(AVERAGEIFS(
  unit_details[Sqft],
  unit_details[Property Name], INDIRECT("B"&amp;ROW()),
  unit_details[Floorplan Name], INDIRECT("C"&amp;ROW()),
  unit_details[Beds], INDIRECT("D"&amp;ROW()),
  unit_details[Detected Unit Amenities], "&lt;&gt;*"&amp;$AD$3&amp;"*",
  unit_details[Leased Date], "&gt;=" &amp; ($U$2 - $AF$3)
),0)</f>
        <v>0</v>
      </c>
      <c r="AG94" s="527" cm="1">
        <f t="array" aca="1" ref="AG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4" s="526" cm="1">
        <f t="array" aca="1" ref="AH94" ca="1">IFERROR(COUNTIFS(
  unit_details[Property Name], INDIRECT("B"&amp;ROW()),
  unit_details[Floorplan Name], INDIRECT("C"&amp;ROW()),
  unit_details[Beds], INDIRECT("D"&amp;ROW()),
  unit_details[Detected Unit Amenities], "&lt;&gt;*"&amp;$AD$3&amp;"*",
  unit_details[Leased Date], "&gt;=" &amp; ($U$2 - $AF$3)
),0)</f>
        <v>0</v>
      </c>
      <c r="AI94" s="528"/>
      <c r="AJ94" s="531">
        <f t="shared" ca="1" si="4"/>
        <v>0</v>
      </c>
      <c r="AK94" s="532">
        <f t="shared" ca="1" si="5"/>
        <v>0</v>
      </c>
    </row>
    <row r="95" spans="2:37" x14ac:dyDescent="0.2">
      <c r="B95" s="566"/>
      <c r="C95" s="53"/>
      <c r="E95" s="262"/>
      <c r="F95" s="262"/>
      <c r="J95" s="293"/>
      <c r="K95" s="6"/>
      <c r="M95" s="6"/>
      <c r="N95" s="531" t="str" cm="1">
        <f t="array" aca="1" ref="N9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5" s="552" t="str" cm="1">
        <f t="array" aca="1" ref="O9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5" s="526" cm="1">
        <f t="array" aca="1" ref="P95" ca="1">COUNTIFS(unit_details[Leased Date], "&gt;=" &amp; ($U$2 - N$5),
          unit_details[Leased Date], "&lt;" &amp; $U$2,
          unit_details[Floorplan Name], INDIRECT("C"&amp;ROW()),
          unit_details[Property Name], INDIRECT("B"&amp;ROW()))</f>
        <v>0</v>
      </c>
      <c r="Q95" s="531" t="str" cm="1">
        <f t="array" aca="1" ref="Q9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5" s="552" t="str" cm="1">
        <f t="array" aca="1" ref="R9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5" s="526" cm="1">
        <f t="array" aca="1" ref="S95" ca="1">COUNTIFS(unit_details[Leased Date], "&gt;=" &amp; ($U$2 - Q$5),
          unit_details[Leased Date], "&lt;" &amp; $U$2,
          unit_details[Floorplan Name], INDIRECT("C"&amp;ROW()),
          unit_details[Property Name], INDIRECT("B"&amp;ROW()))</f>
        <v>0</v>
      </c>
      <c r="T95" s="531" t="str" cm="1">
        <f t="array" aca="1" ref="T9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5" s="552" t="str" cm="1">
        <f t="array" aca="1" ref="U9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5" s="526" cm="1">
        <f t="array" aca="1" ref="V95" ca="1">COUNTIFS(unit_details[Leased Date], "&gt;=" &amp; ($U$2 - T$5),
          unit_details[Leased Date], "&lt;" &amp; $U$2,
          unit_details[Floorplan Name], INDIRECT("C"&amp;ROW()),
          unit_details[Property Name], INDIRECT("B"&amp;ROW()))</f>
        <v>0</v>
      </c>
      <c r="W95" s="531" t="str" cm="1">
        <f t="array" aca="1" ref="W9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5" s="552" t="str" cm="1">
        <f t="array" aca="1" ref="X9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5" s="27" t="str">
        <f t="shared" ca="1" si="3"/>
        <v/>
      </c>
      <c r="Z95" s="4" t="str">
        <f>IFERROR($U$2-AVERAGEIFS(unit_details[First Listed],
          unit_details[Active Listing?],TRUE,
          unit_details[Property Name], $B95,
          unit_details[Beds], $D95,
          unit_details[Baths], $E95,
          unit_details[Partial Baths], IF(ISNUMBER($F95),$F95,""),
          unit_details[Floorplan Name],$C95
),"")</f>
        <v/>
      </c>
      <c r="AA95" s="262" cm="1">
        <f t="array" aca="1" ref="AA95" ca="1">COUNTIFS(unit_details[Active Listing?],TRUE,
          unit_details[Floorplan Name], INDIRECT("C"&amp;ROW()),
          unit_details[Property Name], INDIRECT("B"&amp;ROW()))</f>
        <v>0</v>
      </c>
      <c r="AB95" s="553"/>
      <c r="AC95" s="528" cm="1">
        <f t="array" aca="1" ref="AC95" ca="1">IFERROR(AVERAGEIFS(
  unit_details[Sqft],
  unit_details[Property Name], INDIRECT("B"&amp;ROW()),
  unit_details[Floorplan Name], INDIRECT("C"&amp;ROW()),
  unit_details[Beds], INDIRECT("D"&amp;ROW()),
  unit_details[Detected Unit Amenities], "*"&amp;$AD$3&amp;"*",
  unit_details[Leased Date], "&gt;=" &amp; ($U$2 - $AF$3)
),0)</f>
        <v>0</v>
      </c>
      <c r="AD95" s="527" cm="1">
        <f t="array" aca="1" ref="AD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5" s="526" cm="1">
        <f t="array" aca="1" ref="AE95" ca="1">IFERROR(COUNTIFS(
  unit_details[Property Name], INDIRECT("B"&amp;ROW()),
  unit_details[Floorplan Name], INDIRECT("C"&amp;ROW()),
  unit_details[Beds], INDIRECT("D"&amp;ROW()),
  unit_details[Detected Unit Amenities], "*"&amp;$AD$3&amp;"*",
  unit_details[Leased Date], "&gt;=" &amp; ($U$2 - $AF$3)
),0)</f>
        <v>0</v>
      </c>
      <c r="AF95" s="528" cm="1">
        <f t="array" aca="1" ref="AF95" ca="1">IFERROR(AVERAGEIFS(
  unit_details[Sqft],
  unit_details[Property Name], INDIRECT("B"&amp;ROW()),
  unit_details[Floorplan Name], INDIRECT("C"&amp;ROW()),
  unit_details[Beds], INDIRECT("D"&amp;ROW()),
  unit_details[Detected Unit Amenities], "&lt;&gt;*"&amp;$AD$3&amp;"*",
  unit_details[Leased Date], "&gt;=" &amp; ($U$2 - $AF$3)
),0)</f>
        <v>0</v>
      </c>
      <c r="AG95" s="527" cm="1">
        <f t="array" aca="1" ref="AG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5" s="526" cm="1">
        <f t="array" aca="1" ref="AH95" ca="1">IFERROR(COUNTIFS(
  unit_details[Property Name], INDIRECT("B"&amp;ROW()),
  unit_details[Floorplan Name], INDIRECT("C"&amp;ROW()),
  unit_details[Beds], INDIRECT("D"&amp;ROW()),
  unit_details[Detected Unit Amenities], "&lt;&gt;*"&amp;$AD$3&amp;"*",
  unit_details[Leased Date], "&gt;=" &amp; ($U$2 - $AF$3)
),0)</f>
        <v>0</v>
      </c>
      <c r="AI95" s="528"/>
      <c r="AJ95" s="531">
        <f t="shared" ca="1" si="4"/>
        <v>0</v>
      </c>
      <c r="AK95" s="532">
        <f t="shared" ca="1" si="5"/>
        <v>0</v>
      </c>
    </row>
    <row r="96" spans="2:37" x14ac:dyDescent="0.2">
      <c r="B96" s="566"/>
      <c r="C96" s="53"/>
      <c r="E96" s="262"/>
      <c r="F96" s="262"/>
      <c r="J96" s="293"/>
      <c r="K96" s="6"/>
      <c r="M96" s="6"/>
      <c r="N96" s="531" t="str" cm="1">
        <f t="array" aca="1" ref="N9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6" s="552" t="str" cm="1">
        <f t="array" aca="1" ref="O9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6" s="526" cm="1">
        <f t="array" aca="1" ref="P96" ca="1">COUNTIFS(unit_details[Leased Date], "&gt;=" &amp; ($U$2 - N$5),
          unit_details[Leased Date], "&lt;" &amp; $U$2,
          unit_details[Floorplan Name], INDIRECT("C"&amp;ROW()),
          unit_details[Property Name], INDIRECT("B"&amp;ROW()))</f>
        <v>0</v>
      </c>
      <c r="Q96" s="531" t="str" cm="1">
        <f t="array" aca="1" ref="Q9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6" s="552" t="str" cm="1">
        <f t="array" aca="1" ref="R9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6" s="526" cm="1">
        <f t="array" aca="1" ref="S96" ca="1">COUNTIFS(unit_details[Leased Date], "&gt;=" &amp; ($U$2 - Q$5),
          unit_details[Leased Date], "&lt;" &amp; $U$2,
          unit_details[Floorplan Name], INDIRECT("C"&amp;ROW()),
          unit_details[Property Name], INDIRECT("B"&amp;ROW()))</f>
        <v>0</v>
      </c>
      <c r="T96" s="531" t="str" cm="1">
        <f t="array" aca="1" ref="T9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6" s="552" t="str" cm="1">
        <f t="array" aca="1" ref="U9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6" s="526" cm="1">
        <f t="array" aca="1" ref="V96" ca="1">COUNTIFS(unit_details[Leased Date], "&gt;=" &amp; ($U$2 - T$5),
          unit_details[Leased Date], "&lt;" &amp; $U$2,
          unit_details[Floorplan Name], INDIRECT("C"&amp;ROW()),
          unit_details[Property Name], INDIRECT("B"&amp;ROW()))</f>
        <v>0</v>
      </c>
      <c r="W96" s="531" t="str" cm="1">
        <f t="array" aca="1" ref="W9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6" s="552" t="str" cm="1">
        <f t="array" aca="1" ref="X9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6" s="27" t="str">
        <f t="shared" ca="1" si="3"/>
        <v/>
      </c>
      <c r="Z96" s="4" t="str">
        <f>IFERROR($U$2-AVERAGEIFS(unit_details[First Listed],
          unit_details[Active Listing?],TRUE,
          unit_details[Property Name], $B96,
          unit_details[Beds], $D96,
          unit_details[Baths], $E96,
          unit_details[Partial Baths], IF(ISNUMBER($F96),$F96,""),
          unit_details[Floorplan Name],$C96
),"")</f>
        <v/>
      </c>
      <c r="AA96" s="262" cm="1">
        <f t="array" aca="1" ref="AA96" ca="1">COUNTIFS(unit_details[Active Listing?],TRUE,
          unit_details[Floorplan Name], INDIRECT("C"&amp;ROW()),
          unit_details[Property Name], INDIRECT("B"&amp;ROW()))</f>
        <v>0</v>
      </c>
      <c r="AB96" s="553"/>
      <c r="AC96" s="528" cm="1">
        <f t="array" aca="1" ref="AC96" ca="1">IFERROR(AVERAGEIFS(
  unit_details[Sqft],
  unit_details[Property Name], INDIRECT("B"&amp;ROW()),
  unit_details[Floorplan Name], INDIRECT("C"&amp;ROW()),
  unit_details[Beds], INDIRECT("D"&amp;ROW()),
  unit_details[Detected Unit Amenities], "*"&amp;$AD$3&amp;"*",
  unit_details[Leased Date], "&gt;=" &amp; ($U$2 - $AF$3)
),0)</f>
        <v>0</v>
      </c>
      <c r="AD96" s="527" cm="1">
        <f t="array" aca="1" ref="AD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6" s="526" cm="1">
        <f t="array" aca="1" ref="AE96" ca="1">IFERROR(COUNTIFS(
  unit_details[Property Name], INDIRECT("B"&amp;ROW()),
  unit_details[Floorplan Name], INDIRECT("C"&amp;ROW()),
  unit_details[Beds], INDIRECT("D"&amp;ROW()),
  unit_details[Detected Unit Amenities], "*"&amp;$AD$3&amp;"*",
  unit_details[Leased Date], "&gt;=" &amp; ($U$2 - $AF$3)
),0)</f>
        <v>0</v>
      </c>
      <c r="AF96" s="528" cm="1">
        <f t="array" aca="1" ref="AF96" ca="1">IFERROR(AVERAGEIFS(
  unit_details[Sqft],
  unit_details[Property Name], INDIRECT("B"&amp;ROW()),
  unit_details[Floorplan Name], INDIRECT("C"&amp;ROW()),
  unit_details[Beds], INDIRECT("D"&amp;ROW()),
  unit_details[Detected Unit Amenities], "&lt;&gt;*"&amp;$AD$3&amp;"*",
  unit_details[Leased Date], "&gt;=" &amp; ($U$2 - $AF$3)
),0)</f>
        <v>0</v>
      </c>
      <c r="AG96" s="527" cm="1">
        <f t="array" aca="1" ref="AG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6" s="526" cm="1">
        <f t="array" aca="1" ref="AH96" ca="1">IFERROR(COUNTIFS(
  unit_details[Property Name], INDIRECT("B"&amp;ROW()),
  unit_details[Floorplan Name], INDIRECT("C"&amp;ROW()),
  unit_details[Beds], INDIRECT("D"&amp;ROW()),
  unit_details[Detected Unit Amenities], "&lt;&gt;*"&amp;$AD$3&amp;"*",
  unit_details[Leased Date], "&gt;=" &amp; ($U$2 - $AF$3)
),0)</f>
        <v>0</v>
      </c>
      <c r="AI96" s="528"/>
      <c r="AJ96" s="531">
        <f t="shared" ca="1" si="4"/>
        <v>0</v>
      </c>
      <c r="AK96" s="532">
        <f t="shared" ca="1" si="5"/>
        <v>0</v>
      </c>
    </row>
    <row r="97" spans="2:37" x14ac:dyDescent="0.2">
      <c r="B97" s="566"/>
      <c r="C97" s="53"/>
      <c r="E97" s="262"/>
      <c r="F97" s="262"/>
      <c r="J97" s="293"/>
      <c r="K97" s="6"/>
      <c r="M97" s="6"/>
      <c r="N97" s="531" t="str" cm="1">
        <f t="array" aca="1" ref="N9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7" s="552" t="str" cm="1">
        <f t="array" aca="1" ref="O9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7" s="526" cm="1">
        <f t="array" aca="1" ref="P97" ca="1">COUNTIFS(unit_details[Leased Date], "&gt;=" &amp; ($U$2 - N$5),
          unit_details[Leased Date], "&lt;" &amp; $U$2,
          unit_details[Floorplan Name], INDIRECT("C"&amp;ROW()),
          unit_details[Property Name], INDIRECT("B"&amp;ROW()))</f>
        <v>0</v>
      </c>
      <c r="Q97" s="531" t="str" cm="1">
        <f t="array" aca="1" ref="Q9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7" s="552" t="str" cm="1">
        <f t="array" aca="1" ref="R9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7" s="526" cm="1">
        <f t="array" aca="1" ref="S97" ca="1">COUNTIFS(unit_details[Leased Date], "&gt;=" &amp; ($U$2 - Q$5),
          unit_details[Leased Date], "&lt;" &amp; $U$2,
          unit_details[Floorplan Name], INDIRECT("C"&amp;ROW()),
          unit_details[Property Name], INDIRECT("B"&amp;ROW()))</f>
        <v>0</v>
      </c>
      <c r="T97" s="531" t="str" cm="1">
        <f t="array" aca="1" ref="T9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7" s="552" t="str" cm="1">
        <f t="array" aca="1" ref="U9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7" s="526" cm="1">
        <f t="array" aca="1" ref="V97" ca="1">COUNTIFS(unit_details[Leased Date], "&gt;=" &amp; ($U$2 - T$5),
          unit_details[Leased Date], "&lt;" &amp; $U$2,
          unit_details[Floorplan Name], INDIRECT("C"&amp;ROW()),
          unit_details[Property Name], INDIRECT("B"&amp;ROW()))</f>
        <v>0</v>
      </c>
      <c r="W97" s="531" t="str" cm="1">
        <f t="array" aca="1" ref="W9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7" s="552" t="str" cm="1">
        <f t="array" aca="1" ref="X9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7" s="27" t="str">
        <f t="shared" ca="1" si="3"/>
        <v/>
      </c>
      <c r="Z97" s="4" t="str">
        <f>IFERROR($U$2-AVERAGEIFS(unit_details[First Listed],
          unit_details[Active Listing?],TRUE,
          unit_details[Property Name], $B97,
          unit_details[Beds], $D97,
          unit_details[Baths], $E97,
          unit_details[Partial Baths], IF(ISNUMBER($F97),$F97,""),
          unit_details[Floorplan Name],$C97
),"")</f>
        <v/>
      </c>
      <c r="AA97" s="262" cm="1">
        <f t="array" aca="1" ref="AA97" ca="1">COUNTIFS(unit_details[Active Listing?],TRUE,
          unit_details[Floorplan Name], INDIRECT("C"&amp;ROW()),
          unit_details[Property Name], INDIRECT("B"&amp;ROW()))</f>
        <v>0</v>
      </c>
      <c r="AB97" s="553"/>
      <c r="AC97" s="528" cm="1">
        <f t="array" aca="1" ref="AC97" ca="1">IFERROR(AVERAGEIFS(
  unit_details[Sqft],
  unit_details[Property Name], INDIRECT("B"&amp;ROW()),
  unit_details[Floorplan Name], INDIRECT("C"&amp;ROW()),
  unit_details[Beds], INDIRECT("D"&amp;ROW()),
  unit_details[Detected Unit Amenities], "*"&amp;$AD$3&amp;"*",
  unit_details[Leased Date], "&gt;=" &amp; ($U$2 - $AF$3)
),0)</f>
        <v>0</v>
      </c>
      <c r="AD97" s="527" cm="1">
        <f t="array" aca="1" ref="AD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7" s="526" cm="1">
        <f t="array" aca="1" ref="AE97" ca="1">IFERROR(COUNTIFS(
  unit_details[Property Name], INDIRECT("B"&amp;ROW()),
  unit_details[Floorplan Name], INDIRECT("C"&amp;ROW()),
  unit_details[Beds], INDIRECT("D"&amp;ROW()),
  unit_details[Detected Unit Amenities], "*"&amp;$AD$3&amp;"*",
  unit_details[Leased Date], "&gt;=" &amp; ($U$2 - $AF$3)
),0)</f>
        <v>0</v>
      </c>
      <c r="AF97" s="528" cm="1">
        <f t="array" aca="1" ref="AF97" ca="1">IFERROR(AVERAGEIFS(
  unit_details[Sqft],
  unit_details[Property Name], INDIRECT("B"&amp;ROW()),
  unit_details[Floorplan Name], INDIRECT("C"&amp;ROW()),
  unit_details[Beds], INDIRECT("D"&amp;ROW()),
  unit_details[Detected Unit Amenities], "&lt;&gt;*"&amp;$AD$3&amp;"*",
  unit_details[Leased Date], "&gt;=" &amp; ($U$2 - $AF$3)
),0)</f>
        <v>0</v>
      </c>
      <c r="AG97" s="527" cm="1">
        <f t="array" aca="1" ref="AG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7" s="526" cm="1">
        <f t="array" aca="1" ref="AH97" ca="1">IFERROR(COUNTIFS(
  unit_details[Property Name], INDIRECT("B"&amp;ROW()),
  unit_details[Floorplan Name], INDIRECT("C"&amp;ROW()),
  unit_details[Beds], INDIRECT("D"&amp;ROW()),
  unit_details[Detected Unit Amenities], "&lt;&gt;*"&amp;$AD$3&amp;"*",
  unit_details[Leased Date], "&gt;=" &amp; ($U$2 - $AF$3)
),0)</f>
        <v>0</v>
      </c>
      <c r="AI97" s="528"/>
      <c r="AJ97" s="531">
        <f t="shared" ca="1" si="4"/>
        <v>0</v>
      </c>
      <c r="AK97" s="532">
        <f t="shared" ca="1" si="5"/>
        <v>0</v>
      </c>
    </row>
    <row r="98" spans="2:37" x14ac:dyDescent="0.2">
      <c r="B98" s="566"/>
      <c r="C98" s="53"/>
      <c r="E98" s="262"/>
      <c r="F98" s="262"/>
      <c r="J98" s="293"/>
      <c r="K98" s="6"/>
      <c r="M98" s="6"/>
      <c r="N98" s="531" t="str" cm="1">
        <f t="array" aca="1" ref="N9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8" s="552" t="str" cm="1">
        <f t="array" aca="1" ref="O9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8" s="526" cm="1">
        <f t="array" aca="1" ref="P98" ca="1">COUNTIFS(unit_details[Leased Date], "&gt;=" &amp; ($U$2 - N$5),
          unit_details[Leased Date], "&lt;" &amp; $U$2,
          unit_details[Floorplan Name], INDIRECT("C"&amp;ROW()),
          unit_details[Property Name], INDIRECT("B"&amp;ROW()))</f>
        <v>0</v>
      </c>
      <c r="Q98" s="531" t="str" cm="1">
        <f t="array" aca="1" ref="Q9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8" s="552" t="str" cm="1">
        <f t="array" aca="1" ref="R9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8" s="526" cm="1">
        <f t="array" aca="1" ref="S98" ca="1">COUNTIFS(unit_details[Leased Date], "&gt;=" &amp; ($U$2 - Q$5),
          unit_details[Leased Date], "&lt;" &amp; $U$2,
          unit_details[Floorplan Name], INDIRECT("C"&amp;ROW()),
          unit_details[Property Name], INDIRECT("B"&amp;ROW()))</f>
        <v>0</v>
      </c>
      <c r="T98" s="531" t="str" cm="1">
        <f t="array" aca="1" ref="T9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8" s="552" t="str" cm="1">
        <f t="array" aca="1" ref="U9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8" s="526" cm="1">
        <f t="array" aca="1" ref="V98" ca="1">COUNTIFS(unit_details[Leased Date], "&gt;=" &amp; ($U$2 - T$5),
          unit_details[Leased Date], "&lt;" &amp; $U$2,
          unit_details[Floorplan Name], INDIRECT("C"&amp;ROW()),
          unit_details[Property Name], INDIRECT("B"&amp;ROW()))</f>
        <v>0</v>
      </c>
      <c r="W98" s="531" t="str" cm="1">
        <f t="array" aca="1" ref="W9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8" s="552" t="str" cm="1">
        <f t="array" aca="1" ref="X9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8" s="27" t="str">
        <f t="shared" ca="1" si="3"/>
        <v/>
      </c>
      <c r="Z98" s="4" t="str">
        <f>IFERROR($U$2-AVERAGEIFS(unit_details[First Listed],
          unit_details[Active Listing?],TRUE,
          unit_details[Property Name], $B98,
          unit_details[Beds], $D98,
          unit_details[Baths], $E98,
          unit_details[Partial Baths], IF(ISNUMBER($F98),$F98,""),
          unit_details[Floorplan Name],$C98
),"")</f>
        <v/>
      </c>
      <c r="AA98" s="262" cm="1">
        <f t="array" aca="1" ref="AA98" ca="1">COUNTIFS(unit_details[Active Listing?],TRUE,
          unit_details[Floorplan Name], INDIRECT("C"&amp;ROW()),
          unit_details[Property Name], INDIRECT("B"&amp;ROW()))</f>
        <v>0</v>
      </c>
      <c r="AB98" s="553"/>
      <c r="AC98" s="528" cm="1">
        <f t="array" aca="1" ref="AC98" ca="1">IFERROR(AVERAGEIFS(
  unit_details[Sqft],
  unit_details[Property Name], INDIRECT("B"&amp;ROW()),
  unit_details[Floorplan Name], INDIRECT("C"&amp;ROW()),
  unit_details[Beds], INDIRECT("D"&amp;ROW()),
  unit_details[Detected Unit Amenities], "*"&amp;$AD$3&amp;"*",
  unit_details[Leased Date], "&gt;=" &amp; ($U$2 - $AF$3)
),0)</f>
        <v>0</v>
      </c>
      <c r="AD98" s="527" cm="1">
        <f t="array" aca="1" ref="AD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8" s="526" cm="1">
        <f t="array" aca="1" ref="AE98" ca="1">IFERROR(COUNTIFS(
  unit_details[Property Name], INDIRECT("B"&amp;ROW()),
  unit_details[Floorplan Name], INDIRECT("C"&amp;ROW()),
  unit_details[Beds], INDIRECT("D"&amp;ROW()),
  unit_details[Detected Unit Amenities], "*"&amp;$AD$3&amp;"*",
  unit_details[Leased Date], "&gt;=" &amp; ($U$2 - $AF$3)
),0)</f>
        <v>0</v>
      </c>
      <c r="AF98" s="528" cm="1">
        <f t="array" aca="1" ref="AF98" ca="1">IFERROR(AVERAGEIFS(
  unit_details[Sqft],
  unit_details[Property Name], INDIRECT("B"&amp;ROW()),
  unit_details[Floorplan Name], INDIRECT("C"&amp;ROW()),
  unit_details[Beds], INDIRECT("D"&amp;ROW()),
  unit_details[Detected Unit Amenities], "&lt;&gt;*"&amp;$AD$3&amp;"*",
  unit_details[Leased Date], "&gt;=" &amp; ($U$2 - $AF$3)
),0)</f>
        <v>0</v>
      </c>
      <c r="AG98" s="527" cm="1">
        <f t="array" aca="1" ref="AG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8" s="526" cm="1">
        <f t="array" aca="1" ref="AH98" ca="1">IFERROR(COUNTIFS(
  unit_details[Property Name], INDIRECT("B"&amp;ROW()),
  unit_details[Floorplan Name], INDIRECT("C"&amp;ROW()),
  unit_details[Beds], INDIRECT("D"&amp;ROW()),
  unit_details[Detected Unit Amenities], "&lt;&gt;*"&amp;$AD$3&amp;"*",
  unit_details[Leased Date], "&gt;=" &amp; ($U$2 - $AF$3)
),0)</f>
        <v>0</v>
      </c>
      <c r="AI98" s="528"/>
      <c r="AJ98" s="531">
        <f t="shared" ca="1" si="4"/>
        <v>0</v>
      </c>
      <c r="AK98" s="532">
        <f t="shared" ca="1" si="5"/>
        <v>0</v>
      </c>
    </row>
    <row r="99" spans="2:37" x14ac:dyDescent="0.2">
      <c r="B99" s="566"/>
      <c r="C99" s="53"/>
      <c r="E99" s="262"/>
      <c r="F99" s="262"/>
      <c r="J99" s="293"/>
      <c r="K99" s="6"/>
      <c r="M99" s="6"/>
      <c r="N99" s="531" t="str" cm="1">
        <f t="array" aca="1" ref="N9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99" s="552" t="str" cm="1">
        <f t="array" aca="1" ref="O9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99" s="526" cm="1">
        <f t="array" aca="1" ref="P99" ca="1">COUNTIFS(unit_details[Leased Date], "&gt;=" &amp; ($U$2 - N$5),
          unit_details[Leased Date], "&lt;" &amp; $U$2,
          unit_details[Floorplan Name], INDIRECT("C"&amp;ROW()),
          unit_details[Property Name], INDIRECT("B"&amp;ROW()))</f>
        <v>0</v>
      </c>
      <c r="Q99" s="531" t="str" cm="1">
        <f t="array" aca="1" ref="Q9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99" s="552" t="str" cm="1">
        <f t="array" aca="1" ref="R9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99" s="526" cm="1">
        <f t="array" aca="1" ref="S99" ca="1">COUNTIFS(unit_details[Leased Date], "&gt;=" &amp; ($U$2 - Q$5),
          unit_details[Leased Date], "&lt;" &amp; $U$2,
          unit_details[Floorplan Name], INDIRECT("C"&amp;ROW()),
          unit_details[Property Name], INDIRECT("B"&amp;ROW()))</f>
        <v>0</v>
      </c>
      <c r="T99" s="531" t="str" cm="1">
        <f t="array" aca="1" ref="T9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99" s="552" t="str" cm="1">
        <f t="array" aca="1" ref="U9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99" s="526" cm="1">
        <f t="array" aca="1" ref="V99" ca="1">COUNTIFS(unit_details[Leased Date], "&gt;=" &amp; ($U$2 - T$5),
          unit_details[Leased Date], "&lt;" &amp; $U$2,
          unit_details[Floorplan Name], INDIRECT("C"&amp;ROW()),
          unit_details[Property Name], INDIRECT("B"&amp;ROW()))</f>
        <v>0</v>
      </c>
      <c r="W99" s="531" t="str" cm="1">
        <f t="array" aca="1" ref="W9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99" s="552" t="str" cm="1">
        <f t="array" aca="1" ref="X9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99" s="27" t="str">
        <f t="shared" ca="1" si="3"/>
        <v/>
      </c>
      <c r="Z99" s="4" t="str">
        <f>IFERROR($U$2-AVERAGEIFS(unit_details[First Listed],
          unit_details[Active Listing?],TRUE,
          unit_details[Property Name], $B99,
          unit_details[Beds], $D99,
          unit_details[Baths], $E99,
          unit_details[Partial Baths], IF(ISNUMBER($F99),$F99,""),
          unit_details[Floorplan Name],$C99
),"")</f>
        <v/>
      </c>
      <c r="AA99" s="262" cm="1">
        <f t="array" aca="1" ref="AA99" ca="1">COUNTIFS(unit_details[Active Listing?],TRUE,
          unit_details[Floorplan Name], INDIRECT("C"&amp;ROW()),
          unit_details[Property Name], INDIRECT("B"&amp;ROW()))</f>
        <v>0</v>
      </c>
      <c r="AB99" s="553"/>
      <c r="AC99" s="528" cm="1">
        <f t="array" aca="1" ref="AC99" ca="1">IFERROR(AVERAGEIFS(
  unit_details[Sqft],
  unit_details[Property Name], INDIRECT("B"&amp;ROW()),
  unit_details[Floorplan Name], INDIRECT("C"&amp;ROW()),
  unit_details[Beds], INDIRECT("D"&amp;ROW()),
  unit_details[Detected Unit Amenities], "*"&amp;$AD$3&amp;"*",
  unit_details[Leased Date], "&gt;=" &amp; ($U$2 - $AF$3)
),0)</f>
        <v>0</v>
      </c>
      <c r="AD99" s="527" cm="1">
        <f t="array" aca="1" ref="AD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99" s="526" cm="1">
        <f t="array" aca="1" ref="AE99" ca="1">IFERROR(COUNTIFS(
  unit_details[Property Name], INDIRECT("B"&amp;ROW()),
  unit_details[Floorplan Name], INDIRECT("C"&amp;ROW()),
  unit_details[Beds], INDIRECT("D"&amp;ROW()),
  unit_details[Detected Unit Amenities], "*"&amp;$AD$3&amp;"*",
  unit_details[Leased Date], "&gt;=" &amp; ($U$2 - $AF$3)
),0)</f>
        <v>0</v>
      </c>
      <c r="AF99" s="528" cm="1">
        <f t="array" aca="1" ref="AF99" ca="1">IFERROR(AVERAGEIFS(
  unit_details[Sqft],
  unit_details[Property Name], INDIRECT("B"&amp;ROW()),
  unit_details[Floorplan Name], INDIRECT("C"&amp;ROW()),
  unit_details[Beds], INDIRECT("D"&amp;ROW()),
  unit_details[Detected Unit Amenities], "&lt;&gt;*"&amp;$AD$3&amp;"*",
  unit_details[Leased Date], "&gt;=" &amp; ($U$2 - $AF$3)
),0)</f>
        <v>0</v>
      </c>
      <c r="AG99" s="527" cm="1">
        <f t="array" aca="1" ref="AG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99" s="526" cm="1">
        <f t="array" aca="1" ref="AH99" ca="1">IFERROR(COUNTIFS(
  unit_details[Property Name], INDIRECT("B"&amp;ROW()),
  unit_details[Floorplan Name], INDIRECT("C"&amp;ROW()),
  unit_details[Beds], INDIRECT("D"&amp;ROW()),
  unit_details[Detected Unit Amenities], "&lt;&gt;*"&amp;$AD$3&amp;"*",
  unit_details[Leased Date], "&gt;=" &amp; ($U$2 - $AF$3)
),0)</f>
        <v>0</v>
      </c>
      <c r="AI99" s="528"/>
      <c r="AJ99" s="531">
        <f t="shared" ca="1" si="4"/>
        <v>0</v>
      </c>
      <c r="AK99" s="532">
        <f t="shared" ca="1" si="5"/>
        <v>0</v>
      </c>
    </row>
    <row r="100" spans="2:37" x14ac:dyDescent="0.2">
      <c r="B100" s="566"/>
      <c r="C100" s="53"/>
      <c r="E100" s="262"/>
      <c r="F100" s="262"/>
      <c r="J100" s="293"/>
      <c r="K100" s="6"/>
      <c r="M100" s="6"/>
      <c r="N100" s="531" t="str" cm="1">
        <f t="array" aca="1" ref="N10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0" s="552" t="str" cm="1">
        <f t="array" aca="1" ref="O10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0" s="526" cm="1">
        <f t="array" aca="1" ref="P100" ca="1">COUNTIFS(unit_details[Leased Date], "&gt;=" &amp; ($U$2 - N$5),
          unit_details[Leased Date], "&lt;" &amp; $U$2,
          unit_details[Floorplan Name], INDIRECT("C"&amp;ROW()),
          unit_details[Property Name], INDIRECT("B"&amp;ROW()))</f>
        <v>0</v>
      </c>
      <c r="Q100" s="531" t="str" cm="1">
        <f t="array" aca="1" ref="Q10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0" s="552" t="str" cm="1">
        <f t="array" aca="1" ref="R10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0" s="526" cm="1">
        <f t="array" aca="1" ref="S100" ca="1">COUNTIFS(unit_details[Leased Date], "&gt;=" &amp; ($U$2 - Q$5),
          unit_details[Leased Date], "&lt;" &amp; $U$2,
          unit_details[Floorplan Name], INDIRECT("C"&amp;ROW()),
          unit_details[Property Name], INDIRECT("B"&amp;ROW()))</f>
        <v>0</v>
      </c>
      <c r="T100" s="531" t="str" cm="1">
        <f t="array" aca="1" ref="T10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0" s="552" t="str" cm="1">
        <f t="array" aca="1" ref="U10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0" s="526" cm="1">
        <f t="array" aca="1" ref="V100" ca="1">COUNTIFS(unit_details[Leased Date], "&gt;=" &amp; ($U$2 - T$5),
          unit_details[Leased Date], "&lt;" &amp; $U$2,
          unit_details[Floorplan Name], INDIRECT("C"&amp;ROW()),
          unit_details[Property Name], INDIRECT("B"&amp;ROW()))</f>
        <v>0</v>
      </c>
      <c r="W100" s="531" t="str" cm="1">
        <f t="array" aca="1" ref="W10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0" s="552" t="str" cm="1">
        <f t="array" aca="1" ref="X10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0" s="27" t="str">
        <f t="shared" ca="1" si="3"/>
        <v/>
      </c>
      <c r="Z100" s="4" t="str">
        <f>IFERROR($U$2-AVERAGEIFS(unit_details[First Listed],
          unit_details[Active Listing?],TRUE,
          unit_details[Property Name], $B100,
          unit_details[Beds], $D100,
          unit_details[Baths], $E100,
          unit_details[Partial Baths], IF(ISNUMBER($F100),$F100,""),
          unit_details[Floorplan Name],$C100
),"")</f>
        <v/>
      </c>
      <c r="AA100" s="262" cm="1">
        <f t="array" aca="1" ref="AA100" ca="1">COUNTIFS(unit_details[Active Listing?],TRUE,
          unit_details[Floorplan Name], INDIRECT("C"&amp;ROW()),
          unit_details[Property Name], INDIRECT("B"&amp;ROW()))</f>
        <v>0</v>
      </c>
      <c r="AB100" s="553"/>
      <c r="AC100" s="528" cm="1">
        <f t="array" aca="1" ref="AC100" ca="1">IFERROR(AVERAGEIFS(
  unit_details[Sqft],
  unit_details[Property Name], INDIRECT("B"&amp;ROW()),
  unit_details[Floorplan Name], INDIRECT("C"&amp;ROW()),
  unit_details[Beds], INDIRECT("D"&amp;ROW()),
  unit_details[Detected Unit Amenities], "*"&amp;$AD$3&amp;"*",
  unit_details[Leased Date], "&gt;=" &amp; ($U$2 - $AF$3)
),0)</f>
        <v>0</v>
      </c>
      <c r="AD100" s="527" cm="1">
        <f t="array" aca="1" ref="AD1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0" s="526" cm="1">
        <f t="array" aca="1" ref="AE100" ca="1">IFERROR(COUNTIFS(
  unit_details[Property Name], INDIRECT("B"&amp;ROW()),
  unit_details[Floorplan Name], INDIRECT("C"&amp;ROW()),
  unit_details[Beds], INDIRECT("D"&amp;ROW()),
  unit_details[Detected Unit Amenities], "*"&amp;$AD$3&amp;"*",
  unit_details[Leased Date], "&gt;=" &amp; ($U$2 - $AF$3)
),0)</f>
        <v>0</v>
      </c>
      <c r="AF100" s="528" cm="1">
        <f t="array" aca="1" ref="AF100" ca="1">IFERROR(AVERAGEIFS(
  unit_details[Sqft],
  unit_details[Property Name], INDIRECT("B"&amp;ROW()),
  unit_details[Floorplan Name], INDIRECT("C"&amp;ROW()),
  unit_details[Beds], INDIRECT("D"&amp;ROW()),
  unit_details[Detected Unit Amenities], "&lt;&gt;*"&amp;$AD$3&amp;"*",
  unit_details[Leased Date], "&gt;=" &amp; ($U$2 - $AF$3)
),0)</f>
        <v>0</v>
      </c>
      <c r="AG100" s="527" cm="1">
        <f t="array" aca="1" ref="AG1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0" s="526" cm="1">
        <f t="array" aca="1" ref="AH100" ca="1">IFERROR(COUNTIFS(
  unit_details[Property Name], INDIRECT("B"&amp;ROW()),
  unit_details[Floorplan Name], INDIRECT("C"&amp;ROW()),
  unit_details[Beds], INDIRECT("D"&amp;ROW()),
  unit_details[Detected Unit Amenities], "&lt;&gt;*"&amp;$AD$3&amp;"*",
  unit_details[Leased Date], "&gt;=" &amp; ($U$2 - $AF$3)
),0)</f>
        <v>0</v>
      </c>
      <c r="AI100" s="528"/>
      <c r="AJ100" s="531">
        <f t="shared" ca="1" si="4"/>
        <v>0</v>
      </c>
      <c r="AK100" s="532">
        <f t="shared" ca="1" si="5"/>
        <v>0</v>
      </c>
    </row>
    <row r="101" spans="2:37" x14ac:dyDescent="0.2">
      <c r="B101" s="566"/>
      <c r="C101" s="53"/>
      <c r="E101" s="262"/>
      <c r="F101" s="262"/>
      <c r="J101" s="293"/>
      <c r="K101" s="6"/>
      <c r="M101" s="6"/>
      <c r="N101" s="531" t="str" cm="1">
        <f t="array" aca="1" ref="N10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1" s="552" t="str" cm="1">
        <f t="array" aca="1" ref="O10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1" s="526" cm="1">
        <f t="array" aca="1" ref="P101" ca="1">COUNTIFS(unit_details[Leased Date], "&gt;=" &amp; ($U$2 - N$5),
          unit_details[Leased Date], "&lt;" &amp; $U$2,
          unit_details[Floorplan Name], INDIRECT("C"&amp;ROW()),
          unit_details[Property Name], INDIRECT("B"&amp;ROW()))</f>
        <v>0</v>
      </c>
      <c r="Q101" s="531" t="str" cm="1">
        <f t="array" aca="1" ref="Q10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1" s="552" t="str" cm="1">
        <f t="array" aca="1" ref="R10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1" s="526" cm="1">
        <f t="array" aca="1" ref="S101" ca="1">COUNTIFS(unit_details[Leased Date], "&gt;=" &amp; ($U$2 - Q$5),
          unit_details[Leased Date], "&lt;" &amp; $U$2,
          unit_details[Floorplan Name], INDIRECT("C"&amp;ROW()),
          unit_details[Property Name], INDIRECT("B"&amp;ROW()))</f>
        <v>0</v>
      </c>
      <c r="T101" s="531" t="str" cm="1">
        <f t="array" aca="1" ref="T10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1" s="552" t="str" cm="1">
        <f t="array" aca="1" ref="U10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1" s="526" cm="1">
        <f t="array" aca="1" ref="V101" ca="1">COUNTIFS(unit_details[Leased Date], "&gt;=" &amp; ($U$2 - T$5),
          unit_details[Leased Date], "&lt;" &amp; $U$2,
          unit_details[Floorplan Name], INDIRECT("C"&amp;ROW()),
          unit_details[Property Name], INDIRECT("B"&amp;ROW()))</f>
        <v>0</v>
      </c>
      <c r="W101" s="531" t="str" cm="1">
        <f t="array" aca="1" ref="W10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1" s="552" t="str" cm="1">
        <f t="array" aca="1" ref="X10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1" s="27" t="str">
        <f t="shared" ca="1" si="3"/>
        <v/>
      </c>
      <c r="Z101" s="4" t="str">
        <f>IFERROR($U$2-AVERAGEIFS(unit_details[First Listed],
          unit_details[Active Listing?],TRUE,
          unit_details[Property Name], $B101,
          unit_details[Beds], $D101,
          unit_details[Baths], $E101,
          unit_details[Partial Baths], IF(ISNUMBER($F101),$F101,""),
          unit_details[Floorplan Name],$C101
),"")</f>
        <v/>
      </c>
      <c r="AA101" s="262" cm="1">
        <f t="array" aca="1" ref="AA101" ca="1">COUNTIFS(unit_details[Active Listing?],TRUE,
          unit_details[Floorplan Name], INDIRECT("C"&amp;ROW()),
          unit_details[Property Name], INDIRECT("B"&amp;ROW()))</f>
        <v>0</v>
      </c>
      <c r="AB101" s="553"/>
      <c r="AC101" s="528" cm="1">
        <f t="array" aca="1" ref="AC101" ca="1">IFERROR(AVERAGEIFS(
  unit_details[Sqft],
  unit_details[Property Name], INDIRECT("B"&amp;ROW()),
  unit_details[Floorplan Name], INDIRECT("C"&amp;ROW()),
  unit_details[Beds], INDIRECT("D"&amp;ROW()),
  unit_details[Detected Unit Amenities], "*"&amp;$AD$3&amp;"*",
  unit_details[Leased Date], "&gt;=" &amp; ($U$2 - $AF$3)
),0)</f>
        <v>0</v>
      </c>
      <c r="AD101" s="527" cm="1">
        <f t="array" aca="1" ref="AD1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1" s="526" cm="1">
        <f t="array" aca="1" ref="AE101" ca="1">IFERROR(COUNTIFS(
  unit_details[Property Name], INDIRECT("B"&amp;ROW()),
  unit_details[Floorplan Name], INDIRECT("C"&amp;ROW()),
  unit_details[Beds], INDIRECT("D"&amp;ROW()),
  unit_details[Detected Unit Amenities], "*"&amp;$AD$3&amp;"*",
  unit_details[Leased Date], "&gt;=" &amp; ($U$2 - $AF$3)
),0)</f>
        <v>0</v>
      </c>
      <c r="AF101" s="528" cm="1">
        <f t="array" aca="1" ref="AF101" ca="1">IFERROR(AVERAGEIFS(
  unit_details[Sqft],
  unit_details[Property Name], INDIRECT("B"&amp;ROW()),
  unit_details[Floorplan Name], INDIRECT("C"&amp;ROW()),
  unit_details[Beds], INDIRECT("D"&amp;ROW()),
  unit_details[Detected Unit Amenities], "&lt;&gt;*"&amp;$AD$3&amp;"*",
  unit_details[Leased Date], "&gt;=" &amp; ($U$2 - $AF$3)
),0)</f>
        <v>0</v>
      </c>
      <c r="AG101" s="527" cm="1">
        <f t="array" aca="1" ref="AG1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1" s="526" cm="1">
        <f t="array" aca="1" ref="AH101" ca="1">IFERROR(COUNTIFS(
  unit_details[Property Name], INDIRECT("B"&amp;ROW()),
  unit_details[Floorplan Name], INDIRECT("C"&amp;ROW()),
  unit_details[Beds], INDIRECT("D"&amp;ROW()),
  unit_details[Detected Unit Amenities], "&lt;&gt;*"&amp;$AD$3&amp;"*",
  unit_details[Leased Date], "&gt;=" &amp; ($U$2 - $AF$3)
),0)</f>
        <v>0</v>
      </c>
      <c r="AI101" s="528"/>
      <c r="AJ101" s="531">
        <f t="shared" ca="1" si="4"/>
        <v>0</v>
      </c>
      <c r="AK101" s="532">
        <f t="shared" ca="1" si="5"/>
        <v>0</v>
      </c>
    </row>
    <row r="102" spans="2:37" x14ac:dyDescent="0.2">
      <c r="B102" s="566"/>
      <c r="C102" s="53"/>
      <c r="E102" s="262"/>
      <c r="F102" s="262"/>
      <c r="J102" s="293"/>
      <c r="K102" s="6"/>
      <c r="M102" s="6"/>
      <c r="N102" s="531" t="str" cm="1">
        <f t="array" aca="1" ref="N10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2" s="552" t="str" cm="1">
        <f t="array" aca="1" ref="O10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2" s="526" cm="1">
        <f t="array" aca="1" ref="P102" ca="1">COUNTIFS(unit_details[Leased Date], "&gt;=" &amp; ($U$2 - N$5),
          unit_details[Leased Date], "&lt;" &amp; $U$2,
          unit_details[Floorplan Name], INDIRECT("C"&amp;ROW()),
          unit_details[Property Name], INDIRECT("B"&amp;ROW()))</f>
        <v>0</v>
      </c>
      <c r="Q102" s="531" t="str" cm="1">
        <f t="array" aca="1" ref="Q10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2" s="552" t="str" cm="1">
        <f t="array" aca="1" ref="R10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2" s="526" cm="1">
        <f t="array" aca="1" ref="S102" ca="1">COUNTIFS(unit_details[Leased Date], "&gt;=" &amp; ($U$2 - Q$5),
          unit_details[Leased Date], "&lt;" &amp; $U$2,
          unit_details[Floorplan Name], INDIRECT("C"&amp;ROW()),
          unit_details[Property Name], INDIRECT("B"&amp;ROW()))</f>
        <v>0</v>
      </c>
      <c r="T102" s="531" t="str" cm="1">
        <f t="array" aca="1" ref="T10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2" s="552" t="str" cm="1">
        <f t="array" aca="1" ref="U10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2" s="526" cm="1">
        <f t="array" aca="1" ref="V102" ca="1">COUNTIFS(unit_details[Leased Date], "&gt;=" &amp; ($U$2 - T$5),
          unit_details[Leased Date], "&lt;" &amp; $U$2,
          unit_details[Floorplan Name], INDIRECT("C"&amp;ROW()),
          unit_details[Property Name], INDIRECT("B"&amp;ROW()))</f>
        <v>0</v>
      </c>
      <c r="W102" s="531" t="str" cm="1">
        <f t="array" aca="1" ref="W10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2" s="552" t="str" cm="1">
        <f t="array" aca="1" ref="X10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2" s="27" t="str">
        <f t="shared" ca="1" si="3"/>
        <v/>
      </c>
      <c r="Z102" s="4" t="str">
        <f>IFERROR($U$2-AVERAGEIFS(unit_details[First Listed],
          unit_details[Active Listing?],TRUE,
          unit_details[Property Name], $B102,
          unit_details[Beds], $D102,
          unit_details[Baths], $E102,
          unit_details[Partial Baths], IF(ISNUMBER($F102),$F102,""),
          unit_details[Floorplan Name],$C102
),"")</f>
        <v/>
      </c>
      <c r="AA102" s="262" cm="1">
        <f t="array" aca="1" ref="AA102" ca="1">COUNTIFS(unit_details[Active Listing?],TRUE,
          unit_details[Floorplan Name], INDIRECT("C"&amp;ROW()),
          unit_details[Property Name], INDIRECT("B"&amp;ROW()))</f>
        <v>0</v>
      </c>
      <c r="AB102" s="553"/>
      <c r="AC102" s="528" cm="1">
        <f t="array" aca="1" ref="AC102" ca="1">IFERROR(AVERAGEIFS(
  unit_details[Sqft],
  unit_details[Property Name], INDIRECT("B"&amp;ROW()),
  unit_details[Floorplan Name], INDIRECT("C"&amp;ROW()),
  unit_details[Beds], INDIRECT("D"&amp;ROW()),
  unit_details[Detected Unit Amenities], "*"&amp;$AD$3&amp;"*",
  unit_details[Leased Date], "&gt;=" &amp; ($U$2 - $AF$3)
),0)</f>
        <v>0</v>
      </c>
      <c r="AD102" s="527" cm="1">
        <f t="array" aca="1" ref="AD1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2" s="526" cm="1">
        <f t="array" aca="1" ref="AE102" ca="1">IFERROR(COUNTIFS(
  unit_details[Property Name], INDIRECT("B"&amp;ROW()),
  unit_details[Floorplan Name], INDIRECT("C"&amp;ROW()),
  unit_details[Beds], INDIRECT("D"&amp;ROW()),
  unit_details[Detected Unit Amenities], "*"&amp;$AD$3&amp;"*",
  unit_details[Leased Date], "&gt;=" &amp; ($U$2 - $AF$3)
),0)</f>
        <v>0</v>
      </c>
      <c r="AF102" s="528" cm="1">
        <f t="array" aca="1" ref="AF102" ca="1">IFERROR(AVERAGEIFS(
  unit_details[Sqft],
  unit_details[Property Name], INDIRECT("B"&amp;ROW()),
  unit_details[Floorplan Name], INDIRECT("C"&amp;ROW()),
  unit_details[Beds], INDIRECT("D"&amp;ROW()),
  unit_details[Detected Unit Amenities], "&lt;&gt;*"&amp;$AD$3&amp;"*",
  unit_details[Leased Date], "&gt;=" &amp; ($U$2 - $AF$3)
),0)</f>
        <v>0</v>
      </c>
      <c r="AG102" s="527" cm="1">
        <f t="array" aca="1" ref="AG1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2" s="526" cm="1">
        <f t="array" aca="1" ref="AH102" ca="1">IFERROR(COUNTIFS(
  unit_details[Property Name], INDIRECT("B"&amp;ROW()),
  unit_details[Floorplan Name], INDIRECT("C"&amp;ROW()),
  unit_details[Beds], INDIRECT("D"&amp;ROW()),
  unit_details[Detected Unit Amenities], "&lt;&gt;*"&amp;$AD$3&amp;"*",
  unit_details[Leased Date], "&gt;=" &amp; ($U$2 - $AF$3)
),0)</f>
        <v>0</v>
      </c>
      <c r="AI102" s="528"/>
      <c r="AJ102" s="531">
        <f t="shared" ca="1" si="4"/>
        <v>0</v>
      </c>
      <c r="AK102" s="532">
        <f t="shared" ca="1" si="5"/>
        <v>0</v>
      </c>
    </row>
    <row r="103" spans="2:37" x14ac:dyDescent="0.2">
      <c r="B103" s="566"/>
      <c r="C103" s="53"/>
      <c r="E103" s="262"/>
      <c r="F103" s="262"/>
      <c r="J103" s="293"/>
      <c r="K103" s="6"/>
      <c r="M103" s="6"/>
      <c r="N103" s="531" t="str" cm="1">
        <f t="array" aca="1" ref="N10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3" s="552" t="str" cm="1">
        <f t="array" aca="1" ref="O10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3" s="526" cm="1">
        <f t="array" aca="1" ref="P103" ca="1">COUNTIFS(unit_details[Leased Date], "&gt;=" &amp; ($U$2 - N$5),
          unit_details[Leased Date], "&lt;" &amp; $U$2,
          unit_details[Floorplan Name], INDIRECT("C"&amp;ROW()),
          unit_details[Property Name], INDIRECT("B"&amp;ROW()))</f>
        <v>0</v>
      </c>
      <c r="Q103" s="531" t="str" cm="1">
        <f t="array" aca="1" ref="Q10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3" s="552" t="str" cm="1">
        <f t="array" aca="1" ref="R10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3" s="526" cm="1">
        <f t="array" aca="1" ref="S103" ca="1">COUNTIFS(unit_details[Leased Date], "&gt;=" &amp; ($U$2 - Q$5),
          unit_details[Leased Date], "&lt;" &amp; $U$2,
          unit_details[Floorplan Name], INDIRECT("C"&amp;ROW()),
          unit_details[Property Name], INDIRECT("B"&amp;ROW()))</f>
        <v>0</v>
      </c>
      <c r="T103" s="531" t="str" cm="1">
        <f t="array" aca="1" ref="T10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3" s="552" t="str" cm="1">
        <f t="array" aca="1" ref="U10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3" s="526" cm="1">
        <f t="array" aca="1" ref="V103" ca="1">COUNTIFS(unit_details[Leased Date], "&gt;=" &amp; ($U$2 - T$5),
          unit_details[Leased Date], "&lt;" &amp; $U$2,
          unit_details[Floorplan Name], INDIRECT("C"&amp;ROW()),
          unit_details[Property Name], INDIRECT("B"&amp;ROW()))</f>
        <v>0</v>
      </c>
      <c r="W103" s="531" t="str" cm="1">
        <f t="array" aca="1" ref="W10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3" s="552" t="str" cm="1">
        <f t="array" aca="1" ref="X10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3" s="27" t="str">
        <f t="shared" ca="1" si="3"/>
        <v/>
      </c>
      <c r="Z103" s="4" t="str">
        <f>IFERROR($U$2-AVERAGEIFS(unit_details[First Listed],
          unit_details[Active Listing?],TRUE,
          unit_details[Property Name], $B103,
          unit_details[Beds], $D103,
          unit_details[Baths], $E103,
          unit_details[Partial Baths], IF(ISNUMBER($F103),$F103,""),
          unit_details[Floorplan Name],$C103
),"")</f>
        <v/>
      </c>
      <c r="AA103" s="262" cm="1">
        <f t="array" aca="1" ref="AA103" ca="1">COUNTIFS(unit_details[Active Listing?],TRUE,
          unit_details[Floorplan Name], INDIRECT("C"&amp;ROW()),
          unit_details[Property Name], INDIRECT("B"&amp;ROW()))</f>
        <v>0</v>
      </c>
      <c r="AB103" s="553"/>
      <c r="AC103" s="528" cm="1">
        <f t="array" aca="1" ref="AC103" ca="1">IFERROR(AVERAGEIFS(
  unit_details[Sqft],
  unit_details[Property Name], INDIRECT("B"&amp;ROW()),
  unit_details[Floorplan Name], INDIRECT("C"&amp;ROW()),
  unit_details[Beds], INDIRECT("D"&amp;ROW()),
  unit_details[Detected Unit Amenities], "*"&amp;$AD$3&amp;"*",
  unit_details[Leased Date], "&gt;=" &amp; ($U$2 - $AF$3)
),0)</f>
        <v>0</v>
      </c>
      <c r="AD103" s="527" cm="1">
        <f t="array" aca="1" ref="AD1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3" s="526" cm="1">
        <f t="array" aca="1" ref="AE103" ca="1">IFERROR(COUNTIFS(
  unit_details[Property Name], INDIRECT("B"&amp;ROW()),
  unit_details[Floorplan Name], INDIRECT("C"&amp;ROW()),
  unit_details[Beds], INDIRECT("D"&amp;ROW()),
  unit_details[Detected Unit Amenities], "*"&amp;$AD$3&amp;"*",
  unit_details[Leased Date], "&gt;=" &amp; ($U$2 - $AF$3)
),0)</f>
        <v>0</v>
      </c>
      <c r="AF103" s="528" cm="1">
        <f t="array" aca="1" ref="AF103" ca="1">IFERROR(AVERAGEIFS(
  unit_details[Sqft],
  unit_details[Property Name], INDIRECT("B"&amp;ROW()),
  unit_details[Floorplan Name], INDIRECT("C"&amp;ROW()),
  unit_details[Beds], INDIRECT("D"&amp;ROW()),
  unit_details[Detected Unit Amenities], "&lt;&gt;*"&amp;$AD$3&amp;"*",
  unit_details[Leased Date], "&gt;=" &amp; ($U$2 - $AF$3)
),0)</f>
        <v>0</v>
      </c>
      <c r="AG103" s="527" cm="1">
        <f t="array" aca="1" ref="AG1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3" s="526" cm="1">
        <f t="array" aca="1" ref="AH103" ca="1">IFERROR(COUNTIFS(
  unit_details[Property Name], INDIRECT("B"&amp;ROW()),
  unit_details[Floorplan Name], INDIRECT("C"&amp;ROW()),
  unit_details[Beds], INDIRECT("D"&amp;ROW()),
  unit_details[Detected Unit Amenities], "&lt;&gt;*"&amp;$AD$3&amp;"*",
  unit_details[Leased Date], "&gt;=" &amp; ($U$2 - $AF$3)
),0)</f>
        <v>0</v>
      </c>
      <c r="AI103" s="528"/>
      <c r="AJ103" s="531">
        <f t="shared" ca="1" si="4"/>
        <v>0</v>
      </c>
      <c r="AK103" s="532">
        <f t="shared" ca="1" si="5"/>
        <v>0</v>
      </c>
    </row>
    <row r="104" spans="2:37" x14ac:dyDescent="0.2">
      <c r="B104" s="566"/>
      <c r="C104" s="53"/>
      <c r="E104" s="262"/>
      <c r="F104" s="262"/>
      <c r="J104" s="293"/>
      <c r="K104" s="6"/>
      <c r="M104" s="6"/>
      <c r="N104" s="531" t="str" cm="1">
        <f t="array" aca="1" ref="N10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4" s="552" t="str" cm="1">
        <f t="array" aca="1" ref="O10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4" s="526" cm="1">
        <f t="array" aca="1" ref="P104" ca="1">COUNTIFS(unit_details[Leased Date], "&gt;=" &amp; ($U$2 - N$5),
          unit_details[Leased Date], "&lt;" &amp; $U$2,
          unit_details[Floorplan Name], INDIRECT("C"&amp;ROW()),
          unit_details[Property Name], INDIRECT("B"&amp;ROW()))</f>
        <v>0</v>
      </c>
      <c r="Q104" s="531" t="str" cm="1">
        <f t="array" aca="1" ref="Q10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4" s="552" t="str" cm="1">
        <f t="array" aca="1" ref="R10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4" s="526" cm="1">
        <f t="array" aca="1" ref="S104" ca="1">COUNTIFS(unit_details[Leased Date], "&gt;=" &amp; ($U$2 - Q$5),
          unit_details[Leased Date], "&lt;" &amp; $U$2,
          unit_details[Floorplan Name], INDIRECT("C"&amp;ROW()),
          unit_details[Property Name], INDIRECT("B"&amp;ROW()))</f>
        <v>0</v>
      </c>
      <c r="T104" s="531" t="str" cm="1">
        <f t="array" aca="1" ref="T10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4" s="552" t="str" cm="1">
        <f t="array" aca="1" ref="U10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4" s="526" cm="1">
        <f t="array" aca="1" ref="V104" ca="1">COUNTIFS(unit_details[Leased Date], "&gt;=" &amp; ($U$2 - T$5),
          unit_details[Leased Date], "&lt;" &amp; $U$2,
          unit_details[Floorplan Name], INDIRECT("C"&amp;ROW()),
          unit_details[Property Name], INDIRECT("B"&amp;ROW()))</f>
        <v>0</v>
      </c>
      <c r="W104" s="531" t="str" cm="1">
        <f t="array" aca="1" ref="W10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4" s="552" t="str" cm="1">
        <f t="array" aca="1" ref="X10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4" s="27" t="str">
        <f t="shared" ca="1" si="3"/>
        <v/>
      </c>
      <c r="Z104" s="4" t="str">
        <f>IFERROR($U$2-AVERAGEIFS(unit_details[First Listed],
          unit_details[Active Listing?],TRUE,
          unit_details[Property Name], $B104,
          unit_details[Beds], $D104,
          unit_details[Baths], $E104,
          unit_details[Partial Baths], IF(ISNUMBER($F104),$F104,""),
          unit_details[Floorplan Name],$C104
),"")</f>
        <v/>
      </c>
      <c r="AA104" s="262" cm="1">
        <f t="array" aca="1" ref="AA104" ca="1">COUNTIFS(unit_details[Active Listing?],TRUE,
          unit_details[Floorplan Name], INDIRECT("C"&amp;ROW()),
          unit_details[Property Name], INDIRECT("B"&amp;ROW()))</f>
        <v>0</v>
      </c>
      <c r="AB104" s="553"/>
      <c r="AC104" s="528" cm="1">
        <f t="array" aca="1" ref="AC104" ca="1">IFERROR(AVERAGEIFS(
  unit_details[Sqft],
  unit_details[Property Name], INDIRECT("B"&amp;ROW()),
  unit_details[Floorplan Name], INDIRECT("C"&amp;ROW()),
  unit_details[Beds], INDIRECT("D"&amp;ROW()),
  unit_details[Detected Unit Amenities], "*"&amp;$AD$3&amp;"*",
  unit_details[Leased Date], "&gt;=" &amp; ($U$2 - $AF$3)
),0)</f>
        <v>0</v>
      </c>
      <c r="AD104" s="527" cm="1">
        <f t="array" aca="1" ref="AD1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4" s="526" cm="1">
        <f t="array" aca="1" ref="AE104" ca="1">IFERROR(COUNTIFS(
  unit_details[Property Name], INDIRECT("B"&amp;ROW()),
  unit_details[Floorplan Name], INDIRECT("C"&amp;ROW()),
  unit_details[Beds], INDIRECT("D"&amp;ROW()),
  unit_details[Detected Unit Amenities], "*"&amp;$AD$3&amp;"*",
  unit_details[Leased Date], "&gt;=" &amp; ($U$2 - $AF$3)
),0)</f>
        <v>0</v>
      </c>
      <c r="AF104" s="528" cm="1">
        <f t="array" aca="1" ref="AF104" ca="1">IFERROR(AVERAGEIFS(
  unit_details[Sqft],
  unit_details[Property Name], INDIRECT("B"&amp;ROW()),
  unit_details[Floorplan Name], INDIRECT("C"&amp;ROW()),
  unit_details[Beds], INDIRECT("D"&amp;ROW()),
  unit_details[Detected Unit Amenities], "&lt;&gt;*"&amp;$AD$3&amp;"*",
  unit_details[Leased Date], "&gt;=" &amp; ($U$2 - $AF$3)
),0)</f>
        <v>0</v>
      </c>
      <c r="AG104" s="527" cm="1">
        <f t="array" aca="1" ref="AG1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4" s="526" cm="1">
        <f t="array" aca="1" ref="AH104" ca="1">IFERROR(COUNTIFS(
  unit_details[Property Name], INDIRECT("B"&amp;ROW()),
  unit_details[Floorplan Name], INDIRECT("C"&amp;ROW()),
  unit_details[Beds], INDIRECT("D"&amp;ROW()),
  unit_details[Detected Unit Amenities], "&lt;&gt;*"&amp;$AD$3&amp;"*",
  unit_details[Leased Date], "&gt;=" &amp; ($U$2 - $AF$3)
),0)</f>
        <v>0</v>
      </c>
      <c r="AI104" s="528"/>
      <c r="AJ104" s="531">
        <f t="shared" ca="1" si="4"/>
        <v>0</v>
      </c>
      <c r="AK104" s="532">
        <f t="shared" ca="1" si="5"/>
        <v>0</v>
      </c>
    </row>
    <row r="105" spans="2:37" x14ac:dyDescent="0.2">
      <c r="B105" s="566"/>
      <c r="C105" s="53"/>
      <c r="E105" s="262"/>
      <c r="F105" s="262"/>
      <c r="J105" s="293"/>
      <c r="K105" s="6"/>
      <c r="M105" s="6"/>
      <c r="N105" s="531" t="str" cm="1">
        <f t="array" aca="1" ref="N10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5" s="552" t="str" cm="1">
        <f t="array" aca="1" ref="O10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5" s="526" cm="1">
        <f t="array" aca="1" ref="P105" ca="1">COUNTIFS(unit_details[Leased Date], "&gt;=" &amp; ($U$2 - N$5),
          unit_details[Leased Date], "&lt;" &amp; $U$2,
          unit_details[Floorplan Name], INDIRECT("C"&amp;ROW()),
          unit_details[Property Name], INDIRECT("B"&amp;ROW()))</f>
        <v>0</v>
      </c>
      <c r="Q105" s="531" t="str" cm="1">
        <f t="array" aca="1" ref="Q10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5" s="552" t="str" cm="1">
        <f t="array" aca="1" ref="R10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5" s="526" cm="1">
        <f t="array" aca="1" ref="S105" ca="1">COUNTIFS(unit_details[Leased Date], "&gt;=" &amp; ($U$2 - Q$5),
          unit_details[Leased Date], "&lt;" &amp; $U$2,
          unit_details[Floorplan Name], INDIRECT("C"&amp;ROW()),
          unit_details[Property Name], INDIRECT("B"&amp;ROW()))</f>
        <v>0</v>
      </c>
      <c r="T105" s="531" t="str" cm="1">
        <f t="array" aca="1" ref="T10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5" s="552" t="str" cm="1">
        <f t="array" aca="1" ref="U10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5" s="526" cm="1">
        <f t="array" aca="1" ref="V105" ca="1">COUNTIFS(unit_details[Leased Date], "&gt;=" &amp; ($U$2 - T$5),
          unit_details[Leased Date], "&lt;" &amp; $U$2,
          unit_details[Floorplan Name], INDIRECT("C"&amp;ROW()),
          unit_details[Property Name], INDIRECT("B"&amp;ROW()))</f>
        <v>0</v>
      </c>
      <c r="W105" s="531" t="str" cm="1">
        <f t="array" aca="1" ref="W10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5" s="552" t="str" cm="1">
        <f t="array" aca="1" ref="X10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5" s="27" t="str">
        <f t="shared" ca="1" si="3"/>
        <v/>
      </c>
      <c r="Z105" s="4" t="str">
        <f>IFERROR($U$2-AVERAGEIFS(unit_details[First Listed],
          unit_details[Active Listing?],TRUE,
          unit_details[Property Name], $B105,
          unit_details[Beds], $D105,
          unit_details[Baths], $E105,
          unit_details[Partial Baths], IF(ISNUMBER($F105),$F105,""),
          unit_details[Floorplan Name],$C105
),"")</f>
        <v/>
      </c>
      <c r="AA105" s="262" cm="1">
        <f t="array" aca="1" ref="AA105" ca="1">COUNTIFS(unit_details[Active Listing?],TRUE,
          unit_details[Floorplan Name], INDIRECT("C"&amp;ROW()),
          unit_details[Property Name], INDIRECT("B"&amp;ROW()))</f>
        <v>0</v>
      </c>
      <c r="AB105" s="553"/>
      <c r="AC105" s="528" cm="1">
        <f t="array" aca="1" ref="AC105" ca="1">IFERROR(AVERAGEIFS(
  unit_details[Sqft],
  unit_details[Property Name], INDIRECT("B"&amp;ROW()),
  unit_details[Floorplan Name], INDIRECT("C"&amp;ROW()),
  unit_details[Beds], INDIRECT("D"&amp;ROW()),
  unit_details[Detected Unit Amenities], "*"&amp;$AD$3&amp;"*",
  unit_details[Leased Date], "&gt;=" &amp; ($U$2 - $AF$3)
),0)</f>
        <v>0</v>
      </c>
      <c r="AD105" s="527" cm="1">
        <f t="array" aca="1" ref="AD1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5" s="526" cm="1">
        <f t="array" aca="1" ref="AE105" ca="1">IFERROR(COUNTIFS(
  unit_details[Property Name], INDIRECT("B"&amp;ROW()),
  unit_details[Floorplan Name], INDIRECT("C"&amp;ROW()),
  unit_details[Beds], INDIRECT("D"&amp;ROW()),
  unit_details[Detected Unit Amenities], "*"&amp;$AD$3&amp;"*",
  unit_details[Leased Date], "&gt;=" &amp; ($U$2 - $AF$3)
),0)</f>
        <v>0</v>
      </c>
      <c r="AF105" s="528" cm="1">
        <f t="array" aca="1" ref="AF105" ca="1">IFERROR(AVERAGEIFS(
  unit_details[Sqft],
  unit_details[Property Name], INDIRECT("B"&amp;ROW()),
  unit_details[Floorplan Name], INDIRECT("C"&amp;ROW()),
  unit_details[Beds], INDIRECT("D"&amp;ROW()),
  unit_details[Detected Unit Amenities], "&lt;&gt;*"&amp;$AD$3&amp;"*",
  unit_details[Leased Date], "&gt;=" &amp; ($U$2 - $AF$3)
),0)</f>
        <v>0</v>
      </c>
      <c r="AG105" s="527" cm="1">
        <f t="array" aca="1" ref="AG1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5" s="526" cm="1">
        <f t="array" aca="1" ref="AH105" ca="1">IFERROR(COUNTIFS(
  unit_details[Property Name], INDIRECT("B"&amp;ROW()),
  unit_details[Floorplan Name], INDIRECT("C"&amp;ROW()),
  unit_details[Beds], INDIRECT("D"&amp;ROW()),
  unit_details[Detected Unit Amenities], "&lt;&gt;*"&amp;$AD$3&amp;"*",
  unit_details[Leased Date], "&gt;=" &amp; ($U$2 - $AF$3)
),0)</f>
        <v>0</v>
      </c>
      <c r="AI105" s="528"/>
      <c r="AJ105" s="531">
        <f t="shared" ca="1" si="4"/>
        <v>0</v>
      </c>
      <c r="AK105" s="532">
        <f t="shared" ca="1" si="5"/>
        <v>0</v>
      </c>
    </row>
    <row r="106" spans="2:37" x14ac:dyDescent="0.2">
      <c r="B106" s="566"/>
      <c r="C106" s="53"/>
      <c r="E106" s="262"/>
      <c r="F106" s="262"/>
      <c r="J106" s="293"/>
      <c r="K106" s="6"/>
      <c r="M106" s="6"/>
      <c r="N106" s="531" t="str" cm="1">
        <f t="array" aca="1" ref="N10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6" s="552" t="str" cm="1">
        <f t="array" aca="1" ref="O10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6" s="526" cm="1">
        <f t="array" aca="1" ref="P106" ca="1">COUNTIFS(unit_details[Leased Date], "&gt;=" &amp; ($U$2 - N$5),
          unit_details[Leased Date], "&lt;" &amp; $U$2,
          unit_details[Floorplan Name], INDIRECT("C"&amp;ROW()),
          unit_details[Property Name], INDIRECT("B"&amp;ROW()))</f>
        <v>0</v>
      </c>
      <c r="Q106" s="531" t="str" cm="1">
        <f t="array" aca="1" ref="Q10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6" s="552" t="str" cm="1">
        <f t="array" aca="1" ref="R10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6" s="526" cm="1">
        <f t="array" aca="1" ref="S106" ca="1">COUNTIFS(unit_details[Leased Date], "&gt;=" &amp; ($U$2 - Q$5),
          unit_details[Leased Date], "&lt;" &amp; $U$2,
          unit_details[Floorplan Name], INDIRECT("C"&amp;ROW()),
          unit_details[Property Name], INDIRECT("B"&amp;ROW()))</f>
        <v>0</v>
      </c>
      <c r="T106" s="531" t="str" cm="1">
        <f t="array" aca="1" ref="T10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6" s="552" t="str" cm="1">
        <f t="array" aca="1" ref="U10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6" s="526" cm="1">
        <f t="array" aca="1" ref="V106" ca="1">COUNTIFS(unit_details[Leased Date], "&gt;=" &amp; ($U$2 - T$5),
          unit_details[Leased Date], "&lt;" &amp; $U$2,
          unit_details[Floorplan Name], INDIRECT("C"&amp;ROW()),
          unit_details[Property Name], INDIRECT("B"&amp;ROW()))</f>
        <v>0</v>
      </c>
      <c r="W106" s="531" t="str" cm="1">
        <f t="array" aca="1" ref="W10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6" s="552" t="str" cm="1">
        <f t="array" aca="1" ref="X10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6" s="27" t="str">
        <f t="shared" ca="1" si="3"/>
        <v/>
      </c>
      <c r="Z106" s="4" t="str">
        <f>IFERROR($U$2-AVERAGEIFS(unit_details[First Listed],
          unit_details[Active Listing?],TRUE,
          unit_details[Property Name], $B106,
          unit_details[Beds], $D106,
          unit_details[Baths], $E106,
          unit_details[Partial Baths], IF(ISNUMBER($F106),$F106,""),
          unit_details[Floorplan Name],$C106
),"")</f>
        <v/>
      </c>
      <c r="AA106" s="262" cm="1">
        <f t="array" aca="1" ref="AA106" ca="1">COUNTIFS(unit_details[Active Listing?],TRUE,
          unit_details[Floorplan Name], INDIRECT("C"&amp;ROW()),
          unit_details[Property Name], INDIRECT("B"&amp;ROW()))</f>
        <v>0</v>
      </c>
      <c r="AB106" s="553"/>
      <c r="AC106" s="528" cm="1">
        <f t="array" aca="1" ref="AC106" ca="1">IFERROR(AVERAGEIFS(
  unit_details[Sqft],
  unit_details[Property Name], INDIRECT("B"&amp;ROW()),
  unit_details[Floorplan Name], INDIRECT("C"&amp;ROW()),
  unit_details[Beds], INDIRECT("D"&amp;ROW()),
  unit_details[Detected Unit Amenities], "*"&amp;$AD$3&amp;"*",
  unit_details[Leased Date], "&gt;=" &amp; ($U$2 - $AF$3)
),0)</f>
        <v>0</v>
      </c>
      <c r="AD106" s="527" cm="1">
        <f t="array" aca="1" ref="AD1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6" s="526" cm="1">
        <f t="array" aca="1" ref="AE106" ca="1">IFERROR(COUNTIFS(
  unit_details[Property Name], INDIRECT("B"&amp;ROW()),
  unit_details[Floorplan Name], INDIRECT("C"&amp;ROW()),
  unit_details[Beds], INDIRECT("D"&amp;ROW()),
  unit_details[Detected Unit Amenities], "*"&amp;$AD$3&amp;"*",
  unit_details[Leased Date], "&gt;=" &amp; ($U$2 - $AF$3)
),0)</f>
        <v>0</v>
      </c>
      <c r="AF106" s="528" cm="1">
        <f t="array" aca="1" ref="AF106" ca="1">IFERROR(AVERAGEIFS(
  unit_details[Sqft],
  unit_details[Property Name], INDIRECT("B"&amp;ROW()),
  unit_details[Floorplan Name], INDIRECT("C"&amp;ROW()),
  unit_details[Beds], INDIRECT("D"&amp;ROW()),
  unit_details[Detected Unit Amenities], "&lt;&gt;*"&amp;$AD$3&amp;"*",
  unit_details[Leased Date], "&gt;=" &amp; ($U$2 - $AF$3)
),0)</f>
        <v>0</v>
      </c>
      <c r="AG106" s="527" cm="1">
        <f t="array" aca="1" ref="AG1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6" s="526" cm="1">
        <f t="array" aca="1" ref="AH106" ca="1">IFERROR(COUNTIFS(
  unit_details[Property Name], INDIRECT("B"&amp;ROW()),
  unit_details[Floorplan Name], INDIRECT("C"&amp;ROW()),
  unit_details[Beds], INDIRECT("D"&amp;ROW()),
  unit_details[Detected Unit Amenities], "&lt;&gt;*"&amp;$AD$3&amp;"*",
  unit_details[Leased Date], "&gt;=" &amp; ($U$2 - $AF$3)
),0)</f>
        <v>0</v>
      </c>
      <c r="AI106" s="528"/>
      <c r="AJ106" s="531">
        <f t="shared" ca="1" si="4"/>
        <v>0</v>
      </c>
      <c r="AK106" s="532">
        <f t="shared" ca="1" si="5"/>
        <v>0</v>
      </c>
    </row>
    <row r="107" spans="2:37" x14ac:dyDescent="0.2">
      <c r="B107" s="566"/>
      <c r="C107" s="53"/>
      <c r="E107" s="262"/>
      <c r="F107" s="262"/>
      <c r="J107" s="293"/>
      <c r="K107" s="6"/>
      <c r="M107" s="6"/>
      <c r="N107" s="531" t="str" cm="1">
        <f t="array" aca="1" ref="N10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7" s="552" t="str" cm="1">
        <f t="array" aca="1" ref="O10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7" s="526" cm="1">
        <f t="array" aca="1" ref="P107" ca="1">COUNTIFS(unit_details[Leased Date], "&gt;=" &amp; ($U$2 - N$5),
          unit_details[Leased Date], "&lt;" &amp; $U$2,
          unit_details[Floorplan Name], INDIRECT("C"&amp;ROW()),
          unit_details[Property Name], INDIRECT("B"&amp;ROW()))</f>
        <v>0</v>
      </c>
      <c r="Q107" s="531" t="str" cm="1">
        <f t="array" aca="1" ref="Q10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7" s="552" t="str" cm="1">
        <f t="array" aca="1" ref="R10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7" s="526" cm="1">
        <f t="array" aca="1" ref="S107" ca="1">COUNTIFS(unit_details[Leased Date], "&gt;=" &amp; ($U$2 - Q$5),
          unit_details[Leased Date], "&lt;" &amp; $U$2,
          unit_details[Floorplan Name], INDIRECT("C"&amp;ROW()),
          unit_details[Property Name], INDIRECT("B"&amp;ROW()))</f>
        <v>0</v>
      </c>
      <c r="T107" s="531" t="str" cm="1">
        <f t="array" aca="1" ref="T10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7" s="552" t="str" cm="1">
        <f t="array" aca="1" ref="U10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7" s="526" cm="1">
        <f t="array" aca="1" ref="V107" ca="1">COUNTIFS(unit_details[Leased Date], "&gt;=" &amp; ($U$2 - T$5),
          unit_details[Leased Date], "&lt;" &amp; $U$2,
          unit_details[Floorplan Name], INDIRECT("C"&amp;ROW()),
          unit_details[Property Name], INDIRECT("B"&amp;ROW()))</f>
        <v>0</v>
      </c>
      <c r="W107" s="531" t="str" cm="1">
        <f t="array" aca="1" ref="W10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7" s="552" t="str" cm="1">
        <f t="array" aca="1" ref="X10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7" s="27" t="str">
        <f t="shared" ca="1" si="3"/>
        <v/>
      </c>
      <c r="Z107" s="4" t="str">
        <f>IFERROR($U$2-AVERAGEIFS(unit_details[First Listed],
          unit_details[Active Listing?],TRUE,
          unit_details[Property Name], $B107,
          unit_details[Beds], $D107,
          unit_details[Baths], $E107,
          unit_details[Partial Baths], IF(ISNUMBER($F107),$F107,""),
          unit_details[Floorplan Name],$C107
),"")</f>
        <v/>
      </c>
      <c r="AA107" s="262" cm="1">
        <f t="array" aca="1" ref="AA107" ca="1">COUNTIFS(unit_details[Active Listing?],TRUE,
          unit_details[Floorplan Name], INDIRECT("C"&amp;ROW()),
          unit_details[Property Name], INDIRECT("B"&amp;ROW()))</f>
        <v>0</v>
      </c>
      <c r="AB107" s="553"/>
      <c r="AC107" s="528" cm="1">
        <f t="array" aca="1" ref="AC107" ca="1">IFERROR(AVERAGEIFS(
  unit_details[Sqft],
  unit_details[Property Name], INDIRECT("B"&amp;ROW()),
  unit_details[Floorplan Name], INDIRECT("C"&amp;ROW()),
  unit_details[Beds], INDIRECT("D"&amp;ROW()),
  unit_details[Detected Unit Amenities], "*"&amp;$AD$3&amp;"*",
  unit_details[Leased Date], "&gt;=" &amp; ($U$2 - $AF$3)
),0)</f>
        <v>0</v>
      </c>
      <c r="AD107" s="527" cm="1">
        <f t="array" aca="1" ref="AD1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7" s="526" cm="1">
        <f t="array" aca="1" ref="AE107" ca="1">IFERROR(COUNTIFS(
  unit_details[Property Name], INDIRECT("B"&amp;ROW()),
  unit_details[Floorplan Name], INDIRECT("C"&amp;ROW()),
  unit_details[Beds], INDIRECT("D"&amp;ROW()),
  unit_details[Detected Unit Amenities], "*"&amp;$AD$3&amp;"*",
  unit_details[Leased Date], "&gt;=" &amp; ($U$2 - $AF$3)
),0)</f>
        <v>0</v>
      </c>
      <c r="AF107" s="528" cm="1">
        <f t="array" aca="1" ref="AF107" ca="1">IFERROR(AVERAGEIFS(
  unit_details[Sqft],
  unit_details[Property Name], INDIRECT("B"&amp;ROW()),
  unit_details[Floorplan Name], INDIRECT("C"&amp;ROW()),
  unit_details[Beds], INDIRECT("D"&amp;ROW()),
  unit_details[Detected Unit Amenities], "&lt;&gt;*"&amp;$AD$3&amp;"*",
  unit_details[Leased Date], "&gt;=" &amp; ($U$2 - $AF$3)
),0)</f>
        <v>0</v>
      </c>
      <c r="AG107" s="527" cm="1">
        <f t="array" aca="1" ref="AG1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7" s="526" cm="1">
        <f t="array" aca="1" ref="AH107" ca="1">IFERROR(COUNTIFS(
  unit_details[Property Name], INDIRECT("B"&amp;ROW()),
  unit_details[Floorplan Name], INDIRECT("C"&amp;ROW()),
  unit_details[Beds], INDIRECT("D"&amp;ROW()),
  unit_details[Detected Unit Amenities], "&lt;&gt;*"&amp;$AD$3&amp;"*",
  unit_details[Leased Date], "&gt;=" &amp; ($U$2 - $AF$3)
),0)</f>
        <v>0</v>
      </c>
      <c r="AI107" s="528"/>
      <c r="AJ107" s="531">
        <f t="shared" ca="1" si="4"/>
        <v>0</v>
      </c>
      <c r="AK107" s="532">
        <f t="shared" ca="1" si="5"/>
        <v>0</v>
      </c>
    </row>
    <row r="108" spans="2:37" x14ac:dyDescent="0.2">
      <c r="B108" s="566"/>
      <c r="C108" s="53"/>
      <c r="E108" s="262"/>
      <c r="F108" s="262"/>
      <c r="J108" s="293"/>
      <c r="K108" s="6"/>
      <c r="M108" s="6"/>
      <c r="N108" s="531" t="str" cm="1">
        <f t="array" aca="1" ref="N10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8" s="552" t="str" cm="1">
        <f t="array" aca="1" ref="O10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8" s="526" cm="1">
        <f t="array" aca="1" ref="P108" ca="1">COUNTIFS(unit_details[Leased Date], "&gt;=" &amp; ($U$2 - N$5),
          unit_details[Leased Date], "&lt;" &amp; $U$2,
          unit_details[Floorplan Name], INDIRECT("C"&amp;ROW()),
          unit_details[Property Name], INDIRECT("B"&amp;ROW()))</f>
        <v>0</v>
      </c>
      <c r="Q108" s="531" t="str" cm="1">
        <f t="array" aca="1" ref="Q10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8" s="552" t="str" cm="1">
        <f t="array" aca="1" ref="R10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8" s="526" cm="1">
        <f t="array" aca="1" ref="S108" ca="1">COUNTIFS(unit_details[Leased Date], "&gt;=" &amp; ($U$2 - Q$5),
          unit_details[Leased Date], "&lt;" &amp; $U$2,
          unit_details[Floorplan Name], INDIRECT("C"&amp;ROW()),
          unit_details[Property Name], INDIRECT("B"&amp;ROW()))</f>
        <v>0</v>
      </c>
      <c r="T108" s="531" t="str" cm="1">
        <f t="array" aca="1" ref="T10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8" s="552" t="str" cm="1">
        <f t="array" aca="1" ref="U10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8" s="526" cm="1">
        <f t="array" aca="1" ref="V108" ca="1">COUNTIFS(unit_details[Leased Date], "&gt;=" &amp; ($U$2 - T$5),
          unit_details[Leased Date], "&lt;" &amp; $U$2,
          unit_details[Floorplan Name], INDIRECT("C"&amp;ROW()),
          unit_details[Property Name], INDIRECT("B"&amp;ROW()))</f>
        <v>0</v>
      </c>
      <c r="W108" s="531" t="str" cm="1">
        <f t="array" aca="1" ref="W10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8" s="552" t="str" cm="1">
        <f t="array" aca="1" ref="X10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8" s="27" t="str">
        <f t="shared" ca="1" si="3"/>
        <v/>
      </c>
      <c r="Z108" s="4" t="str">
        <f>IFERROR($U$2-AVERAGEIFS(unit_details[First Listed],
          unit_details[Active Listing?],TRUE,
          unit_details[Property Name], $B108,
          unit_details[Beds], $D108,
          unit_details[Baths], $E108,
          unit_details[Partial Baths], IF(ISNUMBER($F108),$F108,""),
          unit_details[Floorplan Name],$C108
),"")</f>
        <v/>
      </c>
      <c r="AA108" s="262" cm="1">
        <f t="array" aca="1" ref="AA108" ca="1">COUNTIFS(unit_details[Active Listing?],TRUE,
          unit_details[Floorplan Name], INDIRECT("C"&amp;ROW()),
          unit_details[Property Name], INDIRECT("B"&amp;ROW()))</f>
        <v>0</v>
      </c>
      <c r="AB108" s="553"/>
      <c r="AC108" s="528" cm="1">
        <f t="array" aca="1" ref="AC108" ca="1">IFERROR(AVERAGEIFS(
  unit_details[Sqft],
  unit_details[Property Name], INDIRECT("B"&amp;ROW()),
  unit_details[Floorplan Name], INDIRECT("C"&amp;ROW()),
  unit_details[Beds], INDIRECT("D"&amp;ROW()),
  unit_details[Detected Unit Amenities], "*"&amp;$AD$3&amp;"*",
  unit_details[Leased Date], "&gt;=" &amp; ($U$2 - $AF$3)
),0)</f>
        <v>0</v>
      </c>
      <c r="AD108" s="527" cm="1">
        <f t="array" aca="1" ref="AD1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8" s="526" cm="1">
        <f t="array" aca="1" ref="AE108" ca="1">IFERROR(COUNTIFS(
  unit_details[Property Name], INDIRECT("B"&amp;ROW()),
  unit_details[Floorplan Name], INDIRECT("C"&amp;ROW()),
  unit_details[Beds], INDIRECT("D"&amp;ROW()),
  unit_details[Detected Unit Amenities], "*"&amp;$AD$3&amp;"*",
  unit_details[Leased Date], "&gt;=" &amp; ($U$2 - $AF$3)
),0)</f>
        <v>0</v>
      </c>
      <c r="AF108" s="528" cm="1">
        <f t="array" aca="1" ref="AF108" ca="1">IFERROR(AVERAGEIFS(
  unit_details[Sqft],
  unit_details[Property Name], INDIRECT("B"&amp;ROW()),
  unit_details[Floorplan Name], INDIRECT("C"&amp;ROW()),
  unit_details[Beds], INDIRECT("D"&amp;ROW()),
  unit_details[Detected Unit Amenities], "&lt;&gt;*"&amp;$AD$3&amp;"*",
  unit_details[Leased Date], "&gt;=" &amp; ($U$2 - $AF$3)
),0)</f>
        <v>0</v>
      </c>
      <c r="AG108" s="527" cm="1">
        <f t="array" aca="1" ref="AG1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8" s="526" cm="1">
        <f t="array" aca="1" ref="AH108" ca="1">IFERROR(COUNTIFS(
  unit_details[Property Name], INDIRECT("B"&amp;ROW()),
  unit_details[Floorplan Name], INDIRECT("C"&amp;ROW()),
  unit_details[Beds], INDIRECT("D"&amp;ROW()),
  unit_details[Detected Unit Amenities], "&lt;&gt;*"&amp;$AD$3&amp;"*",
  unit_details[Leased Date], "&gt;=" &amp; ($U$2 - $AF$3)
),0)</f>
        <v>0</v>
      </c>
      <c r="AI108" s="528"/>
      <c r="AJ108" s="531">
        <f t="shared" ca="1" si="4"/>
        <v>0</v>
      </c>
      <c r="AK108" s="532">
        <f t="shared" ca="1" si="5"/>
        <v>0</v>
      </c>
    </row>
    <row r="109" spans="2:37" x14ac:dyDescent="0.2">
      <c r="B109" s="566"/>
      <c r="C109" s="53"/>
      <c r="E109" s="262"/>
      <c r="F109" s="262"/>
      <c r="J109" s="293"/>
      <c r="K109" s="6"/>
      <c r="M109" s="6"/>
      <c r="N109" s="531" t="str" cm="1">
        <f t="array" aca="1" ref="N10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09" s="552" t="str" cm="1">
        <f t="array" aca="1" ref="O10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09" s="526" cm="1">
        <f t="array" aca="1" ref="P109" ca="1">COUNTIFS(unit_details[Leased Date], "&gt;=" &amp; ($U$2 - N$5),
          unit_details[Leased Date], "&lt;" &amp; $U$2,
          unit_details[Floorplan Name], INDIRECT("C"&amp;ROW()),
          unit_details[Property Name], INDIRECT("B"&amp;ROW()))</f>
        <v>0</v>
      </c>
      <c r="Q109" s="531" t="str" cm="1">
        <f t="array" aca="1" ref="Q10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09" s="552" t="str" cm="1">
        <f t="array" aca="1" ref="R10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09" s="526" cm="1">
        <f t="array" aca="1" ref="S109" ca="1">COUNTIFS(unit_details[Leased Date], "&gt;=" &amp; ($U$2 - Q$5),
          unit_details[Leased Date], "&lt;" &amp; $U$2,
          unit_details[Floorplan Name], INDIRECT("C"&amp;ROW()),
          unit_details[Property Name], INDIRECT("B"&amp;ROW()))</f>
        <v>0</v>
      </c>
      <c r="T109" s="531" t="str" cm="1">
        <f t="array" aca="1" ref="T10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09" s="552" t="str" cm="1">
        <f t="array" aca="1" ref="U10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09" s="526" cm="1">
        <f t="array" aca="1" ref="V109" ca="1">COUNTIFS(unit_details[Leased Date], "&gt;=" &amp; ($U$2 - T$5),
          unit_details[Leased Date], "&lt;" &amp; $U$2,
          unit_details[Floorplan Name], INDIRECT("C"&amp;ROW()),
          unit_details[Property Name], INDIRECT("B"&amp;ROW()))</f>
        <v>0</v>
      </c>
      <c r="W109" s="531" t="str" cm="1">
        <f t="array" aca="1" ref="W10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09" s="552" t="str" cm="1">
        <f t="array" aca="1" ref="X10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09" s="27" t="str">
        <f t="shared" ca="1" si="3"/>
        <v/>
      </c>
      <c r="Z109" s="4" t="str">
        <f>IFERROR($U$2-AVERAGEIFS(unit_details[First Listed],
          unit_details[Active Listing?],TRUE,
          unit_details[Property Name], $B109,
          unit_details[Beds], $D109,
          unit_details[Baths], $E109,
          unit_details[Partial Baths], IF(ISNUMBER($F109),$F109,""),
          unit_details[Floorplan Name],$C109
),"")</f>
        <v/>
      </c>
      <c r="AA109" s="262" cm="1">
        <f t="array" aca="1" ref="AA109" ca="1">COUNTIFS(unit_details[Active Listing?],TRUE,
          unit_details[Floorplan Name], INDIRECT("C"&amp;ROW()),
          unit_details[Property Name], INDIRECT("B"&amp;ROW()))</f>
        <v>0</v>
      </c>
      <c r="AB109" s="553"/>
      <c r="AC109" s="528" cm="1">
        <f t="array" aca="1" ref="AC109" ca="1">IFERROR(AVERAGEIFS(
  unit_details[Sqft],
  unit_details[Property Name], INDIRECT("B"&amp;ROW()),
  unit_details[Floorplan Name], INDIRECT("C"&amp;ROW()),
  unit_details[Beds], INDIRECT("D"&amp;ROW()),
  unit_details[Detected Unit Amenities], "*"&amp;$AD$3&amp;"*",
  unit_details[Leased Date], "&gt;=" &amp; ($U$2 - $AF$3)
),0)</f>
        <v>0</v>
      </c>
      <c r="AD109" s="527" cm="1">
        <f t="array" aca="1" ref="AD1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09" s="526" cm="1">
        <f t="array" aca="1" ref="AE109" ca="1">IFERROR(COUNTIFS(
  unit_details[Property Name], INDIRECT("B"&amp;ROW()),
  unit_details[Floorplan Name], INDIRECT("C"&amp;ROW()),
  unit_details[Beds], INDIRECT("D"&amp;ROW()),
  unit_details[Detected Unit Amenities], "*"&amp;$AD$3&amp;"*",
  unit_details[Leased Date], "&gt;=" &amp; ($U$2 - $AF$3)
),0)</f>
        <v>0</v>
      </c>
      <c r="AF109" s="528" cm="1">
        <f t="array" aca="1" ref="AF109" ca="1">IFERROR(AVERAGEIFS(
  unit_details[Sqft],
  unit_details[Property Name], INDIRECT("B"&amp;ROW()),
  unit_details[Floorplan Name], INDIRECT("C"&amp;ROW()),
  unit_details[Beds], INDIRECT("D"&amp;ROW()),
  unit_details[Detected Unit Amenities], "&lt;&gt;*"&amp;$AD$3&amp;"*",
  unit_details[Leased Date], "&gt;=" &amp; ($U$2 - $AF$3)
),0)</f>
        <v>0</v>
      </c>
      <c r="AG109" s="527" cm="1">
        <f t="array" aca="1" ref="AG1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09" s="526" cm="1">
        <f t="array" aca="1" ref="AH109" ca="1">IFERROR(COUNTIFS(
  unit_details[Property Name], INDIRECT("B"&amp;ROW()),
  unit_details[Floorplan Name], INDIRECT("C"&amp;ROW()),
  unit_details[Beds], INDIRECT("D"&amp;ROW()),
  unit_details[Detected Unit Amenities], "&lt;&gt;*"&amp;$AD$3&amp;"*",
  unit_details[Leased Date], "&gt;=" &amp; ($U$2 - $AF$3)
),0)</f>
        <v>0</v>
      </c>
      <c r="AI109" s="528"/>
      <c r="AJ109" s="531">
        <f t="shared" ca="1" si="4"/>
        <v>0</v>
      </c>
      <c r="AK109" s="532">
        <f t="shared" ca="1" si="5"/>
        <v>0</v>
      </c>
    </row>
    <row r="110" spans="2:37" x14ac:dyDescent="0.2">
      <c r="B110" s="566"/>
      <c r="C110" s="53"/>
      <c r="E110" s="262"/>
      <c r="F110" s="262"/>
      <c r="J110" s="293"/>
      <c r="K110" s="6"/>
      <c r="M110" s="6"/>
      <c r="N110" s="531" t="str" cm="1">
        <f t="array" aca="1" ref="N11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0" s="552" t="str" cm="1">
        <f t="array" aca="1" ref="O11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0" s="526" cm="1">
        <f t="array" aca="1" ref="P110" ca="1">COUNTIFS(unit_details[Leased Date], "&gt;=" &amp; ($U$2 - N$5),
          unit_details[Leased Date], "&lt;" &amp; $U$2,
          unit_details[Floorplan Name], INDIRECT("C"&amp;ROW()),
          unit_details[Property Name], INDIRECT("B"&amp;ROW()))</f>
        <v>0</v>
      </c>
      <c r="Q110" s="531" t="str" cm="1">
        <f t="array" aca="1" ref="Q11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0" s="552" t="str" cm="1">
        <f t="array" aca="1" ref="R11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0" s="526" cm="1">
        <f t="array" aca="1" ref="S110" ca="1">COUNTIFS(unit_details[Leased Date], "&gt;=" &amp; ($U$2 - Q$5),
          unit_details[Leased Date], "&lt;" &amp; $U$2,
          unit_details[Floorplan Name], INDIRECT("C"&amp;ROW()),
          unit_details[Property Name], INDIRECT("B"&amp;ROW()))</f>
        <v>0</v>
      </c>
      <c r="T110" s="531" t="str" cm="1">
        <f t="array" aca="1" ref="T11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0" s="552" t="str" cm="1">
        <f t="array" aca="1" ref="U11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0" s="526" cm="1">
        <f t="array" aca="1" ref="V110" ca="1">COUNTIFS(unit_details[Leased Date], "&gt;=" &amp; ($U$2 - T$5),
          unit_details[Leased Date], "&lt;" &amp; $U$2,
          unit_details[Floorplan Name], INDIRECT("C"&amp;ROW()),
          unit_details[Property Name], INDIRECT("B"&amp;ROW()))</f>
        <v>0</v>
      </c>
      <c r="W110" s="531" t="str" cm="1">
        <f t="array" aca="1" ref="W11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0" s="552" t="str" cm="1">
        <f t="array" aca="1" ref="X11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0" s="27" t="str">
        <f t="shared" ca="1" si="3"/>
        <v/>
      </c>
      <c r="Z110" s="4" t="str">
        <f>IFERROR($U$2-AVERAGEIFS(unit_details[First Listed],
          unit_details[Active Listing?],TRUE,
          unit_details[Property Name], $B110,
          unit_details[Beds], $D110,
          unit_details[Baths], $E110,
          unit_details[Partial Baths], IF(ISNUMBER($F110),$F110,""),
          unit_details[Floorplan Name],$C110
),"")</f>
        <v/>
      </c>
      <c r="AA110" s="262" cm="1">
        <f t="array" aca="1" ref="AA110" ca="1">COUNTIFS(unit_details[Active Listing?],TRUE,
          unit_details[Floorplan Name], INDIRECT("C"&amp;ROW()),
          unit_details[Property Name], INDIRECT("B"&amp;ROW()))</f>
        <v>0</v>
      </c>
      <c r="AB110" s="553"/>
      <c r="AC110" s="528" cm="1">
        <f t="array" aca="1" ref="AC110" ca="1">IFERROR(AVERAGEIFS(
  unit_details[Sqft],
  unit_details[Property Name], INDIRECT("B"&amp;ROW()),
  unit_details[Floorplan Name], INDIRECT("C"&amp;ROW()),
  unit_details[Beds], INDIRECT("D"&amp;ROW()),
  unit_details[Detected Unit Amenities], "*"&amp;$AD$3&amp;"*",
  unit_details[Leased Date], "&gt;=" &amp; ($U$2 - $AF$3)
),0)</f>
        <v>0</v>
      </c>
      <c r="AD110" s="527" cm="1">
        <f t="array" aca="1" ref="AD1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0" s="526" cm="1">
        <f t="array" aca="1" ref="AE110" ca="1">IFERROR(COUNTIFS(
  unit_details[Property Name], INDIRECT("B"&amp;ROW()),
  unit_details[Floorplan Name], INDIRECT("C"&amp;ROW()),
  unit_details[Beds], INDIRECT("D"&amp;ROW()),
  unit_details[Detected Unit Amenities], "*"&amp;$AD$3&amp;"*",
  unit_details[Leased Date], "&gt;=" &amp; ($U$2 - $AF$3)
),0)</f>
        <v>0</v>
      </c>
      <c r="AF110" s="528" cm="1">
        <f t="array" aca="1" ref="AF110" ca="1">IFERROR(AVERAGEIFS(
  unit_details[Sqft],
  unit_details[Property Name], INDIRECT("B"&amp;ROW()),
  unit_details[Floorplan Name], INDIRECT("C"&amp;ROW()),
  unit_details[Beds], INDIRECT("D"&amp;ROW()),
  unit_details[Detected Unit Amenities], "&lt;&gt;*"&amp;$AD$3&amp;"*",
  unit_details[Leased Date], "&gt;=" &amp; ($U$2 - $AF$3)
),0)</f>
        <v>0</v>
      </c>
      <c r="AG110" s="527" cm="1">
        <f t="array" aca="1" ref="AG1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0" s="526" cm="1">
        <f t="array" aca="1" ref="AH110" ca="1">IFERROR(COUNTIFS(
  unit_details[Property Name], INDIRECT("B"&amp;ROW()),
  unit_details[Floorplan Name], INDIRECT("C"&amp;ROW()),
  unit_details[Beds], INDIRECT("D"&amp;ROW()),
  unit_details[Detected Unit Amenities], "&lt;&gt;*"&amp;$AD$3&amp;"*",
  unit_details[Leased Date], "&gt;=" &amp; ($U$2 - $AF$3)
),0)</f>
        <v>0</v>
      </c>
      <c r="AI110" s="528"/>
      <c r="AJ110" s="531">
        <f t="shared" ca="1" si="4"/>
        <v>0</v>
      </c>
      <c r="AK110" s="532">
        <f t="shared" ca="1" si="5"/>
        <v>0</v>
      </c>
    </row>
    <row r="111" spans="2:37" x14ac:dyDescent="0.2">
      <c r="B111" s="566"/>
      <c r="C111" s="53"/>
      <c r="E111" s="262"/>
      <c r="F111" s="262"/>
      <c r="J111" s="293"/>
      <c r="K111" s="6"/>
      <c r="M111" s="6"/>
      <c r="N111" s="531" t="str" cm="1">
        <f t="array" aca="1" ref="N11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1" s="552" t="str" cm="1">
        <f t="array" aca="1" ref="O11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1" s="526" cm="1">
        <f t="array" aca="1" ref="P111" ca="1">COUNTIFS(unit_details[Leased Date], "&gt;=" &amp; ($U$2 - N$5),
          unit_details[Leased Date], "&lt;" &amp; $U$2,
          unit_details[Floorplan Name], INDIRECT("C"&amp;ROW()),
          unit_details[Property Name], INDIRECT("B"&amp;ROW()))</f>
        <v>0</v>
      </c>
      <c r="Q111" s="531" t="str" cm="1">
        <f t="array" aca="1" ref="Q11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1" s="552" t="str" cm="1">
        <f t="array" aca="1" ref="R11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1" s="526" cm="1">
        <f t="array" aca="1" ref="S111" ca="1">COUNTIFS(unit_details[Leased Date], "&gt;=" &amp; ($U$2 - Q$5),
          unit_details[Leased Date], "&lt;" &amp; $U$2,
          unit_details[Floorplan Name], INDIRECT("C"&amp;ROW()),
          unit_details[Property Name], INDIRECT("B"&amp;ROW()))</f>
        <v>0</v>
      </c>
      <c r="T111" s="531" t="str" cm="1">
        <f t="array" aca="1" ref="T11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1" s="552" t="str" cm="1">
        <f t="array" aca="1" ref="U11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1" s="526" cm="1">
        <f t="array" aca="1" ref="V111" ca="1">COUNTIFS(unit_details[Leased Date], "&gt;=" &amp; ($U$2 - T$5),
          unit_details[Leased Date], "&lt;" &amp; $U$2,
          unit_details[Floorplan Name], INDIRECT("C"&amp;ROW()),
          unit_details[Property Name], INDIRECT("B"&amp;ROW()))</f>
        <v>0</v>
      </c>
      <c r="W111" s="531" t="str" cm="1">
        <f t="array" aca="1" ref="W11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1" s="552" t="str" cm="1">
        <f t="array" aca="1" ref="X11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1" s="27" t="str">
        <f t="shared" ca="1" si="3"/>
        <v/>
      </c>
      <c r="Z111" s="4" t="str">
        <f>IFERROR($U$2-AVERAGEIFS(unit_details[First Listed],
          unit_details[Active Listing?],TRUE,
          unit_details[Property Name], $B111,
          unit_details[Beds], $D111,
          unit_details[Baths], $E111,
          unit_details[Partial Baths], IF(ISNUMBER($F111),$F111,""),
          unit_details[Floorplan Name],$C111
),"")</f>
        <v/>
      </c>
      <c r="AA111" s="262" cm="1">
        <f t="array" aca="1" ref="AA111" ca="1">COUNTIFS(unit_details[Active Listing?],TRUE,
          unit_details[Floorplan Name], INDIRECT("C"&amp;ROW()),
          unit_details[Property Name], INDIRECT("B"&amp;ROW()))</f>
        <v>0</v>
      </c>
      <c r="AB111" s="553"/>
      <c r="AC111" s="528" cm="1">
        <f t="array" aca="1" ref="AC111" ca="1">IFERROR(AVERAGEIFS(
  unit_details[Sqft],
  unit_details[Property Name], INDIRECT("B"&amp;ROW()),
  unit_details[Floorplan Name], INDIRECT("C"&amp;ROW()),
  unit_details[Beds], INDIRECT("D"&amp;ROW()),
  unit_details[Detected Unit Amenities], "*"&amp;$AD$3&amp;"*",
  unit_details[Leased Date], "&gt;=" &amp; ($U$2 - $AF$3)
),0)</f>
        <v>0</v>
      </c>
      <c r="AD111" s="527" cm="1">
        <f t="array" aca="1" ref="AD1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1" s="526" cm="1">
        <f t="array" aca="1" ref="AE111" ca="1">IFERROR(COUNTIFS(
  unit_details[Property Name], INDIRECT("B"&amp;ROW()),
  unit_details[Floorplan Name], INDIRECT("C"&amp;ROW()),
  unit_details[Beds], INDIRECT("D"&amp;ROW()),
  unit_details[Detected Unit Amenities], "*"&amp;$AD$3&amp;"*",
  unit_details[Leased Date], "&gt;=" &amp; ($U$2 - $AF$3)
),0)</f>
        <v>0</v>
      </c>
      <c r="AF111" s="528" cm="1">
        <f t="array" aca="1" ref="AF111" ca="1">IFERROR(AVERAGEIFS(
  unit_details[Sqft],
  unit_details[Property Name], INDIRECT("B"&amp;ROW()),
  unit_details[Floorplan Name], INDIRECT("C"&amp;ROW()),
  unit_details[Beds], INDIRECT("D"&amp;ROW()),
  unit_details[Detected Unit Amenities], "&lt;&gt;*"&amp;$AD$3&amp;"*",
  unit_details[Leased Date], "&gt;=" &amp; ($U$2 - $AF$3)
),0)</f>
        <v>0</v>
      </c>
      <c r="AG111" s="527" cm="1">
        <f t="array" aca="1" ref="AG1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1" s="526" cm="1">
        <f t="array" aca="1" ref="AH111" ca="1">IFERROR(COUNTIFS(
  unit_details[Property Name], INDIRECT("B"&amp;ROW()),
  unit_details[Floorplan Name], INDIRECT("C"&amp;ROW()),
  unit_details[Beds], INDIRECT("D"&amp;ROW()),
  unit_details[Detected Unit Amenities], "&lt;&gt;*"&amp;$AD$3&amp;"*",
  unit_details[Leased Date], "&gt;=" &amp; ($U$2 - $AF$3)
),0)</f>
        <v>0</v>
      </c>
      <c r="AI111" s="528"/>
      <c r="AJ111" s="531">
        <f t="shared" ca="1" si="4"/>
        <v>0</v>
      </c>
      <c r="AK111" s="532">
        <f t="shared" ca="1" si="5"/>
        <v>0</v>
      </c>
    </row>
    <row r="112" spans="2:37" x14ac:dyDescent="0.2">
      <c r="B112" s="566"/>
      <c r="C112" s="53"/>
      <c r="E112" s="262"/>
      <c r="F112" s="262"/>
      <c r="J112" s="293"/>
      <c r="K112" s="6"/>
      <c r="M112" s="6"/>
      <c r="N112" s="531" t="str" cm="1">
        <f t="array" aca="1" ref="N11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2" s="552" t="str" cm="1">
        <f t="array" aca="1" ref="O11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2" s="526" cm="1">
        <f t="array" aca="1" ref="P112" ca="1">COUNTIFS(unit_details[Leased Date], "&gt;=" &amp; ($U$2 - N$5),
          unit_details[Leased Date], "&lt;" &amp; $U$2,
          unit_details[Floorplan Name], INDIRECT("C"&amp;ROW()),
          unit_details[Property Name], INDIRECT("B"&amp;ROW()))</f>
        <v>0</v>
      </c>
      <c r="Q112" s="531" t="str" cm="1">
        <f t="array" aca="1" ref="Q11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2" s="552" t="str" cm="1">
        <f t="array" aca="1" ref="R11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2" s="526" cm="1">
        <f t="array" aca="1" ref="S112" ca="1">COUNTIFS(unit_details[Leased Date], "&gt;=" &amp; ($U$2 - Q$5),
          unit_details[Leased Date], "&lt;" &amp; $U$2,
          unit_details[Floorplan Name], INDIRECT("C"&amp;ROW()),
          unit_details[Property Name], INDIRECT("B"&amp;ROW()))</f>
        <v>0</v>
      </c>
      <c r="T112" s="531" t="str" cm="1">
        <f t="array" aca="1" ref="T11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2" s="552" t="str" cm="1">
        <f t="array" aca="1" ref="U11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2" s="526" cm="1">
        <f t="array" aca="1" ref="V112" ca="1">COUNTIFS(unit_details[Leased Date], "&gt;=" &amp; ($U$2 - T$5),
          unit_details[Leased Date], "&lt;" &amp; $U$2,
          unit_details[Floorplan Name], INDIRECT("C"&amp;ROW()),
          unit_details[Property Name], INDIRECT("B"&amp;ROW()))</f>
        <v>0</v>
      </c>
      <c r="W112" s="531" t="str" cm="1">
        <f t="array" aca="1" ref="W11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2" s="552" t="str" cm="1">
        <f t="array" aca="1" ref="X11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2" s="27" t="str">
        <f t="shared" ca="1" si="3"/>
        <v/>
      </c>
      <c r="Z112" s="4" t="str">
        <f>IFERROR($U$2-AVERAGEIFS(unit_details[First Listed],
          unit_details[Active Listing?],TRUE,
          unit_details[Property Name], $B112,
          unit_details[Beds], $D112,
          unit_details[Baths], $E112,
          unit_details[Partial Baths], IF(ISNUMBER($F112),$F112,""),
          unit_details[Floorplan Name],$C112
),"")</f>
        <v/>
      </c>
      <c r="AA112" s="262" cm="1">
        <f t="array" aca="1" ref="AA112" ca="1">COUNTIFS(unit_details[Active Listing?],TRUE,
          unit_details[Floorplan Name], INDIRECT("C"&amp;ROW()),
          unit_details[Property Name], INDIRECT("B"&amp;ROW()))</f>
        <v>0</v>
      </c>
      <c r="AB112" s="553"/>
      <c r="AC112" s="528" cm="1">
        <f t="array" aca="1" ref="AC112" ca="1">IFERROR(AVERAGEIFS(
  unit_details[Sqft],
  unit_details[Property Name], INDIRECT("B"&amp;ROW()),
  unit_details[Floorplan Name], INDIRECT("C"&amp;ROW()),
  unit_details[Beds], INDIRECT("D"&amp;ROW()),
  unit_details[Detected Unit Amenities], "*"&amp;$AD$3&amp;"*",
  unit_details[Leased Date], "&gt;=" &amp; ($U$2 - $AF$3)
),0)</f>
        <v>0</v>
      </c>
      <c r="AD112" s="527" cm="1">
        <f t="array" aca="1" ref="AD1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2" s="526" cm="1">
        <f t="array" aca="1" ref="AE112" ca="1">IFERROR(COUNTIFS(
  unit_details[Property Name], INDIRECT("B"&amp;ROW()),
  unit_details[Floorplan Name], INDIRECT("C"&amp;ROW()),
  unit_details[Beds], INDIRECT("D"&amp;ROW()),
  unit_details[Detected Unit Amenities], "*"&amp;$AD$3&amp;"*",
  unit_details[Leased Date], "&gt;=" &amp; ($U$2 - $AF$3)
),0)</f>
        <v>0</v>
      </c>
      <c r="AF112" s="528" cm="1">
        <f t="array" aca="1" ref="AF112" ca="1">IFERROR(AVERAGEIFS(
  unit_details[Sqft],
  unit_details[Property Name], INDIRECT("B"&amp;ROW()),
  unit_details[Floorplan Name], INDIRECT("C"&amp;ROW()),
  unit_details[Beds], INDIRECT("D"&amp;ROW()),
  unit_details[Detected Unit Amenities], "&lt;&gt;*"&amp;$AD$3&amp;"*",
  unit_details[Leased Date], "&gt;=" &amp; ($U$2 - $AF$3)
),0)</f>
        <v>0</v>
      </c>
      <c r="AG112" s="527" cm="1">
        <f t="array" aca="1" ref="AG1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2" s="526" cm="1">
        <f t="array" aca="1" ref="AH112" ca="1">IFERROR(COUNTIFS(
  unit_details[Property Name], INDIRECT("B"&amp;ROW()),
  unit_details[Floorplan Name], INDIRECT("C"&amp;ROW()),
  unit_details[Beds], INDIRECT("D"&amp;ROW()),
  unit_details[Detected Unit Amenities], "&lt;&gt;*"&amp;$AD$3&amp;"*",
  unit_details[Leased Date], "&gt;=" &amp; ($U$2 - $AF$3)
),0)</f>
        <v>0</v>
      </c>
      <c r="AI112" s="528"/>
      <c r="AJ112" s="531">
        <f t="shared" ca="1" si="4"/>
        <v>0</v>
      </c>
      <c r="AK112" s="532">
        <f t="shared" ca="1" si="5"/>
        <v>0</v>
      </c>
    </row>
    <row r="113" spans="2:37" x14ac:dyDescent="0.2">
      <c r="B113" s="566"/>
      <c r="C113" s="53"/>
      <c r="E113" s="262"/>
      <c r="F113" s="262"/>
      <c r="J113" s="293"/>
      <c r="K113" s="6"/>
      <c r="M113" s="6"/>
      <c r="N113" s="531" t="str" cm="1">
        <f t="array" aca="1" ref="N11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3" s="552" t="str" cm="1">
        <f t="array" aca="1" ref="O11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3" s="526" cm="1">
        <f t="array" aca="1" ref="P113" ca="1">COUNTIFS(unit_details[Leased Date], "&gt;=" &amp; ($U$2 - N$5),
          unit_details[Leased Date], "&lt;" &amp; $U$2,
          unit_details[Floorplan Name], INDIRECT("C"&amp;ROW()),
          unit_details[Property Name], INDIRECT("B"&amp;ROW()))</f>
        <v>0</v>
      </c>
      <c r="Q113" s="531" t="str" cm="1">
        <f t="array" aca="1" ref="Q11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3" s="552" t="str" cm="1">
        <f t="array" aca="1" ref="R11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3" s="526" cm="1">
        <f t="array" aca="1" ref="S113" ca="1">COUNTIFS(unit_details[Leased Date], "&gt;=" &amp; ($U$2 - Q$5),
          unit_details[Leased Date], "&lt;" &amp; $U$2,
          unit_details[Floorplan Name], INDIRECT("C"&amp;ROW()),
          unit_details[Property Name], INDIRECT("B"&amp;ROW()))</f>
        <v>0</v>
      </c>
      <c r="T113" s="531" t="str" cm="1">
        <f t="array" aca="1" ref="T11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3" s="552" t="str" cm="1">
        <f t="array" aca="1" ref="U11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3" s="526" cm="1">
        <f t="array" aca="1" ref="V113" ca="1">COUNTIFS(unit_details[Leased Date], "&gt;=" &amp; ($U$2 - T$5),
          unit_details[Leased Date], "&lt;" &amp; $U$2,
          unit_details[Floorplan Name], INDIRECT("C"&amp;ROW()),
          unit_details[Property Name], INDIRECT("B"&amp;ROW()))</f>
        <v>0</v>
      </c>
      <c r="W113" s="531" t="str" cm="1">
        <f t="array" aca="1" ref="W11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3" s="552" t="str" cm="1">
        <f t="array" aca="1" ref="X11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3" s="27" t="str">
        <f t="shared" ca="1" si="3"/>
        <v/>
      </c>
      <c r="Z113" s="4" t="str">
        <f>IFERROR($U$2-AVERAGEIFS(unit_details[First Listed],
          unit_details[Active Listing?],TRUE,
          unit_details[Property Name], $B113,
          unit_details[Beds], $D113,
          unit_details[Baths], $E113,
          unit_details[Partial Baths], IF(ISNUMBER($F113),$F113,""),
          unit_details[Floorplan Name],$C113
),"")</f>
        <v/>
      </c>
      <c r="AA113" s="262" cm="1">
        <f t="array" aca="1" ref="AA113" ca="1">COUNTIFS(unit_details[Active Listing?],TRUE,
          unit_details[Floorplan Name], INDIRECT("C"&amp;ROW()),
          unit_details[Property Name], INDIRECT("B"&amp;ROW()))</f>
        <v>0</v>
      </c>
      <c r="AB113" s="553"/>
      <c r="AC113" s="528" cm="1">
        <f t="array" aca="1" ref="AC113" ca="1">IFERROR(AVERAGEIFS(
  unit_details[Sqft],
  unit_details[Property Name], INDIRECT("B"&amp;ROW()),
  unit_details[Floorplan Name], INDIRECT("C"&amp;ROW()),
  unit_details[Beds], INDIRECT("D"&amp;ROW()),
  unit_details[Detected Unit Amenities], "*"&amp;$AD$3&amp;"*",
  unit_details[Leased Date], "&gt;=" &amp; ($U$2 - $AF$3)
),0)</f>
        <v>0</v>
      </c>
      <c r="AD113" s="527" cm="1">
        <f t="array" aca="1" ref="AD1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3" s="526" cm="1">
        <f t="array" aca="1" ref="AE113" ca="1">IFERROR(COUNTIFS(
  unit_details[Property Name], INDIRECT("B"&amp;ROW()),
  unit_details[Floorplan Name], INDIRECT("C"&amp;ROW()),
  unit_details[Beds], INDIRECT("D"&amp;ROW()),
  unit_details[Detected Unit Amenities], "*"&amp;$AD$3&amp;"*",
  unit_details[Leased Date], "&gt;=" &amp; ($U$2 - $AF$3)
),0)</f>
        <v>0</v>
      </c>
      <c r="AF113" s="528" cm="1">
        <f t="array" aca="1" ref="AF113" ca="1">IFERROR(AVERAGEIFS(
  unit_details[Sqft],
  unit_details[Property Name], INDIRECT("B"&amp;ROW()),
  unit_details[Floorplan Name], INDIRECT("C"&amp;ROW()),
  unit_details[Beds], INDIRECT("D"&amp;ROW()),
  unit_details[Detected Unit Amenities], "&lt;&gt;*"&amp;$AD$3&amp;"*",
  unit_details[Leased Date], "&gt;=" &amp; ($U$2 - $AF$3)
),0)</f>
        <v>0</v>
      </c>
      <c r="AG113" s="527" cm="1">
        <f t="array" aca="1" ref="AG1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3" s="526" cm="1">
        <f t="array" aca="1" ref="AH113" ca="1">IFERROR(COUNTIFS(
  unit_details[Property Name], INDIRECT("B"&amp;ROW()),
  unit_details[Floorplan Name], INDIRECT("C"&amp;ROW()),
  unit_details[Beds], INDIRECT("D"&amp;ROW()),
  unit_details[Detected Unit Amenities], "&lt;&gt;*"&amp;$AD$3&amp;"*",
  unit_details[Leased Date], "&gt;=" &amp; ($U$2 - $AF$3)
),0)</f>
        <v>0</v>
      </c>
      <c r="AI113" s="528"/>
      <c r="AJ113" s="531">
        <f t="shared" ca="1" si="4"/>
        <v>0</v>
      </c>
      <c r="AK113" s="532">
        <f t="shared" ca="1" si="5"/>
        <v>0</v>
      </c>
    </row>
    <row r="114" spans="2:37" x14ac:dyDescent="0.2">
      <c r="B114" s="566"/>
      <c r="C114" s="53"/>
      <c r="E114" s="262"/>
      <c r="F114" s="262"/>
      <c r="J114" s="293"/>
      <c r="K114" s="6"/>
      <c r="M114" s="6"/>
      <c r="N114" s="531" t="str" cm="1">
        <f t="array" aca="1" ref="N11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4" s="552" t="str" cm="1">
        <f t="array" aca="1" ref="O11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4" s="526" cm="1">
        <f t="array" aca="1" ref="P114" ca="1">COUNTIFS(unit_details[Leased Date], "&gt;=" &amp; ($U$2 - N$5),
          unit_details[Leased Date], "&lt;" &amp; $U$2,
          unit_details[Floorplan Name], INDIRECT("C"&amp;ROW()),
          unit_details[Property Name], INDIRECT("B"&amp;ROW()))</f>
        <v>0</v>
      </c>
      <c r="Q114" s="531" t="str" cm="1">
        <f t="array" aca="1" ref="Q11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4" s="552" t="str" cm="1">
        <f t="array" aca="1" ref="R11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4" s="526" cm="1">
        <f t="array" aca="1" ref="S114" ca="1">COUNTIFS(unit_details[Leased Date], "&gt;=" &amp; ($U$2 - Q$5),
          unit_details[Leased Date], "&lt;" &amp; $U$2,
          unit_details[Floorplan Name], INDIRECT("C"&amp;ROW()),
          unit_details[Property Name], INDIRECT("B"&amp;ROW()))</f>
        <v>0</v>
      </c>
      <c r="T114" s="531" t="str" cm="1">
        <f t="array" aca="1" ref="T11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4" s="552" t="str" cm="1">
        <f t="array" aca="1" ref="U11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4" s="526" cm="1">
        <f t="array" aca="1" ref="V114" ca="1">COUNTIFS(unit_details[Leased Date], "&gt;=" &amp; ($U$2 - T$5),
          unit_details[Leased Date], "&lt;" &amp; $U$2,
          unit_details[Floorplan Name], INDIRECT("C"&amp;ROW()),
          unit_details[Property Name], INDIRECT("B"&amp;ROW()))</f>
        <v>0</v>
      </c>
      <c r="W114" s="531" t="str" cm="1">
        <f t="array" aca="1" ref="W11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4" s="552" t="str" cm="1">
        <f t="array" aca="1" ref="X11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4" s="27" t="str">
        <f t="shared" ca="1" si="3"/>
        <v/>
      </c>
      <c r="Z114" s="4" t="str">
        <f>IFERROR($U$2-AVERAGEIFS(unit_details[First Listed],
          unit_details[Active Listing?],TRUE,
          unit_details[Property Name], $B114,
          unit_details[Beds], $D114,
          unit_details[Baths], $E114,
          unit_details[Partial Baths], IF(ISNUMBER($F114),$F114,""),
          unit_details[Floorplan Name],$C114
),"")</f>
        <v/>
      </c>
      <c r="AA114" s="262" cm="1">
        <f t="array" aca="1" ref="AA114" ca="1">COUNTIFS(unit_details[Active Listing?],TRUE,
          unit_details[Floorplan Name], INDIRECT("C"&amp;ROW()),
          unit_details[Property Name], INDIRECT("B"&amp;ROW()))</f>
        <v>0</v>
      </c>
      <c r="AB114" s="553"/>
      <c r="AC114" s="528" cm="1">
        <f t="array" aca="1" ref="AC114" ca="1">IFERROR(AVERAGEIFS(
  unit_details[Sqft],
  unit_details[Property Name], INDIRECT("B"&amp;ROW()),
  unit_details[Floorplan Name], INDIRECT("C"&amp;ROW()),
  unit_details[Beds], INDIRECT("D"&amp;ROW()),
  unit_details[Detected Unit Amenities], "*"&amp;$AD$3&amp;"*",
  unit_details[Leased Date], "&gt;=" &amp; ($U$2 - $AF$3)
),0)</f>
        <v>0</v>
      </c>
      <c r="AD114" s="527" cm="1">
        <f t="array" aca="1" ref="AD1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4" s="526" cm="1">
        <f t="array" aca="1" ref="AE114" ca="1">IFERROR(COUNTIFS(
  unit_details[Property Name], INDIRECT("B"&amp;ROW()),
  unit_details[Floorplan Name], INDIRECT("C"&amp;ROW()),
  unit_details[Beds], INDIRECT("D"&amp;ROW()),
  unit_details[Detected Unit Amenities], "*"&amp;$AD$3&amp;"*",
  unit_details[Leased Date], "&gt;=" &amp; ($U$2 - $AF$3)
),0)</f>
        <v>0</v>
      </c>
      <c r="AF114" s="528" cm="1">
        <f t="array" aca="1" ref="AF114" ca="1">IFERROR(AVERAGEIFS(
  unit_details[Sqft],
  unit_details[Property Name], INDIRECT("B"&amp;ROW()),
  unit_details[Floorplan Name], INDIRECT("C"&amp;ROW()),
  unit_details[Beds], INDIRECT("D"&amp;ROW()),
  unit_details[Detected Unit Amenities], "&lt;&gt;*"&amp;$AD$3&amp;"*",
  unit_details[Leased Date], "&gt;=" &amp; ($U$2 - $AF$3)
),0)</f>
        <v>0</v>
      </c>
      <c r="AG114" s="527" cm="1">
        <f t="array" aca="1" ref="AG1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4" s="526" cm="1">
        <f t="array" aca="1" ref="AH114" ca="1">IFERROR(COUNTIFS(
  unit_details[Property Name], INDIRECT("B"&amp;ROW()),
  unit_details[Floorplan Name], INDIRECT("C"&amp;ROW()),
  unit_details[Beds], INDIRECT("D"&amp;ROW()),
  unit_details[Detected Unit Amenities], "&lt;&gt;*"&amp;$AD$3&amp;"*",
  unit_details[Leased Date], "&gt;=" &amp; ($U$2 - $AF$3)
),0)</f>
        <v>0</v>
      </c>
      <c r="AI114" s="528"/>
      <c r="AJ114" s="531">
        <f t="shared" ca="1" si="4"/>
        <v>0</v>
      </c>
      <c r="AK114" s="532">
        <f t="shared" ca="1" si="5"/>
        <v>0</v>
      </c>
    </row>
    <row r="115" spans="2:37" x14ac:dyDescent="0.2">
      <c r="B115" s="566"/>
      <c r="C115" s="53"/>
      <c r="E115" s="262"/>
      <c r="F115" s="262"/>
      <c r="J115" s="293"/>
      <c r="K115" s="6"/>
      <c r="M115" s="6"/>
      <c r="N115" s="531" t="str" cm="1">
        <f t="array" aca="1" ref="N11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5" s="552" t="str" cm="1">
        <f t="array" aca="1" ref="O11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5" s="526" cm="1">
        <f t="array" aca="1" ref="P115" ca="1">COUNTIFS(unit_details[Leased Date], "&gt;=" &amp; ($U$2 - N$5),
          unit_details[Leased Date], "&lt;" &amp; $U$2,
          unit_details[Floorplan Name], INDIRECT("C"&amp;ROW()),
          unit_details[Property Name], INDIRECT("B"&amp;ROW()))</f>
        <v>0</v>
      </c>
      <c r="Q115" s="531" t="str" cm="1">
        <f t="array" aca="1" ref="Q11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5" s="552" t="str" cm="1">
        <f t="array" aca="1" ref="R11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5" s="526" cm="1">
        <f t="array" aca="1" ref="S115" ca="1">COUNTIFS(unit_details[Leased Date], "&gt;=" &amp; ($U$2 - Q$5),
          unit_details[Leased Date], "&lt;" &amp; $U$2,
          unit_details[Floorplan Name], INDIRECT("C"&amp;ROW()),
          unit_details[Property Name], INDIRECT("B"&amp;ROW()))</f>
        <v>0</v>
      </c>
      <c r="T115" s="531" t="str" cm="1">
        <f t="array" aca="1" ref="T11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5" s="552" t="str" cm="1">
        <f t="array" aca="1" ref="U11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5" s="526" cm="1">
        <f t="array" aca="1" ref="V115" ca="1">COUNTIFS(unit_details[Leased Date], "&gt;=" &amp; ($U$2 - T$5),
          unit_details[Leased Date], "&lt;" &amp; $U$2,
          unit_details[Floorplan Name], INDIRECT("C"&amp;ROW()),
          unit_details[Property Name], INDIRECT("B"&amp;ROW()))</f>
        <v>0</v>
      </c>
      <c r="W115" s="531" t="str" cm="1">
        <f t="array" aca="1" ref="W11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5" s="552" t="str" cm="1">
        <f t="array" aca="1" ref="X11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5" s="27" t="str">
        <f t="shared" ca="1" si="3"/>
        <v/>
      </c>
      <c r="Z115" s="4" t="str">
        <f>IFERROR($U$2-AVERAGEIFS(unit_details[First Listed],
          unit_details[Active Listing?],TRUE,
          unit_details[Property Name], $B115,
          unit_details[Beds], $D115,
          unit_details[Baths], $E115,
          unit_details[Partial Baths], IF(ISNUMBER($F115),$F115,""),
          unit_details[Floorplan Name],$C115
),"")</f>
        <v/>
      </c>
      <c r="AA115" s="262" cm="1">
        <f t="array" aca="1" ref="AA115" ca="1">COUNTIFS(unit_details[Active Listing?],TRUE,
          unit_details[Floorplan Name], INDIRECT("C"&amp;ROW()),
          unit_details[Property Name], INDIRECT("B"&amp;ROW()))</f>
        <v>0</v>
      </c>
      <c r="AB115" s="553"/>
      <c r="AC115" s="528" cm="1">
        <f t="array" aca="1" ref="AC115" ca="1">IFERROR(AVERAGEIFS(
  unit_details[Sqft],
  unit_details[Property Name], INDIRECT("B"&amp;ROW()),
  unit_details[Floorplan Name], INDIRECT("C"&amp;ROW()),
  unit_details[Beds], INDIRECT("D"&amp;ROW()),
  unit_details[Detected Unit Amenities], "*"&amp;$AD$3&amp;"*",
  unit_details[Leased Date], "&gt;=" &amp; ($U$2 - $AF$3)
),0)</f>
        <v>0</v>
      </c>
      <c r="AD115" s="527" cm="1">
        <f t="array" aca="1" ref="AD1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5" s="526" cm="1">
        <f t="array" aca="1" ref="AE115" ca="1">IFERROR(COUNTIFS(
  unit_details[Property Name], INDIRECT("B"&amp;ROW()),
  unit_details[Floorplan Name], INDIRECT("C"&amp;ROW()),
  unit_details[Beds], INDIRECT("D"&amp;ROW()),
  unit_details[Detected Unit Amenities], "*"&amp;$AD$3&amp;"*",
  unit_details[Leased Date], "&gt;=" &amp; ($U$2 - $AF$3)
),0)</f>
        <v>0</v>
      </c>
      <c r="AF115" s="528" cm="1">
        <f t="array" aca="1" ref="AF115" ca="1">IFERROR(AVERAGEIFS(
  unit_details[Sqft],
  unit_details[Property Name], INDIRECT("B"&amp;ROW()),
  unit_details[Floorplan Name], INDIRECT("C"&amp;ROW()),
  unit_details[Beds], INDIRECT("D"&amp;ROW()),
  unit_details[Detected Unit Amenities], "&lt;&gt;*"&amp;$AD$3&amp;"*",
  unit_details[Leased Date], "&gt;=" &amp; ($U$2 - $AF$3)
),0)</f>
        <v>0</v>
      </c>
      <c r="AG115" s="527" cm="1">
        <f t="array" aca="1" ref="AG1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5" s="526" cm="1">
        <f t="array" aca="1" ref="AH115" ca="1">IFERROR(COUNTIFS(
  unit_details[Property Name], INDIRECT("B"&amp;ROW()),
  unit_details[Floorplan Name], INDIRECT("C"&amp;ROW()),
  unit_details[Beds], INDIRECT("D"&amp;ROW()),
  unit_details[Detected Unit Amenities], "&lt;&gt;*"&amp;$AD$3&amp;"*",
  unit_details[Leased Date], "&gt;=" &amp; ($U$2 - $AF$3)
),0)</f>
        <v>0</v>
      </c>
      <c r="AI115" s="528"/>
      <c r="AJ115" s="531">
        <f t="shared" ca="1" si="4"/>
        <v>0</v>
      </c>
      <c r="AK115" s="532">
        <f t="shared" ca="1" si="5"/>
        <v>0</v>
      </c>
    </row>
    <row r="116" spans="2:37" x14ac:dyDescent="0.2">
      <c r="B116" s="566"/>
      <c r="C116" s="53"/>
      <c r="E116" s="262"/>
      <c r="F116" s="262"/>
      <c r="J116" s="293"/>
      <c r="K116" s="6"/>
      <c r="M116" s="6"/>
      <c r="N116" s="531" t="str" cm="1">
        <f t="array" aca="1" ref="N11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6" s="552" t="str" cm="1">
        <f t="array" aca="1" ref="O11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6" s="526" cm="1">
        <f t="array" aca="1" ref="P116" ca="1">COUNTIFS(unit_details[Leased Date], "&gt;=" &amp; ($U$2 - N$5),
          unit_details[Leased Date], "&lt;" &amp; $U$2,
          unit_details[Floorplan Name], INDIRECT("C"&amp;ROW()),
          unit_details[Property Name], INDIRECT("B"&amp;ROW()))</f>
        <v>0</v>
      </c>
      <c r="Q116" s="531" t="str" cm="1">
        <f t="array" aca="1" ref="Q11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6" s="552" t="str" cm="1">
        <f t="array" aca="1" ref="R11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6" s="526" cm="1">
        <f t="array" aca="1" ref="S116" ca="1">COUNTIFS(unit_details[Leased Date], "&gt;=" &amp; ($U$2 - Q$5),
          unit_details[Leased Date], "&lt;" &amp; $U$2,
          unit_details[Floorplan Name], INDIRECT("C"&amp;ROW()),
          unit_details[Property Name], INDIRECT("B"&amp;ROW()))</f>
        <v>0</v>
      </c>
      <c r="T116" s="531" t="str" cm="1">
        <f t="array" aca="1" ref="T11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6" s="552" t="str" cm="1">
        <f t="array" aca="1" ref="U11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6" s="526" cm="1">
        <f t="array" aca="1" ref="V116" ca="1">COUNTIFS(unit_details[Leased Date], "&gt;=" &amp; ($U$2 - T$5),
          unit_details[Leased Date], "&lt;" &amp; $U$2,
          unit_details[Floorplan Name], INDIRECT("C"&amp;ROW()),
          unit_details[Property Name], INDIRECT("B"&amp;ROW()))</f>
        <v>0</v>
      </c>
      <c r="W116" s="531" t="str" cm="1">
        <f t="array" aca="1" ref="W11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6" s="552" t="str" cm="1">
        <f t="array" aca="1" ref="X11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6" s="27" t="str">
        <f t="shared" ca="1" si="3"/>
        <v/>
      </c>
      <c r="Z116" s="4" t="str">
        <f>IFERROR($U$2-AVERAGEIFS(unit_details[First Listed],
          unit_details[Active Listing?],TRUE,
          unit_details[Property Name], $B116,
          unit_details[Beds], $D116,
          unit_details[Baths], $E116,
          unit_details[Partial Baths], IF(ISNUMBER($F116),$F116,""),
          unit_details[Floorplan Name],$C116
),"")</f>
        <v/>
      </c>
      <c r="AA116" s="262" cm="1">
        <f t="array" aca="1" ref="AA116" ca="1">COUNTIFS(unit_details[Active Listing?],TRUE,
          unit_details[Floorplan Name], INDIRECT("C"&amp;ROW()),
          unit_details[Property Name], INDIRECT("B"&amp;ROW()))</f>
        <v>0</v>
      </c>
      <c r="AB116" s="553"/>
      <c r="AC116" s="528" cm="1">
        <f t="array" aca="1" ref="AC116" ca="1">IFERROR(AVERAGEIFS(
  unit_details[Sqft],
  unit_details[Property Name], INDIRECT("B"&amp;ROW()),
  unit_details[Floorplan Name], INDIRECT("C"&amp;ROW()),
  unit_details[Beds], INDIRECT("D"&amp;ROW()),
  unit_details[Detected Unit Amenities], "*"&amp;$AD$3&amp;"*",
  unit_details[Leased Date], "&gt;=" &amp; ($U$2 - $AF$3)
),0)</f>
        <v>0</v>
      </c>
      <c r="AD116" s="527" cm="1">
        <f t="array" aca="1" ref="AD1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6" s="526" cm="1">
        <f t="array" aca="1" ref="AE116" ca="1">IFERROR(COUNTIFS(
  unit_details[Property Name], INDIRECT("B"&amp;ROW()),
  unit_details[Floorplan Name], INDIRECT("C"&amp;ROW()),
  unit_details[Beds], INDIRECT("D"&amp;ROW()),
  unit_details[Detected Unit Amenities], "*"&amp;$AD$3&amp;"*",
  unit_details[Leased Date], "&gt;=" &amp; ($U$2 - $AF$3)
),0)</f>
        <v>0</v>
      </c>
      <c r="AF116" s="528" cm="1">
        <f t="array" aca="1" ref="AF116" ca="1">IFERROR(AVERAGEIFS(
  unit_details[Sqft],
  unit_details[Property Name], INDIRECT("B"&amp;ROW()),
  unit_details[Floorplan Name], INDIRECT("C"&amp;ROW()),
  unit_details[Beds], INDIRECT("D"&amp;ROW()),
  unit_details[Detected Unit Amenities], "&lt;&gt;*"&amp;$AD$3&amp;"*",
  unit_details[Leased Date], "&gt;=" &amp; ($U$2 - $AF$3)
),0)</f>
        <v>0</v>
      </c>
      <c r="AG116" s="527" cm="1">
        <f t="array" aca="1" ref="AG1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6" s="526" cm="1">
        <f t="array" aca="1" ref="AH116" ca="1">IFERROR(COUNTIFS(
  unit_details[Property Name], INDIRECT("B"&amp;ROW()),
  unit_details[Floorplan Name], INDIRECT("C"&amp;ROW()),
  unit_details[Beds], INDIRECT("D"&amp;ROW()),
  unit_details[Detected Unit Amenities], "&lt;&gt;*"&amp;$AD$3&amp;"*",
  unit_details[Leased Date], "&gt;=" &amp; ($U$2 - $AF$3)
),0)</f>
        <v>0</v>
      </c>
      <c r="AI116" s="528"/>
      <c r="AJ116" s="531">
        <f t="shared" ca="1" si="4"/>
        <v>0</v>
      </c>
      <c r="AK116" s="532">
        <f t="shared" ca="1" si="5"/>
        <v>0</v>
      </c>
    </row>
    <row r="117" spans="2:37" x14ac:dyDescent="0.2">
      <c r="B117" s="566"/>
      <c r="C117" s="53"/>
      <c r="E117" s="262"/>
      <c r="F117" s="262"/>
      <c r="J117" s="293"/>
      <c r="K117" s="6"/>
      <c r="M117" s="6"/>
      <c r="N117" s="531" t="str" cm="1">
        <f t="array" aca="1" ref="N11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7" s="552" t="str" cm="1">
        <f t="array" aca="1" ref="O11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7" s="526" cm="1">
        <f t="array" aca="1" ref="P117" ca="1">COUNTIFS(unit_details[Leased Date], "&gt;=" &amp; ($U$2 - N$5),
          unit_details[Leased Date], "&lt;" &amp; $U$2,
          unit_details[Floorplan Name], INDIRECT("C"&amp;ROW()),
          unit_details[Property Name], INDIRECT("B"&amp;ROW()))</f>
        <v>0</v>
      </c>
      <c r="Q117" s="531" t="str" cm="1">
        <f t="array" aca="1" ref="Q11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7" s="552" t="str" cm="1">
        <f t="array" aca="1" ref="R11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7" s="526" cm="1">
        <f t="array" aca="1" ref="S117" ca="1">COUNTIFS(unit_details[Leased Date], "&gt;=" &amp; ($U$2 - Q$5),
          unit_details[Leased Date], "&lt;" &amp; $U$2,
          unit_details[Floorplan Name], INDIRECT("C"&amp;ROW()),
          unit_details[Property Name], INDIRECT("B"&amp;ROW()))</f>
        <v>0</v>
      </c>
      <c r="T117" s="531" t="str" cm="1">
        <f t="array" aca="1" ref="T11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7" s="552" t="str" cm="1">
        <f t="array" aca="1" ref="U11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7" s="526" cm="1">
        <f t="array" aca="1" ref="V117" ca="1">COUNTIFS(unit_details[Leased Date], "&gt;=" &amp; ($U$2 - T$5),
          unit_details[Leased Date], "&lt;" &amp; $U$2,
          unit_details[Floorplan Name], INDIRECT("C"&amp;ROW()),
          unit_details[Property Name], INDIRECT("B"&amp;ROW()))</f>
        <v>0</v>
      </c>
      <c r="W117" s="531" t="str" cm="1">
        <f t="array" aca="1" ref="W11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7" s="552" t="str" cm="1">
        <f t="array" aca="1" ref="X11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7" s="27" t="str">
        <f t="shared" ca="1" si="3"/>
        <v/>
      </c>
      <c r="Z117" s="4" t="str">
        <f>IFERROR($U$2-AVERAGEIFS(unit_details[First Listed],
          unit_details[Active Listing?],TRUE,
          unit_details[Property Name], $B117,
          unit_details[Beds], $D117,
          unit_details[Baths], $E117,
          unit_details[Partial Baths], IF(ISNUMBER($F117),$F117,""),
          unit_details[Floorplan Name],$C117
),"")</f>
        <v/>
      </c>
      <c r="AA117" s="262" cm="1">
        <f t="array" aca="1" ref="AA117" ca="1">COUNTIFS(unit_details[Active Listing?],TRUE,
          unit_details[Floorplan Name], INDIRECT("C"&amp;ROW()),
          unit_details[Property Name], INDIRECT("B"&amp;ROW()))</f>
        <v>0</v>
      </c>
      <c r="AB117" s="553"/>
      <c r="AC117" s="528" cm="1">
        <f t="array" aca="1" ref="AC117" ca="1">IFERROR(AVERAGEIFS(
  unit_details[Sqft],
  unit_details[Property Name], INDIRECT("B"&amp;ROW()),
  unit_details[Floorplan Name], INDIRECT("C"&amp;ROW()),
  unit_details[Beds], INDIRECT("D"&amp;ROW()),
  unit_details[Detected Unit Amenities], "*"&amp;$AD$3&amp;"*",
  unit_details[Leased Date], "&gt;=" &amp; ($U$2 - $AF$3)
),0)</f>
        <v>0</v>
      </c>
      <c r="AD117" s="527" cm="1">
        <f t="array" aca="1" ref="AD1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7" s="526" cm="1">
        <f t="array" aca="1" ref="AE117" ca="1">IFERROR(COUNTIFS(
  unit_details[Property Name], INDIRECT("B"&amp;ROW()),
  unit_details[Floorplan Name], INDIRECT("C"&amp;ROW()),
  unit_details[Beds], INDIRECT("D"&amp;ROW()),
  unit_details[Detected Unit Amenities], "*"&amp;$AD$3&amp;"*",
  unit_details[Leased Date], "&gt;=" &amp; ($U$2 - $AF$3)
),0)</f>
        <v>0</v>
      </c>
      <c r="AF117" s="528" cm="1">
        <f t="array" aca="1" ref="AF117" ca="1">IFERROR(AVERAGEIFS(
  unit_details[Sqft],
  unit_details[Property Name], INDIRECT("B"&amp;ROW()),
  unit_details[Floorplan Name], INDIRECT("C"&amp;ROW()),
  unit_details[Beds], INDIRECT("D"&amp;ROW()),
  unit_details[Detected Unit Amenities], "&lt;&gt;*"&amp;$AD$3&amp;"*",
  unit_details[Leased Date], "&gt;=" &amp; ($U$2 - $AF$3)
),0)</f>
        <v>0</v>
      </c>
      <c r="AG117" s="527" cm="1">
        <f t="array" aca="1" ref="AG1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7" s="526" cm="1">
        <f t="array" aca="1" ref="AH117" ca="1">IFERROR(COUNTIFS(
  unit_details[Property Name], INDIRECT("B"&amp;ROW()),
  unit_details[Floorplan Name], INDIRECT("C"&amp;ROW()),
  unit_details[Beds], INDIRECT("D"&amp;ROW()),
  unit_details[Detected Unit Amenities], "&lt;&gt;*"&amp;$AD$3&amp;"*",
  unit_details[Leased Date], "&gt;=" &amp; ($U$2 - $AF$3)
),0)</f>
        <v>0</v>
      </c>
      <c r="AI117" s="528"/>
      <c r="AJ117" s="531">
        <f t="shared" ca="1" si="4"/>
        <v>0</v>
      </c>
      <c r="AK117" s="532">
        <f t="shared" ca="1" si="5"/>
        <v>0</v>
      </c>
    </row>
    <row r="118" spans="2:37" x14ac:dyDescent="0.2">
      <c r="B118" s="566"/>
      <c r="C118" s="53"/>
      <c r="E118" s="262"/>
      <c r="F118" s="262"/>
      <c r="J118" s="293"/>
      <c r="K118" s="6"/>
      <c r="M118" s="6"/>
      <c r="N118" s="531" t="str" cm="1">
        <f t="array" aca="1" ref="N11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8" s="552" t="str" cm="1">
        <f t="array" aca="1" ref="O11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8" s="526" cm="1">
        <f t="array" aca="1" ref="P118" ca="1">COUNTIFS(unit_details[Leased Date], "&gt;=" &amp; ($U$2 - N$5),
          unit_details[Leased Date], "&lt;" &amp; $U$2,
          unit_details[Floorplan Name], INDIRECT("C"&amp;ROW()),
          unit_details[Property Name], INDIRECT("B"&amp;ROW()))</f>
        <v>0</v>
      </c>
      <c r="Q118" s="531" t="str" cm="1">
        <f t="array" aca="1" ref="Q11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8" s="552" t="str" cm="1">
        <f t="array" aca="1" ref="R11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8" s="526" cm="1">
        <f t="array" aca="1" ref="S118" ca="1">COUNTIFS(unit_details[Leased Date], "&gt;=" &amp; ($U$2 - Q$5),
          unit_details[Leased Date], "&lt;" &amp; $U$2,
          unit_details[Floorplan Name], INDIRECT("C"&amp;ROW()),
          unit_details[Property Name], INDIRECT("B"&amp;ROW()))</f>
        <v>0</v>
      </c>
      <c r="T118" s="531" t="str" cm="1">
        <f t="array" aca="1" ref="T11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8" s="552" t="str" cm="1">
        <f t="array" aca="1" ref="U11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8" s="526" cm="1">
        <f t="array" aca="1" ref="V118" ca="1">COUNTIFS(unit_details[Leased Date], "&gt;=" &amp; ($U$2 - T$5),
          unit_details[Leased Date], "&lt;" &amp; $U$2,
          unit_details[Floorplan Name], INDIRECT("C"&amp;ROW()),
          unit_details[Property Name], INDIRECT("B"&amp;ROW()))</f>
        <v>0</v>
      </c>
      <c r="W118" s="531" t="str" cm="1">
        <f t="array" aca="1" ref="W11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8" s="552" t="str" cm="1">
        <f t="array" aca="1" ref="X11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8" s="27" t="str">
        <f t="shared" ca="1" si="3"/>
        <v/>
      </c>
      <c r="Z118" s="4" t="str">
        <f>IFERROR($U$2-AVERAGEIFS(unit_details[First Listed],
          unit_details[Active Listing?],TRUE,
          unit_details[Property Name], $B118,
          unit_details[Beds], $D118,
          unit_details[Baths], $E118,
          unit_details[Partial Baths], IF(ISNUMBER($F118),$F118,""),
          unit_details[Floorplan Name],$C118
),"")</f>
        <v/>
      </c>
      <c r="AA118" s="262" cm="1">
        <f t="array" aca="1" ref="AA118" ca="1">COUNTIFS(unit_details[Active Listing?],TRUE,
          unit_details[Floorplan Name], INDIRECT("C"&amp;ROW()),
          unit_details[Property Name], INDIRECT("B"&amp;ROW()))</f>
        <v>0</v>
      </c>
      <c r="AB118" s="553"/>
      <c r="AC118" s="528" cm="1">
        <f t="array" aca="1" ref="AC118" ca="1">IFERROR(AVERAGEIFS(
  unit_details[Sqft],
  unit_details[Property Name], INDIRECT("B"&amp;ROW()),
  unit_details[Floorplan Name], INDIRECT("C"&amp;ROW()),
  unit_details[Beds], INDIRECT("D"&amp;ROW()),
  unit_details[Detected Unit Amenities], "*"&amp;$AD$3&amp;"*",
  unit_details[Leased Date], "&gt;=" &amp; ($U$2 - $AF$3)
),0)</f>
        <v>0</v>
      </c>
      <c r="AD118" s="527" cm="1">
        <f t="array" aca="1" ref="AD1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8" s="526" cm="1">
        <f t="array" aca="1" ref="AE118" ca="1">IFERROR(COUNTIFS(
  unit_details[Property Name], INDIRECT("B"&amp;ROW()),
  unit_details[Floorplan Name], INDIRECT("C"&amp;ROW()),
  unit_details[Beds], INDIRECT("D"&amp;ROW()),
  unit_details[Detected Unit Amenities], "*"&amp;$AD$3&amp;"*",
  unit_details[Leased Date], "&gt;=" &amp; ($U$2 - $AF$3)
),0)</f>
        <v>0</v>
      </c>
      <c r="AF118" s="528" cm="1">
        <f t="array" aca="1" ref="AF118" ca="1">IFERROR(AVERAGEIFS(
  unit_details[Sqft],
  unit_details[Property Name], INDIRECT("B"&amp;ROW()),
  unit_details[Floorplan Name], INDIRECT("C"&amp;ROW()),
  unit_details[Beds], INDIRECT("D"&amp;ROW()),
  unit_details[Detected Unit Amenities], "&lt;&gt;*"&amp;$AD$3&amp;"*",
  unit_details[Leased Date], "&gt;=" &amp; ($U$2 - $AF$3)
),0)</f>
        <v>0</v>
      </c>
      <c r="AG118" s="527" cm="1">
        <f t="array" aca="1" ref="AG1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8" s="526" cm="1">
        <f t="array" aca="1" ref="AH118" ca="1">IFERROR(COUNTIFS(
  unit_details[Property Name], INDIRECT("B"&amp;ROW()),
  unit_details[Floorplan Name], INDIRECT("C"&amp;ROW()),
  unit_details[Beds], INDIRECT("D"&amp;ROW()),
  unit_details[Detected Unit Amenities], "&lt;&gt;*"&amp;$AD$3&amp;"*",
  unit_details[Leased Date], "&gt;=" &amp; ($U$2 - $AF$3)
),0)</f>
        <v>0</v>
      </c>
      <c r="AI118" s="528"/>
      <c r="AJ118" s="531">
        <f t="shared" ca="1" si="4"/>
        <v>0</v>
      </c>
      <c r="AK118" s="532">
        <f t="shared" ca="1" si="5"/>
        <v>0</v>
      </c>
    </row>
    <row r="119" spans="2:37" x14ac:dyDescent="0.2">
      <c r="B119" s="566"/>
      <c r="C119" s="53"/>
      <c r="E119" s="262"/>
      <c r="F119" s="262"/>
      <c r="J119" s="293"/>
      <c r="K119" s="6"/>
      <c r="M119" s="6"/>
      <c r="N119" s="531" t="str" cm="1">
        <f t="array" aca="1" ref="N11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19" s="552" t="str" cm="1">
        <f t="array" aca="1" ref="O11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19" s="526" cm="1">
        <f t="array" aca="1" ref="P119" ca="1">COUNTIFS(unit_details[Leased Date], "&gt;=" &amp; ($U$2 - N$5),
          unit_details[Leased Date], "&lt;" &amp; $U$2,
          unit_details[Floorplan Name], INDIRECT("C"&amp;ROW()),
          unit_details[Property Name], INDIRECT("B"&amp;ROW()))</f>
        <v>0</v>
      </c>
      <c r="Q119" s="531" t="str" cm="1">
        <f t="array" aca="1" ref="Q11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19" s="552" t="str" cm="1">
        <f t="array" aca="1" ref="R11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19" s="526" cm="1">
        <f t="array" aca="1" ref="S119" ca="1">COUNTIFS(unit_details[Leased Date], "&gt;=" &amp; ($U$2 - Q$5),
          unit_details[Leased Date], "&lt;" &amp; $U$2,
          unit_details[Floorplan Name], INDIRECT("C"&amp;ROW()),
          unit_details[Property Name], INDIRECT("B"&amp;ROW()))</f>
        <v>0</v>
      </c>
      <c r="T119" s="531" t="str" cm="1">
        <f t="array" aca="1" ref="T11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19" s="552" t="str" cm="1">
        <f t="array" aca="1" ref="U11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19" s="526" cm="1">
        <f t="array" aca="1" ref="V119" ca="1">COUNTIFS(unit_details[Leased Date], "&gt;=" &amp; ($U$2 - T$5),
          unit_details[Leased Date], "&lt;" &amp; $U$2,
          unit_details[Floorplan Name], INDIRECT("C"&amp;ROW()),
          unit_details[Property Name], INDIRECT("B"&amp;ROW()))</f>
        <v>0</v>
      </c>
      <c r="W119" s="531" t="str" cm="1">
        <f t="array" aca="1" ref="W11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19" s="552" t="str" cm="1">
        <f t="array" aca="1" ref="X11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19" s="27" t="str">
        <f t="shared" ca="1" si="3"/>
        <v/>
      </c>
      <c r="Z119" s="4" t="str">
        <f>IFERROR($U$2-AVERAGEIFS(unit_details[First Listed],
          unit_details[Active Listing?],TRUE,
          unit_details[Property Name], $B119,
          unit_details[Beds], $D119,
          unit_details[Baths], $E119,
          unit_details[Partial Baths], IF(ISNUMBER($F119),$F119,""),
          unit_details[Floorplan Name],$C119
),"")</f>
        <v/>
      </c>
      <c r="AA119" s="262" cm="1">
        <f t="array" aca="1" ref="AA119" ca="1">COUNTIFS(unit_details[Active Listing?],TRUE,
          unit_details[Floorplan Name], INDIRECT("C"&amp;ROW()),
          unit_details[Property Name], INDIRECT("B"&amp;ROW()))</f>
        <v>0</v>
      </c>
      <c r="AB119" s="553"/>
      <c r="AC119" s="528" cm="1">
        <f t="array" aca="1" ref="AC119" ca="1">IFERROR(AVERAGEIFS(
  unit_details[Sqft],
  unit_details[Property Name], INDIRECT("B"&amp;ROW()),
  unit_details[Floorplan Name], INDIRECT("C"&amp;ROW()),
  unit_details[Beds], INDIRECT("D"&amp;ROW()),
  unit_details[Detected Unit Amenities], "*"&amp;$AD$3&amp;"*",
  unit_details[Leased Date], "&gt;=" &amp; ($U$2 - $AF$3)
),0)</f>
        <v>0</v>
      </c>
      <c r="AD119" s="527" cm="1">
        <f t="array" aca="1" ref="AD1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19" s="526" cm="1">
        <f t="array" aca="1" ref="AE119" ca="1">IFERROR(COUNTIFS(
  unit_details[Property Name], INDIRECT("B"&amp;ROW()),
  unit_details[Floorplan Name], INDIRECT("C"&amp;ROW()),
  unit_details[Beds], INDIRECT("D"&amp;ROW()),
  unit_details[Detected Unit Amenities], "*"&amp;$AD$3&amp;"*",
  unit_details[Leased Date], "&gt;=" &amp; ($U$2 - $AF$3)
),0)</f>
        <v>0</v>
      </c>
      <c r="AF119" s="528" cm="1">
        <f t="array" aca="1" ref="AF119" ca="1">IFERROR(AVERAGEIFS(
  unit_details[Sqft],
  unit_details[Property Name], INDIRECT("B"&amp;ROW()),
  unit_details[Floorplan Name], INDIRECT("C"&amp;ROW()),
  unit_details[Beds], INDIRECT("D"&amp;ROW()),
  unit_details[Detected Unit Amenities], "&lt;&gt;*"&amp;$AD$3&amp;"*",
  unit_details[Leased Date], "&gt;=" &amp; ($U$2 - $AF$3)
),0)</f>
        <v>0</v>
      </c>
      <c r="AG119" s="527" cm="1">
        <f t="array" aca="1" ref="AG1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19" s="526" cm="1">
        <f t="array" aca="1" ref="AH119" ca="1">IFERROR(COUNTIFS(
  unit_details[Property Name], INDIRECT("B"&amp;ROW()),
  unit_details[Floorplan Name], INDIRECT("C"&amp;ROW()),
  unit_details[Beds], INDIRECT("D"&amp;ROW()),
  unit_details[Detected Unit Amenities], "&lt;&gt;*"&amp;$AD$3&amp;"*",
  unit_details[Leased Date], "&gt;=" &amp; ($U$2 - $AF$3)
),0)</f>
        <v>0</v>
      </c>
      <c r="AI119" s="528"/>
      <c r="AJ119" s="531">
        <f t="shared" ca="1" si="4"/>
        <v>0</v>
      </c>
      <c r="AK119" s="532">
        <f t="shared" ca="1" si="5"/>
        <v>0</v>
      </c>
    </row>
    <row r="120" spans="2:37" x14ac:dyDescent="0.2">
      <c r="B120" s="566"/>
      <c r="C120" s="53"/>
      <c r="E120" s="262"/>
      <c r="F120" s="262"/>
      <c r="J120" s="293"/>
      <c r="K120" s="6"/>
      <c r="M120" s="6"/>
      <c r="N120" s="531" t="str" cm="1">
        <f t="array" aca="1" ref="N12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0" s="552" t="str" cm="1">
        <f t="array" aca="1" ref="O12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0" s="526" cm="1">
        <f t="array" aca="1" ref="P120" ca="1">COUNTIFS(unit_details[Leased Date], "&gt;=" &amp; ($U$2 - N$5),
          unit_details[Leased Date], "&lt;" &amp; $U$2,
          unit_details[Floorplan Name], INDIRECT("C"&amp;ROW()),
          unit_details[Property Name], INDIRECT("B"&amp;ROW()))</f>
        <v>0</v>
      </c>
      <c r="Q120" s="531" t="str" cm="1">
        <f t="array" aca="1" ref="Q12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0" s="552" t="str" cm="1">
        <f t="array" aca="1" ref="R12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0" s="526" cm="1">
        <f t="array" aca="1" ref="S120" ca="1">COUNTIFS(unit_details[Leased Date], "&gt;=" &amp; ($U$2 - Q$5),
          unit_details[Leased Date], "&lt;" &amp; $U$2,
          unit_details[Floorplan Name], INDIRECT("C"&amp;ROW()),
          unit_details[Property Name], INDIRECT("B"&amp;ROW()))</f>
        <v>0</v>
      </c>
      <c r="T120" s="531" t="str" cm="1">
        <f t="array" aca="1" ref="T12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0" s="552" t="str" cm="1">
        <f t="array" aca="1" ref="U12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0" s="526" cm="1">
        <f t="array" aca="1" ref="V120" ca="1">COUNTIFS(unit_details[Leased Date], "&gt;=" &amp; ($U$2 - T$5),
          unit_details[Leased Date], "&lt;" &amp; $U$2,
          unit_details[Floorplan Name], INDIRECT("C"&amp;ROW()),
          unit_details[Property Name], INDIRECT("B"&amp;ROW()))</f>
        <v>0</v>
      </c>
      <c r="W120" s="531" t="str" cm="1">
        <f t="array" aca="1" ref="W12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0" s="552" t="str" cm="1">
        <f t="array" aca="1" ref="X12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0" s="27" t="str">
        <f t="shared" ca="1" si="3"/>
        <v/>
      </c>
      <c r="Z120" s="4" t="str">
        <f>IFERROR($U$2-AVERAGEIFS(unit_details[First Listed],
          unit_details[Active Listing?],TRUE,
          unit_details[Property Name], $B120,
          unit_details[Beds], $D120,
          unit_details[Baths], $E120,
          unit_details[Partial Baths], IF(ISNUMBER($F120),$F120,""),
          unit_details[Floorplan Name],$C120
),"")</f>
        <v/>
      </c>
      <c r="AA120" s="262" cm="1">
        <f t="array" aca="1" ref="AA120" ca="1">COUNTIFS(unit_details[Active Listing?],TRUE,
          unit_details[Floorplan Name], INDIRECT("C"&amp;ROW()),
          unit_details[Property Name], INDIRECT("B"&amp;ROW()))</f>
        <v>0</v>
      </c>
      <c r="AB120" s="553"/>
      <c r="AC120" s="528" cm="1">
        <f t="array" aca="1" ref="AC120" ca="1">IFERROR(AVERAGEIFS(
  unit_details[Sqft],
  unit_details[Property Name], INDIRECT("B"&amp;ROW()),
  unit_details[Floorplan Name], INDIRECT("C"&amp;ROW()),
  unit_details[Beds], INDIRECT("D"&amp;ROW()),
  unit_details[Detected Unit Amenities], "*"&amp;$AD$3&amp;"*",
  unit_details[Leased Date], "&gt;=" &amp; ($U$2 - $AF$3)
),0)</f>
        <v>0</v>
      </c>
      <c r="AD120" s="527" cm="1">
        <f t="array" aca="1" ref="AD1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0" s="526" cm="1">
        <f t="array" aca="1" ref="AE120" ca="1">IFERROR(COUNTIFS(
  unit_details[Property Name], INDIRECT("B"&amp;ROW()),
  unit_details[Floorplan Name], INDIRECT("C"&amp;ROW()),
  unit_details[Beds], INDIRECT("D"&amp;ROW()),
  unit_details[Detected Unit Amenities], "*"&amp;$AD$3&amp;"*",
  unit_details[Leased Date], "&gt;=" &amp; ($U$2 - $AF$3)
),0)</f>
        <v>0</v>
      </c>
      <c r="AF120" s="528" cm="1">
        <f t="array" aca="1" ref="AF120" ca="1">IFERROR(AVERAGEIFS(
  unit_details[Sqft],
  unit_details[Property Name], INDIRECT("B"&amp;ROW()),
  unit_details[Floorplan Name], INDIRECT("C"&amp;ROW()),
  unit_details[Beds], INDIRECT("D"&amp;ROW()),
  unit_details[Detected Unit Amenities], "&lt;&gt;*"&amp;$AD$3&amp;"*",
  unit_details[Leased Date], "&gt;=" &amp; ($U$2 - $AF$3)
),0)</f>
        <v>0</v>
      </c>
      <c r="AG120" s="527" cm="1">
        <f t="array" aca="1" ref="AG1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0" s="526" cm="1">
        <f t="array" aca="1" ref="AH120" ca="1">IFERROR(COUNTIFS(
  unit_details[Property Name], INDIRECT("B"&amp;ROW()),
  unit_details[Floorplan Name], INDIRECT("C"&amp;ROW()),
  unit_details[Beds], INDIRECT("D"&amp;ROW()),
  unit_details[Detected Unit Amenities], "&lt;&gt;*"&amp;$AD$3&amp;"*",
  unit_details[Leased Date], "&gt;=" &amp; ($U$2 - $AF$3)
),0)</f>
        <v>0</v>
      </c>
      <c r="AI120" s="528"/>
      <c r="AJ120" s="531">
        <f t="shared" ca="1" si="4"/>
        <v>0</v>
      </c>
      <c r="AK120" s="532">
        <f t="shared" ca="1" si="5"/>
        <v>0</v>
      </c>
    </row>
    <row r="121" spans="2:37" x14ac:dyDescent="0.2">
      <c r="B121" s="566"/>
      <c r="C121" s="53"/>
      <c r="E121" s="262"/>
      <c r="F121" s="262"/>
      <c r="J121" s="293"/>
      <c r="K121" s="6"/>
      <c r="M121" s="6"/>
      <c r="N121" s="531" t="str" cm="1">
        <f t="array" aca="1" ref="N12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1" s="552" t="str" cm="1">
        <f t="array" aca="1" ref="O12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1" s="526" cm="1">
        <f t="array" aca="1" ref="P121" ca="1">COUNTIFS(unit_details[Leased Date], "&gt;=" &amp; ($U$2 - N$5),
          unit_details[Leased Date], "&lt;" &amp; $U$2,
          unit_details[Floorplan Name], INDIRECT("C"&amp;ROW()),
          unit_details[Property Name], INDIRECT("B"&amp;ROW()))</f>
        <v>0</v>
      </c>
      <c r="Q121" s="531" t="str" cm="1">
        <f t="array" aca="1" ref="Q12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1" s="552" t="str" cm="1">
        <f t="array" aca="1" ref="R12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1" s="526" cm="1">
        <f t="array" aca="1" ref="S121" ca="1">COUNTIFS(unit_details[Leased Date], "&gt;=" &amp; ($U$2 - Q$5),
          unit_details[Leased Date], "&lt;" &amp; $U$2,
          unit_details[Floorplan Name], INDIRECT("C"&amp;ROW()),
          unit_details[Property Name], INDIRECT("B"&amp;ROW()))</f>
        <v>0</v>
      </c>
      <c r="T121" s="531" t="str" cm="1">
        <f t="array" aca="1" ref="T12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1" s="552" t="str" cm="1">
        <f t="array" aca="1" ref="U12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1" s="526" cm="1">
        <f t="array" aca="1" ref="V121" ca="1">COUNTIFS(unit_details[Leased Date], "&gt;=" &amp; ($U$2 - T$5),
          unit_details[Leased Date], "&lt;" &amp; $U$2,
          unit_details[Floorplan Name], INDIRECT("C"&amp;ROW()),
          unit_details[Property Name], INDIRECT("B"&amp;ROW()))</f>
        <v>0</v>
      </c>
      <c r="W121" s="531" t="str" cm="1">
        <f t="array" aca="1" ref="W12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1" s="552" t="str" cm="1">
        <f t="array" aca="1" ref="X12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1" s="27" t="str">
        <f t="shared" ca="1" si="3"/>
        <v/>
      </c>
      <c r="Z121" s="4" t="str">
        <f>IFERROR($U$2-AVERAGEIFS(unit_details[First Listed],
          unit_details[Active Listing?],TRUE,
          unit_details[Property Name], $B121,
          unit_details[Beds], $D121,
          unit_details[Baths], $E121,
          unit_details[Partial Baths], IF(ISNUMBER($F121),$F121,""),
          unit_details[Floorplan Name],$C121
),"")</f>
        <v/>
      </c>
      <c r="AA121" s="262" cm="1">
        <f t="array" aca="1" ref="AA121" ca="1">COUNTIFS(unit_details[Active Listing?],TRUE,
          unit_details[Floorplan Name], INDIRECT("C"&amp;ROW()),
          unit_details[Property Name], INDIRECT("B"&amp;ROW()))</f>
        <v>0</v>
      </c>
      <c r="AB121" s="553"/>
      <c r="AC121" s="528" cm="1">
        <f t="array" aca="1" ref="AC121" ca="1">IFERROR(AVERAGEIFS(
  unit_details[Sqft],
  unit_details[Property Name], INDIRECT("B"&amp;ROW()),
  unit_details[Floorplan Name], INDIRECT("C"&amp;ROW()),
  unit_details[Beds], INDIRECT("D"&amp;ROW()),
  unit_details[Detected Unit Amenities], "*"&amp;$AD$3&amp;"*",
  unit_details[Leased Date], "&gt;=" &amp; ($U$2 - $AF$3)
),0)</f>
        <v>0</v>
      </c>
      <c r="AD121" s="527" cm="1">
        <f t="array" aca="1" ref="AD1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1" s="526" cm="1">
        <f t="array" aca="1" ref="AE121" ca="1">IFERROR(COUNTIFS(
  unit_details[Property Name], INDIRECT("B"&amp;ROW()),
  unit_details[Floorplan Name], INDIRECT("C"&amp;ROW()),
  unit_details[Beds], INDIRECT("D"&amp;ROW()),
  unit_details[Detected Unit Amenities], "*"&amp;$AD$3&amp;"*",
  unit_details[Leased Date], "&gt;=" &amp; ($U$2 - $AF$3)
),0)</f>
        <v>0</v>
      </c>
      <c r="AF121" s="528" cm="1">
        <f t="array" aca="1" ref="AF121" ca="1">IFERROR(AVERAGEIFS(
  unit_details[Sqft],
  unit_details[Property Name], INDIRECT("B"&amp;ROW()),
  unit_details[Floorplan Name], INDIRECT("C"&amp;ROW()),
  unit_details[Beds], INDIRECT("D"&amp;ROW()),
  unit_details[Detected Unit Amenities], "&lt;&gt;*"&amp;$AD$3&amp;"*",
  unit_details[Leased Date], "&gt;=" &amp; ($U$2 - $AF$3)
),0)</f>
        <v>0</v>
      </c>
      <c r="AG121" s="527" cm="1">
        <f t="array" aca="1" ref="AG1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1" s="526" cm="1">
        <f t="array" aca="1" ref="AH121" ca="1">IFERROR(COUNTIFS(
  unit_details[Property Name], INDIRECT("B"&amp;ROW()),
  unit_details[Floorplan Name], INDIRECT("C"&amp;ROW()),
  unit_details[Beds], INDIRECT("D"&amp;ROW()),
  unit_details[Detected Unit Amenities], "&lt;&gt;*"&amp;$AD$3&amp;"*",
  unit_details[Leased Date], "&gt;=" &amp; ($U$2 - $AF$3)
),0)</f>
        <v>0</v>
      </c>
      <c r="AI121" s="528"/>
      <c r="AJ121" s="531">
        <f t="shared" ca="1" si="4"/>
        <v>0</v>
      </c>
      <c r="AK121" s="532">
        <f t="shared" ca="1" si="5"/>
        <v>0</v>
      </c>
    </row>
    <row r="122" spans="2:37" x14ac:dyDescent="0.2">
      <c r="B122" s="566"/>
      <c r="C122" s="53"/>
      <c r="E122" s="262"/>
      <c r="F122" s="262"/>
      <c r="J122" s="293"/>
      <c r="K122" s="6"/>
      <c r="M122" s="6"/>
      <c r="N122" s="531" t="str" cm="1">
        <f t="array" aca="1" ref="N12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2" s="552" t="str" cm="1">
        <f t="array" aca="1" ref="O12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2" s="526" cm="1">
        <f t="array" aca="1" ref="P122" ca="1">COUNTIFS(unit_details[Leased Date], "&gt;=" &amp; ($U$2 - N$5),
          unit_details[Leased Date], "&lt;" &amp; $U$2,
          unit_details[Floorplan Name], INDIRECT("C"&amp;ROW()),
          unit_details[Property Name], INDIRECT("B"&amp;ROW()))</f>
        <v>0</v>
      </c>
      <c r="Q122" s="531" t="str" cm="1">
        <f t="array" aca="1" ref="Q12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2" s="552" t="str" cm="1">
        <f t="array" aca="1" ref="R12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2" s="526" cm="1">
        <f t="array" aca="1" ref="S122" ca="1">COUNTIFS(unit_details[Leased Date], "&gt;=" &amp; ($U$2 - Q$5),
          unit_details[Leased Date], "&lt;" &amp; $U$2,
          unit_details[Floorplan Name], INDIRECT("C"&amp;ROW()),
          unit_details[Property Name], INDIRECT("B"&amp;ROW()))</f>
        <v>0</v>
      </c>
      <c r="T122" s="531" t="str" cm="1">
        <f t="array" aca="1" ref="T12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2" s="552" t="str" cm="1">
        <f t="array" aca="1" ref="U12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2" s="526" cm="1">
        <f t="array" aca="1" ref="V122" ca="1">COUNTIFS(unit_details[Leased Date], "&gt;=" &amp; ($U$2 - T$5),
          unit_details[Leased Date], "&lt;" &amp; $U$2,
          unit_details[Floorplan Name], INDIRECT("C"&amp;ROW()),
          unit_details[Property Name], INDIRECT("B"&amp;ROW()))</f>
        <v>0</v>
      </c>
      <c r="W122" s="531" t="str" cm="1">
        <f t="array" aca="1" ref="W12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2" s="552" t="str" cm="1">
        <f t="array" aca="1" ref="X12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2" s="27" t="str">
        <f t="shared" ca="1" si="3"/>
        <v/>
      </c>
      <c r="Z122" s="4" t="str">
        <f>IFERROR($U$2-AVERAGEIFS(unit_details[First Listed],
          unit_details[Active Listing?],TRUE,
          unit_details[Property Name], $B122,
          unit_details[Beds], $D122,
          unit_details[Baths], $E122,
          unit_details[Partial Baths], IF(ISNUMBER($F122),$F122,""),
          unit_details[Floorplan Name],$C122
),"")</f>
        <v/>
      </c>
      <c r="AA122" s="262" cm="1">
        <f t="array" aca="1" ref="AA122" ca="1">COUNTIFS(unit_details[Active Listing?],TRUE,
          unit_details[Floorplan Name], INDIRECT("C"&amp;ROW()),
          unit_details[Property Name], INDIRECT("B"&amp;ROW()))</f>
        <v>0</v>
      </c>
      <c r="AB122" s="553"/>
      <c r="AC122" s="528" cm="1">
        <f t="array" aca="1" ref="AC122" ca="1">IFERROR(AVERAGEIFS(
  unit_details[Sqft],
  unit_details[Property Name], INDIRECT("B"&amp;ROW()),
  unit_details[Floorplan Name], INDIRECT("C"&amp;ROW()),
  unit_details[Beds], INDIRECT("D"&amp;ROW()),
  unit_details[Detected Unit Amenities], "*"&amp;$AD$3&amp;"*",
  unit_details[Leased Date], "&gt;=" &amp; ($U$2 - $AF$3)
),0)</f>
        <v>0</v>
      </c>
      <c r="AD122" s="527" cm="1">
        <f t="array" aca="1" ref="AD1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2" s="526" cm="1">
        <f t="array" aca="1" ref="AE122" ca="1">IFERROR(COUNTIFS(
  unit_details[Property Name], INDIRECT("B"&amp;ROW()),
  unit_details[Floorplan Name], INDIRECT("C"&amp;ROW()),
  unit_details[Beds], INDIRECT("D"&amp;ROW()),
  unit_details[Detected Unit Amenities], "*"&amp;$AD$3&amp;"*",
  unit_details[Leased Date], "&gt;=" &amp; ($U$2 - $AF$3)
),0)</f>
        <v>0</v>
      </c>
      <c r="AF122" s="528" cm="1">
        <f t="array" aca="1" ref="AF122" ca="1">IFERROR(AVERAGEIFS(
  unit_details[Sqft],
  unit_details[Property Name], INDIRECT("B"&amp;ROW()),
  unit_details[Floorplan Name], INDIRECT("C"&amp;ROW()),
  unit_details[Beds], INDIRECT("D"&amp;ROW()),
  unit_details[Detected Unit Amenities], "&lt;&gt;*"&amp;$AD$3&amp;"*",
  unit_details[Leased Date], "&gt;=" &amp; ($U$2 - $AF$3)
),0)</f>
        <v>0</v>
      </c>
      <c r="AG122" s="527" cm="1">
        <f t="array" aca="1" ref="AG1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2" s="526" cm="1">
        <f t="array" aca="1" ref="AH122" ca="1">IFERROR(COUNTIFS(
  unit_details[Property Name], INDIRECT("B"&amp;ROW()),
  unit_details[Floorplan Name], INDIRECT("C"&amp;ROW()),
  unit_details[Beds], INDIRECT("D"&amp;ROW()),
  unit_details[Detected Unit Amenities], "&lt;&gt;*"&amp;$AD$3&amp;"*",
  unit_details[Leased Date], "&gt;=" &amp; ($U$2 - $AF$3)
),0)</f>
        <v>0</v>
      </c>
      <c r="AI122" s="528"/>
      <c r="AJ122" s="531">
        <f t="shared" ca="1" si="4"/>
        <v>0</v>
      </c>
      <c r="AK122" s="532">
        <f t="shared" ca="1" si="5"/>
        <v>0</v>
      </c>
    </row>
    <row r="123" spans="2:37" x14ac:dyDescent="0.2">
      <c r="B123" s="566"/>
      <c r="C123" s="53"/>
      <c r="E123" s="262"/>
      <c r="F123" s="262"/>
      <c r="J123" s="293"/>
      <c r="K123" s="6"/>
      <c r="M123" s="6"/>
      <c r="N123" s="531" t="str" cm="1">
        <f t="array" aca="1" ref="N12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3" s="552" t="str" cm="1">
        <f t="array" aca="1" ref="O12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3" s="526" cm="1">
        <f t="array" aca="1" ref="P123" ca="1">COUNTIFS(unit_details[Leased Date], "&gt;=" &amp; ($U$2 - N$5),
          unit_details[Leased Date], "&lt;" &amp; $U$2,
          unit_details[Floorplan Name], INDIRECT("C"&amp;ROW()),
          unit_details[Property Name], INDIRECT("B"&amp;ROW()))</f>
        <v>0</v>
      </c>
      <c r="Q123" s="531" t="str" cm="1">
        <f t="array" aca="1" ref="Q12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3" s="552" t="str" cm="1">
        <f t="array" aca="1" ref="R12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3" s="526" cm="1">
        <f t="array" aca="1" ref="S123" ca="1">COUNTIFS(unit_details[Leased Date], "&gt;=" &amp; ($U$2 - Q$5),
          unit_details[Leased Date], "&lt;" &amp; $U$2,
          unit_details[Floorplan Name], INDIRECT("C"&amp;ROW()),
          unit_details[Property Name], INDIRECT("B"&amp;ROW()))</f>
        <v>0</v>
      </c>
      <c r="T123" s="531" t="str" cm="1">
        <f t="array" aca="1" ref="T12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3" s="552" t="str" cm="1">
        <f t="array" aca="1" ref="U12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3" s="526" cm="1">
        <f t="array" aca="1" ref="V123" ca="1">COUNTIFS(unit_details[Leased Date], "&gt;=" &amp; ($U$2 - T$5),
          unit_details[Leased Date], "&lt;" &amp; $U$2,
          unit_details[Floorplan Name], INDIRECT("C"&amp;ROW()),
          unit_details[Property Name], INDIRECT("B"&amp;ROW()))</f>
        <v>0</v>
      </c>
      <c r="W123" s="531" t="str" cm="1">
        <f t="array" aca="1" ref="W12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3" s="552" t="str" cm="1">
        <f t="array" aca="1" ref="X12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3" s="27" t="str">
        <f t="shared" ca="1" si="3"/>
        <v/>
      </c>
      <c r="Z123" s="4" t="str">
        <f>IFERROR($U$2-AVERAGEIFS(unit_details[First Listed],
          unit_details[Active Listing?],TRUE,
          unit_details[Property Name], $B123,
          unit_details[Beds], $D123,
          unit_details[Baths], $E123,
          unit_details[Partial Baths], IF(ISNUMBER($F123),$F123,""),
          unit_details[Floorplan Name],$C123
),"")</f>
        <v/>
      </c>
      <c r="AA123" s="262" cm="1">
        <f t="array" aca="1" ref="AA123" ca="1">COUNTIFS(unit_details[Active Listing?],TRUE,
          unit_details[Floorplan Name], INDIRECT("C"&amp;ROW()),
          unit_details[Property Name], INDIRECT("B"&amp;ROW()))</f>
        <v>0</v>
      </c>
      <c r="AB123" s="553"/>
      <c r="AC123" s="528" cm="1">
        <f t="array" aca="1" ref="AC123" ca="1">IFERROR(AVERAGEIFS(
  unit_details[Sqft],
  unit_details[Property Name], INDIRECT("B"&amp;ROW()),
  unit_details[Floorplan Name], INDIRECT("C"&amp;ROW()),
  unit_details[Beds], INDIRECT("D"&amp;ROW()),
  unit_details[Detected Unit Amenities], "*"&amp;$AD$3&amp;"*",
  unit_details[Leased Date], "&gt;=" &amp; ($U$2 - $AF$3)
),0)</f>
        <v>0</v>
      </c>
      <c r="AD123" s="527" cm="1">
        <f t="array" aca="1" ref="AD1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3" s="526" cm="1">
        <f t="array" aca="1" ref="AE123" ca="1">IFERROR(COUNTIFS(
  unit_details[Property Name], INDIRECT("B"&amp;ROW()),
  unit_details[Floorplan Name], INDIRECT("C"&amp;ROW()),
  unit_details[Beds], INDIRECT("D"&amp;ROW()),
  unit_details[Detected Unit Amenities], "*"&amp;$AD$3&amp;"*",
  unit_details[Leased Date], "&gt;=" &amp; ($U$2 - $AF$3)
),0)</f>
        <v>0</v>
      </c>
      <c r="AF123" s="528" cm="1">
        <f t="array" aca="1" ref="AF123" ca="1">IFERROR(AVERAGEIFS(
  unit_details[Sqft],
  unit_details[Property Name], INDIRECT("B"&amp;ROW()),
  unit_details[Floorplan Name], INDIRECT("C"&amp;ROW()),
  unit_details[Beds], INDIRECT("D"&amp;ROW()),
  unit_details[Detected Unit Amenities], "&lt;&gt;*"&amp;$AD$3&amp;"*",
  unit_details[Leased Date], "&gt;=" &amp; ($U$2 - $AF$3)
),0)</f>
        <v>0</v>
      </c>
      <c r="AG123" s="527" cm="1">
        <f t="array" aca="1" ref="AG1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3" s="526" cm="1">
        <f t="array" aca="1" ref="AH123" ca="1">IFERROR(COUNTIFS(
  unit_details[Property Name], INDIRECT("B"&amp;ROW()),
  unit_details[Floorplan Name], INDIRECT("C"&amp;ROW()),
  unit_details[Beds], INDIRECT("D"&amp;ROW()),
  unit_details[Detected Unit Amenities], "&lt;&gt;*"&amp;$AD$3&amp;"*",
  unit_details[Leased Date], "&gt;=" &amp; ($U$2 - $AF$3)
),0)</f>
        <v>0</v>
      </c>
      <c r="AI123" s="528"/>
      <c r="AJ123" s="531">
        <f t="shared" ca="1" si="4"/>
        <v>0</v>
      </c>
      <c r="AK123" s="532">
        <f t="shared" ca="1" si="5"/>
        <v>0</v>
      </c>
    </row>
    <row r="124" spans="2:37" x14ac:dyDescent="0.2">
      <c r="B124" s="566"/>
      <c r="C124" s="53"/>
      <c r="E124" s="262"/>
      <c r="F124" s="262"/>
      <c r="J124" s="293"/>
      <c r="K124" s="6"/>
      <c r="M124" s="6"/>
      <c r="N124" s="531" t="str" cm="1">
        <f t="array" aca="1" ref="N12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4" s="552" t="str" cm="1">
        <f t="array" aca="1" ref="O12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4" s="526" cm="1">
        <f t="array" aca="1" ref="P124" ca="1">COUNTIFS(unit_details[Leased Date], "&gt;=" &amp; ($U$2 - N$5),
          unit_details[Leased Date], "&lt;" &amp; $U$2,
          unit_details[Floorplan Name], INDIRECT("C"&amp;ROW()),
          unit_details[Property Name], INDIRECT("B"&amp;ROW()))</f>
        <v>0</v>
      </c>
      <c r="Q124" s="531" t="str" cm="1">
        <f t="array" aca="1" ref="Q12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4" s="552" t="str" cm="1">
        <f t="array" aca="1" ref="R12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4" s="526" cm="1">
        <f t="array" aca="1" ref="S124" ca="1">COUNTIFS(unit_details[Leased Date], "&gt;=" &amp; ($U$2 - Q$5),
          unit_details[Leased Date], "&lt;" &amp; $U$2,
          unit_details[Floorplan Name], INDIRECT("C"&amp;ROW()),
          unit_details[Property Name], INDIRECT("B"&amp;ROW()))</f>
        <v>0</v>
      </c>
      <c r="T124" s="531" t="str" cm="1">
        <f t="array" aca="1" ref="T12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4" s="552" t="str" cm="1">
        <f t="array" aca="1" ref="U12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4" s="526" cm="1">
        <f t="array" aca="1" ref="V124" ca="1">COUNTIFS(unit_details[Leased Date], "&gt;=" &amp; ($U$2 - T$5),
          unit_details[Leased Date], "&lt;" &amp; $U$2,
          unit_details[Floorplan Name], INDIRECT("C"&amp;ROW()),
          unit_details[Property Name], INDIRECT("B"&amp;ROW()))</f>
        <v>0</v>
      </c>
      <c r="W124" s="531" t="str" cm="1">
        <f t="array" aca="1" ref="W12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4" s="552" t="str" cm="1">
        <f t="array" aca="1" ref="X12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4" s="27" t="str">
        <f t="shared" ca="1" si="3"/>
        <v/>
      </c>
      <c r="Z124" s="4" t="str">
        <f>IFERROR($U$2-AVERAGEIFS(unit_details[First Listed],
          unit_details[Active Listing?],TRUE,
          unit_details[Property Name], $B124,
          unit_details[Beds], $D124,
          unit_details[Baths], $E124,
          unit_details[Partial Baths], IF(ISNUMBER($F124),$F124,""),
          unit_details[Floorplan Name],$C124
),"")</f>
        <v/>
      </c>
      <c r="AA124" s="262" cm="1">
        <f t="array" aca="1" ref="AA124" ca="1">COUNTIFS(unit_details[Active Listing?],TRUE,
          unit_details[Floorplan Name], INDIRECT("C"&amp;ROW()),
          unit_details[Property Name], INDIRECT("B"&amp;ROW()))</f>
        <v>0</v>
      </c>
      <c r="AB124" s="553"/>
      <c r="AC124" s="528" cm="1">
        <f t="array" aca="1" ref="AC124" ca="1">IFERROR(AVERAGEIFS(
  unit_details[Sqft],
  unit_details[Property Name], INDIRECT("B"&amp;ROW()),
  unit_details[Floorplan Name], INDIRECT("C"&amp;ROW()),
  unit_details[Beds], INDIRECT("D"&amp;ROW()),
  unit_details[Detected Unit Amenities], "*"&amp;$AD$3&amp;"*",
  unit_details[Leased Date], "&gt;=" &amp; ($U$2 - $AF$3)
),0)</f>
        <v>0</v>
      </c>
      <c r="AD124" s="527" cm="1">
        <f t="array" aca="1" ref="AD1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4" s="526" cm="1">
        <f t="array" aca="1" ref="AE124" ca="1">IFERROR(COUNTIFS(
  unit_details[Property Name], INDIRECT("B"&amp;ROW()),
  unit_details[Floorplan Name], INDIRECT("C"&amp;ROW()),
  unit_details[Beds], INDIRECT("D"&amp;ROW()),
  unit_details[Detected Unit Amenities], "*"&amp;$AD$3&amp;"*",
  unit_details[Leased Date], "&gt;=" &amp; ($U$2 - $AF$3)
),0)</f>
        <v>0</v>
      </c>
      <c r="AF124" s="528" cm="1">
        <f t="array" aca="1" ref="AF124" ca="1">IFERROR(AVERAGEIFS(
  unit_details[Sqft],
  unit_details[Property Name], INDIRECT("B"&amp;ROW()),
  unit_details[Floorplan Name], INDIRECT("C"&amp;ROW()),
  unit_details[Beds], INDIRECT("D"&amp;ROW()),
  unit_details[Detected Unit Amenities], "&lt;&gt;*"&amp;$AD$3&amp;"*",
  unit_details[Leased Date], "&gt;=" &amp; ($U$2 - $AF$3)
),0)</f>
        <v>0</v>
      </c>
      <c r="AG124" s="527" cm="1">
        <f t="array" aca="1" ref="AG1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4" s="526" cm="1">
        <f t="array" aca="1" ref="AH124" ca="1">IFERROR(COUNTIFS(
  unit_details[Property Name], INDIRECT("B"&amp;ROW()),
  unit_details[Floorplan Name], INDIRECT("C"&amp;ROW()),
  unit_details[Beds], INDIRECT("D"&amp;ROW()),
  unit_details[Detected Unit Amenities], "&lt;&gt;*"&amp;$AD$3&amp;"*",
  unit_details[Leased Date], "&gt;=" &amp; ($U$2 - $AF$3)
),0)</f>
        <v>0</v>
      </c>
      <c r="AI124" s="528"/>
      <c r="AJ124" s="531">
        <f t="shared" ca="1" si="4"/>
        <v>0</v>
      </c>
      <c r="AK124" s="532">
        <f t="shared" ca="1" si="5"/>
        <v>0</v>
      </c>
    </row>
    <row r="125" spans="2:37" x14ac:dyDescent="0.2">
      <c r="B125" s="566"/>
      <c r="C125" s="53"/>
      <c r="E125" s="262"/>
      <c r="F125" s="262"/>
      <c r="J125" s="293"/>
      <c r="K125" s="6"/>
      <c r="M125" s="6"/>
      <c r="N125" s="531" t="str" cm="1">
        <f t="array" aca="1" ref="N12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5" s="552" t="str" cm="1">
        <f t="array" aca="1" ref="O12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5" s="526" cm="1">
        <f t="array" aca="1" ref="P125" ca="1">COUNTIFS(unit_details[Leased Date], "&gt;=" &amp; ($U$2 - N$5),
          unit_details[Leased Date], "&lt;" &amp; $U$2,
          unit_details[Floorplan Name], INDIRECT("C"&amp;ROW()),
          unit_details[Property Name], INDIRECT("B"&amp;ROW()))</f>
        <v>0</v>
      </c>
      <c r="Q125" s="531" t="str" cm="1">
        <f t="array" aca="1" ref="Q12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5" s="552" t="str" cm="1">
        <f t="array" aca="1" ref="R12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5" s="526" cm="1">
        <f t="array" aca="1" ref="S125" ca="1">COUNTIFS(unit_details[Leased Date], "&gt;=" &amp; ($U$2 - Q$5),
          unit_details[Leased Date], "&lt;" &amp; $U$2,
          unit_details[Floorplan Name], INDIRECT("C"&amp;ROW()),
          unit_details[Property Name], INDIRECT("B"&amp;ROW()))</f>
        <v>0</v>
      </c>
      <c r="T125" s="531" t="str" cm="1">
        <f t="array" aca="1" ref="T12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5" s="552" t="str" cm="1">
        <f t="array" aca="1" ref="U12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5" s="526" cm="1">
        <f t="array" aca="1" ref="V125" ca="1">COUNTIFS(unit_details[Leased Date], "&gt;=" &amp; ($U$2 - T$5),
          unit_details[Leased Date], "&lt;" &amp; $U$2,
          unit_details[Floorplan Name], INDIRECT("C"&amp;ROW()),
          unit_details[Property Name], INDIRECT("B"&amp;ROW()))</f>
        <v>0</v>
      </c>
      <c r="W125" s="531" t="str" cm="1">
        <f t="array" aca="1" ref="W12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5" s="552" t="str" cm="1">
        <f t="array" aca="1" ref="X12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5" s="27" t="str">
        <f t="shared" ca="1" si="3"/>
        <v/>
      </c>
      <c r="Z125" s="4" t="str">
        <f>IFERROR($U$2-AVERAGEIFS(unit_details[First Listed],
          unit_details[Active Listing?],TRUE,
          unit_details[Property Name], $B125,
          unit_details[Beds], $D125,
          unit_details[Baths], $E125,
          unit_details[Partial Baths], IF(ISNUMBER($F125),$F125,""),
          unit_details[Floorplan Name],$C125
),"")</f>
        <v/>
      </c>
      <c r="AA125" s="262" cm="1">
        <f t="array" aca="1" ref="AA125" ca="1">COUNTIFS(unit_details[Active Listing?],TRUE,
          unit_details[Floorplan Name], INDIRECT("C"&amp;ROW()),
          unit_details[Property Name], INDIRECT("B"&amp;ROW()))</f>
        <v>0</v>
      </c>
      <c r="AB125" s="553"/>
      <c r="AC125" s="528" cm="1">
        <f t="array" aca="1" ref="AC125" ca="1">IFERROR(AVERAGEIFS(
  unit_details[Sqft],
  unit_details[Property Name], INDIRECT("B"&amp;ROW()),
  unit_details[Floorplan Name], INDIRECT("C"&amp;ROW()),
  unit_details[Beds], INDIRECT("D"&amp;ROW()),
  unit_details[Detected Unit Amenities], "*"&amp;$AD$3&amp;"*",
  unit_details[Leased Date], "&gt;=" &amp; ($U$2 - $AF$3)
),0)</f>
        <v>0</v>
      </c>
      <c r="AD125" s="527" cm="1">
        <f t="array" aca="1" ref="AD1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5" s="526" cm="1">
        <f t="array" aca="1" ref="AE125" ca="1">IFERROR(COUNTIFS(
  unit_details[Property Name], INDIRECT("B"&amp;ROW()),
  unit_details[Floorplan Name], INDIRECT("C"&amp;ROW()),
  unit_details[Beds], INDIRECT("D"&amp;ROW()),
  unit_details[Detected Unit Amenities], "*"&amp;$AD$3&amp;"*",
  unit_details[Leased Date], "&gt;=" &amp; ($U$2 - $AF$3)
),0)</f>
        <v>0</v>
      </c>
      <c r="AF125" s="528" cm="1">
        <f t="array" aca="1" ref="AF125" ca="1">IFERROR(AVERAGEIFS(
  unit_details[Sqft],
  unit_details[Property Name], INDIRECT("B"&amp;ROW()),
  unit_details[Floorplan Name], INDIRECT("C"&amp;ROW()),
  unit_details[Beds], INDIRECT("D"&amp;ROW()),
  unit_details[Detected Unit Amenities], "&lt;&gt;*"&amp;$AD$3&amp;"*",
  unit_details[Leased Date], "&gt;=" &amp; ($U$2 - $AF$3)
),0)</f>
        <v>0</v>
      </c>
      <c r="AG125" s="527" cm="1">
        <f t="array" aca="1" ref="AG1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5" s="526" cm="1">
        <f t="array" aca="1" ref="AH125" ca="1">IFERROR(COUNTIFS(
  unit_details[Property Name], INDIRECT("B"&amp;ROW()),
  unit_details[Floorplan Name], INDIRECT("C"&amp;ROW()),
  unit_details[Beds], INDIRECT("D"&amp;ROW()),
  unit_details[Detected Unit Amenities], "&lt;&gt;*"&amp;$AD$3&amp;"*",
  unit_details[Leased Date], "&gt;=" &amp; ($U$2 - $AF$3)
),0)</f>
        <v>0</v>
      </c>
      <c r="AI125" s="528"/>
      <c r="AJ125" s="531">
        <f t="shared" ca="1" si="4"/>
        <v>0</v>
      </c>
      <c r="AK125" s="532">
        <f t="shared" ca="1" si="5"/>
        <v>0</v>
      </c>
    </row>
    <row r="126" spans="2:37" x14ac:dyDescent="0.2">
      <c r="B126" s="566"/>
      <c r="C126" s="53"/>
      <c r="E126" s="262"/>
      <c r="F126" s="262"/>
      <c r="J126" s="293"/>
      <c r="K126" s="6"/>
      <c r="M126" s="6"/>
      <c r="N126" s="531" t="str" cm="1">
        <f t="array" aca="1" ref="N12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6" s="552" t="str" cm="1">
        <f t="array" aca="1" ref="O12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6" s="526" cm="1">
        <f t="array" aca="1" ref="P126" ca="1">COUNTIFS(unit_details[Leased Date], "&gt;=" &amp; ($U$2 - N$5),
          unit_details[Leased Date], "&lt;" &amp; $U$2,
          unit_details[Floorplan Name], INDIRECT("C"&amp;ROW()),
          unit_details[Property Name], INDIRECT("B"&amp;ROW()))</f>
        <v>0</v>
      </c>
      <c r="Q126" s="531" t="str" cm="1">
        <f t="array" aca="1" ref="Q12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6" s="552" t="str" cm="1">
        <f t="array" aca="1" ref="R12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6" s="526" cm="1">
        <f t="array" aca="1" ref="S126" ca="1">COUNTIFS(unit_details[Leased Date], "&gt;=" &amp; ($U$2 - Q$5),
          unit_details[Leased Date], "&lt;" &amp; $U$2,
          unit_details[Floorplan Name], INDIRECT("C"&amp;ROW()),
          unit_details[Property Name], INDIRECT("B"&amp;ROW()))</f>
        <v>0</v>
      </c>
      <c r="T126" s="531" t="str" cm="1">
        <f t="array" aca="1" ref="T12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6" s="552" t="str" cm="1">
        <f t="array" aca="1" ref="U12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6" s="526" cm="1">
        <f t="array" aca="1" ref="V126" ca="1">COUNTIFS(unit_details[Leased Date], "&gt;=" &amp; ($U$2 - T$5),
          unit_details[Leased Date], "&lt;" &amp; $U$2,
          unit_details[Floorplan Name], INDIRECT("C"&amp;ROW()),
          unit_details[Property Name], INDIRECT("B"&amp;ROW()))</f>
        <v>0</v>
      </c>
      <c r="W126" s="531" t="str" cm="1">
        <f t="array" aca="1" ref="W12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6" s="552" t="str" cm="1">
        <f t="array" aca="1" ref="X12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6" s="27" t="str">
        <f t="shared" ca="1" si="3"/>
        <v/>
      </c>
      <c r="Z126" s="4" t="str">
        <f>IFERROR($U$2-AVERAGEIFS(unit_details[First Listed],
          unit_details[Active Listing?],TRUE,
          unit_details[Property Name], $B126,
          unit_details[Beds], $D126,
          unit_details[Baths], $E126,
          unit_details[Partial Baths], IF(ISNUMBER($F126),$F126,""),
          unit_details[Floorplan Name],$C126
),"")</f>
        <v/>
      </c>
      <c r="AA126" s="262" cm="1">
        <f t="array" aca="1" ref="AA126" ca="1">COUNTIFS(unit_details[Active Listing?],TRUE,
          unit_details[Floorplan Name], INDIRECT("C"&amp;ROW()),
          unit_details[Property Name], INDIRECT("B"&amp;ROW()))</f>
        <v>0</v>
      </c>
      <c r="AB126" s="553"/>
      <c r="AC126" s="528" cm="1">
        <f t="array" aca="1" ref="AC126" ca="1">IFERROR(AVERAGEIFS(
  unit_details[Sqft],
  unit_details[Property Name], INDIRECT("B"&amp;ROW()),
  unit_details[Floorplan Name], INDIRECT("C"&amp;ROW()),
  unit_details[Beds], INDIRECT("D"&amp;ROW()),
  unit_details[Detected Unit Amenities], "*"&amp;$AD$3&amp;"*",
  unit_details[Leased Date], "&gt;=" &amp; ($U$2 - $AF$3)
),0)</f>
        <v>0</v>
      </c>
      <c r="AD126" s="527" cm="1">
        <f t="array" aca="1" ref="AD1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6" s="526" cm="1">
        <f t="array" aca="1" ref="AE126" ca="1">IFERROR(COUNTIFS(
  unit_details[Property Name], INDIRECT("B"&amp;ROW()),
  unit_details[Floorplan Name], INDIRECT("C"&amp;ROW()),
  unit_details[Beds], INDIRECT("D"&amp;ROW()),
  unit_details[Detected Unit Amenities], "*"&amp;$AD$3&amp;"*",
  unit_details[Leased Date], "&gt;=" &amp; ($U$2 - $AF$3)
),0)</f>
        <v>0</v>
      </c>
      <c r="AF126" s="528" cm="1">
        <f t="array" aca="1" ref="AF126" ca="1">IFERROR(AVERAGEIFS(
  unit_details[Sqft],
  unit_details[Property Name], INDIRECT("B"&amp;ROW()),
  unit_details[Floorplan Name], INDIRECT("C"&amp;ROW()),
  unit_details[Beds], INDIRECT("D"&amp;ROW()),
  unit_details[Detected Unit Amenities], "&lt;&gt;*"&amp;$AD$3&amp;"*",
  unit_details[Leased Date], "&gt;=" &amp; ($U$2 - $AF$3)
),0)</f>
        <v>0</v>
      </c>
      <c r="AG126" s="527" cm="1">
        <f t="array" aca="1" ref="AG1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6" s="526" cm="1">
        <f t="array" aca="1" ref="AH126" ca="1">IFERROR(COUNTIFS(
  unit_details[Property Name], INDIRECT("B"&amp;ROW()),
  unit_details[Floorplan Name], INDIRECT("C"&amp;ROW()),
  unit_details[Beds], INDIRECT("D"&amp;ROW()),
  unit_details[Detected Unit Amenities], "&lt;&gt;*"&amp;$AD$3&amp;"*",
  unit_details[Leased Date], "&gt;=" &amp; ($U$2 - $AF$3)
),0)</f>
        <v>0</v>
      </c>
      <c r="AI126" s="528"/>
      <c r="AJ126" s="531">
        <f t="shared" ca="1" si="4"/>
        <v>0</v>
      </c>
      <c r="AK126" s="532">
        <f t="shared" ca="1" si="5"/>
        <v>0</v>
      </c>
    </row>
    <row r="127" spans="2:37" x14ac:dyDescent="0.2">
      <c r="B127" s="566"/>
      <c r="C127" s="53"/>
      <c r="E127" s="262"/>
      <c r="F127" s="262"/>
      <c r="J127" s="293"/>
      <c r="K127" s="6"/>
      <c r="M127" s="6"/>
      <c r="N127" s="531" t="str" cm="1">
        <f t="array" aca="1" ref="N12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7" s="552" t="str" cm="1">
        <f t="array" aca="1" ref="O12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7" s="526" cm="1">
        <f t="array" aca="1" ref="P127" ca="1">COUNTIFS(unit_details[Leased Date], "&gt;=" &amp; ($U$2 - N$5),
          unit_details[Leased Date], "&lt;" &amp; $U$2,
          unit_details[Floorplan Name], INDIRECT("C"&amp;ROW()),
          unit_details[Property Name], INDIRECT("B"&amp;ROW()))</f>
        <v>0</v>
      </c>
      <c r="Q127" s="531" t="str" cm="1">
        <f t="array" aca="1" ref="Q12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7" s="552" t="str" cm="1">
        <f t="array" aca="1" ref="R12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7" s="526" cm="1">
        <f t="array" aca="1" ref="S127" ca="1">COUNTIFS(unit_details[Leased Date], "&gt;=" &amp; ($U$2 - Q$5),
          unit_details[Leased Date], "&lt;" &amp; $U$2,
          unit_details[Floorplan Name], INDIRECT("C"&amp;ROW()),
          unit_details[Property Name], INDIRECT("B"&amp;ROW()))</f>
        <v>0</v>
      </c>
      <c r="T127" s="531" t="str" cm="1">
        <f t="array" aca="1" ref="T12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7" s="552" t="str" cm="1">
        <f t="array" aca="1" ref="U12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7" s="526" cm="1">
        <f t="array" aca="1" ref="V127" ca="1">COUNTIFS(unit_details[Leased Date], "&gt;=" &amp; ($U$2 - T$5),
          unit_details[Leased Date], "&lt;" &amp; $U$2,
          unit_details[Floorplan Name], INDIRECT("C"&amp;ROW()),
          unit_details[Property Name], INDIRECT("B"&amp;ROW()))</f>
        <v>0</v>
      </c>
      <c r="W127" s="531" t="str" cm="1">
        <f t="array" aca="1" ref="W12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7" s="552" t="str" cm="1">
        <f t="array" aca="1" ref="X12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7" s="27" t="str">
        <f t="shared" ca="1" si="3"/>
        <v/>
      </c>
      <c r="Z127" s="4" t="str">
        <f>IFERROR($U$2-AVERAGEIFS(unit_details[First Listed],
          unit_details[Active Listing?],TRUE,
          unit_details[Property Name], $B127,
          unit_details[Beds], $D127,
          unit_details[Baths], $E127,
          unit_details[Partial Baths], IF(ISNUMBER($F127),$F127,""),
          unit_details[Floorplan Name],$C127
),"")</f>
        <v/>
      </c>
      <c r="AA127" s="262" cm="1">
        <f t="array" aca="1" ref="AA127" ca="1">COUNTIFS(unit_details[Active Listing?],TRUE,
          unit_details[Floorplan Name], INDIRECT("C"&amp;ROW()),
          unit_details[Property Name], INDIRECT("B"&amp;ROW()))</f>
        <v>0</v>
      </c>
      <c r="AB127" s="553"/>
      <c r="AC127" s="528" cm="1">
        <f t="array" aca="1" ref="AC127" ca="1">IFERROR(AVERAGEIFS(
  unit_details[Sqft],
  unit_details[Property Name], INDIRECT("B"&amp;ROW()),
  unit_details[Floorplan Name], INDIRECT("C"&amp;ROW()),
  unit_details[Beds], INDIRECT("D"&amp;ROW()),
  unit_details[Detected Unit Amenities], "*"&amp;$AD$3&amp;"*",
  unit_details[Leased Date], "&gt;=" &amp; ($U$2 - $AF$3)
),0)</f>
        <v>0</v>
      </c>
      <c r="AD127" s="527" cm="1">
        <f t="array" aca="1" ref="AD1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7" s="526" cm="1">
        <f t="array" aca="1" ref="AE127" ca="1">IFERROR(COUNTIFS(
  unit_details[Property Name], INDIRECT("B"&amp;ROW()),
  unit_details[Floorplan Name], INDIRECT("C"&amp;ROW()),
  unit_details[Beds], INDIRECT("D"&amp;ROW()),
  unit_details[Detected Unit Amenities], "*"&amp;$AD$3&amp;"*",
  unit_details[Leased Date], "&gt;=" &amp; ($U$2 - $AF$3)
),0)</f>
        <v>0</v>
      </c>
      <c r="AF127" s="528" cm="1">
        <f t="array" aca="1" ref="AF127" ca="1">IFERROR(AVERAGEIFS(
  unit_details[Sqft],
  unit_details[Property Name], INDIRECT("B"&amp;ROW()),
  unit_details[Floorplan Name], INDIRECT("C"&amp;ROW()),
  unit_details[Beds], INDIRECT("D"&amp;ROW()),
  unit_details[Detected Unit Amenities], "&lt;&gt;*"&amp;$AD$3&amp;"*",
  unit_details[Leased Date], "&gt;=" &amp; ($U$2 - $AF$3)
),0)</f>
        <v>0</v>
      </c>
      <c r="AG127" s="527" cm="1">
        <f t="array" aca="1" ref="AG1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7" s="526" cm="1">
        <f t="array" aca="1" ref="AH127" ca="1">IFERROR(COUNTIFS(
  unit_details[Property Name], INDIRECT("B"&amp;ROW()),
  unit_details[Floorplan Name], INDIRECT("C"&amp;ROW()),
  unit_details[Beds], INDIRECT("D"&amp;ROW()),
  unit_details[Detected Unit Amenities], "&lt;&gt;*"&amp;$AD$3&amp;"*",
  unit_details[Leased Date], "&gt;=" &amp; ($U$2 - $AF$3)
),0)</f>
        <v>0</v>
      </c>
      <c r="AI127" s="528"/>
      <c r="AJ127" s="531">
        <f t="shared" ca="1" si="4"/>
        <v>0</v>
      </c>
      <c r="AK127" s="532">
        <f t="shared" ca="1" si="5"/>
        <v>0</v>
      </c>
    </row>
    <row r="128" spans="2:37" x14ac:dyDescent="0.2">
      <c r="B128" s="566"/>
      <c r="C128" s="53"/>
      <c r="E128" s="262"/>
      <c r="F128" s="262"/>
      <c r="J128" s="293"/>
      <c r="K128" s="6"/>
      <c r="M128" s="6"/>
      <c r="N128" s="531" t="str" cm="1">
        <f t="array" aca="1" ref="N12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8" s="552" t="str" cm="1">
        <f t="array" aca="1" ref="O12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8" s="526" cm="1">
        <f t="array" aca="1" ref="P128" ca="1">COUNTIFS(unit_details[Leased Date], "&gt;=" &amp; ($U$2 - N$5),
          unit_details[Leased Date], "&lt;" &amp; $U$2,
          unit_details[Floorplan Name], INDIRECT("C"&amp;ROW()),
          unit_details[Property Name], INDIRECT("B"&amp;ROW()))</f>
        <v>0</v>
      </c>
      <c r="Q128" s="531" t="str" cm="1">
        <f t="array" aca="1" ref="Q12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8" s="552" t="str" cm="1">
        <f t="array" aca="1" ref="R12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8" s="526" cm="1">
        <f t="array" aca="1" ref="S128" ca="1">COUNTIFS(unit_details[Leased Date], "&gt;=" &amp; ($U$2 - Q$5),
          unit_details[Leased Date], "&lt;" &amp; $U$2,
          unit_details[Floorplan Name], INDIRECT("C"&amp;ROW()),
          unit_details[Property Name], INDIRECT("B"&amp;ROW()))</f>
        <v>0</v>
      </c>
      <c r="T128" s="531" t="str" cm="1">
        <f t="array" aca="1" ref="T12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8" s="552" t="str" cm="1">
        <f t="array" aca="1" ref="U12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8" s="526" cm="1">
        <f t="array" aca="1" ref="V128" ca="1">COUNTIFS(unit_details[Leased Date], "&gt;=" &amp; ($U$2 - T$5),
          unit_details[Leased Date], "&lt;" &amp; $U$2,
          unit_details[Floorplan Name], INDIRECT("C"&amp;ROW()),
          unit_details[Property Name], INDIRECT("B"&amp;ROW()))</f>
        <v>0</v>
      </c>
      <c r="W128" s="531" t="str" cm="1">
        <f t="array" aca="1" ref="W12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8" s="552" t="str" cm="1">
        <f t="array" aca="1" ref="X12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8" s="27" t="str">
        <f t="shared" ca="1" si="3"/>
        <v/>
      </c>
      <c r="Z128" s="4" t="str">
        <f>IFERROR($U$2-AVERAGEIFS(unit_details[First Listed],
          unit_details[Active Listing?],TRUE,
          unit_details[Property Name], $B128,
          unit_details[Beds], $D128,
          unit_details[Baths], $E128,
          unit_details[Partial Baths], IF(ISNUMBER($F128),$F128,""),
          unit_details[Floorplan Name],$C128
),"")</f>
        <v/>
      </c>
      <c r="AA128" s="262" cm="1">
        <f t="array" aca="1" ref="AA128" ca="1">COUNTIFS(unit_details[Active Listing?],TRUE,
          unit_details[Floorplan Name], INDIRECT("C"&amp;ROW()),
          unit_details[Property Name], INDIRECT("B"&amp;ROW()))</f>
        <v>0</v>
      </c>
      <c r="AB128" s="553"/>
      <c r="AC128" s="528" cm="1">
        <f t="array" aca="1" ref="AC128" ca="1">IFERROR(AVERAGEIFS(
  unit_details[Sqft],
  unit_details[Property Name], INDIRECT("B"&amp;ROW()),
  unit_details[Floorplan Name], INDIRECT("C"&amp;ROW()),
  unit_details[Beds], INDIRECT("D"&amp;ROW()),
  unit_details[Detected Unit Amenities], "*"&amp;$AD$3&amp;"*",
  unit_details[Leased Date], "&gt;=" &amp; ($U$2 - $AF$3)
),0)</f>
        <v>0</v>
      </c>
      <c r="AD128" s="527" cm="1">
        <f t="array" aca="1" ref="AD1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8" s="526" cm="1">
        <f t="array" aca="1" ref="AE128" ca="1">IFERROR(COUNTIFS(
  unit_details[Property Name], INDIRECT("B"&amp;ROW()),
  unit_details[Floorplan Name], INDIRECT("C"&amp;ROW()),
  unit_details[Beds], INDIRECT("D"&amp;ROW()),
  unit_details[Detected Unit Amenities], "*"&amp;$AD$3&amp;"*",
  unit_details[Leased Date], "&gt;=" &amp; ($U$2 - $AF$3)
),0)</f>
        <v>0</v>
      </c>
      <c r="AF128" s="528" cm="1">
        <f t="array" aca="1" ref="AF128" ca="1">IFERROR(AVERAGEIFS(
  unit_details[Sqft],
  unit_details[Property Name], INDIRECT("B"&amp;ROW()),
  unit_details[Floorplan Name], INDIRECT("C"&amp;ROW()),
  unit_details[Beds], INDIRECT("D"&amp;ROW()),
  unit_details[Detected Unit Amenities], "&lt;&gt;*"&amp;$AD$3&amp;"*",
  unit_details[Leased Date], "&gt;=" &amp; ($U$2 - $AF$3)
),0)</f>
        <v>0</v>
      </c>
      <c r="AG128" s="527" cm="1">
        <f t="array" aca="1" ref="AG1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8" s="526" cm="1">
        <f t="array" aca="1" ref="AH128" ca="1">IFERROR(COUNTIFS(
  unit_details[Property Name], INDIRECT("B"&amp;ROW()),
  unit_details[Floorplan Name], INDIRECT("C"&amp;ROW()),
  unit_details[Beds], INDIRECT("D"&amp;ROW()),
  unit_details[Detected Unit Amenities], "&lt;&gt;*"&amp;$AD$3&amp;"*",
  unit_details[Leased Date], "&gt;=" &amp; ($U$2 - $AF$3)
),0)</f>
        <v>0</v>
      </c>
      <c r="AI128" s="528"/>
      <c r="AJ128" s="531">
        <f t="shared" ca="1" si="4"/>
        <v>0</v>
      </c>
      <c r="AK128" s="532">
        <f t="shared" ca="1" si="5"/>
        <v>0</v>
      </c>
    </row>
    <row r="129" spans="2:37" x14ac:dyDescent="0.2">
      <c r="B129" s="566"/>
      <c r="C129" s="53"/>
      <c r="E129" s="262"/>
      <c r="F129" s="262"/>
      <c r="J129" s="293"/>
      <c r="K129" s="6"/>
      <c r="M129" s="6"/>
      <c r="N129" s="531" t="str" cm="1">
        <f t="array" aca="1" ref="N12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29" s="552" t="str" cm="1">
        <f t="array" aca="1" ref="O12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29" s="526" cm="1">
        <f t="array" aca="1" ref="P129" ca="1">COUNTIFS(unit_details[Leased Date], "&gt;=" &amp; ($U$2 - N$5),
          unit_details[Leased Date], "&lt;" &amp; $U$2,
          unit_details[Floorplan Name], INDIRECT("C"&amp;ROW()),
          unit_details[Property Name], INDIRECT("B"&amp;ROW()))</f>
        <v>0</v>
      </c>
      <c r="Q129" s="531" t="str" cm="1">
        <f t="array" aca="1" ref="Q12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29" s="552" t="str" cm="1">
        <f t="array" aca="1" ref="R12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29" s="526" cm="1">
        <f t="array" aca="1" ref="S129" ca="1">COUNTIFS(unit_details[Leased Date], "&gt;=" &amp; ($U$2 - Q$5),
          unit_details[Leased Date], "&lt;" &amp; $U$2,
          unit_details[Floorplan Name], INDIRECT("C"&amp;ROW()),
          unit_details[Property Name], INDIRECT("B"&amp;ROW()))</f>
        <v>0</v>
      </c>
      <c r="T129" s="531" t="str" cm="1">
        <f t="array" aca="1" ref="T12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29" s="552" t="str" cm="1">
        <f t="array" aca="1" ref="U12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29" s="526" cm="1">
        <f t="array" aca="1" ref="V129" ca="1">COUNTIFS(unit_details[Leased Date], "&gt;=" &amp; ($U$2 - T$5),
          unit_details[Leased Date], "&lt;" &amp; $U$2,
          unit_details[Floorplan Name], INDIRECT("C"&amp;ROW()),
          unit_details[Property Name], INDIRECT("B"&amp;ROW()))</f>
        <v>0</v>
      </c>
      <c r="W129" s="531" t="str" cm="1">
        <f t="array" aca="1" ref="W12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29" s="552" t="str" cm="1">
        <f t="array" aca="1" ref="X12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29" s="27" t="str">
        <f t="shared" ca="1" si="3"/>
        <v/>
      </c>
      <c r="Z129" s="4" t="str">
        <f>IFERROR($U$2-AVERAGEIFS(unit_details[First Listed],
          unit_details[Active Listing?],TRUE,
          unit_details[Property Name], $B129,
          unit_details[Beds], $D129,
          unit_details[Baths], $E129,
          unit_details[Partial Baths], IF(ISNUMBER($F129),$F129,""),
          unit_details[Floorplan Name],$C129
),"")</f>
        <v/>
      </c>
      <c r="AA129" s="262" cm="1">
        <f t="array" aca="1" ref="AA129" ca="1">COUNTIFS(unit_details[Active Listing?],TRUE,
          unit_details[Floorplan Name], INDIRECT("C"&amp;ROW()),
          unit_details[Property Name], INDIRECT("B"&amp;ROW()))</f>
        <v>0</v>
      </c>
      <c r="AB129" s="553"/>
      <c r="AC129" s="528" cm="1">
        <f t="array" aca="1" ref="AC129" ca="1">IFERROR(AVERAGEIFS(
  unit_details[Sqft],
  unit_details[Property Name], INDIRECT("B"&amp;ROW()),
  unit_details[Floorplan Name], INDIRECT("C"&amp;ROW()),
  unit_details[Beds], INDIRECT("D"&amp;ROW()),
  unit_details[Detected Unit Amenities], "*"&amp;$AD$3&amp;"*",
  unit_details[Leased Date], "&gt;=" &amp; ($U$2 - $AF$3)
),0)</f>
        <v>0</v>
      </c>
      <c r="AD129" s="527" cm="1">
        <f t="array" aca="1" ref="AD1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29" s="526" cm="1">
        <f t="array" aca="1" ref="AE129" ca="1">IFERROR(COUNTIFS(
  unit_details[Property Name], INDIRECT("B"&amp;ROW()),
  unit_details[Floorplan Name], INDIRECT("C"&amp;ROW()),
  unit_details[Beds], INDIRECT("D"&amp;ROW()),
  unit_details[Detected Unit Amenities], "*"&amp;$AD$3&amp;"*",
  unit_details[Leased Date], "&gt;=" &amp; ($U$2 - $AF$3)
),0)</f>
        <v>0</v>
      </c>
      <c r="AF129" s="528" cm="1">
        <f t="array" aca="1" ref="AF129" ca="1">IFERROR(AVERAGEIFS(
  unit_details[Sqft],
  unit_details[Property Name], INDIRECT("B"&amp;ROW()),
  unit_details[Floorplan Name], INDIRECT("C"&amp;ROW()),
  unit_details[Beds], INDIRECT("D"&amp;ROW()),
  unit_details[Detected Unit Amenities], "&lt;&gt;*"&amp;$AD$3&amp;"*",
  unit_details[Leased Date], "&gt;=" &amp; ($U$2 - $AF$3)
),0)</f>
        <v>0</v>
      </c>
      <c r="AG129" s="527" cm="1">
        <f t="array" aca="1" ref="AG1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29" s="526" cm="1">
        <f t="array" aca="1" ref="AH129" ca="1">IFERROR(COUNTIFS(
  unit_details[Property Name], INDIRECT("B"&amp;ROW()),
  unit_details[Floorplan Name], INDIRECT("C"&amp;ROW()),
  unit_details[Beds], INDIRECT("D"&amp;ROW()),
  unit_details[Detected Unit Amenities], "&lt;&gt;*"&amp;$AD$3&amp;"*",
  unit_details[Leased Date], "&gt;=" &amp; ($U$2 - $AF$3)
),0)</f>
        <v>0</v>
      </c>
      <c r="AI129" s="528"/>
      <c r="AJ129" s="531">
        <f t="shared" ca="1" si="4"/>
        <v>0</v>
      </c>
      <c r="AK129" s="532">
        <f t="shared" ca="1" si="5"/>
        <v>0</v>
      </c>
    </row>
    <row r="130" spans="2:37" x14ac:dyDescent="0.2">
      <c r="B130" s="566"/>
      <c r="C130" s="53"/>
      <c r="E130" s="262"/>
      <c r="F130" s="262"/>
      <c r="J130" s="293"/>
      <c r="K130" s="6"/>
      <c r="M130" s="6"/>
      <c r="N130" s="531" t="str" cm="1">
        <f t="array" aca="1" ref="N13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0" s="552" t="str" cm="1">
        <f t="array" aca="1" ref="O13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0" s="526" cm="1">
        <f t="array" aca="1" ref="P130" ca="1">COUNTIFS(unit_details[Leased Date], "&gt;=" &amp; ($U$2 - N$5),
          unit_details[Leased Date], "&lt;" &amp; $U$2,
          unit_details[Floorplan Name], INDIRECT("C"&amp;ROW()),
          unit_details[Property Name], INDIRECT("B"&amp;ROW()))</f>
        <v>0</v>
      </c>
      <c r="Q130" s="531" t="str" cm="1">
        <f t="array" aca="1" ref="Q13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0" s="552" t="str" cm="1">
        <f t="array" aca="1" ref="R13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0" s="526" cm="1">
        <f t="array" aca="1" ref="S130" ca="1">COUNTIFS(unit_details[Leased Date], "&gt;=" &amp; ($U$2 - Q$5),
          unit_details[Leased Date], "&lt;" &amp; $U$2,
          unit_details[Floorplan Name], INDIRECT("C"&amp;ROW()),
          unit_details[Property Name], INDIRECT("B"&amp;ROW()))</f>
        <v>0</v>
      </c>
      <c r="T130" s="531" t="str" cm="1">
        <f t="array" aca="1" ref="T13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0" s="552" t="str" cm="1">
        <f t="array" aca="1" ref="U13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0" s="526" cm="1">
        <f t="array" aca="1" ref="V130" ca="1">COUNTIFS(unit_details[Leased Date], "&gt;=" &amp; ($U$2 - T$5),
          unit_details[Leased Date], "&lt;" &amp; $U$2,
          unit_details[Floorplan Name], INDIRECT("C"&amp;ROW()),
          unit_details[Property Name], INDIRECT("B"&amp;ROW()))</f>
        <v>0</v>
      </c>
      <c r="W130" s="531" t="str" cm="1">
        <f t="array" aca="1" ref="W13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0" s="552" t="str" cm="1">
        <f t="array" aca="1" ref="X13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0" s="27" t="str">
        <f t="shared" ca="1" si="3"/>
        <v/>
      </c>
      <c r="Z130" s="4" t="str">
        <f>IFERROR($U$2-AVERAGEIFS(unit_details[First Listed],
          unit_details[Active Listing?],TRUE,
          unit_details[Property Name], $B130,
          unit_details[Beds], $D130,
          unit_details[Baths], $E130,
          unit_details[Partial Baths], IF(ISNUMBER($F130),$F130,""),
          unit_details[Floorplan Name],$C130
),"")</f>
        <v/>
      </c>
      <c r="AA130" s="262" cm="1">
        <f t="array" aca="1" ref="AA130" ca="1">COUNTIFS(unit_details[Active Listing?],TRUE,
          unit_details[Floorplan Name], INDIRECT("C"&amp;ROW()),
          unit_details[Property Name], INDIRECT("B"&amp;ROW()))</f>
        <v>0</v>
      </c>
      <c r="AB130" s="553"/>
      <c r="AC130" s="528" cm="1">
        <f t="array" aca="1" ref="AC130" ca="1">IFERROR(AVERAGEIFS(
  unit_details[Sqft],
  unit_details[Property Name], INDIRECT("B"&amp;ROW()),
  unit_details[Floorplan Name], INDIRECT("C"&amp;ROW()),
  unit_details[Beds], INDIRECT("D"&amp;ROW()),
  unit_details[Detected Unit Amenities], "*"&amp;$AD$3&amp;"*",
  unit_details[Leased Date], "&gt;=" &amp; ($U$2 - $AF$3)
),0)</f>
        <v>0</v>
      </c>
      <c r="AD130" s="527" cm="1">
        <f t="array" aca="1" ref="AD1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0" s="526" cm="1">
        <f t="array" aca="1" ref="AE130" ca="1">IFERROR(COUNTIFS(
  unit_details[Property Name], INDIRECT("B"&amp;ROW()),
  unit_details[Floorplan Name], INDIRECT("C"&amp;ROW()),
  unit_details[Beds], INDIRECT("D"&amp;ROW()),
  unit_details[Detected Unit Amenities], "*"&amp;$AD$3&amp;"*",
  unit_details[Leased Date], "&gt;=" &amp; ($U$2 - $AF$3)
),0)</f>
        <v>0</v>
      </c>
      <c r="AF130" s="528" cm="1">
        <f t="array" aca="1" ref="AF130" ca="1">IFERROR(AVERAGEIFS(
  unit_details[Sqft],
  unit_details[Property Name], INDIRECT("B"&amp;ROW()),
  unit_details[Floorplan Name], INDIRECT("C"&amp;ROW()),
  unit_details[Beds], INDIRECT("D"&amp;ROW()),
  unit_details[Detected Unit Amenities], "&lt;&gt;*"&amp;$AD$3&amp;"*",
  unit_details[Leased Date], "&gt;=" &amp; ($U$2 - $AF$3)
),0)</f>
        <v>0</v>
      </c>
      <c r="AG130" s="527" cm="1">
        <f t="array" aca="1" ref="AG1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0" s="526" cm="1">
        <f t="array" aca="1" ref="AH130" ca="1">IFERROR(COUNTIFS(
  unit_details[Property Name], INDIRECT("B"&amp;ROW()),
  unit_details[Floorplan Name], INDIRECT("C"&amp;ROW()),
  unit_details[Beds], INDIRECT("D"&amp;ROW()),
  unit_details[Detected Unit Amenities], "&lt;&gt;*"&amp;$AD$3&amp;"*",
  unit_details[Leased Date], "&gt;=" &amp; ($U$2 - $AF$3)
),0)</f>
        <v>0</v>
      </c>
      <c r="AI130" s="528"/>
      <c r="AJ130" s="531">
        <f t="shared" ca="1" si="4"/>
        <v>0</v>
      </c>
      <c r="AK130" s="532">
        <f t="shared" ca="1" si="5"/>
        <v>0</v>
      </c>
    </row>
    <row r="131" spans="2:37" x14ac:dyDescent="0.2">
      <c r="B131" s="566"/>
      <c r="C131" s="53"/>
      <c r="E131" s="262"/>
      <c r="F131" s="262"/>
      <c r="J131" s="293"/>
      <c r="K131" s="6"/>
      <c r="M131" s="6"/>
      <c r="N131" s="531" t="str" cm="1">
        <f t="array" aca="1" ref="N13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1" s="552" t="str" cm="1">
        <f t="array" aca="1" ref="O13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1" s="526" cm="1">
        <f t="array" aca="1" ref="P131" ca="1">COUNTIFS(unit_details[Leased Date], "&gt;=" &amp; ($U$2 - N$5),
          unit_details[Leased Date], "&lt;" &amp; $U$2,
          unit_details[Floorplan Name], INDIRECT("C"&amp;ROW()),
          unit_details[Property Name], INDIRECT("B"&amp;ROW()))</f>
        <v>0</v>
      </c>
      <c r="Q131" s="531" t="str" cm="1">
        <f t="array" aca="1" ref="Q13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1" s="552" t="str" cm="1">
        <f t="array" aca="1" ref="R13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1" s="526" cm="1">
        <f t="array" aca="1" ref="S131" ca="1">COUNTIFS(unit_details[Leased Date], "&gt;=" &amp; ($U$2 - Q$5),
          unit_details[Leased Date], "&lt;" &amp; $U$2,
          unit_details[Floorplan Name], INDIRECT("C"&amp;ROW()),
          unit_details[Property Name], INDIRECT("B"&amp;ROW()))</f>
        <v>0</v>
      </c>
      <c r="T131" s="531" t="str" cm="1">
        <f t="array" aca="1" ref="T13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1" s="552" t="str" cm="1">
        <f t="array" aca="1" ref="U13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1" s="526" cm="1">
        <f t="array" aca="1" ref="V131" ca="1">COUNTIFS(unit_details[Leased Date], "&gt;=" &amp; ($U$2 - T$5),
          unit_details[Leased Date], "&lt;" &amp; $U$2,
          unit_details[Floorplan Name], INDIRECT("C"&amp;ROW()),
          unit_details[Property Name], INDIRECT("B"&amp;ROW()))</f>
        <v>0</v>
      </c>
      <c r="W131" s="531" t="str" cm="1">
        <f t="array" aca="1" ref="W13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1" s="552" t="str" cm="1">
        <f t="array" aca="1" ref="X13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1" s="27" t="str">
        <f t="shared" ca="1" si="3"/>
        <v/>
      </c>
      <c r="Z131" s="4" t="str">
        <f>IFERROR($U$2-AVERAGEIFS(unit_details[First Listed],
          unit_details[Active Listing?],TRUE,
          unit_details[Property Name], $B131,
          unit_details[Beds], $D131,
          unit_details[Baths], $E131,
          unit_details[Partial Baths], IF(ISNUMBER($F131),$F131,""),
          unit_details[Floorplan Name],$C131
),"")</f>
        <v/>
      </c>
      <c r="AA131" s="262" cm="1">
        <f t="array" aca="1" ref="AA131" ca="1">COUNTIFS(unit_details[Active Listing?],TRUE,
          unit_details[Floorplan Name], INDIRECT("C"&amp;ROW()),
          unit_details[Property Name], INDIRECT("B"&amp;ROW()))</f>
        <v>0</v>
      </c>
      <c r="AB131" s="553"/>
      <c r="AC131" s="528" cm="1">
        <f t="array" aca="1" ref="AC131" ca="1">IFERROR(AVERAGEIFS(
  unit_details[Sqft],
  unit_details[Property Name], INDIRECT("B"&amp;ROW()),
  unit_details[Floorplan Name], INDIRECT("C"&amp;ROW()),
  unit_details[Beds], INDIRECT("D"&amp;ROW()),
  unit_details[Detected Unit Amenities], "*"&amp;$AD$3&amp;"*",
  unit_details[Leased Date], "&gt;=" &amp; ($U$2 - $AF$3)
),0)</f>
        <v>0</v>
      </c>
      <c r="AD131" s="527" cm="1">
        <f t="array" aca="1" ref="AD1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1" s="526" cm="1">
        <f t="array" aca="1" ref="AE131" ca="1">IFERROR(COUNTIFS(
  unit_details[Property Name], INDIRECT("B"&amp;ROW()),
  unit_details[Floorplan Name], INDIRECT("C"&amp;ROW()),
  unit_details[Beds], INDIRECT("D"&amp;ROW()),
  unit_details[Detected Unit Amenities], "*"&amp;$AD$3&amp;"*",
  unit_details[Leased Date], "&gt;=" &amp; ($U$2 - $AF$3)
),0)</f>
        <v>0</v>
      </c>
      <c r="AF131" s="528" cm="1">
        <f t="array" aca="1" ref="AF131" ca="1">IFERROR(AVERAGEIFS(
  unit_details[Sqft],
  unit_details[Property Name], INDIRECT("B"&amp;ROW()),
  unit_details[Floorplan Name], INDIRECT("C"&amp;ROW()),
  unit_details[Beds], INDIRECT("D"&amp;ROW()),
  unit_details[Detected Unit Amenities], "&lt;&gt;*"&amp;$AD$3&amp;"*",
  unit_details[Leased Date], "&gt;=" &amp; ($U$2 - $AF$3)
),0)</f>
        <v>0</v>
      </c>
      <c r="AG131" s="527" cm="1">
        <f t="array" aca="1" ref="AG1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1" s="526" cm="1">
        <f t="array" aca="1" ref="AH131" ca="1">IFERROR(COUNTIFS(
  unit_details[Property Name], INDIRECT("B"&amp;ROW()),
  unit_details[Floorplan Name], INDIRECT("C"&amp;ROW()),
  unit_details[Beds], INDIRECT("D"&amp;ROW()),
  unit_details[Detected Unit Amenities], "&lt;&gt;*"&amp;$AD$3&amp;"*",
  unit_details[Leased Date], "&gt;=" &amp; ($U$2 - $AF$3)
),0)</f>
        <v>0</v>
      </c>
      <c r="AI131" s="528"/>
      <c r="AJ131" s="531">
        <f t="shared" ca="1" si="4"/>
        <v>0</v>
      </c>
      <c r="AK131" s="532">
        <f t="shared" ca="1" si="5"/>
        <v>0</v>
      </c>
    </row>
    <row r="132" spans="2:37" x14ac:dyDescent="0.2">
      <c r="B132" s="566"/>
      <c r="C132" s="53"/>
      <c r="E132" s="262"/>
      <c r="F132" s="262"/>
      <c r="J132" s="293"/>
      <c r="K132" s="6"/>
      <c r="M132" s="6"/>
      <c r="N132" s="531" t="str" cm="1">
        <f t="array" aca="1" ref="N13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2" s="552" t="str" cm="1">
        <f t="array" aca="1" ref="O13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2" s="526" cm="1">
        <f t="array" aca="1" ref="P132" ca="1">COUNTIFS(unit_details[Leased Date], "&gt;=" &amp; ($U$2 - N$5),
          unit_details[Leased Date], "&lt;" &amp; $U$2,
          unit_details[Floorplan Name], INDIRECT("C"&amp;ROW()),
          unit_details[Property Name], INDIRECT("B"&amp;ROW()))</f>
        <v>0</v>
      </c>
      <c r="Q132" s="531" t="str" cm="1">
        <f t="array" aca="1" ref="Q13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2" s="552" t="str" cm="1">
        <f t="array" aca="1" ref="R13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2" s="526" cm="1">
        <f t="array" aca="1" ref="S132" ca="1">COUNTIFS(unit_details[Leased Date], "&gt;=" &amp; ($U$2 - Q$5),
          unit_details[Leased Date], "&lt;" &amp; $U$2,
          unit_details[Floorplan Name], INDIRECT("C"&amp;ROW()),
          unit_details[Property Name], INDIRECT("B"&amp;ROW()))</f>
        <v>0</v>
      </c>
      <c r="T132" s="531" t="str" cm="1">
        <f t="array" aca="1" ref="T13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2" s="552" t="str" cm="1">
        <f t="array" aca="1" ref="U13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2" s="526" cm="1">
        <f t="array" aca="1" ref="V132" ca="1">COUNTIFS(unit_details[Leased Date], "&gt;=" &amp; ($U$2 - T$5),
          unit_details[Leased Date], "&lt;" &amp; $U$2,
          unit_details[Floorplan Name], INDIRECT("C"&amp;ROW()),
          unit_details[Property Name], INDIRECT("B"&amp;ROW()))</f>
        <v>0</v>
      </c>
      <c r="W132" s="531" t="str" cm="1">
        <f t="array" aca="1" ref="W13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2" s="552" t="str" cm="1">
        <f t="array" aca="1" ref="X13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2" s="27" t="str">
        <f t="shared" ca="1" si="3"/>
        <v/>
      </c>
      <c r="Z132" s="4" t="str">
        <f>IFERROR($U$2-AVERAGEIFS(unit_details[First Listed],
          unit_details[Active Listing?],TRUE,
          unit_details[Property Name], $B132,
          unit_details[Beds], $D132,
          unit_details[Baths], $E132,
          unit_details[Partial Baths], IF(ISNUMBER($F132),$F132,""),
          unit_details[Floorplan Name],$C132
),"")</f>
        <v/>
      </c>
      <c r="AA132" s="262" cm="1">
        <f t="array" aca="1" ref="AA132" ca="1">COUNTIFS(unit_details[Active Listing?],TRUE,
          unit_details[Floorplan Name], INDIRECT("C"&amp;ROW()),
          unit_details[Property Name], INDIRECT("B"&amp;ROW()))</f>
        <v>0</v>
      </c>
      <c r="AB132" s="553"/>
      <c r="AC132" s="528" cm="1">
        <f t="array" aca="1" ref="AC132" ca="1">IFERROR(AVERAGEIFS(
  unit_details[Sqft],
  unit_details[Property Name], INDIRECT("B"&amp;ROW()),
  unit_details[Floorplan Name], INDIRECT("C"&amp;ROW()),
  unit_details[Beds], INDIRECT("D"&amp;ROW()),
  unit_details[Detected Unit Amenities], "*"&amp;$AD$3&amp;"*",
  unit_details[Leased Date], "&gt;=" &amp; ($U$2 - $AF$3)
),0)</f>
        <v>0</v>
      </c>
      <c r="AD132" s="527" cm="1">
        <f t="array" aca="1" ref="AD1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2" s="526" cm="1">
        <f t="array" aca="1" ref="AE132" ca="1">IFERROR(COUNTIFS(
  unit_details[Property Name], INDIRECT("B"&amp;ROW()),
  unit_details[Floorplan Name], INDIRECT("C"&amp;ROW()),
  unit_details[Beds], INDIRECT("D"&amp;ROW()),
  unit_details[Detected Unit Amenities], "*"&amp;$AD$3&amp;"*",
  unit_details[Leased Date], "&gt;=" &amp; ($U$2 - $AF$3)
),0)</f>
        <v>0</v>
      </c>
      <c r="AF132" s="528" cm="1">
        <f t="array" aca="1" ref="AF132" ca="1">IFERROR(AVERAGEIFS(
  unit_details[Sqft],
  unit_details[Property Name], INDIRECT("B"&amp;ROW()),
  unit_details[Floorplan Name], INDIRECT("C"&amp;ROW()),
  unit_details[Beds], INDIRECT("D"&amp;ROW()),
  unit_details[Detected Unit Amenities], "&lt;&gt;*"&amp;$AD$3&amp;"*",
  unit_details[Leased Date], "&gt;=" &amp; ($U$2 - $AF$3)
),0)</f>
        <v>0</v>
      </c>
      <c r="AG132" s="527" cm="1">
        <f t="array" aca="1" ref="AG1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2" s="526" cm="1">
        <f t="array" aca="1" ref="AH132" ca="1">IFERROR(COUNTIFS(
  unit_details[Property Name], INDIRECT("B"&amp;ROW()),
  unit_details[Floorplan Name], INDIRECT("C"&amp;ROW()),
  unit_details[Beds], INDIRECT("D"&amp;ROW()),
  unit_details[Detected Unit Amenities], "&lt;&gt;*"&amp;$AD$3&amp;"*",
  unit_details[Leased Date], "&gt;=" &amp; ($U$2 - $AF$3)
),0)</f>
        <v>0</v>
      </c>
      <c r="AI132" s="528"/>
      <c r="AJ132" s="531">
        <f t="shared" ca="1" si="4"/>
        <v>0</v>
      </c>
      <c r="AK132" s="532">
        <f t="shared" ca="1" si="5"/>
        <v>0</v>
      </c>
    </row>
    <row r="133" spans="2:37" x14ac:dyDescent="0.2">
      <c r="B133" s="566"/>
      <c r="C133" s="53"/>
      <c r="E133" s="262"/>
      <c r="F133" s="262"/>
      <c r="J133" s="293"/>
      <c r="K133" s="6"/>
      <c r="M133" s="6"/>
      <c r="N133" s="531" t="str" cm="1">
        <f t="array" aca="1" ref="N13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3" s="552" t="str" cm="1">
        <f t="array" aca="1" ref="O13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3" s="526" cm="1">
        <f t="array" aca="1" ref="P133" ca="1">COUNTIFS(unit_details[Leased Date], "&gt;=" &amp; ($U$2 - N$5),
          unit_details[Leased Date], "&lt;" &amp; $U$2,
          unit_details[Floorplan Name], INDIRECT("C"&amp;ROW()),
          unit_details[Property Name], INDIRECT("B"&amp;ROW()))</f>
        <v>0</v>
      </c>
      <c r="Q133" s="531" t="str" cm="1">
        <f t="array" aca="1" ref="Q13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3" s="552" t="str" cm="1">
        <f t="array" aca="1" ref="R13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3" s="526" cm="1">
        <f t="array" aca="1" ref="S133" ca="1">COUNTIFS(unit_details[Leased Date], "&gt;=" &amp; ($U$2 - Q$5),
          unit_details[Leased Date], "&lt;" &amp; $U$2,
          unit_details[Floorplan Name], INDIRECT("C"&amp;ROW()),
          unit_details[Property Name], INDIRECT("B"&amp;ROW()))</f>
        <v>0</v>
      </c>
      <c r="T133" s="531" t="str" cm="1">
        <f t="array" aca="1" ref="T13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3" s="552" t="str" cm="1">
        <f t="array" aca="1" ref="U13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3" s="526" cm="1">
        <f t="array" aca="1" ref="V133" ca="1">COUNTIFS(unit_details[Leased Date], "&gt;=" &amp; ($U$2 - T$5),
          unit_details[Leased Date], "&lt;" &amp; $U$2,
          unit_details[Floorplan Name], INDIRECT("C"&amp;ROW()),
          unit_details[Property Name], INDIRECT("B"&amp;ROW()))</f>
        <v>0</v>
      </c>
      <c r="W133" s="531" t="str" cm="1">
        <f t="array" aca="1" ref="W13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3" s="552" t="str" cm="1">
        <f t="array" aca="1" ref="X13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3" s="27" t="str">
        <f t="shared" ca="1" si="3"/>
        <v/>
      </c>
      <c r="Z133" s="4" t="str">
        <f>IFERROR($U$2-AVERAGEIFS(unit_details[First Listed],
          unit_details[Active Listing?],TRUE,
          unit_details[Property Name], $B133,
          unit_details[Beds], $D133,
          unit_details[Baths], $E133,
          unit_details[Partial Baths], IF(ISNUMBER($F133),$F133,""),
          unit_details[Floorplan Name],$C133
),"")</f>
        <v/>
      </c>
      <c r="AA133" s="262" cm="1">
        <f t="array" aca="1" ref="AA133" ca="1">COUNTIFS(unit_details[Active Listing?],TRUE,
          unit_details[Floorplan Name], INDIRECT("C"&amp;ROW()),
          unit_details[Property Name], INDIRECT("B"&amp;ROW()))</f>
        <v>0</v>
      </c>
      <c r="AB133" s="553"/>
      <c r="AC133" s="528" cm="1">
        <f t="array" aca="1" ref="AC133" ca="1">IFERROR(AVERAGEIFS(
  unit_details[Sqft],
  unit_details[Property Name], INDIRECT("B"&amp;ROW()),
  unit_details[Floorplan Name], INDIRECT("C"&amp;ROW()),
  unit_details[Beds], INDIRECT("D"&amp;ROW()),
  unit_details[Detected Unit Amenities], "*"&amp;$AD$3&amp;"*",
  unit_details[Leased Date], "&gt;=" &amp; ($U$2 - $AF$3)
),0)</f>
        <v>0</v>
      </c>
      <c r="AD133" s="527" cm="1">
        <f t="array" aca="1" ref="AD1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3" s="526" cm="1">
        <f t="array" aca="1" ref="AE133" ca="1">IFERROR(COUNTIFS(
  unit_details[Property Name], INDIRECT("B"&amp;ROW()),
  unit_details[Floorplan Name], INDIRECT("C"&amp;ROW()),
  unit_details[Beds], INDIRECT("D"&amp;ROW()),
  unit_details[Detected Unit Amenities], "*"&amp;$AD$3&amp;"*",
  unit_details[Leased Date], "&gt;=" &amp; ($U$2 - $AF$3)
),0)</f>
        <v>0</v>
      </c>
      <c r="AF133" s="528" cm="1">
        <f t="array" aca="1" ref="AF133" ca="1">IFERROR(AVERAGEIFS(
  unit_details[Sqft],
  unit_details[Property Name], INDIRECT("B"&amp;ROW()),
  unit_details[Floorplan Name], INDIRECT("C"&amp;ROW()),
  unit_details[Beds], INDIRECT("D"&amp;ROW()),
  unit_details[Detected Unit Amenities], "&lt;&gt;*"&amp;$AD$3&amp;"*",
  unit_details[Leased Date], "&gt;=" &amp; ($U$2 - $AF$3)
),0)</f>
        <v>0</v>
      </c>
      <c r="AG133" s="527" cm="1">
        <f t="array" aca="1" ref="AG1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3" s="526" cm="1">
        <f t="array" aca="1" ref="AH133" ca="1">IFERROR(COUNTIFS(
  unit_details[Property Name], INDIRECT("B"&amp;ROW()),
  unit_details[Floorplan Name], INDIRECT("C"&amp;ROW()),
  unit_details[Beds], INDIRECT("D"&amp;ROW()),
  unit_details[Detected Unit Amenities], "&lt;&gt;*"&amp;$AD$3&amp;"*",
  unit_details[Leased Date], "&gt;=" &amp; ($U$2 - $AF$3)
),0)</f>
        <v>0</v>
      </c>
      <c r="AI133" s="528"/>
      <c r="AJ133" s="531">
        <f t="shared" ca="1" si="4"/>
        <v>0</v>
      </c>
      <c r="AK133" s="532">
        <f t="shared" ca="1" si="5"/>
        <v>0</v>
      </c>
    </row>
    <row r="134" spans="2:37" x14ac:dyDescent="0.2">
      <c r="B134" s="566"/>
      <c r="C134" s="53"/>
      <c r="E134" s="262"/>
      <c r="F134" s="262"/>
      <c r="J134" s="293"/>
      <c r="K134" s="6"/>
      <c r="M134" s="6"/>
      <c r="N134" s="531" t="str" cm="1">
        <f t="array" aca="1" ref="N13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4" s="552" t="str" cm="1">
        <f t="array" aca="1" ref="O13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4" s="526" cm="1">
        <f t="array" aca="1" ref="P134" ca="1">COUNTIFS(unit_details[Leased Date], "&gt;=" &amp; ($U$2 - N$5),
          unit_details[Leased Date], "&lt;" &amp; $U$2,
          unit_details[Floorplan Name], INDIRECT("C"&amp;ROW()),
          unit_details[Property Name], INDIRECT("B"&amp;ROW()))</f>
        <v>0</v>
      </c>
      <c r="Q134" s="531" t="str" cm="1">
        <f t="array" aca="1" ref="Q13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4" s="552" t="str" cm="1">
        <f t="array" aca="1" ref="R13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4" s="526" cm="1">
        <f t="array" aca="1" ref="S134" ca="1">COUNTIFS(unit_details[Leased Date], "&gt;=" &amp; ($U$2 - Q$5),
          unit_details[Leased Date], "&lt;" &amp; $U$2,
          unit_details[Floorplan Name], INDIRECT("C"&amp;ROW()),
          unit_details[Property Name], INDIRECT("B"&amp;ROW()))</f>
        <v>0</v>
      </c>
      <c r="T134" s="531" t="str" cm="1">
        <f t="array" aca="1" ref="T13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4" s="552" t="str" cm="1">
        <f t="array" aca="1" ref="U13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4" s="526" cm="1">
        <f t="array" aca="1" ref="V134" ca="1">COUNTIFS(unit_details[Leased Date], "&gt;=" &amp; ($U$2 - T$5),
          unit_details[Leased Date], "&lt;" &amp; $U$2,
          unit_details[Floorplan Name], INDIRECT("C"&amp;ROW()),
          unit_details[Property Name], INDIRECT("B"&amp;ROW()))</f>
        <v>0</v>
      </c>
      <c r="W134" s="531" t="str" cm="1">
        <f t="array" aca="1" ref="W13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4" s="552" t="str" cm="1">
        <f t="array" aca="1" ref="X13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4" s="27" t="str">
        <f t="shared" ca="1" si="3"/>
        <v/>
      </c>
      <c r="Z134" s="4" t="str">
        <f>IFERROR($U$2-AVERAGEIFS(unit_details[First Listed],
          unit_details[Active Listing?],TRUE,
          unit_details[Property Name], $B134,
          unit_details[Beds], $D134,
          unit_details[Baths], $E134,
          unit_details[Partial Baths], IF(ISNUMBER($F134),$F134,""),
          unit_details[Floorplan Name],$C134
),"")</f>
        <v/>
      </c>
      <c r="AA134" s="262" cm="1">
        <f t="array" aca="1" ref="AA134" ca="1">COUNTIFS(unit_details[Active Listing?],TRUE,
          unit_details[Floorplan Name], INDIRECT("C"&amp;ROW()),
          unit_details[Property Name], INDIRECT("B"&amp;ROW()))</f>
        <v>0</v>
      </c>
      <c r="AB134" s="553"/>
      <c r="AC134" s="528" cm="1">
        <f t="array" aca="1" ref="AC134" ca="1">IFERROR(AVERAGEIFS(
  unit_details[Sqft],
  unit_details[Property Name], INDIRECT("B"&amp;ROW()),
  unit_details[Floorplan Name], INDIRECT("C"&amp;ROW()),
  unit_details[Beds], INDIRECT("D"&amp;ROW()),
  unit_details[Detected Unit Amenities], "*"&amp;$AD$3&amp;"*",
  unit_details[Leased Date], "&gt;=" &amp; ($U$2 - $AF$3)
),0)</f>
        <v>0</v>
      </c>
      <c r="AD134" s="527" cm="1">
        <f t="array" aca="1" ref="AD1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4" s="526" cm="1">
        <f t="array" aca="1" ref="AE134" ca="1">IFERROR(COUNTIFS(
  unit_details[Property Name], INDIRECT("B"&amp;ROW()),
  unit_details[Floorplan Name], INDIRECT("C"&amp;ROW()),
  unit_details[Beds], INDIRECT("D"&amp;ROW()),
  unit_details[Detected Unit Amenities], "*"&amp;$AD$3&amp;"*",
  unit_details[Leased Date], "&gt;=" &amp; ($U$2 - $AF$3)
),0)</f>
        <v>0</v>
      </c>
      <c r="AF134" s="528" cm="1">
        <f t="array" aca="1" ref="AF134" ca="1">IFERROR(AVERAGEIFS(
  unit_details[Sqft],
  unit_details[Property Name], INDIRECT("B"&amp;ROW()),
  unit_details[Floorplan Name], INDIRECT("C"&amp;ROW()),
  unit_details[Beds], INDIRECT("D"&amp;ROW()),
  unit_details[Detected Unit Amenities], "&lt;&gt;*"&amp;$AD$3&amp;"*",
  unit_details[Leased Date], "&gt;=" &amp; ($U$2 - $AF$3)
),0)</f>
        <v>0</v>
      </c>
      <c r="AG134" s="527" cm="1">
        <f t="array" aca="1" ref="AG1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4" s="526" cm="1">
        <f t="array" aca="1" ref="AH134" ca="1">IFERROR(COUNTIFS(
  unit_details[Property Name], INDIRECT("B"&amp;ROW()),
  unit_details[Floorplan Name], INDIRECT("C"&amp;ROW()),
  unit_details[Beds], INDIRECT("D"&amp;ROW()),
  unit_details[Detected Unit Amenities], "&lt;&gt;*"&amp;$AD$3&amp;"*",
  unit_details[Leased Date], "&gt;=" &amp; ($U$2 - $AF$3)
),0)</f>
        <v>0</v>
      </c>
      <c r="AI134" s="528"/>
      <c r="AJ134" s="531">
        <f t="shared" ca="1" si="4"/>
        <v>0</v>
      </c>
      <c r="AK134" s="532">
        <f t="shared" ca="1" si="5"/>
        <v>0</v>
      </c>
    </row>
    <row r="135" spans="2:37" x14ac:dyDescent="0.2">
      <c r="B135" s="566"/>
      <c r="C135" s="53"/>
      <c r="E135" s="262"/>
      <c r="F135" s="262"/>
      <c r="J135" s="293"/>
      <c r="K135" s="6"/>
      <c r="M135" s="6"/>
      <c r="N135" s="531" t="str" cm="1">
        <f t="array" aca="1" ref="N13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5" s="552" t="str" cm="1">
        <f t="array" aca="1" ref="O13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5" s="526" cm="1">
        <f t="array" aca="1" ref="P135" ca="1">COUNTIFS(unit_details[Leased Date], "&gt;=" &amp; ($U$2 - N$5),
          unit_details[Leased Date], "&lt;" &amp; $U$2,
          unit_details[Floorplan Name], INDIRECT("C"&amp;ROW()),
          unit_details[Property Name], INDIRECT("B"&amp;ROW()))</f>
        <v>0</v>
      </c>
      <c r="Q135" s="531" t="str" cm="1">
        <f t="array" aca="1" ref="Q13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5" s="552" t="str" cm="1">
        <f t="array" aca="1" ref="R13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5" s="526" cm="1">
        <f t="array" aca="1" ref="S135" ca="1">COUNTIFS(unit_details[Leased Date], "&gt;=" &amp; ($U$2 - Q$5),
          unit_details[Leased Date], "&lt;" &amp; $U$2,
          unit_details[Floorplan Name], INDIRECT("C"&amp;ROW()),
          unit_details[Property Name], INDIRECT("B"&amp;ROW()))</f>
        <v>0</v>
      </c>
      <c r="T135" s="531" t="str" cm="1">
        <f t="array" aca="1" ref="T13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5" s="552" t="str" cm="1">
        <f t="array" aca="1" ref="U13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5" s="526" cm="1">
        <f t="array" aca="1" ref="V135" ca="1">COUNTIFS(unit_details[Leased Date], "&gt;=" &amp; ($U$2 - T$5),
          unit_details[Leased Date], "&lt;" &amp; $U$2,
          unit_details[Floorplan Name], INDIRECT("C"&amp;ROW()),
          unit_details[Property Name], INDIRECT("B"&amp;ROW()))</f>
        <v>0</v>
      </c>
      <c r="W135" s="531" t="str" cm="1">
        <f t="array" aca="1" ref="W13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5" s="552" t="str" cm="1">
        <f t="array" aca="1" ref="X13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5" s="27" t="str">
        <f t="shared" ca="1" si="3"/>
        <v/>
      </c>
      <c r="Z135" s="4" t="str">
        <f>IFERROR($U$2-AVERAGEIFS(unit_details[First Listed],
          unit_details[Active Listing?],TRUE,
          unit_details[Property Name], $B135,
          unit_details[Beds], $D135,
          unit_details[Baths], $E135,
          unit_details[Partial Baths], IF(ISNUMBER($F135),$F135,""),
          unit_details[Floorplan Name],$C135
),"")</f>
        <v/>
      </c>
      <c r="AA135" s="262" cm="1">
        <f t="array" aca="1" ref="AA135" ca="1">COUNTIFS(unit_details[Active Listing?],TRUE,
          unit_details[Floorplan Name], INDIRECT("C"&amp;ROW()),
          unit_details[Property Name], INDIRECT("B"&amp;ROW()))</f>
        <v>0</v>
      </c>
      <c r="AB135" s="553"/>
      <c r="AC135" s="528" cm="1">
        <f t="array" aca="1" ref="AC135" ca="1">IFERROR(AVERAGEIFS(
  unit_details[Sqft],
  unit_details[Property Name], INDIRECT("B"&amp;ROW()),
  unit_details[Floorplan Name], INDIRECT("C"&amp;ROW()),
  unit_details[Beds], INDIRECT("D"&amp;ROW()),
  unit_details[Detected Unit Amenities], "*"&amp;$AD$3&amp;"*",
  unit_details[Leased Date], "&gt;=" &amp; ($U$2 - $AF$3)
),0)</f>
        <v>0</v>
      </c>
      <c r="AD135" s="527" cm="1">
        <f t="array" aca="1" ref="AD1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5" s="526" cm="1">
        <f t="array" aca="1" ref="AE135" ca="1">IFERROR(COUNTIFS(
  unit_details[Property Name], INDIRECT("B"&amp;ROW()),
  unit_details[Floorplan Name], INDIRECT("C"&amp;ROW()),
  unit_details[Beds], INDIRECT("D"&amp;ROW()),
  unit_details[Detected Unit Amenities], "*"&amp;$AD$3&amp;"*",
  unit_details[Leased Date], "&gt;=" &amp; ($U$2 - $AF$3)
),0)</f>
        <v>0</v>
      </c>
      <c r="AF135" s="528" cm="1">
        <f t="array" aca="1" ref="AF135" ca="1">IFERROR(AVERAGEIFS(
  unit_details[Sqft],
  unit_details[Property Name], INDIRECT("B"&amp;ROW()),
  unit_details[Floorplan Name], INDIRECT("C"&amp;ROW()),
  unit_details[Beds], INDIRECT("D"&amp;ROW()),
  unit_details[Detected Unit Amenities], "&lt;&gt;*"&amp;$AD$3&amp;"*",
  unit_details[Leased Date], "&gt;=" &amp; ($U$2 - $AF$3)
),0)</f>
        <v>0</v>
      </c>
      <c r="AG135" s="527" cm="1">
        <f t="array" aca="1" ref="AG1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5" s="526" cm="1">
        <f t="array" aca="1" ref="AH135" ca="1">IFERROR(COUNTIFS(
  unit_details[Property Name], INDIRECT("B"&amp;ROW()),
  unit_details[Floorplan Name], INDIRECT("C"&amp;ROW()),
  unit_details[Beds], INDIRECT("D"&amp;ROW()),
  unit_details[Detected Unit Amenities], "&lt;&gt;*"&amp;$AD$3&amp;"*",
  unit_details[Leased Date], "&gt;=" &amp; ($U$2 - $AF$3)
),0)</f>
        <v>0</v>
      </c>
      <c r="AI135" s="528"/>
      <c r="AJ135" s="531">
        <f t="shared" ca="1" si="4"/>
        <v>0</v>
      </c>
      <c r="AK135" s="532">
        <f t="shared" ca="1" si="5"/>
        <v>0</v>
      </c>
    </row>
    <row r="136" spans="2:37" x14ac:dyDescent="0.2">
      <c r="B136" s="566"/>
      <c r="C136" s="53"/>
      <c r="E136" s="262"/>
      <c r="F136" s="262"/>
      <c r="J136" s="293"/>
      <c r="K136" s="6"/>
      <c r="M136" s="6"/>
      <c r="N136" s="531" t="str" cm="1">
        <f t="array" aca="1" ref="N13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6" s="552" t="str" cm="1">
        <f t="array" aca="1" ref="O13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6" s="526" cm="1">
        <f t="array" aca="1" ref="P136" ca="1">COUNTIFS(unit_details[Leased Date], "&gt;=" &amp; ($U$2 - N$5),
          unit_details[Leased Date], "&lt;" &amp; $U$2,
          unit_details[Floorplan Name], INDIRECT("C"&amp;ROW()),
          unit_details[Property Name], INDIRECT("B"&amp;ROW()))</f>
        <v>0</v>
      </c>
      <c r="Q136" s="531" t="str" cm="1">
        <f t="array" aca="1" ref="Q13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6" s="552" t="str" cm="1">
        <f t="array" aca="1" ref="R13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6" s="526" cm="1">
        <f t="array" aca="1" ref="S136" ca="1">COUNTIFS(unit_details[Leased Date], "&gt;=" &amp; ($U$2 - Q$5),
          unit_details[Leased Date], "&lt;" &amp; $U$2,
          unit_details[Floorplan Name], INDIRECT("C"&amp;ROW()),
          unit_details[Property Name], INDIRECT("B"&amp;ROW()))</f>
        <v>0</v>
      </c>
      <c r="T136" s="531" t="str" cm="1">
        <f t="array" aca="1" ref="T13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6" s="552" t="str" cm="1">
        <f t="array" aca="1" ref="U13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6" s="526" cm="1">
        <f t="array" aca="1" ref="V136" ca="1">COUNTIFS(unit_details[Leased Date], "&gt;=" &amp; ($U$2 - T$5),
          unit_details[Leased Date], "&lt;" &amp; $U$2,
          unit_details[Floorplan Name], INDIRECT("C"&amp;ROW()),
          unit_details[Property Name], INDIRECT("B"&amp;ROW()))</f>
        <v>0</v>
      </c>
      <c r="W136" s="531" t="str" cm="1">
        <f t="array" aca="1" ref="W13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6" s="552" t="str" cm="1">
        <f t="array" aca="1" ref="X13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6" s="27" t="str">
        <f t="shared" ref="Y136:Y199" ca="1" si="6">IFERROR((W136-X136)/W136,"")</f>
        <v/>
      </c>
      <c r="Z136" s="4" t="str">
        <f>IFERROR($U$2-AVERAGEIFS(unit_details[First Listed],
          unit_details[Active Listing?],TRUE,
          unit_details[Property Name], $B136,
          unit_details[Beds], $D136,
          unit_details[Baths], $E136,
          unit_details[Partial Baths], IF(ISNUMBER($F136),$F136,""),
          unit_details[Floorplan Name],$C136
),"")</f>
        <v/>
      </c>
      <c r="AA136" s="262" cm="1">
        <f t="array" aca="1" ref="AA136" ca="1">COUNTIFS(unit_details[Active Listing?],TRUE,
          unit_details[Floorplan Name], INDIRECT("C"&amp;ROW()),
          unit_details[Property Name], INDIRECT("B"&amp;ROW()))</f>
        <v>0</v>
      </c>
      <c r="AB136" s="553"/>
      <c r="AC136" s="528" cm="1">
        <f t="array" aca="1" ref="AC136" ca="1">IFERROR(AVERAGEIFS(
  unit_details[Sqft],
  unit_details[Property Name], INDIRECT("B"&amp;ROW()),
  unit_details[Floorplan Name], INDIRECT("C"&amp;ROW()),
  unit_details[Beds], INDIRECT("D"&amp;ROW()),
  unit_details[Detected Unit Amenities], "*"&amp;$AD$3&amp;"*",
  unit_details[Leased Date], "&gt;=" &amp; ($U$2 - $AF$3)
),0)</f>
        <v>0</v>
      </c>
      <c r="AD136" s="527" cm="1">
        <f t="array" aca="1" ref="AD1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6" s="526" cm="1">
        <f t="array" aca="1" ref="AE136" ca="1">IFERROR(COUNTIFS(
  unit_details[Property Name], INDIRECT("B"&amp;ROW()),
  unit_details[Floorplan Name], INDIRECT("C"&amp;ROW()),
  unit_details[Beds], INDIRECT("D"&amp;ROW()),
  unit_details[Detected Unit Amenities], "*"&amp;$AD$3&amp;"*",
  unit_details[Leased Date], "&gt;=" &amp; ($U$2 - $AF$3)
),0)</f>
        <v>0</v>
      </c>
      <c r="AF136" s="528" cm="1">
        <f t="array" aca="1" ref="AF136" ca="1">IFERROR(AVERAGEIFS(
  unit_details[Sqft],
  unit_details[Property Name], INDIRECT("B"&amp;ROW()),
  unit_details[Floorplan Name], INDIRECT("C"&amp;ROW()),
  unit_details[Beds], INDIRECT("D"&amp;ROW()),
  unit_details[Detected Unit Amenities], "&lt;&gt;*"&amp;$AD$3&amp;"*",
  unit_details[Leased Date], "&gt;=" &amp; ($U$2 - $AF$3)
),0)</f>
        <v>0</v>
      </c>
      <c r="AG136" s="527" cm="1">
        <f t="array" aca="1" ref="AG1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6" s="526" cm="1">
        <f t="array" aca="1" ref="AH136" ca="1">IFERROR(COUNTIFS(
  unit_details[Property Name], INDIRECT("B"&amp;ROW()),
  unit_details[Floorplan Name], INDIRECT("C"&amp;ROW()),
  unit_details[Beds], INDIRECT("D"&amp;ROW()),
  unit_details[Detected Unit Amenities], "&lt;&gt;*"&amp;$AD$3&amp;"*",
  unit_details[Leased Date], "&gt;=" &amp; ($U$2 - $AF$3)
),0)</f>
        <v>0</v>
      </c>
      <c r="AI136" s="528"/>
      <c r="AJ136" s="531">
        <f t="shared" ca="1" si="4"/>
        <v>0</v>
      </c>
      <c r="AK136" s="532">
        <f t="shared" ca="1" si="5"/>
        <v>0</v>
      </c>
    </row>
    <row r="137" spans="2:37" x14ac:dyDescent="0.2">
      <c r="B137" s="566"/>
      <c r="C137" s="53"/>
      <c r="E137" s="262"/>
      <c r="F137" s="262"/>
      <c r="J137" s="293"/>
      <c r="K137" s="6"/>
      <c r="M137" s="6"/>
      <c r="N137" s="531" t="str" cm="1">
        <f t="array" aca="1" ref="N13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7" s="552" t="str" cm="1">
        <f t="array" aca="1" ref="O13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7" s="526" cm="1">
        <f t="array" aca="1" ref="P137" ca="1">COUNTIFS(unit_details[Leased Date], "&gt;=" &amp; ($U$2 - N$5),
          unit_details[Leased Date], "&lt;" &amp; $U$2,
          unit_details[Floorplan Name], INDIRECT("C"&amp;ROW()),
          unit_details[Property Name], INDIRECT("B"&amp;ROW()))</f>
        <v>0</v>
      </c>
      <c r="Q137" s="531" t="str" cm="1">
        <f t="array" aca="1" ref="Q13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7" s="552" t="str" cm="1">
        <f t="array" aca="1" ref="R13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7" s="526" cm="1">
        <f t="array" aca="1" ref="S137" ca="1">COUNTIFS(unit_details[Leased Date], "&gt;=" &amp; ($U$2 - Q$5),
          unit_details[Leased Date], "&lt;" &amp; $U$2,
          unit_details[Floorplan Name], INDIRECT("C"&amp;ROW()),
          unit_details[Property Name], INDIRECT("B"&amp;ROW()))</f>
        <v>0</v>
      </c>
      <c r="T137" s="531" t="str" cm="1">
        <f t="array" aca="1" ref="T13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7" s="552" t="str" cm="1">
        <f t="array" aca="1" ref="U13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7" s="526" cm="1">
        <f t="array" aca="1" ref="V137" ca="1">COUNTIFS(unit_details[Leased Date], "&gt;=" &amp; ($U$2 - T$5),
          unit_details[Leased Date], "&lt;" &amp; $U$2,
          unit_details[Floorplan Name], INDIRECT("C"&amp;ROW()),
          unit_details[Property Name], INDIRECT("B"&amp;ROW()))</f>
        <v>0</v>
      </c>
      <c r="W137" s="531" t="str" cm="1">
        <f t="array" aca="1" ref="W13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7" s="552" t="str" cm="1">
        <f t="array" aca="1" ref="X13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7" s="27" t="str">
        <f t="shared" ca="1" si="6"/>
        <v/>
      </c>
      <c r="Z137" s="4" t="str">
        <f>IFERROR($U$2-AVERAGEIFS(unit_details[First Listed],
          unit_details[Active Listing?],TRUE,
          unit_details[Property Name], $B137,
          unit_details[Beds], $D137,
          unit_details[Baths], $E137,
          unit_details[Partial Baths], IF(ISNUMBER($F137),$F137,""),
          unit_details[Floorplan Name],$C137
),"")</f>
        <v/>
      </c>
      <c r="AA137" s="262" cm="1">
        <f t="array" aca="1" ref="AA137" ca="1">COUNTIFS(unit_details[Active Listing?],TRUE,
          unit_details[Floorplan Name], INDIRECT("C"&amp;ROW()),
          unit_details[Property Name], INDIRECT("B"&amp;ROW()))</f>
        <v>0</v>
      </c>
      <c r="AB137" s="553"/>
      <c r="AC137" s="528" cm="1">
        <f t="array" aca="1" ref="AC137" ca="1">IFERROR(AVERAGEIFS(
  unit_details[Sqft],
  unit_details[Property Name], INDIRECT("B"&amp;ROW()),
  unit_details[Floorplan Name], INDIRECT("C"&amp;ROW()),
  unit_details[Beds], INDIRECT("D"&amp;ROW()),
  unit_details[Detected Unit Amenities], "*"&amp;$AD$3&amp;"*",
  unit_details[Leased Date], "&gt;=" &amp; ($U$2 - $AF$3)
),0)</f>
        <v>0</v>
      </c>
      <c r="AD137" s="527" cm="1">
        <f t="array" aca="1" ref="AD1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7" s="526" cm="1">
        <f t="array" aca="1" ref="AE137" ca="1">IFERROR(COUNTIFS(
  unit_details[Property Name], INDIRECT("B"&amp;ROW()),
  unit_details[Floorplan Name], INDIRECT("C"&amp;ROW()),
  unit_details[Beds], INDIRECT("D"&amp;ROW()),
  unit_details[Detected Unit Amenities], "*"&amp;$AD$3&amp;"*",
  unit_details[Leased Date], "&gt;=" &amp; ($U$2 - $AF$3)
),0)</f>
        <v>0</v>
      </c>
      <c r="AF137" s="528" cm="1">
        <f t="array" aca="1" ref="AF137" ca="1">IFERROR(AVERAGEIFS(
  unit_details[Sqft],
  unit_details[Property Name], INDIRECT("B"&amp;ROW()),
  unit_details[Floorplan Name], INDIRECT("C"&amp;ROW()),
  unit_details[Beds], INDIRECT("D"&amp;ROW()),
  unit_details[Detected Unit Amenities], "&lt;&gt;*"&amp;$AD$3&amp;"*",
  unit_details[Leased Date], "&gt;=" &amp; ($U$2 - $AF$3)
),0)</f>
        <v>0</v>
      </c>
      <c r="AG137" s="527" cm="1">
        <f t="array" aca="1" ref="AG1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7" s="526" cm="1">
        <f t="array" aca="1" ref="AH137" ca="1">IFERROR(COUNTIFS(
  unit_details[Property Name], INDIRECT("B"&amp;ROW()),
  unit_details[Floorplan Name], INDIRECT("C"&amp;ROW()),
  unit_details[Beds], INDIRECT("D"&amp;ROW()),
  unit_details[Detected Unit Amenities], "&lt;&gt;*"&amp;$AD$3&amp;"*",
  unit_details[Leased Date], "&gt;=" &amp; ($U$2 - $AF$3)
),0)</f>
        <v>0</v>
      </c>
      <c r="AI137" s="528"/>
      <c r="AJ137" s="531">
        <f t="shared" ref="AJ137:AJ200" ca="1" si="7">IF(OR(AD137=0,AG137=0),0,IFERROR(AD137-AG137,0))</f>
        <v>0</v>
      </c>
      <c r="AK137" s="532">
        <f t="shared" ref="AK137:AK200" ca="1" si="8">IFERROR(AJ137/AG137,0)</f>
        <v>0</v>
      </c>
    </row>
    <row r="138" spans="2:37" x14ac:dyDescent="0.2">
      <c r="B138" s="566"/>
      <c r="C138" s="53"/>
      <c r="E138" s="262"/>
      <c r="F138" s="262"/>
      <c r="J138" s="293"/>
      <c r="K138" s="6"/>
      <c r="M138" s="6"/>
      <c r="N138" s="531" t="str" cm="1">
        <f t="array" aca="1" ref="N13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8" s="552" t="str" cm="1">
        <f t="array" aca="1" ref="O13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8" s="526" cm="1">
        <f t="array" aca="1" ref="P138" ca="1">COUNTIFS(unit_details[Leased Date], "&gt;=" &amp; ($U$2 - N$5),
          unit_details[Leased Date], "&lt;" &amp; $U$2,
          unit_details[Floorplan Name], INDIRECT("C"&amp;ROW()),
          unit_details[Property Name], INDIRECT("B"&amp;ROW()))</f>
        <v>0</v>
      </c>
      <c r="Q138" s="531" t="str" cm="1">
        <f t="array" aca="1" ref="Q13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8" s="552" t="str" cm="1">
        <f t="array" aca="1" ref="R13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8" s="526" cm="1">
        <f t="array" aca="1" ref="S138" ca="1">COUNTIFS(unit_details[Leased Date], "&gt;=" &amp; ($U$2 - Q$5),
          unit_details[Leased Date], "&lt;" &amp; $U$2,
          unit_details[Floorplan Name], INDIRECT("C"&amp;ROW()),
          unit_details[Property Name], INDIRECT("B"&amp;ROW()))</f>
        <v>0</v>
      </c>
      <c r="T138" s="531" t="str" cm="1">
        <f t="array" aca="1" ref="T13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8" s="552" t="str" cm="1">
        <f t="array" aca="1" ref="U13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8" s="526" cm="1">
        <f t="array" aca="1" ref="V138" ca="1">COUNTIFS(unit_details[Leased Date], "&gt;=" &amp; ($U$2 - T$5),
          unit_details[Leased Date], "&lt;" &amp; $U$2,
          unit_details[Floorplan Name], INDIRECT("C"&amp;ROW()),
          unit_details[Property Name], INDIRECT("B"&amp;ROW()))</f>
        <v>0</v>
      </c>
      <c r="W138" s="531" t="str" cm="1">
        <f t="array" aca="1" ref="W13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8" s="552" t="str" cm="1">
        <f t="array" aca="1" ref="X13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8" s="27" t="str">
        <f t="shared" ca="1" si="6"/>
        <v/>
      </c>
      <c r="Z138" s="4" t="str">
        <f>IFERROR($U$2-AVERAGEIFS(unit_details[First Listed],
          unit_details[Active Listing?],TRUE,
          unit_details[Property Name], $B138,
          unit_details[Beds], $D138,
          unit_details[Baths], $E138,
          unit_details[Partial Baths], IF(ISNUMBER($F138),$F138,""),
          unit_details[Floorplan Name],$C138
),"")</f>
        <v/>
      </c>
      <c r="AA138" s="262" cm="1">
        <f t="array" aca="1" ref="AA138" ca="1">COUNTIFS(unit_details[Active Listing?],TRUE,
          unit_details[Floorplan Name], INDIRECT("C"&amp;ROW()),
          unit_details[Property Name], INDIRECT("B"&amp;ROW()))</f>
        <v>0</v>
      </c>
      <c r="AB138" s="553"/>
      <c r="AC138" s="528" cm="1">
        <f t="array" aca="1" ref="AC138" ca="1">IFERROR(AVERAGEIFS(
  unit_details[Sqft],
  unit_details[Property Name], INDIRECT("B"&amp;ROW()),
  unit_details[Floorplan Name], INDIRECT("C"&amp;ROW()),
  unit_details[Beds], INDIRECT("D"&amp;ROW()),
  unit_details[Detected Unit Amenities], "*"&amp;$AD$3&amp;"*",
  unit_details[Leased Date], "&gt;=" &amp; ($U$2 - $AF$3)
),0)</f>
        <v>0</v>
      </c>
      <c r="AD138" s="527" cm="1">
        <f t="array" aca="1" ref="AD1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8" s="526" cm="1">
        <f t="array" aca="1" ref="AE138" ca="1">IFERROR(COUNTIFS(
  unit_details[Property Name], INDIRECT("B"&amp;ROW()),
  unit_details[Floorplan Name], INDIRECT("C"&amp;ROW()),
  unit_details[Beds], INDIRECT("D"&amp;ROW()),
  unit_details[Detected Unit Amenities], "*"&amp;$AD$3&amp;"*",
  unit_details[Leased Date], "&gt;=" &amp; ($U$2 - $AF$3)
),0)</f>
        <v>0</v>
      </c>
      <c r="AF138" s="528" cm="1">
        <f t="array" aca="1" ref="AF138" ca="1">IFERROR(AVERAGEIFS(
  unit_details[Sqft],
  unit_details[Property Name], INDIRECT("B"&amp;ROW()),
  unit_details[Floorplan Name], INDIRECT("C"&amp;ROW()),
  unit_details[Beds], INDIRECT("D"&amp;ROW()),
  unit_details[Detected Unit Amenities], "&lt;&gt;*"&amp;$AD$3&amp;"*",
  unit_details[Leased Date], "&gt;=" &amp; ($U$2 - $AF$3)
),0)</f>
        <v>0</v>
      </c>
      <c r="AG138" s="527" cm="1">
        <f t="array" aca="1" ref="AG1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8" s="526" cm="1">
        <f t="array" aca="1" ref="AH138" ca="1">IFERROR(COUNTIFS(
  unit_details[Property Name], INDIRECT("B"&amp;ROW()),
  unit_details[Floorplan Name], INDIRECT("C"&amp;ROW()),
  unit_details[Beds], INDIRECT("D"&amp;ROW()),
  unit_details[Detected Unit Amenities], "&lt;&gt;*"&amp;$AD$3&amp;"*",
  unit_details[Leased Date], "&gt;=" &amp; ($U$2 - $AF$3)
),0)</f>
        <v>0</v>
      </c>
      <c r="AI138" s="528"/>
      <c r="AJ138" s="531">
        <f t="shared" ca="1" si="7"/>
        <v>0</v>
      </c>
      <c r="AK138" s="532">
        <f t="shared" ca="1" si="8"/>
        <v>0</v>
      </c>
    </row>
    <row r="139" spans="2:37" x14ac:dyDescent="0.2">
      <c r="B139" s="566"/>
      <c r="C139" s="53"/>
      <c r="E139" s="262"/>
      <c r="F139" s="262"/>
      <c r="J139" s="293"/>
      <c r="K139" s="6"/>
      <c r="M139" s="6"/>
      <c r="N139" s="531" t="str" cm="1">
        <f t="array" aca="1" ref="N13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39" s="552" t="str" cm="1">
        <f t="array" aca="1" ref="O13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39" s="526" cm="1">
        <f t="array" aca="1" ref="P139" ca="1">COUNTIFS(unit_details[Leased Date], "&gt;=" &amp; ($U$2 - N$5),
          unit_details[Leased Date], "&lt;" &amp; $U$2,
          unit_details[Floorplan Name], INDIRECT("C"&amp;ROW()),
          unit_details[Property Name], INDIRECT("B"&amp;ROW()))</f>
        <v>0</v>
      </c>
      <c r="Q139" s="531" t="str" cm="1">
        <f t="array" aca="1" ref="Q13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39" s="552" t="str" cm="1">
        <f t="array" aca="1" ref="R13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39" s="526" cm="1">
        <f t="array" aca="1" ref="S139" ca="1">COUNTIFS(unit_details[Leased Date], "&gt;=" &amp; ($U$2 - Q$5),
          unit_details[Leased Date], "&lt;" &amp; $U$2,
          unit_details[Floorplan Name], INDIRECT("C"&amp;ROW()),
          unit_details[Property Name], INDIRECT("B"&amp;ROW()))</f>
        <v>0</v>
      </c>
      <c r="T139" s="531" t="str" cm="1">
        <f t="array" aca="1" ref="T13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39" s="552" t="str" cm="1">
        <f t="array" aca="1" ref="U13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39" s="526" cm="1">
        <f t="array" aca="1" ref="V139" ca="1">COUNTIFS(unit_details[Leased Date], "&gt;=" &amp; ($U$2 - T$5),
          unit_details[Leased Date], "&lt;" &amp; $U$2,
          unit_details[Floorplan Name], INDIRECT("C"&amp;ROW()),
          unit_details[Property Name], INDIRECT("B"&amp;ROW()))</f>
        <v>0</v>
      </c>
      <c r="W139" s="531" t="str" cm="1">
        <f t="array" aca="1" ref="W13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39" s="552" t="str" cm="1">
        <f t="array" aca="1" ref="X13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39" s="27" t="str">
        <f t="shared" ca="1" si="6"/>
        <v/>
      </c>
      <c r="Z139" s="4" t="str">
        <f>IFERROR($U$2-AVERAGEIFS(unit_details[First Listed],
          unit_details[Active Listing?],TRUE,
          unit_details[Property Name], $B139,
          unit_details[Beds], $D139,
          unit_details[Baths], $E139,
          unit_details[Partial Baths], IF(ISNUMBER($F139),$F139,""),
          unit_details[Floorplan Name],$C139
),"")</f>
        <v/>
      </c>
      <c r="AA139" s="262" cm="1">
        <f t="array" aca="1" ref="AA139" ca="1">COUNTIFS(unit_details[Active Listing?],TRUE,
          unit_details[Floorplan Name], INDIRECT("C"&amp;ROW()),
          unit_details[Property Name], INDIRECT("B"&amp;ROW()))</f>
        <v>0</v>
      </c>
      <c r="AB139" s="553"/>
      <c r="AC139" s="528" cm="1">
        <f t="array" aca="1" ref="AC139" ca="1">IFERROR(AVERAGEIFS(
  unit_details[Sqft],
  unit_details[Property Name], INDIRECT("B"&amp;ROW()),
  unit_details[Floorplan Name], INDIRECT("C"&amp;ROW()),
  unit_details[Beds], INDIRECT("D"&amp;ROW()),
  unit_details[Detected Unit Amenities], "*"&amp;$AD$3&amp;"*",
  unit_details[Leased Date], "&gt;=" &amp; ($U$2 - $AF$3)
),0)</f>
        <v>0</v>
      </c>
      <c r="AD139" s="527" cm="1">
        <f t="array" aca="1" ref="AD1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39" s="526" cm="1">
        <f t="array" aca="1" ref="AE139" ca="1">IFERROR(COUNTIFS(
  unit_details[Property Name], INDIRECT("B"&amp;ROW()),
  unit_details[Floorplan Name], INDIRECT("C"&amp;ROW()),
  unit_details[Beds], INDIRECT("D"&amp;ROW()),
  unit_details[Detected Unit Amenities], "*"&amp;$AD$3&amp;"*",
  unit_details[Leased Date], "&gt;=" &amp; ($U$2 - $AF$3)
),0)</f>
        <v>0</v>
      </c>
      <c r="AF139" s="528" cm="1">
        <f t="array" aca="1" ref="AF139" ca="1">IFERROR(AVERAGEIFS(
  unit_details[Sqft],
  unit_details[Property Name], INDIRECT("B"&amp;ROW()),
  unit_details[Floorplan Name], INDIRECT("C"&amp;ROW()),
  unit_details[Beds], INDIRECT("D"&amp;ROW()),
  unit_details[Detected Unit Amenities], "&lt;&gt;*"&amp;$AD$3&amp;"*",
  unit_details[Leased Date], "&gt;=" &amp; ($U$2 - $AF$3)
),0)</f>
        <v>0</v>
      </c>
      <c r="AG139" s="527" cm="1">
        <f t="array" aca="1" ref="AG1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39" s="526" cm="1">
        <f t="array" aca="1" ref="AH139" ca="1">IFERROR(COUNTIFS(
  unit_details[Property Name], INDIRECT("B"&amp;ROW()),
  unit_details[Floorplan Name], INDIRECT("C"&amp;ROW()),
  unit_details[Beds], INDIRECT("D"&amp;ROW()),
  unit_details[Detected Unit Amenities], "&lt;&gt;*"&amp;$AD$3&amp;"*",
  unit_details[Leased Date], "&gt;=" &amp; ($U$2 - $AF$3)
),0)</f>
        <v>0</v>
      </c>
      <c r="AI139" s="528"/>
      <c r="AJ139" s="531">
        <f t="shared" ca="1" si="7"/>
        <v>0</v>
      </c>
      <c r="AK139" s="532">
        <f t="shared" ca="1" si="8"/>
        <v>0</v>
      </c>
    </row>
    <row r="140" spans="2:37" x14ac:dyDescent="0.2">
      <c r="B140" s="566"/>
      <c r="C140" s="53"/>
      <c r="E140" s="262"/>
      <c r="F140" s="262"/>
      <c r="J140" s="293"/>
      <c r="K140" s="6"/>
      <c r="M140" s="6"/>
      <c r="N140" s="531" t="str" cm="1">
        <f t="array" aca="1" ref="N14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0" s="552" t="str" cm="1">
        <f t="array" aca="1" ref="O14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0" s="526" cm="1">
        <f t="array" aca="1" ref="P140" ca="1">COUNTIFS(unit_details[Leased Date], "&gt;=" &amp; ($U$2 - N$5),
          unit_details[Leased Date], "&lt;" &amp; $U$2,
          unit_details[Floorplan Name], INDIRECT("C"&amp;ROW()),
          unit_details[Property Name], INDIRECT("B"&amp;ROW()))</f>
        <v>0</v>
      </c>
      <c r="Q140" s="531" t="str" cm="1">
        <f t="array" aca="1" ref="Q14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0" s="552" t="str" cm="1">
        <f t="array" aca="1" ref="R14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0" s="526" cm="1">
        <f t="array" aca="1" ref="S140" ca="1">COUNTIFS(unit_details[Leased Date], "&gt;=" &amp; ($U$2 - Q$5),
          unit_details[Leased Date], "&lt;" &amp; $U$2,
          unit_details[Floorplan Name], INDIRECT("C"&amp;ROW()),
          unit_details[Property Name], INDIRECT("B"&amp;ROW()))</f>
        <v>0</v>
      </c>
      <c r="T140" s="531" t="str" cm="1">
        <f t="array" aca="1" ref="T14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0" s="552" t="str" cm="1">
        <f t="array" aca="1" ref="U14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0" s="526" cm="1">
        <f t="array" aca="1" ref="V140" ca="1">COUNTIFS(unit_details[Leased Date], "&gt;=" &amp; ($U$2 - T$5),
          unit_details[Leased Date], "&lt;" &amp; $U$2,
          unit_details[Floorplan Name], INDIRECT("C"&amp;ROW()),
          unit_details[Property Name], INDIRECT("B"&amp;ROW()))</f>
        <v>0</v>
      </c>
      <c r="W140" s="531" t="str" cm="1">
        <f t="array" aca="1" ref="W14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0" s="552" t="str" cm="1">
        <f t="array" aca="1" ref="X14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0" s="27" t="str">
        <f t="shared" ca="1" si="6"/>
        <v/>
      </c>
      <c r="Z140" s="4" t="str">
        <f>IFERROR($U$2-AVERAGEIFS(unit_details[First Listed],
          unit_details[Active Listing?],TRUE,
          unit_details[Property Name], $B140,
          unit_details[Beds], $D140,
          unit_details[Baths], $E140,
          unit_details[Partial Baths], IF(ISNUMBER($F140),$F140,""),
          unit_details[Floorplan Name],$C140
),"")</f>
        <v/>
      </c>
      <c r="AA140" s="262" cm="1">
        <f t="array" aca="1" ref="AA140" ca="1">COUNTIFS(unit_details[Active Listing?],TRUE,
          unit_details[Floorplan Name], INDIRECT("C"&amp;ROW()),
          unit_details[Property Name], INDIRECT("B"&amp;ROW()))</f>
        <v>0</v>
      </c>
      <c r="AB140" s="553"/>
      <c r="AC140" s="528" cm="1">
        <f t="array" aca="1" ref="AC140" ca="1">IFERROR(AVERAGEIFS(
  unit_details[Sqft],
  unit_details[Property Name], INDIRECT("B"&amp;ROW()),
  unit_details[Floorplan Name], INDIRECT("C"&amp;ROW()),
  unit_details[Beds], INDIRECT("D"&amp;ROW()),
  unit_details[Detected Unit Amenities], "*"&amp;$AD$3&amp;"*",
  unit_details[Leased Date], "&gt;=" &amp; ($U$2 - $AF$3)
),0)</f>
        <v>0</v>
      </c>
      <c r="AD140" s="527" cm="1">
        <f t="array" aca="1" ref="AD1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0" s="526" cm="1">
        <f t="array" aca="1" ref="AE140" ca="1">IFERROR(COUNTIFS(
  unit_details[Property Name], INDIRECT("B"&amp;ROW()),
  unit_details[Floorplan Name], INDIRECT("C"&amp;ROW()),
  unit_details[Beds], INDIRECT("D"&amp;ROW()),
  unit_details[Detected Unit Amenities], "*"&amp;$AD$3&amp;"*",
  unit_details[Leased Date], "&gt;=" &amp; ($U$2 - $AF$3)
),0)</f>
        <v>0</v>
      </c>
      <c r="AF140" s="528" cm="1">
        <f t="array" aca="1" ref="AF140" ca="1">IFERROR(AVERAGEIFS(
  unit_details[Sqft],
  unit_details[Property Name], INDIRECT("B"&amp;ROW()),
  unit_details[Floorplan Name], INDIRECT("C"&amp;ROW()),
  unit_details[Beds], INDIRECT("D"&amp;ROW()),
  unit_details[Detected Unit Amenities], "&lt;&gt;*"&amp;$AD$3&amp;"*",
  unit_details[Leased Date], "&gt;=" &amp; ($U$2 - $AF$3)
),0)</f>
        <v>0</v>
      </c>
      <c r="AG140" s="527" cm="1">
        <f t="array" aca="1" ref="AG1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0" s="526" cm="1">
        <f t="array" aca="1" ref="AH140" ca="1">IFERROR(COUNTIFS(
  unit_details[Property Name], INDIRECT("B"&amp;ROW()),
  unit_details[Floorplan Name], INDIRECT("C"&amp;ROW()),
  unit_details[Beds], INDIRECT("D"&amp;ROW()),
  unit_details[Detected Unit Amenities], "&lt;&gt;*"&amp;$AD$3&amp;"*",
  unit_details[Leased Date], "&gt;=" &amp; ($U$2 - $AF$3)
),0)</f>
        <v>0</v>
      </c>
      <c r="AI140" s="528"/>
      <c r="AJ140" s="531">
        <f t="shared" ca="1" si="7"/>
        <v>0</v>
      </c>
      <c r="AK140" s="532">
        <f t="shared" ca="1" si="8"/>
        <v>0</v>
      </c>
    </row>
    <row r="141" spans="2:37" x14ac:dyDescent="0.2">
      <c r="B141" s="566"/>
      <c r="C141" s="53"/>
      <c r="E141" s="262"/>
      <c r="F141" s="262"/>
      <c r="J141" s="293"/>
      <c r="K141" s="6"/>
      <c r="M141" s="6"/>
      <c r="N141" s="531" t="str" cm="1">
        <f t="array" aca="1" ref="N14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1" s="552" t="str" cm="1">
        <f t="array" aca="1" ref="O14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1" s="526" cm="1">
        <f t="array" aca="1" ref="P141" ca="1">COUNTIFS(unit_details[Leased Date], "&gt;=" &amp; ($U$2 - N$5),
          unit_details[Leased Date], "&lt;" &amp; $U$2,
          unit_details[Floorplan Name], INDIRECT("C"&amp;ROW()),
          unit_details[Property Name], INDIRECT("B"&amp;ROW()))</f>
        <v>0</v>
      </c>
      <c r="Q141" s="531" t="str" cm="1">
        <f t="array" aca="1" ref="Q14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1" s="552" t="str" cm="1">
        <f t="array" aca="1" ref="R14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1" s="526" cm="1">
        <f t="array" aca="1" ref="S141" ca="1">COUNTIFS(unit_details[Leased Date], "&gt;=" &amp; ($U$2 - Q$5),
          unit_details[Leased Date], "&lt;" &amp; $U$2,
          unit_details[Floorplan Name], INDIRECT("C"&amp;ROW()),
          unit_details[Property Name], INDIRECT("B"&amp;ROW()))</f>
        <v>0</v>
      </c>
      <c r="T141" s="531" t="str" cm="1">
        <f t="array" aca="1" ref="T14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1" s="552" t="str" cm="1">
        <f t="array" aca="1" ref="U14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1" s="526" cm="1">
        <f t="array" aca="1" ref="V141" ca="1">COUNTIFS(unit_details[Leased Date], "&gt;=" &amp; ($U$2 - T$5),
          unit_details[Leased Date], "&lt;" &amp; $U$2,
          unit_details[Floorplan Name], INDIRECT("C"&amp;ROW()),
          unit_details[Property Name], INDIRECT("B"&amp;ROW()))</f>
        <v>0</v>
      </c>
      <c r="W141" s="531" t="str" cm="1">
        <f t="array" aca="1" ref="W14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1" s="552" t="str" cm="1">
        <f t="array" aca="1" ref="X14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1" s="27" t="str">
        <f t="shared" ca="1" si="6"/>
        <v/>
      </c>
      <c r="Z141" s="4" t="str">
        <f>IFERROR($U$2-AVERAGEIFS(unit_details[First Listed],
          unit_details[Active Listing?],TRUE,
          unit_details[Property Name], $B141,
          unit_details[Beds], $D141,
          unit_details[Baths], $E141,
          unit_details[Partial Baths], IF(ISNUMBER($F141),$F141,""),
          unit_details[Floorplan Name],$C141
),"")</f>
        <v/>
      </c>
      <c r="AA141" s="262" cm="1">
        <f t="array" aca="1" ref="AA141" ca="1">COUNTIFS(unit_details[Active Listing?],TRUE,
          unit_details[Floorplan Name], INDIRECT("C"&amp;ROW()),
          unit_details[Property Name], INDIRECT("B"&amp;ROW()))</f>
        <v>0</v>
      </c>
      <c r="AB141" s="553"/>
      <c r="AC141" s="528" cm="1">
        <f t="array" aca="1" ref="AC141" ca="1">IFERROR(AVERAGEIFS(
  unit_details[Sqft],
  unit_details[Property Name], INDIRECT("B"&amp;ROW()),
  unit_details[Floorplan Name], INDIRECT("C"&amp;ROW()),
  unit_details[Beds], INDIRECT("D"&amp;ROW()),
  unit_details[Detected Unit Amenities], "*"&amp;$AD$3&amp;"*",
  unit_details[Leased Date], "&gt;=" &amp; ($U$2 - $AF$3)
),0)</f>
        <v>0</v>
      </c>
      <c r="AD141" s="527" cm="1">
        <f t="array" aca="1" ref="AD1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1" s="526" cm="1">
        <f t="array" aca="1" ref="AE141" ca="1">IFERROR(COUNTIFS(
  unit_details[Property Name], INDIRECT("B"&amp;ROW()),
  unit_details[Floorplan Name], INDIRECT("C"&amp;ROW()),
  unit_details[Beds], INDIRECT("D"&amp;ROW()),
  unit_details[Detected Unit Amenities], "*"&amp;$AD$3&amp;"*",
  unit_details[Leased Date], "&gt;=" &amp; ($U$2 - $AF$3)
),0)</f>
        <v>0</v>
      </c>
      <c r="AF141" s="528" cm="1">
        <f t="array" aca="1" ref="AF141" ca="1">IFERROR(AVERAGEIFS(
  unit_details[Sqft],
  unit_details[Property Name], INDIRECT("B"&amp;ROW()),
  unit_details[Floorplan Name], INDIRECT("C"&amp;ROW()),
  unit_details[Beds], INDIRECT("D"&amp;ROW()),
  unit_details[Detected Unit Amenities], "&lt;&gt;*"&amp;$AD$3&amp;"*",
  unit_details[Leased Date], "&gt;=" &amp; ($U$2 - $AF$3)
),0)</f>
        <v>0</v>
      </c>
      <c r="AG141" s="527" cm="1">
        <f t="array" aca="1" ref="AG1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1" s="526" cm="1">
        <f t="array" aca="1" ref="AH141" ca="1">IFERROR(COUNTIFS(
  unit_details[Property Name], INDIRECT("B"&amp;ROW()),
  unit_details[Floorplan Name], INDIRECT("C"&amp;ROW()),
  unit_details[Beds], INDIRECT("D"&amp;ROW()),
  unit_details[Detected Unit Amenities], "&lt;&gt;*"&amp;$AD$3&amp;"*",
  unit_details[Leased Date], "&gt;=" &amp; ($U$2 - $AF$3)
),0)</f>
        <v>0</v>
      </c>
      <c r="AI141" s="528"/>
      <c r="AJ141" s="531">
        <f t="shared" ca="1" si="7"/>
        <v>0</v>
      </c>
      <c r="AK141" s="532">
        <f t="shared" ca="1" si="8"/>
        <v>0</v>
      </c>
    </row>
    <row r="142" spans="2:37" x14ac:dyDescent="0.2">
      <c r="B142" s="566"/>
      <c r="C142" s="53"/>
      <c r="E142" s="262"/>
      <c r="F142" s="262"/>
      <c r="J142" s="293"/>
      <c r="K142" s="6"/>
      <c r="M142" s="6"/>
      <c r="N142" s="531" t="str" cm="1">
        <f t="array" aca="1" ref="N14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2" s="552" t="str" cm="1">
        <f t="array" aca="1" ref="O14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2" s="526" cm="1">
        <f t="array" aca="1" ref="P142" ca="1">COUNTIFS(unit_details[Leased Date], "&gt;=" &amp; ($U$2 - N$5),
          unit_details[Leased Date], "&lt;" &amp; $U$2,
          unit_details[Floorplan Name], INDIRECT("C"&amp;ROW()),
          unit_details[Property Name], INDIRECT("B"&amp;ROW()))</f>
        <v>0</v>
      </c>
      <c r="Q142" s="531" t="str" cm="1">
        <f t="array" aca="1" ref="Q14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2" s="552" t="str" cm="1">
        <f t="array" aca="1" ref="R14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2" s="526" cm="1">
        <f t="array" aca="1" ref="S142" ca="1">COUNTIFS(unit_details[Leased Date], "&gt;=" &amp; ($U$2 - Q$5),
          unit_details[Leased Date], "&lt;" &amp; $U$2,
          unit_details[Floorplan Name], INDIRECT("C"&amp;ROW()),
          unit_details[Property Name], INDIRECT("B"&amp;ROW()))</f>
        <v>0</v>
      </c>
      <c r="T142" s="531" t="str" cm="1">
        <f t="array" aca="1" ref="T14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2" s="552" t="str" cm="1">
        <f t="array" aca="1" ref="U14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2" s="526" cm="1">
        <f t="array" aca="1" ref="V142" ca="1">COUNTIFS(unit_details[Leased Date], "&gt;=" &amp; ($U$2 - T$5),
          unit_details[Leased Date], "&lt;" &amp; $U$2,
          unit_details[Floorplan Name], INDIRECT("C"&amp;ROW()),
          unit_details[Property Name], INDIRECT("B"&amp;ROW()))</f>
        <v>0</v>
      </c>
      <c r="W142" s="531" t="str" cm="1">
        <f t="array" aca="1" ref="W14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2" s="552" t="str" cm="1">
        <f t="array" aca="1" ref="X14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2" s="27" t="str">
        <f t="shared" ca="1" si="6"/>
        <v/>
      </c>
      <c r="Z142" s="4" t="str">
        <f>IFERROR($U$2-AVERAGEIFS(unit_details[First Listed],
          unit_details[Active Listing?],TRUE,
          unit_details[Property Name], $B142,
          unit_details[Beds], $D142,
          unit_details[Baths], $E142,
          unit_details[Partial Baths], IF(ISNUMBER($F142),$F142,""),
          unit_details[Floorplan Name],$C142
),"")</f>
        <v/>
      </c>
      <c r="AA142" s="262" cm="1">
        <f t="array" aca="1" ref="AA142" ca="1">COUNTIFS(unit_details[Active Listing?],TRUE,
          unit_details[Floorplan Name], INDIRECT("C"&amp;ROW()),
          unit_details[Property Name], INDIRECT("B"&amp;ROW()))</f>
        <v>0</v>
      </c>
      <c r="AB142" s="553"/>
      <c r="AC142" s="528" cm="1">
        <f t="array" aca="1" ref="AC142" ca="1">IFERROR(AVERAGEIFS(
  unit_details[Sqft],
  unit_details[Property Name], INDIRECT("B"&amp;ROW()),
  unit_details[Floorplan Name], INDIRECT("C"&amp;ROW()),
  unit_details[Beds], INDIRECT("D"&amp;ROW()),
  unit_details[Detected Unit Amenities], "*"&amp;$AD$3&amp;"*",
  unit_details[Leased Date], "&gt;=" &amp; ($U$2 - $AF$3)
),0)</f>
        <v>0</v>
      </c>
      <c r="AD142" s="527" cm="1">
        <f t="array" aca="1" ref="AD1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2" s="526" cm="1">
        <f t="array" aca="1" ref="AE142" ca="1">IFERROR(COUNTIFS(
  unit_details[Property Name], INDIRECT("B"&amp;ROW()),
  unit_details[Floorplan Name], INDIRECT("C"&amp;ROW()),
  unit_details[Beds], INDIRECT("D"&amp;ROW()),
  unit_details[Detected Unit Amenities], "*"&amp;$AD$3&amp;"*",
  unit_details[Leased Date], "&gt;=" &amp; ($U$2 - $AF$3)
),0)</f>
        <v>0</v>
      </c>
      <c r="AF142" s="528" cm="1">
        <f t="array" aca="1" ref="AF142" ca="1">IFERROR(AVERAGEIFS(
  unit_details[Sqft],
  unit_details[Property Name], INDIRECT("B"&amp;ROW()),
  unit_details[Floorplan Name], INDIRECT("C"&amp;ROW()),
  unit_details[Beds], INDIRECT("D"&amp;ROW()),
  unit_details[Detected Unit Amenities], "&lt;&gt;*"&amp;$AD$3&amp;"*",
  unit_details[Leased Date], "&gt;=" &amp; ($U$2 - $AF$3)
),0)</f>
        <v>0</v>
      </c>
      <c r="AG142" s="527" cm="1">
        <f t="array" aca="1" ref="AG1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2" s="526" cm="1">
        <f t="array" aca="1" ref="AH142" ca="1">IFERROR(COUNTIFS(
  unit_details[Property Name], INDIRECT("B"&amp;ROW()),
  unit_details[Floorplan Name], INDIRECT("C"&amp;ROW()),
  unit_details[Beds], INDIRECT("D"&amp;ROW()),
  unit_details[Detected Unit Amenities], "&lt;&gt;*"&amp;$AD$3&amp;"*",
  unit_details[Leased Date], "&gt;=" &amp; ($U$2 - $AF$3)
),0)</f>
        <v>0</v>
      </c>
      <c r="AI142" s="528"/>
      <c r="AJ142" s="531">
        <f t="shared" ca="1" si="7"/>
        <v>0</v>
      </c>
      <c r="AK142" s="532">
        <f t="shared" ca="1" si="8"/>
        <v>0</v>
      </c>
    </row>
    <row r="143" spans="2:37" x14ac:dyDescent="0.2">
      <c r="B143" s="566"/>
      <c r="C143" s="53"/>
      <c r="E143" s="262"/>
      <c r="F143" s="262"/>
      <c r="J143" s="293"/>
      <c r="K143" s="6"/>
      <c r="M143" s="6"/>
      <c r="N143" s="531" t="str" cm="1">
        <f t="array" aca="1" ref="N14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3" s="552" t="str" cm="1">
        <f t="array" aca="1" ref="O14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3" s="526" cm="1">
        <f t="array" aca="1" ref="P143" ca="1">COUNTIFS(unit_details[Leased Date], "&gt;=" &amp; ($U$2 - N$5),
          unit_details[Leased Date], "&lt;" &amp; $U$2,
          unit_details[Floorplan Name], INDIRECT("C"&amp;ROW()),
          unit_details[Property Name], INDIRECT("B"&amp;ROW()))</f>
        <v>0</v>
      </c>
      <c r="Q143" s="531" t="str" cm="1">
        <f t="array" aca="1" ref="Q14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3" s="552" t="str" cm="1">
        <f t="array" aca="1" ref="R14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3" s="526" cm="1">
        <f t="array" aca="1" ref="S143" ca="1">COUNTIFS(unit_details[Leased Date], "&gt;=" &amp; ($U$2 - Q$5),
          unit_details[Leased Date], "&lt;" &amp; $U$2,
          unit_details[Floorplan Name], INDIRECT("C"&amp;ROW()),
          unit_details[Property Name], INDIRECT("B"&amp;ROW()))</f>
        <v>0</v>
      </c>
      <c r="T143" s="531" t="str" cm="1">
        <f t="array" aca="1" ref="T14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3" s="552" t="str" cm="1">
        <f t="array" aca="1" ref="U14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3" s="526" cm="1">
        <f t="array" aca="1" ref="V143" ca="1">COUNTIFS(unit_details[Leased Date], "&gt;=" &amp; ($U$2 - T$5),
          unit_details[Leased Date], "&lt;" &amp; $U$2,
          unit_details[Floorplan Name], INDIRECT("C"&amp;ROW()),
          unit_details[Property Name], INDIRECT("B"&amp;ROW()))</f>
        <v>0</v>
      </c>
      <c r="W143" s="531" t="str" cm="1">
        <f t="array" aca="1" ref="W14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3" s="552" t="str" cm="1">
        <f t="array" aca="1" ref="X14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3" s="27" t="str">
        <f t="shared" ca="1" si="6"/>
        <v/>
      </c>
      <c r="Z143" s="4" t="str">
        <f>IFERROR($U$2-AVERAGEIFS(unit_details[First Listed],
          unit_details[Active Listing?],TRUE,
          unit_details[Property Name], $B143,
          unit_details[Beds], $D143,
          unit_details[Baths], $E143,
          unit_details[Partial Baths], IF(ISNUMBER($F143),$F143,""),
          unit_details[Floorplan Name],$C143
),"")</f>
        <v/>
      </c>
      <c r="AA143" s="262" cm="1">
        <f t="array" aca="1" ref="AA143" ca="1">COUNTIFS(unit_details[Active Listing?],TRUE,
          unit_details[Floorplan Name], INDIRECT("C"&amp;ROW()),
          unit_details[Property Name], INDIRECT("B"&amp;ROW()))</f>
        <v>0</v>
      </c>
      <c r="AB143" s="553"/>
      <c r="AC143" s="528" cm="1">
        <f t="array" aca="1" ref="AC143" ca="1">IFERROR(AVERAGEIFS(
  unit_details[Sqft],
  unit_details[Property Name], INDIRECT("B"&amp;ROW()),
  unit_details[Floorplan Name], INDIRECT("C"&amp;ROW()),
  unit_details[Beds], INDIRECT("D"&amp;ROW()),
  unit_details[Detected Unit Amenities], "*"&amp;$AD$3&amp;"*",
  unit_details[Leased Date], "&gt;=" &amp; ($U$2 - $AF$3)
),0)</f>
        <v>0</v>
      </c>
      <c r="AD143" s="527" cm="1">
        <f t="array" aca="1" ref="AD1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3" s="526" cm="1">
        <f t="array" aca="1" ref="AE143" ca="1">IFERROR(COUNTIFS(
  unit_details[Property Name], INDIRECT("B"&amp;ROW()),
  unit_details[Floorplan Name], INDIRECT("C"&amp;ROW()),
  unit_details[Beds], INDIRECT("D"&amp;ROW()),
  unit_details[Detected Unit Amenities], "*"&amp;$AD$3&amp;"*",
  unit_details[Leased Date], "&gt;=" &amp; ($U$2 - $AF$3)
),0)</f>
        <v>0</v>
      </c>
      <c r="AF143" s="528" cm="1">
        <f t="array" aca="1" ref="AF143" ca="1">IFERROR(AVERAGEIFS(
  unit_details[Sqft],
  unit_details[Property Name], INDIRECT("B"&amp;ROW()),
  unit_details[Floorplan Name], INDIRECT("C"&amp;ROW()),
  unit_details[Beds], INDIRECT("D"&amp;ROW()),
  unit_details[Detected Unit Amenities], "&lt;&gt;*"&amp;$AD$3&amp;"*",
  unit_details[Leased Date], "&gt;=" &amp; ($U$2 - $AF$3)
),0)</f>
        <v>0</v>
      </c>
      <c r="AG143" s="527" cm="1">
        <f t="array" aca="1" ref="AG1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3" s="526" cm="1">
        <f t="array" aca="1" ref="AH143" ca="1">IFERROR(COUNTIFS(
  unit_details[Property Name], INDIRECT("B"&amp;ROW()),
  unit_details[Floorplan Name], INDIRECT("C"&amp;ROW()),
  unit_details[Beds], INDIRECT("D"&amp;ROW()),
  unit_details[Detected Unit Amenities], "&lt;&gt;*"&amp;$AD$3&amp;"*",
  unit_details[Leased Date], "&gt;=" &amp; ($U$2 - $AF$3)
),0)</f>
        <v>0</v>
      </c>
      <c r="AI143" s="528"/>
      <c r="AJ143" s="531">
        <f t="shared" ca="1" si="7"/>
        <v>0</v>
      </c>
      <c r="AK143" s="532">
        <f t="shared" ca="1" si="8"/>
        <v>0</v>
      </c>
    </row>
    <row r="144" spans="2:37" x14ac:dyDescent="0.2">
      <c r="B144" s="566"/>
      <c r="C144" s="53"/>
      <c r="E144" s="262"/>
      <c r="F144" s="262"/>
      <c r="J144" s="293"/>
      <c r="K144" s="6"/>
      <c r="M144" s="6"/>
      <c r="N144" s="531" t="str" cm="1">
        <f t="array" aca="1" ref="N14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4" s="552" t="str" cm="1">
        <f t="array" aca="1" ref="O14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4" s="526" cm="1">
        <f t="array" aca="1" ref="P144" ca="1">COUNTIFS(unit_details[Leased Date], "&gt;=" &amp; ($U$2 - N$5),
          unit_details[Leased Date], "&lt;" &amp; $U$2,
          unit_details[Floorplan Name], INDIRECT("C"&amp;ROW()),
          unit_details[Property Name], INDIRECT("B"&amp;ROW()))</f>
        <v>0</v>
      </c>
      <c r="Q144" s="531" t="str" cm="1">
        <f t="array" aca="1" ref="Q14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4" s="552" t="str" cm="1">
        <f t="array" aca="1" ref="R14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4" s="526" cm="1">
        <f t="array" aca="1" ref="S144" ca="1">COUNTIFS(unit_details[Leased Date], "&gt;=" &amp; ($U$2 - Q$5),
          unit_details[Leased Date], "&lt;" &amp; $U$2,
          unit_details[Floorplan Name], INDIRECT("C"&amp;ROW()),
          unit_details[Property Name], INDIRECT("B"&amp;ROW()))</f>
        <v>0</v>
      </c>
      <c r="T144" s="531" t="str" cm="1">
        <f t="array" aca="1" ref="T14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4" s="552" t="str" cm="1">
        <f t="array" aca="1" ref="U14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4" s="526" cm="1">
        <f t="array" aca="1" ref="V144" ca="1">COUNTIFS(unit_details[Leased Date], "&gt;=" &amp; ($U$2 - T$5),
          unit_details[Leased Date], "&lt;" &amp; $U$2,
          unit_details[Floorplan Name], INDIRECT("C"&amp;ROW()),
          unit_details[Property Name], INDIRECT("B"&amp;ROW()))</f>
        <v>0</v>
      </c>
      <c r="W144" s="531" t="str" cm="1">
        <f t="array" aca="1" ref="W14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4" s="552" t="str" cm="1">
        <f t="array" aca="1" ref="X14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4" s="27" t="str">
        <f t="shared" ca="1" si="6"/>
        <v/>
      </c>
      <c r="Z144" s="4" t="str">
        <f>IFERROR($U$2-AVERAGEIFS(unit_details[First Listed],
          unit_details[Active Listing?],TRUE,
          unit_details[Property Name], $B144,
          unit_details[Beds], $D144,
          unit_details[Baths], $E144,
          unit_details[Partial Baths], IF(ISNUMBER($F144),$F144,""),
          unit_details[Floorplan Name],$C144
),"")</f>
        <v/>
      </c>
      <c r="AA144" s="262" cm="1">
        <f t="array" aca="1" ref="AA144" ca="1">COUNTIFS(unit_details[Active Listing?],TRUE,
          unit_details[Floorplan Name], INDIRECT("C"&amp;ROW()),
          unit_details[Property Name], INDIRECT("B"&amp;ROW()))</f>
        <v>0</v>
      </c>
      <c r="AB144" s="553"/>
      <c r="AC144" s="528" cm="1">
        <f t="array" aca="1" ref="AC144" ca="1">IFERROR(AVERAGEIFS(
  unit_details[Sqft],
  unit_details[Property Name], INDIRECT("B"&amp;ROW()),
  unit_details[Floorplan Name], INDIRECT("C"&amp;ROW()),
  unit_details[Beds], INDIRECT("D"&amp;ROW()),
  unit_details[Detected Unit Amenities], "*"&amp;$AD$3&amp;"*",
  unit_details[Leased Date], "&gt;=" &amp; ($U$2 - $AF$3)
),0)</f>
        <v>0</v>
      </c>
      <c r="AD144" s="527" cm="1">
        <f t="array" aca="1" ref="AD1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4" s="526" cm="1">
        <f t="array" aca="1" ref="AE144" ca="1">IFERROR(COUNTIFS(
  unit_details[Property Name], INDIRECT("B"&amp;ROW()),
  unit_details[Floorplan Name], INDIRECT("C"&amp;ROW()),
  unit_details[Beds], INDIRECT("D"&amp;ROW()),
  unit_details[Detected Unit Amenities], "*"&amp;$AD$3&amp;"*",
  unit_details[Leased Date], "&gt;=" &amp; ($U$2 - $AF$3)
),0)</f>
        <v>0</v>
      </c>
      <c r="AF144" s="528" cm="1">
        <f t="array" aca="1" ref="AF144" ca="1">IFERROR(AVERAGEIFS(
  unit_details[Sqft],
  unit_details[Property Name], INDIRECT("B"&amp;ROW()),
  unit_details[Floorplan Name], INDIRECT("C"&amp;ROW()),
  unit_details[Beds], INDIRECT("D"&amp;ROW()),
  unit_details[Detected Unit Amenities], "&lt;&gt;*"&amp;$AD$3&amp;"*",
  unit_details[Leased Date], "&gt;=" &amp; ($U$2 - $AF$3)
),0)</f>
        <v>0</v>
      </c>
      <c r="AG144" s="527" cm="1">
        <f t="array" aca="1" ref="AG1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4" s="526" cm="1">
        <f t="array" aca="1" ref="AH144" ca="1">IFERROR(COUNTIFS(
  unit_details[Property Name], INDIRECT("B"&amp;ROW()),
  unit_details[Floorplan Name], INDIRECT("C"&amp;ROW()),
  unit_details[Beds], INDIRECT("D"&amp;ROW()),
  unit_details[Detected Unit Amenities], "&lt;&gt;*"&amp;$AD$3&amp;"*",
  unit_details[Leased Date], "&gt;=" &amp; ($U$2 - $AF$3)
),0)</f>
        <v>0</v>
      </c>
      <c r="AI144" s="528"/>
      <c r="AJ144" s="531">
        <f t="shared" ca="1" si="7"/>
        <v>0</v>
      </c>
      <c r="AK144" s="532">
        <f t="shared" ca="1" si="8"/>
        <v>0</v>
      </c>
    </row>
    <row r="145" spans="2:37" x14ac:dyDescent="0.2">
      <c r="B145" s="566"/>
      <c r="C145" s="53"/>
      <c r="E145" s="262"/>
      <c r="F145" s="262"/>
      <c r="J145" s="293"/>
      <c r="K145" s="6"/>
      <c r="M145" s="6"/>
      <c r="N145" s="531" t="str" cm="1">
        <f t="array" aca="1" ref="N14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5" s="552" t="str" cm="1">
        <f t="array" aca="1" ref="O14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5" s="526" cm="1">
        <f t="array" aca="1" ref="P145" ca="1">COUNTIFS(unit_details[Leased Date], "&gt;=" &amp; ($U$2 - N$5),
          unit_details[Leased Date], "&lt;" &amp; $U$2,
          unit_details[Floorplan Name], INDIRECT("C"&amp;ROW()),
          unit_details[Property Name], INDIRECT("B"&amp;ROW()))</f>
        <v>0</v>
      </c>
      <c r="Q145" s="531" t="str" cm="1">
        <f t="array" aca="1" ref="Q14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5" s="552" t="str" cm="1">
        <f t="array" aca="1" ref="R14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5" s="526" cm="1">
        <f t="array" aca="1" ref="S145" ca="1">COUNTIFS(unit_details[Leased Date], "&gt;=" &amp; ($U$2 - Q$5),
          unit_details[Leased Date], "&lt;" &amp; $U$2,
          unit_details[Floorplan Name], INDIRECT("C"&amp;ROW()),
          unit_details[Property Name], INDIRECT("B"&amp;ROW()))</f>
        <v>0</v>
      </c>
      <c r="T145" s="531" t="str" cm="1">
        <f t="array" aca="1" ref="T14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5" s="552" t="str" cm="1">
        <f t="array" aca="1" ref="U14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5" s="526" cm="1">
        <f t="array" aca="1" ref="V145" ca="1">COUNTIFS(unit_details[Leased Date], "&gt;=" &amp; ($U$2 - T$5),
          unit_details[Leased Date], "&lt;" &amp; $U$2,
          unit_details[Floorplan Name], INDIRECT("C"&amp;ROW()),
          unit_details[Property Name], INDIRECT("B"&amp;ROW()))</f>
        <v>0</v>
      </c>
      <c r="W145" s="531" t="str" cm="1">
        <f t="array" aca="1" ref="W14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5" s="552" t="str" cm="1">
        <f t="array" aca="1" ref="X14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5" s="27" t="str">
        <f t="shared" ca="1" si="6"/>
        <v/>
      </c>
      <c r="Z145" s="4" t="str">
        <f>IFERROR($U$2-AVERAGEIFS(unit_details[First Listed],
          unit_details[Active Listing?],TRUE,
          unit_details[Property Name], $B145,
          unit_details[Beds], $D145,
          unit_details[Baths], $E145,
          unit_details[Partial Baths], IF(ISNUMBER($F145),$F145,""),
          unit_details[Floorplan Name],$C145
),"")</f>
        <v/>
      </c>
      <c r="AA145" s="262" cm="1">
        <f t="array" aca="1" ref="AA145" ca="1">COUNTIFS(unit_details[Active Listing?],TRUE,
          unit_details[Floorplan Name], INDIRECT("C"&amp;ROW()),
          unit_details[Property Name], INDIRECT("B"&amp;ROW()))</f>
        <v>0</v>
      </c>
      <c r="AB145" s="553"/>
      <c r="AC145" s="528" cm="1">
        <f t="array" aca="1" ref="AC145" ca="1">IFERROR(AVERAGEIFS(
  unit_details[Sqft],
  unit_details[Property Name], INDIRECT("B"&amp;ROW()),
  unit_details[Floorplan Name], INDIRECT("C"&amp;ROW()),
  unit_details[Beds], INDIRECT("D"&amp;ROW()),
  unit_details[Detected Unit Amenities], "*"&amp;$AD$3&amp;"*",
  unit_details[Leased Date], "&gt;=" &amp; ($U$2 - $AF$3)
),0)</f>
        <v>0</v>
      </c>
      <c r="AD145" s="527" cm="1">
        <f t="array" aca="1" ref="AD1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5" s="526" cm="1">
        <f t="array" aca="1" ref="AE145" ca="1">IFERROR(COUNTIFS(
  unit_details[Property Name], INDIRECT("B"&amp;ROW()),
  unit_details[Floorplan Name], INDIRECT("C"&amp;ROW()),
  unit_details[Beds], INDIRECT("D"&amp;ROW()),
  unit_details[Detected Unit Amenities], "*"&amp;$AD$3&amp;"*",
  unit_details[Leased Date], "&gt;=" &amp; ($U$2 - $AF$3)
),0)</f>
        <v>0</v>
      </c>
      <c r="AF145" s="528" cm="1">
        <f t="array" aca="1" ref="AF145" ca="1">IFERROR(AVERAGEIFS(
  unit_details[Sqft],
  unit_details[Property Name], INDIRECT("B"&amp;ROW()),
  unit_details[Floorplan Name], INDIRECT("C"&amp;ROW()),
  unit_details[Beds], INDIRECT("D"&amp;ROW()),
  unit_details[Detected Unit Amenities], "&lt;&gt;*"&amp;$AD$3&amp;"*",
  unit_details[Leased Date], "&gt;=" &amp; ($U$2 - $AF$3)
),0)</f>
        <v>0</v>
      </c>
      <c r="AG145" s="527" cm="1">
        <f t="array" aca="1" ref="AG1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5" s="526" cm="1">
        <f t="array" aca="1" ref="AH145" ca="1">IFERROR(COUNTIFS(
  unit_details[Property Name], INDIRECT("B"&amp;ROW()),
  unit_details[Floorplan Name], INDIRECT("C"&amp;ROW()),
  unit_details[Beds], INDIRECT("D"&amp;ROW()),
  unit_details[Detected Unit Amenities], "&lt;&gt;*"&amp;$AD$3&amp;"*",
  unit_details[Leased Date], "&gt;=" &amp; ($U$2 - $AF$3)
),0)</f>
        <v>0</v>
      </c>
      <c r="AI145" s="528"/>
      <c r="AJ145" s="531">
        <f t="shared" ca="1" si="7"/>
        <v>0</v>
      </c>
      <c r="AK145" s="532">
        <f t="shared" ca="1" si="8"/>
        <v>0</v>
      </c>
    </row>
    <row r="146" spans="2:37" x14ac:dyDescent="0.2">
      <c r="B146" s="566"/>
      <c r="C146" s="53"/>
      <c r="E146" s="262"/>
      <c r="F146" s="262"/>
      <c r="J146" s="293"/>
      <c r="K146" s="6"/>
      <c r="M146" s="6"/>
      <c r="N146" s="531" t="str" cm="1">
        <f t="array" aca="1" ref="N14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6" s="552" t="str" cm="1">
        <f t="array" aca="1" ref="O14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6" s="526" cm="1">
        <f t="array" aca="1" ref="P146" ca="1">COUNTIFS(unit_details[Leased Date], "&gt;=" &amp; ($U$2 - N$5),
          unit_details[Leased Date], "&lt;" &amp; $U$2,
          unit_details[Floorplan Name], INDIRECT("C"&amp;ROW()),
          unit_details[Property Name], INDIRECT("B"&amp;ROW()))</f>
        <v>0</v>
      </c>
      <c r="Q146" s="531" t="str" cm="1">
        <f t="array" aca="1" ref="Q14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6" s="552" t="str" cm="1">
        <f t="array" aca="1" ref="R14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6" s="526" cm="1">
        <f t="array" aca="1" ref="S146" ca="1">COUNTIFS(unit_details[Leased Date], "&gt;=" &amp; ($U$2 - Q$5),
          unit_details[Leased Date], "&lt;" &amp; $U$2,
          unit_details[Floorplan Name], INDIRECT("C"&amp;ROW()),
          unit_details[Property Name], INDIRECT("B"&amp;ROW()))</f>
        <v>0</v>
      </c>
      <c r="T146" s="531" t="str" cm="1">
        <f t="array" aca="1" ref="T14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6" s="552" t="str" cm="1">
        <f t="array" aca="1" ref="U14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6" s="526" cm="1">
        <f t="array" aca="1" ref="V146" ca="1">COUNTIFS(unit_details[Leased Date], "&gt;=" &amp; ($U$2 - T$5),
          unit_details[Leased Date], "&lt;" &amp; $U$2,
          unit_details[Floorplan Name], INDIRECT("C"&amp;ROW()),
          unit_details[Property Name], INDIRECT("B"&amp;ROW()))</f>
        <v>0</v>
      </c>
      <c r="W146" s="531" t="str" cm="1">
        <f t="array" aca="1" ref="W14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6" s="552" t="str" cm="1">
        <f t="array" aca="1" ref="X14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6" s="27" t="str">
        <f t="shared" ca="1" si="6"/>
        <v/>
      </c>
      <c r="Z146" s="4" t="str">
        <f>IFERROR($U$2-AVERAGEIFS(unit_details[First Listed],
          unit_details[Active Listing?],TRUE,
          unit_details[Property Name], $B146,
          unit_details[Beds], $D146,
          unit_details[Baths], $E146,
          unit_details[Partial Baths], IF(ISNUMBER($F146),$F146,""),
          unit_details[Floorplan Name],$C146
),"")</f>
        <v/>
      </c>
      <c r="AA146" s="262" cm="1">
        <f t="array" aca="1" ref="AA146" ca="1">COUNTIFS(unit_details[Active Listing?],TRUE,
          unit_details[Floorplan Name], INDIRECT("C"&amp;ROW()),
          unit_details[Property Name], INDIRECT("B"&amp;ROW()))</f>
        <v>0</v>
      </c>
      <c r="AB146" s="553"/>
      <c r="AC146" s="528" cm="1">
        <f t="array" aca="1" ref="AC146" ca="1">IFERROR(AVERAGEIFS(
  unit_details[Sqft],
  unit_details[Property Name], INDIRECT("B"&amp;ROW()),
  unit_details[Floorplan Name], INDIRECT("C"&amp;ROW()),
  unit_details[Beds], INDIRECT("D"&amp;ROW()),
  unit_details[Detected Unit Amenities], "*"&amp;$AD$3&amp;"*",
  unit_details[Leased Date], "&gt;=" &amp; ($U$2 - $AF$3)
),0)</f>
        <v>0</v>
      </c>
      <c r="AD146" s="527" cm="1">
        <f t="array" aca="1" ref="AD1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6" s="526" cm="1">
        <f t="array" aca="1" ref="AE146" ca="1">IFERROR(COUNTIFS(
  unit_details[Property Name], INDIRECT("B"&amp;ROW()),
  unit_details[Floorplan Name], INDIRECT("C"&amp;ROW()),
  unit_details[Beds], INDIRECT("D"&amp;ROW()),
  unit_details[Detected Unit Amenities], "*"&amp;$AD$3&amp;"*",
  unit_details[Leased Date], "&gt;=" &amp; ($U$2 - $AF$3)
),0)</f>
        <v>0</v>
      </c>
      <c r="AF146" s="528" cm="1">
        <f t="array" aca="1" ref="AF146" ca="1">IFERROR(AVERAGEIFS(
  unit_details[Sqft],
  unit_details[Property Name], INDIRECT("B"&amp;ROW()),
  unit_details[Floorplan Name], INDIRECT("C"&amp;ROW()),
  unit_details[Beds], INDIRECT("D"&amp;ROW()),
  unit_details[Detected Unit Amenities], "&lt;&gt;*"&amp;$AD$3&amp;"*",
  unit_details[Leased Date], "&gt;=" &amp; ($U$2 - $AF$3)
),0)</f>
        <v>0</v>
      </c>
      <c r="AG146" s="527" cm="1">
        <f t="array" aca="1" ref="AG1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6" s="526" cm="1">
        <f t="array" aca="1" ref="AH146" ca="1">IFERROR(COUNTIFS(
  unit_details[Property Name], INDIRECT("B"&amp;ROW()),
  unit_details[Floorplan Name], INDIRECT("C"&amp;ROW()),
  unit_details[Beds], INDIRECT("D"&amp;ROW()),
  unit_details[Detected Unit Amenities], "&lt;&gt;*"&amp;$AD$3&amp;"*",
  unit_details[Leased Date], "&gt;=" &amp; ($U$2 - $AF$3)
),0)</f>
        <v>0</v>
      </c>
      <c r="AI146" s="528"/>
      <c r="AJ146" s="531">
        <f t="shared" ca="1" si="7"/>
        <v>0</v>
      </c>
      <c r="AK146" s="532">
        <f t="shared" ca="1" si="8"/>
        <v>0</v>
      </c>
    </row>
    <row r="147" spans="2:37" x14ac:dyDescent="0.2">
      <c r="B147" s="566"/>
      <c r="C147" s="53"/>
      <c r="E147" s="262"/>
      <c r="F147" s="262"/>
      <c r="J147" s="293"/>
      <c r="K147" s="6"/>
      <c r="M147" s="6"/>
      <c r="N147" s="531" t="str" cm="1">
        <f t="array" aca="1" ref="N14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7" s="552" t="str" cm="1">
        <f t="array" aca="1" ref="O14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7" s="526" cm="1">
        <f t="array" aca="1" ref="P147" ca="1">COUNTIFS(unit_details[Leased Date], "&gt;=" &amp; ($U$2 - N$5),
          unit_details[Leased Date], "&lt;" &amp; $U$2,
          unit_details[Floorplan Name], INDIRECT("C"&amp;ROW()),
          unit_details[Property Name], INDIRECT("B"&amp;ROW()))</f>
        <v>0</v>
      </c>
      <c r="Q147" s="531" t="str" cm="1">
        <f t="array" aca="1" ref="Q14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7" s="552" t="str" cm="1">
        <f t="array" aca="1" ref="R14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7" s="526" cm="1">
        <f t="array" aca="1" ref="S147" ca="1">COUNTIFS(unit_details[Leased Date], "&gt;=" &amp; ($U$2 - Q$5),
          unit_details[Leased Date], "&lt;" &amp; $U$2,
          unit_details[Floorplan Name], INDIRECT("C"&amp;ROW()),
          unit_details[Property Name], INDIRECT("B"&amp;ROW()))</f>
        <v>0</v>
      </c>
      <c r="T147" s="531" t="str" cm="1">
        <f t="array" aca="1" ref="T14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7" s="552" t="str" cm="1">
        <f t="array" aca="1" ref="U14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7" s="526" cm="1">
        <f t="array" aca="1" ref="V147" ca="1">COUNTIFS(unit_details[Leased Date], "&gt;=" &amp; ($U$2 - T$5),
          unit_details[Leased Date], "&lt;" &amp; $U$2,
          unit_details[Floorplan Name], INDIRECT("C"&amp;ROW()),
          unit_details[Property Name], INDIRECT("B"&amp;ROW()))</f>
        <v>0</v>
      </c>
      <c r="W147" s="531" t="str" cm="1">
        <f t="array" aca="1" ref="W14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7" s="552" t="str" cm="1">
        <f t="array" aca="1" ref="X14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7" s="27" t="str">
        <f t="shared" ca="1" si="6"/>
        <v/>
      </c>
      <c r="Z147" s="4" t="str">
        <f>IFERROR($U$2-AVERAGEIFS(unit_details[First Listed],
          unit_details[Active Listing?],TRUE,
          unit_details[Property Name], $B147,
          unit_details[Beds], $D147,
          unit_details[Baths], $E147,
          unit_details[Partial Baths], IF(ISNUMBER($F147),$F147,""),
          unit_details[Floorplan Name],$C147
),"")</f>
        <v/>
      </c>
      <c r="AA147" s="262" cm="1">
        <f t="array" aca="1" ref="AA147" ca="1">COUNTIFS(unit_details[Active Listing?],TRUE,
          unit_details[Floorplan Name], INDIRECT("C"&amp;ROW()),
          unit_details[Property Name], INDIRECT("B"&amp;ROW()))</f>
        <v>0</v>
      </c>
      <c r="AB147" s="553"/>
      <c r="AC147" s="528" cm="1">
        <f t="array" aca="1" ref="AC147" ca="1">IFERROR(AVERAGEIFS(
  unit_details[Sqft],
  unit_details[Property Name], INDIRECT("B"&amp;ROW()),
  unit_details[Floorplan Name], INDIRECT("C"&amp;ROW()),
  unit_details[Beds], INDIRECT("D"&amp;ROW()),
  unit_details[Detected Unit Amenities], "*"&amp;$AD$3&amp;"*",
  unit_details[Leased Date], "&gt;=" &amp; ($U$2 - $AF$3)
),0)</f>
        <v>0</v>
      </c>
      <c r="AD147" s="527" cm="1">
        <f t="array" aca="1" ref="AD1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7" s="526" cm="1">
        <f t="array" aca="1" ref="AE147" ca="1">IFERROR(COUNTIFS(
  unit_details[Property Name], INDIRECT("B"&amp;ROW()),
  unit_details[Floorplan Name], INDIRECT("C"&amp;ROW()),
  unit_details[Beds], INDIRECT("D"&amp;ROW()),
  unit_details[Detected Unit Amenities], "*"&amp;$AD$3&amp;"*",
  unit_details[Leased Date], "&gt;=" &amp; ($U$2 - $AF$3)
),0)</f>
        <v>0</v>
      </c>
      <c r="AF147" s="528" cm="1">
        <f t="array" aca="1" ref="AF147" ca="1">IFERROR(AVERAGEIFS(
  unit_details[Sqft],
  unit_details[Property Name], INDIRECT("B"&amp;ROW()),
  unit_details[Floorplan Name], INDIRECT("C"&amp;ROW()),
  unit_details[Beds], INDIRECT("D"&amp;ROW()),
  unit_details[Detected Unit Amenities], "&lt;&gt;*"&amp;$AD$3&amp;"*",
  unit_details[Leased Date], "&gt;=" &amp; ($U$2 - $AF$3)
),0)</f>
        <v>0</v>
      </c>
      <c r="AG147" s="527" cm="1">
        <f t="array" aca="1" ref="AG1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7" s="526" cm="1">
        <f t="array" aca="1" ref="AH147" ca="1">IFERROR(COUNTIFS(
  unit_details[Property Name], INDIRECT("B"&amp;ROW()),
  unit_details[Floorplan Name], INDIRECT("C"&amp;ROW()),
  unit_details[Beds], INDIRECT("D"&amp;ROW()),
  unit_details[Detected Unit Amenities], "&lt;&gt;*"&amp;$AD$3&amp;"*",
  unit_details[Leased Date], "&gt;=" &amp; ($U$2 - $AF$3)
),0)</f>
        <v>0</v>
      </c>
      <c r="AI147" s="528"/>
      <c r="AJ147" s="531">
        <f t="shared" ca="1" si="7"/>
        <v>0</v>
      </c>
      <c r="AK147" s="532">
        <f t="shared" ca="1" si="8"/>
        <v>0</v>
      </c>
    </row>
    <row r="148" spans="2:37" x14ac:dyDescent="0.2">
      <c r="B148" s="566"/>
      <c r="C148" s="53"/>
      <c r="E148" s="262"/>
      <c r="F148" s="262"/>
      <c r="J148" s="293"/>
      <c r="K148" s="6"/>
      <c r="M148" s="6"/>
      <c r="N148" s="531" t="str" cm="1">
        <f t="array" aca="1" ref="N14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8" s="552" t="str" cm="1">
        <f t="array" aca="1" ref="O14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8" s="526" cm="1">
        <f t="array" aca="1" ref="P148" ca="1">COUNTIFS(unit_details[Leased Date], "&gt;=" &amp; ($U$2 - N$5),
          unit_details[Leased Date], "&lt;" &amp; $U$2,
          unit_details[Floorplan Name], INDIRECT("C"&amp;ROW()),
          unit_details[Property Name], INDIRECT("B"&amp;ROW()))</f>
        <v>0</v>
      </c>
      <c r="Q148" s="531" t="str" cm="1">
        <f t="array" aca="1" ref="Q14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8" s="552" t="str" cm="1">
        <f t="array" aca="1" ref="R14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8" s="526" cm="1">
        <f t="array" aca="1" ref="S148" ca="1">COUNTIFS(unit_details[Leased Date], "&gt;=" &amp; ($U$2 - Q$5),
          unit_details[Leased Date], "&lt;" &amp; $U$2,
          unit_details[Floorplan Name], INDIRECT("C"&amp;ROW()),
          unit_details[Property Name], INDIRECT("B"&amp;ROW()))</f>
        <v>0</v>
      </c>
      <c r="T148" s="531" t="str" cm="1">
        <f t="array" aca="1" ref="T14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8" s="552" t="str" cm="1">
        <f t="array" aca="1" ref="U14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8" s="526" cm="1">
        <f t="array" aca="1" ref="V148" ca="1">COUNTIFS(unit_details[Leased Date], "&gt;=" &amp; ($U$2 - T$5),
          unit_details[Leased Date], "&lt;" &amp; $U$2,
          unit_details[Floorplan Name], INDIRECT("C"&amp;ROW()),
          unit_details[Property Name], INDIRECT("B"&amp;ROW()))</f>
        <v>0</v>
      </c>
      <c r="W148" s="531" t="str" cm="1">
        <f t="array" aca="1" ref="W14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8" s="552" t="str" cm="1">
        <f t="array" aca="1" ref="X14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8" s="27" t="str">
        <f t="shared" ca="1" si="6"/>
        <v/>
      </c>
      <c r="Z148" s="4" t="str">
        <f>IFERROR($U$2-AVERAGEIFS(unit_details[First Listed],
          unit_details[Active Listing?],TRUE,
          unit_details[Property Name], $B148,
          unit_details[Beds], $D148,
          unit_details[Baths], $E148,
          unit_details[Partial Baths], IF(ISNUMBER($F148),$F148,""),
          unit_details[Floorplan Name],$C148
),"")</f>
        <v/>
      </c>
      <c r="AA148" s="262" cm="1">
        <f t="array" aca="1" ref="AA148" ca="1">COUNTIFS(unit_details[Active Listing?],TRUE,
          unit_details[Floorplan Name], INDIRECT("C"&amp;ROW()),
          unit_details[Property Name], INDIRECT("B"&amp;ROW()))</f>
        <v>0</v>
      </c>
      <c r="AB148" s="553"/>
      <c r="AC148" s="528" cm="1">
        <f t="array" aca="1" ref="AC148" ca="1">IFERROR(AVERAGEIFS(
  unit_details[Sqft],
  unit_details[Property Name], INDIRECT("B"&amp;ROW()),
  unit_details[Floorplan Name], INDIRECT("C"&amp;ROW()),
  unit_details[Beds], INDIRECT("D"&amp;ROW()),
  unit_details[Detected Unit Amenities], "*"&amp;$AD$3&amp;"*",
  unit_details[Leased Date], "&gt;=" &amp; ($U$2 - $AF$3)
),0)</f>
        <v>0</v>
      </c>
      <c r="AD148" s="527" cm="1">
        <f t="array" aca="1" ref="AD1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8" s="526" cm="1">
        <f t="array" aca="1" ref="AE148" ca="1">IFERROR(COUNTIFS(
  unit_details[Property Name], INDIRECT("B"&amp;ROW()),
  unit_details[Floorplan Name], INDIRECT("C"&amp;ROW()),
  unit_details[Beds], INDIRECT("D"&amp;ROW()),
  unit_details[Detected Unit Amenities], "*"&amp;$AD$3&amp;"*",
  unit_details[Leased Date], "&gt;=" &amp; ($U$2 - $AF$3)
),0)</f>
        <v>0</v>
      </c>
      <c r="AF148" s="528" cm="1">
        <f t="array" aca="1" ref="AF148" ca="1">IFERROR(AVERAGEIFS(
  unit_details[Sqft],
  unit_details[Property Name], INDIRECT("B"&amp;ROW()),
  unit_details[Floorplan Name], INDIRECT("C"&amp;ROW()),
  unit_details[Beds], INDIRECT("D"&amp;ROW()),
  unit_details[Detected Unit Amenities], "&lt;&gt;*"&amp;$AD$3&amp;"*",
  unit_details[Leased Date], "&gt;=" &amp; ($U$2 - $AF$3)
),0)</f>
        <v>0</v>
      </c>
      <c r="AG148" s="527" cm="1">
        <f t="array" aca="1" ref="AG1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8" s="526" cm="1">
        <f t="array" aca="1" ref="AH148" ca="1">IFERROR(COUNTIFS(
  unit_details[Property Name], INDIRECT("B"&amp;ROW()),
  unit_details[Floorplan Name], INDIRECT("C"&amp;ROW()),
  unit_details[Beds], INDIRECT("D"&amp;ROW()),
  unit_details[Detected Unit Amenities], "&lt;&gt;*"&amp;$AD$3&amp;"*",
  unit_details[Leased Date], "&gt;=" &amp; ($U$2 - $AF$3)
),0)</f>
        <v>0</v>
      </c>
      <c r="AI148" s="528"/>
      <c r="AJ148" s="531">
        <f t="shared" ca="1" si="7"/>
        <v>0</v>
      </c>
      <c r="AK148" s="532">
        <f t="shared" ca="1" si="8"/>
        <v>0</v>
      </c>
    </row>
    <row r="149" spans="2:37" x14ac:dyDescent="0.2">
      <c r="B149" s="566"/>
      <c r="C149" s="53"/>
      <c r="E149" s="262"/>
      <c r="F149" s="262"/>
      <c r="J149" s="293"/>
      <c r="K149" s="6"/>
      <c r="M149" s="6"/>
      <c r="N149" s="531" t="str" cm="1">
        <f t="array" aca="1" ref="N14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49" s="552" t="str" cm="1">
        <f t="array" aca="1" ref="O14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49" s="526" cm="1">
        <f t="array" aca="1" ref="P149" ca="1">COUNTIFS(unit_details[Leased Date], "&gt;=" &amp; ($U$2 - N$5),
          unit_details[Leased Date], "&lt;" &amp; $U$2,
          unit_details[Floorplan Name], INDIRECT("C"&amp;ROW()),
          unit_details[Property Name], INDIRECT("B"&amp;ROW()))</f>
        <v>0</v>
      </c>
      <c r="Q149" s="531" t="str" cm="1">
        <f t="array" aca="1" ref="Q14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49" s="552" t="str" cm="1">
        <f t="array" aca="1" ref="R14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49" s="526" cm="1">
        <f t="array" aca="1" ref="S149" ca="1">COUNTIFS(unit_details[Leased Date], "&gt;=" &amp; ($U$2 - Q$5),
          unit_details[Leased Date], "&lt;" &amp; $U$2,
          unit_details[Floorplan Name], INDIRECT("C"&amp;ROW()),
          unit_details[Property Name], INDIRECT("B"&amp;ROW()))</f>
        <v>0</v>
      </c>
      <c r="T149" s="531" t="str" cm="1">
        <f t="array" aca="1" ref="T14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49" s="552" t="str" cm="1">
        <f t="array" aca="1" ref="U14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49" s="526" cm="1">
        <f t="array" aca="1" ref="V149" ca="1">COUNTIFS(unit_details[Leased Date], "&gt;=" &amp; ($U$2 - T$5),
          unit_details[Leased Date], "&lt;" &amp; $U$2,
          unit_details[Floorplan Name], INDIRECT("C"&amp;ROW()),
          unit_details[Property Name], INDIRECT("B"&amp;ROW()))</f>
        <v>0</v>
      </c>
      <c r="W149" s="531" t="str" cm="1">
        <f t="array" aca="1" ref="W14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49" s="552" t="str" cm="1">
        <f t="array" aca="1" ref="X14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49" s="27" t="str">
        <f t="shared" ca="1" si="6"/>
        <v/>
      </c>
      <c r="Z149" s="4" t="str">
        <f>IFERROR($U$2-AVERAGEIFS(unit_details[First Listed],
          unit_details[Active Listing?],TRUE,
          unit_details[Property Name], $B149,
          unit_details[Beds], $D149,
          unit_details[Baths], $E149,
          unit_details[Partial Baths], IF(ISNUMBER($F149),$F149,""),
          unit_details[Floorplan Name],$C149
),"")</f>
        <v/>
      </c>
      <c r="AA149" s="262" cm="1">
        <f t="array" aca="1" ref="AA149" ca="1">COUNTIFS(unit_details[Active Listing?],TRUE,
          unit_details[Floorplan Name], INDIRECT("C"&amp;ROW()),
          unit_details[Property Name], INDIRECT("B"&amp;ROW()))</f>
        <v>0</v>
      </c>
      <c r="AB149" s="553"/>
      <c r="AC149" s="528" cm="1">
        <f t="array" aca="1" ref="AC149" ca="1">IFERROR(AVERAGEIFS(
  unit_details[Sqft],
  unit_details[Property Name], INDIRECT("B"&amp;ROW()),
  unit_details[Floorplan Name], INDIRECT("C"&amp;ROW()),
  unit_details[Beds], INDIRECT("D"&amp;ROW()),
  unit_details[Detected Unit Amenities], "*"&amp;$AD$3&amp;"*",
  unit_details[Leased Date], "&gt;=" &amp; ($U$2 - $AF$3)
),0)</f>
        <v>0</v>
      </c>
      <c r="AD149" s="527" cm="1">
        <f t="array" aca="1" ref="AD1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49" s="526" cm="1">
        <f t="array" aca="1" ref="AE149" ca="1">IFERROR(COUNTIFS(
  unit_details[Property Name], INDIRECT("B"&amp;ROW()),
  unit_details[Floorplan Name], INDIRECT("C"&amp;ROW()),
  unit_details[Beds], INDIRECT("D"&amp;ROW()),
  unit_details[Detected Unit Amenities], "*"&amp;$AD$3&amp;"*",
  unit_details[Leased Date], "&gt;=" &amp; ($U$2 - $AF$3)
),0)</f>
        <v>0</v>
      </c>
      <c r="AF149" s="528" cm="1">
        <f t="array" aca="1" ref="AF149" ca="1">IFERROR(AVERAGEIFS(
  unit_details[Sqft],
  unit_details[Property Name], INDIRECT("B"&amp;ROW()),
  unit_details[Floorplan Name], INDIRECT("C"&amp;ROW()),
  unit_details[Beds], INDIRECT("D"&amp;ROW()),
  unit_details[Detected Unit Amenities], "&lt;&gt;*"&amp;$AD$3&amp;"*",
  unit_details[Leased Date], "&gt;=" &amp; ($U$2 - $AF$3)
),0)</f>
        <v>0</v>
      </c>
      <c r="AG149" s="527" cm="1">
        <f t="array" aca="1" ref="AG1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49" s="526" cm="1">
        <f t="array" aca="1" ref="AH149" ca="1">IFERROR(COUNTIFS(
  unit_details[Property Name], INDIRECT("B"&amp;ROW()),
  unit_details[Floorplan Name], INDIRECT("C"&amp;ROW()),
  unit_details[Beds], INDIRECT("D"&amp;ROW()),
  unit_details[Detected Unit Amenities], "&lt;&gt;*"&amp;$AD$3&amp;"*",
  unit_details[Leased Date], "&gt;=" &amp; ($U$2 - $AF$3)
),0)</f>
        <v>0</v>
      </c>
      <c r="AI149" s="528"/>
      <c r="AJ149" s="531">
        <f t="shared" ca="1" si="7"/>
        <v>0</v>
      </c>
      <c r="AK149" s="532">
        <f t="shared" ca="1" si="8"/>
        <v>0</v>
      </c>
    </row>
    <row r="150" spans="2:37" x14ac:dyDescent="0.2">
      <c r="B150" s="566"/>
      <c r="C150" s="53"/>
      <c r="E150" s="262"/>
      <c r="F150" s="262"/>
      <c r="J150" s="293"/>
      <c r="K150" s="6"/>
      <c r="M150" s="6"/>
      <c r="N150" s="531" t="str" cm="1">
        <f t="array" aca="1" ref="N15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0" s="552" t="str" cm="1">
        <f t="array" aca="1" ref="O15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0" s="526" cm="1">
        <f t="array" aca="1" ref="P150" ca="1">COUNTIFS(unit_details[Leased Date], "&gt;=" &amp; ($U$2 - N$5),
          unit_details[Leased Date], "&lt;" &amp; $U$2,
          unit_details[Floorplan Name], INDIRECT("C"&amp;ROW()),
          unit_details[Property Name], INDIRECT("B"&amp;ROW()))</f>
        <v>0</v>
      </c>
      <c r="Q150" s="531" t="str" cm="1">
        <f t="array" aca="1" ref="Q15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0" s="552" t="str" cm="1">
        <f t="array" aca="1" ref="R15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0" s="526" cm="1">
        <f t="array" aca="1" ref="S150" ca="1">COUNTIFS(unit_details[Leased Date], "&gt;=" &amp; ($U$2 - Q$5),
          unit_details[Leased Date], "&lt;" &amp; $U$2,
          unit_details[Floorplan Name], INDIRECT("C"&amp;ROW()),
          unit_details[Property Name], INDIRECT("B"&amp;ROW()))</f>
        <v>0</v>
      </c>
      <c r="T150" s="531" t="str" cm="1">
        <f t="array" aca="1" ref="T15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0" s="552" t="str" cm="1">
        <f t="array" aca="1" ref="U15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0" s="526" cm="1">
        <f t="array" aca="1" ref="V150" ca="1">COUNTIFS(unit_details[Leased Date], "&gt;=" &amp; ($U$2 - T$5),
          unit_details[Leased Date], "&lt;" &amp; $U$2,
          unit_details[Floorplan Name], INDIRECT("C"&amp;ROW()),
          unit_details[Property Name], INDIRECT("B"&amp;ROW()))</f>
        <v>0</v>
      </c>
      <c r="W150" s="531" t="str" cm="1">
        <f t="array" aca="1" ref="W15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0" s="552" t="str" cm="1">
        <f t="array" aca="1" ref="X15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0" s="27" t="str">
        <f t="shared" ca="1" si="6"/>
        <v/>
      </c>
      <c r="Z150" s="4" t="str">
        <f>IFERROR($U$2-AVERAGEIFS(unit_details[First Listed],
          unit_details[Active Listing?],TRUE,
          unit_details[Property Name], $B150,
          unit_details[Beds], $D150,
          unit_details[Baths], $E150,
          unit_details[Partial Baths], IF(ISNUMBER($F150),$F150,""),
          unit_details[Floorplan Name],$C150
),"")</f>
        <v/>
      </c>
      <c r="AA150" s="262" cm="1">
        <f t="array" aca="1" ref="AA150" ca="1">COUNTIFS(unit_details[Active Listing?],TRUE,
          unit_details[Floorplan Name], INDIRECT("C"&amp;ROW()),
          unit_details[Property Name], INDIRECT("B"&amp;ROW()))</f>
        <v>0</v>
      </c>
      <c r="AB150" s="553"/>
      <c r="AC150" s="528" cm="1">
        <f t="array" aca="1" ref="AC150" ca="1">IFERROR(AVERAGEIFS(
  unit_details[Sqft],
  unit_details[Property Name], INDIRECT("B"&amp;ROW()),
  unit_details[Floorplan Name], INDIRECT("C"&amp;ROW()),
  unit_details[Beds], INDIRECT("D"&amp;ROW()),
  unit_details[Detected Unit Amenities], "*"&amp;$AD$3&amp;"*",
  unit_details[Leased Date], "&gt;=" &amp; ($U$2 - $AF$3)
),0)</f>
        <v>0</v>
      </c>
      <c r="AD150" s="527" cm="1">
        <f t="array" aca="1" ref="AD1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0" s="526" cm="1">
        <f t="array" aca="1" ref="AE150" ca="1">IFERROR(COUNTIFS(
  unit_details[Property Name], INDIRECT("B"&amp;ROW()),
  unit_details[Floorplan Name], INDIRECT("C"&amp;ROW()),
  unit_details[Beds], INDIRECT("D"&amp;ROW()),
  unit_details[Detected Unit Amenities], "*"&amp;$AD$3&amp;"*",
  unit_details[Leased Date], "&gt;=" &amp; ($U$2 - $AF$3)
),0)</f>
        <v>0</v>
      </c>
      <c r="AF150" s="528" cm="1">
        <f t="array" aca="1" ref="AF150" ca="1">IFERROR(AVERAGEIFS(
  unit_details[Sqft],
  unit_details[Property Name], INDIRECT("B"&amp;ROW()),
  unit_details[Floorplan Name], INDIRECT("C"&amp;ROW()),
  unit_details[Beds], INDIRECT("D"&amp;ROW()),
  unit_details[Detected Unit Amenities], "&lt;&gt;*"&amp;$AD$3&amp;"*",
  unit_details[Leased Date], "&gt;=" &amp; ($U$2 - $AF$3)
),0)</f>
        <v>0</v>
      </c>
      <c r="AG150" s="527" cm="1">
        <f t="array" aca="1" ref="AG1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0" s="526" cm="1">
        <f t="array" aca="1" ref="AH150" ca="1">IFERROR(COUNTIFS(
  unit_details[Property Name], INDIRECT("B"&amp;ROW()),
  unit_details[Floorplan Name], INDIRECT("C"&amp;ROW()),
  unit_details[Beds], INDIRECT("D"&amp;ROW()),
  unit_details[Detected Unit Amenities], "&lt;&gt;*"&amp;$AD$3&amp;"*",
  unit_details[Leased Date], "&gt;=" &amp; ($U$2 - $AF$3)
),0)</f>
        <v>0</v>
      </c>
      <c r="AI150" s="528"/>
      <c r="AJ150" s="531">
        <f t="shared" ca="1" si="7"/>
        <v>0</v>
      </c>
      <c r="AK150" s="532">
        <f t="shared" ca="1" si="8"/>
        <v>0</v>
      </c>
    </row>
    <row r="151" spans="2:37" x14ac:dyDescent="0.2">
      <c r="B151" s="566"/>
      <c r="C151" s="53"/>
      <c r="E151" s="262"/>
      <c r="F151" s="262"/>
      <c r="J151" s="293"/>
      <c r="K151" s="6"/>
      <c r="M151" s="6"/>
      <c r="N151" s="531" t="str" cm="1">
        <f t="array" aca="1" ref="N15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1" s="552" t="str" cm="1">
        <f t="array" aca="1" ref="O15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1" s="526" cm="1">
        <f t="array" aca="1" ref="P151" ca="1">COUNTIFS(unit_details[Leased Date], "&gt;=" &amp; ($U$2 - N$5),
          unit_details[Leased Date], "&lt;" &amp; $U$2,
          unit_details[Floorplan Name], INDIRECT("C"&amp;ROW()),
          unit_details[Property Name], INDIRECT("B"&amp;ROW()))</f>
        <v>0</v>
      </c>
      <c r="Q151" s="531" t="str" cm="1">
        <f t="array" aca="1" ref="Q15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1" s="552" t="str" cm="1">
        <f t="array" aca="1" ref="R15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1" s="526" cm="1">
        <f t="array" aca="1" ref="S151" ca="1">COUNTIFS(unit_details[Leased Date], "&gt;=" &amp; ($U$2 - Q$5),
          unit_details[Leased Date], "&lt;" &amp; $U$2,
          unit_details[Floorplan Name], INDIRECT("C"&amp;ROW()),
          unit_details[Property Name], INDIRECT("B"&amp;ROW()))</f>
        <v>0</v>
      </c>
      <c r="T151" s="531" t="str" cm="1">
        <f t="array" aca="1" ref="T15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1" s="552" t="str" cm="1">
        <f t="array" aca="1" ref="U15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1" s="526" cm="1">
        <f t="array" aca="1" ref="V151" ca="1">COUNTIFS(unit_details[Leased Date], "&gt;=" &amp; ($U$2 - T$5),
          unit_details[Leased Date], "&lt;" &amp; $U$2,
          unit_details[Floorplan Name], INDIRECT("C"&amp;ROW()),
          unit_details[Property Name], INDIRECT("B"&amp;ROW()))</f>
        <v>0</v>
      </c>
      <c r="W151" s="531" t="str" cm="1">
        <f t="array" aca="1" ref="W15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1" s="552" t="str" cm="1">
        <f t="array" aca="1" ref="X15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1" s="27" t="str">
        <f t="shared" ca="1" si="6"/>
        <v/>
      </c>
      <c r="Z151" s="4" t="str">
        <f>IFERROR($U$2-AVERAGEIFS(unit_details[First Listed],
          unit_details[Active Listing?],TRUE,
          unit_details[Property Name], $B151,
          unit_details[Beds], $D151,
          unit_details[Baths], $E151,
          unit_details[Partial Baths], IF(ISNUMBER($F151),$F151,""),
          unit_details[Floorplan Name],$C151
),"")</f>
        <v/>
      </c>
      <c r="AA151" s="262" cm="1">
        <f t="array" aca="1" ref="AA151" ca="1">COUNTIFS(unit_details[Active Listing?],TRUE,
          unit_details[Floorplan Name], INDIRECT("C"&amp;ROW()),
          unit_details[Property Name], INDIRECT("B"&amp;ROW()))</f>
        <v>0</v>
      </c>
      <c r="AB151" s="553"/>
      <c r="AC151" s="528" cm="1">
        <f t="array" aca="1" ref="AC151" ca="1">IFERROR(AVERAGEIFS(
  unit_details[Sqft],
  unit_details[Property Name], INDIRECT("B"&amp;ROW()),
  unit_details[Floorplan Name], INDIRECT("C"&amp;ROW()),
  unit_details[Beds], INDIRECT("D"&amp;ROW()),
  unit_details[Detected Unit Amenities], "*"&amp;$AD$3&amp;"*",
  unit_details[Leased Date], "&gt;=" &amp; ($U$2 - $AF$3)
),0)</f>
        <v>0</v>
      </c>
      <c r="AD151" s="527" cm="1">
        <f t="array" aca="1" ref="AD1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1" s="526" cm="1">
        <f t="array" aca="1" ref="AE151" ca="1">IFERROR(COUNTIFS(
  unit_details[Property Name], INDIRECT("B"&amp;ROW()),
  unit_details[Floorplan Name], INDIRECT("C"&amp;ROW()),
  unit_details[Beds], INDIRECT("D"&amp;ROW()),
  unit_details[Detected Unit Amenities], "*"&amp;$AD$3&amp;"*",
  unit_details[Leased Date], "&gt;=" &amp; ($U$2 - $AF$3)
),0)</f>
        <v>0</v>
      </c>
      <c r="AF151" s="528" cm="1">
        <f t="array" aca="1" ref="AF151" ca="1">IFERROR(AVERAGEIFS(
  unit_details[Sqft],
  unit_details[Property Name], INDIRECT("B"&amp;ROW()),
  unit_details[Floorplan Name], INDIRECT("C"&amp;ROW()),
  unit_details[Beds], INDIRECT("D"&amp;ROW()),
  unit_details[Detected Unit Amenities], "&lt;&gt;*"&amp;$AD$3&amp;"*",
  unit_details[Leased Date], "&gt;=" &amp; ($U$2 - $AF$3)
),0)</f>
        <v>0</v>
      </c>
      <c r="AG151" s="527" cm="1">
        <f t="array" aca="1" ref="AG1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1" s="526" cm="1">
        <f t="array" aca="1" ref="AH151" ca="1">IFERROR(COUNTIFS(
  unit_details[Property Name], INDIRECT("B"&amp;ROW()),
  unit_details[Floorplan Name], INDIRECT("C"&amp;ROW()),
  unit_details[Beds], INDIRECT("D"&amp;ROW()),
  unit_details[Detected Unit Amenities], "&lt;&gt;*"&amp;$AD$3&amp;"*",
  unit_details[Leased Date], "&gt;=" &amp; ($U$2 - $AF$3)
),0)</f>
        <v>0</v>
      </c>
      <c r="AI151" s="528"/>
      <c r="AJ151" s="531">
        <f t="shared" ca="1" si="7"/>
        <v>0</v>
      </c>
      <c r="AK151" s="532">
        <f t="shared" ca="1" si="8"/>
        <v>0</v>
      </c>
    </row>
    <row r="152" spans="2:37" x14ac:dyDescent="0.2">
      <c r="B152" s="566"/>
      <c r="C152" s="53"/>
      <c r="E152" s="262"/>
      <c r="F152" s="262"/>
      <c r="J152" s="293"/>
      <c r="K152" s="6"/>
      <c r="M152" s="6"/>
      <c r="N152" s="531" t="str" cm="1">
        <f t="array" aca="1" ref="N15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2" s="552" t="str" cm="1">
        <f t="array" aca="1" ref="O15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2" s="526" cm="1">
        <f t="array" aca="1" ref="P152" ca="1">COUNTIFS(unit_details[Leased Date], "&gt;=" &amp; ($U$2 - N$5),
          unit_details[Leased Date], "&lt;" &amp; $U$2,
          unit_details[Floorplan Name], INDIRECT("C"&amp;ROW()),
          unit_details[Property Name], INDIRECT("B"&amp;ROW()))</f>
        <v>0</v>
      </c>
      <c r="Q152" s="531" t="str" cm="1">
        <f t="array" aca="1" ref="Q15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2" s="552" t="str" cm="1">
        <f t="array" aca="1" ref="R15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2" s="526" cm="1">
        <f t="array" aca="1" ref="S152" ca="1">COUNTIFS(unit_details[Leased Date], "&gt;=" &amp; ($U$2 - Q$5),
          unit_details[Leased Date], "&lt;" &amp; $U$2,
          unit_details[Floorplan Name], INDIRECT("C"&amp;ROW()),
          unit_details[Property Name], INDIRECT("B"&amp;ROW()))</f>
        <v>0</v>
      </c>
      <c r="T152" s="531" t="str" cm="1">
        <f t="array" aca="1" ref="T15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2" s="552" t="str" cm="1">
        <f t="array" aca="1" ref="U15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2" s="526" cm="1">
        <f t="array" aca="1" ref="V152" ca="1">COUNTIFS(unit_details[Leased Date], "&gt;=" &amp; ($U$2 - T$5),
          unit_details[Leased Date], "&lt;" &amp; $U$2,
          unit_details[Floorplan Name], INDIRECT("C"&amp;ROW()),
          unit_details[Property Name], INDIRECT("B"&amp;ROW()))</f>
        <v>0</v>
      </c>
      <c r="W152" s="531" t="str" cm="1">
        <f t="array" aca="1" ref="W15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2" s="552" t="str" cm="1">
        <f t="array" aca="1" ref="X15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2" s="27" t="str">
        <f t="shared" ca="1" si="6"/>
        <v/>
      </c>
      <c r="Z152" s="4" t="str">
        <f>IFERROR($U$2-AVERAGEIFS(unit_details[First Listed],
          unit_details[Active Listing?],TRUE,
          unit_details[Property Name], $B152,
          unit_details[Beds], $D152,
          unit_details[Baths], $E152,
          unit_details[Partial Baths], IF(ISNUMBER($F152),$F152,""),
          unit_details[Floorplan Name],$C152
),"")</f>
        <v/>
      </c>
      <c r="AA152" s="262" cm="1">
        <f t="array" aca="1" ref="AA152" ca="1">COUNTIFS(unit_details[Active Listing?],TRUE,
          unit_details[Floorplan Name], INDIRECT("C"&amp;ROW()),
          unit_details[Property Name], INDIRECT("B"&amp;ROW()))</f>
        <v>0</v>
      </c>
      <c r="AB152" s="553"/>
      <c r="AC152" s="528" cm="1">
        <f t="array" aca="1" ref="AC152" ca="1">IFERROR(AVERAGEIFS(
  unit_details[Sqft],
  unit_details[Property Name], INDIRECT("B"&amp;ROW()),
  unit_details[Floorplan Name], INDIRECT("C"&amp;ROW()),
  unit_details[Beds], INDIRECT("D"&amp;ROW()),
  unit_details[Detected Unit Amenities], "*"&amp;$AD$3&amp;"*",
  unit_details[Leased Date], "&gt;=" &amp; ($U$2 - $AF$3)
),0)</f>
        <v>0</v>
      </c>
      <c r="AD152" s="527" cm="1">
        <f t="array" aca="1" ref="AD1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2" s="526" cm="1">
        <f t="array" aca="1" ref="AE152" ca="1">IFERROR(COUNTIFS(
  unit_details[Property Name], INDIRECT("B"&amp;ROW()),
  unit_details[Floorplan Name], INDIRECT("C"&amp;ROW()),
  unit_details[Beds], INDIRECT("D"&amp;ROW()),
  unit_details[Detected Unit Amenities], "*"&amp;$AD$3&amp;"*",
  unit_details[Leased Date], "&gt;=" &amp; ($U$2 - $AF$3)
),0)</f>
        <v>0</v>
      </c>
      <c r="AF152" s="528" cm="1">
        <f t="array" aca="1" ref="AF152" ca="1">IFERROR(AVERAGEIFS(
  unit_details[Sqft],
  unit_details[Property Name], INDIRECT("B"&amp;ROW()),
  unit_details[Floorplan Name], INDIRECT("C"&amp;ROW()),
  unit_details[Beds], INDIRECT("D"&amp;ROW()),
  unit_details[Detected Unit Amenities], "&lt;&gt;*"&amp;$AD$3&amp;"*",
  unit_details[Leased Date], "&gt;=" &amp; ($U$2 - $AF$3)
),0)</f>
        <v>0</v>
      </c>
      <c r="AG152" s="527" cm="1">
        <f t="array" aca="1" ref="AG1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2" s="526" cm="1">
        <f t="array" aca="1" ref="AH152" ca="1">IFERROR(COUNTIFS(
  unit_details[Property Name], INDIRECT("B"&amp;ROW()),
  unit_details[Floorplan Name], INDIRECT("C"&amp;ROW()),
  unit_details[Beds], INDIRECT("D"&amp;ROW()),
  unit_details[Detected Unit Amenities], "&lt;&gt;*"&amp;$AD$3&amp;"*",
  unit_details[Leased Date], "&gt;=" &amp; ($U$2 - $AF$3)
),0)</f>
        <v>0</v>
      </c>
      <c r="AI152" s="528"/>
      <c r="AJ152" s="531">
        <f t="shared" ca="1" si="7"/>
        <v>0</v>
      </c>
      <c r="AK152" s="532">
        <f t="shared" ca="1" si="8"/>
        <v>0</v>
      </c>
    </row>
    <row r="153" spans="2:37" x14ac:dyDescent="0.2">
      <c r="B153" s="566"/>
      <c r="C153" s="53"/>
      <c r="E153" s="262"/>
      <c r="F153" s="262"/>
      <c r="J153" s="293"/>
      <c r="K153" s="6"/>
      <c r="M153" s="6"/>
      <c r="N153" s="531" t="str" cm="1">
        <f t="array" aca="1" ref="N15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3" s="552" t="str" cm="1">
        <f t="array" aca="1" ref="O15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3" s="526" cm="1">
        <f t="array" aca="1" ref="P153" ca="1">COUNTIFS(unit_details[Leased Date], "&gt;=" &amp; ($U$2 - N$5),
          unit_details[Leased Date], "&lt;" &amp; $U$2,
          unit_details[Floorplan Name], INDIRECT("C"&amp;ROW()),
          unit_details[Property Name], INDIRECT("B"&amp;ROW()))</f>
        <v>0</v>
      </c>
      <c r="Q153" s="531" t="str" cm="1">
        <f t="array" aca="1" ref="Q15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3" s="552" t="str" cm="1">
        <f t="array" aca="1" ref="R15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3" s="526" cm="1">
        <f t="array" aca="1" ref="S153" ca="1">COUNTIFS(unit_details[Leased Date], "&gt;=" &amp; ($U$2 - Q$5),
          unit_details[Leased Date], "&lt;" &amp; $U$2,
          unit_details[Floorplan Name], INDIRECT("C"&amp;ROW()),
          unit_details[Property Name], INDIRECT("B"&amp;ROW()))</f>
        <v>0</v>
      </c>
      <c r="T153" s="531" t="str" cm="1">
        <f t="array" aca="1" ref="T15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3" s="552" t="str" cm="1">
        <f t="array" aca="1" ref="U15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3" s="526" cm="1">
        <f t="array" aca="1" ref="V153" ca="1">COUNTIFS(unit_details[Leased Date], "&gt;=" &amp; ($U$2 - T$5),
          unit_details[Leased Date], "&lt;" &amp; $U$2,
          unit_details[Floorplan Name], INDIRECT("C"&amp;ROW()),
          unit_details[Property Name], INDIRECT("B"&amp;ROW()))</f>
        <v>0</v>
      </c>
      <c r="W153" s="531" t="str" cm="1">
        <f t="array" aca="1" ref="W15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3" s="552" t="str" cm="1">
        <f t="array" aca="1" ref="X15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3" s="27" t="str">
        <f t="shared" ca="1" si="6"/>
        <v/>
      </c>
      <c r="Z153" s="4" t="str">
        <f>IFERROR($U$2-AVERAGEIFS(unit_details[First Listed],
          unit_details[Active Listing?],TRUE,
          unit_details[Property Name], $B153,
          unit_details[Beds], $D153,
          unit_details[Baths], $E153,
          unit_details[Partial Baths], IF(ISNUMBER($F153),$F153,""),
          unit_details[Floorplan Name],$C153
),"")</f>
        <v/>
      </c>
      <c r="AA153" s="262" cm="1">
        <f t="array" aca="1" ref="AA153" ca="1">COUNTIFS(unit_details[Active Listing?],TRUE,
          unit_details[Floorplan Name], INDIRECT("C"&amp;ROW()),
          unit_details[Property Name], INDIRECT("B"&amp;ROW()))</f>
        <v>0</v>
      </c>
      <c r="AB153" s="553"/>
      <c r="AC153" s="528" cm="1">
        <f t="array" aca="1" ref="AC153" ca="1">IFERROR(AVERAGEIFS(
  unit_details[Sqft],
  unit_details[Property Name], INDIRECT("B"&amp;ROW()),
  unit_details[Floorplan Name], INDIRECT("C"&amp;ROW()),
  unit_details[Beds], INDIRECT("D"&amp;ROW()),
  unit_details[Detected Unit Amenities], "*"&amp;$AD$3&amp;"*",
  unit_details[Leased Date], "&gt;=" &amp; ($U$2 - $AF$3)
),0)</f>
        <v>0</v>
      </c>
      <c r="AD153" s="527" cm="1">
        <f t="array" aca="1" ref="AD1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3" s="526" cm="1">
        <f t="array" aca="1" ref="AE153" ca="1">IFERROR(COUNTIFS(
  unit_details[Property Name], INDIRECT("B"&amp;ROW()),
  unit_details[Floorplan Name], INDIRECT("C"&amp;ROW()),
  unit_details[Beds], INDIRECT("D"&amp;ROW()),
  unit_details[Detected Unit Amenities], "*"&amp;$AD$3&amp;"*",
  unit_details[Leased Date], "&gt;=" &amp; ($U$2 - $AF$3)
),0)</f>
        <v>0</v>
      </c>
      <c r="AF153" s="528" cm="1">
        <f t="array" aca="1" ref="AF153" ca="1">IFERROR(AVERAGEIFS(
  unit_details[Sqft],
  unit_details[Property Name], INDIRECT("B"&amp;ROW()),
  unit_details[Floorplan Name], INDIRECT("C"&amp;ROW()),
  unit_details[Beds], INDIRECT("D"&amp;ROW()),
  unit_details[Detected Unit Amenities], "&lt;&gt;*"&amp;$AD$3&amp;"*",
  unit_details[Leased Date], "&gt;=" &amp; ($U$2 - $AF$3)
),0)</f>
        <v>0</v>
      </c>
      <c r="AG153" s="527" cm="1">
        <f t="array" aca="1" ref="AG1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3" s="526" cm="1">
        <f t="array" aca="1" ref="AH153" ca="1">IFERROR(COUNTIFS(
  unit_details[Property Name], INDIRECT("B"&amp;ROW()),
  unit_details[Floorplan Name], INDIRECT("C"&amp;ROW()),
  unit_details[Beds], INDIRECT("D"&amp;ROW()),
  unit_details[Detected Unit Amenities], "&lt;&gt;*"&amp;$AD$3&amp;"*",
  unit_details[Leased Date], "&gt;=" &amp; ($U$2 - $AF$3)
),0)</f>
        <v>0</v>
      </c>
      <c r="AI153" s="528"/>
      <c r="AJ153" s="531">
        <f t="shared" ca="1" si="7"/>
        <v>0</v>
      </c>
      <c r="AK153" s="532">
        <f t="shared" ca="1" si="8"/>
        <v>0</v>
      </c>
    </row>
    <row r="154" spans="2:37" x14ac:dyDescent="0.2">
      <c r="B154" s="566"/>
      <c r="C154" s="53"/>
      <c r="E154" s="262"/>
      <c r="F154" s="262"/>
      <c r="J154" s="293"/>
      <c r="K154" s="6"/>
      <c r="M154" s="6"/>
      <c r="N154" s="531" t="str" cm="1">
        <f t="array" aca="1" ref="N15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4" s="552" t="str" cm="1">
        <f t="array" aca="1" ref="O15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4" s="526" cm="1">
        <f t="array" aca="1" ref="P154" ca="1">COUNTIFS(unit_details[Leased Date], "&gt;=" &amp; ($U$2 - N$5),
          unit_details[Leased Date], "&lt;" &amp; $U$2,
          unit_details[Floorplan Name], INDIRECT("C"&amp;ROW()),
          unit_details[Property Name], INDIRECT("B"&amp;ROW()))</f>
        <v>0</v>
      </c>
      <c r="Q154" s="531" t="str" cm="1">
        <f t="array" aca="1" ref="Q15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4" s="552" t="str" cm="1">
        <f t="array" aca="1" ref="R15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4" s="526" cm="1">
        <f t="array" aca="1" ref="S154" ca="1">COUNTIFS(unit_details[Leased Date], "&gt;=" &amp; ($U$2 - Q$5),
          unit_details[Leased Date], "&lt;" &amp; $U$2,
          unit_details[Floorplan Name], INDIRECT("C"&amp;ROW()),
          unit_details[Property Name], INDIRECT("B"&amp;ROW()))</f>
        <v>0</v>
      </c>
      <c r="T154" s="531" t="str" cm="1">
        <f t="array" aca="1" ref="T15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4" s="552" t="str" cm="1">
        <f t="array" aca="1" ref="U15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4" s="526" cm="1">
        <f t="array" aca="1" ref="V154" ca="1">COUNTIFS(unit_details[Leased Date], "&gt;=" &amp; ($U$2 - T$5),
          unit_details[Leased Date], "&lt;" &amp; $U$2,
          unit_details[Floorplan Name], INDIRECT("C"&amp;ROW()),
          unit_details[Property Name], INDIRECT("B"&amp;ROW()))</f>
        <v>0</v>
      </c>
      <c r="W154" s="531" t="str" cm="1">
        <f t="array" aca="1" ref="W15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4" s="552" t="str" cm="1">
        <f t="array" aca="1" ref="X15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4" s="27" t="str">
        <f t="shared" ca="1" si="6"/>
        <v/>
      </c>
      <c r="Z154" s="4" t="str">
        <f>IFERROR($U$2-AVERAGEIFS(unit_details[First Listed],
          unit_details[Active Listing?],TRUE,
          unit_details[Property Name], $B154,
          unit_details[Beds], $D154,
          unit_details[Baths], $E154,
          unit_details[Partial Baths], IF(ISNUMBER($F154),$F154,""),
          unit_details[Floorplan Name],$C154
),"")</f>
        <v/>
      </c>
      <c r="AA154" s="262" cm="1">
        <f t="array" aca="1" ref="AA154" ca="1">COUNTIFS(unit_details[Active Listing?],TRUE,
          unit_details[Floorplan Name], INDIRECT("C"&amp;ROW()),
          unit_details[Property Name], INDIRECT("B"&amp;ROW()))</f>
        <v>0</v>
      </c>
      <c r="AB154" s="553"/>
      <c r="AC154" s="528" cm="1">
        <f t="array" aca="1" ref="AC154" ca="1">IFERROR(AVERAGEIFS(
  unit_details[Sqft],
  unit_details[Property Name], INDIRECT("B"&amp;ROW()),
  unit_details[Floorplan Name], INDIRECT("C"&amp;ROW()),
  unit_details[Beds], INDIRECT("D"&amp;ROW()),
  unit_details[Detected Unit Amenities], "*"&amp;$AD$3&amp;"*",
  unit_details[Leased Date], "&gt;=" &amp; ($U$2 - $AF$3)
),0)</f>
        <v>0</v>
      </c>
      <c r="AD154" s="527" cm="1">
        <f t="array" aca="1" ref="AD1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4" s="526" cm="1">
        <f t="array" aca="1" ref="AE154" ca="1">IFERROR(COUNTIFS(
  unit_details[Property Name], INDIRECT("B"&amp;ROW()),
  unit_details[Floorplan Name], INDIRECT("C"&amp;ROW()),
  unit_details[Beds], INDIRECT("D"&amp;ROW()),
  unit_details[Detected Unit Amenities], "*"&amp;$AD$3&amp;"*",
  unit_details[Leased Date], "&gt;=" &amp; ($U$2 - $AF$3)
),0)</f>
        <v>0</v>
      </c>
      <c r="AF154" s="528" cm="1">
        <f t="array" aca="1" ref="AF154" ca="1">IFERROR(AVERAGEIFS(
  unit_details[Sqft],
  unit_details[Property Name], INDIRECT("B"&amp;ROW()),
  unit_details[Floorplan Name], INDIRECT("C"&amp;ROW()),
  unit_details[Beds], INDIRECT("D"&amp;ROW()),
  unit_details[Detected Unit Amenities], "&lt;&gt;*"&amp;$AD$3&amp;"*",
  unit_details[Leased Date], "&gt;=" &amp; ($U$2 - $AF$3)
),0)</f>
        <v>0</v>
      </c>
      <c r="AG154" s="527" cm="1">
        <f t="array" aca="1" ref="AG1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4" s="526" cm="1">
        <f t="array" aca="1" ref="AH154" ca="1">IFERROR(COUNTIFS(
  unit_details[Property Name], INDIRECT("B"&amp;ROW()),
  unit_details[Floorplan Name], INDIRECT("C"&amp;ROW()),
  unit_details[Beds], INDIRECT("D"&amp;ROW()),
  unit_details[Detected Unit Amenities], "&lt;&gt;*"&amp;$AD$3&amp;"*",
  unit_details[Leased Date], "&gt;=" &amp; ($U$2 - $AF$3)
),0)</f>
        <v>0</v>
      </c>
      <c r="AI154" s="528"/>
      <c r="AJ154" s="531">
        <f t="shared" ca="1" si="7"/>
        <v>0</v>
      </c>
      <c r="AK154" s="532">
        <f t="shared" ca="1" si="8"/>
        <v>0</v>
      </c>
    </row>
    <row r="155" spans="2:37" x14ac:dyDescent="0.2">
      <c r="B155" s="566"/>
      <c r="C155" s="53"/>
      <c r="E155" s="262"/>
      <c r="F155" s="262"/>
      <c r="J155" s="293"/>
      <c r="K155" s="6"/>
      <c r="M155" s="6"/>
      <c r="N155" s="531" t="str" cm="1">
        <f t="array" aca="1" ref="N15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5" s="552" t="str" cm="1">
        <f t="array" aca="1" ref="O15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5" s="526" cm="1">
        <f t="array" aca="1" ref="P155" ca="1">COUNTIFS(unit_details[Leased Date], "&gt;=" &amp; ($U$2 - N$5),
          unit_details[Leased Date], "&lt;" &amp; $U$2,
          unit_details[Floorplan Name], INDIRECT("C"&amp;ROW()),
          unit_details[Property Name], INDIRECT("B"&amp;ROW()))</f>
        <v>0</v>
      </c>
      <c r="Q155" s="531" t="str" cm="1">
        <f t="array" aca="1" ref="Q15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5" s="552" t="str" cm="1">
        <f t="array" aca="1" ref="R15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5" s="526" cm="1">
        <f t="array" aca="1" ref="S155" ca="1">COUNTIFS(unit_details[Leased Date], "&gt;=" &amp; ($U$2 - Q$5),
          unit_details[Leased Date], "&lt;" &amp; $U$2,
          unit_details[Floorplan Name], INDIRECT("C"&amp;ROW()),
          unit_details[Property Name], INDIRECT("B"&amp;ROW()))</f>
        <v>0</v>
      </c>
      <c r="T155" s="531" t="str" cm="1">
        <f t="array" aca="1" ref="T15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5" s="552" t="str" cm="1">
        <f t="array" aca="1" ref="U15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5" s="526" cm="1">
        <f t="array" aca="1" ref="V155" ca="1">COUNTIFS(unit_details[Leased Date], "&gt;=" &amp; ($U$2 - T$5),
          unit_details[Leased Date], "&lt;" &amp; $U$2,
          unit_details[Floorplan Name], INDIRECT("C"&amp;ROW()),
          unit_details[Property Name], INDIRECT("B"&amp;ROW()))</f>
        <v>0</v>
      </c>
      <c r="W155" s="531" t="str" cm="1">
        <f t="array" aca="1" ref="W15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5" s="552" t="str" cm="1">
        <f t="array" aca="1" ref="X15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5" s="27" t="str">
        <f t="shared" ca="1" si="6"/>
        <v/>
      </c>
      <c r="Z155" s="4" t="str">
        <f>IFERROR($U$2-AVERAGEIFS(unit_details[First Listed],
          unit_details[Active Listing?],TRUE,
          unit_details[Property Name], $B155,
          unit_details[Beds], $D155,
          unit_details[Baths], $E155,
          unit_details[Partial Baths], IF(ISNUMBER($F155),$F155,""),
          unit_details[Floorplan Name],$C155
),"")</f>
        <v/>
      </c>
      <c r="AA155" s="262" cm="1">
        <f t="array" aca="1" ref="AA155" ca="1">COUNTIFS(unit_details[Active Listing?],TRUE,
          unit_details[Floorplan Name], INDIRECT("C"&amp;ROW()),
          unit_details[Property Name], INDIRECT("B"&amp;ROW()))</f>
        <v>0</v>
      </c>
      <c r="AB155" s="553"/>
      <c r="AC155" s="528" cm="1">
        <f t="array" aca="1" ref="AC155" ca="1">IFERROR(AVERAGEIFS(
  unit_details[Sqft],
  unit_details[Property Name], INDIRECT("B"&amp;ROW()),
  unit_details[Floorplan Name], INDIRECT("C"&amp;ROW()),
  unit_details[Beds], INDIRECT("D"&amp;ROW()),
  unit_details[Detected Unit Amenities], "*"&amp;$AD$3&amp;"*",
  unit_details[Leased Date], "&gt;=" &amp; ($U$2 - $AF$3)
),0)</f>
        <v>0</v>
      </c>
      <c r="AD155" s="527" cm="1">
        <f t="array" aca="1" ref="AD1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5" s="526" cm="1">
        <f t="array" aca="1" ref="AE155" ca="1">IFERROR(COUNTIFS(
  unit_details[Property Name], INDIRECT("B"&amp;ROW()),
  unit_details[Floorplan Name], INDIRECT("C"&amp;ROW()),
  unit_details[Beds], INDIRECT("D"&amp;ROW()),
  unit_details[Detected Unit Amenities], "*"&amp;$AD$3&amp;"*",
  unit_details[Leased Date], "&gt;=" &amp; ($U$2 - $AF$3)
),0)</f>
        <v>0</v>
      </c>
      <c r="AF155" s="528" cm="1">
        <f t="array" aca="1" ref="AF155" ca="1">IFERROR(AVERAGEIFS(
  unit_details[Sqft],
  unit_details[Property Name], INDIRECT("B"&amp;ROW()),
  unit_details[Floorplan Name], INDIRECT("C"&amp;ROW()),
  unit_details[Beds], INDIRECT("D"&amp;ROW()),
  unit_details[Detected Unit Amenities], "&lt;&gt;*"&amp;$AD$3&amp;"*",
  unit_details[Leased Date], "&gt;=" &amp; ($U$2 - $AF$3)
),0)</f>
        <v>0</v>
      </c>
      <c r="AG155" s="527" cm="1">
        <f t="array" aca="1" ref="AG1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5" s="526" cm="1">
        <f t="array" aca="1" ref="AH155" ca="1">IFERROR(COUNTIFS(
  unit_details[Property Name], INDIRECT("B"&amp;ROW()),
  unit_details[Floorplan Name], INDIRECT("C"&amp;ROW()),
  unit_details[Beds], INDIRECT("D"&amp;ROW()),
  unit_details[Detected Unit Amenities], "&lt;&gt;*"&amp;$AD$3&amp;"*",
  unit_details[Leased Date], "&gt;=" &amp; ($U$2 - $AF$3)
),0)</f>
        <v>0</v>
      </c>
      <c r="AI155" s="528"/>
      <c r="AJ155" s="531">
        <f t="shared" ca="1" si="7"/>
        <v>0</v>
      </c>
      <c r="AK155" s="532">
        <f t="shared" ca="1" si="8"/>
        <v>0</v>
      </c>
    </row>
    <row r="156" spans="2:37" x14ac:dyDescent="0.2">
      <c r="B156" s="566"/>
      <c r="C156" s="53"/>
      <c r="E156" s="262"/>
      <c r="F156" s="262"/>
      <c r="J156" s="293"/>
      <c r="K156" s="6"/>
      <c r="M156" s="6"/>
      <c r="N156" s="531" t="str" cm="1">
        <f t="array" aca="1" ref="N15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6" s="552" t="str" cm="1">
        <f t="array" aca="1" ref="O15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6" s="526" cm="1">
        <f t="array" aca="1" ref="P156" ca="1">COUNTIFS(unit_details[Leased Date], "&gt;=" &amp; ($U$2 - N$5),
          unit_details[Leased Date], "&lt;" &amp; $U$2,
          unit_details[Floorplan Name], INDIRECT("C"&amp;ROW()),
          unit_details[Property Name], INDIRECT("B"&amp;ROW()))</f>
        <v>0</v>
      </c>
      <c r="Q156" s="531" t="str" cm="1">
        <f t="array" aca="1" ref="Q15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6" s="552" t="str" cm="1">
        <f t="array" aca="1" ref="R15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6" s="526" cm="1">
        <f t="array" aca="1" ref="S156" ca="1">COUNTIFS(unit_details[Leased Date], "&gt;=" &amp; ($U$2 - Q$5),
          unit_details[Leased Date], "&lt;" &amp; $U$2,
          unit_details[Floorplan Name], INDIRECT("C"&amp;ROW()),
          unit_details[Property Name], INDIRECT("B"&amp;ROW()))</f>
        <v>0</v>
      </c>
      <c r="T156" s="531" t="str" cm="1">
        <f t="array" aca="1" ref="T15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6" s="552" t="str" cm="1">
        <f t="array" aca="1" ref="U15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6" s="526" cm="1">
        <f t="array" aca="1" ref="V156" ca="1">COUNTIFS(unit_details[Leased Date], "&gt;=" &amp; ($U$2 - T$5),
          unit_details[Leased Date], "&lt;" &amp; $U$2,
          unit_details[Floorplan Name], INDIRECT("C"&amp;ROW()),
          unit_details[Property Name], INDIRECT("B"&amp;ROW()))</f>
        <v>0</v>
      </c>
      <c r="W156" s="531" t="str" cm="1">
        <f t="array" aca="1" ref="W15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6" s="552" t="str" cm="1">
        <f t="array" aca="1" ref="X15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6" s="27" t="str">
        <f t="shared" ca="1" si="6"/>
        <v/>
      </c>
      <c r="Z156" s="4" t="str">
        <f>IFERROR($U$2-AVERAGEIFS(unit_details[First Listed],
          unit_details[Active Listing?],TRUE,
          unit_details[Property Name], $B156,
          unit_details[Beds], $D156,
          unit_details[Baths], $E156,
          unit_details[Partial Baths], IF(ISNUMBER($F156),$F156,""),
          unit_details[Floorplan Name],$C156
),"")</f>
        <v/>
      </c>
      <c r="AA156" s="262" cm="1">
        <f t="array" aca="1" ref="AA156" ca="1">COUNTIFS(unit_details[Active Listing?],TRUE,
          unit_details[Floorplan Name], INDIRECT("C"&amp;ROW()),
          unit_details[Property Name], INDIRECT("B"&amp;ROW()))</f>
        <v>0</v>
      </c>
      <c r="AB156" s="553"/>
      <c r="AC156" s="528" cm="1">
        <f t="array" aca="1" ref="AC156" ca="1">IFERROR(AVERAGEIFS(
  unit_details[Sqft],
  unit_details[Property Name], INDIRECT("B"&amp;ROW()),
  unit_details[Floorplan Name], INDIRECT("C"&amp;ROW()),
  unit_details[Beds], INDIRECT("D"&amp;ROW()),
  unit_details[Detected Unit Amenities], "*"&amp;$AD$3&amp;"*",
  unit_details[Leased Date], "&gt;=" &amp; ($U$2 - $AF$3)
),0)</f>
        <v>0</v>
      </c>
      <c r="AD156" s="527" cm="1">
        <f t="array" aca="1" ref="AD1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6" s="526" cm="1">
        <f t="array" aca="1" ref="AE156" ca="1">IFERROR(COUNTIFS(
  unit_details[Property Name], INDIRECT("B"&amp;ROW()),
  unit_details[Floorplan Name], INDIRECT("C"&amp;ROW()),
  unit_details[Beds], INDIRECT("D"&amp;ROW()),
  unit_details[Detected Unit Amenities], "*"&amp;$AD$3&amp;"*",
  unit_details[Leased Date], "&gt;=" &amp; ($U$2 - $AF$3)
),0)</f>
        <v>0</v>
      </c>
      <c r="AF156" s="528" cm="1">
        <f t="array" aca="1" ref="AF156" ca="1">IFERROR(AVERAGEIFS(
  unit_details[Sqft],
  unit_details[Property Name], INDIRECT("B"&amp;ROW()),
  unit_details[Floorplan Name], INDIRECT("C"&amp;ROW()),
  unit_details[Beds], INDIRECT("D"&amp;ROW()),
  unit_details[Detected Unit Amenities], "&lt;&gt;*"&amp;$AD$3&amp;"*",
  unit_details[Leased Date], "&gt;=" &amp; ($U$2 - $AF$3)
),0)</f>
        <v>0</v>
      </c>
      <c r="AG156" s="527" cm="1">
        <f t="array" aca="1" ref="AG1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6" s="526" cm="1">
        <f t="array" aca="1" ref="AH156" ca="1">IFERROR(COUNTIFS(
  unit_details[Property Name], INDIRECT("B"&amp;ROW()),
  unit_details[Floorplan Name], INDIRECT("C"&amp;ROW()),
  unit_details[Beds], INDIRECT("D"&amp;ROW()),
  unit_details[Detected Unit Amenities], "&lt;&gt;*"&amp;$AD$3&amp;"*",
  unit_details[Leased Date], "&gt;=" &amp; ($U$2 - $AF$3)
),0)</f>
        <v>0</v>
      </c>
      <c r="AI156" s="528"/>
      <c r="AJ156" s="531">
        <f t="shared" ca="1" si="7"/>
        <v>0</v>
      </c>
      <c r="AK156" s="532">
        <f t="shared" ca="1" si="8"/>
        <v>0</v>
      </c>
    </row>
    <row r="157" spans="2:37" x14ac:dyDescent="0.2">
      <c r="B157" s="566"/>
      <c r="C157" s="53"/>
      <c r="E157" s="262"/>
      <c r="F157" s="262"/>
      <c r="J157" s="293"/>
      <c r="K157" s="6"/>
      <c r="M157" s="6"/>
      <c r="N157" s="531" t="str" cm="1">
        <f t="array" aca="1" ref="N15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7" s="552" t="str" cm="1">
        <f t="array" aca="1" ref="O15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7" s="526" cm="1">
        <f t="array" aca="1" ref="P157" ca="1">COUNTIFS(unit_details[Leased Date], "&gt;=" &amp; ($U$2 - N$5),
          unit_details[Leased Date], "&lt;" &amp; $U$2,
          unit_details[Floorplan Name], INDIRECT("C"&amp;ROW()),
          unit_details[Property Name], INDIRECT("B"&amp;ROW()))</f>
        <v>0</v>
      </c>
      <c r="Q157" s="531" t="str" cm="1">
        <f t="array" aca="1" ref="Q15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7" s="552" t="str" cm="1">
        <f t="array" aca="1" ref="R15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7" s="526" cm="1">
        <f t="array" aca="1" ref="S157" ca="1">COUNTIFS(unit_details[Leased Date], "&gt;=" &amp; ($U$2 - Q$5),
          unit_details[Leased Date], "&lt;" &amp; $U$2,
          unit_details[Floorplan Name], INDIRECT("C"&amp;ROW()),
          unit_details[Property Name], INDIRECT("B"&amp;ROW()))</f>
        <v>0</v>
      </c>
      <c r="T157" s="531" t="str" cm="1">
        <f t="array" aca="1" ref="T15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7" s="552" t="str" cm="1">
        <f t="array" aca="1" ref="U15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7" s="526" cm="1">
        <f t="array" aca="1" ref="V157" ca="1">COUNTIFS(unit_details[Leased Date], "&gt;=" &amp; ($U$2 - T$5),
          unit_details[Leased Date], "&lt;" &amp; $U$2,
          unit_details[Floorplan Name], INDIRECT("C"&amp;ROW()),
          unit_details[Property Name], INDIRECT("B"&amp;ROW()))</f>
        <v>0</v>
      </c>
      <c r="W157" s="531" t="str" cm="1">
        <f t="array" aca="1" ref="W15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7" s="552" t="str" cm="1">
        <f t="array" aca="1" ref="X15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7" s="27" t="str">
        <f t="shared" ca="1" si="6"/>
        <v/>
      </c>
      <c r="Z157" s="4" t="str">
        <f>IFERROR($U$2-AVERAGEIFS(unit_details[First Listed],
          unit_details[Active Listing?],TRUE,
          unit_details[Property Name], $B157,
          unit_details[Beds], $D157,
          unit_details[Baths], $E157,
          unit_details[Partial Baths], IF(ISNUMBER($F157),$F157,""),
          unit_details[Floorplan Name],$C157
),"")</f>
        <v/>
      </c>
      <c r="AA157" s="262" cm="1">
        <f t="array" aca="1" ref="AA157" ca="1">COUNTIFS(unit_details[Active Listing?],TRUE,
          unit_details[Floorplan Name], INDIRECT("C"&amp;ROW()),
          unit_details[Property Name], INDIRECT("B"&amp;ROW()))</f>
        <v>0</v>
      </c>
      <c r="AB157" s="553"/>
      <c r="AC157" s="528" cm="1">
        <f t="array" aca="1" ref="AC157" ca="1">IFERROR(AVERAGEIFS(
  unit_details[Sqft],
  unit_details[Property Name], INDIRECT("B"&amp;ROW()),
  unit_details[Floorplan Name], INDIRECT("C"&amp;ROW()),
  unit_details[Beds], INDIRECT("D"&amp;ROW()),
  unit_details[Detected Unit Amenities], "*"&amp;$AD$3&amp;"*",
  unit_details[Leased Date], "&gt;=" &amp; ($U$2 - $AF$3)
),0)</f>
        <v>0</v>
      </c>
      <c r="AD157" s="527" cm="1">
        <f t="array" aca="1" ref="AD1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7" s="526" cm="1">
        <f t="array" aca="1" ref="AE157" ca="1">IFERROR(COUNTIFS(
  unit_details[Property Name], INDIRECT("B"&amp;ROW()),
  unit_details[Floorplan Name], INDIRECT("C"&amp;ROW()),
  unit_details[Beds], INDIRECT("D"&amp;ROW()),
  unit_details[Detected Unit Amenities], "*"&amp;$AD$3&amp;"*",
  unit_details[Leased Date], "&gt;=" &amp; ($U$2 - $AF$3)
),0)</f>
        <v>0</v>
      </c>
      <c r="AF157" s="528" cm="1">
        <f t="array" aca="1" ref="AF157" ca="1">IFERROR(AVERAGEIFS(
  unit_details[Sqft],
  unit_details[Property Name], INDIRECT("B"&amp;ROW()),
  unit_details[Floorplan Name], INDIRECT("C"&amp;ROW()),
  unit_details[Beds], INDIRECT("D"&amp;ROW()),
  unit_details[Detected Unit Amenities], "&lt;&gt;*"&amp;$AD$3&amp;"*",
  unit_details[Leased Date], "&gt;=" &amp; ($U$2 - $AF$3)
),0)</f>
        <v>0</v>
      </c>
      <c r="AG157" s="527" cm="1">
        <f t="array" aca="1" ref="AG1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7" s="526" cm="1">
        <f t="array" aca="1" ref="AH157" ca="1">IFERROR(COUNTIFS(
  unit_details[Property Name], INDIRECT("B"&amp;ROW()),
  unit_details[Floorplan Name], INDIRECT("C"&amp;ROW()),
  unit_details[Beds], INDIRECT("D"&amp;ROW()),
  unit_details[Detected Unit Amenities], "&lt;&gt;*"&amp;$AD$3&amp;"*",
  unit_details[Leased Date], "&gt;=" &amp; ($U$2 - $AF$3)
),0)</f>
        <v>0</v>
      </c>
      <c r="AI157" s="528"/>
      <c r="AJ157" s="531">
        <f t="shared" ca="1" si="7"/>
        <v>0</v>
      </c>
      <c r="AK157" s="532">
        <f t="shared" ca="1" si="8"/>
        <v>0</v>
      </c>
    </row>
    <row r="158" spans="2:37" x14ac:dyDescent="0.2">
      <c r="B158" s="566"/>
      <c r="C158" s="53"/>
      <c r="E158" s="262"/>
      <c r="F158" s="262"/>
      <c r="J158" s="293"/>
      <c r="K158" s="6"/>
      <c r="M158" s="6"/>
      <c r="N158" s="531" t="str" cm="1">
        <f t="array" aca="1" ref="N15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8" s="552" t="str" cm="1">
        <f t="array" aca="1" ref="O15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8" s="526" cm="1">
        <f t="array" aca="1" ref="P158" ca="1">COUNTIFS(unit_details[Leased Date], "&gt;=" &amp; ($U$2 - N$5),
          unit_details[Leased Date], "&lt;" &amp; $U$2,
          unit_details[Floorplan Name], INDIRECT("C"&amp;ROW()),
          unit_details[Property Name], INDIRECT("B"&amp;ROW()))</f>
        <v>0</v>
      </c>
      <c r="Q158" s="531" t="str" cm="1">
        <f t="array" aca="1" ref="Q15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8" s="552" t="str" cm="1">
        <f t="array" aca="1" ref="R15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8" s="526" cm="1">
        <f t="array" aca="1" ref="S158" ca="1">COUNTIFS(unit_details[Leased Date], "&gt;=" &amp; ($U$2 - Q$5),
          unit_details[Leased Date], "&lt;" &amp; $U$2,
          unit_details[Floorplan Name], INDIRECT("C"&amp;ROW()),
          unit_details[Property Name], INDIRECT("B"&amp;ROW()))</f>
        <v>0</v>
      </c>
      <c r="T158" s="531" t="str" cm="1">
        <f t="array" aca="1" ref="T15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8" s="552" t="str" cm="1">
        <f t="array" aca="1" ref="U15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8" s="526" cm="1">
        <f t="array" aca="1" ref="V158" ca="1">COUNTIFS(unit_details[Leased Date], "&gt;=" &amp; ($U$2 - T$5),
          unit_details[Leased Date], "&lt;" &amp; $U$2,
          unit_details[Floorplan Name], INDIRECT("C"&amp;ROW()),
          unit_details[Property Name], INDIRECT("B"&amp;ROW()))</f>
        <v>0</v>
      </c>
      <c r="W158" s="531" t="str" cm="1">
        <f t="array" aca="1" ref="W15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8" s="552" t="str" cm="1">
        <f t="array" aca="1" ref="X15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8" s="27" t="str">
        <f t="shared" ca="1" si="6"/>
        <v/>
      </c>
      <c r="Z158" s="4" t="str">
        <f>IFERROR($U$2-AVERAGEIFS(unit_details[First Listed],
          unit_details[Active Listing?],TRUE,
          unit_details[Property Name], $B158,
          unit_details[Beds], $D158,
          unit_details[Baths], $E158,
          unit_details[Partial Baths], IF(ISNUMBER($F158),$F158,""),
          unit_details[Floorplan Name],$C158
),"")</f>
        <v/>
      </c>
      <c r="AA158" s="262" cm="1">
        <f t="array" aca="1" ref="AA158" ca="1">COUNTIFS(unit_details[Active Listing?],TRUE,
          unit_details[Floorplan Name], INDIRECT("C"&amp;ROW()),
          unit_details[Property Name], INDIRECT("B"&amp;ROW()))</f>
        <v>0</v>
      </c>
      <c r="AB158" s="553"/>
      <c r="AC158" s="528" cm="1">
        <f t="array" aca="1" ref="AC158" ca="1">IFERROR(AVERAGEIFS(
  unit_details[Sqft],
  unit_details[Property Name], INDIRECT("B"&amp;ROW()),
  unit_details[Floorplan Name], INDIRECT("C"&amp;ROW()),
  unit_details[Beds], INDIRECT("D"&amp;ROW()),
  unit_details[Detected Unit Amenities], "*"&amp;$AD$3&amp;"*",
  unit_details[Leased Date], "&gt;=" &amp; ($U$2 - $AF$3)
),0)</f>
        <v>0</v>
      </c>
      <c r="AD158" s="527" cm="1">
        <f t="array" aca="1" ref="AD1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8" s="526" cm="1">
        <f t="array" aca="1" ref="AE158" ca="1">IFERROR(COUNTIFS(
  unit_details[Property Name], INDIRECT("B"&amp;ROW()),
  unit_details[Floorplan Name], INDIRECT("C"&amp;ROW()),
  unit_details[Beds], INDIRECT("D"&amp;ROW()),
  unit_details[Detected Unit Amenities], "*"&amp;$AD$3&amp;"*",
  unit_details[Leased Date], "&gt;=" &amp; ($U$2 - $AF$3)
),0)</f>
        <v>0</v>
      </c>
      <c r="AF158" s="528" cm="1">
        <f t="array" aca="1" ref="AF158" ca="1">IFERROR(AVERAGEIFS(
  unit_details[Sqft],
  unit_details[Property Name], INDIRECT("B"&amp;ROW()),
  unit_details[Floorplan Name], INDIRECT("C"&amp;ROW()),
  unit_details[Beds], INDIRECT("D"&amp;ROW()),
  unit_details[Detected Unit Amenities], "&lt;&gt;*"&amp;$AD$3&amp;"*",
  unit_details[Leased Date], "&gt;=" &amp; ($U$2 - $AF$3)
),0)</f>
        <v>0</v>
      </c>
      <c r="AG158" s="527" cm="1">
        <f t="array" aca="1" ref="AG1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8" s="526" cm="1">
        <f t="array" aca="1" ref="AH158" ca="1">IFERROR(COUNTIFS(
  unit_details[Property Name], INDIRECT("B"&amp;ROW()),
  unit_details[Floorplan Name], INDIRECT("C"&amp;ROW()),
  unit_details[Beds], INDIRECT("D"&amp;ROW()),
  unit_details[Detected Unit Amenities], "&lt;&gt;*"&amp;$AD$3&amp;"*",
  unit_details[Leased Date], "&gt;=" &amp; ($U$2 - $AF$3)
),0)</f>
        <v>0</v>
      </c>
      <c r="AI158" s="528"/>
      <c r="AJ158" s="531">
        <f t="shared" ca="1" si="7"/>
        <v>0</v>
      </c>
      <c r="AK158" s="532">
        <f t="shared" ca="1" si="8"/>
        <v>0</v>
      </c>
    </row>
    <row r="159" spans="2:37" x14ac:dyDescent="0.2">
      <c r="B159" s="566"/>
      <c r="C159" s="53"/>
      <c r="E159" s="262"/>
      <c r="F159" s="262"/>
      <c r="J159" s="293"/>
      <c r="K159" s="6"/>
      <c r="M159" s="6"/>
      <c r="N159" s="531" t="str" cm="1">
        <f t="array" aca="1" ref="N15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59" s="552" t="str" cm="1">
        <f t="array" aca="1" ref="O15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59" s="526" cm="1">
        <f t="array" aca="1" ref="P159" ca="1">COUNTIFS(unit_details[Leased Date], "&gt;=" &amp; ($U$2 - N$5),
          unit_details[Leased Date], "&lt;" &amp; $U$2,
          unit_details[Floorplan Name], INDIRECT("C"&amp;ROW()),
          unit_details[Property Name], INDIRECT("B"&amp;ROW()))</f>
        <v>0</v>
      </c>
      <c r="Q159" s="531" t="str" cm="1">
        <f t="array" aca="1" ref="Q15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59" s="552" t="str" cm="1">
        <f t="array" aca="1" ref="R15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59" s="526" cm="1">
        <f t="array" aca="1" ref="S159" ca="1">COUNTIFS(unit_details[Leased Date], "&gt;=" &amp; ($U$2 - Q$5),
          unit_details[Leased Date], "&lt;" &amp; $U$2,
          unit_details[Floorplan Name], INDIRECT("C"&amp;ROW()),
          unit_details[Property Name], INDIRECT("B"&amp;ROW()))</f>
        <v>0</v>
      </c>
      <c r="T159" s="531" t="str" cm="1">
        <f t="array" aca="1" ref="T15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59" s="552" t="str" cm="1">
        <f t="array" aca="1" ref="U15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59" s="526" cm="1">
        <f t="array" aca="1" ref="V159" ca="1">COUNTIFS(unit_details[Leased Date], "&gt;=" &amp; ($U$2 - T$5),
          unit_details[Leased Date], "&lt;" &amp; $U$2,
          unit_details[Floorplan Name], INDIRECT("C"&amp;ROW()),
          unit_details[Property Name], INDIRECT("B"&amp;ROW()))</f>
        <v>0</v>
      </c>
      <c r="W159" s="531" t="str" cm="1">
        <f t="array" aca="1" ref="W15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59" s="552" t="str" cm="1">
        <f t="array" aca="1" ref="X15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59" s="27" t="str">
        <f t="shared" ca="1" si="6"/>
        <v/>
      </c>
      <c r="Z159" s="4" t="str">
        <f>IFERROR($U$2-AVERAGEIFS(unit_details[First Listed],
          unit_details[Active Listing?],TRUE,
          unit_details[Property Name], $B159,
          unit_details[Beds], $D159,
          unit_details[Baths], $E159,
          unit_details[Partial Baths], IF(ISNUMBER($F159),$F159,""),
          unit_details[Floorplan Name],$C159
),"")</f>
        <v/>
      </c>
      <c r="AA159" s="262" cm="1">
        <f t="array" aca="1" ref="AA159" ca="1">COUNTIFS(unit_details[Active Listing?],TRUE,
          unit_details[Floorplan Name], INDIRECT("C"&amp;ROW()),
          unit_details[Property Name], INDIRECT("B"&amp;ROW()))</f>
        <v>0</v>
      </c>
      <c r="AB159" s="553"/>
      <c r="AC159" s="528" cm="1">
        <f t="array" aca="1" ref="AC159" ca="1">IFERROR(AVERAGEIFS(
  unit_details[Sqft],
  unit_details[Property Name], INDIRECT("B"&amp;ROW()),
  unit_details[Floorplan Name], INDIRECT("C"&amp;ROW()),
  unit_details[Beds], INDIRECT("D"&amp;ROW()),
  unit_details[Detected Unit Amenities], "*"&amp;$AD$3&amp;"*",
  unit_details[Leased Date], "&gt;=" &amp; ($U$2 - $AF$3)
),0)</f>
        <v>0</v>
      </c>
      <c r="AD159" s="527" cm="1">
        <f t="array" aca="1" ref="AD1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59" s="526" cm="1">
        <f t="array" aca="1" ref="AE159" ca="1">IFERROR(COUNTIFS(
  unit_details[Property Name], INDIRECT("B"&amp;ROW()),
  unit_details[Floorplan Name], INDIRECT("C"&amp;ROW()),
  unit_details[Beds], INDIRECT("D"&amp;ROW()),
  unit_details[Detected Unit Amenities], "*"&amp;$AD$3&amp;"*",
  unit_details[Leased Date], "&gt;=" &amp; ($U$2 - $AF$3)
),0)</f>
        <v>0</v>
      </c>
      <c r="AF159" s="528" cm="1">
        <f t="array" aca="1" ref="AF159" ca="1">IFERROR(AVERAGEIFS(
  unit_details[Sqft],
  unit_details[Property Name], INDIRECT("B"&amp;ROW()),
  unit_details[Floorplan Name], INDIRECT("C"&amp;ROW()),
  unit_details[Beds], INDIRECT("D"&amp;ROW()),
  unit_details[Detected Unit Amenities], "&lt;&gt;*"&amp;$AD$3&amp;"*",
  unit_details[Leased Date], "&gt;=" &amp; ($U$2 - $AF$3)
),0)</f>
        <v>0</v>
      </c>
      <c r="AG159" s="527" cm="1">
        <f t="array" aca="1" ref="AG1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59" s="526" cm="1">
        <f t="array" aca="1" ref="AH159" ca="1">IFERROR(COUNTIFS(
  unit_details[Property Name], INDIRECT("B"&amp;ROW()),
  unit_details[Floorplan Name], INDIRECT("C"&amp;ROW()),
  unit_details[Beds], INDIRECT("D"&amp;ROW()),
  unit_details[Detected Unit Amenities], "&lt;&gt;*"&amp;$AD$3&amp;"*",
  unit_details[Leased Date], "&gt;=" &amp; ($U$2 - $AF$3)
),0)</f>
        <v>0</v>
      </c>
      <c r="AI159" s="528"/>
      <c r="AJ159" s="531">
        <f t="shared" ca="1" si="7"/>
        <v>0</v>
      </c>
      <c r="AK159" s="532">
        <f t="shared" ca="1" si="8"/>
        <v>0</v>
      </c>
    </row>
    <row r="160" spans="2:37" x14ac:dyDescent="0.2">
      <c r="B160" s="566"/>
      <c r="C160" s="53"/>
      <c r="E160" s="262"/>
      <c r="F160" s="262"/>
      <c r="J160" s="293"/>
      <c r="K160" s="6"/>
      <c r="M160" s="6"/>
      <c r="N160" s="531" t="str" cm="1">
        <f t="array" aca="1" ref="N16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0" s="552" t="str" cm="1">
        <f t="array" aca="1" ref="O16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0" s="526" cm="1">
        <f t="array" aca="1" ref="P160" ca="1">COUNTIFS(unit_details[Leased Date], "&gt;=" &amp; ($U$2 - N$5),
          unit_details[Leased Date], "&lt;" &amp; $U$2,
          unit_details[Floorplan Name], INDIRECT("C"&amp;ROW()),
          unit_details[Property Name], INDIRECT("B"&amp;ROW()))</f>
        <v>0</v>
      </c>
      <c r="Q160" s="531" t="str" cm="1">
        <f t="array" aca="1" ref="Q16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0" s="552" t="str" cm="1">
        <f t="array" aca="1" ref="R16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0" s="526" cm="1">
        <f t="array" aca="1" ref="S160" ca="1">COUNTIFS(unit_details[Leased Date], "&gt;=" &amp; ($U$2 - Q$5),
          unit_details[Leased Date], "&lt;" &amp; $U$2,
          unit_details[Floorplan Name], INDIRECT("C"&amp;ROW()),
          unit_details[Property Name], INDIRECT("B"&amp;ROW()))</f>
        <v>0</v>
      </c>
      <c r="T160" s="531" t="str" cm="1">
        <f t="array" aca="1" ref="T16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0" s="552" t="str" cm="1">
        <f t="array" aca="1" ref="U16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0" s="526" cm="1">
        <f t="array" aca="1" ref="V160" ca="1">COUNTIFS(unit_details[Leased Date], "&gt;=" &amp; ($U$2 - T$5),
          unit_details[Leased Date], "&lt;" &amp; $U$2,
          unit_details[Floorplan Name], INDIRECT("C"&amp;ROW()),
          unit_details[Property Name], INDIRECT("B"&amp;ROW()))</f>
        <v>0</v>
      </c>
      <c r="W160" s="531" t="str" cm="1">
        <f t="array" aca="1" ref="W16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0" s="552" t="str" cm="1">
        <f t="array" aca="1" ref="X16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0" s="27" t="str">
        <f t="shared" ca="1" si="6"/>
        <v/>
      </c>
      <c r="Z160" s="4" t="str">
        <f>IFERROR($U$2-AVERAGEIFS(unit_details[First Listed],
          unit_details[Active Listing?],TRUE,
          unit_details[Property Name], $B160,
          unit_details[Beds], $D160,
          unit_details[Baths], $E160,
          unit_details[Partial Baths], IF(ISNUMBER($F160),$F160,""),
          unit_details[Floorplan Name],$C160
),"")</f>
        <v/>
      </c>
      <c r="AA160" s="262" cm="1">
        <f t="array" aca="1" ref="AA160" ca="1">COUNTIFS(unit_details[Active Listing?],TRUE,
          unit_details[Floorplan Name], INDIRECT("C"&amp;ROW()),
          unit_details[Property Name], INDIRECT("B"&amp;ROW()))</f>
        <v>0</v>
      </c>
      <c r="AB160" s="553"/>
      <c r="AC160" s="528" cm="1">
        <f t="array" aca="1" ref="AC160" ca="1">IFERROR(AVERAGEIFS(
  unit_details[Sqft],
  unit_details[Property Name], INDIRECT("B"&amp;ROW()),
  unit_details[Floorplan Name], INDIRECT("C"&amp;ROW()),
  unit_details[Beds], INDIRECT("D"&amp;ROW()),
  unit_details[Detected Unit Amenities], "*"&amp;$AD$3&amp;"*",
  unit_details[Leased Date], "&gt;=" &amp; ($U$2 - $AF$3)
),0)</f>
        <v>0</v>
      </c>
      <c r="AD160" s="527" cm="1">
        <f t="array" aca="1" ref="AD1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0" s="526" cm="1">
        <f t="array" aca="1" ref="AE160" ca="1">IFERROR(COUNTIFS(
  unit_details[Property Name], INDIRECT("B"&amp;ROW()),
  unit_details[Floorplan Name], INDIRECT("C"&amp;ROW()),
  unit_details[Beds], INDIRECT("D"&amp;ROW()),
  unit_details[Detected Unit Amenities], "*"&amp;$AD$3&amp;"*",
  unit_details[Leased Date], "&gt;=" &amp; ($U$2 - $AF$3)
),0)</f>
        <v>0</v>
      </c>
      <c r="AF160" s="528" cm="1">
        <f t="array" aca="1" ref="AF160" ca="1">IFERROR(AVERAGEIFS(
  unit_details[Sqft],
  unit_details[Property Name], INDIRECT("B"&amp;ROW()),
  unit_details[Floorplan Name], INDIRECT("C"&amp;ROW()),
  unit_details[Beds], INDIRECT("D"&amp;ROW()),
  unit_details[Detected Unit Amenities], "&lt;&gt;*"&amp;$AD$3&amp;"*",
  unit_details[Leased Date], "&gt;=" &amp; ($U$2 - $AF$3)
),0)</f>
        <v>0</v>
      </c>
      <c r="AG160" s="527" cm="1">
        <f t="array" aca="1" ref="AG1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0" s="526" cm="1">
        <f t="array" aca="1" ref="AH160" ca="1">IFERROR(COUNTIFS(
  unit_details[Property Name], INDIRECT("B"&amp;ROW()),
  unit_details[Floorplan Name], INDIRECT("C"&amp;ROW()),
  unit_details[Beds], INDIRECT("D"&amp;ROW()),
  unit_details[Detected Unit Amenities], "&lt;&gt;*"&amp;$AD$3&amp;"*",
  unit_details[Leased Date], "&gt;=" &amp; ($U$2 - $AF$3)
),0)</f>
        <v>0</v>
      </c>
      <c r="AI160" s="528"/>
      <c r="AJ160" s="531">
        <f t="shared" ca="1" si="7"/>
        <v>0</v>
      </c>
      <c r="AK160" s="532">
        <f t="shared" ca="1" si="8"/>
        <v>0</v>
      </c>
    </row>
    <row r="161" spans="2:37" x14ac:dyDescent="0.2">
      <c r="B161" s="566"/>
      <c r="C161" s="53"/>
      <c r="E161" s="262"/>
      <c r="F161" s="262"/>
      <c r="J161" s="293"/>
      <c r="K161" s="6"/>
      <c r="M161" s="6"/>
      <c r="N161" s="531" t="str" cm="1">
        <f t="array" aca="1" ref="N16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1" s="552" t="str" cm="1">
        <f t="array" aca="1" ref="O16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1" s="526" cm="1">
        <f t="array" aca="1" ref="P161" ca="1">COUNTIFS(unit_details[Leased Date], "&gt;=" &amp; ($U$2 - N$5),
          unit_details[Leased Date], "&lt;" &amp; $U$2,
          unit_details[Floorplan Name], INDIRECT("C"&amp;ROW()),
          unit_details[Property Name], INDIRECT("B"&amp;ROW()))</f>
        <v>0</v>
      </c>
      <c r="Q161" s="531" t="str" cm="1">
        <f t="array" aca="1" ref="Q16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1" s="552" t="str" cm="1">
        <f t="array" aca="1" ref="R16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1" s="526" cm="1">
        <f t="array" aca="1" ref="S161" ca="1">COUNTIFS(unit_details[Leased Date], "&gt;=" &amp; ($U$2 - Q$5),
          unit_details[Leased Date], "&lt;" &amp; $U$2,
          unit_details[Floorplan Name], INDIRECT("C"&amp;ROW()),
          unit_details[Property Name], INDIRECT("B"&amp;ROW()))</f>
        <v>0</v>
      </c>
      <c r="T161" s="531" t="str" cm="1">
        <f t="array" aca="1" ref="T16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1" s="552" t="str" cm="1">
        <f t="array" aca="1" ref="U16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1" s="526" cm="1">
        <f t="array" aca="1" ref="V161" ca="1">COUNTIFS(unit_details[Leased Date], "&gt;=" &amp; ($U$2 - T$5),
          unit_details[Leased Date], "&lt;" &amp; $U$2,
          unit_details[Floorplan Name], INDIRECT("C"&amp;ROW()),
          unit_details[Property Name], INDIRECT("B"&amp;ROW()))</f>
        <v>0</v>
      </c>
      <c r="W161" s="531" t="str" cm="1">
        <f t="array" aca="1" ref="W16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1" s="552" t="str" cm="1">
        <f t="array" aca="1" ref="X16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1" s="27" t="str">
        <f t="shared" ca="1" si="6"/>
        <v/>
      </c>
      <c r="Z161" s="4" t="str">
        <f>IFERROR($U$2-AVERAGEIFS(unit_details[First Listed],
          unit_details[Active Listing?],TRUE,
          unit_details[Property Name], $B161,
          unit_details[Beds], $D161,
          unit_details[Baths], $E161,
          unit_details[Partial Baths], IF(ISNUMBER($F161),$F161,""),
          unit_details[Floorplan Name],$C161
),"")</f>
        <v/>
      </c>
      <c r="AA161" s="262" cm="1">
        <f t="array" aca="1" ref="AA161" ca="1">COUNTIFS(unit_details[Active Listing?],TRUE,
          unit_details[Floorplan Name], INDIRECT("C"&amp;ROW()),
          unit_details[Property Name], INDIRECT("B"&amp;ROW()))</f>
        <v>0</v>
      </c>
      <c r="AB161" s="553"/>
      <c r="AC161" s="528" cm="1">
        <f t="array" aca="1" ref="AC161" ca="1">IFERROR(AVERAGEIFS(
  unit_details[Sqft],
  unit_details[Property Name], INDIRECT("B"&amp;ROW()),
  unit_details[Floorplan Name], INDIRECT("C"&amp;ROW()),
  unit_details[Beds], INDIRECT("D"&amp;ROW()),
  unit_details[Detected Unit Amenities], "*"&amp;$AD$3&amp;"*",
  unit_details[Leased Date], "&gt;=" &amp; ($U$2 - $AF$3)
),0)</f>
        <v>0</v>
      </c>
      <c r="AD161" s="527" cm="1">
        <f t="array" aca="1" ref="AD1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1" s="526" cm="1">
        <f t="array" aca="1" ref="AE161" ca="1">IFERROR(COUNTIFS(
  unit_details[Property Name], INDIRECT("B"&amp;ROW()),
  unit_details[Floorplan Name], INDIRECT("C"&amp;ROW()),
  unit_details[Beds], INDIRECT("D"&amp;ROW()),
  unit_details[Detected Unit Amenities], "*"&amp;$AD$3&amp;"*",
  unit_details[Leased Date], "&gt;=" &amp; ($U$2 - $AF$3)
),0)</f>
        <v>0</v>
      </c>
      <c r="AF161" s="528" cm="1">
        <f t="array" aca="1" ref="AF161" ca="1">IFERROR(AVERAGEIFS(
  unit_details[Sqft],
  unit_details[Property Name], INDIRECT("B"&amp;ROW()),
  unit_details[Floorplan Name], INDIRECT("C"&amp;ROW()),
  unit_details[Beds], INDIRECT("D"&amp;ROW()),
  unit_details[Detected Unit Amenities], "&lt;&gt;*"&amp;$AD$3&amp;"*",
  unit_details[Leased Date], "&gt;=" &amp; ($U$2 - $AF$3)
),0)</f>
        <v>0</v>
      </c>
      <c r="AG161" s="527" cm="1">
        <f t="array" aca="1" ref="AG1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1" s="526" cm="1">
        <f t="array" aca="1" ref="AH161" ca="1">IFERROR(COUNTIFS(
  unit_details[Property Name], INDIRECT("B"&amp;ROW()),
  unit_details[Floorplan Name], INDIRECT("C"&amp;ROW()),
  unit_details[Beds], INDIRECT("D"&amp;ROW()),
  unit_details[Detected Unit Amenities], "&lt;&gt;*"&amp;$AD$3&amp;"*",
  unit_details[Leased Date], "&gt;=" &amp; ($U$2 - $AF$3)
),0)</f>
        <v>0</v>
      </c>
      <c r="AI161" s="528"/>
      <c r="AJ161" s="531">
        <f t="shared" ca="1" si="7"/>
        <v>0</v>
      </c>
      <c r="AK161" s="532">
        <f t="shared" ca="1" si="8"/>
        <v>0</v>
      </c>
    </row>
    <row r="162" spans="2:37" x14ac:dyDescent="0.2">
      <c r="B162" s="566"/>
      <c r="C162" s="53"/>
      <c r="E162" s="262"/>
      <c r="F162" s="262"/>
      <c r="J162" s="293"/>
      <c r="K162" s="6"/>
      <c r="M162" s="6"/>
      <c r="N162" s="531" t="str" cm="1">
        <f t="array" aca="1" ref="N16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2" s="552" t="str" cm="1">
        <f t="array" aca="1" ref="O16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2" s="526" cm="1">
        <f t="array" aca="1" ref="P162" ca="1">COUNTIFS(unit_details[Leased Date], "&gt;=" &amp; ($U$2 - N$5),
          unit_details[Leased Date], "&lt;" &amp; $U$2,
          unit_details[Floorplan Name], INDIRECT("C"&amp;ROW()),
          unit_details[Property Name], INDIRECT("B"&amp;ROW()))</f>
        <v>0</v>
      </c>
      <c r="Q162" s="531" t="str" cm="1">
        <f t="array" aca="1" ref="Q16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2" s="552" t="str" cm="1">
        <f t="array" aca="1" ref="R16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2" s="526" cm="1">
        <f t="array" aca="1" ref="S162" ca="1">COUNTIFS(unit_details[Leased Date], "&gt;=" &amp; ($U$2 - Q$5),
          unit_details[Leased Date], "&lt;" &amp; $U$2,
          unit_details[Floorplan Name], INDIRECT("C"&amp;ROW()),
          unit_details[Property Name], INDIRECT("B"&amp;ROW()))</f>
        <v>0</v>
      </c>
      <c r="T162" s="531" t="str" cm="1">
        <f t="array" aca="1" ref="T16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2" s="552" t="str" cm="1">
        <f t="array" aca="1" ref="U16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2" s="526" cm="1">
        <f t="array" aca="1" ref="V162" ca="1">COUNTIFS(unit_details[Leased Date], "&gt;=" &amp; ($U$2 - T$5),
          unit_details[Leased Date], "&lt;" &amp; $U$2,
          unit_details[Floorplan Name], INDIRECT("C"&amp;ROW()),
          unit_details[Property Name], INDIRECT("B"&amp;ROW()))</f>
        <v>0</v>
      </c>
      <c r="W162" s="531" t="str" cm="1">
        <f t="array" aca="1" ref="W16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2" s="552" t="str" cm="1">
        <f t="array" aca="1" ref="X16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2" s="27" t="str">
        <f t="shared" ca="1" si="6"/>
        <v/>
      </c>
      <c r="Z162" s="4" t="str">
        <f>IFERROR($U$2-AVERAGEIFS(unit_details[First Listed],
          unit_details[Active Listing?],TRUE,
          unit_details[Property Name], $B162,
          unit_details[Beds], $D162,
          unit_details[Baths], $E162,
          unit_details[Partial Baths], IF(ISNUMBER($F162),$F162,""),
          unit_details[Floorplan Name],$C162
),"")</f>
        <v/>
      </c>
      <c r="AA162" s="262" cm="1">
        <f t="array" aca="1" ref="AA162" ca="1">COUNTIFS(unit_details[Active Listing?],TRUE,
          unit_details[Floorplan Name], INDIRECT("C"&amp;ROW()),
          unit_details[Property Name], INDIRECT("B"&amp;ROW()))</f>
        <v>0</v>
      </c>
      <c r="AB162" s="553"/>
      <c r="AC162" s="528" cm="1">
        <f t="array" aca="1" ref="AC162" ca="1">IFERROR(AVERAGEIFS(
  unit_details[Sqft],
  unit_details[Property Name], INDIRECT("B"&amp;ROW()),
  unit_details[Floorplan Name], INDIRECT("C"&amp;ROW()),
  unit_details[Beds], INDIRECT("D"&amp;ROW()),
  unit_details[Detected Unit Amenities], "*"&amp;$AD$3&amp;"*",
  unit_details[Leased Date], "&gt;=" &amp; ($U$2 - $AF$3)
),0)</f>
        <v>0</v>
      </c>
      <c r="AD162" s="527" cm="1">
        <f t="array" aca="1" ref="AD1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2" s="526" cm="1">
        <f t="array" aca="1" ref="AE162" ca="1">IFERROR(COUNTIFS(
  unit_details[Property Name], INDIRECT("B"&amp;ROW()),
  unit_details[Floorplan Name], INDIRECT("C"&amp;ROW()),
  unit_details[Beds], INDIRECT("D"&amp;ROW()),
  unit_details[Detected Unit Amenities], "*"&amp;$AD$3&amp;"*",
  unit_details[Leased Date], "&gt;=" &amp; ($U$2 - $AF$3)
),0)</f>
        <v>0</v>
      </c>
      <c r="AF162" s="528" cm="1">
        <f t="array" aca="1" ref="AF162" ca="1">IFERROR(AVERAGEIFS(
  unit_details[Sqft],
  unit_details[Property Name], INDIRECT("B"&amp;ROW()),
  unit_details[Floorplan Name], INDIRECT("C"&amp;ROW()),
  unit_details[Beds], INDIRECT("D"&amp;ROW()),
  unit_details[Detected Unit Amenities], "&lt;&gt;*"&amp;$AD$3&amp;"*",
  unit_details[Leased Date], "&gt;=" &amp; ($U$2 - $AF$3)
),0)</f>
        <v>0</v>
      </c>
      <c r="AG162" s="527" cm="1">
        <f t="array" aca="1" ref="AG1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2" s="526" cm="1">
        <f t="array" aca="1" ref="AH162" ca="1">IFERROR(COUNTIFS(
  unit_details[Property Name], INDIRECT("B"&amp;ROW()),
  unit_details[Floorplan Name], INDIRECT("C"&amp;ROW()),
  unit_details[Beds], INDIRECT("D"&amp;ROW()),
  unit_details[Detected Unit Amenities], "&lt;&gt;*"&amp;$AD$3&amp;"*",
  unit_details[Leased Date], "&gt;=" &amp; ($U$2 - $AF$3)
),0)</f>
        <v>0</v>
      </c>
      <c r="AI162" s="528"/>
      <c r="AJ162" s="531">
        <f t="shared" ca="1" si="7"/>
        <v>0</v>
      </c>
      <c r="AK162" s="532">
        <f t="shared" ca="1" si="8"/>
        <v>0</v>
      </c>
    </row>
    <row r="163" spans="2:37" x14ac:dyDescent="0.2">
      <c r="B163" s="566"/>
      <c r="C163" s="53"/>
      <c r="E163" s="262"/>
      <c r="F163" s="262"/>
      <c r="J163" s="293"/>
      <c r="K163" s="6"/>
      <c r="M163" s="6"/>
      <c r="N163" s="531" t="str" cm="1">
        <f t="array" aca="1" ref="N16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3" s="552" t="str" cm="1">
        <f t="array" aca="1" ref="O16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3" s="526" cm="1">
        <f t="array" aca="1" ref="P163" ca="1">COUNTIFS(unit_details[Leased Date], "&gt;=" &amp; ($U$2 - N$5),
          unit_details[Leased Date], "&lt;" &amp; $U$2,
          unit_details[Floorplan Name], INDIRECT("C"&amp;ROW()),
          unit_details[Property Name], INDIRECT("B"&amp;ROW()))</f>
        <v>0</v>
      </c>
      <c r="Q163" s="531" t="str" cm="1">
        <f t="array" aca="1" ref="Q16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3" s="552" t="str" cm="1">
        <f t="array" aca="1" ref="R16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3" s="526" cm="1">
        <f t="array" aca="1" ref="S163" ca="1">COUNTIFS(unit_details[Leased Date], "&gt;=" &amp; ($U$2 - Q$5),
          unit_details[Leased Date], "&lt;" &amp; $U$2,
          unit_details[Floorplan Name], INDIRECT("C"&amp;ROW()),
          unit_details[Property Name], INDIRECT("B"&amp;ROW()))</f>
        <v>0</v>
      </c>
      <c r="T163" s="531" t="str" cm="1">
        <f t="array" aca="1" ref="T16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3" s="552" t="str" cm="1">
        <f t="array" aca="1" ref="U16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3" s="526" cm="1">
        <f t="array" aca="1" ref="V163" ca="1">COUNTIFS(unit_details[Leased Date], "&gt;=" &amp; ($U$2 - T$5),
          unit_details[Leased Date], "&lt;" &amp; $U$2,
          unit_details[Floorplan Name], INDIRECT("C"&amp;ROW()),
          unit_details[Property Name], INDIRECT("B"&amp;ROW()))</f>
        <v>0</v>
      </c>
      <c r="W163" s="531" t="str" cm="1">
        <f t="array" aca="1" ref="W16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3" s="552" t="str" cm="1">
        <f t="array" aca="1" ref="X16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3" s="27" t="str">
        <f t="shared" ca="1" si="6"/>
        <v/>
      </c>
      <c r="Z163" s="4" t="str">
        <f>IFERROR($U$2-AVERAGEIFS(unit_details[First Listed],
          unit_details[Active Listing?],TRUE,
          unit_details[Property Name], $B163,
          unit_details[Beds], $D163,
          unit_details[Baths], $E163,
          unit_details[Partial Baths], IF(ISNUMBER($F163),$F163,""),
          unit_details[Floorplan Name],$C163
),"")</f>
        <v/>
      </c>
      <c r="AA163" s="262" cm="1">
        <f t="array" aca="1" ref="AA163" ca="1">COUNTIFS(unit_details[Active Listing?],TRUE,
          unit_details[Floorplan Name], INDIRECT("C"&amp;ROW()),
          unit_details[Property Name], INDIRECT("B"&amp;ROW()))</f>
        <v>0</v>
      </c>
      <c r="AB163" s="553"/>
      <c r="AC163" s="528" cm="1">
        <f t="array" aca="1" ref="AC163" ca="1">IFERROR(AVERAGEIFS(
  unit_details[Sqft],
  unit_details[Property Name], INDIRECT("B"&amp;ROW()),
  unit_details[Floorplan Name], INDIRECT("C"&amp;ROW()),
  unit_details[Beds], INDIRECT("D"&amp;ROW()),
  unit_details[Detected Unit Amenities], "*"&amp;$AD$3&amp;"*",
  unit_details[Leased Date], "&gt;=" &amp; ($U$2 - $AF$3)
),0)</f>
        <v>0</v>
      </c>
      <c r="AD163" s="527" cm="1">
        <f t="array" aca="1" ref="AD1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3" s="526" cm="1">
        <f t="array" aca="1" ref="AE163" ca="1">IFERROR(COUNTIFS(
  unit_details[Property Name], INDIRECT("B"&amp;ROW()),
  unit_details[Floorplan Name], INDIRECT("C"&amp;ROW()),
  unit_details[Beds], INDIRECT("D"&amp;ROW()),
  unit_details[Detected Unit Amenities], "*"&amp;$AD$3&amp;"*",
  unit_details[Leased Date], "&gt;=" &amp; ($U$2 - $AF$3)
),0)</f>
        <v>0</v>
      </c>
      <c r="AF163" s="528" cm="1">
        <f t="array" aca="1" ref="AF163" ca="1">IFERROR(AVERAGEIFS(
  unit_details[Sqft],
  unit_details[Property Name], INDIRECT("B"&amp;ROW()),
  unit_details[Floorplan Name], INDIRECT("C"&amp;ROW()),
  unit_details[Beds], INDIRECT("D"&amp;ROW()),
  unit_details[Detected Unit Amenities], "&lt;&gt;*"&amp;$AD$3&amp;"*",
  unit_details[Leased Date], "&gt;=" &amp; ($U$2 - $AF$3)
),0)</f>
        <v>0</v>
      </c>
      <c r="AG163" s="527" cm="1">
        <f t="array" aca="1" ref="AG1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3" s="526" cm="1">
        <f t="array" aca="1" ref="AH163" ca="1">IFERROR(COUNTIFS(
  unit_details[Property Name], INDIRECT("B"&amp;ROW()),
  unit_details[Floorplan Name], INDIRECT("C"&amp;ROW()),
  unit_details[Beds], INDIRECT("D"&amp;ROW()),
  unit_details[Detected Unit Amenities], "&lt;&gt;*"&amp;$AD$3&amp;"*",
  unit_details[Leased Date], "&gt;=" &amp; ($U$2 - $AF$3)
),0)</f>
        <v>0</v>
      </c>
      <c r="AI163" s="528"/>
      <c r="AJ163" s="531">
        <f t="shared" ca="1" si="7"/>
        <v>0</v>
      </c>
      <c r="AK163" s="532">
        <f t="shared" ca="1" si="8"/>
        <v>0</v>
      </c>
    </row>
    <row r="164" spans="2:37" x14ac:dyDescent="0.2">
      <c r="B164" s="566"/>
      <c r="C164" s="53"/>
      <c r="E164" s="262"/>
      <c r="F164" s="262"/>
      <c r="J164" s="293"/>
      <c r="K164" s="6"/>
      <c r="M164" s="6"/>
      <c r="N164" s="531" t="str" cm="1">
        <f t="array" aca="1" ref="N16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4" s="552" t="str" cm="1">
        <f t="array" aca="1" ref="O16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4" s="526" cm="1">
        <f t="array" aca="1" ref="P164" ca="1">COUNTIFS(unit_details[Leased Date], "&gt;=" &amp; ($U$2 - N$5),
          unit_details[Leased Date], "&lt;" &amp; $U$2,
          unit_details[Floorplan Name], INDIRECT("C"&amp;ROW()),
          unit_details[Property Name], INDIRECT("B"&amp;ROW()))</f>
        <v>0</v>
      </c>
      <c r="Q164" s="531" t="str" cm="1">
        <f t="array" aca="1" ref="Q16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4" s="552" t="str" cm="1">
        <f t="array" aca="1" ref="R16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4" s="526" cm="1">
        <f t="array" aca="1" ref="S164" ca="1">COUNTIFS(unit_details[Leased Date], "&gt;=" &amp; ($U$2 - Q$5),
          unit_details[Leased Date], "&lt;" &amp; $U$2,
          unit_details[Floorplan Name], INDIRECT("C"&amp;ROW()),
          unit_details[Property Name], INDIRECT("B"&amp;ROW()))</f>
        <v>0</v>
      </c>
      <c r="T164" s="531" t="str" cm="1">
        <f t="array" aca="1" ref="T16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4" s="552" t="str" cm="1">
        <f t="array" aca="1" ref="U16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4" s="526" cm="1">
        <f t="array" aca="1" ref="V164" ca="1">COUNTIFS(unit_details[Leased Date], "&gt;=" &amp; ($U$2 - T$5),
          unit_details[Leased Date], "&lt;" &amp; $U$2,
          unit_details[Floorplan Name], INDIRECT("C"&amp;ROW()),
          unit_details[Property Name], INDIRECT("B"&amp;ROW()))</f>
        <v>0</v>
      </c>
      <c r="W164" s="531" t="str" cm="1">
        <f t="array" aca="1" ref="W16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4" s="552" t="str" cm="1">
        <f t="array" aca="1" ref="X16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4" s="27" t="str">
        <f t="shared" ca="1" si="6"/>
        <v/>
      </c>
      <c r="Z164" s="4" t="str">
        <f>IFERROR($U$2-AVERAGEIFS(unit_details[First Listed],
          unit_details[Active Listing?],TRUE,
          unit_details[Property Name], $B164,
          unit_details[Beds], $D164,
          unit_details[Baths], $E164,
          unit_details[Partial Baths], IF(ISNUMBER($F164),$F164,""),
          unit_details[Floorplan Name],$C164
),"")</f>
        <v/>
      </c>
      <c r="AA164" s="262" cm="1">
        <f t="array" aca="1" ref="AA164" ca="1">COUNTIFS(unit_details[Active Listing?],TRUE,
          unit_details[Floorplan Name], INDIRECT("C"&amp;ROW()),
          unit_details[Property Name], INDIRECT("B"&amp;ROW()))</f>
        <v>0</v>
      </c>
      <c r="AB164" s="553"/>
      <c r="AC164" s="528" cm="1">
        <f t="array" aca="1" ref="AC164" ca="1">IFERROR(AVERAGEIFS(
  unit_details[Sqft],
  unit_details[Property Name], INDIRECT("B"&amp;ROW()),
  unit_details[Floorplan Name], INDIRECT("C"&amp;ROW()),
  unit_details[Beds], INDIRECT("D"&amp;ROW()),
  unit_details[Detected Unit Amenities], "*"&amp;$AD$3&amp;"*",
  unit_details[Leased Date], "&gt;=" &amp; ($U$2 - $AF$3)
),0)</f>
        <v>0</v>
      </c>
      <c r="AD164" s="527" cm="1">
        <f t="array" aca="1" ref="AD1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4" s="526" cm="1">
        <f t="array" aca="1" ref="AE164" ca="1">IFERROR(COUNTIFS(
  unit_details[Property Name], INDIRECT("B"&amp;ROW()),
  unit_details[Floorplan Name], INDIRECT("C"&amp;ROW()),
  unit_details[Beds], INDIRECT("D"&amp;ROW()),
  unit_details[Detected Unit Amenities], "*"&amp;$AD$3&amp;"*",
  unit_details[Leased Date], "&gt;=" &amp; ($U$2 - $AF$3)
),0)</f>
        <v>0</v>
      </c>
      <c r="AF164" s="528" cm="1">
        <f t="array" aca="1" ref="AF164" ca="1">IFERROR(AVERAGEIFS(
  unit_details[Sqft],
  unit_details[Property Name], INDIRECT("B"&amp;ROW()),
  unit_details[Floorplan Name], INDIRECT("C"&amp;ROW()),
  unit_details[Beds], INDIRECT("D"&amp;ROW()),
  unit_details[Detected Unit Amenities], "&lt;&gt;*"&amp;$AD$3&amp;"*",
  unit_details[Leased Date], "&gt;=" &amp; ($U$2 - $AF$3)
),0)</f>
        <v>0</v>
      </c>
      <c r="AG164" s="527" cm="1">
        <f t="array" aca="1" ref="AG1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4" s="526" cm="1">
        <f t="array" aca="1" ref="AH164" ca="1">IFERROR(COUNTIFS(
  unit_details[Property Name], INDIRECT("B"&amp;ROW()),
  unit_details[Floorplan Name], INDIRECT("C"&amp;ROW()),
  unit_details[Beds], INDIRECT("D"&amp;ROW()),
  unit_details[Detected Unit Amenities], "&lt;&gt;*"&amp;$AD$3&amp;"*",
  unit_details[Leased Date], "&gt;=" &amp; ($U$2 - $AF$3)
),0)</f>
        <v>0</v>
      </c>
      <c r="AI164" s="528"/>
      <c r="AJ164" s="531">
        <f t="shared" ca="1" si="7"/>
        <v>0</v>
      </c>
      <c r="AK164" s="532">
        <f t="shared" ca="1" si="8"/>
        <v>0</v>
      </c>
    </row>
    <row r="165" spans="2:37" x14ac:dyDescent="0.2">
      <c r="B165" s="566"/>
      <c r="C165" s="53"/>
      <c r="E165" s="262"/>
      <c r="F165" s="262"/>
      <c r="J165" s="293"/>
      <c r="K165" s="6"/>
      <c r="M165" s="6"/>
      <c r="N165" s="531" t="str" cm="1">
        <f t="array" aca="1" ref="N16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5" s="552" t="str" cm="1">
        <f t="array" aca="1" ref="O16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5" s="526" cm="1">
        <f t="array" aca="1" ref="P165" ca="1">COUNTIFS(unit_details[Leased Date], "&gt;=" &amp; ($U$2 - N$5),
          unit_details[Leased Date], "&lt;" &amp; $U$2,
          unit_details[Floorplan Name], INDIRECT("C"&amp;ROW()),
          unit_details[Property Name], INDIRECT("B"&amp;ROW()))</f>
        <v>0</v>
      </c>
      <c r="Q165" s="531" t="str" cm="1">
        <f t="array" aca="1" ref="Q16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5" s="552" t="str" cm="1">
        <f t="array" aca="1" ref="R16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5" s="526" cm="1">
        <f t="array" aca="1" ref="S165" ca="1">COUNTIFS(unit_details[Leased Date], "&gt;=" &amp; ($U$2 - Q$5),
          unit_details[Leased Date], "&lt;" &amp; $U$2,
          unit_details[Floorplan Name], INDIRECT("C"&amp;ROW()),
          unit_details[Property Name], INDIRECT("B"&amp;ROW()))</f>
        <v>0</v>
      </c>
      <c r="T165" s="531" t="str" cm="1">
        <f t="array" aca="1" ref="T16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5" s="552" t="str" cm="1">
        <f t="array" aca="1" ref="U16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5" s="526" cm="1">
        <f t="array" aca="1" ref="V165" ca="1">COUNTIFS(unit_details[Leased Date], "&gt;=" &amp; ($U$2 - T$5),
          unit_details[Leased Date], "&lt;" &amp; $U$2,
          unit_details[Floorplan Name], INDIRECT("C"&amp;ROW()),
          unit_details[Property Name], INDIRECT("B"&amp;ROW()))</f>
        <v>0</v>
      </c>
      <c r="W165" s="531" t="str" cm="1">
        <f t="array" aca="1" ref="W16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5" s="552" t="str" cm="1">
        <f t="array" aca="1" ref="X16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5" s="27" t="str">
        <f t="shared" ca="1" si="6"/>
        <v/>
      </c>
      <c r="Z165" s="4" t="str">
        <f>IFERROR($U$2-AVERAGEIFS(unit_details[First Listed],
          unit_details[Active Listing?],TRUE,
          unit_details[Property Name], $B165,
          unit_details[Beds], $D165,
          unit_details[Baths], $E165,
          unit_details[Partial Baths], IF(ISNUMBER($F165),$F165,""),
          unit_details[Floorplan Name],$C165
),"")</f>
        <v/>
      </c>
      <c r="AA165" s="262" cm="1">
        <f t="array" aca="1" ref="AA165" ca="1">COUNTIFS(unit_details[Active Listing?],TRUE,
          unit_details[Floorplan Name], INDIRECT("C"&amp;ROW()),
          unit_details[Property Name], INDIRECT("B"&amp;ROW()))</f>
        <v>0</v>
      </c>
      <c r="AB165" s="553"/>
      <c r="AC165" s="528" cm="1">
        <f t="array" aca="1" ref="AC165" ca="1">IFERROR(AVERAGEIFS(
  unit_details[Sqft],
  unit_details[Property Name], INDIRECT("B"&amp;ROW()),
  unit_details[Floorplan Name], INDIRECT("C"&amp;ROW()),
  unit_details[Beds], INDIRECT("D"&amp;ROW()),
  unit_details[Detected Unit Amenities], "*"&amp;$AD$3&amp;"*",
  unit_details[Leased Date], "&gt;=" &amp; ($U$2 - $AF$3)
),0)</f>
        <v>0</v>
      </c>
      <c r="AD165" s="527" cm="1">
        <f t="array" aca="1" ref="AD1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5" s="526" cm="1">
        <f t="array" aca="1" ref="AE165" ca="1">IFERROR(COUNTIFS(
  unit_details[Property Name], INDIRECT("B"&amp;ROW()),
  unit_details[Floorplan Name], INDIRECT("C"&amp;ROW()),
  unit_details[Beds], INDIRECT("D"&amp;ROW()),
  unit_details[Detected Unit Amenities], "*"&amp;$AD$3&amp;"*",
  unit_details[Leased Date], "&gt;=" &amp; ($U$2 - $AF$3)
),0)</f>
        <v>0</v>
      </c>
      <c r="AF165" s="528" cm="1">
        <f t="array" aca="1" ref="AF165" ca="1">IFERROR(AVERAGEIFS(
  unit_details[Sqft],
  unit_details[Property Name], INDIRECT("B"&amp;ROW()),
  unit_details[Floorplan Name], INDIRECT("C"&amp;ROW()),
  unit_details[Beds], INDIRECT("D"&amp;ROW()),
  unit_details[Detected Unit Amenities], "&lt;&gt;*"&amp;$AD$3&amp;"*",
  unit_details[Leased Date], "&gt;=" &amp; ($U$2 - $AF$3)
),0)</f>
        <v>0</v>
      </c>
      <c r="AG165" s="527" cm="1">
        <f t="array" aca="1" ref="AG1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5" s="526" cm="1">
        <f t="array" aca="1" ref="AH165" ca="1">IFERROR(COUNTIFS(
  unit_details[Property Name], INDIRECT("B"&amp;ROW()),
  unit_details[Floorplan Name], INDIRECT("C"&amp;ROW()),
  unit_details[Beds], INDIRECT("D"&amp;ROW()),
  unit_details[Detected Unit Amenities], "&lt;&gt;*"&amp;$AD$3&amp;"*",
  unit_details[Leased Date], "&gt;=" &amp; ($U$2 - $AF$3)
),0)</f>
        <v>0</v>
      </c>
      <c r="AI165" s="528"/>
      <c r="AJ165" s="531">
        <f t="shared" ca="1" si="7"/>
        <v>0</v>
      </c>
      <c r="AK165" s="532">
        <f t="shared" ca="1" si="8"/>
        <v>0</v>
      </c>
    </row>
    <row r="166" spans="2:37" x14ac:dyDescent="0.2">
      <c r="B166" s="566"/>
      <c r="C166" s="53"/>
      <c r="E166" s="262"/>
      <c r="F166" s="262"/>
      <c r="J166" s="293"/>
      <c r="K166" s="6"/>
      <c r="M166" s="6"/>
      <c r="N166" s="531" t="str" cm="1">
        <f t="array" aca="1" ref="N16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6" s="552" t="str" cm="1">
        <f t="array" aca="1" ref="O16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6" s="526" cm="1">
        <f t="array" aca="1" ref="P166" ca="1">COUNTIFS(unit_details[Leased Date], "&gt;=" &amp; ($U$2 - N$5),
          unit_details[Leased Date], "&lt;" &amp; $U$2,
          unit_details[Floorplan Name], INDIRECT("C"&amp;ROW()),
          unit_details[Property Name], INDIRECT("B"&amp;ROW()))</f>
        <v>0</v>
      </c>
      <c r="Q166" s="531" t="str" cm="1">
        <f t="array" aca="1" ref="Q16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6" s="552" t="str" cm="1">
        <f t="array" aca="1" ref="R16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6" s="526" cm="1">
        <f t="array" aca="1" ref="S166" ca="1">COUNTIFS(unit_details[Leased Date], "&gt;=" &amp; ($U$2 - Q$5),
          unit_details[Leased Date], "&lt;" &amp; $U$2,
          unit_details[Floorplan Name], INDIRECT("C"&amp;ROW()),
          unit_details[Property Name], INDIRECT("B"&amp;ROW()))</f>
        <v>0</v>
      </c>
      <c r="T166" s="531" t="str" cm="1">
        <f t="array" aca="1" ref="T16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6" s="552" t="str" cm="1">
        <f t="array" aca="1" ref="U16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6" s="526" cm="1">
        <f t="array" aca="1" ref="V166" ca="1">COUNTIFS(unit_details[Leased Date], "&gt;=" &amp; ($U$2 - T$5),
          unit_details[Leased Date], "&lt;" &amp; $U$2,
          unit_details[Floorplan Name], INDIRECT("C"&amp;ROW()),
          unit_details[Property Name], INDIRECT("B"&amp;ROW()))</f>
        <v>0</v>
      </c>
      <c r="W166" s="531" t="str" cm="1">
        <f t="array" aca="1" ref="W16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6" s="552" t="str" cm="1">
        <f t="array" aca="1" ref="X16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6" s="27" t="str">
        <f t="shared" ca="1" si="6"/>
        <v/>
      </c>
      <c r="Z166" s="4" t="str">
        <f>IFERROR($U$2-AVERAGEIFS(unit_details[First Listed],
          unit_details[Active Listing?],TRUE,
          unit_details[Property Name], $B166,
          unit_details[Beds], $D166,
          unit_details[Baths], $E166,
          unit_details[Partial Baths], IF(ISNUMBER($F166),$F166,""),
          unit_details[Floorplan Name],$C166
),"")</f>
        <v/>
      </c>
      <c r="AA166" s="262" cm="1">
        <f t="array" aca="1" ref="AA166" ca="1">COUNTIFS(unit_details[Active Listing?],TRUE,
          unit_details[Floorplan Name], INDIRECT("C"&amp;ROW()),
          unit_details[Property Name], INDIRECT("B"&amp;ROW()))</f>
        <v>0</v>
      </c>
      <c r="AB166" s="553"/>
      <c r="AC166" s="528" cm="1">
        <f t="array" aca="1" ref="AC166" ca="1">IFERROR(AVERAGEIFS(
  unit_details[Sqft],
  unit_details[Property Name], INDIRECT("B"&amp;ROW()),
  unit_details[Floorplan Name], INDIRECT("C"&amp;ROW()),
  unit_details[Beds], INDIRECT("D"&amp;ROW()),
  unit_details[Detected Unit Amenities], "*"&amp;$AD$3&amp;"*",
  unit_details[Leased Date], "&gt;=" &amp; ($U$2 - $AF$3)
),0)</f>
        <v>0</v>
      </c>
      <c r="AD166" s="527" cm="1">
        <f t="array" aca="1" ref="AD1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6" s="526" cm="1">
        <f t="array" aca="1" ref="AE166" ca="1">IFERROR(COUNTIFS(
  unit_details[Property Name], INDIRECT("B"&amp;ROW()),
  unit_details[Floorplan Name], INDIRECT("C"&amp;ROW()),
  unit_details[Beds], INDIRECT("D"&amp;ROW()),
  unit_details[Detected Unit Amenities], "*"&amp;$AD$3&amp;"*",
  unit_details[Leased Date], "&gt;=" &amp; ($U$2 - $AF$3)
),0)</f>
        <v>0</v>
      </c>
      <c r="AF166" s="528" cm="1">
        <f t="array" aca="1" ref="AF166" ca="1">IFERROR(AVERAGEIFS(
  unit_details[Sqft],
  unit_details[Property Name], INDIRECT("B"&amp;ROW()),
  unit_details[Floorplan Name], INDIRECT("C"&amp;ROW()),
  unit_details[Beds], INDIRECT("D"&amp;ROW()),
  unit_details[Detected Unit Amenities], "&lt;&gt;*"&amp;$AD$3&amp;"*",
  unit_details[Leased Date], "&gt;=" &amp; ($U$2 - $AF$3)
),0)</f>
        <v>0</v>
      </c>
      <c r="AG166" s="527" cm="1">
        <f t="array" aca="1" ref="AG1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6" s="526" cm="1">
        <f t="array" aca="1" ref="AH166" ca="1">IFERROR(COUNTIFS(
  unit_details[Property Name], INDIRECT("B"&amp;ROW()),
  unit_details[Floorplan Name], INDIRECT("C"&amp;ROW()),
  unit_details[Beds], INDIRECT("D"&amp;ROW()),
  unit_details[Detected Unit Amenities], "&lt;&gt;*"&amp;$AD$3&amp;"*",
  unit_details[Leased Date], "&gt;=" &amp; ($U$2 - $AF$3)
),0)</f>
        <v>0</v>
      </c>
      <c r="AI166" s="528"/>
      <c r="AJ166" s="531">
        <f t="shared" ca="1" si="7"/>
        <v>0</v>
      </c>
      <c r="AK166" s="532">
        <f t="shared" ca="1" si="8"/>
        <v>0</v>
      </c>
    </row>
    <row r="167" spans="2:37" x14ac:dyDescent="0.2">
      <c r="B167" s="566"/>
      <c r="C167" s="53"/>
      <c r="E167" s="262"/>
      <c r="F167" s="262"/>
      <c r="J167" s="293"/>
      <c r="K167" s="6"/>
      <c r="M167" s="6"/>
      <c r="N167" s="531" t="str" cm="1">
        <f t="array" aca="1" ref="N16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7" s="552" t="str" cm="1">
        <f t="array" aca="1" ref="O16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7" s="526" cm="1">
        <f t="array" aca="1" ref="P167" ca="1">COUNTIFS(unit_details[Leased Date], "&gt;=" &amp; ($U$2 - N$5),
          unit_details[Leased Date], "&lt;" &amp; $U$2,
          unit_details[Floorplan Name], INDIRECT("C"&amp;ROW()),
          unit_details[Property Name], INDIRECT("B"&amp;ROW()))</f>
        <v>0</v>
      </c>
      <c r="Q167" s="531" t="str" cm="1">
        <f t="array" aca="1" ref="Q16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7" s="552" t="str" cm="1">
        <f t="array" aca="1" ref="R16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7" s="526" cm="1">
        <f t="array" aca="1" ref="S167" ca="1">COUNTIFS(unit_details[Leased Date], "&gt;=" &amp; ($U$2 - Q$5),
          unit_details[Leased Date], "&lt;" &amp; $U$2,
          unit_details[Floorplan Name], INDIRECT("C"&amp;ROW()),
          unit_details[Property Name], INDIRECT("B"&amp;ROW()))</f>
        <v>0</v>
      </c>
      <c r="T167" s="531" t="str" cm="1">
        <f t="array" aca="1" ref="T16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7" s="552" t="str" cm="1">
        <f t="array" aca="1" ref="U16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7" s="526" cm="1">
        <f t="array" aca="1" ref="V167" ca="1">COUNTIFS(unit_details[Leased Date], "&gt;=" &amp; ($U$2 - T$5),
          unit_details[Leased Date], "&lt;" &amp; $U$2,
          unit_details[Floorplan Name], INDIRECT("C"&amp;ROW()),
          unit_details[Property Name], INDIRECT("B"&amp;ROW()))</f>
        <v>0</v>
      </c>
      <c r="W167" s="531" t="str" cm="1">
        <f t="array" aca="1" ref="W16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7" s="552" t="str" cm="1">
        <f t="array" aca="1" ref="X16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7" s="27" t="str">
        <f t="shared" ca="1" si="6"/>
        <v/>
      </c>
      <c r="Z167" s="4" t="str">
        <f>IFERROR($U$2-AVERAGEIFS(unit_details[First Listed],
          unit_details[Active Listing?],TRUE,
          unit_details[Property Name], $B167,
          unit_details[Beds], $D167,
          unit_details[Baths], $E167,
          unit_details[Partial Baths], IF(ISNUMBER($F167),$F167,""),
          unit_details[Floorplan Name],$C167
),"")</f>
        <v/>
      </c>
      <c r="AA167" s="262" cm="1">
        <f t="array" aca="1" ref="AA167" ca="1">COUNTIFS(unit_details[Active Listing?],TRUE,
          unit_details[Floorplan Name], INDIRECT("C"&amp;ROW()),
          unit_details[Property Name], INDIRECT("B"&amp;ROW()))</f>
        <v>0</v>
      </c>
      <c r="AB167" s="553"/>
      <c r="AC167" s="528" cm="1">
        <f t="array" aca="1" ref="AC167" ca="1">IFERROR(AVERAGEIFS(
  unit_details[Sqft],
  unit_details[Property Name], INDIRECT("B"&amp;ROW()),
  unit_details[Floorplan Name], INDIRECT("C"&amp;ROW()),
  unit_details[Beds], INDIRECT("D"&amp;ROW()),
  unit_details[Detected Unit Amenities], "*"&amp;$AD$3&amp;"*",
  unit_details[Leased Date], "&gt;=" &amp; ($U$2 - $AF$3)
),0)</f>
        <v>0</v>
      </c>
      <c r="AD167" s="527" cm="1">
        <f t="array" aca="1" ref="AD1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7" s="526" cm="1">
        <f t="array" aca="1" ref="AE167" ca="1">IFERROR(COUNTIFS(
  unit_details[Property Name], INDIRECT("B"&amp;ROW()),
  unit_details[Floorplan Name], INDIRECT("C"&amp;ROW()),
  unit_details[Beds], INDIRECT("D"&amp;ROW()),
  unit_details[Detected Unit Amenities], "*"&amp;$AD$3&amp;"*",
  unit_details[Leased Date], "&gt;=" &amp; ($U$2 - $AF$3)
),0)</f>
        <v>0</v>
      </c>
      <c r="AF167" s="528" cm="1">
        <f t="array" aca="1" ref="AF167" ca="1">IFERROR(AVERAGEIFS(
  unit_details[Sqft],
  unit_details[Property Name], INDIRECT("B"&amp;ROW()),
  unit_details[Floorplan Name], INDIRECT("C"&amp;ROW()),
  unit_details[Beds], INDIRECT("D"&amp;ROW()),
  unit_details[Detected Unit Amenities], "&lt;&gt;*"&amp;$AD$3&amp;"*",
  unit_details[Leased Date], "&gt;=" &amp; ($U$2 - $AF$3)
),0)</f>
        <v>0</v>
      </c>
      <c r="AG167" s="527" cm="1">
        <f t="array" aca="1" ref="AG1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7" s="526" cm="1">
        <f t="array" aca="1" ref="AH167" ca="1">IFERROR(COUNTIFS(
  unit_details[Property Name], INDIRECT("B"&amp;ROW()),
  unit_details[Floorplan Name], INDIRECT("C"&amp;ROW()),
  unit_details[Beds], INDIRECT("D"&amp;ROW()),
  unit_details[Detected Unit Amenities], "&lt;&gt;*"&amp;$AD$3&amp;"*",
  unit_details[Leased Date], "&gt;=" &amp; ($U$2 - $AF$3)
),0)</f>
        <v>0</v>
      </c>
      <c r="AI167" s="528"/>
      <c r="AJ167" s="531">
        <f t="shared" ca="1" si="7"/>
        <v>0</v>
      </c>
      <c r="AK167" s="532">
        <f t="shared" ca="1" si="8"/>
        <v>0</v>
      </c>
    </row>
    <row r="168" spans="2:37" x14ac:dyDescent="0.2">
      <c r="B168" s="566"/>
      <c r="C168" s="53"/>
      <c r="E168" s="262"/>
      <c r="F168" s="262"/>
      <c r="J168" s="293"/>
      <c r="K168" s="6"/>
      <c r="M168" s="6"/>
      <c r="N168" s="531" t="str" cm="1">
        <f t="array" aca="1" ref="N16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8" s="552" t="str" cm="1">
        <f t="array" aca="1" ref="O16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8" s="526" cm="1">
        <f t="array" aca="1" ref="P168" ca="1">COUNTIFS(unit_details[Leased Date], "&gt;=" &amp; ($U$2 - N$5),
          unit_details[Leased Date], "&lt;" &amp; $U$2,
          unit_details[Floorplan Name], INDIRECT("C"&amp;ROW()),
          unit_details[Property Name], INDIRECT("B"&amp;ROW()))</f>
        <v>0</v>
      </c>
      <c r="Q168" s="531" t="str" cm="1">
        <f t="array" aca="1" ref="Q16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8" s="552" t="str" cm="1">
        <f t="array" aca="1" ref="R16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8" s="526" cm="1">
        <f t="array" aca="1" ref="S168" ca="1">COUNTIFS(unit_details[Leased Date], "&gt;=" &amp; ($U$2 - Q$5),
          unit_details[Leased Date], "&lt;" &amp; $U$2,
          unit_details[Floorplan Name], INDIRECT("C"&amp;ROW()),
          unit_details[Property Name], INDIRECT("B"&amp;ROW()))</f>
        <v>0</v>
      </c>
      <c r="T168" s="531" t="str" cm="1">
        <f t="array" aca="1" ref="T16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8" s="552" t="str" cm="1">
        <f t="array" aca="1" ref="U16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8" s="526" cm="1">
        <f t="array" aca="1" ref="V168" ca="1">COUNTIFS(unit_details[Leased Date], "&gt;=" &amp; ($U$2 - T$5),
          unit_details[Leased Date], "&lt;" &amp; $U$2,
          unit_details[Floorplan Name], INDIRECT("C"&amp;ROW()),
          unit_details[Property Name], INDIRECT("B"&amp;ROW()))</f>
        <v>0</v>
      </c>
      <c r="W168" s="531" t="str" cm="1">
        <f t="array" aca="1" ref="W16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8" s="552" t="str" cm="1">
        <f t="array" aca="1" ref="X16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8" s="27" t="str">
        <f t="shared" ca="1" si="6"/>
        <v/>
      </c>
      <c r="Z168" s="4" t="str">
        <f>IFERROR($U$2-AVERAGEIFS(unit_details[First Listed],
          unit_details[Active Listing?],TRUE,
          unit_details[Property Name], $B168,
          unit_details[Beds], $D168,
          unit_details[Baths], $E168,
          unit_details[Partial Baths], IF(ISNUMBER($F168),$F168,""),
          unit_details[Floorplan Name],$C168
),"")</f>
        <v/>
      </c>
      <c r="AA168" s="262" cm="1">
        <f t="array" aca="1" ref="AA168" ca="1">COUNTIFS(unit_details[Active Listing?],TRUE,
          unit_details[Floorplan Name], INDIRECT("C"&amp;ROW()),
          unit_details[Property Name], INDIRECT("B"&amp;ROW()))</f>
        <v>0</v>
      </c>
      <c r="AB168" s="553"/>
      <c r="AC168" s="528" cm="1">
        <f t="array" aca="1" ref="AC168" ca="1">IFERROR(AVERAGEIFS(
  unit_details[Sqft],
  unit_details[Property Name], INDIRECT("B"&amp;ROW()),
  unit_details[Floorplan Name], INDIRECT("C"&amp;ROW()),
  unit_details[Beds], INDIRECT("D"&amp;ROW()),
  unit_details[Detected Unit Amenities], "*"&amp;$AD$3&amp;"*",
  unit_details[Leased Date], "&gt;=" &amp; ($U$2 - $AF$3)
),0)</f>
        <v>0</v>
      </c>
      <c r="AD168" s="527" cm="1">
        <f t="array" aca="1" ref="AD1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8" s="526" cm="1">
        <f t="array" aca="1" ref="AE168" ca="1">IFERROR(COUNTIFS(
  unit_details[Property Name], INDIRECT("B"&amp;ROW()),
  unit_details[Floorplan Name], INDIRECT("C"&amp;ROW()),
  unit_details[Beds], INDIRECT("D"&amp;ROW()),
  unit_details[Detected Unit Amenities], "*"&amp;$AD$3&amp;"*",
  unit_details[Leased Date], "&gt;=" &amp; ($U$2 - $AF$3)
),0)</f>
        <v>0</v>
      </c>
      <c r="AF168" s="528" cm="1">
        <f t="array" aca="1" ref="AF168" ca="1">IFERROR(AVERAGEIFS(
  unit_details[Sqft],
  unit_details[Property Name], INDIRECT("B"&amp;ROW()),
  unit_details[Floorplan Name], INDIRECT("C"&amp;ROW()),
  unit_details[Beds], INDIRECT("D"&amp;ROW()),
  unit_details[Detected Unit Amenities], "&lt;&gt;*"&amp;$AD$3&amp;"*",
  unit_details[Leased Date], "&gt;=" &amp; ($U$2 - $AF$3)
),0)</f>
        <v>0</v>
      </c>
      <c r="AG168" s="527" cm="1">
        <f t="array" aca="1" ref="AG1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8" s="526" cm="1">
        <f t="array" aca="1" ref="AH168" ca="1">IFERROR(COUNTIFS(
  unit_details[Property Name], INDIRECT("B"&amp;ROW()),
  unit_details[Floorplan Name], INDIRECT("C"&amp;ROW()),
  unit_details[Beds], INDIRECT("D"&amp;ROW()),
  unit_details[Detected Unit Amenities], "&lt;&gt;*"&amp;$AD$3&amp;"*",
  unit_details[Leased Date], "&gt;=" &amp; ($U$2 - $AF$3)
),0)</f>
        <v>0</v>
      </c>
      <c r="AI168" s="528"/>
      <c r="AJ168" s="531">
        <f t="shared" ca="1" si="7"/>
        <v>0</v>
      </c>
      <c r="AK168" s="532">
        <f t="shared" ca="1" si="8"/>
        <v>0</v>
      </c>
    </row>
    <row r="169" spans="2:37" x14ac:dyDescent="0.2">
      <c r="B169" s="566"/>
      <c r="C169" s="53"/>
      <c r="E169" s="262"/>
      <c r="F169" s="262"/>
      <c r="J169" s="293"/>
      <c r="K169" s="6"/>
      <c r="M169" s="6"/>
      <c r="N169" s="531" t="str" cm="1">
        <f t="array" aca="1" ref="N16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69" s="552" t="str" cm="1">
        <f t="array" aca="1" ref="O16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69" s="526" cm="1">
        <f t="array" aca="1" ref="P169" ca="1">COUNTIFS(unit_details[Leased Date], "&gt;=" &amp; ($U$2 - N$5),
          unit_details[Leased Date], "&lt;" &amp; $U$2,
          unit_details[Floorplan Name], INDIRECT("C"&amp;ROW()),
          unit_details[Property Name], INDIRECT("B"&amp;ROW()))</f>
        <v>0</v>
      </c>
      <c r="Q169" s="531" t="str" cm="1">
        <f t="array" aca="1" ref="Q16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69" s="552" t="str" cm="1">
        <f t="array" aca="1" ref="R16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69" s="526" cm="1">
        <f t="array" aca="1" ref="S169" ca="1">COUNTIFS(unit_details[Leased Date], "&gt;=" &amp; ($U$2 - Q$5),
          unit_details[Leased Date], "&lt;" &amp; $U$2,
          unit_details[Floorplan Name], INDIRECT("C"&amp;ROW()),
          unit_details[Property Name], INDIRECT("B"&amp;ROW()))</f>
        <v>0</v>
      </c>
      <c r="T169" s="531" t="str" cm="1">
        <f t="array" aca="1" ref="T16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69" s="552" t="str" cm="1">
        <f t="array" aca="1" ref="U16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69" s="526" cm="1">
        <f t="array" aca="1" ref="V169" ca="1">COUNTIFS(unit_details[Leased Date], "&gt;=" &amp; ($U$2 - T$5),
          unit_details[Leased Date], "&lt;" &amp; $U$2,
          unit_details[Floorplan Name], INDIRECT("C"&amp;ROW()),
          unit_details[Property Name], INDIRECT("B"&amp;ROW()))</f>
        <v>0</v>
      </c>
      <c r="W169" s="531" t="str" cm="1">
        <f t="array" aca="1" ref="W16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69" s="552" t="str" cm="1">
        <f t="array" aca="1" ref="X16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69" s="27" t="str">
        <f t="shared" ca="1" si="6"/>
        <v/>
      </c>
      <c r="Z169" s="4" t="str">
        <f>IFERROR($U$2-AVERAGEIFS(unit_details[First Listed],
          unit_details[Active Listing?],TRUE,
          unit_details[Property Name], $B169,
          unit_details[Beds], $D169,
          unit_details[Baths], $E169,
          unit_details[Partial Baths], IF(ISNUMBER($F169),$F169,""),
          unit_details[Floorplan Name],$C169
),"")</f>
        <v/>
      </c>
      <c r="AA169" s="262" cm="1">
        <f t="array" aca="1" ref="AA169" ca="1">COUNTIFS(unit_details[Active Listing?],TRUE,
          unit_details[Floorplan Name], INDIRECT("C"&amp;ROW()),
          unit_details[Property Name], INDIRECT("B"&amp;ROW()))</f>
        <v>0</v>
      </c>
      <c r="AB169" s="553"/>
      <c r="AC169" s="528" cm="1">
        <f t="array" aca="1" ref="AC169" ca="1">IFERROR(AVERAGEIFS(
  unit_details[Sqft],
  unit_details[Property Name], INDIRECT("B"&amp;ROW()),
  unit_details[Floorplan Name], INDIRECT("C"&amp;ROW()),
  unit_details[Beds], INDIRECT("D"&amp;ROW()),
  unit_details[Detected Unit Amenities], "*"&amp;$AD$3&amp;"*",
  unit_details[Leased Date], "&gt;=" &amp; ($U$2 - $AF$3)
),0)</f>
        <v>0</v>
      </c>
      <c r="AD169" s="527" cm="1">
        <f t="array" aca="1" ref="AD1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69" s="526" cm="1">
        <f t="array" aca="1" ref="AE169" ca="1">IFERROR(COUNTIFS(
  unit_details[Property Name], INDIRECT("B"&amp;ROW()),
  unit_details[Floorplan Name], INDIRECT("C"&amp;ROW()),
  unit_details[Beds], INDIRECT("D"&amp;ROW()),
  unit_details[Detected Unit Amenities], "*"&amp;$AD$3&amp;"*",
  unit_details[Leased Date], "&gt;=" &amp; ($U$2 - $AF$3)
),0)</f>
        <v>0</v>
      </c>
      <c r="AF169" s="528" cm="1">
        <f t="array" aca="1" ref="AF169" ca="1">IFERROR(AVERAGEIFS(
  unit_details[Sqft],
  unit_details[Property Name], INDIRECT("B"&amp;ROW()),
  unit_details[Floorplan Name], INDIRECT("C"&amp;ROW()),
  unit_details[Beds], INDIRECT("D"&amp;ROW()),
  unit_details[Detected Unit Amenities], "&lt;&gt;*"&amp;$AD$3&amp;"*",
  unit_details[Leased Date], "&gt;=" &amp; ($U$2 - $AF$3)
),0)</f>
        <v>0</v>
      </c>
      <c r="AG169" s="527" cm="1">
        <f t="array" aca="1" ref="AG1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69" s="526" cm="1">
        <f t="array" aca="1" ref="AH169" ca="1">IFERROR(COUNTIFS(
  unit_details[Property Name], INDIRECT("B"&amp;ROW()),
  unit_details[Floorplan Name], INDIRECT("C"&amp;ROW()),
  unit_details[Beds], INDIRECT("D"&amp;ROW()),
  unit_details[Detected Unit Amenities], "&lt;&gt;*"&amp;$AD$3&amp;"*",
  unit_details[Leased Date], "&gt;=" &amp; ($U$2 - $AF$3)
),0)</f>
        <v>0</v>
      </c>
      <c r="AI169" s="528"/>
      <c r="AJ169" s="531">
        <f t="shared" ca="1" si="7"/>
        <v>0</v>
      </c>
      <c r="AK169" s="532">
        <f t="shared" ca="1" si="8"/>
        <v>0</v>
      </c>
    </row>
    <row r="170" spans="2:37" x14ac:dyDescent="0.2">
      <c r="B170" s="566"/>
      <c r="C170" s="53"/>
      <c r="E170" s="262"/>
      <c r="F170" s="262"/>
      <c r="J170" s="293"/>
      <c r="K170" s="6"/>
      <c r="M170" s="6"/>
      <c r="N170" s="531" t="str" cm="1">
        <f t="array" aca="1" ref="N17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0" s="552" t="str" cm="1">
        <f t="array" aca="1" ref="O17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0" s="526" cm="1">
        <f t="array" aca="1" ref="P170" ca="1">COUNTIFS(unit_details[Leased Date], "&gt;=" &amp; ($U$2 - N$5),
          unit_details[Leased Date], "&lt;" &amp; $U$2,
          unit_details[Floorplan Name], INDIRECT("C"&amp;ROW()),
          unit_details[Property Name], INDIRECT("B"&amp;ROW()))</f>
        <v>0</v>
      </c>
      <c r="Q170" s="531" t="str" cm="1">
        <f t="array" aca="1" ref="Q17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0" s="552" t="str" cm="1">
        <f t="array" aca="1" ref="R17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0" s="526" cm="1">
        <f t="array" aca="1" ref="S170" ca="1">COUNTIFS(unit_details[Leased Date], "&gt;=" &amp; ($U$2 - Q$5),
          unit_details[Leased Date], "&lt;" &amp; $U$2,
          unit_details[Floorplan Name], INDIRECT("C"&amp;ROW()),
          unit_details[Property Name], INDIRECT("B"&amp;ROW()))</f>
        <v>0</v>
      </c>
      <c r="T170" s="531" t="str" cm="1">
        <f t="array" aca="1" ref="T17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0" s="552" t="str" cm="1">
        <f t="array" aca="1" ref="U17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0" s="526" cm="1">
        <f t="array" aca="1" ref="V170" ca="1">COUNTIFS(unit_details[Leased Date], "&gt;=" &amp; ($U$2 - T$5),
          unit_details[Leased Date], "&lt;" &amp; $U$2,
          unit_details[Floorplan Name], INDIRECT("C"&amp;ROW()),
          unit_details[Property Name], INDIRECT("B"&amp;ROW()))</f>
        <v>0</v>
      </c>
      <c r="W170" s="531" t="str" cm="1">
        <f t="array" aca="1" ref="W17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0" s="552" t="str" cm="1">
        <f t="array" aca="1" ref="X17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0" s="27" t="str">
        <f t="shared" ca="1" si="6"/>
        <v/>
      </c>
      <c r="Z170" s="4" t="str">
        <f>IFERROR($U$2-AVERAGEIFS(unit_details[First Listed],
          unit_details[Active Listing?],TRUE,
          unit_details[Property Name], $B170,
          unit_details[Beds], $D170,
          unit_details[Baths], $E170,
          unit_details[Partial Baths], IF(ISNUMBER($F170),$F170,""),
          unit_details[Floorplan Name],$C170
),"")</f>
        <v/>
      </c>
      <c r="AA170" s="262" cm="1">
        <f t="array" aca="1" ref="AA170" ca="1">COUNTIFS(unit_details[Active Listing?],TRUE,
          unit_details[Floorplan Name], INDIRECT("C"&amp;ROW()),
          unit_details[Property Name], INDIRECT("B"&amp;ROW()))</f>
        <v>0</v>
      </c>
      <c r="AB170" s="553"/>
      <c r="AC170" s="528" cm="1">
        <f t="array" aca="1" ref="AC170" ca="1">IFERROR(AVERAGEIFS(
  unit_details[Sqft],
  unit_details[Property Name], INDIRECT("B"&amp;ROW()),
  unit_details[Floorplan Name], INDIRECT("C"&amp;ROW()),
  unit_details[Beds], INDIRECT("D"&amp;ROW()),
  unit_details[Detected Unit Amenities], "*"&amp;$AD$3&amp;"*",
  unit_details[Leased Date], "&gt;=" &amp; ($U$2 - $AF$3)
),0)</f>
        <v>0</v>
      </c>
      <c r="AD170" s="527" cm="1">
        <f t="array" aca="1" ref="AD1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0" s="526" cm="1">
        <f t="array" aca="1" ref="AE170" ca="1">IFERROR(COUNTIFS(
  unit_details[Property Name], INDIRECT("B"&amp;ROW()),
  unit_details[Floorplan Name], INDIRECT("C"&amp;ROW()),
  unit_details[Beds], INDIRECT("D"&amp;ROW()),
  unit_details[Detected Unit Amenities], "*"&amp;$AD$3&amp;"*",
  unit_details[Leased Date], "&gt;=" &amp; ($U$2 - $AF$3)
),0)</f>
        <v>0</v>
      </c>
      <c r="AF170" s="528" cm="1">
        <f t="array" aca="1" ref="AF170" ca="1">IFERROR(AVERAGEIFS(
  unit_details[Sqft],
  unit_details[Property Name], INDIRECT("B"&amp;ROW()),
  unit_details[Floorplan Name], INDIRECT("C"&amp;ROW()),
  unit_details[Beds], INDIRECT("D"&amp;ROW()),
  unit_details[Detected Unit Amenities], "&lt;&gt;*"&amp;$AD$3&amp;"*",
  unit_details[Leased Date], "&gt;=" &amp; ($U$2 - $AF$3)
),0)</f>
        <v>0</v>
      </c>
      <c r="AG170" s="527" cm="1">
        <f t="array" aca="1" ref="AG1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0" s="526" cm="1">
        <f t="array" aca="1" ref="AH170" ca="1">IFERROR(COUNTIFS(
  unit_details[Property Name], INDIRECT("B"&amp;ROW()),
  unit_details[Floorplan Name], INDIRECT("C"&amp;ROW()),
  unit_details[Beds], INDIRECT("D"&amp;ROW()),
  unit_details[Detected Unit Amenities], "&lt;&gt;*"&amp;$AD$3&amp;"*",
  unit_details[Leased Date], "&gt;=" &amp; ($U$2 - $AF$3)
),0)</f>
        <v>0</v>
      </c>
      <c r="AI170" s="528"/>
      <c r="AJ170" s="531">
        <f t="shared" ca="1" si="7"/>
        <v>0</v>
      </c>
      <c r="AK170" s="532">
        <f t="shared" ca="1" si="8"/>
        <v>0</v>
      </c>
    </row>
    <row r="171" spans="2:37" x14ac:dyDescent="0.2">
      <c r="B171" s="566"/>
      <c r="C171" s="53"/>
      <c r="E171" s="262"/>
      <c r="F171" s="262"/>
      <c r="J171" s="293"/>
      <c r="K171" s="6"/>
      <c r="M171" s="6"/>
      <c r="N171" s="531" t="str" cm="1">
        <f t="array" aca="1" ref="N17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1" s="552" t="str" cm="1">
        <f t="array" aca="1" ref="O17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1" s="526" cm="1">
        <f t="array" aca="1" ref="P171" ca="1">COUNTIFS(unit_details[Leased Date], "&gt;=" &amp; ($U$2 - N$5),
          unit_details[Leased Date], "&lt;" &amp; $U$2,
          unit_details[Floorplan Name], INDIRECT("C"&amp;ROW()),
          unit_details[Property Name], INDIRECT("B"&amp;ROW()))</f>
        <v>0</v>
      </c>
      <c r="Q171" s="531" t="str" cm="1">
        <f t="array" aca="1" ref="Q17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1" s="552" t="str" cm="1">
        <f t="array" aca="1" ref="R17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1" s="526" cm="1">
        <f t="array" aca="1" ref="S171" ca="1">COUNTIFS(unit_details[Leased Date], "&gt;=" &amp; ($U$2 - Q$5),
          unit_details[Leased Date], "&lt;" &amp; $U$2,
          unit_details[Floorplan Name], INDIRECT("C"&amp;ROW()),
          unit_details[Property Name], INDIRECT("B"&amp;ROW()))</f>
        <v>0</v>
      </c>
      <c r="T171" s="531" t="str" cm="1">
        <f t="array" aca="1" ref="T17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1" s="552" t="str" cm="1">
        <f t="array" aca="1" ref="U17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1" s="526" cm="1">
        <f t="array" aca="1" ref="V171" ca="1">COUNTIFS(unit_details[Leased Date], "&gt;=" &amp; ($U$2 - T$5),
          unit_details[Leased Date], "&lt;" &amp; $U$2,
          unit_details[Floorplan Name], INDIRECT("C"&amp;ROW()),
          unit_details[Property Name], INDIRECT("B"&amp;ROW()))</f>
        <v>0</v>
      </c>
      <c r="W171" s="531" t="str" cm="1">
        <f t="array" aca="1" ref="W17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1" s="552" t="str" cm="1">
        <f t="array" aca="1" ref="X17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1" s="27" t="str">
        <f t="shared" ca="1" si="6"/>
        <v/>
      </c>
      <c r="Z171" s="4" t="str">
        <f>IFERROR($U$2-AVERAGEIFS(unit_details[First Listed],
          unit_details[Active Listing?],TRUE,
          unit_details[Property Name], $B171,
          unit_details[Beds], $D171,
          unit_details[Baths], $E171,
          unit_details[Partial Baths], IF(ISNUMBER($F171),$F171,""),
          unit_details[Floorplan Name],$C171
),"")</f>
        <v/>
      </c>
      <c r="AA171" s="262" cm="1">
        <f t="array" aca="1" ref="AA171" ca="1">COUNTIFS(unit_details[Active Listing?],TRUE,
          unit_details[Floorplan Name], INDIRECT("C"&amp;ROW()),
          unit_details[Property Name], INDIRECT("B"&amp;ROW()))</f>
        <v>0</v>
      </c>
      <c r="AB171" s="553"/>
      <c r="AC171" s="528" cm="1">
        <f t="array" aca="1" ref="AC171" ca="1">IFERROR(AVERAGEIFS(
  unit_details[Sqft],
  unit_details[Property Name], INDIRECT("B"&amp;ROW()),
  unit_details[Floorplan Name], INDIRECT("C"&amp;ROW()),
  unit_details[Beds], INDIRECT("D"&amp;ROW()),
  unit_details[Detected Unit Amenities], "*"&amp;$AD$3&amp;"*",
  unit_details[Leased Date], "&gt;=" &amp; ($U$2 - $AF$3)
),0)</f>
        <v>0</v>
      </c>
      <c r="AD171" s="527" cm="1">
        <f t="array" aca="1" ref="AD1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1" s="526" cm="1">
        <f t="array" aca="1" ref="AE171" ca="1">IFERROR(COUNTIFS(
  unit_details[Property Name], INDIRECT("B"&amp;ROW()),
  unit_details[Floorplan Name], INDIRECT("C"&amp;ROW()),
  unit_details[Beds], INDIRECT("D"&amp;ROW()),
  unit_details[Detected Unit Amenities], "*"&amp;$AD$3&amp;"*",
  unit_details[Leased Date], "&gt;=" &amp; ($U$2 - $AF$3)
),0)</f>
        <v>0</v>
      </c>
      <c r="AF171" s="528" cm="1">
        <f t="array" aca="1" ref="AF171" ca="1">IFERROR(AVERAGEIFS(
  unit_details[Sqft],
  unit_details[Property Name], INDIRECT("B"&amp;ROW()),
  unit_details[Floorplan Name], INDIRECT("C"&amp;ROW()),
  unit_details[Beds], INDIRECT("D"&amp;ROW()),
  unit_details[Detected Unit Amenities], "&lt;&gt;*"&amp;$AD$3&amp;"*",
  unit_details[Leased Date], "&gt;=" &amp; ($U$2 - $AF$3)
),0)</f>
        <v>0</v>
      </c>
      <c r="AG171" s="527" cm="1">
        <f t="array" aca="1" ref="AG1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1" s="526" cm="1">
        <f t="array" aca="1" ref="AH171" ca="1">IFERROR(COUNTIFS(
  unit_details[Property Name], INDIRECT("B"&amp;ROW()),
  unit_details[Floorplan Name], INDIRECT("C"&amp;ROW()),
  unit_details[Beds], INDIRECT("D"&amp;ROW()),
  unit_details[Detected Unit Amenities], "&lt;&gt;*"&amp;$AD$3&amp;"*",
  unit_details[Leased Date], "&gt;=" &amp; ($U$2 - $AF$3)
),0)</f>
        <v>0</v>
      </c>
      <c r="AI171" s="528"/>
      <c r="AJ171" s="531">
        <f t="shared" ca="1" si="7"/>
        <v>0</v>
      </c>
      <c r="AK171" s="532">
        <f t="shared" ca="1" si="8"/>
        <v>0</v>
      </c>
    </row>
    <row r="172" spans="2:37" x14ac:dyDescent="0.2">
      <c r="B172" s="566"/>
      <c r="C172" s="53"/>
      <c r="E172" s="262"/>
      <c r="F172" s="262"/>
      <c r="J172" s="293"/>
      <c r="K172" s="6"/>
      <c r="M172" s="6"/>
      <c r="N172" s="531" t="str" cm="1">
        <f t="array" aca="1" ref="N17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2" s="552" t="str" cm="1">
        <f t="array" aca="1" ref="O17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2" s="526" cm="1">
        <f t="array" aca="1" ref="P172" ca="1">COUNTIFS(unit_details[Leased Date], "&gt;=" &amp; ($U$2 - N$5),
          unit_details[Leased Date], "&lt;" &amp; $U$2,
          unit_details[Floorplan Name], INDIRECT("C"&amp;ROW()),
          unit_details[Property Name], INDIRECT("B"&amp;ROW()))</f>
        <v>0</v>
      </c>
      <c r="Q172" s="531" t="str" cm="1">
        <f t="array" aca="1" ref="Q17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2" s="552" t="str" cm="1">
        <f t="array" aca="1" ref="R17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2" s="526" cm="1">
        <f t="array" aca="1" ref="S172" ca="1">COUNTIFS(unit_details[Leased Date], "&gt;=" &amp; ($U$2 - Q$5),
          unit_details[Leased Date], "&lt;" &amp; $U$2,
          unit_details[Floorplan Name], INDIRECT("C"&amp;ROW()),
          unit_details[Property Name], INDIRECT("B"&amp;ROW()))</f>
        <v>0</v>
      </c>
      <c r="T172" s="531" t="str" cm="1">
        <f t="array" aca="1" ref="T17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2" s="552" t="str" cm="1">
        <f t="array" aca="1" ref="U17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2" s="526" cm="1">
        <f t="array" aca="1" ref="V172" ca="1">COUNTIFS(unit_details[Leased Date], "&gt;=" &amp; ($U$2 - T$5),
          unit_details[Leased Date], "&lt;" &amp; $U$2,
          unit_details[Floorplan Name], INDIRECT("C"&amp;ROW()),
          unit_details[Property Name], INDIRECT("B"&amp;ROW()))</f>
        <v>0</v>
      </c>
      <c r="W172" s="531" t="str" cm="1">
        <f t="array" aca="1" ref="W17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2" s="552" t="str" cm="1">
        <f t="array" aca="1" ref="X17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2" s="27" t="str">
        <f t="shared" ca="1" si="6"/>
        <v/>
      </c>
      <c r="Z172" s="4" t="str">
        <f>IFERROR($U$2-AVERAGEIFS(unit_details[First Listed],
          unit_details[Active Listing?],TRUE,
          unit_details[Property Name], $B172,
          unit_details[Beds], $D172,
          unit_details[Baths], $E172,
          unit_details[Partial Baths], IF(ISNUMBER($F172),$F172,""),
          unit_details[Floorplan Name],$C172
),"")</f>
        <v/>
      </c>
      <c r="AA172" s="262" cm="1">
        <f t="array" aca="1" ref="AA172" ca="1">COUNTIFS(unit_details[Active Listing?],TRUE,
          unit_details[Floorplan Name], INDIRECT("C"&amp;ROW()),
          unit_details[Property Name], INDIRECT("B"&amp;ROW()))</f>
        <v>0</v>
      </c>
      <c r="AB172" s="553"/>
      <c r="AC172" s="528" cm="1">
        <f t="array" aca="1" ref="AC172" ca="1">IFERROR(AVERAGEIFS(
  unit_details[Sqft],
  unit_details[Property Name], INDIRECT("B"&amp;ROW()),
  unit_details[Floorplan Name], INDIRECT("C"&amp;ROW()),
  unit_details[Beds], INDIRECT("D"&amp;ROW()),
  unit_details[Detected Unit Amenities], "*"&amp;$AD$3&amp;"*",
  unit_details[Leased Date], "&gt;=" &amp; ($U$2 - $AF$3)
),0)</f>
        <v>0</v>
      </c>
      <c r="AD172" s="527" cm="1">
        <f t="array" aca="1" ref="AD1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2" s="526" cm="1">
        <f t="array" aca="1" ref="AE172" ca="1">IFERROR(COUNTIFS(
  unit_details[Property Name], INDIRECT("B"&amp;ROW()),
  unit_details[Floorplan Name], INDIRECT("C"&amp;ROW()),
  unit_details[Beds], INDIRECT("D"&amp;ROW()),
  unit_details[Detected Unit Amenities], "*"&amp;$AD$3&amp;"*",
  unit_details[Leased Date], "&gt;=" &amp; ($U$2 - $AF$3)
),0)</f>
        <v>0</v>
      </c>
      <c r="AF172" s="528" cm="1">
        <f t="array" aca="1" ref="AF172" ca="1">IFERROR(AVERAGEIFS(
  unit_details[Sqft],
  unit_details[Property Name], INDIRECT("B"&amp;ROW()),
  unit_details[Floorplan Name], INDIRECT("C"&amp;ROW()),
  unit_details[Beds], INDIRECT("D"&amp;ROW()),
  unit_details[Detected Unit Amenities], "&lt;&gt;*"&amp;$AD$3&amp;"*",
  unit_details[Leased Date], "&gt;=" &amp; ($U$2 - $AF$3)
),0)</f>
        <v>0</v>
      </c>
      <c r="AG172" s="527" cm="1">
        <f t="array" aca="1" ref="AG1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2" s="526" cm="1">
        <f t="array" aca="1" ref="AH172" ca="1">IFERROR(COUNTIFS(
  unit_details[Property Name], INDIRECT("B"&amp;ROW()),
  unit_details[Floorplan Name], INDIRECT("C"&amp;ROW()),
  unit_details[Beds], INDIRECT("D"&amp;ROW()),
  unit_details[Detected Unit Amenities], "&lt;&gt;*"&amp;$AD$3&amp;"*",
  unit_details[Leased Date], "&gt;=" &amp; ($U$2 - $AF$3)
),0)</f>
        <v>0</v>
      </c>
      <c r="AI172" s="528"/>
      <c r="AJ172" s="531">
        <f t="shared" ca="1" si="7"/>
        <v>0</v>
      </c>
      <c r="AK172" s="532">
        <f t="shared" ca="1" si="8"/>
        <v>0</v>
      </c>
    </row>
    <row r="173" spans="2:37" x14ac:dyDescent="0.2">
      <c r="B173" s="566"/>
      <c r="C173" s="53"/>
      <c r="E173" s="262"/>
      <c r="F173" s="262"/>
      <c r="J173" s="293"/>
      <c r="K173" s="6"/>
      <c r="M173" s="6"/>
      <c r="N173" s="531" t="str" cm="1">
        <f t="array" aca="1" ref="N17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3" s="552" t="str" cm="1">
        <f t="array" aca="1" ref="O17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3" s="526" cm="1">
        <f t="array" aca="1" ref="P173" ca="1">COUNTIFS(unit_details[Leased Date], "&gt;=" &amp; ($U$2 - N$5),
          unit_details[Leased Date], "&lt;" &amp; $U$2,
          unit_details[Floorplan Name], INDIRECT("C"&amp;ROW()),
          unit_details[Property Name], INDIRECT("B"&amp;ROW()))</f>
        <v>0</v>
      </c>
      <c r="Q173" s="531" t="str" cm="1">
        <f t="array" aca="1" ref="Q17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3" s="552" t="str" cm="1">
        <f t="array" aca="1" ref="R17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3" s="526" cm="1">
        <f t="array" aca="1" ref="S173" ca="1">COUNTIFS(unit_details[Leased Date], "&gt;=" &amp; ($U$2 - Q$5),
          unit_details[Leased Date], "&lt;" &amp; $U$2,
          unit_details[Floorplan Name], INDIRECT("C"&amp;ROW()),
          unit_details[Property Name], INDIRECT("B"&amp;ROW()))</f>
        <v>0</v>
      </c>
      <c r="T173" s="531" t="str" cm="1">
        <f t="array" aca="1" ref="T17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3" s="552" t="str" cm="1">
        <f t="array" aca="1" ref="U17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3" s="526" cm="1">
        <f t="array" aca="1" ref="V173" ca="1">COUNTIFS(unit_details[Leased Date], "&gt;=" &amp; ($U$2 - T$5),
          unit_details[Leased Date], "&lt;" &amp; $U$2,
          unit_details[Floorplan Name], INDIRECT("C"&amp;ROW()),
          unit_details[Property Name], INDIRECT("B"&amp;ROW()))</f>
        <v>0</v>
      </c>
      <c r="W173" s="531" t="str" cm="1">
        <f t="array" aca="1" ref="W17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3" s="552" t="str" cm="1">
        <f t="array" aca="1" ref="X17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3" s="27" t="str">
        <f t="shared" ca="1" si="6"/>
        <v/>
      </c>
      <c r="Z173" s="4" t="str">
        <f>IFERROR($U$2-AVERAGEIFS(unit_details[First Listed],
          unit_details[Active Listing?],TRUE,
          unit_details[Property Name], $B173,
          unit_details[Beds], $D173,
          unit_details[Baths], $E173,
          unit_details[Partial Baths], IF(ISNUMBER($F173),$F173,""),
          unit_details[Floorplan Name],$C173
),"")</f>
        <v/>
      </c>
      <c r="AA173" s="262" cm="1">
        <f t="array" aca="1" ref="AA173" ca="1">COUNTIFS(unit_details[Active Listing?],TRUE,
          unit_details[Floorplan Name], INDIRECT("C"&amp;ROW()),
          unit_details[Property Name], INDIRECT("B"&amp;ROW()))</f>
        <v>0</v>
      </c>
      <c r="AB173" s="553"/>
      <c r="AC173" s="528" cm="1">
        <f t="array" aca="1" ref="AC173" ca="1">IFERROR(AVERAGEIFS(
  unit_details[Sqft],
  unit_details[Property Name], INDIRECT("B"&amp;ROW()),
  unit_details[Floorplan Name], INDIRECT("C"&amp;ROW()),
  unit_details[Beds], INDIRECT("D"&amp;ROW()),
  unit_details[Detected Unit Amenities], "*"&amp;$AD$3&amp;"*",
  unit_details[Leased Date], "&gt;=" &amp; ($U$2 - $AF$3)
),0)</f>
        <v>0</v>
      </c>
      <c r="AD173" s="527" cm="1">
        <f t="array" aca="1" ref="AD1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3" s="526" cm="1">
        <f t="array" aca="1" ref="AE173" ca="1">IFERROR(COUNTIFS(
  unit_details[Property Name], INDIRECT("B"&amp;ROW()),
  unit_details[Floorplan Name], INDIRECT("C"&amp;ROW()),
  unit_details[Beds], INDIRECT("D"&amp;ROW()),
  unit_details[Detected Unit Amenities], "*"&amp;$AD$3&amp;"*",
  unit_details[Leased Date], "&gt;=" &amp; ($U$2 - $AF$3)
),0)</f>
        <v>0</v>
      </c>
      <c r="AF173" s="528" cm="1">
        <f t="array" aca="1" ref="AF173" ca="1">IFERROR(AVERAGEIFS(
  unit_details[Sqft],
  unit_details[Property Name], INDIRECT("B"&amp;ROW()),
  unit_details[Floorplan Name], INDIRECT("C"&amp;ROW()),
  unit_details[Beds], INDIRECT("D"&amp;ROW()),
  unit_details[Detected Unit Amenities], "&lt;&gt;*"&amp;$AD$3&amp;"*",
  unit_details[Leased Date], "&gt;=" &amp; ($U$2 - $AF$3)
),0)</f>
        <v>0</v>
      </c>
      <c r="AG173" s="527" cm="1">
        <f t="array" aca="1" ref="AG1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3" s="526" cm="1">
        <f t="array" aca="1" ref="AH173" ca="1">IFERROR(COUNTIFS(
  unit_details[Property Name], INDIRECT("B"&amp;ROW()),
  unit_details[Floorplan Name], INDIRECT("C"&amp;ROW()),
  unit_details[Beds], INDIRECT("D"&amp;ROW()),
  unit_details[Detected Unit Amenities], "&lt;&gt;*"&amp;$AD$3&amp;"*",
  unit_details[Leased Date], "&gt;=" &amp; ($U$2 - $AF$3)
),0)</f>
        <v>0</v>
      </c>
      <c r="AI173" s="528"/>
      <c r="AJ173" s="531">
        <f t="shared" ca="1" si="7"/>
        <v>0</v>
      </c>
      <c r="AK173" s="532">
        <f t="shared" ca="1" si="8"/>
        <v>0</v>
      </c>
    </row>
    <row r="174" spans="2:37" x14ac:dyDescent="0.2">
      <c r="B174" s="566"/>
      <c r="C174" s="53"/>
      <c r="E174" s="262"/>
      <c r="F174" s="262"/>
      <c r="J174" s="293"/>
      <c r="K174" s="6"/>
      <c r="M174" s="6"/>
      <c r="N174" s="531" t="str" cm="1">
        <f t="array" aca="1" ref="N17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4" s="552" t="str" cm="1">
        <f t="array" aca="1" ref="O17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4" s="526" cm="1">
        <f t="array" aca="1" ref="P174" ca="1">COUNTIFS(unit_details[Leased Date], "&gt;=" &amp; ($U$2 - N$5),
          unit_details[Leased Date], "&lt;" &amp; $U$2,
          unit_details[Floorplan Name], INDIRECT("C"&amp;ROW()),
          unit_details[Property Name], INDIRECT("B"&amp;ROW()))</f>
        <v>0</v>
      </c>
      <c r="Q174" s="531" t="str" cm="1">
        <f t="array" aca="1" ref="Q17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4" s="552" t="str" cm="1">
        <f t="array" aca="1" ref="R17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4" s="526" cm="1">
        <f t="array" aca="1" ref="S174" ca="1">COUNTIFS(unit_details[Leased Date], "&gt;=" &amp; ($U$2 - Q$5),
          unit_details[Leased Date], "&lt;" &amp; $U$2,
          unit_details[Floorplan Name], INDIRECT("C"&amp;ROW()),
          unit_details[Property Name], INDIRECT("B"&amp;ROW()))</f>
        <v>0</v>
      </c>
      <c r="T174" s="531" t="str" cm="1">
        <f t="array" aca="1" ref="T17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4" s="552" t="str" cm="1">
        <f t="array" aca="1" ref="U17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4" s="526" cm="1">
        <f t="array" aca="1" ref="V174" ca="1">COUNTIFS(unit_details[Leased Date], "&gt;=" &amp; ($U$2 - T$5),
          unit_details[Leased Date], "&lt;" &amp; $U$2,
          unit_details[Floorplan Name], INDIRECT("C"&amp;ROW()),
          unit_details[Property Name], INDIRECT("B"&amp;ROW()))</f>
        <v>0</v>
      </c>
      <c r="W174" s="531" t="str" cm="1">
        <f t="array" aca="1" ref="W17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4" s="552" t="str" cm="1">
        <f t="array" aca="1" ref="X17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4" s="27" t="str">
        <f t="shared" ca="1" si="6"/>
        <v/>
      </c>
      <c r="Z174" s="4" t="str">
        <f>IFERROR($U$2-AVERAGEIFS(unit_details[First Listed],
          unit_details[Active Listing?],TRUE,
          unit_details[Property Name], $B174,
          unit_details[Beds], $D174,
          unit_details[Baths], $E174,
          unit_details[Partial Baths], IF(ISNUMBER($F174),$F174,""),
          unit_details[Floorplan Name],$C174
),"")</f>
        <v/>
      </c>
      <c r="AA174" s="262" cm="1">
        <f t="array" aca="1" ref="AA174" ca="1">COUNTIFS(unit_details[Active Listing?],TRUE,
          unit_details[Floorplan Name], INDIRECT("C"&amp;ROW()),
          unit_details[Property Name], INDIRECT("B"&amp;ROW()))</f>
        <v>0</v>
      </c>
      <c r="AB174" s="553"/>
      <c r="AC174" s="528" cm="1">
        <f t="array" aca="1" ref="AC174" ca="1">IFERROR(AVERAGEIFS(
  unit_details[Sqft],
  unit_details[Property Name], INDIRECT("B"&amp;ROW()),
  unit_details[Floorplan Name], INDIRECT("C"&amp;ROW()),
  unit_details[Beds], INDIRECT("D"&amp;ROW()),
  unit_details[Detected Unit Amenities], "*"&amp;$AD$3&amp;"*",
  unit_details[Leased Date], "&gt;=" &amp; ($U$2 - $AF$3)
),0)</f>
        <v>0</v>
      </c>
      <c r="AD174" s="527" cm="1">
        <f t="array" aca="1" ref="AD1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4" s="526" cm="1">
        <f t="array" aca="1" ref="AE174" ca="1">IFERROR(COUNTIFS(
  unit_details[Property Name], INDIRECT("B"&amp;ROW()),
  unit_details[Floorplan Name], INDIRECT("C"&amp;ROW()),
  unit_details[Beds], INDIRECT("D"&amp;ROW()),
  unit_details[Detected Unit Amenities], "*"&amp;$AD$3&amp;"*",
  unit_details[Leased Date], "&gt;=" &amp; ($U$2 - $AF$3)
),0)</f>
        <v>0</v>
      </c>
      <c r="AF174" s="528" cm="1">
        <f t="array" aca="1" ref="AF174" ca="1">IFERROR(AVERAGEIFS(
  unit_details[Sqft],
  unit_details[Property Name], INDIRECT("B"&amp;ROW()),
  unit_details[Floorplan Name], INDIRECT("C"&amp;ROW()),
  unit_details[Beds], INDIRECT("D"&amp;ROW()),
  unit_details[Detected Unit Amenities], "&lt;&gt;*"&amp;$AD$3&amp;"*",
  unit_details[Leased Date], "&gt;=" &amp; ($U$2 - $AF$3)
),0)</f>
        <v>0</v>
      </c>
      <c r="AG174" s="527" cm="1">
        <f t="array" aca="1" ref="AG1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4" s="526" cm="1">
        <f t="array" aca="1" ref="AH174" ca="1">IFERROR(COUNTIFS(
  unit_details[Property Name], INDIRECT("B"&amp;ROW()),
  unit_details[Floorplan Name], INDIRECT("C"&amp;ROW()),
  unit_details[Beds], INDIRECT("D"&amp;ROW()),
  unit_details[Detected Unit Amenities], "&lt;&gt;*"&amp;$AD$3&amp;"*",
  unit_details[Leased Date], "&gt;=" &amp; ($U$2 - $AF$3)
),0)</f>
        <v>0</v>
      </c>
      <c r="AI174" s="528"/>
      <c r="AJ174" s="531">
        <f t="shared" ca="1" si="7"/>
        <v>0</v>
      </c>
      <c r="AK174" s="532">
        <f t="shared" ca="1" si="8"/>
        <v>0</v>
      </c>
    </row>
    <row r="175" spans="2:37" x14ac:dyDescent="0.2">
      <c r="B175" s="566"/>
      <c r="C175" s="53"/>
      <c r="E175" s="262"/>
      <c r="F175" s="262"/>
      <c r="J175" s="293"/>
      <c r="K175" s="6"/>
      <c r="M175" s="6"/>
      <c r="N175" s="531" t="str" cm="1">
        <f t="array" aca="1" ref="N17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5" s="552" t="str" cm="1">
        <f t="array" aca="1" ref="O17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5" s="526" cm="1">
        <f t="array" aca="1" ref="P175" ca="1">COUNTIFS(unit_details[Leased Date], "&gt;=" &amp; ($U$2 - N$5),
          unit_details[Leased Date], "&lt;" &amp; $U$2,
          unit_details[Floorplan Name], INDIRECT("C"&amp;ROW()),
          unit_details[Property Name], INDIRECT("B"&amp;ROW()))</f>
        <v>0</v>
      </c>
      <c r="Q175" s="531" t="str" cm="1">
        <f t="array" aca="1" ref="Q17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5" s="552" t="str" cm="1">
        <f t="array" aca="1" ref="R17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5" s="526" cm="1">
        <f t="array" aca="1" ref="S175" ca="1">COUNTIFS(unit_details[Leased Date], "&gt;=" &amp; ($U$2 - Q$5),
          unit_details[Leased Date], "&lt;" &amp; $U$2,
          unit_details[Floorplan Name], INDIRECT("C"&amp;ROW()),
          unit_details[Property Name], INDIRECT("B"&amp;ROW()))</f>
        <v>0</v>
      </c>
      <c r="T175" s="531" t="str" cm="1">
        <f t="array" aca="1" ref="T17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5" s="552" t="str" cm="1">
        <f t="array" aca="1" ref="U17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5" s="526" cm="1">
        <f t="array" aca="1" ref="V175" ca="1">COUNTIFS(unit_details[Leased Date], "&gt;=" &amp; ($U$2 - T$5),
          unit_details[Leased Date], "&lt;" &amp; $U$2,
          unit_details[Floorplan Name], INDIRECT("C"&amp;ROW()),
          unit_details[Property Name], INDIRECT("B"&amp;ROW()))</f>
        <v>0</v>
      </c>
      <c r="W175" s="531" t="str" cm="1">
        <f t="array" aca="1" ref="W17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5" s="552" t="str" cm="1">
        <f t="array" aca="1" ref="X17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5" s="27" t="str">
        <f t="shared" ca="1" si="6"/>
        <v/>
      </c>
      <c r="Z175" s="4" t="str">
        <f>IFERROR($U$2-AVERAGEIFS(unit_details[First Listed],
          unit_details[Active Listing?],TRUE,
          unit_details[Property Name], $B175,
          unit_details[Beds], $D175,
          unit_details[Baths], $E175,
          unit_details[Partial Baths], IF(ISNUMBER($F175),$F175,""),
          unit_details[Floorplan Name],$C175
),"")</f>
        <v/>
      </c>
      <c r="AA175" s="262" cm="1">
        <f t="array" aca="1" ref="AA175" ca="1">COUNTIFS(unit_details[Active Listing?],TRUE,
          unit_details[Floorplan Name], INDIRECT("C"&amp;ROW()),
          unit_details[Property Name], INDIRECT("B"&amp;ROW()))</f>
        <v>0</v>
      </c>
      <c r="AB175" s="553"/>
      <c r="AC175" s="528" cm="1">
        <f t="array" aca="1" ref="AC175" ca="1">IFERROR(AVERAGEIFS(
  unit_details[Sqft],
  unit_details[Property Name], INDIRECT("B"&amp;ROW()),
  unit_details[Floorplan Name], INDIRECT("C"&amp;ROW()),
  unit_details[Beds], INDIRECT("D"&amp;ROW()),
  unit_details[Detected Unit Amenities], "*"&amp;$AD$3&amp;"*",
  unit_details[Leased Date], "&gt;=" &amp; ($U$2 - $AF$3)
),0)</f>
        <v>0</v>
      </c>
      <c r="AD175" s="527" cm="1">
        <f t="array" aca="1" ref="AD1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5" s="526" cm="1">
        <f t="array" aca="1" ref="AE175" ca="1">IFERROR(COUNTIFS(
  unit_details[Property Name], INDIRECT("B"&amp;ROW()),
  unit_details[Floorplan Name], INDIRECT("C"&amp;ROW()),
  unit_details[Beds], INDIRECT("D"&amp;ROW()),
  unit_details[Detected Unit Amenities], "*"&amp;$AD$3&amp;"*",
  unit_details[Leased Date], "&gt;=" &amp; ($U$2 - $AF$3)
),0)</f>
        <v>0</v>
      </c>
      <c r="AF175" s="528" cm="1">
        <f t="array" aca="1" ref="AF175" ca="1">IFERROR(AVERAGEIFS(
  unit_details[Sqft],
  unit_details[Property Name], INDIRECT("B"&amp;ROW()),
  unit_details[Floorplan Name], INDIRECT("C"&amp;ROW()),
  unit_details[Beds], INDIRECT("D"&amp;ROW()),
  unit_details[Detected Unit Amenities], "&lt;&gt;*"&amp;$AD$3&amp;"*",
  unit_details[Leased Date], "&gt;=" &amp; ($U$2 - $AF$3)
),0)</f>
        <v>0</v>
      </c>
      <c r="AG175" s="527" cm="1">
        <f t="array" aca="1" ref="AG1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5" s="526" cm="1">
        <f t="array" aca="1" ref="AH175" ca="1">IFERROR(COUNTIFS(
  unit_details[Property Name], INDIRECT("B"&amp;ROW()),
  unit_details[Floorplan Name], INDIRECT("C"&amp;ROW()),
  unit_details[Beds], INDIRECT("D"&amp;ROW()),
  unit_details[Detected Unit Amenities], "&lt;&gt;*"&amp;$AD$3&amp;"*",
  unit_details[Leased Date], "&gt;=" &amp; ($U$2 - $AF$3)
),0)</f>
        <v>0</v>
      </c>
      <c r="AI175" s="528"/>
      <c r="AJ175" s="531">
        <f t="shared" ca="1" si="7"/>
        <v>0</v>
      </c>
      <c r="AK175" s="532">
        <f t="shared" ca="1" si="8"/>
        <v>0</v>
      </c>
    </row>
    <row r="176" spans="2:37" x14ac:dyDescent="0.2">
      <c r="B176" s="566"/>
      <c r="C176" s="53"/>
      <c r="E176" s="262"/>
      <c r="F176" s="262"/>
      <c r="J176" s="293"/>
      <c r="K176" s="6"/>
      <c r="M176" s="6"/>
      <c r="N176" s="531" t="str" cm="1">
        <f t="array" aca="1" ref="N17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6" s="552" t="str" cm="1">
        <f t="array" aca="1" ref="O17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6" s="526" cm="1">
        <f t="array" aca="1" ref="P176" ca="1">COUNTIFS(unit_details[Leased Date], "&gt;=" &amp; ($U$2 - N$5),
          unit_details[Leased Date], "&lt;" &amp; $U$2,
          unit_details[Floorplan Name], INDIRECT("C"&amp;ROW()),
          unit_details[Property Name], INDIRECT("B"&amp;ROW()))</f>
        <v>0</v>
      </c>
      <c r="Q176" s="531" t="str" cm="1">
        <f t="array" aca="1" ref="Q17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6" s="552" t="str" cm="1">
        <f t="array" aca="1" ref="R17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6" s="526" cm="1">
        <f t="array" aca="1" ref="S176" ca="1">COUNTIFS(unit_details[Leased Date], "&gt;=" &amp; ($U$2 - Q$5),
          unit_details[Leased Date], "&lt;" &amp; $U$2,
          unit_details[Floorplan Name], INDIRECT("C"&amp;ROW()),
          unit_details[Property Name], INDIRECT("B"&amp;ROW()))</f>
        <v>0</v>
      </c>
      <c r="T176" s="531" t="str" cm="1">
        <f t="array" aca="1" ref="T17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6" s="552" t="str" cm="1">
        <f t="array" aca="1" ref="U17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6" s="526" cm="1">
        <f t="array" aca="1" ref="V176" ca="1">COUNTIFS(unit_details[Leased Date], "&gt;=" &amp; ($U$2 - T$5),
          unit_details[Leased Date], "&lt;" &amp; $U$2,
          unit_details[Floorplan Name], INDIRECT("C"&amp;ROW()),
          unit_details[Property Name], INDIRECT("B"&amp;ROW()))</f>
        <v>0</v>
      </c>
      <c r="W176" s="531" t="str" cm="1">
        <f t="array" aca="1" ref="W17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6" s="552" t="str" cm="1">
        <f t="array" aca="1" ref="X17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6" s="27" t="str">
        <f t="shared" ca="1" si="6"/>
        <v/>
      </c>
      <c r="Z176" s="4" t="str">
        <f>IFERROR($U$2-AVERAGEIFS(unit_details[First Listed],
          unit_details[Active Listing?],TRUE,
          unit_details[Property Name], $B176,
          unit_details[Beds], $D176,
          unit_details[Baths], $E176,
          unit_details[Partial Baths], IF(ISNUMBER($F176),$F176,""),
          unit_details[Floorplan Name],$C176
),"")</f>
        <v/>
      </c>
      <c r="AA176" s="262" cm="1">
        <f t="array" aca="1" ref="AA176" ca="1">COUNTIFS(unit_details[Active Listing?],TRUE,
          unit_details[Floorplan Name], INDIRECT("C"&amp;ROW()),
          unit_details[Property Name], INDIRECT("B"&amp;ROW()))</f>
        <v>0</v>
      </c>
      <c r="AB176" s="553"/>
      <c r="AC176" s="528" cm="1">
        <f t="array" aca="1" ref="AC176" ca="1">IFERROR(AVERAGEIFS(
  unit_details[Sqft],
  unit_details[Property Name], INDIRECT("B"&amp;ROW()),
  unit_details[Floorplan Name], INDIRECT("C"&amp;ROW()),
  unit_details[Beds], INDIRECT("D"&amp;ROW()),
  unit_details[Detected Unit Amenities], "*"&amp;$AD$3&amp;"*",
  unit_details[Leased Date], "&gt;=" &amp; ($U$2 - $AF$3)
),0)</f>
        <v>0</v>
      </c>
      <c r="AD176" s="527" cm="1">
        <f t="array" aca="1" ref="AD1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6" s="526" cm="1">
        <f t="array" aca="1" ref="AE176" ca="1">IFERROR(COUNTIFS(
  unit_details[Property Name], INDIRECT("B"&amp;ROW()),
  unit_details[Floorplan Name], INDIRECT("C"&amp;ROW()),
  unit_details[Beds], INDIRECT("D"&amp;ROW()),
  unit_details[Detected Unit Amenities], "*"&amp;$AD$3&amp;"*",
  unit_details[Leased Date], "&gt;=" &amp; ($U$2 - $AF$3)
),0)</f>
        <v>0</v>
      </c>
      <c r="AF176" s="528" cm="1">
        <f t="array" aca="1" ref="AF176" ca="1">IFERROR(AVERAGEIFS(
  unit_details[Sqft],
  unit_details[Property Name], INDIRECT("B"&amp;ROW()),
  unit_details[Floorplan Name], INDIRECT("C"&amp;ROW()),
  unit_details[Beds], INDIRECT("D"&amp;ROW()),
  unit_details[Detected Unit Amenities], "&lt;&gt;*"&amp;$AD$3&amp;"*",
  unit_details[Leased Date], "&gt;=" &amp; ($U$2 - $AF$3)
),0)</f>
        <v>0</v>
      </c>
      <c r="AG176" s="527" cm="1">
        <f t="array" aca="1" ref="AG1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6" s="526" cm="1">
        <f t="array" aca="1" ref="AH176" ca="1">IFERROR(COUNTIFS(
  unit_details[Property Name], INDIRECT("B"&amp;ROW()),
  unit_details[Floorplan Name], INDIRECT("C"&amp;ROW()),
  unit_details[Beds], INDIRECT("D"&amp;ROW()),
  unit_details[Detected Unit Amenities], "&lt;&gt;*"&amp;$AD$3&amp;"*",
  unit_details[Leased Date], "&gt;=" &amp; ($U$2 - $AF$3)
),0)</f>
        <v>0</v>
      </c>
      <c r="AI176" s="528"/>
      <c r="AJ176" s="531">
        <f t="shared" ca="1" si="7"/>
        <v>0</v>
      </c>
      <c r="AK176" s="532">
        <f t="shared" ca="1" si="8"/>
        <v>0</v>
      </c>
    </row>
    <row r="177" spans="2:37" x14ac:dyDescent="0.2">
      <c r="B177" s="566"/>
      <c r="C177" s="53"/>
      <c r="E177" s="262"/>
      <c r="F177" s="262"/>
      <c r="J177" s="293"/>
      <c r="K177" s="6"/>
      <c r="M177" s="6"/>
      <c r="N177" s="531" t="str" cm="1">
        <f t="array" aca="1" ref="N17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7" s="552" t="str" cm="1">
        <f t="array" aca="1" ref="O17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7" s="526" cm="1">
        <f t="array" aca="1" ref="P177" ca="1">COUNTIFS(unit_details[Leased Date], "&gt;=" &amp; ($U$2 - N$5),
          unit_details[Leased Date], "&lt;" &amp; $U$2,
          unit_details[Floorplan Name], INDIRECT("C"&amp;ROW()),
          unit_details[Property Name], INDIRECT("B"&amp;ROW()))</f>
        <v>0</v>
      </c>
      <c r="Q177" s="531" t="str" cm="1">
        <f t="array" aca="1" ref="Q17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7" s="552" t="str" cm="1">
        <f t="array" aca="1" ref="R17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7" s="526" cm="1">
        <f t="array" aca="1" ref="S177" ca="1">COUNTIFS(unit_details[Leased Date], "&gt;=" &amp; ($U$2 - Q$5),
          unit_details[Leased Date], "&lt;" &amp; $U$2,
          unit_details[Floorplan Name], INDIRECT("C"&amp;ROW()),
          unit_details[Property Name], INDIRECT("B"&amp;ROW()))</f>
        <v>0</v>
      </c>
      <c r="T177" s="531" t="str" cm="1">
        <f t="array" aca="1" ref="T17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7" s="552" t="str" cm="1">
        <f t="array" aca="1" ref="U17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7" s="526" cm="1">
        <f t="array" aca="1" ref="V177" ca="1">COUNTIFS(unit_details[Leased Date], "&gt;=" &amp; ($U$2 - T$5),
          unit_details[Leased Date], "&lt;" &amp; $U$2,
          unit_details[Floorplan Name], INDIRECT("C"&amp;ROW()),
          unit_details[Property Name], INDIRECT("B"&amp;ROW()))</f>
        <v>0</v>
      </c>
      <c r="W177" s="531" t="str" cm="1">
        <f t="array" aca="1" ref="W17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7" s="552" t="str" cm="1">
        <f t="array" aca="1" ref="X17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7" s="27" t="str">
        <f t="shared" ca="1" si="6"/>
        <v/>
      </c>
      <c r="Z177" s="4" t="str">
        <f>IFERROR($U$2-AVERAGEIFS(unit_details[First Listed],
          unit_details[Active Listing?],TRUE,
          unit_details[Property Name], $B177,
          unit_details[Beds], $D177,
          unit_details[Baths], $E177,
          unit_details[Partial Baths], IF(ISNUMBER($F177),$F177,""),
          unit_details[Floorplan Name],$C177
),"")</f>
        <v/>
      </c>
      <c r="AA177" s="262" cm="1">
        <f t="array" aca="1" ref="AA177" ca="1">COUNTIFS(unit_details[Active Listing?],TRUE,
          unit_details[Floorplan Name], INDIRECT("C"&amp;ROW()),
          unit_details[Property Name], INDIRECT("B"&amp;ROW()))</f>
        <v>0</v>
      </c>
      <c r="AB177" s="553"/>
      <c r="AC177" s="528" cm="1">
        <f t="array" aca="1" ref="AC177" ca="1">IFERROR(AVERAGEIFS(
  unit_details[Sqft],
  unit_details[Property Name], INDIRECT("B"&amp;ROW()),
  unit_details[Floorplan Name], INDIRECT("C"&amp;ROW()),
  unit_details[Beds], INDIRECT("D"&amp;ROW()),
  unit_details[Detected Unit Amenities], "*"&amp;$AD$3&amp;"*",
  unit_details[Leased Date], "&gt;=" &amp; ($U$2 - $AF$3)
),0)</f>
        <v>0</v>
      </c>
      <c r="AD177" s="527" cm="1">
        <f t="array" aca="1" ref="AD1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7" s="526" cm="1">
        <f t="array" aca="1" ref="AE177" ca="1">IFERROR(COUNTIFS(
  unit_details[Property Name], INDIRECT("B"&amp;ROW()),
  unit_details[Floorplan Name], INDIRECT("C"&amp;ROW()),
  unit_details[Beds], INDIRECT("D"&amp;ROW()),
  unit_details[Detected Unit Amenities], "*"&amp;$AD$3&amp;"*",
  unit_details[Leased Date], "&gt;=" &amp; ($U$2 - $AF$3)
),0)</f>
        <v>0</v>
      </c>
      <c r="AF177" s="528" cm="1">
        <f t="array" aca="1" ref="AF177" ca="1">IFERROR(AVERAGEIFS(
  unit_details[Sqft],
  unit_details[Property Name], INDIRECT("B"&amp;ROW()),
  unit_details[Floorplan Name], INDIRECT("C"&amp;ROW()),
  unit_details[Beds], INDIRECT("D"&amp;ROW()),
  unit_details[Detected Unit Amenities], "&lt;&gt;*"&amp;$AD$3&amp;"*",
  unit_details[Leased Date], "&gt;=" &amp; ($U$2 - $AF$3)
),0)</f>
        <v>0</v>
      </c>
      <c r="AG177" s="527" cm="1">
        <f t="array" aca="1" ref="AG1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7" s="526" cm="1">
        <f t="array" aca="1" ref="AH177" ca="1">IFERROR(COUNTIFS(
  unit_details[Property Name], INDIRECT("B"&amp;ROW()),
  unit_details[Floorplan Name], INDIRECT("C"&amp;ROW()),
  unit_details[Beds], INDIRECT("D"&amp;ROW()),
  unit_details[Detected Unit Amenities], "&lt;&gt;*"&amp;$AD$3&amp;"*",
  unit_details[Leased Date], "&gt;=" &amp; ($U$2 - $AF$3)
),0)</f>
        <v>0</v>
      </c>
      <c r="AI177" s="528"/>
      <c r="AJ177" s="531">
        <f t="shared" ca="1" si="7"/>
        <v>0</v>
      </c>
      <c r="AK177" s="532">
        <f t="shared" ca="1" si="8"/>
        <v>0</v>
      </c>
    </row>
    <row r="178" spans="2:37" x14ac:dyDescent="0.2">
      <c r="B178" s="566"/>
      <c r="C178" s="53"/>
      <c r="E178" s="262"/>
      <c r="F178" s="262"/>
      <c r="J178" s="293"/>
      <c r="K178" s="6"/>
      <c r="M178" s="6"/>
      <c r="N178" s="531" t="str" cm="1">
        <f t="array" aca="1" ref="N17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8" s="552" t="str" cm="1">
        <f t="array" aca="1" ref="O17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8" s="526" cm="1">
        <f t="array" aca="1" ref="P178" ca="1">COUNTIFS(unit_details[Leased Date], "&gt;=" &amp; ($U$2 - N$5),
          unit_details[Leased Date], "&lt;" &amp; $U$2,
          unit_details[Floorplan Name], INDIRECT("C"&amp;ROW()),
          unit_details[Property Name], INDIRECT("B"&amp;ROW()))</f>
        <v>0</v>
      </c>
      <c r="Q178" s="531" t="str" cm="1">
        <f t="array" aca="1" ref="Q17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8" s="552" t="str" cm="1">
        <f t="array" aca="1" ref="R17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8" s="526" cm="1">
        <f t="array" aca="1" ref="S178" ca="1">COUNTIFS(unit_details[Leased Date], "&gt;=" &amp; ($U$2 - Q$5),
          unit_details[Leased Date], "&lt;" &amp; $U$2,
          unit_details[Floorplan Name], INDIRECT("C"&amp;ROW()),
          unit_details[Property Name], INDIRECT("B"&amp;ROW()))</f>
        <v>0</v>
      </c>
      <c r="T178" s="531" t="str" cm="1">
        <f t="array" aca="1" ref="T17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8" s="552" t="str" cm="1">
        <f t="array" aca="1" ref="U17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8" s="526" cm="1">
        <f t="array" aca="1" ref="V178" ca="1">COUNTIFS(unit_details[Leased Date], "&gt;=" &amp; ($U$2 - T$5),
          unit_details[Leased Date], "&lt;" &amp; $U$2,
          unit_details[Floorplan Name], INDIRECT("C"&amp;ROW()),
          unit_details[Property Name], INDIRECT("B"&amp;ROW()))</f>
        <v>0</v>
      </c>
      <c r="W178" s="531" t="str" cm="1">
        <f t="array" aca="1" ref="W17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8" s="552" t="str" cm="1">
        <f t="array" aca="1" ref="X17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8" s="27" t="str">
        <f t="shared" ca="1" si="6"/>
        <v/>
      </c>
      <c r="Z178" s="4" t="str">
        <f>IFERROR($U$2-AVERAGEIFS(unit_details[First Listed],
          unit_details[Active Listing?],TRUE,
          unit_details[Property Name], $B178,
          unit_details[Beds], $D178,
          unit_details[Baths], $E178,
          unit_details[Partial Baths], IF(ISNUMBER($F178),$F178,""),
          unit_details[Floorplan Name],$C178
),"")</f>
        <v/>
      </c>
      <c r="AA178" s="262" cm="1">
        <f t="array" aca="1" ref="AA178" ca="1">COUNTIFS(unit_details[Active Listing?],TRUE,
          unit_details[Floorplan Name], INDIRECT("C"&amp;ROW()),
          unit_details[Property Name], INDIRECT("B"&amp;ROW()))</f>
        <v>0</v>
      </c>
      <c r="AB178" s="553"/>
      <c r="AC178" s="528" cm="1">
        <f t="array" aca="1" ref="AC178" ca="1">IFERROR(AVERAGEIFS(
  unit_details[Sqft],
  unit_details[Property Name], INDIRECT("B"&amp;ROW()),
  unit_details[Floorplan Name], INDIRECT("C"&amp;ROW()),
  unit_details[Beds], INDIRECT("D"&amp;ROW()),
  unit_details[Detected Unit Amenities], "*"&amp;$AD$3&amp;"*",
  unit_details[Leased Date], "&gt;=" &amp; ($U$2 - $AF$3)
),0)</f>
        <v>0</v>
      </c>
      <c r="AD178" s="527" cm="1">
        <f t="array" aca="1" ref="AD1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8" s="526" cm="1">
        <f t="array" aca="1" ref="AE178" ca="1">IFERROR(COUNTIFS(
  unit_details[Property Name], INDIRECT("B"&amp;ROW()),
  unit_details[Floorplan Name], INDIRECT("C"&amp;ROW()),
  unit_details[Beds], INDIRECT("D"&amp;ROW()),
  unit_details[Detected Unit Amenities], "*"&amp;$AD$3&amp;"*",
  unit_details[Leased Date], "&gt;=" &amp; ($U$2 - $AF$3)
),0)</f>
        <v>0</v>
      </c>
      <c r="AF178" s="528" cm="1">
        <f t="array" aca="1" ref="AF178" ca="1">IFERROR(AVERAGEIFS(
  unit_details[Sqft],
  unit_details[Property Name], INDIRECT("B"&amp;ROW()),
  unit_details[Floorplan Name], INDIRECT("C"&amp;ROW()),
  unit_details[Beds], INDIRECT("D"&amp;ROW()),
  unit_details[Detected Unit Amenities], "&lt;&gt;*"&amp;$AD$3&amp;"*",
  unit_details[Leased Date], "&gt;=" &amp; ($U$2 - $AF$3)
),0)</f>
        <v>0</v>
      </c>
      <c r="AG178" s="527" cm="1">
        <f t="array" aca="1" ref="AG1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8" s="526" cm="1">
        <f t="array" aca="1" ref="AH178" ca="1">IFERROR(COUNTIFS(
  unit_details[Property Name], INDIRECT("B"&amp;ROW()),
  unit_details[Floorplan Name], INDIRECT("C"&amp;ROW()),
  unit_details[Beds], INDIRECT("D"&amp;ROW()),
  unit_details[Detected Unit Amenities], "&lt;&gt;*"&amp;$AD$3&amp;"*",
  unit_details[Leased Date], "&gt;=" &amp; ($U$2 - $AF$3)
),0)</f>
        <v>0</v>
      </c>
      <c r="AI178" s="528"/>
      <c r="AJ178" s="531">
        <f t="shared" ca="1" si="7"/>
        <v>0</v>
      </c>
      <c r="AK178" s="532">
        <f t="shared" ca="1" si="8"/>
        <v>0</v>
      </c>
    </row>
    <row r="179" spans="2:37" x14ac:dyDescent="0.2">
      <c r="B179" s="566"/>
      <c r="C179" s="53"/>
      <c r="E179" s="262"/>
      <c r="F179" s="262"/>
      <c r="J179" s="293"/>
      <c r="K179" s="6"/>
      <c r="M179" s="6"/>
      <c r="N179" s="531" t="str" cm="1">
        <f t="array" aca="1" ref="N17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79" s="552" t="str" cm="1">
        <f t="array" aca="1" ref="O17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79" s="526" cm="1">
        <f t="array" aca="1" ref="P179" ca="1">COUNTIFS(unit_details[Leased Date], "&gt;=" &amp; ($U$2 - N$5),
          unit_details[Leased Date], "&lt;" &amp; $U$2,
          unit_details[Floorplan Name], INDIRECT("C"&amp;ROW()),
          unit_details[Property Name], INDIRECT("B"&amp;ROW()))</f>
        <v>0</v>
      </c>
      <c r="Q179" s="531" t="str" cm="1">
        <f t="array" aca="1" ref="Q17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79" s="552" t="str" cm="1">
        <f t="array" aca="1" ref="R17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79" s="526" cm="1">
        <f t="array" aca="1" ref="S179" ca="1">COUNTIFS(unit_details[Leased Date], "&gt;=" &amp; ($U$2 - Q$5),
          unit_details[Leased Date], "&lt;" &amp; $U$2,
          unit_details[Floorplan Name], INDIRECT("C"&amp;ROW()),
          unit_details[Property Name], INDIRECT("B"&amp;ROW()))</f>
        <v>0</v>
      </c>
      <c r="T179" s="531" t="str" cm="1">
        <f t="array" aca="1" ref="T17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79" s="552" t="str" cm="1">
        <f t="array" aca="1" ref="U17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79" s="526" cm="1">
        <f t="array" aca="1" ref="V179" ca="1">COUNTIFS(unit_details[Leased Date], "&gt;=" &amp; ($U$2 - T$5),
          unit_details[Leased Date], "&lt;" &amp; $U$2,
          unit_details[Floorplan Name], INDIRECT("C"&amp;ROW()),
          unit_details[Property Name], INDIRECT("B"&amp;ROW()))</f>
        <v>0</v>
      </c>
      <c r="W179" s="531" t="str" cm="1">
        <f t="array" aca="1" ref="W17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79" s="552" t="str" cm="1">
        <f t="array" aca="1" ref="X17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79" s="27" t="str">
        <f t="shared" ca="1" si="6"/>
        <v/>
      </c>
      <c r="Z179" s="4" t="str">
        <f>IFERROR($U$2-AVERAGEIFS(unit_details[First Listed],
          unit_details[Active Listing?],TRUE,
          unit_details[Property Name], $B179,
          unit_details[Beds], $D179,
          unit_details[Baths], $E179,
          unit_details[Partial Baths], IF(ISNUMBER($F179),$F179,""),
          unit_details[Floorplan Name],$C179
),"")</f>
        <v/>
      </c>
      <c r="AA179" s="262" cm="1">
        <f t="array" aca="1" ref="AA179" ca="1">COUNTIFS(unit_details[Active Listing?],TRUE,
          unit_details[Floorplan Name], INDIRECT("C"&amp;ROW()),
          unit_details[Property Name], INDIRECT("B"&amp;ROW()))</f>
        <v>0</v>
      </c>
      <c r="AB179" s="553"/>
      <c r="AC179" s="528" cm="1">
        <f t="array" aca="1" ref="AC179" ca="1">IFERROR(AVERAGEIFS(
  unit_details[Sqft],
  unit_details[Property Name], INDIRECT("B"&amp;ROW()),
  unit_details[Floorplan Name], INDIRECT("C"&amp;ROW()),
  unit_details[Beds], INDIRECT("D"&amp;ROW()),
  unit_details[Detected Unit Amenities], "*"&amp;$AD$3&amp;"*",
  unit_details[Leased Date], "&gt;=" &amp; ($U$2 - $AF$3)
),0)</f>
        <v>0</v>
      </c>
      <c r="AD179" s="527" cm="1">
        <f t="array" aca="1" ref="AD1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79" s="526" cm="1">
        <f t="array" aca="1" ref="AE179" ca="1">IFERROR(COUNTIFS(
  unit_details[Property Name], INDIRECT("B"&amp;ROW()),
  unit_details[Floorplan Name], INDIRECT("C"&amp;ROW()),
  unit_details[Beds], INDIRECT("D"&amp;ROW()),
  unit_details[Detected Unit Amenities], "*"&amp;$AD$3&amp;"*",
  unit_details[Leased Date], "&gt;=" &amp; ($U$2 - $AF$3)
),0)</f>
        <v>0</v>
      </c>
      <c r="AF179" s="528" cm="1">
        <f t="array" aca="1" ref="AF179" ca="1">IFERROR(AVERAGEIFS(
  unit_details[Sqft],
  unit_details[Property Name], INDIRECT("B"&amp;ROW()),
  unit_details[Floorplan Name], INDIRECT("C"&amp;ROW()),
  unit_details[Beds], INDIRECT("D"&amp;ROW()),
  unit_details[Detected Unit Amenities], "&lt;&gt;*"&amp;$AD$3&amp;"*",
  unit_details[Leased Date], "&gt;=" &amp; ($U$2 - $AF$3)
),0)</f>
        <v>0</v>
      </c>
      <c r="AG179" s="527" cm="1">
        <f t="array" aca="1" ref="AG1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79" s="526" cm="1">
        <f t="array" aca="1" ref="AH179" ca="1">IFERROR(COUNTIFS(
  unit_details[Property Name], INDIRECT("B"&amp;ROW()),
  unit_details[Floorplan Name], INDIRECT("C"&amp;ROW()),
  unit_details[Beds], INDIRECT("D"&amp;ROW()),
  unit_details[Detected Unit Amenities], "&lt;&gt;*"&amp;$AD$3&amp;"*",
  unit_details[Leased Date], "&gt;=" &amp; ($U$2 - $AF$3)
),0)</f>
        <v>0</v>
      </c>
      <c r="AI179" s="528"/>
      <c r="AJ179" s="531">
        <f t="shared" ca="1" si="7"/>
        <v>0</v>
      </c>
      <c r="AK179" s="532">
        <f t="shared" ca="1" si="8"/>
        <v>0</v>
      </c>
    </row>
    <row r="180" spans="2:37" x14ac:dyDescent="0.2">
      <c r="B180" s="566"/>
      <c r="C180" s="53"/>
      <c r="E180" s="262"/>
      <c r="F180" s="262"/>
      <c r="J180" s="293"/>
      <c r="K180" s="6"/>
      <c r="M180" s="6"/>
      <c r="N180" s="531" t="str" cm="1">
        <f t="array" aca="1" ref="N18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0" s="552" t="str" cm="1">
        <f t="array" aca="1" ref="O18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0" s="526" cm="1">
        <f t="array" aca="1" ref="P180" ca="1">COUNTIFS(unit_details[Leased Date], "&gt;=" &amp; ($U$2 - N$5),
          unit_details[Leased Date], "&lt;" &amp; $U$2,
          unit_details[Floorplan Name], INDIRECT("C"&amp;ROW()),
          unit_details[Property Name], INDIRECT("B"&amp;ROW()))</f>
        <v>0</v>
      </c>
      <c r="Q180" s="531" t="str" cm="1">
        <f t="array" aca="1" ref="Q18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0" s="552" t="str" cm="1">
        <f t="array" aca="1" ref="R18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0" s="526" cm="1">
        <f t="array" aca="1" ref="S180" ca="1">COUNTIFS(unit_details[Leased Date], "&gt;=" &amp; ($U$2 - Q$5),
          unit_details[Leased Date], "&lt;" &amp; $U$2,
          unit_details[Floorplan Name], INDIRECT("C"&amp;ROW()),
          unit_details[Property Name], INDIRECT("B"&amp;ROW()))</f>
        <v>0</v>
      </c>
      <c r="T180" s="531" t="str" cm="1">
        <f t="array" aca="1" ref="T18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0" s="552" t="str" cm="1">
        <f t="array" aca="1" ref="U18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0" s="526" cm="1">
        <f t="array" aca="1" ref="V180" ca="1">COUNTIFS(unit_details[Leased Date], "&gt;=" &amp; ($U$2 - T$5),
          unit_details[Leased Date], "&lt;" &amp; $U$2,
          unit_details[Floorplan Name], INDIRECT("C"&amp;ROW()),
          unit_details[Property Name], INDIRECT("B"&amp;ROW()))</f>
        <v>0</v>
      </c>
      <c r="W180" s="531" t="str" cm="1">
        <f t="array" aca="1" ref="W18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0" s="552" t="str" cm="1">
        <f t="array" aca="1" ref="X18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0" s="27" t="str">
        <f t="shared" ca="1" si="6"/>
        <v/>
      </c>
      <c r="Z180" s="4" t="str">
        <f>IFERROR($U$2-AVERAGEIFS(unit_details[First Listed],
          unit_details[Active Listing?],TRUE,
          unit_details[Property Name], $B180,
          unit_details[Beds], $D180,
          unit_details[Baths], $E180,
          unit_details[Partial Baths], IF(ISNUMBER($F180),$F180,""),
          unit_details[Floorplan Name],$C180
),"")</f>
        <v/>
      </c>
      <c r="AA180" s="262" cm="1">
        <f t="array" aca="1" ref="AA180" ca="1">COUNTIFS(unit_details[Active Listing?],TRUE,
          unit_details[Floorplan Name], INDIRECT("C"&amp;ROW()),
          unit_details[Property Name], INDIRECT("B"&amp;ROW()))</f>
        <v>0</v>
      </c>
      <c r="AB180" s="553"/>
      <c r="AC180" s="528" cm="1">
        <f t="array" aca="1" ref="AC180" ca="1">IFERROR(AVERAGEIFS(
  unit_details[Sqft],
  unit_details[Property Name], INDIRECT("B"&amp;ROW()),
  unit_details[Floorplan Name], INDIRECT("C"&amp;ROW()),
  unit_details[Beds], INDIRECT("D"&amp;ROW()),
  unit_details[Detected Unit Amenities], "*"&amp;$AD$3&amp;"*",
  unit_details[Leased Date], "&gt;=" &amp; ($U$2 - $AF$3)
),0)</f>
        <v>0</v>
      </c>
      <c r="AD180" s="527" cm="1">
        <f t="array" aca="1" ref="AD1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0" s="526" cm="1">
        <f t="array" aca="1" ref="AE180" ca="1">IFERROR(COUNTIFS(
  unit_details[Property Name], INDIRECT("B"&amp;ROW()),
  unit_details[Floorplan Name], INDIRECT("C"&amp;ROW()),
  unit_details[Beds], INDIRECT("D"&amp;ROW()),
  unit_details[Detected Unit Amenities], "*"&amp;$AD$3&amp;"*",
  unit_details[Leased Date], "&gt;=" &amp; ($U$2 - $AF$3)
),0)</f>
        <v>0</v>
      </c>
      <c r="AF180" s="528" cm="1">
        <f t="array" aca="1" ref="AF180" ca="1">IFERROR(AVERAGEIFS(
  unit_details[Sqft],
  unit_details[Property Name], INDIRECT("B"&amp;ROW()),
  unit_details[Floorplan Name], INDIRECT("C"&amp;ROW()),
  unit_details[Beds], INDIRECT("D"&amp;ROW()),
  unit_details[Detected Unit Amenities], "&lt;&gt;*"&amp;$AD$3&amp;"*",
  unit_details[Leased Date], "&gt;=" &amp; ($U$2 - $AF$3)
),0)</f>
        <v>0</v>
      </c>
      <c r="AG180" s="527" cm="1">
        <f t="array" aca="1" ref="AG1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0" s="526" cm="1">
        <f t="array" aca="1" ref="AH180" ca="1">IFERROR(COUNTIFS(
  unit_details[Property Name], INDIRECT("B"&amp;ROW()),
  unit_details[Floorplan Name], INDIRECT("C"&amp;ROW()),
  unit_details[Beds], INDIRECT("D"&amp;ROW()),
  unit_details[Detected Unit Amenities], "&lt;&gt;*"&amp;$AD$3&amp;"*",
  unit_details[Leased Date], "&gt;=" &amp; ($U$2 - $AF$3)
),0)</f>
        <v>0</v>
      </c>
      <c r="AI180" s="528"/>
      <c r="AJ180" s="531">
        <f t="shared" ca="1" si="7"/>
        <v>0</v>
      </c>
      <c r="AK180" s="532">
        <f t="shared" ca="1" si="8"/>
        <v>0</v>
      </c>
    </row>
    <row r="181" spans="2:37" x14ac:dyDescent="0.2">
      <c r="B181" s="566"/>
      <c r="C181" s="53"/>
      <c r="E181" s="262"/>
      <c r="F181" s="262"/>
      <c r="J181" s="293"/>
      <c r="K181" s="6"/>
      <c r="M181" s="6"/>
      <c r="N181" s="531" t="str" cm="1">
        <f t="array" aca="1" ref="N18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1" s="552" t="str" cm="1">
        <f t="array" aca="1" ref="O18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1" s="526" cm="1">
        <f t="array" aca="1" ref="P181" ca="1">COUNTIFS(unit_details[Leased Date], "&gt;=" &amp; ($U$2 - N$5),
          unit_details[Leased Date], "&lt;" &amp; $U$2,
          unit_details[Floorplan Name], INDIRECT("C"&amp;ROW()),
          unit_details[Property Name], INDIRECT("B"&amp;ROW()))</f>
        <v>0</v>
      </c>
      <c r="Q181" s="531" t="str" cm="1">
        <f t="array" aca="1" ref="Q18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1" s="552" t="str" cm="1">
        <f t="array" aca="1" ref="R18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1" s="526" cm="1">
        <f t="array" aca="1" ref="S181" ca="1">COUNTIFS(unit_details[Leased Date], "&gt;=" &amp; ($U$2 - Q$5),
          unit_details[Leased Date], "&lt;" &amp; $U$2,
          unit_details[Floorplan Name], INDIRECT("C"&amp;ROW()),
          unit_details[Property Name], INDIRECT("B"&amp;ROW()))</f>
        <v>0</v>
      </c>
      <c r="T181" s="531" t="str" cm="1">
        <f t="array" aca="1" ref="T18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1" s="552" t="str" cm="1">
        <f t="array" aca="1" ref="U18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1" s="526" cm="1">
        <f t="array" aca="1" ref="V181" ca="1">COUNTIFS(unit_details[Leased Date], "&gt;=" &amp; ($U$2 - T$5),
          unit_details[Leased Date], "&lt;" &amp; $U$2,
          unit_details[Floorplan Name], INDIRECT("C"&amp;ROW()),
          unit_details[Property Name], INDIRECT("B"&amp;ROW()))</f>
        <v>0</v>
      </c>
      <c r="W181" s="531" t="str" cm="1">
        <f t="array" aca="1" ref="W18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1" s="552" t="str" cm="1">
        <f t="array" aca="1" ref="X18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1" s="27" t="str">
        <f t="shared" ca="1" si="6"/>
        <v/>
      </c>
      <c r="Z181" s="4" t="str">
        <f>IFERROR($U$2-AVERAGEIFS(unit_details[First Listed],
          unit_details[Active Listing?],TRUE,
          unit_details[Property Name], $B181,
          unit_details[Beds], $D181,
          unit_details[Baths], $E181,
          unit_details[Partial Baths], IF(ISNUMBER($F181),$F181,""),
          unit_details[Floorplan Name],$C181
),"")</f>
        <v/>
      </c>
      <c r="AA181" s="262" cm="1">
        <f t="array" aca="1" ref="AA181" ca="1">COUNTIFS(unit_details[Active Listing?],TRUE,
          unit_details[Floorplan Name], INDIRECT("C"&amp;ROW()),
          unit_details[Property Name], INDIRECT("B"&amp;ROW()))</f>
        <v>0</v>
      </c>
      <c r="AB181" s="553"/>
      <c r="AC181" s="528" cm="1">
        <f t="array" aca="1" ref="AC181" ca="1">IFERROR(AVERAGEIFS(
  unit_details[Sqft],
  unit_details[Property Name], INDIRECT("B"&amp;ROW()),
  unit_details[Floorplan Name], INDIRECT("C"&amp;ROW()),
  unit_details[Beds], INDIRECT("D"&amp;ROW()),
  unit_details[Detected Unit Amenities], "*"&amp;$AD$3&amp;"*",
  unit_details[Leased Date], "&gt;=" &amp; ($U$2 - $AF$3)
),0)</f>
        <v>0</v>
      </c>
      <c r="AD181" s="527" cm="1">
        <f t="array" aca="1" ref="AD1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1" s="526" cm="1">
        <f t="array" aca="1" ref="AE181" ca="1">IFERROR(COUNTIFS(
  unit_details[Property Name], INDIRECT("B"&amp;ROW()),
  unit_details[Floorplan Name], INDIRECT("C"&amp;ROW()),
  unit_details[Beds], INDIRECT("D"&amp;ROW()),
  unit_details[Detected Unit Amenities], "*"&amp;$AD$3&amp;"*",
  unit_details[Leased Date], "&gt;=" &amp; ($U$2 - $AF$3)
),0)</f>
        <v>0</v>
      </c>
      <c r="AF181" s="528" cm="1">
        <f t="array" aca="1" ref="AF181" ca="1">IFERROR(AVERAGEIFS(
  unit_details[Sqft],
  unit_details[Property Name], INDIRECT("B"&amp;ROW()),
  unit_details[Floorplan Name], INDIRECT("C"&amp;ROW()),
  unit_details[Beds], INDIRECT("D"&amp;ROW()),
  unit_details[Detected Unit Amenities], "&lt;&gt;*"&amp;$AD$3&amp;"*",
  unit_details[Leased Date], "&gt;=" &amp; ($U$2 - $AF$3)
),0)</f>
        <v>0</v>
      </c>
      <c r="AG181" s="527" cm="1">
        <f t="array" aca="1" ref="AG1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1" s="526" cm="1">
        <f t="array" aca="1" ref="AH181" ca="1">IFERROR(COUNTIFS(
  unit_details[Property Name], INDIRECT("B"&amp;ROW()),
  unit_details[Floorplan Name], INDIRECT("C"&amp;ROW()),
  unit_details[Beds], INDIRECT("D"&amp;ROW()),
  unit_details[Detected Unit Amenities], "&lt;&gt;*"&amp;$AD$3&amp;"*",
  unit_details[Leased Date], "&gt;=" &amp; ($U$2 - $AF$3)
),0)</f>
        <v>0</v>
      </c>
      <c r="AI181" s="528"/>
      <c r="AJ181" s="531">
        <f t="shared" ca="1" si="7"/>
        <v>0</v>
      </c>
      <c r="AK181" s="532">
        <f t="shared" ca="1" si="8"/>
        <v>0</v>
      </c>
    </row>
    <row r="182" spans="2:37" x14ac:dyDescent="0.2">
      <c r="B182" s="566"/>
      <c r="C182" s="53"/>
      <c r="E182" s="262"/>
      <c r="F182" s="262"/>
      <c r="J182" s="293"/>
      <c r="K182" s="6"/>
      <c r="M182" s="6"/>
      <c r="N182" s="531" t="str" cm="1">
        <f t="array" aca="1" ref="N18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2" s="552" t="str" cm="1">
        <f t="array" aca="1" ref="O18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2" s="526" cm="1">
        <f t="array" aca="1" ref="P182" ca="1">COUNTIFS(unit_details[Leased Date], "&gt;=" &amp; ($U$2 - N$5),
          unit_details[Leased Date], "&lt;" &amp; $U$2,
          unit_details[Floorplan Name], INDIRECT("C"&amp;ROW()),
          unit_details[Property Name], INDIRECT("B"&amp;ROW()))</f>
        <v>0</v>
      </c>
      <c r="Q182" s="531" t="str" cm="1">
        <f t="array" aca="1" ref="Q18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2" s="552" t="str" cm="1">
        <f t="array" aca="1" ref="R18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2" s="526" cm="1">
        <f t="array" aca="1" ref="S182" ca="1">COUNTIFS(unit_details[Leased Date], "&gt;=" &amp; ($U$2 - Q$5),
          unit_details[Leased Date], "&lt;" &amp; $U$2,
          unit_details[Floorplan Name], INDIRECT("C"&amp;ROW()),
          unit_details[Property Name], INDIRECT("B"&amp;ROW()))</f>
        <v>0</v>
      </c>
      <c r="T182" s="531" t="str" cm="1">
        <f t="array" aca="1" ref="T18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2" s="552" t="str" cm="1">
        <f t="array" aca="1" ref="U18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2" s="526" cm="1">
        <f t="array" aca="1" ref="V182" ca="1">COUNTIFS(unit_details[Leased Date], "&gt;=" &amp; ($U$2 - T$5),
          unit_details[Leased Date], "&lt;" &amp; $U$2,
          unit_details[Floorplan Name], INDIRECT("C"&amp;ROW()),
          unit_details[Property Name], INDIRECT("B"&amp;ROW()))</f>
        <v>0</v>
      </c>
      <c r="W182" s="531" t="str" cm="1">
        <f t="array" aca="1" ref="W18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2" s="552" t="str" cm="1">
        <f t="array" aca="1" ref="X18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2" s="27" t="str">
        <f t="shared" ca="1" si="6"/>
        <v/>
      </c>
      <c r="Z182" s="4" t="str">
        <f>IFERROR($U$2-AVERAGEIFS(unit_details[First Listed],
          unit_details[Active Listing?],TRUE,
          unit_details[Property Name], $B182,
          unit_details[Beds], $D182,
          unit_details[Baths], $E182,
          unit_details[Partial Baths], IF(ISNUMBER($F182),$F182,""),
          unit_details[Floorplan Name],$C182
),"")</f>
        <v/>
      </c>
      <c r="AA182" s="262" cm="1">
        <f t="array" aca="1" ref="AA182" ca="1">COUNTIFS(unit_details[Active Listing?],TRUE,
          unit_details[Floorplan Name], INDIRECT("C"&amp;ROW()),
          unit_details[Property Name], INDIRECT("B"&amp;ROW()))</f>
        <v>0</v>
      </c>
      <c r="AB182" s="553"/>
      <c r="AC182" s="528" cm="1">
        <f t="array" aca="1" ref="AC182" ca="1">IFERROR(AVERAGEIFS(
  unit_details[Sqft],
  unit_details[Property Name], INDIRECT("B"&amp;ROW()),
  unit_details[Floorplan Name], INDIRECT("C"&amp;ROW()),
  unit_details[Beds], INDIRECT("D"&amp;ROW()),
  unit_details[Detected Unit Amenities], "*"&amp;$AD$3&amp;"*",
  unit_details[Leased Date], "&gt;=" &amp; ($U$2 - $AF$3)
),0)</f>
        <v>0</v>
      </c>
      <c r="AD182" s="527" cm="1">
        <f t="array" aca="1" ref="AD1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2" s="526" cm="1">
        <f t="array" aca="1" ref="AE182" ca="1">IFERROR(COUNTIFS(
  unit_details[Property Name], INDIRECT("B"&amp;ROW()),
  unit_details[Floorplan Name], INDIRECT("C"&amp;ROW()),
  unit_details[Beds], INDIRECT("D"&amp;ROW()),
  unit_details[Detected Unit Amenities], "*"&amp;$AD$3&amp;"*",
  unit_details[Leased Date], "&gt;=" &amp; ($U$2 - $AF$3)
),0)</f>
        <v>0</v>
      </c>
      <c r="AF182" s="528" cm="1">
        <f t="array" aca="1" ref="AF182" ca="1">IFERROR(AVERAGEIFS(
  unit_details[Sqft],
  unit_details[Property Name], INDIRECT("B"&amp;ROW()),
  unit_details[Floorplan Name], INDIRECT("C"&amp;ROW()),
  unit_details[Beds], INDIRECT("D"&amp;ROW()),
  unit_details[Detected Unit Amenities], "&lt;&gt;*"&amp;$AD$3&amp;"*",
  unit_details[Leased Date], "&gt;=" &amp; ($U$2 - $AF$3)
),0)</f>
        <v>0</v>
      </c>
      <c r="AG182" s="527" cm="1">
        <f t="array" aca="1" ref="AG1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2" s="526" cm="1">
        <f t="array" aca="1" ref="AH182" ca="1">IFERROR(COUNTIFS(
  unit_details[Property Name], INDIRECT("B"&amp;ROW()),
  unit_details[Floorplan Name], INDIRECT("C"&amp;ROW()),
  unit_details[Beds], INDIRECT("D"&amp;ROW()),
  unit_details[Detected Unit Amenities], "&lt;&gt;*"&amp;$AD$3&amp;"*",
  unit_details[Leased Date], "&gt;=" &amp; ($U$2 - $AF$3)
),0)</f>
        <v>0</v>
      </c>
      <c r="AI182" s="528"/>
      <c r="AJ182" s="531">
        <f t="shared" ca="1" si="7"/>
        <v>0</v>
      </c>
      <c r="AK182" s="532">
        <f t="shared" ca="1" si="8"/>
        <v>0</v>
      </c>
    </row>
    <row r="183" spans="2:37" x14ac:dyDescent="0.2">
      <c r="B183" s="566"/>
      <c r="C183" s="53"/>
      <c r="E183" s="262"/>
      <c r="F183" s="262"/>
      <c r="J183" s="293"/>
      <c r="K183" s="6"/>
      <c r="M183" s="6"/>
      <c r="N183" s="531" t="str" cm="1">
        <f t="array" aca="1" ref="N18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3" s="552" t="str" cm="1">
        <f t="array" aca="1" ref="O18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3" s="526" cm="1">
        <f t="array" aca="1" ref="P183" ca="1">COUNTIFS(unit_details[Leased Date], "&gt;=" &amp; ($U$2 - N$5),
          unit_details[Leased Date], "&lt;" &amp; $U$2,
          unit_details[Floorplan Name], INDIRECT("C"&amp;ROW()),
          unit_details[Property Name], INDIRECT("B"&amp;ROW()))</f>
        <v>0</v>
      </c>
      <c r="Q183" s="531" t="str" cm="1">
        <f t="array" aca="1" ref="Q18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3" s="552" t="str" cm="1">
        <f t="array" aca="1" ref="R18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3" s="526" cm="1">
        <f t="array" aca="1" ref="S183" ca="1">COUNTIFS(unit_details[Leased Date], "&gt;=" &amp; ($U$2 - Q$5),
          unit_details[Leased Date], "&lt;" &amp; $U$2,
          unit_details[Floorplan Name], INDIRECT("C"&amp;ROW()),
          unit_details[Property Name], INDIRECT("B"&amp;ROW()))</f>
        <v>0</v>
      </c>
      <c r="T183" s="531" t="str" cm="1">
        <f t="array" aca="1" ref="T18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3" s="552" t="str" cm="1">
        <f t="array" aca="1" ref="U18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3" s="526" cm="1">
        <f t="array" aca="1" ref="V183" ca="1">COUNTIFS(unit_details[Leased Date], "&gt;=" &amp; ($U$2 - T$5),
          unit_details[Leased Date], "&lt;" &amp; $U$2,
          unit_details[Floorplan Name], INDIRECT("C"&amp;ROW()),
          unit_details[Property Name], INDIRECT("B"&amp;ROW()))</f>
        <v>0</v>
      </c>
      <c r="W183" s="531" t="str" cm="1">
        <f t="array" aca="1" ref="W18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3" s="552" t="str" cm="1">
        <f t="array" aca="1" ref="X18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3" s="27" t="str">
        <f t="shared" ca="1" si="6"/>
        <v/>
      </c>
      <c r="Z183" s="4" t="str">
        <f>IFERROR($U$2-AVERAGEIFS(unit_details[First Listed],
          unit_details[Active Listing?],TRUE,
          unit_details[Property Name], $B183,
          unit_details[Beds], $D183,
          unit_details[Baths], $E183,
          unit_details[Partial Baths], IF(ISNUMBER($F183),$F183,""),
          unit_details[Floorplan Name],$C183
),"")</f>
        <v/>
      </c>
      <c r="AA183" s="262" cm="1">
        <f t="array" aca="1" ref="AA183" ca="1">COUNTIFS(unit_details[Active Listing?],TRUE,
          unit_details[Floorplan Name], INDIRECT("C"&amp;ROW()),
          unit_details[Property Name], INDIRECT("B"&amp;ROW()))</f>
        <v>0</v>
      </c>
      <c r="AB183" s="553"/>
      <c r="AC183" s="528" cm="1">
        <f t="array" aca="1" ref="AC183" ca="1">IFERROR(AVERAGEIFS(
  unit_details[Sqft],
  unit_details[Property Name], INDIRECT("B"&amp;ROW()),
  unit_details[Floorplan Name], INDIRECT("C"&amp;ROW()),
  unit_details[Beds], INDIRECT("D"&amp;ROW()),
  unit_details[Detected Unit Amenities], "*"&amp;$AD$3&amp;"*",
  unit_details[Leased Date], "&gt;=" &amp; ($U$2 - $AF$3)
),0)</f>
        <v>0</v>
      </c>
      <c r="AD183" s="527" cm="1">
        <f t="array" aca="1" ref="AD1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3" s="526" cm="1">
        <f t="array" aca="1" ref="AE183" ca="1">IFERROR(COUNTIFS(
  unit_details[Property Name], INDIRECT("B"&amp;ROW()),
  unit_details[Floorplan Name], INDIRECT("C"&amp;ROW()),
  unit_details[Beds], INDIRECT("D"&amp;ROW()),
  unit_details[Detected Unit Amenities], "*"&amp;$AD$3&amp;"*",
  unit_details[Leased Date], "&gt;=" &amp; ($U$2 - $AF$3)
),0)</f>
        <v>0</v>
      </c>
      <c r="AF183" s="528" cm="1">
        <f t="array" aca="1" ref="AF183" ca="1">IFERROR(AVERAGEIFS(
  unit_details[Sqft],
  unit_details[Property Name], INDIRECT("B"&amp;ROW()),
  unit_details[Floorplan Name], INDIRECT("C"&amp;ROW()),
  unit_details[Beds], INDIRECT("D"&amp;ROW()),
  unit_details[Detected Unit Amenities], "&lt;&gt;*"&amp;$AD$3&amp;"*",
  unit_details[Leased Date], "&gt;=" &amp; ($U$2 - $AF$3)
),0)</f>
        <v>0</v>
      </c>
      <c r="AG183" s="527" cm="1">
        <f t="array" aca="1" ref="AG1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3" s="526" cm="1">
        <f t="array" aca="1" ref="AH183" ca="1">IFERROR(COUNTIFS(
  unit_details[Property Name], INDIRECT("B"&amp;ROW()),
  unit_details[Floorplan Name], INDIRECT("C"&amp;ROW()),
  unit_details[Beds], INDIRECT("D"&amp;ROW()),
  unit_details[Detected Unit Amenities], "&lt;&gt;*"&amp;$AD$3&amp;"*",
  unit_details[Leased Date], "&gt;=" &amp; ($U$2 - $AF$3)
),0)</f>
        <v>0</v>
      </c>
      <c r="AI183" s="528"/>
      <c r="AJ183" s="531">
        <f t="shared" ca="1" si="7"/>
        <v>0</v>
      </c>
      <c r="AK183" s="532">
        <f t="shared" ca="1" si="8"/>
        <v>0</v>
      </c>
    </row>
    <row r="184" spans="2:37" x14ac:dyDescent="0.2">
      <c r="B184" s="566"/>
      <c r="C184" s="53"/>
      <c r="E184" s="262"/>
      <c r="F184" s="262"/>
      <c r="J184" s="293"/>
      <c r="K184" s="6"/>
      <c r="M184" s="6"/>
      <c r="N184" s="531" t="str" cm="1">
        <f t="array" aca="1" ref="N18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4" s="552" t="str" cm="1">
        <f t="array" aca="1" ref="O18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4" s="526" cm="1">
        <f t="array" aca="1" ref="P184" ca="1">COUNTIFS(unit_details[Leased Date], "&gt;=" &amp; ($U$2 - N$5),
          unit_details[Leased Date], "&lt;" &amp; $U$2,
          unit_details[Floorplan Name], INDIRECT("C"&amp;ROW()),
          unit_details[Property Name], INDIRECT("B"&amp;ROW()))</f>
        <v>0</v>
      </c>
      <c r="Q184" s="531" t="str" cm="1">
        <f t="array" aca="1" ref="Q18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4" s="552" t="str" cm="1">
        <f t="array" aca="1" ref="R18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4" s="526" cm="1">
        <f t="array" aca="1" ref="S184" ca="1">COUNTIFS(unit_details[Leased Date], "&gt;=" &amp; ($U$2 - Q$5),
          unit_details[Leased Date], "&lt;" &amp; $U$2,
          unit_details[Floorplan Name], INDIRECT("C"&amp;ROW()),
          unit_details[Property Name], INDIRECT("B"&amp;ROW()))</f>
        <v>0</v>
      </c>
      <c r="T184" s="531" t="str" cm="1">
        <f t="array" aca="1" ref="T18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4" s="552" t="str" cm="1">
        <f t="array" aca="1" ref="U18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4" s="526" cm="1">
        <f t="array" aca="1" ref="V184" ca="1">COUNTIFS(unit_details[Leased Date], "&gt;=" &amp; ($U$2 - T$5),
          unit_details[Leased Date], "&lt;" &amp; $U$2,
          unit_details[Floorplan Name], INDIRECT("C"&amp;ROW()),
          unit_details[Property Name], INDIRECT("B"&amp;ROW()))</f>
        <v>0</v>
      </c>
      <c r="W184" s="531" t="str" cm="1">
        <f t="array" aca="1" ref="W18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4" s="552" t="str" cm="1">
        <f t="array" aca="1" ref="X18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4" s="27" t="str">
        <f t="shared" ca="1" si="6"/>
        <v/>
      </c>
      <c r="Z184" s="4" t="str">
        <f>IFERROR($U$2-AVERAGEIFS(unit_details[First Listed],
          unit_details[Active Listing?],TRUE,
          unit_details[Property Name], $B184,
          unit_details[Beds], $D184,
          unit_details[Baths], $E184,
          unit_details[Partial Baths], IF(ISNUMBER($F184),$F184,""),
          unit_details[Floorplan Name],$C184
),"")</f>
        <v/>
      </c>
      <c r="AA184" s="262" cm="1">
        <f t="array" aca="1" ref="AA184" ca="1">COUNTIFS(unit_details[Active Listing?],TRUE,
          unit_details[Floorplan Name], INDIRECT("C"&amp;ROW()),
          unit_details[Property Name], INDIRECT("B"&amp;ROW()))</f>
        <v>0</v>
      </c>
      <c r="AB184" s="553"/>
      <c r="AC184" s="528" cm="1">
        <f t="array" aca="1" ref="AC184" ca="1">IFERROR(AVERAGEIFS(
  unit_details[Sqft],
  unit_details[Property Name], INDIRECT("B"&amp;ROW()),
  unit_details[Floorplan Name], INDIRECT("C"&amp;ROW()),
  unit_details[Beds], INDIRECT("D"&amp;ROW()),
  unit_details[Detected Unit Amenities], "*"&amp;$AD$3&amp;"*",
  unit_details[Leased Date], "&gt;=" &amp; ($U$2 - $AF$3)
),0)</f>
        <v>0</v>
      </c>
      <c r="AD184" s="527" cm="1">
        <f t="array" aca="1" ref="AD1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4" s="526" cm="1">
        <f t="array" aca="1" ref="AE184" ca="1">IFERROR(COUNTIFS(
  unit_details[Property Name], INDIRECT("B"&amp;ROW()),
  unit_details[Floorplan Name], INDIRECT("C"&amp;ROW()),
  unit_details[Beds], INDIRECT("D"&amp;ROW()),
  unit_details[Detected Unit Amenities], "*"&amp;$AD$3&amp;"*",
  unit_details[Leased Date], "&gt;=" &amp; ($U$2 - $AF$3)
),0)</f>
        <v>0</v>
      </c>
      <c r="AF184" s="528" cm="1">
        <f t="array" aca="1" ref="AF184" ca="1">IFERROR(AVERAGEIFS(
  unit_details[Sqft],
  unit_details[Property Name], INDIRECT("B"&amp;ROW()),
  unit_details[Floorplan Name], INDIRECT("C"&amp;ROW()),
  unit_details[Beds], INDIRECT("D"&amp;ROW()),
  unit_details[Detected Unit Amenities], "&lt;&gt;*"&amp;$AD$3&amp;"*",
  unit_details[Leased Date], "&gt;=" &amp; ($U$2 - $AF$3)
),0)</f>
        <v>0</v>
      </c>
      <c r="AG184" s="527" cm="1">
        <f t="array" aca="1" ref="AG1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4" s="526" cm="1">
        <f t="array" aca="1" ref="AH184" ca="1">IFERROR(COUNTIFS(
  unit_details[Property Name], INDIRECT("B"&amp;ROW()),
  unit_details[Floorplan Name], INDIRECT("C"&amp;ROW()),
  unit_details[Beds], INDIRECT("D"&amp;ROW()),
  unit_details[Detected Unit Amenities], "&lt;&gt;*"&amp;$AD$3&amp;"*",
  unit_details[Leased Date], "&gt;=" &amp; ($U$2 - $AF$3)
),0)</f>
        <v>0</v>
      </c>
      <c r="AI184" s="528"/>
      <c r="AJ184" s="531">
        <f t="shared" ca="1" si="7"/>
        <v>0</v>
      </c>
      <c r="AK184" s="532">
        <f t="shared" ca="1" si="8"/>
        <v>0</v>
      </c>
    </row>
    <row r="185" spans="2:37" x14ac:dyDescent="0.2">
      <c r="B185" s="566"/>
      <c r="C185" s="53"/>
      <c r="E185" s="262"/>
      <c r="F185" s="262"/>
      <c r="J185" s="293"/>
      <c r="K185" s="6"/>
      <c r="M185" s="6"/>
      <c r="N185" s="531" t="str" cm="1">
        <f t="array" aca="1" ref="N18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5" s="552" t="str" cm="1">
        <f t="array" aca="1" ref="O18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5" s="526" cm="1">
        <f t="array" aca="1" ref="P185" ca="1">COUNTIFS(unit_details[Leased Date], "&gt;=" &amp; ($U$2 - N$5),
          unit_details[Leased Date], "&lt;" &amp; $U$2,
          unit_details[Floorplan Name], INDIRECT("C"&amp;ROW()),
          unit_details[Property Name], INDIRECT("B"&amp;ROW()))</f>
        <v>0</v>
      </c>
      <c r="Q185" s="531" t="str" cm="1">
        <f t="array" aca="1" ref="Q18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5" s="552" t="str" cm="1">
        <f t="array" aca="1" ref="R18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5" s="526" cm="1">
        <f t="array" aca="1" ref="S185" ca="1">COUNTIFS(unit_details[Leased Date], "&gt;=" &amp; ($U$2 - Q$5),
          unit_details[Leased Date], "&lt;" &amp; $U$2,
          unit_details[Floorplan Name], INDIRECT("C"&amp;ROW()),
          unit_details[Property Name], INDIRECT("B"&amp;ROW()))</f>
        <v>0</v>
      </c>
      <c r="T185" s="531" t="str" cm="1">
        <f t="array" aca="1" ref="T18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5" s="552" t="str" cm="1">
        <f t="array" aca="1" ref="U18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5" s="526" cm="1">
        <f t="array" aca="1" ref="V185" ca="1">COUNTIFS(unit_details[Leased Date], "&gt;=" &amp; ($U$2 - T$5),
          unit_details[Leased Date], "&lt;" &amp; $U$2,
          unit_details[Floorplan Name], INDIRECT("C"&amp;ROW()),
          unit_details[Property Name], INDIRECT("B"&amp;ROW()))</f>
        <v>0</v>
      </c>
      <c r="W185" s="531" t="str" cm="1">
        <f t="array" aca="1" ref="W18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5" s="552" t="str" cm="1">
        <f t="array" aca="1" ref="X18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5" s="27" t="str">
        <f t="shared" ca="1" si="6"/>
        <v/>
      </c>
      <c r="Z185" s="4" t="str">
        <f>IFERROR($U$2-AVERAGEIFS(unit_details[First Listed],
          unit_details[Active Listing?],TRUE,
          unit_details[Property Name], $B185,
          unit_details[Beds], $D185,
          unit_details[Baths], $E185,
          unit_details[Partial Baths], IF(ISNUMBER($F185),$F185,""),
          unit_details[Floorplan Name],$C185
),"")</f>
        <v/>
      </c>
      <c r="AA185" s="262" cm="1">
        <f t="array" aca="1" ref="AA185" ca="1">COUNTIFS(unit_details[Active Listing?],TRUE,
          unit_details[Floorplan Name], INDIRECT("C"&amp;ROW()),
          unit_details[Property Name], INDIRECT("B"&amp;ROW()))</f>
        <v>0</v>
      </c>
      <c r="AB185" s="553"/>
      <c r="AC185" s="528" cm="1">
        <f t="array" aca="1" ref="AC185" ca="1">IFERROR(AVERAGEIFS(
  unit_details[Sqft],
  unit_details[Property Name], INDIRECT("B"&amp;ROW()),
  unit_details[Floorplan Name], INDIRECT("C"&amp;ROW()),
  unit_details[Beds], INDIRECT("D"&amp;ROW()),
  unit_details[Detected Unit Amenities], "*"&amp;$AD$3&amp;"*",
  unit_details[Leased Date], "&gt;=" &amp; ($U$2 - $AF$3)
),0)</f>
        <v>0</v>
      </c>
      <c r="AD185" s="527" cm="1">
        <f t="array" aca="1" ref="AD1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5" s="526" cm="1">
        <f t="array" aca="1" ref="AE185" ca="1">IFERROR(COUNTIFS(
  unit_details[Property Name], INDIRECT("B"&amp;ROW()),
  unit_details[Floorplan Name], INDIRECT("C"&amp;ROW()),
  unit_details[Beds], INDIRECT("D"&amp;ROW()),
  unit_details[Detected Unit Amenities], "*"&amp;$AD$3&amp;"*",
  unit_details[Leased Date], "&gt;=" &amp; ($U$2 - $AF$3)
),0)</f>
        <v>0</v>
      </c>
      <c r="AF185" s="528" cm="1">
        <f t="array" aca="1" ref="AF185" ca="1">IFERROR(AVERAGEIFS(
  unit_details[Sqft],
  unit_details[Property Name], INDIRECT("B"&amp;ROW()),
  unit_details[Floorplan Name], INDIRECT("C"&amp;ROW()),
  unit_details[Beds], INDIRECT("D"&amp;ROW()),
  unit_details[Detected Unit Amenities], "&lt;&gt;*"&amp;$AD$3&amp;"*",
  unit_details[Leased Date], "&gt;=" &amp; ($U$2 - $AF$3)
),0)</f>
        <v>0</v>
      </c>
      <c r="AG185" s="527" cm="1">
        <f t="array" aca="1" ref="AG1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5" s="526" cm="1">
        <f t="array" aca="1" ref="AH185" ca="1">IFERROR(COUNTIFS(
  unit_details[Property Name], INDIRECT("B"&amp;ROW()),
  unit_details[Floorplan Name], INDIRECT("C"&amp;ROW()),
  unit_details[Beds], INDIRECT("D"&amp;ROW()),
  unit_details[Detected Unit Amenities], "&lt;&gt;*"&amp;$AD$3&amp;"*",
  unit_details[Leased Date], "&gt;=" &amp; ($U$2 - $AF$3)
),0)</f>
        <v>0</v>
      </c>
      <c r="AI185" s="528"/>
      <c r="AJ185" s="531">
        <f t="shared" ca="1" si="7"/>
        <v>0</v>
      </c>
      <c r="AK185" s="532">
        <f t="shared" ca="1" si="8"/>
        <v>0</v>
      </c>
    </row>
    <row r="186" spans="2:37" x14ac:dyDescent="0.2">
      <c r="B186" s="566"/>
      <c r="C186" s="53"/>
      <c r="E186" s="262"/>
      <c r="F186" s="262"/>
      <c r="J186" s="293"/>
      <c r="K186" s="6"/>
      <c r="M186" s="6"/>
      <c r="N186" s="531" t="str" cm="1">
        <f t="array" aca="1" ref="N18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6" s="552" t="str" cm="1">
        <f t="array" aca="1" ref="O18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6" s="526" cm="1">
        <f t="array" aca="1" ref="P186" ca="1">COUNTIFS(unit_details[Leased Date], "&gt;=" &amp; ($U$2 - N$5),
          unit_details[Leased Date], "&lt;" &amp; $U$2,
          unit_details[Floorplan Name], INDIRECT("C"&amp;ROW()),
          unit_details[Property Name], INDIRECT("B"&amp;ROW()))</f>
        <v>0</v>
      </c>
      <c r="Q186" s="531" t="str" cm="1">
        <f t="array" aca="1" ref="Q18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6" s="552" t="str" cm="1">
        <f t="array" aca="1" ref="R18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6" s="526" cm="1">
        <f t="array" aca="1" ref="S186" ca="1">COUNTIFS(unit_details[Leased Date], "&gt;=" &amp; ($U$2 - Q$5),
          unit_details[Leased Date], "&lt;" &amp; $U$2,
          unit_details[Floorplan Name], INDIRECT("C"&amp;ROW()),
          unit_details[Property Name], INDIRECT("B"&amp;ROW()))</f>
        <v>0</v>
      </c>
      <c r="T186" s="531" t="str" cm="1">
        <f t="array" aca="1" ref="T18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6" s="552" t="str" cm="1">
        <f t="array" aca="1" ref="U18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6" s="526" cm="1">
        <f t="array" aca="1" ref="V186" ca="1">COUNTIFS(unit_details[Leased Date], "&gt;=" &amp; ($U$2 - T$5),
          unit_details[Leased Date], "&lt;" &amp; $U$2,
          unit_details[Floorplan Name], INDIRECT("C"&amp;ROW()),
          unit_details[Property Name], INDIRECT("B"&amp;ROW()))</f>
        <v>0</v>
      </c>
      <c r="W186" s="531" t="str" cm="1">
        <f t="array" aca="1" ref="W18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6" s="552" t="str" cm="1">
        <f t="array" aca="1" ref="X18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6" s="27" t="str">
        <f t="shared" ca="1" si="6"/>
        <v/>
      </c>
      <c r="Z186" s="4" t="str">
        <f>IFERROR($U$2-AVERAGEIFS(unit_details[First Listed],
          unit_details[Active Listing?],TRUE,
          unit_details[Property Name], $B186,
          unit_details[Beds], $D186,
          unit_details[Baths], $E186,
          unit_details[Partial Baths], IF(ISNUMBER($F186),$F186,""),
          unit_details[Floorplan Name],$C186
),"")</f>
        <v/>
      </c>
      <c r="AA186" s="262" cm="1">
        <f t="array" aca="1" ref="AA186" ca="1">COUNTIFS(unit_details[Active Listing?],TRUE,
          unit_details[Floorplan Name], INDIRECT("C"&amp;ROW()),
          unit_details[Property Name], INDIRECT("B"&amp;ROW()))</f>
        <v>0</v>
      </c>
      <c r="AB186" s="553"/>
      <c r="AC186" s="528" cm="1">
        <f t="array" aca="1" ref="AC186" ca="1">IFERROR(AVERAGEIFS(
  unit_details[Sqft],
  unit_details[Property Name], INDIRECT("B"&amp;ROW()),
  unit_details[Floorplan Name], INDIRECT("C"&amp;ROW()),
  unit_details[Beds], INDIRECT("D"&amp;ROW()),
  unit_details[Detected Unit Amenities], "*"&amp;$AD$3&amp;"*",
  unit_details[Leased Date], "&gt;=" &amp; ($U$2 - $AF$3)
),0)</f>
        <v>0</v>
      </c>
      <c r="AD186" s="527" cm="1">
        <f t="array" aca="1" ref="AD1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6" s="526" cm="1">
        <f t="array" aca="1" ref="AE186" ca="1">IFERROR(COUNTIFS(
  unit_details[Property Name], INDIRECT("B"&amp;ROW()),
  unit_details[Floorplan Name], INDIRECT("C"&amp;ROW()),
  unit_details[Beds], INDIRECT("D"&amp;ROW()),
  unit_details[Detected Unit Amenities], "*"&amp;$AD$3&amp;"*",
  unit_details[Leased Date], "&gt;=" &amp; ($U$2 - $AF$3)
),0)</f>
        <v>0</v>
      </c>
      <c r="AF186" s="528" cm="1">
        <f t="array" aca="1" ref="AF186" ca="1">IFERROR(AVERAGEIFS(
  unit_details[Sqft],
  unit_details[Property Name], INDIRECT("B"&amp;ROW()),
  unit_details[Floorplan Name], INDIRECT("C"&amp;ROW()),
  unit_details[Beds], INDIRECT("D"&amp;ROW()),
  unit_details[Detected Unit Amenities], "&lt;&gt;*"&amp;$AD$3&amp;"*",
  unit_details[Leased Date], "&gt;=" &amp; ($U$2 - $AF$3)
),0)</f>
        <v>0</v>
      </c>
      <c r="AG186" s="527" cm="1">
        <f t="array" aca="1" ref="AG1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6" s="526" cm="1">
        <f t="array" aca="1" ref="AH186" ca="1">IFERROR(COUNTIFS(
  unit_details[Property Name], INDIRECT("B"&amp;ROW()),
  unit_details[Floorplan Name], INDIRECT("C"&amp;ROW()),
  unit_details[Beds], INDIRECT("D"&amp;ROW()),
  unit_details[Detected Unit Amenities], "&lt;&gt;*"&amp;$AD$3&amp;"*",
  unit_details[Leased Date], "&gt;=" &amp; ($U$2 - $AF$3)
),0)</f>
        <v>0</v>
      </c>
      <c r="AI186" s="528"/>
      <c r="AJ186" s="531">
        <f t="shared" ca="1" si="7"/>
        <v>0</v>
      </c>
      <c r="AK186" s="532">
        <f t="shared" ca="1" si="8"/>
        <v>0</v>
      </c>
    </row>
    <row r="187" spans="2:37" x14ac:dyDescent="0.2">
      <c r="B187" s="566"/>
      <c r="C187" s="53"/>
      <c r="E187" s="262"/>
      <c r="F187" s="262"/>
      <c r="J187" s="293"/>
      <c r="K187" s="6"/>
      <c r="M187" s="6"/>
      <c r="N187" s="531" t="str" cm="1">
        <f t="array" aca="1" ref="N18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7" s="552" t="str" cm="1">
        <f t="array" aca="1" ref="O18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7" s="526" cm="1">
        <f t="array" aca="1" ref="P187" ca="1">COUNTIFS(unit_details[Leased Date], "&gt;=" &amp; ($U$2 - N$5),
          unit_details[Leased Date], "&lt;" &amp; $U$2,
          unit_details[Floorplan Name], INDIRECT("C"&amp;ROW()),
          unit_details[Property Name], INDIRECT("B"&amp;ROW()))</f>
        <v>0</v>
      </c>
      <c r="Q187" s="531" t="str" cm="1">
        <f t="array" aca="1" ref="Q18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7" s="552" t="str" cm="1">
        <f t="array" aca="1" ref="R18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7" s="526" cm="1">
        <f t="array" aca="1" ref="S187" ca="1">COUNTIFS(unit_details[Leased Date], "&gt;=" &amp; ($U$2 - Q$5),
          unit_details[Leased Date], "&lt;" &amp; $U$2,
          unit_details[Floorplan Name], INDIRECT("C"&amp;ROW()),
          unit_details[Property Name], INDIRECT("B"&amp;ROW()))</f>
        <v>0</v>
      </c>
      <c r="T187" s="531" t="str" cm="1">
        <f t="array" aca="1" ref="T18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7" s="552" t="str" cm="1">
        <f t="array" aca="1" ref="U18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7" s="526" cm="1">
        <f t="array" aca="1" ref="V187" ca="1">COUNTIFS(unit_details[Leased Date], "&gt;=" &amp; ($U$2 - T$5),
          unit_details[Leased Date], "&lt;" &amp; $U$2,
          unit_details[Floorplan Name], INDIRECT("C"&amp;ROW()),
          unit_details[Property Name], INDIRECT("B"&amp;ROW()))</f>
        <v>0</v>
      </c>
      <c r="W187" s="531" t="str" cm="1">
        <f t="array" aca="1" ref="W18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7" s="552" t="str" cm="1">
        <f t="array" aca="1" ref="X18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7" s="27" t="str">
        <f t="shared" ca="1" si="6"/>
        <v/>
      </c>
      <c r="Z187" s="4" t="str">
        <f>IFERROR($U$2-AVERAGEIFS(unit_details[First Listed],
          unit_details[Active Listing?],TRUE,
          unit_details[Property Name], $B187,
          unit_details[Beds], $D187,
          unit_details[Baths], $E187,
          unit_details[Partial Baths], IF(ISNUMBER($F187),$F187,""),
          unit_details[Floorplan Name],$C187
),"")</f>
        <v/>
      </c>
      <c r="AA187" s="262" cm="1">
        <f t="array" aca="1" ref="AA187" ca="1">COUNTIFS(unit_details[Active Listing?],TRUE,
          unit_details[Floorplan Name], INDIRECT("C"&amp;ROW()),
          unit_details[Property Name], INDIRECT("B"&amp;ROW()))</f>
        <v>0</v>
      </c>
      <c r="AB187" s="553"/>
      <c r="AC187" s="528" cm="1">
        <f t="array" aca="1" ref="AC187" ca="1">IFERROR(AVERAGEIFS(
  unit_details[Sqft],
  unit_details[Property Name], INDIRECT("B"&amp;ROW()),
  unit_details[Floorplan Name], INDIRECT("C"&amp;ROW()),
  unit_details[Beds], INDIRECT("D"&amp;ROW()),
  unit_details[Detected Unit Amenities], "*"&amp;$AD$3&amp;"*",
  unit_details[Leased Date], "&gt;=" &amp; ($U$2 - $AF$3)
),0)</f>
        <v>0</v>
      </c>
      <c r="AD187" s="527" cm="1">
        <f t="array" aca="1" ref="AD1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7" s="526" cm="1">
        <f t="array" aca="1" ref="AE187" ca="1">IFERROR(COUNTIFS(
  unit_details[Property Name], INDIRECT("B"&amp;ROW()),
  unit_details[Floorplan Name], INDIRECT("C"&amp;ROW()),
  unit_details[Beds], INDIRECT("D"&amp;ROW()),
  unit_details[Detected Unit Amenities], "*"&amp;$AD$3&amp;"*",
  unit_details[Leased Date], "&gt;=" &amp; ($U$2 - $AF$3)
),0)</f>
        <v>0</v>
      </c>
      <c r="AF187" s="528" cm="1">
        <f t="array" aca="1" ref="AF187" ca="1">IFERROR(AVERAGEIFS(
  unit_details[Sqft],
  unit_details[Property Name], INDIRECT("B"&amp;ROW()),
  unit_details[Floorplan Name], INDIRECT("C"&amp;ROW()),
  unit_details[Beds], INDIRECT("D"&amp;ROW()),
  unit_details[Detected Unit Amenities], "&lt;&gt;*"&amp;$AD$3&amp;"*",
  unit_details[Leased Date], "&gt;=" &amp; ($U$2 - $AF$3)
),0)</f>
        <v>0</v>
      </c>
      <c r="AG187" s="527" cm="1">
        <f t="array" aca="1" ref="AG1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7" s="526" cm="1">
        <f t="array" aca="1" ref="AH187" ca="1">IFERROR(COUNTIFS(
  unit_details[Property Name], INDIRECT("B"&amp;ROW()),
  unit_details[Floorplan Name], INDIRECT("C"&amp;ROW()),
  unit_details[Beds], INDIRECT("D"&amp;ROW()),
  unit_details[Detected Unit Amenities], "&lt;&gt;*"&amp;$AD$3&amp;"*",
  unit_details[Leased Date], "&gt;=" &amp; ($U$2 - $AF$3)
),0)</f>
        <v>0</v>
      </c>
      <c r="AI187" s="528"/>
      <c r="AJ187" s="531">
        <f t="shared" ca="1" si="7"/>
        <v>0</v>
      </c>
      <c r="AK187" s="532">
        <f t="shared" ca="1" si="8"/>
        <v>0</v>
      </c>
    </row>
    <row r="188" spans="2:37" x14ac:dyDescent="0.2">
      <c r="B188" s="566"/>
      <c r="C188" s="53"/>
      <c r="E188" s="262"/>
      <c r="F188" s="262"/>
      <c r="J188" s="293"/>
      <c r="K188" s="6"/>
      <c r="M188" s="6"/>
      <c r="N188" s="531" t="str" cm="1">
        <f t="array" aca="1" ref="N18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8" s="552" t="str" cm="1">
        <f t="array" aca="1" ref="O18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8" s="526" cm="1">
        <f t="array" aca="1" ref="P188" ca="1">COUNTIFS(unit_details[Leased Date], "&gt;=" &amp; ($U$2 - N$5),
          unit_details[Leased Date], "&lt;" &amp; $U$2,
          unit_details[Floorplan Name], INDIRECT("C"&amp;ROW()),
          unit_details[Property Name], INDIRECT("B"&amp;ROW()))</f>
        <v>0</v>
      </c>
      <c r="Q188" s="531" t="str" cm="1">
        <f t="array" aca="1" ref="Q18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8" s="552" t="str" cm="1">
        <f t="array" aca="1" ref="R18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8" s="526" cm="1">
        <f t="array" aca="1" ref="S188" ca="1">COUNTIFS(unit_details[Leased Date], "&gt;=" &amp; ($U$2 - Q$5),
          unit_details[Leased Date], "&lt;" &amp; $U$2,
          unit_details[Floorplan Name], INDIRECT("C"&amp;ROW()),
          unit_details[Property Name], INDIRECT("B"&amp;ROW()))</f>
        <v>0</v>
      </c>
      <c r="T188" s="531" t="str" cm="1">
        <f t="array" aca="1" ref="T18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8" s="552" t="str" cm="1">
        <f t="array" aca="1" ref="U18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8" s="526" cm="1">
        <f t="array" aca="1" ref="V188" ca="1">COUNTIFS(unit_details[Leased Date], "&gt;=" &amp; ($U$2 - T$5),
          unit_details[Leased Date], "&lt;" &amp; $U$2,
          unit_details[Floorplan Name], INDIRECT("C"&amp;ROW()),
          unit_details[Property Name], INDIRECT("B"&amp;ROW()))</f>
        <v>0</v>
      </c>
      <c r="W188" s="531" t="str" cm="1">
        <f t="array" aca="1" ref="W18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8" s="552" t="str" cm="1">
        <f t="array" aca="1" ref="X18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8" s="27" t="str">
        <f t="shared" ca="1" si="6"/>
        <v/>
      </c>
      <c r="Z188" s="4" t="str">
        <f>IFERROR($U$2-AVERAGEIFS(unit_details[First Listed],
          unit_details[Active Listing?],TRUE,
          unit_details[Property Name], $B188,
          unit_details[Beds], $D188,
          unit_details[Baths], $E188,
          unit_details[Partial Baths], IF(ISNUMBER($F188),$F188,""),
          unit_details[Floorplan Name],$C188
),"")</f>
        <v/>
      </c>
      <c r="AA188" s="262" cm="1">
        <f t="array" aca="1" ref="AA188" ca="1">COUNTIFS(unit_details[Active Listing?],TRUE,
          unit_details[Floorplan Name], INDIRECT("C"&amp;ROW()),
          unit_details[Property Name], INDIRECT("B"&amp;ROW()))</f>
        <v>0</v>
      </c>
      <c r="AB188" s="553"/>
      <c r="AC188" s="528" cm="1">
        <f t="array" aca="1" ref="AC188" ca="1">IFERROR(AVERAGEIFS(
  unit_details[Sqft],
  unit_details[Property Name], INDIRECT("B"&amp;ROW()),
  unit_details[Floorplan Name], INDIRECT("C"&amp;ROW()),
  unit_details[Beds], INDIRECT("D"&amp;ROW()),
  unit_details[Detected Unit Amenities], "*"&amp;$AD$3&amp;"*",
  unit_details[Leased Date], "&gt;=" &amp; ($U$2 - $AF$3)
),0)</f>
        <v>0</v>
      </c>
      <c r="AD188" s="527" cm="1">
        <f t="array" aca="1" ref="AD1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8" s="526" cm="1">
        <f t="array" aca="1" ref="AE188" ca="1">IFERROR(COUNTIFS(
  unit_details[Property Name], INDIRECT("B"&amp;ROW()),
  unit_details[Floorplan Name], INDIRECT("C"&amp;ROW()),
  unit_details[Beds], INDIRECT("D"&amp;ROW()),
  unit_details[Detected Unit Amenities], "*"&amp;$AD$3&amp;"*",
  unit_details[Leased Date], "&gt;=" &amp; ($U$2 - $AF$3)
),0)</f>
        <v>0</v>
      </c>
      <c r="AF188" s="528" cm="1">
        <f t="array" aca="1" ref="AF188" ca="1">IFERROR(AVERAGEIFS(
  unit_details[Sqft],
  unit_details[Property Name], INDIRECT("B"&amp;ROW()),
  unit_details[Floorplan Name], INDIRECT("C"&amp;ROW()),
  unit_details[Beds], INDIRECT("D"&amp;ROW()),
  unit_details[Detected Unit Amenities], "&lt;&gt;*"&amp;$AD$3&amp;"*",
  unit_details[Leased Date], "&gt;=" &amp; ($U$2 - $AF$3)
),0)</f>
        <v>0</v>
      </c>
      <c r="AG188" s="527" cm="1">
        <f t="array" aca="1" ref="AG1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8" s="526" cm="1">
        <f t="array" aca="1" ref="AH188" ca="1">IFERROR(COUNTIFS(
  unit_details[Property Name], INDIRECT("B"&amp;ROW()),
  unit_details[Floorplan Name], INDIRECT("C"&amp;ROW()),
  unit_details[Beds], INDIRECT("D"&amp;ROW()),
  unit_details[Detected Unit Amenities], "&lt;&gt;*"&amp;$AD$3&amp;"*",
  unit_details[Leased Date], "&gt;=" &amp; ($U$2 - $AF$3)
),0)</f>
        <v>0</v>
      </c>
      <c r="AI188" s="528"/>
      <c r="AJ188" s="531">
        <f t="shared" ca="1" si="7"/>
        <v>0</v>
      </c>
      <c r="AK188" s="532">
        <f t="shared" ca="1" si="8"/>
        <v>0</v>
      </c>
    </row>
    <row r="189" spans="2:37" x14ac:dyDescent="0.2">
      <c r="B189" s="566"/>
      <c r="C189" s="53"/>
      <c r="E189" s="262"/>
      <c r="F189" s="262"/>
      <c r="J189" s="293"/>
      <c r="K189" s="6"/>
      <c r="M189" s="6"/>
      <c r="N189" s="531" t="str" cm="1">
        <f t="array" aca="1" ref="N18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89" s="552" t="str" cm="1">
        <f t="array" aca="1" ref="O18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89" s="526" cm="1">
        <f t="array" aca="1" ref="P189" ca="1">COUNTIFS(unit_details[Leased Date], "&gt;=" &amp; ($U$2 - N$5),
          unit_details[Leased Date], "&lt;" &amp; $U$2,
          unit_details[Floorplan Name], INDIRECT("C"&amp;ROW()),
          unit_details[Property Name], INDIRECT("B"&amp;ROW()))</f>
        <v>0</v>
      </c>
      <c r="Q189" s="531" t="str" cm="1">
        <f t="array" aca="1" ref="Q18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89" s="552" t="str" cm="1">
        <f t="array" aca="1" ref="R18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89" s="526" cm="1">
        <f t="array" aca="1" ref="S189" ca="1">COUNTIFS(unit_details[Leased Date], "&gt;=" &amp; ($U$2 - Q$5),
          unit_details[Leased Date], "&lt;" &amp; $U$2,
          unit_details[Floorplan Name], INDIRECT("C"&amp;ROW()),
          unit_details[Property Name], INDIRECT("B"&amp;ROW()))</f>
        <v>0</v>
      </c>
      <c r="T189" s="531" t="str" cm="1">
        <f t="array" aca="1" ref="T18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89" s="552" t="str" cm="1">
        <f t="array" aca="1" ref="U18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89" s="526" cm="1">
        <f t="array" aca="1" ref="V189" ca="1">COUNTIFS(unit_details[Leased Date], "&gt;=" &amp; ($U$2 - T$5),
          unit_details[Leased Date], "&lt;" &amp; $U$2,
          unit_details[Floorplan Name], INDIRECT("C"&amp;ROW()),
          unit_details[Property Name], INDIRECT("B"&amp;ROW()))</f>
        <v>0</v>
      </c>
      <c r="W189" s="531" t="str" cm="1">
        <f t="array" aca="1" ref="W18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89" s="552" t="str" cm="1">
        <f t="array" aca="1" ref="X18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89" s="27" t="str">
        <f t="shared" ca="1" si="6"/>
        <v/>
      </c>
      <c r="Z189" s="4" t="str">
        <f>IFERROR($U$2-AVERAGEIFS(unit_details[First Listed],
          unit_details[Active Listing?],TRUE,
          unit_details[Property Name], $B189,
          unit_details[Beds], $D189,
          unit_details[Baths], $E189,
          unit_details[Partial Baths], IF(ISNUMBER($F189),$F189,""),
          unit_details[Floorplan Name],$C189
),"")</f>
        <v/>
      </c>
      <c r="AA189" s="262" cm="1">
        <f t="array" aca="1" ref="AA189" ca="1">COUNTIFS(unit_details[Active Listing?],TRUE,
          unit_details[Floorplan Name], INDIRECT("C"&amp;ROW()),
          unit_details[Property Name], INDIRECT("B"&amp;ROW()))</f>
        <v>0</v>
      </c>
      <c r="AB189" s="553"/>
      <c r="AC189" s="528" cm="1">
        <f t="array" aca="1" ref="AC189" ca="1">IFERROR(AVERAGEIFS(
  unit_details[Sqft],
  unit_details[Property Name], INDIRECT("B"&amp;ROW()),
  unit_details[Floorplan Name], INDIRECT("C"&amp;ROW()),
  unit_details[Beds], INDIRECT("D"&amp;ROW()),
  unit_details[Detected Unit Amenities], "*"&amp;$AD$3&amp;"*",
  unit_details[Leased Date], "&gt;=" &amp; ($U$2 - $AF$3)
),0)</f>
        <v>0</v>
      </c>
      <c r="AD189" s="527" cm="1">
        <f t="array" aca="1" ref="AD1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89" s="526" cm="1">
        <f t="array" aca="1" ref="AE189" ca="1">IFERROR(COUNTIFS(
  unit_details[Property Name], INDIRECT("B"&amp;ROW()),
  unit_details[Floorplan Name], INDIRECT("C"&amp;ROW()),
  unit_details[Beds], INDIRECT("D"&amp;ROW()),
  unit_details[Detected Unit Amenities], "*"&amp;$AD$3&amp;"*",
  unit_details[Leased Date], "&gt;=" &amp; ($U$2 - $AF$3)
),0)</f>
        <v>0</v>
      </c>
      <c r="AF189" s="528" cm="1">
        <f t="array" aca="1" ref="AF189" ca="1">IFERROR(AVERAGEIFS(
  unit_details[Sqft],
  unit_details[Property Name], INDIRECT("B"&amp;ROW()),
  unit_details[Floorplan Name], INDIRECT("C"&amp;ROW()),
  unit_details[Beds], INDIRECT("D"&amp;ROW()),
  unit_details[Detected Unit Amenities], "&lt;&gt;*"&amp;$AD$3&amp;"*",
  unit_details[Leased Date], "&gt;=" &amp; ($U$2 - $AF$3)
),0)</f>
        <v>0</v>
      </c>
      <c r="AG189" s="527" cm="1">
        <f t="array" aca="1" ref="AG1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89" s="526" cm="1">
        <f t="array" aca="1" ref="AH189" ca="1">IFERROR(COUNTIFS(
  unit_details[Property Name], INDIRECT("B"&amp;ROW()),
  unit_details[Floorplan Name], INDIRECT("C"&amp;ROW()),
  unit_details[Beds], INDIRECT("D"&amp;ROW()),
  unit_details[Detected Unit Amenities], "&lt;&gt;*"&amp;$AD$3&amp;"*",
  unit_details[Leased Date], "&gt;=" &amp; ($U$2 - $AF$3)
),0)</f>
        <v>0</v>
      </c>
      <c r="AI189" s="528"/>
      <c r="AJ189" s="531">
        <f t="shared" ca="1" si="7"/>
        <v>0</v>
      </c>
      <c r="AK189" s="532">
        <f t="shared" ca="1" si="8"/>
        <v>0</v>
      </c>
    </row>
    <row r="190" spans="2:37" x14ac:dyDescent="0.2">
      <c r="B190" s="566"/>
      <c r="C190" s="53"/>
      <c r="E190" s="262"/>
      <c r="F190" s="262"/>
      <c r="J190" s="293"/>
      <c r="K190" s="6"/>
      <c r="M190" s="6"/>
      <c r="N190" s="531" t="str" cm="1">
        <f t="array" aca="1" ref="N19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0" s="552" t="str" cm="1">
        <f t="array" aca="1" ref="O19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0" s="526" cm="1">
        <f t="array" aca="1" ref="P190" ca="1">COUNTIFS(unit_details[Leased Date], "&gt;=" &amp; ($U$2 - N$5),
          unit_details[Leased Date], "&lt;" &amp; $U$2,
          unit_details[Floorplan Name], INDIRECT("C"&amp;ROW()),
          unit_details[Property Name], INDIRECT("B"&amp;ROW()))</f>
        <v>0</v>
      </c>
      <c r="Q190" s="531" t="str" cm="1">
        <f t="array" aca="1" ref="Q19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0" s="552" t="str" cm="1">
        <f t="array" aca="1" ref="R19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0" s="526" cm="1">
        <f t="array" aca="1" ref="S190" ca="1">COUNTIFS(unit_details[Leased Date], "&gt;=" &amp; ($U$2 - Q$5),
          unit_details[Leased Date], "&lt;" &amp; $U$2,
          unit_details[Floorplan Name], INDIRECT("C"&amp;ROW()),
          unit_details[Property Name], INDIRECT("B"&amp;ROW()))</f>
        <v>0</v>
      </c>
      <c r="T190" s="531" t="str" cm="1">
        <f t="array" aca="1" ref="T19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0" s="552" t="str" cm="1">
        <f t="array" aca="1" ref="U19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0" s="526" cm="1">
        <f t="array" aca="1" ref="V190" ca="1">COUNTIFS(unit_details[Leased Date], "&gt;=" &amp; ($U$2 - T$5),
          unit_details[Leased Date], "&lt;" &amp; $U$2,
          unit_details[Floorplan Name], INDIRECT("C"&amp;ROW()),
          unit_details[Property Name], INDIRECT("B"&amp;ROW()))</f>
        <v>0</v>
      </c>
      <c r="W190" s="531" t="str" cm="1">
        <f t="array" aca="1" ref="W19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0" s="552" t="str" cm="1">
        <f t="array" aca="1" ref="X19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0" s="27" t="str">
        <f t="shared" ca="1" si="6"/>
        <v/>
      </c>
      <c r="Z190" s="4" t="str">
        <f>IFERROR($U$2-AVERAGEIFS(unit_details[First Listed],
          unit_details[Active Listing?],TRUE,
          unit_details[Property Name], $B190,
          unit_details[Beds], $D190,
          unit_details[Baths], $E190,
          unit_details[Partial Baths], IF(ISNUMBER($F190),$F190,""),
          unit_details[Floorplan Name],$C190
),"")</f>
        <v/>
      </c>
      <c r="AA190" s="262" cm="1">
        <f t="array" aca="1" ref="AA190" ca="1">COUNTIFS(unit_details[Active Listing?],TRUE,
          unit_details[Floorplan Name], INDIRECT("C"&amp;ROW()),
          unit_details[Property Name], INDIRECT("B"&amp;ROW()))</f>
        <v>0</v>
      </c>
      <c r="AB190" s="553"/>
      <c r="AC190" s="528" cm="1">
        <f t="array" aca="1" ref="AC190" ca="1">IFERROR(AVERAGEIFS(
  unit_details[Sqft],
  unit_details[Property Name], INDIRECT("B"&amp;ROW()),
  unit_details[Floorplan Name], INDIRECT("C"&amp;ROW()),
  unit_details[Beds], INDIRECT("D"&amp;ROW()),
  unit_details[Detected Unit Amenities], "*"&amp;$AD$3&amp;"*",
  unit_details[Leased Date], "&gt;=" &amp; ($U$2 - $AF$3)
),0)</f>
        <v>0</v>
      </c>
      <c r="AD190" s="527" cm="1">
        <f t="array" aca="1" ref="AD1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0" s="526" cm="1">
        <f t="array" aca="1" ref="AE190" ca="1">IFERROR(COUNTIFS(
  unit_details[Property Name], INDIRECT("B"&amp;ROW()),
  unit_details[Floorplan Name], INDIRECT("C"&amp;ROW()),
  unit_details[Beds], INDIRECT("D"&amp;ROW()),
  unit_details[Detected Unit Amenities], "*"&amp;$AD$3&amp;"*",
  unit_details[Leased Date], "&gt;=" &amp; ($U$2 - $AF$3)
),0)</f>
        <v>0</v>
      </c>
      <c r="AF190" s="528" cm="1">
        <f t="array" aca="1" ref="AF190" ca="1">IFERROR(AVERAGEIFS(
  unit_details[Sqft],
  unit_details[Property Name], INDIRECT("B"&amp;ROW()),
  unit_details[Floorplan Name], INDIRECT("C"&amp;ROW()),
  unit_details[Beds], INDIRECT("D"&amp;ROW()),
  unit_details[Detected Unit Amenities], "&lt;&gt;*"&amp;$AD$3&amp;"*",
  unit_details[Leased Date], "&gt;=" &amp; ($U$2 - $AF$3)
),0)</f>
        <v>0</v>
      </c>
      <c r="AG190" s="527" cm="1">
        <f t="array" aca="1" ref="AG1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0" s="526" cm="1">
        <f t="array" aca="1" ref="AH190" ca="1">IFERROR(COUNTIFS(
  unit_details[Property Name], INDIRECT("B"&amp;ROW()),
  unit_details[Floorplan Name], INDIRECT("C"&amp;ROW()),
  unit_details[Beds], INDIRECT("D"&amp;ROW()),
  unit_details[Detected Unit Amenities], "&lt;&gt;*"&amp;$AD$3&amp;"*",
  unit_details[Leased Date], "&gt;=" &amp; ($U$2 - $AF$3)
),0)</f>
        <v>0</v>
      </c>
      <c r="AI190" s="528"/>
      <c r="AJ190" s="531">
        <f t="shared" ca="1" si="7"/>
        <v>0</v>
      </c>
      <c r="AK190" s="532">
        <f t="shared" ca="1" si="8"/>
        <v>0</v>
      </c>
    </row>
    <row r="191" spans="2:37" x14ac:dyDescent="0.2">
      <c r="B191" s="566"/>
      <c r="C191" s="53"/>
      <c r="E191" s="262"/>
      <c r="F191" s="262"/>
      <c r="J191" s="293"/>
      <c r="K191" s="6"/>
      <c r="M191" s="6"/>
      <c r="N191" s="531" t="str" cm="1">
        <f t="array" aca="1" ref="N19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1" s="552" t="str" cm="1">
        <f t="array" aca="1" ref="O19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1" s="526" cm="1">
        <f t="array" aca="1" ref="P191" ca="1">COUNTIFS(unit_details[Leased Date], "&gt;=" &amp; ($U$2 - N$5),
          unit_details[Leased Date], "&lt;" &amp; $U$2,
          unit_details[Floorplan Name], INDIRECT("C"&amp;ROW()),
          unit_details[Property Name], INDIRECT("B"&amp;ROW()))</f>
        <v>0</v>
      </c>
      <c r="Q191" s="531" t="str" cm="1">
        <f t="array" aca="1" ref="Q19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1" s="552" t="str" cm="1">
        <f t="array" aca="1" ref="R19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1" s="526" cm="1">
        <f t="array" aca="1" ref="S191" ca="1">COUNTIFS(unit_details[Leased Date], "&gt;=" &amp; ($U$2 - Q$5),
          unit_details[Leased Date], "&lt;" &amp; $U$2,
          unit_details[Floorplan Name], INDIRECT("C"&amp;ROW()),
          unit_details[Property Name], INDIRECT("B"&amp;ROW()))</f>
        <v>0</v>
      </c>
      <c r="T191" s="531" t="str" cm="1">
        <f t="array" aca="1" ref="T19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1" s="552" t="str" cm="1">
        <f t="array" aca="1" ref="U19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1" s="526" cm="1">
        <f t="array" aca="1" ref="V191" ca="1">COUNTIFS(unit_details[Leased Date], "&gt;=" &amp; ($U$2 - T$5),
          unit_details[Leased Date], "&lt;" &amp; $U$2,
          unit_details[Floorplan Name], INDIRECT("C"&amp;ROW()),
          unit_details[Property Name], INDIRECT("B"&amp;ROW()))</f>
        <v>0</v>
      </c>
      <c r="W191" s="531" t="str" cm="1">
        <f t="array" aca="1" ref="W19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1" s="552" t="str" cm="1">
        <f t="array" aca="1" ref="X19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1" s="27" t="str">
        <f t="shared" ca="1" si="6"/>
        <v/>
      </c>
      <c r="Z191" s="4" t="str">
        <f>IFERROR($U$2-AVERAGEIFS(unit_details[First Listed],
          unit_details[Active Listing?],TRUE,
          unit_details[Property Name], $B191,
          unit_details[Beds], $D191,
          unit_details[Baths], $E191,
          unit_details[Partial Baths], IF(ISNUMBER($F191),$F191,""),
          unit_details[Floorplan Name],$C191
),"")</f>
        <v/>
      </c>
      <c r="AA191" s="262" cm="1">
        <f t="array" aca="1" ref="AA191" ca="1">COUNTIFS(unit_details[Active Listing?],TRUE,
          unit_details[Floorplan Name], INDIRECT("C"&amp;ROW()),
          unit_details[Property Name], INDIRECT("B"&amp;ROW()))</f>
        <v>0</v>
      </c>
      <c r="AB191" s="553"/>
      <c r="AC191" s="528" cm="1">
        <f t="array" aca="1" ref="AC191" ca="1">IFERROR(AVERAGEIFS(
  unit_details[Sqft],
  unit_details[Property Name], INDIRECT("B"&amp;ROW()),
  unit_details[Floorplan Name], INDIRECT("C"&amp;ROW()),
  unit_details[Beds], INDIRECT("D"&amp;ROW()),
  unit_details[Detected Unit Amenities], "*"&amp;$AD$3&amp;"*",
  unit_details[Leased Date], "&gt;=" &amp; ($U$2 - $AF$3)
),0)</f>
        <v>0</v>
      </c>
      <c r="AD191" s="527" cm="1">
        <f t="array" aca="1" ref="AD1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1" s="526" cm="1">
        <f t="array" aca="1" ref="AE191" ca="1">IFERROR(COUNTIFS(
  unit_details[Property Name], INDIRECT("B"&amp;ROW()),
  unit_details[Floorplan Name], INDIRECT("C"&amp;ROW()),
  unit_details[Beds], INDIRECT("D"&amp;ROW()),
  unit_details[Detected Unit Amenities], "*"&amp;$AD$3&amp;"*",
  unit_details[Leased Date], "&gt;=" &amp; ($U$2 - $AF$3)
),0)</f>
        <v>0</v>
      </c>
      <c r="AF191" s="528" cm="1">
        <f t="array" aca="1" ref="AF191" ca="1">IFERROR(AVERAGEIFS(
  unit_details[Sqft],
  unit_details[Property Name], INDIRECT("B"&amp;ROW()),
  unit_details[Floorplan Name], INDIRECT("C"&amp;ROW()),
  unit_details[Beds], INDIRECT("D"&amp;ROW()),
  unit_details[Detected Unit Amenities], "&lt;&gt;*"&amp;$AD$3&amp;"*",
  unit_details[Leased Date], "&gt;=" &amp; ($U$2 - $AF$3)
),0)</f>
        <v>0</v>
      </c>
      <c r="AG191" s="527" cm="1">
        <f t="array" aca="1" ref="AG1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1" s="526" cm="1">
        <f t="array" aca="1" ref="AH191" ca="1">IFERROR(COUNTIFS(
  unit_details[Property Name], INDIRECT("B"&amp;ROW()),
  unit_details[Floorplan Name], INDIRECT("C"&amp;ROW()),
  unit_details[Beds], INDIRECT("D"&amp;ROW()),
  unit_details[Detected Unit Amenities], "&lt;&gt;*"&amp;$AD$3&amp;"*",
  unit_details[Leased Date], "&gt;=" &amp; ($U$2 - $AF$3)
),0)</f>
        <v>0</v>
      </c>
      <c r="AI191" s="528"/>
      <c r="AJ191" s="531">
        <f t="shared" ca="1" si="7"/>
        <v>0</v>
      </c>
      <c r="AK191" s="532">
        <f t="shared" ca="1" si="8"/>
        <v>0</v>
      </c>
    </row>
    <row r="192" spans="2:37" x14ac:dyDescent="0.2">
      <c r="B192" s="566"/>
      <c r="C192" s="53"/>
      <c r="E192" s="262"/>
      <c r="F192" s="262"/>
      <c r="J192" s="293"/>
      <c r="K192" s="6"/>
      <c r="M192" s="6"/>
      <c r="N192" s="531" t="str" cm="1">
        <f t="array" aca="1" ref="N19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2" s="552" t="str" cm="1">
        <f t="array" aca="1" ref="O19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2" s="526" cm="1">
        <f t="array" aca="1" ref="P192" ca="1">COUNTIFS(unit_details[Leased Date], "&gt;=" &amp; ($U$2 - N$5),
          unit_details[Leased Date], "&lt;" &amp; $U$2,
          unit_details[Floorplan Name], INDIRECT("C"&amp;ROW()),
          unit_details[Property Name], INDIRECT("B"&amp;ROW()))</f>
        <v>0</v>
      </c>
      <c r="Q192" s="531" t="str" cm="1">
        <f t="array" aca="1" ref="Q19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2" s="552" t="str" cm="1">
        <f t="array" aca="1" ref="R19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2" s="526" cm="1">
        <f t="array" aca="1" ref="S192" ca="1">COUNTIFS(unit_details[Leased Date], "&gt;=" &amp; ($U$2 - Q$5),
          unit_details[Leased Date], "&lt;" &amp; $U$2,
          unit_details[Floorplan Name], INDIRECT("C"&amp;ROW()),
          unit_details[Property Name], INDIRECT("B"&amp;ROW()))</f>
        <v>0</v>
      </c>
      <c r="T192" s="531" t="str" cm="1">
        <f t="array" aca="1" ref="T19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2" s="552" t="str" cm="1">
        <f t="array" aca="1" ref="U19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2" s="526" cm="1">
        <f t="array" aca="1" ref="V192" ca="1">COUNTIFS(unit_details[Leased Date], "&gt;=" &amp; ($U$2 - T$5),
          unit_details[Leased Date], "&lt;" &amp; $U$2,
          unit_details[Floorplan Name], INDIRECT("C"&amp;ROW()),
          unit_details[Property Name], INDIRECT("B"&amp;ROW()))</f>
        <v>0</v>
      </c>
      <c r="W192" s="531" t="str" cm="1">
        <f t="array" aca="1" ref="W19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2" s="552" t="str" cm="1">
        <f t="array" aca="1" ref="X19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2" s="27" t="str">
        <f t="shared" ca="1" si="6"/>
        <v/>
      </c>
      <c r="Z192" s="4" t="str">
        <f>IFERROR($U$2-AVERAGEIFS(unit_details[First Listed],
          unit_details[Active Listing?],TRUE,
          unit_details[Property Name], $B192,
          unit_details[Beds], $D192,
          unit_details[Baths], $E192,
          unit_details[Partial Baths], IF(ISNUMBER($F192),$F192,""),
          unit_details[Floorplan Name],$C192
),"")</f>
        <v/>
      </c>
      <c r="AA192" s="262" cm="1">
        <f t="array" aca="1" ref="AA192" ca="1">COUNTIFS(unit_details[Active Listing?],TRUE,
          unit_details[Floorplan Name], INDIRECT("C"&amp;ROW()),
          unit_details[Property Name], INDIRECT("B"&amp;ROW()))</f>
        <v>0</v>
      </c>
      <c r="AB192" s="553"/>
      <c r="AC192" s="528" cm="1">
        <f t="array" aca="1" ref="AC192" ca="1">IFERROR(AVERAGEIFS(
  unit_details[Sqft],
  unit_details[Property Name], INDIRECT("B"&amp;ROW()),
  unit_details[Floorplan Name], INDIRECT("C"&amp;ROW()),
  unit_details[Beds], INDIRECT("D"&amp;ROW()),
  unit_details[Detected Unit Amenities], "*"&amp;$AD$3&amp;"*",
  unit_details[Leased Date], "&gt;=" &amp; ($U$2 - $AF$3)
),0)</f>
        <v>0</v>
      </c>
      <c r="AD192" s="527" cm="1">
        <f t="array" aca="1" ref="AD1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2" s="526" cm="1">
        <f t="array" aca="1" ref="AE192" ca="1">IFERROR(COUNTIFS(
  unit_details[Property Name], INDIRECT("B"&amp;ROW()),
  unit_details[Floorplan Name], INDIRECT("C"&amp;ROW()),
  unit_details[Beds], INDIRECT("D"&amp;ROW()),
  unit_details[Detected Unit Amenities], "*"&amp;$AD$3&amp;"*",
  unit_details[Leased Date], "&gt;=" &amp; ($U$2 - $AF$3)
),0)</f>
        <v>0</v>
      </c>
      <c r="AF192" s="528" cm="1">
        <f t="array" aca="1" ref="AF192" ca="1">IFERROR(AVERAGEIFS(
  unit_details[Sqft],
  unit_details[Property Name], INDIRECT("B"&amp;ROW()),
  unit_details[Floorplan Name], INDIRECT("C"&amp;ROW()),
  unit_details[Beds], INDIRECT("D"&amp;ROW()),
  unit_details[Detected Unit Amenities], "&lt;&gt;*"&amp;$AD$3&amp;"*",
  unit_details[Leased Date], "&gt;=" &amp; ($U$2 - $AF$3)
),0)</f>
        <v>0</v>
      </c>
      <c r="AG192" s="527" cm="1">
        <f t="array" aca="1" ref="AG1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2" s="526" cm="1">
        <f t="array" aca="1" ref="AH192" ca="1">IFERROR(COUNTIFS(
  unit_details[Property Name], INDIRECT("B"&amp;ROW()),
  unit_details[Floorplan Name], INDIRECT("C"&amp;ROW()),
  unit_details[Beds], INDIRECT("D"&amp;ROW()),
  unit_details[Detected Unit Amenities], "&lt;&gt;*"&amp;$AD$3&amp;"*",
  unit_details[Leased Date], "&gt;=" &amp; ($U$2 - $AF$3)
),0)</f>
        <v>0</v>
      </c>
      <c r="AI192" s="528"/>
      <c r="AJ192" s="531">
        <f t="shared" ca="1" si="7"/>
        <v>0</v>
      </c>
      <c r="AK192" s="532">
        <f t="shared" ca="1" si="8"/>
        <v>0</v>
      </c>
    </row>
    <row r="193" spans="2:37" x14ac:dyDescent="0.2">
      <c r="B193" s="566"/>
      <c r="C193" s="53"/>
      <c r="E193" s="262"/>
      <c r="F193" s="262"/>
      <c r="J193" s="293"/>
      <c r="K193" s="6"/>
      <c r="M193" s="6"/>
      <c r="N193" s="531" t="str" cm="1">
        <f t="array" aca="1" ref="N19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3" s="552" t="str" cm="1">
        <f t="array" aca="1" ref="O19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3" s="526" cm="1">
        <f t="array" aca="1" ref="P193" ca="1">COUNTIFS(unit_details[Leased Date], "&gt;=" &amp; ($U$2 - N$5),
          unit_details[Leased Date], "&lt;" &amp; $U$2,
          unit_details[Floorplan Name], INDIRECT("C"&amp;ROW()),
          unit_details[Property Name], INDIRECT("B"&amp;ROW()))</f>
        <v>0</v>
      </c>
      <c r="Q193" s="531" t="str" cm="1">
        <f t="array" aca="1" ref="Q19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3" s="552" t="str" cm="1">
        <f t="array" aca="1" ref="R19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3" s="526" cm="1">
        <f t="array" aca="1" ref="S193" ca="1">COUNTIFS(unit_details[Leased Date], "&gt;=" &amp; ($U$2 - Q$5),
          unit_details[Leased Date], "&lt;" &amp; $U$2,
          unit_details[Floorplan Name], INDIRECT("C"&amp;ROW()),
          unit_details[Property Name], INDIRECT("B"&amp;ROW()))</f>
        <v>0</v>
      </c>
      <c r="T193" s="531" t="str" cm="1">
        <f t="array" aca="1" ref="T19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3" s="552" t="str" cm="1">
        <f t="array" aca="1" ref="U19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3" s="526" cm="1">
        <f t="array" aca="1" ref="V193" ca="1">COUNTIFS(unit_details[Leased Date], "&gt;=" &amp; ($U$2 - T$5),
          unit_details[Leased Date], "&lt;" &amp; $U$2,
          unit_details[Floorplan Name], INDIRECT("C"&amp;ROW()),
          unit_details[Property Name], INDIRECT("B"&amp;ROW()))</f>
        <v>0</v>
      </c>
      <c r="W193" s="531" t="str" cm="1">
        <f t="array" aca="1" ref="W19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3" s="552" t="str" cm="1">
        <f t="array" aca="1" ref="X19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3" s="27" t="str">
        <f t="shared" ca="1" si="6"/>
        <v/>
      </c>
      <c r="Z193" s="4" t="str">
        <f>IFERROR($U$2-AVERAGEIFS(unit_details[First Listed],
          unit_details[Active Listing?],TRUE,
          unit_details[Property Name], $B193,
          unit_details[Beds], $D193,
          unit_details[Baths], $E193,
          unit_details[Partial Baths], IF(ISNUMBER($F193),$F193,""),
          unit_details[Floorplan Name],$C193
),"")</f>
        <v/>
      </c>
      <c r="AA193" s="262" cm="1">
        <f t="array" aca="1" ref="AA193" ca="1">COUNTIFS(unit_details[Active Listing?],TRUE,
          unit_details[Floorplan Name], INDIRECT("C"&amp;ROW()),
          unit_details[Property Name], INDIRECT("B"&amp;ROW()))</f>
        <v>0</v>
      </c>
      <c r="AB193" s="553"/>
      <c r="AC193" s="528" cm="1">
        <f t="array" aca="1" ref="AC193" ca="1">IFERROR(AVERAGEIFS(
  unit_details[Sqft],
  unit_details[Property Name], INDIRECT("B"&amp;ROW()),
  unit_details[Floorplan Name], INDIRECT("C"&amp;ROW()),
  unit_details[Beds], INDIRECT("D"&amp;ROW()),
  unit_details[Detected Unit Amenities], "*"&amp;$AD$3&amp;"*",
  unit_details[Leased Date], "&gt;=" &amp; ($U$2 - $AF$3)
),0)</f>
        <v>0</v>
      </c>
      <c r="AD193" s="527" cm="1">
        <f t="array" aca="1" ref="AD1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3" s="526" cm="1">
        <f t="array" aca="1" ref="AE193" ca="1">IFERROR(COUNTIFS(
  unit_details[Property Name], INDIRECT("B"&amp;ROW()),
  unit_details[Floorplan Name], INDIRECT("C"&amp;ROW()),
  unit_details[Beds], INDIRECT("D"&amp;ROW()),
  unit_details[Detected Unit Amenities], "*"&amp;$AD$3&amp;"*",
  unit_details[Leased Date], "&gt;=" &amp; ($U$2 - $AF$3)
),0)</f>
        <v>0</v>
      </c>
      <c r="AF193" s="528" cm="1">
        <f t="array" aca="1" ref="AF193" ca="1">IFERROR(AVERAGEIFS(
  unit_details[Sqft],
  unit_details[Property Name], INDIRECT("B"&amp;ROW()),
  unit_details[Floorplan Name], INDIRECT("C"&amp;ROW()),
  unit_details[Beds], INDIRECT("D"&amp;ROW()),
  unit_details[Detected Unit Amenities], "&lt;&gt;*"&amp;$AD$3&amp;"*",
  unit_details[Leased Date], "&gt;=" &amp; ($U$2 - $AF$3)
),0)</f>
        <v>0</v>
      </c>
      <c r="AG193" s="527" cm="1">
        <f t="array" aca="1" ref="AG1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3" s="526" cm="1">
        <f t="array" aca="1" ref="AH193" ca="1">IFERROR(COUNTIFS(
  unit_details[Property Name], INDIRECT("B"&amp;ROW()),
  unit_details[Floorplan Name], INDIRECT("C"&amp;ROW()),
  unit_details[Beds], INDIRECT("D"&amp;ROW()),
  unit_details[Detected Unit Amenities], "&lt;&gt;*"&amp;$AD$3&amp;"*",
  unit_details[Leased Date], "&gt;=" &amp; ($U$2 - $AF$3)
),0)</f>
        <v>0</v>
      </c>
      <c r="AI193" s="528"/>
      <c r="AJ193" s="531">
        <f t="shared" ca="1" si="7"/>
        <v>0</v>
      </c>
      <c r="AK193" s="532">
        <f t="shared" ca="1" si="8"/>
        <v>0</v>
      </c>
    </row>
    <row r="194" spans="2:37" x14ac:dyDescent="0.2">
      <c r="B194" s="566"/>
      <c r="C194" s="53"/>
      <c r="E194" s="262"/>
      <c r="F194" s="262"/>
      <c r="J194" s="293"/>
      <c r="K194" s="6"/>
      <c r="M194" s="6"/>
      <c r="N194" s="531" t="str" cm="1">
        <f t="array" aca="1" ref="N19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4" s="552" t="str" cm="1">
        <f t="array" aca="1" ref="O19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4" s="526" cm="1">
        <f t="array" aca="1" ref="P194" ca="1">COUNTIFS(unit_details[Leased Date], "&gt;=" &amp; ($U$2 - N$5),
          unit_details[Leased Date], "&lt;" &amp; $U$2,
          unit_details[Floorplan Name], INDIRECT("C"&amp;ROW()),
          unit_details[Property Name], INDIRECT("B"&amp;ROW()))</f>
        <v>0</v>
      </c>
      <c r="Q194" s="531" t="str" cm="1">
        <f t="array" aca="1" ref="Q19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4" s="552" t="str" cm="1">
        <f t="array" aca="1" ref="R19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4" s="526" cm="1">
        <f t="array" aca="1" ref="S194" ca="1">COUNTIFS(unit_details[Leased Date], "&gt;=" &amp; ($U$2 - Q$5),
          unit_details[Leased Date], "&lt;" &amp; $U$2,
          unit_details[Floorplan Name], INDIRECT("C"&amp;ROW()),
          unit_details[Property Name], INDIRECT("B"&amp;ROW()))</f>
        <v>0</v>
      </c>
      <c r="T194" s="531" t="str" cm="1">
        <f t="array" aca="1" ref="T19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4" s="552" t="str" cm="1">
        <f t="array" aca="1" ref="U19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4" s="526" cm="1">
        <f t="array" aca="1" ref="V194" ca="1">COUNTIFS(unit_details[Leased Date], "&gt;=" &amp; ($U$2 - T$5),
          unit_details[Leased Date], "&lt;" &amp; $U$2,
          unit_details[Floorplan Name], INDIRECT("C"&amp;ROW()),
          unit_details[Property Name], INDIRECT("B"&amp;ROW()))</f>
        <v>0</v>
      </c>
      <c r="W194" s="531" t="str" cm="1">
        <f t="array" aca="1" ref="W19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4" s="552" t="str" cm="1">
        <f t="array" aca="1" ref="X19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4" s="27" t="str">
        <f t="shared" ca="1" si="6"/>
        <v/>
      </c>
      <c r="Z194" s="4" t="str">
        <f>IFERROR($U$2-AVERAGEIFS(unit_details[First Listed],
          unit_details[Active Listing?],TRUE,
          unit_details[Property Name], $B194,
          unit_details[Beds], $D194,
          unit_details[Baths], $E194,
          unit_details[Partial Baths], IF(ISNUMBER($F194),$F194,""),
          unit_details[Floorplan Name],$C194
),"")</f>
        <v/>
      </c>
      <c r="AA194" s="262" cm="1">
        <f t="array" aca="1" ref="AA194" ca="1">COUNTIFS(unit_details[Active Listing?],TRUE,
          unit_details[Floorplan Name], INDIRECT("C"&amp;ROW()),
          unit_details[Property Name], INDIRECT("B"&amp;ROW()))</f>
        <v>0</v>
      </c>
      <c r="AB194" s="553"/>
      <c r="AC194" s="528" cm="1">
        <f t="array" aca="1" ref="AC194" ca="1">IFERROR(AVERAGEIFS(
  unit_details[Sqft],
  unit_details[Property Name], INDIRECT("B"&amp;ROW()),
  unit_details[Floorplan Name], INDIRECT("C"&amp;ROW()),
  unit_details[Beds], INDIRECT("D"&amp;ROW()),
  unit_details[Detected Unit Amenities], "*"&amp;$AD$3&amp;"*",
  unit_details[Leased Date], "&gt;=" &amp; ($U$2 - $AF$3)
),0)</f>
        <v>0</v>
      </c>
      <c r="AD194" s="527" cm="1">
        <f t="array" aca="1" ref="AD1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4" s="526" cm="1">
        <f t="array" aca="1" ref="AE194" ca="1">IFERROR(COUNTIFS(
  unit_details[Property Name], INDIRECT("B"&amp;ROW()),
  unit_details[Floorplan Name], INDIRECT("C"&amp;ROW()),
  unit_details[Beds], INDIRECT("D"&amp;ROW()),
  unit_details[Detected Unit Amenities], "*"&amp;$AD$3&amp;"*",
  unit_details[Leased Date], "&gt;=" &amp; ($U$2 - $AF$3)
),0)</f>
        <v>0</v>
      </c>
      <c r="AF194" s="528" cm="1">
        <f t="array" aca="1" ref="AF194" ca="1">IFERROR(AVERAGEIFS(
  unit_details[Sqft],
  unit_details[Property Name], INDIRECT("B"&amp;ROW()),
  unit_details[Floorplan Name], INDIRECT("C"&amp;ROW()),
  unit_details[Beds], INDIRECT("D"&amp;ROW()),
  unit_details[Detected Unit Amenities], "&lt;&gt;*"&amp;$AD$3&amp;"*",
  unit_details[Leased Date], "&gt;=" &amp; ($U$2 - $AF$3)
),0)</f>
        <v>0</v>
      </c>
      <c r="AG194" s="527" cm="1">
        <f t="array" aca="1" ref="AG1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4" s="526" cm="1">
        <f t="array" aca="1" ref="AH194" ca="1">IFERROR(COUNTIFS(
  unit_details[Property Name], INDIRECT("B"&amp;ROW()),
  unit_details[Floorplan Name], INDIRECT("C"&amp;ROW()),
  unit_details[Beds], INDIRECT("D"&amp;ROW()),
  unit_details[Detected Unit Amenities], "&lt;&gt;*"&amp;$AD$3&amp;"*",
  unit_details[Leased Date], "&gt;=" &amp; ($U$2 - $AF$3)
),0)</f>
        <v>0</v>
      </c>
      <c r="AI194" s="528"/>
      <c r="AJ194" s="531">
        <f t="shared" ca="1" si="7"/>
        <v>0</v>
      </c>
      <c r="AK194" s="532">
        <f t="shared" ca="1" si="8"/>
        <v>0</v>
      </c>
    </row>
    <row r="195" spans="2:37" x14ac:dyDescent="0.2">
      <c r="B195" s="566"/>
      <c r="C195" s="53"/>
      <c r="E195" s="262"/>
      <c r="F195" s="262"/>
      <c r="J195" s="293"/>
      <c r="K195" s="6"/>
      <c r="M195" s="6"/>
      <c r="N195" s="531" t="str" cm="1">
        <f t="array" aca="1" ref="N19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5" s="552" t="str" cm="1">
        <f t="array" aca="1" ref="O19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5" s="526" cm="1">
        <f t="array" aca="1" ref="P195" ca="1">COUNTIFS(unit_details[Leased Date], "&gt;=" &amp; ($U$2 - N$5),
          unit_details[Leased Date], "&lt;" &amp; $U$2,
          unit_details[Floorplan Name], INDIRECT("C"&amp;ROW()),
          unit_details[Property Name], INDIRECT("B"&amp;ROW()))</f>
        <v>0</v>
      </c>
      <c r="Q195" s="531" t="str" cm="1">
        <f t="array" aca="1" ref="Q19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5" s="552" t="str" cm="1">
        <f t="array" aca="1" ref="R19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5" s="526" cm="1">
        <f t="array" aca="1" ref="S195" ca="1">COUNTIFS(unit_details[Leased Date], "&gt;=" &amp; ($U$2 - Q$5),
          unit_details[Leased Date], "&lt;" &amp; $U$2,
          unit_details[Floorplan Name], INDIRECT("C"&amp;ROW()),
          unit_details[Property Name], INDIRECT("B"&amp;ROW()))</f>
        <v>0</v>
      </c>
      <c r="T195" s="531" t="str" cm="1">
        <f t="array" aca="1" ref="T19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5" s="552" t="str" cm="1">
        <f t="array" aca="1" ref="U19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5" s="526" cm="1">
        <f t="array" aca="1" ref="V195" ca="1">COUNTIFS(unit_details[Leased Date], "&gt;=" &amp; ($U$2 - T$5),
          unit_details[Leased Date], "&lt;" &amp; $U$2,
          unit_details[Floorplan Name], INDIRECT("C"&amp;ROW()),
          unit_details[Property Name], INDIRECT("B"&amp;ROW()))</f>
        <v>0</v>
      </c>
      <c r="W195" s="531" t="str" cm="1">
        <f t="array" aca="1" ref="W19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5" s="552" t="str" cm="1">
        <f t="array" aca="1" ref="X19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5" s="27" t="str">
        <f t="shared" ca="1" si="6"/>
        <v/>
      </c>
      <c r="Z195" s="4" t="str">
        <f>IFERROR($U$2-AVERAGEIFS(unit_details[First Listed],
          unit_details[Active Listing?],TRUE,
          unit_details[Property Name], $B195,
          unit_details[Beds], $D195,
          unit_details[Baths], $E195,
          unit_details[Partial Baths], IF(ISNUMBER($F195),$F195,""),
          unit_details[Floorplan Name],$C195
),"")</f>
        <v/>
      </c>
      <c r="AA195" s="262" cm="1">
        <f t="array" aca="1" ref="AA195" ca="1">COUNTIFS(unit_details[Active Listing?],TRUE,
          unit_details[Floorplan Name], INDIRECT("C"&amp;ROW()),
          unit_details[Property Name], INDIRECT("B"&amp;ROW()))</f>
        <v>0</v>
      </c>
      <c r="AB195" s="553"/>
      <c r="AC195" s="528" cm="1">
        <f t="array" aca="1" ref="AC195" ca="1">IFERROR(AVERAGEIFS(
  unit_details[Sqft],
  unit_details[Property Name], INDIRECT("B"&amp;ROW()),
  unit_details[Floorplan Name], INDIRECT("C"&amp;ROW()),
  unit_details[Beds], INDIRECT("D"&amp;ROW()),
  unit_details[Detected Unit Amenities], "*"&amp;$AD$3&amp;"*",
  unit_details[Leased Date], "&gt;=" &amp; ($U$2 - $AF$3)
),0)</f>
        <v>0</v>
      </c>
      <c r="AD195" s="527" cm="1">
        <f t="array" aca="1" ref="AD1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5" s="526" cm="1">
        <f t="array" aca="1" ref="AE195" ca="1">IFERROR(COUNTIFS(
  unit_details[Property Name], INDIRECT("B"&amp;ROW()),
  unit_details[Floorplan Name], INDIRECT("C"&amp;ROW()),
  unit_details[Beds], INDIRECT("D"&amp;ROW()),
  unit_details[Detected Unit Amenities], "*"&amp;$AD$3&amp;"*",
  unit_details[Leased Date], "&gt;=" &amp; ($U$2 - $AF$3)
),0)</f>
        <v>0</v>
      </c>
      <c r="AF195" s="528" cm="1">
        <f t="array" aca="1" ref="AF195" ca="1">IFERROR(AVERAGEIFS(
  unit_details[Sqft],
  unit_details[Property Name], INDIRECT("B"&amp;ROW()),
  unit_details[Floorplan Name], INDIRECT("C"&amp;ROW()),
  unit_details[Beds], INDIRECT("D"&amp;ROW()),
  unit_details[Detected Unit Amenities], "&lt;&gt;*"&amp;$AD$3&amp;"*",
  unit_details[Leased Date], "&gt;=" &amp; ($U$2 - $AF$3)
),0)</f>
        <v>0</v>
      </c>
      <c r="AG195" s="527" cm="1">
        <f t="array" aca="1" ref="AG1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5" s="526" cm="1">
        <f t="array" aca="1" ref="AH195" ca="1">IFERROR(COUNTIFS(
  unit_details[Property Name], INDIRECT("B"&amp;ROW()),
  unit_details[Floorplan Name], INDIRECT("C"&amp;ROW()),
  unit_details[Beds], INDIRECT("D"&amp;ROW()),
  unit_details[Detected Unit Amenities], "&lt;&gt;*"&amp;$AD$3&amp;"*",
  unit_details[Leased Date], "&gt;=" &amp; ($U$2 - $AF$3)
),0)</f>
        <v>0</v>
      </c>
      <c r="AI195" s="528"/>
      <c r="AJ195" s="531">
        <f t="shared" ca="1" si="7"/>
        <v>0</v>
      </c>
      <c r="AK195" s="532">
        <f t="shared" ca="1" si="8"/>
        <v>0</v>
      </c>
    </row>
    <row r="196" spans="2:37" x14ac:dyDescent="0.2">
      <c r="B196" s="566"/>
      <c r="C196" s="53"/>
      <c r="E196" s="262"/>
      <c r="F196" s="262"/>
      <c r="J196" s="293"/>
      <c r="K196" s="6"/>
      <c r="M196" s="6"/>
      <c r="N196" s="531" t="str" cm="1">
        <f t="array" aca="1" ref="N19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6" s="552" t="str" cm="1">
        <f t="array" aca="1" ref="O19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6" s="526" cm="1">
        <f t="array" aca="1" ref="P196" ca="1">COUNTIFS(unit_details[Leased Date], "&gt;=" &amp; ($U$2 - N$5),
          unit_details[Leased Date], "&lt;" &amp; $U$2,
          unit_details[Floorplan Name], INDIRECT("C"&amp;ROW()),
          unit_details[Property Name], INDIRECT("B"&amp;ROW()))</f>
        <v>0</v>
      </c>
      <c r="Q196" s="531" t="str" cm="1">
        <f t="array" aca="1" ref="Q19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6" s="552" t="str" cm="1">
        <f t="array" aca="1" ref="R19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6" s="526" cm="1">
        <f t="array" aca="1" ref="S196" ca="1">COUNTIFS(unit_details[Leased Date], "&gt;=" &amp; ($U$2 - Q$5),
          unit_details[Leased Date], "&lt;" &amp; $U$2,
          unit_details[Floorplan Name], INDIRECT("C"&amp;ROW()),
          unit_details[Property Name], INDIRECT("B"&amp;ROW()))</f>
        <v>0</v>
      </c>
      <c r="T196" s="531" t="str" cm="1">
        <f t="array" aca="1" ref="T19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6" s="552" t="str" cm="1">
        <f t="array" aca="1" ref="U19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6" s="526" cm="1">
        <f t="array" aca="1" ref="V196" ca="1">COUNTIFS(unit_details[Leased Date], "&gt;=" &amp; ($U$2 - T$5),
          unit_details[Leased Date], "&lt;" &amp; $U$2,
          unit_details[Floorplan Name], INDIRECT("C"&amp;ROW()),
          unit_details[Property Name], INDIRECT("B"&amp;ROW()))</f>
        <v>0</v>
      </c>
      <c r="W196" s="531" t="str" cm="1">
        <f t="array" aca="1" ref="W19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6" s="552" t="str" cm="1">
        <f t="array" aca="1" ref="X19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6" s="27" t="str">
        <f t="shared" ca="1" si="6"/>
        <v/>
      </c>
      <c r="Z196" s="4" t="str">
        <f>IFERROR($U$2-AVERAGEIFS(unit_details[First Listed],
          unit_details[Active Listing?],TRUE,
          unit_details[Property Name], $B196,
          unit_details[Beds], $D196,
          unit_details[Baths], $E196,
          unit_details[Partial Baths], IF(ISNUMBER($F196),$F196,""),
          unit_details[Floorplan Name],$C196
),"")</f>
        <v/>
      </c>
      <c r="AA196" s="262" cm="1">
        <f t="array" aca="1" ref="AA196" ca="1">COUNTIFS(unit_details[Active Listing?],TRUE,
          unit_details[Floorplan Name], INDIRECT("C"&amp;ROW()),
          unit_details[Property Name], INDIRECT("B"&amp;ROW()))</f>
        <v>0</v>
      </c>
      <c r="AB196" s="553"/>
      <c r="AC196" s="528" cm="1">
        <f t="array" aca="1" ref="AC196" ca="1">IFERROR(AVERAGEIFS(
  unit_details[Sqft],
  unit_details[Property Name], INDIRECT("B"&amp;ROW()),
  unit_details[Floorplan Name], INDIRECT("C"&amp;ROW()),
  unit_details[Beds], INDIRECT("D"&amp;ROW()),
  unit_details[Detected Unit Amenities], "*"&amp;$AD$3&amp;"*",
  unit_details[Leased Date], "&gt;=" &amp; ($U$2 - $AF$3)
),0)</f>
        <v>0</v>
      </c>
      <c r="AD196" s="527" cm="1">
        <f t="array" aca="1" ref="AD1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6" s="526" cm="1">
        <f t="array" aca="1" ref="AE196" ca="1">IFERROR(COUNTIFS(
  unit_details[Property Name], INDIRECT("B"&amp;ROW()),
  unit_details[Floorplan Name], INDIRECT("C"&amp;ROW()),
  unit_details[Beds], INDIRECT("D"&amp;ROW()),
  unit_details[Detected Unit Amenities], "*"&amp;$AD$3&amp;"*",
  unit_details[Leased Date], "&gt;=" &amp; ($U$2 - $AF$3)
),0)</f>
        <v>0</v>
      </c>
      <c r="AF196" s="528" cm="1">
        <f t="array" aca="1" ref="AF196" ca="1">IFERROR(AVERAGEIFS(
  unit_details[Sqft],
  unit_details[Property Name], INDIRECT("B"&amp;ROW()),
  unit_details[Floorplan Name], INDIRECT("C"&amp;ROW()),
  unit_details[Beds], INDIRECT("D"&amp;ROW()),
  unit_details[Detected Unit Amenities], "&lt;&gt;*"&amp;$AD$3&amp;"*",
  unit_details[Leased Date], "&gt;=" &amp; ($U$2 - $AF$3)
),0)</f>
        <v>0</v>
      </c>
      <c r="AG196" s="527" cm="1">
        <f t="array" aca="1" ref="AG1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6" s="526" cm="1">
        <f t="array" aca="1" ref="AH196" ca="1">IFERROR(COUNTIFS(
  unit_details[Property Name], INDIRECT("B"&amp;ROW()),
  unit_details[Floorplan Name], INDIRECT("C"&amp;ROW()),
  unit_details[Beds], INDIRECT("D"&amp;ROW()),
  unit_details[Detected Unit Amenities], "&lt;&gt;*"&amp;$AD$3&amp;"*",
  unit_details[Leased Date], "&gt;=" &amp; ($U$2 - $AF$3)
),0)</f>
        <v>0</v>
      </c>
      <c r="AI196" s="528"/>
      <c r="AJ196" s="531">
        <f t="shared" ca="1" si="7"/>
        <v>0</v>
      </c>
      <c r="AK196" s="532">
        <f t="shared" ca="1" si="8"/>
        <v>0</v>
      </c>
    </row>
    <row r="197" spans="2:37" x14ac:dyDescent="0.2">
      <c r="B197" s="566"/>
      <c r="C197" s="53"/>
      <c r="E197" s="262"/>
      <c r="F197" s="262"/>
      <c r="J197" s="293"/>
      <c r="K197" s="6"/>
      <c r="M197" s="6"/>
      <c r="N197" s="531" t="str" cm="1">
        <f t="array" aca="1" ref="N19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7" s="552" t="str" cm="1">
        <f t="array" aca="1" ref="O19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7" s="526" cm="1">
        <f t="array" aca="1" ref="P197" ca="1">COUNTIFS(unit_details[Leased Date], "&gt;=" &amp; ($U$2 - N$5),
          unit_details[Leased Date], "&lt;" &amp; $U$2,
          unit_details[Floorplan Name], INDIRECT("C"&amp;ROW()),
          unit_details[Property Name], INDIRECT("B"&amp;ROW()))</f>
        <v>0</v>
      </c>
      <c r="Q197" s="531" t="str" cm="1">
        <f t="array" aca="1" ref="Q19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7" s="552" t="str" cm="1">
        <f t="array" aca="1" ref="R19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7" s="526" cm="1">
        <f t="array" aca="1" ref="S197" ca="1">COUNTIFS(unit_details[Leased Date], "&gt;=" &amp; ($U$2 - Q$5),
          unit_details[Leased Date], "&lt;" &amp; $U$2,
          unit_details[Floorplan Name], INDIRECT("C"&amp;ROW()),
          unit_details[Property Name], INDIRECT("B"&amp;ROW()))</f>
        <v>0</v>
      </c>
      <c r="T197" s="531" t="str" cm="1">
        <f t="array" aca="1" ref="T19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7" s="552" t="str" cm="1">
        <f t="array" aca="1" ref="U19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7" s="526" cm="1">
        <f t="array" aca="1" ref="V197" ca="1">COUNTIFS(unit_details[Leased Date], "&gt;=" &amp; ($U$2 - T$5),
          unit_details[Leased Date], "&lt;" &amp; $U$2,
          unit_details[Floorplan Name], INDIRECT("C"&amp;ROW()),
          unit_details[Property Name], INDIRECT("B"&amp;ROW()))</f>
        <v>0</v>
      </c>
      <c r="W197" s="531" t="str" cm="1">
        <f t="array" aca="1" ref="W19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7" s="552" t="str" cm="1">
        <f t="array" aca="1" ref="X19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7" s="27" t="str">
        <f t="shared" ca="1" si="6"/>
        <v/>
      </c>
      <c r="Z197" s="4" t="str">
        <f>IFERROR($U$2-AVERAGEIFS(unit_details[First Listed],
          unit_details[Active Listing?],TRUE,
          unit_details[Property Name], $B197,
          unit_details[Beds], $D197,
          unit_details[Baths], $E197,
          unit_details[Partial Baths], IF(ISNUMBER($F197),$F197,""),
          unit_details[Floorplan Name],$C197
),"")</f>
        <v/>
      </c>
      <c r="AA197" s="262" cm="1">
        <f t="array" aca="1" ref="AA197" ca="1">COUNTIFS(unit_details[Active Listing?],TRUE,
          unit_details[Floorplan Name], INDIRECT("C"&amp;ROW()),
          unit_details[Property Name], INDIRECT("B"&amp;ROW()))</f>
        <v>0</v>
      </c>
      <c r="AB197" s="553"/>
      <c r="AC197" s="528" cm="1">
        <f t="array" aca="1" ref="AC197" ca="1">IFERROR(AVERAGEIFS(
  unit_details[Sqft],
  unit_details[Property Name], INDIRECT("B"&amp;ROW()),
  unit_details[Floorplan Name], INDIRECT("C"&amp;ROW()),
  unit_details[Beds], INDIRECT("D"&amp;ROW()),
  unit_details[Detected Unit Amenities], "*"&amp;$AD$3&amp;"*",
  unit_details[Leased Date], "&gt;=" &amp; ($U$2 - $AF$3)
),0)</f>
        <v>0</v>
      </c>
      <c r="AD197" s="527" cm="1">
        <f t="array" aca="1" ref="AD1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7" s="526" cm="1">
        <f t="array" aca="1" ref="AE197" ca="1">IFERROR(COUNTIFS(
  unit_details[Property Name], INDIRECT("B"&amp;ROW()),
  unit_details[Floorplan Name], INDIRECT("C"&amp;ROW()),
  unit_details[Beds], INDIRECT("D"&amp;ROW()),
  unit_details[Detected Unit Amenities], "*"&amp;$AD$3&amp;"*",
  unit_details[Leased Date], "&gt;=" &amp; ($U$2 - $AF$3)
),0)</f>
        <v>0</v>
      </c>
      <c r="AF197" s="528" cm="1">
        <f t="array" aca="1" ref="AF197" ca="1">IFERROR(AVERAGEIFS(
  unit_details[Sqft],
  unit_details[Property Name], INDIRECT("B"&amp;ROW()),
  unit_details[Floorplan Name], INDIRECT("C"&amp;ROW()),
  unit_details[Beds], INDIRECT("D"&amp;ROW()),
  unit_details[Detected Unit Amenities], "&lt;&gt;*"&amp;$AD$3&amp;"*",
  unit_details[Leased Date], "&gt;=" &amp; ($U$2 - $AF$3)
),0)</f>
        <v>0</v>
      </c>
      <c r="AG197" s="527" cm="1">
        <f t="array" aca="1" ref="AG1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7" s="526" cm="1">
        <f t="array" aca="1" ref="AH197" ca="1">IFERROR(COUNTIFS(
  unit_details[Property Name], INDIRECT("B"&amp;ROW()),
  unit_details[Floorplan Name], INDIRECT("C"&amp;ROW()),
  unit_details[Beds], INDIRECT("D"&amp;ROW()),
  unit_details[Detected Unit Amenities], "&lt;&gt;*"&amp;$AD$3&amp;"*",
  unit_details[Leased Date], "&gt;=" &amp; ($U$2 - $AF$3)
),0)</f>
        <v>0</v>
      </c>
      <c r="AI197" s="528"/>
      <c r="AJ197" s="531">
        <f t="shared" ca="1" si="7"/>
        <v>0</v>
      </c>
      <c r="AK197" s="532">
        <f t="shared" ca="1" si="8"/>
        <v>0</v>
      </c>
    </row>
    <row r="198" spans="2:37" x14ac:dyDescent="0.2">
      <c r="B198" s="566"/>
      <c r="C198" s="53"/>
      <c r="E198" s="262"/>
      <c r="F198" s="262"/>
      <c r="J198" s="293"/>
      <c r="K198" s="6"/>
      <c r="M198" s="6"/>
      <c r="N198" s="531" t="str" cm="1">
        <f t="array" aca="1" ref="N19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8" s="552" t="str" cm="1">
        <f t="array" aca="1" ref="O19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8" s="526" cm="1">
        <f t="array" aca="1" ref="P198" ca="1">COUNTIFS(unit_details[Leased Date], "&gt;=" &amp; ($U$2 - N$5),
          unit_details[Leased Date], "&lt;" &amp; $U$2,
          unit_details[Floorplan Name], INDIRECT("C"&amp;ROW()),
          unit_details[Property Name], INDIRECT("B"&amp;ROW()))</f>
        <v>0</v>
      </c>
      <c r="Q198" s="531" t="str" cm="1">
        <f t="array" aca="1" ref="Q19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8" s="552" t="str" cm="1">
        <f t="array" aca="1" ref="R19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8" s="526" cm="1">
        <f t="array" aca="1" ref="S198" ca="1">COUNTIFS(unit_details[Leased Date], "&gt;=" &amp; ($U$2 - Q$5),
          unit_details[Leased Date], "&lt;" &amp; $U$2,
          unit_details[Floorplan Name], INDIRECT("C"&amp;ROW()),
          unit_details[Property Name], INDIRECT("B"&amp;ROW()))</f>
        <v>0</v>
      </c>
      <c r="T198" s="531" t="str" cm="1">
        <f t="array" aca="1" ref="T19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8" s="552" t="str" cm="1">
        <f t="array" aca="1" ref="U19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8" s="526" cm="1">
        <f t="array" aca="1" ref="V198" ca="1">COUNTIFS(unit_details[Leased Date], "&gt;=" &amp; ($U$2 - T$5),
          unit_details[Leased Date], "&lt;" &amp; $U$2,
          unit_details[Floorplan Name], INDIRECT("C"&amp;ROW()),
          unit_details[Property Name], INDIRECT("B"&amp;ROW()))</f>
        <v>0</v>
      </c>
      <c r="W198" s="531" t="str" cm="1">
        <f t="array" aca="1" ref="W19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8" s="552" t="str" cm="1">
        <f t="array" aca="1" ref="X19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8" s="27" t="str">
        <f t="shared" ca="1" si="6"/>
        <v/>
      </c>
      <c r="Z198" s="4" t="str">
        <f>IFERROR($U$2-AVERAGEIFS(unit_details[First Listed],
          unit_details[Active Listing?],TRUE,
          unit_details[Property Name], $B198,
          unit_details[Beds], $D198,
          unit_details[Baths], $E198,
          unit_details[Partial Baths], IF(ISNUMBER($F198),$F198,""),
          unit_details[Floorplan Name],$C198
),"")</f>
        <v/>
      </c>
      <c r="AA198" s="262" cm="1">
        <f t="array" aca="1" ref="AA198" ca="1">COUNTIFS(unit_details[Active Listing?],TRUE,
          unit_details[Floorplan Name], INDIRECT("C"&amp;ROW()),
          unit_details[Property Name], INDIRECT("B"&amp;ROW()))</f>
        <v>0</v>
      </c>
      <c r="AB198" s="553"/>
      <c r="AC198" s="528" cm="1">
        <f t="array" aca="1" ref="AC198" ca="1">IFERROR(AVERAGEIFS(
  unit_details[Sqft],
  unit_details[Property Name], INDIRECT("B"&amp;ROW()),
  unit_details[Floorplan Name], INDIRECT("C"&amp;ROW()),
  unit_details[Beds], INDIRECT("D"&amp;ROW()),
  unit_details[Detected Unit Amenities], "*"&amp;$AD$3&amp;"*",
  unit_details[Leased Date], "&gt;=" &amp; ($U$2 - $AF$3)
),0)</f>
        <v>0</v>
      </c>
      <c r="AD198" s="527" cm="1">
        <f t="array" aca="1" ref="AD1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8" s="526" cm="1">
        <f t="array" aca="1" ref="AE198" ca="1">IFERROR(COUNTIFS(
  unit_details[Property Name], INDIRECT("B"&amp;ROW()),
  unit_details[Floorplan Name], INDIRECT("C"&amp;ROW()),
  unit_details[Beds], INDIRECT("D"&amp;ROW()),
  unit_details[Detected Unit Amenities], "*"&amp;$AD$3&amp;"*",
  unit_details[Leased Date], "&gt;=" &amp; ($U$2 - $AF$3)
),0)</f>
        <v>0</v>
      </c>
      <c r="AF198" s="528" cm="1">
        <f t="array" aca="1" ref="AF198" ca="1">IFERROR(AVERAGEIFS(
  unit_details[Sqft],
  unit_details[Property Name], INDIRECT("B"&amp;ROW()),
  unit_details[Floorplan Name], INDIRECT("C"&amp;ROW()),
  unit_details[Beds], INDIRECT("D"&amp;ROW()),
  unit_details[Detected Unit Amenities], "&lt;&gt;*"&amp;$AD$3&amp;"*",
  unit_details[Leased Date], "&gt;=" &amp; ($U$2 - $AF$3)
),0)</f>
        <v>0</v>
      </c>
      <c r="AG198" s="527" cm="1">
        <f t="array" aca="1" ref="AG1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8" s="526" cm="1">
        <f t="array" aca="1" ref="AH198" ca="1">IFERROR(COUNTIFS(
  unit_details[Property Name], INDIRECT("B"&amp;ROW()),
  unit_details[Floorplan Name], INDIRECT("C"&amp;ROW()),
  unit_details[Beds], INDIRECT("D"&amp;ROW()),
  unit_details[Detected Unit Amenities], "&lt;&gt;*"&amp;$AD$3&amp;"*",
  unit_details[Leased Date], "&gt;=" &amp; ($U$2 - $AF$3)
),0)</f>
        <v>0</v>
      </c>
      <c r="AI198" s="528"/>
      <c r="AJ198" s="531">
        <f t="shared" ca="1" si="7"/>
        <v>0</v>
      </c>
      <c r="AK198" s="532">
        <f t="shared" ca="1" si="8"/>
        <v>0</v>
      </c>
    </row>
    <row r="199" spans="2:37" x14ac:dyDescent="0.2">
      <c r="B199" s="566"/>
      <c r="C199" s="53"/>
      <c r="E199" s="262"/>
      <c r="F199" s="262"/>
      <c r="J199" s="293"/>
      <c r="K199" s="6"/>
      <c r="M199" s="6"/>
      <c r="N199" s="531" t="str" cm="1">
        <f t="array" aca="1" ref="N19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199" s="552" t="str" cm="1">
        <f t="array" aca="1" ref="O19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199" s="526" cm="1">
        <f t="array" aca="1" ref="P199" ca="1">COUNTIFS(unit_details[Leased Date], "&gt;=" &amp; ($U$2 - N$5),
          unit_details[Leased Date], "&lt;" &amp; $U$2,
          unit_details[Floorplan Name], INDIRECT("C"&amp;ROW()),
          unit_details[Property Name], INDIRECT("B"&amp;ROW()))</f>
        <v>0</v>
      </c>
      <c r="Q199" s="531" t="str" cm="1">
        <f t="array" aca="1" ref="Q19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199" s="552" t="str" cm="1">
        <f t="array" aca="1" ref="R19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199" s="526" cm="1">
        <f t="array" aca="1" ref="S199" ca="1">COUNTIFS(unit_details[Leased Date], "&gt;=" &amp; ($U$2 - Q$5),
          unit_details[Leased Date], "&lt;" &amp; $U$2,
          unit_details[Floorplan Name], INDIRECT("C"&amp;ROW()),
          unit_details[Property Name], INDIRECT("B"&amp;ROW()))</f>
        <v>0</v>
      </c>
      <c r="T199" s="531" t="str" cm="1">
        <f t="array" aca="1" ref="T19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199" s="552" t="str" cm="1">
        <f t="array" aca="1" ref="U19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199" s="526" cm="1">
        <f t="array" aca="1" ref="V199" ca="1">COUNTIFS(unit_details[Leased Date], "&gt;=" &amp; ($U$2 - T$5),
          unit_details[Leased Date], "&lt;" &amp; $U$2,
          unit_details[Floorplan Name], INDIRECT("C"&amp;ROW()),
          unit_details[Property Name], INDIRECT("B"&amp;ROW()))</f>
        <v>0</v>
      </c>
      <c r="W199" s="531" t="str" cm="1">
        <f t="array" aca="1" ref="W19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199" s="552" t="str" cm="1">
        <f t="array" aca="1" ref="X19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199" s="27" t="str">
        <f t="shared" ca="1" si="6"/>
        <v/>
      </c>
      <c r="Z199" s="4" t="str">
        <f>IFERROR($U$2-AVERAGEIFS(unit_details[First Listed],
          unit_details[Active Listing?],TRUE,
          unit_details[Property Name], $B199,
          unit_details[Beds], $D199,
          unit_details[Baths], $E199,
          unit_details[Partial Baths], IF(ISNUMBER($F199),$F199,""),
          unit_details[Floorplan Name],$C199
),"")</f>
        <v/>
      </c>
      <c r="AA199" s="262" cm="1">
        <f t="array" aca="1" ref="AA199" ca="1">COUNTIFS(unit_details[Active Listing?],TRUE,
          unit_details[Floorplan Name], INDIRECT("C"&amp;ROW()),
          unit_details[Property Name], INDIRECT("B"&amp;ROW()))</f>
        <v>0</v>
      </c>
      <c r="AB199" s="553"/>
      <c r="AC199" s="528" cm="1">
        <f t="array" aca="1" ref="AC199" ca="1">IFERROR(AVERAGEIFS(
  unit_details[Sqft],
  unit_details[Property Name], INDIRECT("B"&amp;ROW()),
  unit_details[Floorplan Name], INDIRECT("C"&amp;ROW()),
  unit_details[Beds], INDIRECT("D"&amp;ROW()),
  unit_details[Detected Unit Amenities], "*"&amp;$AD$3&amp;"*",
  unit_details[Leased Date], "&gt;=" &amp; ($U$2 - $AF$3)
),0)</f>
        <v>0</v>
      </c>
      <c r="AD199" s="527" cm="1">
        <f t="array" aca="1" ref="AD1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199" s="526" cm="1">
        <f t="array" aca="1" ref="AE199" ca="1">IFERROR(COUNTIFS(
  unit_details[Property Name], INDIRECT("B"&amp;ROW()),
  unit_details[Floorplan Name], INDIRECT("C"&amp;ROW()),
  unit_details[Beds], INDIRECT("D"&amp;ROW()),
  unit_details[Detected Unit Amenities], "*"&amp;$AD$3&amp;"*",
  unit_details[Leased Date], "&gt;=" &amp; ($U$2 - $AF$3)
),0)</f>
        <v>0</v>
      </c>
      <c r="AF199" s="528" cm="1">
        <f t="array" aca="1" ref="AF199" ca="1">IFERROR(AVERAGEIFS(
  unit_details[Sqft],
  unit_details[Property Name], INDIRECT("B"&amp;ROW()),
  unit_details[Floorplan Name], INDIRECT("C"&amp;ROW()),
  unit_details[Beds], INDIRECT("D"&amp;ROW()),
  unit_details[Detected Unit Amenities], "&lt;&gt;*"&amp;$AD$3&amp;"*",
  unit_details[Leased Date], "&gt;=" &amp; ($U$2 - $AF$3)
),0)</f>
        <v>0</v>
      </c>
      <c r="AG199" s="527" cm="1">
        <f t="array" aca="1" ref="AG1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199" s="526" cm="1">
        <f t="array" aca="1" ref="AH199" ca="1">IFERROR(COUNTIFS(
  unit_details[Property Name], INDIRECT("B"&amp;ROW()),
  unit_details[Floorplan Name], INDIRECT("C"&amp;ROW()),
  unit_details[Beds], INDIRECT("D"&amp;ROW()),
  unit_details[Detected Unit Amenities], "&lt;&gt;*"&amp;$AD$3&amp;"*",
  unit_details[Leased Date], "&gt;=" &amp; ($U$2 - $AF$3)
),0)</f>
        <v>0</v>
      </c>
      <c r="AI199" s="528"/>
      <c r="AJ199" s="531">
        <f t="shared" ca="1" si="7"/>
        <v>0</v>
      </c>
      <c r="AK199" s="532">
        <f t="shared" ca="1" si="8"/>
        <v>0</v>
      </c>
    </row>
    <row r="200" spans="2:37" x14ac:dyDescent="0.2">
      <c r="B200" s="566"/>
      <c r="C200" s="53"/>
      <c r="E200" s="262"/>
      <c r="F200" s="262"/>
      <c r="J200" s="293"/>
      <c r="K200" s="6"/>
      <c r="M200" s="6"/>
      <c r="N200" s="531" t="str" cm="1">
        <f t="array" aca="1" ref="N20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0" s="552" t="str" cm="1">
        <f t="array" aca="1" ref="O20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0" s="526" cm="1">
        <f t="array" aca="1" ref="P200" ca="1">COUNTIFS(unit_details[Leased Date], "&gt;=" &amp; ($U$2 - N$5),
          unit_details[Leased Date], "&lt;" &amp; $U$2,
          unit_details[Floorplan Name], INDIRECT("C"&amp;ROW()),
          unit_details[Property Name], INDIRECT("B"&amp;ROW()))</f>
        <v>0</v>
      </c>
      <c r="Q200" s="531" t="str" cm="1">
        <f t="array" aca="1" ref="Q20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0" s="552" t="str" cm="1">
        <f t="array" aca="1" ref="R20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0" s="526" cm="1">
        <f t="array" aca="1" ref="S200" ca="1">COUNTIFS(unit_details[Leased Date], "&gt;=" &amp; ($U$2 - Q$5),
          unit_details[Leased Date], "&lt;" &amp; $U$2,
          unit_details[Floorplan Name], INDIRECT("C"&amp;ROW()),
          unit_details[Property Name], INDIRECT("B"&amp;ROW()))</f>
        <v>0</v>
      </c>
      <c r="T200" s="531" t="str" cm="1">
        <f t="array" aca="1" ref="T20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0" s="552" t="str" cm="1">
        <f t="array" aca="1" ref="U20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0" s="526" cm="1">
        <f t="array" aca="1" ref="V200" ca="1">COUNTIFS(unit_details[Leased Date], "&gt;=" &amp; ($U$2 - T$5),
          unit_details[Leased Date], "&lt;" &amp; $U$2,
          unit_details[Floorplan Name], INDIRECT("C"&amp;ROW()),
          unit_details[Property Name], INDIRECT("B"&amp;ROW()))</f>
        <v>0</v>
      </c>
      <c r="W200" s="531" t="str" cm="1">
        <f t="array" aca="1" ref="W20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0" s="552" t="str" cm="1">
        <f t="array" aca="1" ref="X20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0" s="27" t="str">
        <f t="shared" ref="Y200:Y263" ca="1" si="9">IFERROR((W200-X200)/W200,"")</f>
        <v/>
      </c>
      <c r="Z200" s="4" t="str">
        <f>IFERROR($U$2-AVERAGEIFS(unit_details[First Listed],
          unit_details[Active Listing?],TRUE,
          unit_details[Property Name], $B200,
          unit_details[Beds], $D200,
          unit_details[Baths], $E200,
          unit_details[Partial Baths], IF(ISNUMBER($F200),$F200,""),
          unit_details[Floorplan Name],$C200
),"")</f>
        <v/>
      </c>
      <c r="AA200" s="262" cm="1">
        <f t="array" aca="1" ref="AA200" ca="1">COUNTIFS(unit_details[Active Listing?],TRUE,
          unit_details[Floorplan Name], INDIRECT("C"&amp;ROW()),
          unit_details[Property Name], INDIRECT("B"&amp;ROW()))</f>
        <v>0</v>
      </c>
      <c r="AB200" s="553"/>
      <c r="AC200" s="528" cm="1">
        <f t="array" aca="1" ref="AC200" ca="1">IFERROR(AVERAGEIFS(
  unit_details[Sqft],
  unit_details[Property Name], INDIRECT("B"&amp;ROW()),
  unit_details[Floorplan Name], INDIRECT("C"&amp;ROW()),
  unit_details[Beds], INDIRECT("D"&amp;ROW()),
  unit_details[Detected Unit Amenities], "*"&amp;$AD$3&amp;"*",
  unit_details[Leased Date], "&gt;=" &amp; ($U$2 - $AF$3)
),0)</f>
        <v>0</v>
      </c>
      <c r="AD200" s="527" cm="1">
        <f t="array" aca="1" ref="AD2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0" s="526" cm="1">
        <f t="array" aca="1" ref="AE200" ca="1">IFERROR(COUNTIFS(
  unit_details[Property Name], INDIRECT("B"&amp;ROW()),
  unit_details[Floorplan Name], INDIRECT("C"&amp;ROW()),
  unit_details[Beds], INDIRECT("D"&amp;ROW()),
  unit_details[Detected Unit Amenities], "*"&amp;$AD$3&amp;"*",
  unit_details[Leased Date], "&gt;=" &amp; ($U$2 - $AF$3)
),0)</f>
        <v>0</v>
      </c>
      <c r="AF200" s="528" cm="1">
        <f t="array" aca="1" ref="AF200" ca="1">IFERROR(AVERAGEIFS(
  unit_details[Sqft],
  unit_details[Property Name], INDIRECT("B"&amp;ROW()),
  unit_details[Floorplan Name], INDIRECT("C"&amp;ROW()),
  unit_details[Beds], INDIRECT("D"&amp;ROW()),
  unit_details[Detected Unit Amenities], "&lt;&gt;*"&amp;$AD$3&amp;"*",
  unit_details[Leased Date], "&gt;=" &amp; ($U$2 - $AF$3)
),0)</f>
        <v>0</v>
      </c>
      <c r="AG200" s="527" cm="1">
        <f t="array" aca="1" ref="AG2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0" s="526" cm="1">
        <f t="array" aca="1" ref="AH200" ca="1">IFERROR(COUNTIFS(
  unit_details[Property Name], INDIRECT("B"&amp;ROW()),
  unit_details[Floorplan Name], INDIRECT("C"&amp;ROW()),
  unit_details[Beds], INDIRECT("D"&amp;ROW()),
  unit_details[Detected Unit Amenities], "&lt;&gt;*"&amp;$AD$3&amp;"*",
  unit_details[Leased Date], "&gt;=" &amp; ($U$2 - $AF$3)
),0)</f>
        <v>0</v>
      </c>
      <c r="AI200" s="528"/>
      <c r="AJ200" s="531">
        <f t="shared" ca="1" si="7"/>
        <v>0</v>
      </c>
      <c r="AK200" s="532">
        <f t="shared" ca="1" si="8"/>
        <v>0</v>
      </c>
    </row>
    <row r="201" spans="2:37" x14ac:dyDescent="0.2">
      <c r="B201" s="566"/>
      <c r="C201" s="53"/>
      <c r="E201" s="262"/>
      <c r="F201" s="262"/>
      <c r="J201" s="293"/>
      <c r="K201" s="6"/>
      <c r="M201" s="6"/>
      <c r="N201" s="531" t="str" cm="1">
        <f t="array" aca="1" ref="N20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1" s="552" t="str" cm="1">
        <f t="array" aca="1" ref="O20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1" s="526" cm="1">
        <f t="array" aca="1" ref="P201" ca="1">COUNTIFS(unit_details[Leased Date], "&gt;=" &amp; ($U$2 - N$5),
          unit_details[Leased Date], "&lt;" &amp; $U$2,
          unit_details[Floorplan Name], INDIRECT("C"&amp;ROW()),
          unit_details[Property Name], INDIRECT("B"&amp;ROW()))</f>
        <v>0</v>
      </c>
      <c r="Q201" s="531" t="str" cm="1">
        <f t="array" aca="1" ref="Q20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1" s="552" t="str" cm="1">
        <f t="array" aca="1" ref="R20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1" s="526" cm="1">
        <f t="array" aca="1" ref="S201" ca="1">COUNTIFS(unit_details[Leased Date], "&gt;=" &amp; ($U$2 - Q$5),
          unit_details[Leased Date], "&lt;" &amp; $U$2,
          unit_details[Floorplan Name], INDIRECT("C"&amp;ROW()),
          unit_details[Property Name], INDIRECT("B"&amp;ROW()))</f>
        <v>0</v>
      </c>
      <c r="T201" s="531" t="str" cm="1">
        <f t="array" aca="1" ref="T20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1" s="552" t="str" cm="1">
        <f t="array" aca="1" ref="U20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1" s="526" cm="1">
        <f t="array" aca="1" ref="V201" ca="1">COUNTIFS(unit_details[Leased Date], "&gt;=" &amp; ($U$2 - T$5),
          unit_details[Leased Date], "&lt;" &amp; $U$2,
          unit_details[Floorplan Name], INDIRECT("C"&amp;ROW()),
          unit_details[Property Name], INDIRECT("B"&amp;ROW()))</f>
        <v>0</v>
      </c>
      <c r="W201" s="531" t="str" cm="1">
        <f t="array" aca="1" ref="W20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1" s="552" t="str" cm="1">
        <f t="array" aca="1" ref="X20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1" s="27" t="str">
        <f t="shared" ca="1" si="9"/>
        <v/>
      </c>
      <c r="Z201" s="4" t="str">
        <f>IFERROR($U$2-AVERAGEIFS(unit_details[First Listed],
          unit_details[Active Listing?],TRUE,
          unit_details[Property Name], $B201,
          unit_details[Beds], $D201,
          unit_details[Baths], $E201,
          unit_details[Partial Baths], IF(ISNUMBER($F201),$F201,""),
          unit_details[Floorplan Name],$C201
),"")</f>
        <v/>
      </c>
      <c r="AA201" s="262" cm="1">
        <f t="array" aca="1" ref="AA201" ca="1">COUNTIFS(unit_details[Active Listing?],TRUE,
          unit_details[Floorplan Name], INDIRECT("C"&amp;ROW()),
          unit_details[Property Name], INDIRECT("B"&amp;ROW()))</f>
        <v>0</v>
      </c>
      <c r="AB201" s="553"/>
      <c r="AC201" s="528" cm="1">
        <f t="array" aca="1" ref="AC201" ca="1">IFERROR(AVERAGEIFS(
  unit_details[Sqft],
  unit_details[Property Name], INDIRECT("B"&amp;ROW()),
  unit_details[Floorplan Name], INDIRECT("C"&amp;ROW()),
  unit_details[Beds], INDIRECT("D"&amp;ROW()),
  unit_details[Detected Unit Amenities], "*"&amp;$AD$3&amp;"*",
  unit_details[Leased Date], "&gt;=" &amp; ($U$2 - $AF$3)
),0)</f>
        <v>0</v>
      </c>
      <c r="AD201" s="527" cm="1">
        <f t="array" aca="1" ref="AD2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1" s="526" cm="1">
        <f t="array" aca="1" ref="AE201" ca="1">IFERROR(COUNTIFS(
  unit_details[Property Name], INDIRECT("B"&amp;ROW()),
  unit_details[Floorplan Name], INDIRECT("C"&amp;ROW()),
  unit_details[Beds], INDIRECT("D"&amp;ROW()),
  unit_details[Detected Unit Amenities], "*"&amp;$AD$3&amp;"*",
  unit_details[Leased Date], "&gt;=" &amp; ($U$2 - $AF$3)
),0)</f>
        <v>0</v>
      </c>
      <c r="AF201" s="528" cm="1">
        <f t="array" aca="1" ref="AF201" ca="1">IFERROR(AVERAGEIFS(
  unit_details[Sqft],
  unit_details[Property Name], INDIRECT("B"&amp;ROW()),
  unit_details[Floorplan Name], INDIRECT("C"&amp;ROW()),
  unit_details[Beds], INDIRECT("D"&amp;ROW()),
  unit_details[Detected Unit Amenities], "&lt;&gt;*"&amp;$AD$3&amp;"*",
  unit_details[Leased Date], "&gt;=" &amp; ($U$2 - $AF$3)
),0)</f>
        <v>0</v>
      </c>
      <c r="AG201" s="527" cm="1">
        <f t="array" aca="1" ref="AG2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1" s="526" cm="1">
        <f t="array" aca="1" ref="AH201" ca="1">IFERROR(COUNTIFS(
  unit_details[Property Name], INDIRECT("B"&amp;ROW()),
  unit_details[Floorplan Name], INDIRECT("C"&amp;ROW()),
  unit_details[Beds], INDIRECT("D"&amp;ROW()),
  unit_details[Detected Unit Amenities], "&lt;&gt;*"&amp;$AD$3&amp;"*",
  unit_details[Leased Date], "&gt;=" &amp; ($U$2 - $AF$3)
),0)</f>
        <v>0</v>
      </c>
      <c r="AI201" s="528"/>
      <c r="AJ201" s="531">
        <f t="shared" ref="AJ201:AJ264" ca="1" si="10">IF(OR(AD201=0,AG201=0),0,IFERROR(AD201-AG201,0))</f>
        <v>0</v>
      </c>
      <c r="AK201" s="532">
        <f t="shared" ref="AK201:AK264" ca="1" si="11">IFERROR(AJ201/AG201,0)</f>
        <v>0</v>
      </c>
    </row>
    <row r="202" spans="2:37" x14ac:dyDescent="0.2">
      <c r="B202" s="566"/>
      <c r="C202" s="53"/>
      <c r="E202" s="262"/>
      <c r="F202" s="262"/>
      <c r="J202" s="293"/>
      <c r="K202" s="6"/>
      <c r="M202" s="6"/>
      <c r="N202" s="531" t="str" cm="1">
        <f t="array" aca="1" ref="N20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2" s="552" t="str" cm="1">
        <f t="array" aca="1" ref="O20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2" s="526" cm="1">
        <f t="array" aca="1" ref="P202" ca="1">COUNTIFS(unit_details[Leased Date], "&gt;=" &amp; ($U$2 - N$5),
          unit_details[Leased Date], "&lt;" &amp; $U$2,
          unit_details[Floorplan Name], INDIRECT("C"&amp;ROW()),
          unit_details[Property Name], INDIRECT("B"&amp;ROW()))</f>
        <v>0</v>
      </c>
      <c r="Q202" s="531" t="str" cm="1">
        <f t="array" aca="1" ref="Q20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2" s="552" t="str" cm="1">
        <f t="array" aca="1" ref="R20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2" s="526" cm="1">
        <f t="array" aca="1" ref="S202" ca="1">COUNTIFS(unit_details[Leased Date], "&gt;=" &amp; ($U$2 - Q$5),
          unit_details[Leased Date], "&lt;" &amp; $U$2,
          unit_details[Floorplan Name], INDIRECT("C"&amp;ROW()),
          unit_details[Property Name], INDIRECT("B"&amp;ROW()))</f>
        <v>0</v>
      </c>
      <c r="T202" s="531" t="str" cm="1">
        <f t="array" aca="1" ref="T20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2" s="552" t="str" cm="1">
        <f t="array" aca="1" ref="U20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2" s="526" cm="1">
        <f t="array" aca="1" ref="V202" ca="1">COUNTIFS(unit_details[Leased Date], "&gt;=" &amp; ($U$2 - T$5),
          unit_details[Leased Date], "&lt;" &amp; $U$2,
          unit_details[Floorplan Name], INDIRECT("C"&amp;ROW()),
          unit_details[Property Name], INDIRECT("B"&amp;ROW()))</f>
        <v>0</v>
      </c>
      <c r="W202" s="531" t="str" cm="1">
        <f t="array" aca="1" ref="W20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2" s="552" t="str" cm="1">
        <f t="array" aca="1" ref="X20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2" s="27" t="str">
        <f t="shared" ca="1" si="9"/>
        <v/>
      </c>
      <c r="Z202" s="4" t="str">
        <f>IFERROR($U$2-AVERAGEIFS(unit_details[First Listed],
          unit_details[Active Listing?],TRUE,
          unit_details[Property Name], $B202,
          unit_details[Beds], $D202,
          unit_details[Baths], $E202,
          unit_details[Partial Baths], IF(ISNUMBER($F202),$F202,""),
          unit_details[Floorplan Name],$C202
),"")</f>
        <v/>
      </c>
      <c r="AA202" s="262" cm="1">
        <f t="array" aca="1" ref="AA202" ca="1">COUNTIFS(unit_details[Active Listing?],TRUE,
          unit_details[Floorplan Name], INDIRECT("C"&amp;ROW()),
          unit_details[Property Name], INDIRECT("B"&amp;ROW()))</f>
        <v>0</v>
      </c>
      <c r="AB202" s="553"/>
      <c r="AC202" s="528" cm="1">
        <f t="array" aca="1" ref="AC202" ca="1">IFERROR(AVERAGEIFS(
  unit_details[Sqft],
  unit_details[Property Name], INDIRECT("B"&amp;ROW()),
  unit_details[Floorplan Name], INDIRECT("C"&amp;ROW()),
  unit_details[Beds], INDIRECT("D"&amp;ROW()),
  unit_details[Detected Unit Amenities], "*"&amp;$AD$3&amp;"*",
  unit_details[Leased Date], "&gt;=" &amp; ($U$2 - $AF$3)
),0)</f>
        <v>0</v>
      </c>
      <c r="AD202" s="527" cm="1">
        <f t="array" aca="1" ref="AD2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2" s="526" cm="1">
        <f t="array" aca="1" ref="AE202" ca="1">IFERROR(COUNTIFS(
  unit_details[Property Name], INDIRECT("B"&amp;ROW()),
  unit_details[Floorplan Name], INDIRECT("C"&amp;ROW()),
  unit_details[Beds], INDIRECT("D"&amp;ROW()),
  unit_details[Detected Unit Amenities], "*"&amp;$AD$3&amp;"*",
  unit_details[Leased Date], "&gt;=" &amp; ($U$2 - $AF$3)
),0)</f>
        <v>0</v>
      </c>
      <c r="AF202" s="528" cm="1">
        <f t="array" aca="1" ref="AF202" ca="1">IFERROR(AVERAGEIFS(
  unit_details[Sqft],
  unit_details[Property Name], INDIRECT("B"&amp;ROW()),
  unit_details[Floorplan Name], INDIRECT("C"&amp;ROW()),
  unit_details[Beds], INDIRECT("D"&amp;ROW()),
  unit_details[Detected Unit Amenities], "&lt;&gt;*"&amp;$AD$3&amp;"*",
  unit_details[Leased Date], "&gt;=" &amp; ($U$2 - $AF$3)
),0)</f>
        <v>0</v>
      </c>
      <c r="AG202" s="527" cm="1">
        <f t="array" aca="1" ref="AG2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2" s="526" cm="1">
        <f t="array" aca="1" ref="AH202" ca="1">IFERROR(COUNTIFS(
  unit_details[Property Name], INDIRECT("B"&amp;ROW()),
  unit_details[Floorplan Name], INDIRECT("C"&amp;ROW()),
  unit_details[Beds], INDIRECT("D"&amp;ROW()),
  unit_details[Detected Unit Amenities], "&lt;&gt;*"&amp;$AD$3&amp;"*",
  unit_details[Leased Date], "&gt;=" &amp; ($U$2 - $AF$3)
),0)</f>
        <v>0</v>
      </c>
      <c r="AI202" s="528"/>
      <c r="AJ202" s="531">
        <f t="shared" ca="1" si="10"/>
        <v>0</v>
      </c>
      <c r="AK202" s="532">
        <f t="shared" ca="1" si="11"/>
        <v>0</v>
      </c>
    </row>
    <row r="203" spans="2:37" x14ac:dyDescent="0.2">
      <c r="B203" s="566"/>
      <c r="C203" s="53"/>
      <c r="E203" s="262"/>
      <c r="F203" s="262"/>
      <c r="J203" s="293"/>
      <c r="K203" s="6"/>
      <c r="M203" s="6"/>
      <c r="N203" s="531" t="str" cm="1">
        <f t="array" aca="1" ref="N20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3" s="552" t="str" cm="1">
        <f t="array" aca="1" ref="O20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3" s="526" cm="1">
        <f t="array" aca="1" ref="P203" ca="1">COUNTIFS(unit_details[Leased Date], "&gt;=" &amp; ($U$2 - N$5),
          unit_details[Leased Date], "&lt;" &amp; $U$2,
          unit_details[Floorplan Name], INDIRECT("C"&amp;ROW()),
          unit_details[Property Name], INDIRECT("B"&amp;ROW()))</f>
        <v>0</v>
      </c>
      <c r="Q203" s="531" t="str" cm="1">
        <f t="array" aca="1" ref="Q20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3" s="552" t="str" cm="1">
        <f t="array" aca="1" ref="R20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3" s="526" cm="1">
        <f t="array" aca="1" ref="S203" ca="1">COUNTIFS(unit_details[Leased Date], "&gt;=" &amp; ($U$2 - Q$5),
          unit_details[Leased Date], "&lt;" &amp; $U$2,
          unit_details[Floorplan Name], INDIRECT("C"&amp;ROW()),
          unit_details[Property Name], INDIRECT("B"&amp;ROW()))</f>
        <v>0</v>
      </c>
      <c r="T203" s="531" t="str" cm="1">
        <f t="array" aca="1" ref="T20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3" s="552" t="str" cm="1">
        <f t="array" aca="1" ref="U20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3" s="526" cm="1">
        <f t="array" aca="1" ref="V203" ca="1">COUNTIFS(unit_details[Leased Date], "&gt;=" &amp; ($U$2 - T$5),
          unit_details[Leased Date], "&lt;" &amp; $U$2,
          unit_details[Floorplan Name], INDIRECT("C"&amp;ROW()),
          unit_details[Property Name], INDIRECT("B"&amp;ROW()))</f>
        <v>0</v>
      </c>
      <c r="W203" s="531" t="str" cm="1">
        <f t="array" aca="1" ref="W20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3" s="552" t="str" cm="1">
        <f t="array" aca="1" ref="X20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3" s="27" t="str">
        <f t="shared" ca="1" si="9"/>
        <v/>
      </c>
      <c r="Z203" s="4" t="str">
        <f>IFERROR($U$2-AVERAGEIFS(unit_details[First Listed],
          unit_details[Active Listing?],TRUE,
          unit_details[Property Name], $B203,
          unit_details[Beds], $D203,
          unit_details[Baths], $E203,
          unit_details[Partial Baths], IF(ISNUMBER($F203),$F203,""),
          unit_details[Floorplan Name],$C203
),"")</f>
        <v/>
      </c>
      <c r="AA203" s="262" cm="1">
        <f t="array" aca="1" ref="AA203" ca="1">COUNTIFS(unit_details[Active Listing?],TRUE,
          unit_details[Floorplan Name], INDIRECT("C"&amp;ROW()),
          unit_details[Property Name], INDIRECT("B"&amp;ROW()))</f>
        <v>0</v>
      </c>
      <c r="AB203" s="553"/>
      <c r="AC203" s="528" cm="1">
        <f t="array" aca="1" ref="AC203" ca="1">IFERROR(AVERAGEIFS(
  unit_details[Sqft],
  unit_details[Property Name], INDIRECT("B"&amp;ROW()),
  unit_details[Floorplan Name], INDIRECT("C"&amp;ROW()),
  unit_details[Beds], INDIRECT("D"&amp;ROW()),
  unit_details[Detected Unit Amenities], "*"&amp;$AD$3&amp;"*",
  unit_details[Leased Date], "&gt;=" &amp; ($U$2 - $AF$3)
),0)</f>
        <v>0</v>
      </c>
      <c r="AD203" s="527" cm="1">
        <f t="array" aca="1" ref="AD2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3" s="526" cm="1">
        <f t="array" aca="1" ref="AE203" ca="1">IFERROR(COUNTIFS(
  unit_details[Property Name], INDIRECT("B"&amp;ROW()),
  unit_details[Floorplan Name], INDIRECT("C"&amp;ROW()),
  unit_details[Beds], INDIRECT("D"&amp;ROW()),
  unit_details[Detected Unit Amenities], "*"&amp;$AD$3&amp;"*",
  unit_details[Leased Date], "&gt;=" &amp; ($U$2 - $AF$3)
),0)</f>
        <v>0</v>
      </c>
      <c r="AF203" s="528" cm="1">
        <f t="array" aca="1" ref="AF203" ca="1">IFERROR(AVERAGEIFS(
  unit_details[Sqft],
  unit_details[Property Name], INDIRECT("B"&amp;ROW()),
  unit_details[Floorplan Name], INDIRECT("C"&amp;ROW()),
  unit_details[Beds], INDIRECT("D"&amp;ROW()),
  unit_details[Detected Unit Amenities], "&lt;&gt;*"&amp;$AD$3&amp;"*",
  unit_details[Leased Date], "&gt;=" &amp; ($U$2 - $AF$3)
),0)</f>
        <v>0</v>
      </c>
      <c r="AG203" s="527" cm="1">
        <f t="array" aca="1" ref="AG2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3" s="526" cm="1">
        <f t="array" aca="1" ref="AH203" ca="1">IFERROR(COUNTIFS(
  unit_details[Property Name], INDIRECT("B"&amp;ROW()),
  unit_details[Floorplan Name], INDIRECT("C"&amp;ROW()),
  unit_details[Beds], INDIRECT("D"&amp;ROW()),
  unit_details[Detected Unit Amenities], "&lt;&gt;*"&amp;$AD$3&amp;"*",
  unit_details[Leased Date], "&gt;=" &amp; ($U$2 - $AF$3)
),0)</f>
        <v>0</v>
      </c>
      <c r="AI203" s="528"/>
      <c r="AJ203" s="531">
        <f t="shared" ca="1" si="10"/>
        <v>0</v>
      </c>
      <c r="AK203" s="532">
        <f t="shared" ca="1" si="11"/>
        <v>0</v>
      </c>
    </row>
    <row r="204" spans="2:37" x14ac:dyDescent="0.2">
      <c r="B204" s="566"/>
      <c r="C204" s="53"/>
      <c r="E204" s="262"/>
      <c r="F204" s="262"/>
      <c r="J204" s="293"/>
      <c r="K204" s="6"/>
      <c r="M204" s="6"/>
      <c r="N204" s="531" t="str" cm="1">
        <f t="array" aca="1" ref="N20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4" s="552" t="str" cm="1">
        <f t="array" aca="1" ref="O20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4" s="526" cm="1">
        <f t="array" aca="1" ref="P204" ca="1">COUNTIFS(unit_details[Leased Date], "&gt;=" &amp; ($U$2 - N$5),
          unit_details[Leased Date], "&lt;" &amp; $U$2,
          unit_details[Floorplan Name], INDIRECT("C"&amp;ROW()),
          unit_details[Property Name], INDIRECT("B"&amp;ROW()))</f>
        <v>0</v>
      </c>
      <c r="Q204" s="531" t="str" cm="1">
        <f t="array" aca="1" ref="Q20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4" s="552" t="str" cm="1">
        <f t="array" aca="1" ref="R20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4" s="526" cm="1">
        <f t="array" aca="1" ref="S204" ca="1">COUNTIFS(unit_details[Leased Date], "&gt;=" &amp; ($U$2 - Q$5),
          unit_details[Leased Date], "&lt;" &amp; $U$2,
          unit_details[Floorplan Name], INDIRECT("C"&amp;ROW()),
          unit_details[Property Name], INDIRECT("B"&amp;ROW()))</f>
        <v>0</v>
      </c>
      <c r="T204" s="531" t="str" cm="1">
        <f t="array" aca="1" ref="T20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4" s="552" t="str" cm="1">
        <f t="array" aca="1" ref="U20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4" s="526" cm="1">
        <f t="array" aca="1" ref="V204" ca="1">COUNTIFS(unit_details[Leased Date], "&gt;=" &amp; ($U$2 - T$5),
          unit_details[Leased Date], "&lt;" &amp; $U$2,
          unit_details[Floorplan Name], INDIRECT("C"&amp;ROW()),
          unit_details[Property Name], INDIRECT("B"&amp;ROW()))</f>
        <v>0</v>
      </c>
      <c r="W204" s="531" t="str" cm="1">
        <f t="array" aca="1" ref="W20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4" s="552" t="str" cm="1">
        <f t="array" aca="1" ref="X20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4" s="27" t="str">
        <f t="shared" ca="1" si="9"/>
        <v/>
      </c>
      <c r="Z204" s="4" t="str">
        <f>IFERROR($U$2-AVERAGEIFS(unit_details[First Listed],
          unit_details[Active Listing?],TRUE,
          unit_details[Property Name], $B204,
          unit_details[Beds], $D204,
          unit_details[Baths], $E204,
          unit_details[Partial Baths], IF(ISNUMBER($F204),$F204,""),
          unit_details[Floorplan Name],$C204
),"")</f>
        <v/>
      </c>
      <c r="AA204" s="262" cm="1">
        <f t="array" aca="1" ref="AA204" ca="1">COUNTIFS(unit_details[Active Listing?],TRUE,
          unit_details[Floorplan Name], INDIRECT("C"&amp;ROW()),
          unit_details[Property Name], INDIRECT("B"&amp;ROW()))</f>
        <v>0</v>
      </c>
      <c r="AB204" s="553"/>
      <c r="AC204" s="528" cm="1">
        <f t="array" aca="1" ref="AC204" ca="1">IFERROR(AVERAGEIFS(
  unit_details[Sqft],
  unit_details[Property Name], INDIRECT("B"&amp;ROW()),
  unit_details[Floorplan Name], INDIRECT("C"&amp;ROW()),
  unit_details[Beds], INDIRECT("D"&amp;ROW()),
  unit_details[Detected Unit Amenities], "*"&amp;$AD$3&amp;"*",
  unit_details[Leased Date], "&gt;=" &amp; ($U$2 - $AF$3)
),0)</f>
        <v>0</v>
      </c>
      <c r="AD204" s="527" cm="1">
        <f t="array" aca="1" ref="AD2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4" s="526" cm="1">
        <f t="array" aca="1" ref="AE204" ca="1">IFERROR(COUNTIFS(
  unit_details[Property Name], INDIRECT("B"&amp;ROW()),
  unit_details[Floorplan Name], INDIRECT("C"&amp;ROW()),
  unit_details[Beds], INDIRECT("D"&amp;ROW()),
  unit_details[Detected Unit Amenities], "*"&amp;$AD$3&amp;"*",
  unit_details[Leased Date], "&gt;=" &amp; ($U$2 - $AF$3)
),0)</f>
        <v>0</v>
      </c>
      <c r="AF204" s="528" cm="1">
        <f t="array" aca="1" ref="AF204" ca="1">IFERROR(AVERAGEIFS(
  unit_details[Sqft],
  unit_details[Property Name], INDIRECT("B"&amp;ROW()),
  unit_details[Floorplan Name], INDIRECT("C"&amp;ROW()),
  unit_details[Beds], INDIRECT("D"&amp;ROW()),
  unit_details[Detected Unit Amenities], "&lt;&gt;*"&amp;$AD$3&amp;"*",
  unit_details[Leased Date], "&gt;=" &amp; ($U$2 - $AF$3)
),0)</f>
        <v>0</v>
      </c>
      <c r="AG204" s="527" cm="1">
        <f t="array" aca="1" ref="AG2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4" s="526" cm="1">
        <f t="array" aca="1" ref="AH204" ca="1">IFERROR(COUNTIFS(
  unit_details[Property Name], INDIRECT("B"&amp;ROW()),
  unit_details[Floorplan Name], INDIRECT("C"&amp;ROW()),
  unit_details[Beds], INDIRECT("D"&amp;ROW()),
  unit_details[Detected Unit Amenities], "&lt;&gt;*"&amp;$AD$3&amp;"*",
  unit_details[Leased Date], "&gt;=" &amp; ($U$2 - $AF$3)
),0)</f>
        <v>0</v>
      </c>
      <c r="AI204" s="528"/>
      <c r="AJ204" s="531">
        <f t="shared" ca="1" si="10"/>
        <v>0</v>
      </c>
      <c r="AK204" s="532">
        <f t="shared" ca="1" si="11"/>
        <v>0</v>
      </c>
    </row>
    <row r="205" spans="2:37" x14ac:dyDescent="0.2">
      <c r="B205" s="566"/>
      <c r="C205" s="53"/>
      <c r="E205" s="262"/>
      <c r="F205" s="262"/>
      <c r="J205" s="293"/>
      <c r="K205" s="6"/>
      <c r="M205" s="6"/>
      <c r="N205" s="531" t="str" cm="1">
        <f t="array" aca="1" ref="N20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5" s="552" t="str" cm="1">
        <f t="array" aca="1" ref="O20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5" s="526" cm="1">
        <f t="array" aca="1" ref="P205" ca="1">COUNTIFS(unit_details[Leased Date], "&gt;=" &amp; ($U$2 - N$5),
          unit_details[Leased Date], "&lt;" &amp; $U$2,
          unit_details[Floorplan Name], INDIRECT("C"&amp;ROW()),
          unit_details[Property Name], INDIRECT("B"&amp;ROW()))</f>
        <v>0</v>
      </c>
      <c r="Q205" s="531" t="str" cm="1">
        <f t="array" aca="1" ref="Q20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5" s="552" t="str" cm="1">
        <f t="array" aca="1" ref="R20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5" s="526" cm="1">
        <f t="array" aca="1" ref="S205" ca="1">COUNTIFS(unit_details[Leased Date], "&gt;=" &amp; ($U$2 - Q$5),
          unit_details[Leased Date], "&lt;" &amp; $U$2,
          unit_details[Floorplan Name], INDIRECT("C"&amp;ROW()),
          unit_details[Property Name], INDIRECT("B"&amp;ROW()))</f>
        <v>0</v>
      </c>
      <c r="T205" s="531" t="str" cm="1">
        <f t="array" aca="1" ref="T20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5" s="552" t="str" cm="1">
        <f t="array" aca="1" ref="U20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5" s="526" cm="1">
        <f t="array" aca="1" ref="V205" ca="1">COUNTIFS(unit_details[Leased Date], "&gt;=" &amp; ($U$2 - T$5),
          unit_details[Leased Date], "&lt;" &amp; $U$2,
          unit_details[Floorplan Name], INDIRECT("C"&amp;ROW()),
          unit_details[Property Name], INDIRECT("B"&amp;ROW()))</f>
        <v>0</v>
      </c>
      <c r="W205" s="531" t="str" cm="1">
        <f t="array" aca="1" ref="W20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5" s="552" t="str" cm="1">
        <f t="array" aca="1" ref="X20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5" s="27" t="str">
        <f t="shared" ca="1" si="9"/>
        <v/>
      </c>
      <c r="Z205" s="4" t="str">
        <f>IFERROR($U$2-AVERAGEIFS(unit_details[First Listed],
          unit_details[Active Listing?],TRUE,
          unit_details[Property Name], $B205,
          unit_details[Beds], $D205,
          unit_details[Baths], $E205,
          unit_details[Partial Baths], IF(ISNUMBER($F205),$F205,""),
          unit_details[Floorplan Name],$C205
),"")</f>
        <v/>
      </c>
      <c r="AA205" s="262" cm="1">
        <f t="array" aca="1" ref="AA205" ca="1">COUNTIFS(unit_details[Active Listing?],TRUE,
          unit_details[Floorplan Name], INDIRECT("C"&amp;ROW()),
          unit_details[Property Name], INDIRECT("B"&amp;ROW()))</f>
        <v>0</v>
      </c>
      <c r="AB205" s="553"/>
      <c r="AC205" s="528" cm="1">
        <f t="array" aca="1" ref="AC205" ca="1">IFERROR(AVERAGEIFS(
  unit_details[Sqft],
  unit_details[Property Name], INDIRECT("B"&amp;ROW()),
  unit_details[Floorplan Name], INDIRECT("C"&amp;ROW()),
  unit_details[Beds], INDIRECT("D"&amp;ROW()),
  unit_details[Detected Unit Amenities], "*"&amp;$AD$3&amp;"*",
  unit_details[Leased Date], "&gt;=" &amp; ($U$2 - $AF$3)
),0)</f>
        <v>0</v>
      </c>
      <c r="AD205" s="527" cm="1">
        <f t="array" aca="1" ref="AD2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5" s="526" cm="1">
        <f t="array" aca="1" ref="AE205" ca="1">IFERROR(COUNTIFS(
  unit_details[Property Name], INDIRECT("B"&amp;ROW()),
  unit_details[Floorplan Name], INDIRECT("C"&amp;ROW()),
  unit_details[Beds], INDIRECT("D"&amp;ROW()),
  unit_details[Detected Unit Amenities], "*"&amp;$AD$3&amp;"*",
  unit_details[Leased Date], "&gt;=" &amp; ($U$2 - $AF$3)
),0)</f>
        <v>0</v>
      </c>
      <c r="AF205" s="528" cm="1">
        <f t="array" aca="1" ref="AF205" ca="1">IFERROR(AVERAGEIFS(
  unit_details[Sqft],
  unit_details[Property Name], INDIRECT("B"&amp;ROW()),
  unit_details[Floorplan Name], INDIRECT("C"&amp;ROW()),
  unit_details[Beds], INDIRECT("D"&amp;ROW()),
  unit_details[Detected Unit Amenities], "&lt;&gt;*"&amp;$AD$3&amp;"*",
  unit_details[Leased Date], "&gt;=" &amp; ($U$2 - $AF$3)
),0)</f>
        <v>0</v>
      </c>
      <c r="AG205" s="527" cm="1">
        <f t="array" aca="1" ref="AG2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5" s="526" cm="1">
        <f t="array" aca="1" ref="AH205" ca="1">IFERROR(COUNTIFS(
  unit_details[Property Name], INDIRECT("B"&amp;ROW()),
  unit_details[Floorplan Name], INDIRECT("C"&amp;ROW()),
  unit_details[Beds], INDIRECT("D"&amp;ROW()),
  unit_details[Detected Unit Amenities], "&lt;&gt;*"&amp;$AD$3&amp;"*",
  unit_details[Leased Date], "&gt;=" &amp; ($U$2 - $AF$3)
),0)</f>
        <v>0</v>
      </c>
      <c r="AI205" s="528"/>
      <c r="AJ205" s="531">
        <f t="shared" ca="1" si="10"/>
        <v>0</v>
      </c>
      <c r="AK205" s="532">
        <f t="shared" ca="1" si="11"/>
        <v>0</v>
      </c>
    </row>
    <row r="206" spans="2:37" x14ac:dyDescent="0.2">
      <c r="B206" s="566"/>
      <c r="C206" s="53"/>
      <c r="E206" s="262"/>
      <c r="F206" s="262"/>
      <c r="J206" s="293"/>
      <c r="K206" s="6"/>
      <c r="M206" s="6"/>
      <c r="N206" s="531" t="str" cm="1">
        <f t="array" aca="1" ref="N20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6" s="552" t="str" cm="1">
        <f t="array" aca="1" ref="O20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6" s="526" cm="1">
        <f t="array" aca="1" ref="P206" ca="1">COUNTIFS(unit_details[Leased Date], "&gt;=" &amp; ($U$2 - N$5),
          unit_details[Leased Date], "&lt;" &amp; $U$2,
          unit_details[Floorplan Name], INDIRECT("C"&amp;ROW()),
          unit_details[Property Name], INDIRECT("B"&amp;ROW()))</f>
        <v>0</v>
      </c>
      <c r="Q206" s="531" t="str" cm="1">
        <f t="array" aca="1" ref="Q20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6" s="552" t="str" cm="1">
        <f t="array" aca="1" ref="R20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6" s="526" cm="1">
        <f t="array" aca="1" ref="S206" ca="1">COUNTIFS(unit_details[Leased Date], "&gt;=" &amp; ($U$2 - Q$5),
          unit_details[Leased Date], "&lt;" &amp; $U$2,
          unit_details[Floorplan Name], INDIRECT("C"&amp;ROW()),
          unit_details[Property Name], INDIRECT("B"&amp;ROW()))</f>
        <v>0</v>
      </c>
      <c r="T206" s="531" t="str" cm="1">
        <f t="array" aca="1" ref="T20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6" s="552" t="str" cm="1">
        <f t="array" aca="1" ref="U20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6" s="526" cm="1">
        <f t="array" aca="1" ref="V206" ca="1">COUNTIFS(unit_details[Leased Date], "&gt;=" &amp; ($U$2 - T$5),
          unit_details[Leased Date], "&lt;" &amp; $U$2,
          unit_details[Floorplan Name], INDIRECT("C"&amp;ROW()),
          unit_details[Property Name], INDIRECT("B"&amp;ROW()))</f>
        <v>0</v>
      </c>
      <c r="W206" s="531" t="str" cm="1">
        <f t="array" aca="1" ref="W20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6" s="552" t="str" cm="1">
        <f t="array" aca="1" ref="X20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6" s="27" t="str">
        <f t="shared" ca="1" si="9"/>
        <v/>
      </c>
      <c r="Z206" s="4" t="str">
        <f>IFERROR($U$2-AVERAGEIFS(unit_details[First Listed],
          unit_details[Active Listing?],TRUE,
          unit_details[Property Name], $B206,
          unit_details[Beds], $D206,
          unit_details[Baths], $E206,
          unit_details[Partial Baths], IF(ISNUMBER($F206),$F206,""),
          unit_details[Floorplan Name],$C206
),"")</f>
        <v/>
      </c>
      <c r="AA206" s="262" cm="1">
        <f t="array" aca="1" ref="AA206" ca="1">COUNTIFS(unit_details[Active Listing?],TRUE,
          unit_details[Floorplan Name], INDIRECT("C"&amp;ROW()),
          unit_details[Property Name], INDIRECT("B"&amp;ROW()))</f>
        <v>0</v>
      </c>
      <c r="AB206" s="553"/>
      <c r="AC206" s="528" cm="1">
        <f t="array" aca="1" ref="AC206" ca="1">IFERROR(AVERAGEIFS(
  unit_details[Sqft],
  unit_details[Property Name], INDIRECT("B"&amp;ROW()),
  unit_details[Floorplan Name], INDIRECT("C"&amp;ROW()),
  unit_details[Beds], INDIRECT("D"&amp;ROW()),
  unit_details[Detected Unit Amenities], "*"&amp;$AD$3&amp;"*",
  unit_details[Leased Date], "&gt;=" &amp; ($U$2 - $AF$3)
),0)</f>
        <v>0</v>
      </c>
      <c r="AD206" s="527" cm="1">
        <f t="array" aca="1" ref="AD2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6" s="526" cm="1">
        <f t="array" aca="1" ref="AE206" ca="1">IFERROR(COUNTIFS(
  unit_details[Property Name], INDIRECT("B"&amp;ROW()),
  unit_details[Floorplan Name], INDIRECT("C"&amp;ROW()),
  unit_details[Beds], INDIRECT("D"&amp;ROW()),
  unit_details[Detected Unit Amenities], "*"&amp;$AD$3&amp;"*",
  unit_details[Leased Date], "&gt;=" &amp; ($U$2 - $AF$3)
),0)</f>
        <v>0</v>
      </c>
      <c r="AF206" s="528" cm="1">
        <f t="array" aca="1" ref="AF206" ca="1">IFERROR(AVERAGEIFS(
  unit_details[Sqft],
  unit_details[Property Name], INDIRECT("B"&amp;ROW()),
  unit_details[Floorplan Name], INDIRECT("C"&amp;ROW()),
  unit_details[Beds], INDIRECT("D"&amp;ROW()),
  unit_details[Detected Unit Amenities], "&lt;&gt;*"&amp;$AD$3&amp;"*",
  unit_details[Leased Date], "&gt;=" &amp; ($U$2 - $AF$3)
),0)</f>
        <v>0</v>
      </c>
      <c r="AG206" s="527" cm="1">
        <f t="array" aca="1" ref="AG2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6" s="526" cm="1">
        <f t="array" aca="1" ref="AH206" ca="1">IFERROR(COUNTIFS(
  unit_details[Property Name], INDIRECT("B"&amp;ROW()),
  unit_details[Floorplan Name], INDIRECT("C"&amp;ROW()),
  unit_details[Beds], INDIRECT("D"&amp;ROW()),
  unit_details[Detected Unit Amenities], "&lt;&gt;*"&amp;$AD$3&amp;"*",
  unit_details[Leased Date], "&gt;=" &amp; ($U$2 - $AF$3)
),0)</f>
        <v>0</v>
      </c>
      <c r="AI206" s="528"/>
      <c r="AJ206" s="531">
        <f t="shared" ca="1" si="10"/>
        <v>0</v>
      </c>
      <c r="AK206" s="532">
        <f t="shared" ca="1" si="11"/>
        <v>0</v>
      </c>
    </row>
    <row r="207" spans="2:37" x14ac:dyDescent="0.2">
      <c r="B207" s="566"/>
      <c r="C207" s="53"/>
      <c r="E207" s="262"/>
      <c r="F207" s="262"/>
      <c r="J207" s="293"/>
      <c r="K207" s="6"/>
      <c r="M207" s="6"/>
      <c r="N207" s="531" t="str" cm="1">
        <f t="array" aca="1" ref="N20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7" s="552" t="str" cm="1">
        <f t="array" aca="1" ref="O20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7" s="526" cm="1">
        <f t="array" aca="1" ref="P207" ca="1">COUNTIFS(unit_details[Leased Date], "&gt;=" &amp; ($U$2 - N$5),
          unit_details[Leased Date], "&lt;" &amp; $U$2,
          unit_details[Floorplan Name], INDIRECT("C"&amp;ROW()),
          unit_details[Property Name], INDIRECT("B"&amp;ROW()))</f>
        <v>0</v>
      </c>
      <c r="Q207" s="531" t="str" cm="1">
        <f t="array" aca="1" ref="Q20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7" s="552" t="str" cm="1">
        <f t="array" aca="1" ref="R20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7" s="526" cm="1">
        <f t="array" aca="1" ref="S207" ca="1">COUNTIFS(unit_details[Leased Date], "&gt;=" &amp; ($U$2 - Q$5),
          unit_details[Leased Date], "&lt;" &amp; $U$2,
          unit_details[Floorplan Name], INDIRECT("C"&amp;ROW()),
          unit_details[Property Name], INDIRECT("B"&amp;ROW()))</f>
        <v>0</v>
      </c>
      <c r="T207" s="531" t="str" cm="1">
        <f t="array" aca="1" ref="T20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7" s="552" t="str" cm="1">
        <f t="array" aca="1" ref="U20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7" s="526" cm="1">
        <f t="array" aca="1" ref="V207" ca="1">COUNTIFS(unit_details[Leased Date], "&gt;=" &amp; ($U$2 - T$5),
          unit_details[Leased Date], "&lt;" &amp; $U$2,
          unit_details[Floorplan Name], INDIRECT("C"&amp;ROW()),
          unit_details[Property Name], INDIRECT("B"&amp;ROW()))</f>
        <v>0</v>
      </c>
      <c r="W207" s="531" t="str" cm="1">
        <f t="array" aca="1" ref="W20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7" s="552" t="str" cm="1">
        <f t="array" aca="1" ref="X20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7" s="27" t="str">
        <f t="shared" ca="1" si="9"/>
        <v/>
      </c>
      <c r="Z207" s="4" t="str">
        <f>IFERROR($U$2-AVERAGEIFS(unit_details[First Listed],
          unit_details[Active Listing?],TRUE,
          unit_details[Property Name], $B207,
          unit_details[Beds], $D207,
          unit_details[Baths], $E207,
          unit_details[Partial Baths], IF(ISNUMBER($F207),$F207,""),
          unit_details[Floorplan Name],$C207
),"")</f>
        <v/>
      </c>
      <c r="AA207" s="262" cm="1">
        <f t="array" aca="1" ref="AA207" ca="1">COUNTIFS(unit_details[Active Listing?],TRUE,
          unit_details[Floorplan Name], INDIRECT("C"&amp;ROW()),
          unit_details[Property Name], INDIRECT("B"&amp;ROW()))</f>
        <v>0</v>
      </c>
      <c r="AB207" s="553"/>
      <c r="AC207" s="528" cm="1">
        <f t="array" aca="1" ref="AC207" ca="1">IFERROR(AVERAGEIFS(
  unit_details[Sqft],
  unit_details[Property Name], INDIRECT("B"&amp;ROW()),
  unit_details[Floorplan Name], INDIRECT("C"&amp;ROW()),
  unit_details[Beds], INDIRECT("D"&amp;ROW()),
  unit_details[Detected Unit Amenities], "*"&amp;$AD$3&amp;"*",
  unit_details[Leased Date], "&gt;=" &amp; ($U$2 - $AF$3)
),0)</f>
        <v>0</v>
      </c>
      <c r="AD207" s="527" cm="1">
        <f t="array" aca="1" ref="AD2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7" s="526" cm="1">
        <f t="array" aca="1" ref="AE207" ca="1">IFERROR(COUNTIFS(
  unit_details[Property Name], INDIRECT("B"&amp;ROW()),
  unit_details[Floorplan Name], INDIRECT("C"&amp;ROW()),
  unit_details[Beds], INDIRECT("D"&amp;ROW()),
  unit_details[Detected Unit Amenities], "*"&amp;$AD$3&amp;"*",
  unit_details[Leased Date], "&gt;=" &amp; ($U$2 - $AF$3)
),0)</f>
        <v>0</v>
      </c>
      <c r="AF207" s="528" cm="1">
        <f t="array" aca="1" ref="AF207" ca="1">IFERROR(AVERAGEIFS(
  unit_details[Sqft],
  unit_details[Property Name], INDIRECT("B"&amp;ROW()),
  unit_details[Floorplan Name], INDIRECT("C"&amp;ROW()),
  unit_details[Beds], INDIRECT("D"&amp;ROW()),
  unit_details[Detected Unit Amenities], "&lt;&gt;*"&amp;$AD$3&amp;"*",
  unit_details[Leased Date], "&gt;=" &amp; ($U$2 - $AF$3)
),0)</f>
        <v>0</v>
      </c>
      <c r="AG207" s="527" cm="1">
        <f t="array" aca="1" ref="AG2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7" s="526" cm="1">
        <f t="array" aca="1" ref="AH207" ca="1">IFERROR(COUNTIFS(
  unit_details[Property Name], INDIRECT("B"&amp;ROW()),
  unit_details[Floorplan Name], INDIRECT("C"&amp;ROW()),
  unit_details[Beds], INDIRECT("D"&amp;ROW()),
  unit_details[Detected Unit Amenities], "&lt;&gt;*"&amp;$AD$3&amp;"*",
  unit_details[Leased Date], "&gt;=" &amp; ($U$2 - $AF$3)
),0)</f>
        <v>0</v>
      </c>
      <c r="AI207" s="528"/>
      <c r="AJ207" s="531">
        <f t="shared" ca="1" si="10"/>
        <v>0</v>
      </c>
      <c r="AK207" s="532">
        <f t="shared" ca="1" si="11"/>
        <v>0</v>
      </c>
    </row>
    <row r="208" spans="2:37" x14ac:dyDescent="0.2">
      <c r="B208" s="566"/>
      <c r="C208" s="53"/>
      <c r="E208" s="262"/>
      <c r="F208" s="262"/>
      <c r="J208" s="293"/>
      <c r="K208" s="6"/>
      <c r="M208" s="6"/>
      <c r="N208" s="531" t="str" cm="1">
        <f t="array" aca="1" ref="N20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8" s="552" t="str" cm="1">
        <f t="array" aca="1" ref="O20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8" s="526" cm="1">
        <f t="array" aca="1" ref="P208" ca="1">COUNTIFS(unit_details[Leased Date], "&gt;=" &amp; ($U$2 - N$5),
          unit_details[Leased Date], "&lt;" &amp; $U$2,
          unit_details[Floorplan Name], INDIRECT("C"&amp;ROW()),
          unit_details[Property Name], INDIRECT("B"&amp;ROW()))</f>
        <v>0</v>
      </c>
      <c r="Q208" s="531" t="str" cm="1">
        <f t="array" aca="1" ref="Q20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8" s="552" t="str" cm="1">
        <f t="array" aca="1" ref="R20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8" s="526" cm="1">
        <f t="array" aca="1" ref="S208" ca="1">COUNTIFS(unit_details[Leased Date], "&gt;=" &amp; ($U$2 - Q$5),
          unit_details[Leased Date], "&lt;" &amp; $U$2,
          unit_details[Floorplan Name], INDIRECT("C"&amp;ROW()),
          unit_details[Property Name], INDIRECT("B"&amp;ROW()))</f>
        <v>0</v>
      </c>
      <c r="T208" s="531" t="str" cm="1">
        <f t="array" aca="1" ref="T20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8" s="552" t="str" cm="1">
        <f t="array" aca="1" ref="U20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8" s="526" cm="1">
        <f t="array" aca="1" ref="V208" ca="1">COUNTIFS(unit_details[Leased Date], "&gt;=" &amp; ($U$2 - T$5),
          unit_details[Leased Date], "&lt;" &amp; $U$2,
          unit_details[Floorplan Name], INDIRECT("C"&amp;ROW()),
          unit_details[Property Name], INDIRECT("B"&amp;ROW()))</f>
        <v>0</v>
      </c>
      <c r="W208" s="531" t="str" cm="1">
        <f t="array" aca="1" ref="W20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8" s="552" t="str" cm="1">
        <f t="array" aca="1" ref="X20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8" s="27" t="str">
        <f t="shared" ca="1" si="9"/>
        <v/>
      </c>
      <c r="Z208" s="4" t="str">
        <f>IFERROR($U$2-AVERAGEIFS(unit_details[First Listed],
          unit_details[Active Listing?],TRUE,
          unit_details[Property Name], $B208,
          unit_details[Beds], $D208,
          unit_details[Baths], $E208,
          unit_details[Partial Baths], IF(ISNUMBER($F208),$F208,""),
          unit_details[Floorplan Name],$C208
),"")</f>
        <v/>
      </c>
      <c r="AA208" s="262" cm="1">
        <f t="array" aca="1" ref="AA208" ca="1">COUNTIFS(unit_details[Active Listing?],TRUE,
          unit_details[Floorplan Name], INDIRECT("C"&amp;ROW()),
          unit_details[Property Name], INDIRECT("B"&amp;ROW()))</f>
        <v>0</v>
      </c>
      <c r="AB208" s="553"/>
      <c r="AC208" s="528" cm="1">
        <f t="array" aca="1" ref="AC208" ca="1">IFERROR(AVERAGEIFS(
  unit_details[Sqft],
  unit_details[Property Name], INDIRECT("B"&amp;ROW()),
  unit_details[Floorplan Name], INDIRECT("C"&amp;ROW()),
  unit_details[Beds], INDIRECT("D"&amp;ROW()),
  unit_details[Detected Unit Amenities], "*"&amp;$AD$3&amp;"*",
  unit_details[Leased Date], "&gt;=" &amp; ($U$2 - $AF$3)
),0)</f>
        <v>0</v>
      </c>
      <c r="AD208" s="527" cm="1">
        <f t="array" aca="1" ref="AD2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8" s="526" cm="1">
        <f t="array" aca="1" ref="AE208" ca="1">IFERROR(COUNTIFS(
  unit_details[Property Name], INDIRECT("B"&amp;ROW()),
  unit_details[Floorplan Name], INDIRECT("C"&amp;ROW()),
  unit_details[Beds], INDIRECT("D"&amp;ROW()),
  unit_details[Detected Unit Amenities], "*"&amp;$AD$3&amp;"*",
  unit_details[Leased Date], "&gt;=" &amp; ($U$2 - $AF$3)
),0)</f>
        <v>0</v>
      </c>
      <c r="AF208" s="528" cm="1">
        <f t="array" aca="1" ref="AF208" ca="1">IFERROR(AVERAGEIFS(
  unit_details[Sqft],
  unit_details[Property Name], INDIRECT("B"&amp;ROW()),
  unit_details[Floorplan Name], INDIRECT("C"&amp;ROW()),
  unit_details[Beds], INDIRECT("D"&amp;ROW()),
  unit_details[Detected Unit Amenities], "&lt;&gt;*"&amp;$AD$3&amp;"*",
  unit_details[Leased Date], "&gt;=" &amp; ($U$2 - $AF$3)
),0)</f>
        <v>0</v>
      </c>
      <c r="AG208" s="527" cm="1">
        <f t="array" aca="1" ref="AG2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8" s="526" cm="1">
        <f t="array" aca="1" ref="AH208" ca="1">IFERROR(COUNTIFS(
  unit_details[Property Name], INDIRECT("B"&amp;ROW()),
  unit_details[Floorplan Name], INDIRECT("C"&amp;ROW()),
  unit_details[Beds], INDIRECT("D"&amp;ROW()),
  unit_details[Detected Unit Amenities], "&lt;&gt;*"&amp;$AD$3&amp;"*",
  unit_details[Leased Date], "&gt;=" &amp; ($U$2 - $AF$3)
),0)</f>
        <v>0</v>
      </c>
      <c r="AI208" s="528"/>
      <c r="AJ208" s="531">
        <f t="shared" ca="1" si="10"/>
        <v>0</v>
      </c>
      <c r="AK208" s="532">
        <f t="shared" ca="1" si="11"/>
        <v>0</v>
      </c>
    </row>
    <row r="209" spans="2:37" x14ac:dyDescent="0.2">
      <c r="B209" s="566"/>
      <c r="C209" s="53"/>
      <c r="E209" s="262"/>
      <c r="F209" s="262"/>
      <c r="J209" s="293"/>
      <c r="K209" s="6"/>
      <c r="M209" s="6"/>
      <c r="N209" s="531" t="str" cm="1">
        <f t="array" aca="1" ref="N20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09" s="552" t="str" cm="1">
        <f t="array" aca="1" ref="O20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09" s="526" cm="1">
        <f t="array" aca="1" ref="P209" ca="1">COUNTIFS(unit_details[Leased Date], "&gt;=" &amp; ($U$2 - N$5),
          unit_details[Leased Date], "&lt;" &amp; $U$2,
          unit_details[Floorplan Name], INDIRECT("C"&amp;ROW()),
          unit_details[Property Name], INDIRECT("B"&amp;ROW()))</f>
        <v>0</v>
      </c>
      <c r="Q209" s="531" t="str" cm="1">
        <f t="array" aca="1" ref="Q20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09" s="552" t="str" cm="1">
        <f t="array" aca="1" ref="R20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09" s="526" cm="1">
        <f t="array" aca="1" ref="S209" ca="1">COUNTIFS(unit_details[Leased Date], "&gt;=" &amp; ($U$2 - Q$5),
          unit_details[Leased Date], "&lt;" &amp; $U$2,
          unit_details[Floorplan Name], INDIRECT("C"&amp;ROW()),
          unit_details[Property Name], INDIRECT("B"&amp;ROW()))</f>
        <v>0</v>
      </c>
      <c r="T209" s="531" t="str" cm="1">
        <f t="array" aca="1" ref="T20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09" s="552" t="str" cm="1">
        <f t="array" aca="1" ref="U20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09" s="526" cm="1">
        <f t="array" aca="1" ref="V209" ca="1">COUNTIFS(unit_details[Leased Date], "&gt;=" &amp; ($U$2 - T$5),
          unit_details[Leased Date], "&lt;" &amp; $U$2,
          unit_details[Floorplan Name], INDIRECT("C"&amp;ROW()),
          unit_details[Property Name], INDIRECT("B"&amp;ROW()))</f>
        <v>0</v>
      </c>
      <c r="W209" s="531" t="str" cm="1">
        <f t="array" aca="1" ref="W20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09" s="552" t="str" cm="1">
        <f t="array" aca="1" ref="X20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09" s="27" t="str">
        <f t="shared" ca="1" si="9"/>
        <v/>
      </c>
      <c r="Z209" s="4" t="str">
        <f>IFERROR($U$2-AVERAGEIFS(unit_details[First Listed],
          unit_details[Active Listing?],TRUE,
          unit_details[Property Name], $B209,
          unit_details[Beds], $D209,
          unit_details[Baths], $E209,
          unit_details[Partial Baths], IF(ISNUMBER($F209),$F209,""),
          unit_details[Floorplan Name],$C209
),"")</f>
        <v/>
      </c>
      <c r="AA209" s="262" cm="1">
        <f t="array" aca="1" ref="AA209" ca="1">COUNTIFS(unit_details[Active Listing?],TRUE,
          unit_details[Floorplan Name], INDIRECT("C"&amp;ROW()),
          unit_details[Property Name], INDIRECT("B"&amp;ROW()))</f>
        <v>0</v>
      </c>
      <c r="AB209" s="553"/>
      <c r="AC209" s="528" cm="1">
        <f t="array" aca="1" ref="AC209" ca="1">IFERROR(AVERAGEIFS(
  unit_details[Sqft],
  unit_details[Property Name], INDIRECT("B"&amp;ROW()),
  unit_details[Floorplan Name], INDIRECT("C"&amp;ROW()),
  unit_details[Beds], INDIRECT("D"&amp;ROW()),
  unit_details[Detected Unit Amenities], "*"&amp;$AD$3&amp;"*",
  unit_details[Leased Date], "&gt;=" &amp; ($U$2 - $AF$3)
),0)</f>
        <v>0</v>
      </c>
      <c r="AD209" s="527" cm="1">
        <f t="array" aca="1" ref="AD2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09" s="526" cm="1">
        <f t="array" aca="1" ref="AE209" ca="1">IFERROR(COUNTIFS(
  unit_details[Property Name], INDIRECT("B"&amp;ROW()),
  unit_details[Floorplan Name], INDIRECT("C"&amp;ROW()),
  unit_details[Beds], INDIRECT("D"&amp;ROW()),
  unit_details[Detected Unit Amenities], "*"&amp;$AD$3&amp;"*",
  unit_details[Leased Date], "&gt;=" &amp; ($U$2 - $AF$3)
),0)</f>
        <v>0</v>
      </c>
      <c r="AF209" s="528" cm="1">
        <f t="array" aca="1" ref="AF209" ca="1">IFERROR(AVERAGEIFS(
  unit_details[Sqft],
  unit_details[Property Name], INDIRECT("B"&amp;ROW()),
  unit_details[Floorplan Name], INDIRECT("C"&amp;ROW()),
  unit_details[Beds], INDIRECT("D"&amp;ROW()),
  unit_details[Detected Unit Amenities], "&lt;&gt;*"&amp;$AD$3&amp;"*",
  unit_details[Leased Date], "&gt;=" &amp; ($U$2 - $AF$3)
),0)</f>
        <v>0</v>
      </c>
      <c r="AG209" s="527" cm="1">
        <f t="array" aca="1" ref="AG2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09" s="526" cm="1">
        <f t="array" aca="1" ref="AH209" ca="1">IFERROR(COUNTIFS(
  unit_details[Property Name], INDIRECT("B"&amp;ROW()),
  unit_details[Floorplan Name], INDIRECT("C"&amp;ROW()),
  unit_details[Beds], INDIRECT("D"&amp;ROW()),
  unit_details[Detected Unit Amenities], "&lt;&gt;*"&amp;$AD$3&amp;"*",
  unit_details[Leased Date], "&gt;=" &amp; ($U$2 - $AF$3)
),0)</f>
        <v>0</v>
      </c>
      <c r="AI209" s="528"/>
      <c r="AJ209" s="531">
        <f t="shared" ca="1" si="10"/>
        <v>0</v>
      </c>
      <c r="AK209" s="532">
        <f t="shared" ca="1" si="11"/>
        <v>0</v>
      </c>
    </row>
    <row r="210" spans="2:37" x14ac:dyDescent="0.2">
      <c r="B210" s="566"/>
      <c r="C210" s="53"/>
      <c r="E210" s="262"/>
      <c r="F210" s="262"/>
      <c r="J210" s="293"/>
      <c r="K210" s="6"/>
      <c r="M210" s="6"/>
      <c r="N210" s="531" t="str" cm="1">
        <f t="array" aca="1" ref="N21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0" s="552" t="str" cm="1">
        <f t="array" aca="1" ref="O21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0" s="526" cm="1">
        <f t="array" aca="1" ref="P210" ca="1">COUNTIFS(unit_details[Leased Date], "&gt;=" &amp; ($U$2 - N$5),
          unit_details[Leased Date], "&lt;" &amp; $U$2,
          unit_details[Floorplan Name], INDIRECT("C"&amp;ROW()),
          unit_details[Property Name], INDIRECT("B"&amp;ROW()))</f>
        <v>0</v>
      </c>
      <c r="Q210" s="531" t="str" cm="1">
        <f t="array" aca="1" ref="Q21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0" s="552" t="str" cm="1">
        <f t="array" aca="1" ref="R21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0" s="526" cm="1">
        <f t="array" aca="1" ref="S210" ca="1">COUNTIFS(unit_details[Leased Date], "&gt;=" &amp; ($U$2 - Q$5),
          unit_details[Leased Date], "&lt;" &amp; $U$2,
          unit_details[Floorplan Name], INDIRECT("C"&amp;ROW()),
          unit_details[Property Name], INDIRECT("B"&amp;ROW()))</f>
        <v>0</v>
      </c>
      <c r="T210" s="531" t="str" cm="1">
        <f t="array" aca="1" ref="T21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0" s="552" t="str" cm="1">
        <f t="array" aca="1" ref="U21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0" s="526" cm="1">
        <f t="array" aca="1" ref="V210" ca="1">COUNTIFS(unit_details[Leased Date], "&gt;=" &amp; ($U$2 - T$5),
          unit_details[Leased Date], "&lt;" &amp; $U$2,
          unit_details[Floorplan Name], INDIRECT("C"&amp;ROW()),
          unit_details[Property Name], INDIRECT("B"&amp;ROW()))</f>
        <v>0</v>
      </c>
      <c r="W210" s="531" t="str" cm="1">
        <f t="array" aca="1" ref="W21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0" s="552" t="str" cm="1">
        <f t="array" aca="1" ref="X21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0" s="27" t="str">
        <f t="shared" ca="1" si="9"/>
        <v/>
      </c>
      <c r="Z210" s="4" t="str">
        <f>IFERROR($U$2-AVERAGEIFS(unit_details[First Listed],
          unit_details[Active Listing?],TRUE,
          unit_details[Property Name], $B210,
          unit_details[Beds], $D210,
          unit_details[Baths], $E210,
          unit_details[Partial Baths], IF(ISNUMBER($F210),$F210,""),
          unit_details[Floorplan Name],$C210
),"")</f>
        <v/>
      </c>
      <c r="AA210" s="262" cm="1">
        <f t="array" aca="1" ref="AA210" ca="1">COUNTIFS(unit_details[Active Listing?],TRUE,
          unit_details[Floorplan Name], INDIRECT("C"&amp;ROW()),
          unit_details[Property Name], INDIRECT("B"&amp;ROW()))</f>
        <v>0</v>
      </c>
      <c r="AB210" s="553"/>
      <c r="AC210" s="528" cm="1">
        <f t="array" aca="1" ref="AC210" ca="1">IFERROR(AVERAGEIFS(
  unit_details[Sqft],
  unit_details[Property Name], INDIRECT("B"&amp;ROW()),
  unit_details[Floorplan Name], INDIRECT("C"&amp;ROW()),
  unit_details[Beds], INDIRECT("D"&amp;ROW()),
  unit_details[Detected Unit Amenities], "*"&amp;$AD$3&amp;"*",
  unit_details[Leased Date], "&gt;=" &amp; ($U$2 - $AF$3)
),0)</f>
        <v>0</v>
      </c>
      <c r="AD210" s="527" cm="1">
        <f t="array" aca="1" ref="AD2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0" s="526" cm="1">
        <f t="array" aca="1" ref="AE210" ca="1">IFERROR(COUNTIFS(
  unit_details[Property Name], INDIRECT("B"&amp;ROW()),
  unit_details[Floorplan Name], INDIRECT("C"&amp;ROW()),
  unit_details[Beds], INDIRECT("D"&amp;ROW()),
  unit_details[Detected Unit Amenities], "*"&amp;$AD$3&amp;"*",
  unit_details[Leased Date], "&gt;=" &amp; ($U$2 - $AF$3)
),0)</f>
        <v>0</v>
      </c>
      <c r="AF210" s="528" cm="1">
        <f t="array" aca="1" ref="AF210" ca="1">IFERROR(AVERAGEIFS(
  unit_details[Sqft],
  unit_details[Property Name], INDIRECT("B"&amp;ROW()),
  unit_details[Floorplan Name], INDIRECT("C"&amp;ROW()),
  unit_details[Beds], INDIRECT("D"&amp;ROW()),
  unit_details[Detected Unit Amenities], "&lt;&gt;*"&amp;$AD$3&amp;"*",
  unit_details[Leased Date], "&gt;=" &amp; ($U$2 - $AF$3)
),0)</f>
        <v>0</v>
      </c>
      <c r="AG210" s="527" cm="1">
        <f t="array" aca="1" ref="AG2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0" s="526" cm="1">
        <f t="array" aca="1" ref="AH210" ca="1">IFERROR(COUNTIFS(
  unit_details[Property Name], INDIRECT("B"&amp;ROW()),
  unit_details[Floorplan Name], INDIRECT("C"&amp;ROW()),
  unit_details[Beds], INDIRECT("D"&amp;ROW()),
  unit_details[Detected Unit Amenities], "&lt;&gt;*"&amp;$AD$3&amp;"*",
  unit_details[Leased Date], "&gt;=" &amp; ($U$2 - $AF$3)
),0)</f>
        <v>0</v>
      </c>
      <c r="AI210" s="528"/>
      <c r="AJ210" s="531">
        <f t="shared" ca="1" si="10"/>
        <v>0</v>
      </c>
      <c r="AK210" s="532">
        <f t="shared" ca="1" si="11"/>
        <v>0</v>
      </c>
    </row>
    <row r="211" spans="2:37" x14ac:dyDescent="0.2">
      <c r="B211" s="566"/>
      <c r="C211" s="53"/>
      <c r="E211" s="262"/>
      <c r="F211" s="262"/>
      <c r="J211" s="293"/>
      <c r="K211" s="6"/>
      <c r="M211" s="6"/>
      <c r="N211" s="531" t="str" cm="1">
        <f t="array" aca="1" ref="N21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1" s="552" t="str" cm="1">
        <f t="array" aca="1" ref="O21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1" s="526" cm="1">
        <f t="array" aca="1" ref="P211" ca="1">COUNTIFS(unit_details[Leased Date], "&gt;=" &amp; ($U$2 - N$5),
          unit_details[Leased Date], "&lt;" &amp; $U$2,
          unit_details[Floorplan Name], INDIRECT("C"&amp;ROW()),
          unit_details[Property Name], INDIRECT("B"&amp;ROW()))</f>
        <v>0</v>
      </c>
      <c r="Q211" s="531" t="str" cm="1">
        <f t="array" aca="1" ref="Q21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1" s="552" t="str" cm="1">
        <f t="array" aca="1" ref="R21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1" s="526" cm="1">
        <f t="array" aca="1" ref="S211" ca="1">COUNTIFS(unit_details[Leased Date], "&gt;=" &amp; ($U$2 - Q$5),
          unit_details[Leased Date], "&lt;" &amp; $U$2,
          unit_details[Floorplan Name], INDIRECT("C"&amp;ROW()),
          unit_details[Property Name], INDIRECT("B"&amp;ROW()))</f>
        <v>0</v>
      </c>
      <c r="T211" s="531" t="str" cm="1">
        <f t="array" aca="1" ref="T21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1" s="552" t="str" cm="1">
        <f t="array" aca="1" ref="U21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1" s="526" cm="1">
        <f t="array" aca="1" ref="V211" ca="1">COUNTIFS(unit_details[Leased Date], "&gt;=" &amp; ($U$2 - T$5),
          unit_details[Leased Date], "&lt;" &amp; $U$2,
          unit_details[Floorplan Name], INDIRECT("C"&amp;ROW()),
          unit_details[Property Name], INDIRECT("B"&amp;ROW()))</f>
        <v>0</v>
      </c>
      <c r="W211" s="531" t="str" cm="1">
        <f t="array" aca="1" ref="W21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1" s="552" t="str" cm="1">
        <f t="array" aca="1" ref="X21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1" s="27" t="str">
        <f t="shared" ca="1" si="9"/>
        <v/>
      </c>
      <c r="Z211" s="4" t="str">
        <f>IFERROR($U$2-AVERAGEIFS(unit_details[First Listed],
          unit_details[Active Listing?],TRUE,
          unit_details[Property Name], $B211,
          unit_details[Beds], $D211,
          unit_details[Baths], $E211,
          unit_details[Partial Baths], IF(ISNUMBER($F211),$F211,""),
          unit_details[Floorplan Name],$C211
),"")</f>
        <v/>
      </c>
      <c r="AA211" s="262" cm="1">
        <f t="array" aca="1" ref="AA211" ca="1">COUNTIFS(unit_details[Active Listing?],TRUE,
          unit_details[Floorplan Name], INDIRECT("C"&amp;ROW()),
          unit_details[Property Name], INDIRECT("B"&amp;ROW()))</f>
        <v>0</v>
      </c>
      <c r="AB211" s="553"/>
      <c r="AC211" s="528" cm="1">
        <f t="array" aca="1" ref="AC211" ca="1">IFERROR(AVERAGEIFS(
  unit_details[Sqft],
  unit_details[Property Name], INDIRECT("B"&amp;ROW()),
  unit_details[Floorplan Name], INDIRECT("C"&amp;ROW()),
  unit_details[Beds], INDIRECT("D"&amp;ROW()),
  unit_details[Detected Unit Amenities], "*"&amp;$AD$3&amp;"*",
  unit_details[Leased Date], "&gt;=" &amp; ($U$2 - $AF$3)
),0)</f>
        <v>0</v>
      </c>
      <c r="AD211" s="527" cm="1">
        <f t="array" aca="1" ref="AD2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1" s="526" cm="1">
        <f t="array" aca="1" ref="AE211" ca="1">IFERROR(COUNTIFS(
  unit_details[Property Name], INDIRECT("B"&amp;ROW()),
  unit_details[Floorplan Name], INDIRECT("C"&amp;ROW()),
  unit_details[Beds], INDIRECT("D"&amp;ROW()),
  unit_details[Detected Unit Amenities], "*"&amp;$AD$3&amp;"*",
  unit_details[Leased Date], "&gt;=" &amp; ($U$2 - $AF$3)
),0)</f>
        <v>0</v>
      </c>
      <c r="AF211" s="528" cm="1">
        <f t="array" aca="1" ref="AF211" ca="1">IFERROR(AVERAGEIFS(
  unit_details[Sqft],
  unit_details[Property Name], INDIRECT("B"&amp;ROW()),
  unit_details[Floorplan Name], INDIRECT("C"&amp;ROW()),
  unit_details[Beds], INDIRECT("D"&amp;ROW()),
  unit_details[Detected Unit Amenities], "&lt;&gt;*"&amp;$AD$3&amp;"*",
  unit_details[Leased Date], "&gt;=" &amp; ($U$2 - $AF$3)
),0)</f>
        <v>0</v>
      </c>
      <c r="AG211" s="527" cm="1">
        <f t="array" aca="1" ref="AG2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1" s="526" cm="1">
        <f t="array" aca="1" ref="AH211" ca="1">IFERROR(COUNTIFS(
  unit_details[Property Name], INDIRECT("B"&amp;ROW()),
  unit_details[Floorplan Name], INDIRECT("C"&amp;ROW()),
  unit_details[Beds], INDIRECT("D"&amp;ROW()),
  unit_details[Detected Unit Amenities], "&lt;&gt;*"&amp;$AD$3&amp;"*",
  unit_details[Leased Date], "&gt;=" &amp; ($U$2 - $AF$3)
),0)</f>
        <v>0</v>
      </c>
      <c r="AI211" s="528"/>
      <c r="AJ211" s="531">
        <f t="shared" ca="1" si="10"/>
        <v>0</v>
      </c>
      <c r="AK211" s="532">
        <f t="shared" ca="1" si="11"/>
        <v>0</v>
      </c>
    </row>
    <row r="212" spans="2:37" x14ac:dyDescent="0.2">
      <c r="B212" s="566"/>
      <c r="C212" s="53"/>
      <c r="E212" s="262"/>
      <c r="F212" s="262"/>
      <c r="J212" s="293"/>
      <c r="K212" s="6"/>
      <c r="M212" s="6"/>
      <c r="N212" s="531" t="str" cm="1">
        <f t="array" aca="1" ref="N21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2" s="552" t="str" cm="1">
        <f t="array" aca="1" ref="O21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2" s="526" cm="1">
        <f t="array" aca="1" ref="P212" ca="1">COUNTIFS(unit_details[Leased Date], "&gt;=" &amp; ($U$2 - N$5),
          unit_details[Leased Date], "&lt;" &amp; $U$2,
          unit_details[Floorplan Name], INDIRECT("C"&amp;ROW()),
          unit_details[Property Name], INDIRECT("B"&amp;ROW()))</f>
        <v>0</v>
      </c>
      <c r="Q212" s="531" t="str" cm="1">
        <f t="array" aca="1" ref="Q21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2" s="552" t="str" cm="1">
        <f t="array" aca="1" ref="R21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2" s="526" cm="1">
        <f t="array" aca="1" ref="S212" ca="1">COUNTIFS(unit_details[Leased Date], "&gt;=" &amp; ($U$2 - Q$5),
          unit_details[Leased Date], "&lt;" &amp; $U$2,
          unit_details[Floorplan Name], INDIRECT("C"&amp;ROW()),
          unit_details[Property Name], INDIRECT("B"&amp;ROW()))</f>
        <v>0</v>
      </c>
      <c r="T212" s="531" t="str" cm="1">
        <f t="array" aca="1" ref="T21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2" s="552" t="str" cm="1">
        <f t="array" aca="1" ref="U21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2" s="526" cm="1">
        <f t="array" aca="1" ref="V212" ca="1">COUNTIFS(unit_details[Leased Date], "&gt;=" &amp; ($U$2 - T$5),
          unit_details[Leased Date], "&lt;" &amp; $U$2,
          unit_details[Floorplan Name], INDIRECT("C"&amp;ROW()),
          unit_details[Property Name], INDIRECT("B"&amp;ROW()))</f>
        <v>0</v>
      </c>
      <c r="W212" s="531" t="str" cm="1">
        <f t="array" aca="1" ref="W21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2" s="552" t="str" cm="1">
        <f t="array" aca="1" ref="X21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2" s="27" t="str">
        <f t="shared" ca="1" si="9"/>
        <v/>
      </c>
      <c r="Z212" s="4" t="str">
        <f>IFERROR($U$2-AVERAGEIFS(unit_details[First Listed],
          unit_details[Active Listing?],TRUE,
          unit_details[Property Name], $B212,
          unit_details[Beds], $D212,
          unit_details[Baths], $E212,
          unit_details[Partial Baths], IF(ISNUMBER($F212),$F212,""),
          unit_details[Floorplan Name],$C212
),"")</f>
        <v/>
      </c>
      <c r="AA212" s="262" cm="1">
        <f t="array" aca="1" ref="AA212" ca="1">COUNTIFS(unit_details[Active Listing?],TRUE,
          unit_details[Floorplan Name], INDIRECT("C"&amp;ROW()),
          unit_details[Property Name], INDIRECT("B"&amp;ROW()))</f>
        <v>0</v>
      </c>
      <c r="AB212" s="553"/>
      <c r="AC212" s="528" cm="1">
        <f t="array" aca="1" ref="AC212" ca="1">IFERROR(AVERAGEIFS(
  unit_details[Sqft],
  unit_details[Property Name], INDIRECT("B"&amp;ROW()),
  unit_details[Floorplan Name], INDIRECT("C"&amp;ROW()),
  unit_details[Beds], INDIRECT("D"&amp;ROW()),
  unit_details[Detected Unit Amenities], "*"&amp;$AD$3&amp;"*",
  unit_details[Leased Date], "&gt;=" &amp; ($U$2 - $AF$3)
),0)</f>
        <v>0</v>
      </c>
      <c r="AD212" s="527" cm="1">
        <f t="array" aca="1" ref="AD2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2" s="526" cm="1">
        <f t="array" aca="1" ref="AE212" ca="1">IFERROR(COUNTIFS(
  unit_details[Property Name], INDIRECT("B"&amp;ROW()),
  unit_details[Floorplan Name], INDIRECT("C"&amp;ROW()),
  unit_details[Beds], INDIRECT("D"&amp;ROW()),
  unit_details[Detected Unit Amenities], "*"&amp;$AD$3&amp;"*",
  unit_details[Leased Date], "&gt;=" &amp; ($U$2 - $AF$3)
),0)</f>
        <v>0</v>
      </c>
      <c r="AF212" s="528" cm="1">
        <f t="array" aca="1" ref="AF212" ca="1">IFERROR(AVERAGEIFS(
  unit_details[Sqft],
  unit_details[Property Name], INDIRECT("B"&amp;ROW()),
  unit_details[Floorplan Name], INDIRECT("C"&amp;ROW()),
  unit_details[Beds], INDIRECT("D"&amp;ROW()),
  unit_details[Detected Unit Amenities], "&lt;&gt;*"&amp;$AD$3&amp;"*",
  unit_details[Leased Date], "&gt;=" &amp; ($U$2 - $AF$3)
),0)</f>
        <v>0</v>
      </c>
      <c r="AG212" s="527" cm="1">
        <f t="array" aca="1" ref="AG2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2" s="526" cm="1">
        <f t="array" aca="1" ref="AH212" ca="1">IFERROR(COUNTIFS(
  unit_details[Property Name], INDIRECT("B"&amp;ROW()),
  unit_details[Floorplan Name], INDIRECT("C"&amp;ROW()),
  unit_details[Beds], INDIRECT("D"&amp;ROW()),
  unit_details[Detected Unit Amenities], "&lt;&gt;*"&amp;$AD$3&amp;"*",
  unit_details[Leased Date], "&gt;=" &amp; ($U$2 - $AF$3)
),0)</f>
        <v>0</v>
      </c>
      <c r="AI212" s="528"/>
      <c r="AJ212" s="531">
        <f t="shared" ca="1" si="10"/>
        <v>0</v>
      </c>
      <c r="AK212" s="532">
        <f t="shared" ca="1" si="11"/>
        <v>0</v>
      </c>
    </row>
    <row r="213" spans="2:37" x14ac:dyDescent="0.2">
      <c r="B213" s="566"/>
      <c r="C213" s="53"/>
      <c r="E213" s="262"/>
      <c r="F213" s="262"/>
      <c r="J213" s="293"/>
      <c r="K213" s="6"/>
      <c r="M213" s="6"/>
      <c r="N213" s="531" t="str" cm="1">
        <f t="array" aca="1" ref="N21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3" s="552" t="str" cm="1">
        <f t="array" aca="1" ref="O21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3" s="526" cm="1">
        <f t="array" aca="1" ref="P213" ca="1">COUNTIFS(unit_details[Leased Date], "&gt;=" &amp; ($U$2 - N$5),
          unit_details[Leased Date], "&lt;" &amp; $U$2,
          unit_details[Floorplan Name], INDIRECT("C"&amp;ROW()),
          unit_details[Property Name], INDIRECT("B"&amp;ROW()))</f>
        <v>0</v>
      </c>
      <c r="Q213" s="531" t="str" cm="1">
        <f t="array" aca="1" ref="Q21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3" s="552" t="str" cm="1">
        <f t="array" aca="1" ref="R21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3" s="526" cm="1">
        <f t="array" aca="1" ref="S213" ca="1">COUNTIFS(unit_details[Leased Date], "&gt;=" &amp; ($U$2 - Q$5),
          unit_details[Leased Date], "&lt;" &amp; $U$2,
          unit_details[Floorplan Name], INDIRECT("C"&amp;ROW()),
          unit_details[Property Name], INDIRECT("B"&amp;ROW()))</f>
        <v>0</v>
      </c>
      <c r="T213" s="531" t="str" cm="1">
        <f t="array" aca="1" ref="T21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3" s="552" t="str" cm="1">
        <f t="array" aca="1" ref="U21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3" s="526" cm="1">
        <f t="array" aca="1" ref="V213" ca="1">COUNTIFS(unit_details[Leased Date], "&gt;=" &amp; ($U$2 - T$5),
          unit_details[Leased Date], "&lt;" &amp; $U$2,
          unit_details[Floorplan Name], INDIRECT("C"&amp;ROW()),
          unit_details[Property Name], INDIRECT("B"&amp;ROW()))</f>
        <v>0</v>
      </c>
      <c r="W213" s="531" t="str" cm="1">
        <f t="array" aca="1" ref="W21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3" s="552" t="str" cm="1">
        <f t="array" aca="1" ref="X21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3" s="27" t="str">
        <f t="shared" ca="1" si="9"/>
        <v/>
      </c>
      <c r="Z213" s="4" t="str">
        <f>IFERROR($U$2-AVERAGEIFS(unit_details[First Listed],
          unit_details[Active Listing?],TRUE,
          unit_details[Property Name], $B213,
          unit_details[Beds], $D213,
          unit_details[Baths], $E213,
          unit_details[Partial Baths], IF(ISNUMBER($F213),$F213,""),
          unit_details[Floorplan Name],$C213
),"")</f>
        <v/>
      </c>
      <c r="AA213" s="262" cm="1">
        <f t="array" aca="1" ref="AA213" ca="1">COUNTIFS(unit_details[Active Listing?],TRUE,
          unit_details[Floorplan Name], INDIRECT("C"&amp;ROW()),
          unit_details[Property Name], INDIRECT("B"&amp;ROW()))</f>
        <v>0</v>
      </c>
      <c r="AB213" s="553"/>
      <c r="AC213" s="528" cm="1">
        <f t="array" aca="1" ref="AC213" ca="1">IFERROR(AVERAGEIFS(
  unit_details[Sqft],
  unit_details[Property Name], INDIRECT("B"&amp;ROW()),
  unit_details[Floorplan Name], INDIRECT("C"&amp;ROW()),
  unit_details[Beds], INDIRECT("D"&amp;ROW()),
  unit_details[Detected Unit Amenities], "*"&amp;$AD$3&amp;"*",
  unit_details[Leased Date], "&gt;=" &amp; ($U$2 - $AF$3)
),0)</f>
        <v>0</v>
      </c>
      <c r="AD213" s="527" cm="1">
        <f t="array" aca="1" ref="AD2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3" s="526" cm="1">
        <f t="array" aca="1" ref="AE213" ca="1">IFERROR(COUNTIFS(
  unit_details[Property Name], INDIRECT("B"&amp;ROW()),
  unit_details[Floorplan Name], INDIRECT("C"&amp;ROW()),
  unit_details[Beds], INDIRECT("D"&amp;ROW()),
  unit_details[Detected Unit Amenities], "*"&amp;$AD$3&amp;"*",
  unit_details[Leased Date], "&gt;=" &amp; ($U$2 - $AF$3)
),0)</f>
        <v>0</v>
      </c>
      <c r="AF213" s="528" cm="1">
        <f t="array" aca="1" ref="AF213" ca="1">IFERROR(AVERAGEIFS(
  unit_details[Sqft],
  unit_details[Property Name], INDIRECT("B"&amp;ROW()),
  unit_details[Floorplan Name], INDIRECT("C"&amp;ROW()),
  unit_details[Beds], INDIRECT("D"&amp;ROW()),
  unit_details[Detected Unit Amenities], "&lt;&gt;*"&amp;$AD$3&amp;"*",
  unit_details[Leased Date], "&gt;=" &amp; ($U$2 - $AF$3)
),0)</f>
        <v>0</v>
      </c>
      <c r="AG213" s="527" cm="1">
        <f t="array" aca="1" ref="AG2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3" s="526" cm="1">
        <f t="array" aca="1" ref="AH213" ca="1">IFERROR(COUNTIFS(
  unit_details[Property Name], INDIRECT("B"&amp;ROW()),
  unit_details[Floorplan Name], INDIRECT("C"&amp;ROW()),
  unit_details[Beds], INDIRECT("D"&amp;ROW()),
  unit_details[Detected Unit Amenities], "&lt;&gt;*"&amp;$AD$3&amp;"*",
  unit_details[Leased Date], "&gt;=" &amp; ($U$2 - $AF$3)
),0)</f>
        <v>0</v>
      </c>
      <c r="AI213" s="528"/>
      <c r="AJ213" s="531">
        <f t="shared" ca="1" si="10"/>
        <v>0</v>
      </c>
      <c r="AK213" s="532">
        <f t="shared" ca="1" si="11"/>
        <v>0</v>
      </c>
    </row>
    <row r="214" spans="2:37" x14ac:dyDescent="0.2">
      <c r="B214" s="566"/>
      <c r="C214" s="53"/>
      <c r="E214" s="262"/>
      <c r="F214" s="262"/>
      <c r="J214" s="293"/>
      <c r="K214" s="6"/>
      <c r="M214" s="6"/>
      <c r="N214" s="531" t="str" cm="1">
        <f t="array" aca="1" ref="N21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4" s="552" t="str" cm="1">
        <f t="array" aca="1" ref="O21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4" s="526" cm="1">
        <f t="array" aca="1" ref="P214" ca="1">COUNTIFS(unit_details[Leased Date], "&gt;=" &amp; ($U$2 - N$5),
          unit_details[Leased Date], "&lt;" &amp; $U$2,
          unit_details[Floorplan Name], INDIRECT("C"&amp;ROW()),
          unit_details[Property Name], INDIRECT("B"&amp;ROW()))</f>
        <v>0</v>
      </c>
      <c r="Q214" s="531" t="str" cm="1">
        <f t="array" aca="1" ref="Q21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4" s="552" t="str" cm="1">
        <f t="array" aca="1" ref="R21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4" s="526" cm="1">
        <f t="array" aca="1" ref="S214" ca="1">COUNTIFS(unit_details[Leased Date], "&gt;=" &amp; ($U$2 - Q$5),
          unit_details[Leased Date], "&lt;" &amp; $U$2,
          unit_details[Floorplan Name], INDIRECT("C"&amp;ROW()),
          unit_details[Property Name], INDIRECT("B"&amp;ROW()))</f>
        <v>0</v>
      </c>
      <c r="T214" s="531" t="str" cm="1">
        <f t="array" aca="1" ref="T21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4" s="552" t="str" cm="1">
        <f t="array" aca="1" ref="U21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4" s="526" cm="1">
        <f t="array" aca="1" ref="V214" ca="1">COUNTIFS(unit_details[Leased Date], "&gt;=" &amp; ($U$2 - T$5),
          unit_details[Leased Date], "&lt;" &amp; $U$2,
          unit_details[Floorplan Name], INDIRECT("C"&amp;ROW()),
          unit_details[Property Name], INDIRECT("B"&amp;ROW()))</f>
        <v>0</v>
      </c>
      <c r="W214" s="531" t="str" cm="1">
        <f t="array" aca="1" ref="W21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4" s="552" t="str" cm="1">
        <f t="array" aca="1" ref="X21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4" s="27" t="str">
        <f t="shared" ca="1" si="9"/>
        <v/>
      </c>
      <c r="Z214" s="4" t="str">
        <f>IFERROR($U$2-AVERAGEIFS(unit_details[First Listed],
          unit_details[Active Listing?],TRUE,
          unit_details[Property Name], $B214,
          unit_details[Beds], $D214,
          unit_details[Baths], $E214,
          unit_details[Partial Baths], IF(ISNUMBER($F214),$F214,""),
          unit_details[Floorplan Name],$C214
),"")</f>
        <v/>
      </c>
      <c r="AA214" s="262" cm="1">
        <f t="array" aca="1" ref="AA214" ca="1">COUNTIFS(unit_details[Active Listing?],TRUE,
          unit_details[Floorplan Name], INDIRECT("C"&amp;ROW()),
          unit_details[Property Name], INDIRECT("B"&amp;ROW()))</f>
        <v>0</v>
      </c>
      <c r="AB214" s="553"/>
      <c r="AC214" s="528" cm="1">
        <f t="array" aca="1" ref="AC214" ca="1">IFERROR(AVERAGEIFS(
  unit_details[Sqft],
  unit_details[Property Name], INDIRECT("B"&amp;ROW()),
  unit_details[Floorplan Name], INDIRECT("C"&amp;ROW()),
  unit_details[Beds], INDIRECT("D"&amp;ROW()),
  unit_details[Detected Unit Amenities], "*"&amp;$AD$3&amp;"*",
  unit_details[Leased Date], "&gt;=" &amp; ($U$2 - $AF$3)
),0)</f>
        <v>0</v>
      </c>
      <c r="AD214" s="527" cm="1">
        <f t="array" aca="1" ref="AD2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4" s="526" cm="1">
        <f t="array" aca="1" ref="AE214" ca="1">IFERROR(COUNTIFS(
  unit_details[Property Name], INDIRECT("B"&amp;ROW()),
  unit_details[Floorplan Name], INDIRECT("C"&amp;ROW()),
  unit_details[Beds], INDIRECT("D"&amp;ROW()),
  unit_details[Detected Unit Amenities], "*"&amp;$AD$3&amp;"*",
  unit_details[Leased Date], "&gt;=" &amp; ($U$2 - $AF$3)
),0)</f>
        <v>0</v>
      </c>
      <c r="AF214" s="528" cm="1">
        <f t="array" aca="1" ref="AF214" ca="1">IFERROR(AVERAGEIFS(
  unit_details[Sqft],
  unit_details[Property Name], INDIRECT("B"&amp;ROW()),
  unit_details[Floorplan Name], INDIRECT("C"&amp;ROW()),
  unit_details[Beds], INDIRECT("D"&amp;ROW()),
  unit_details[Detected Unit Amenities], "&lt;&gt;*"&amp;$AD$3&amp;"*",
  unit_details[Leased Date], "&gt;=" &amp; ($U$2 - $AF$3)
),0)</f>
        <v>0</v>
      </c>
      <c r="AG214" s="527" cm="1">
        <f t="array" aca="1" ref="AG2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4" s="526" cm="1">
        <f t="array" aca="1" ref="AH214" ca="1">IFERROR(COUNTIFS(
  unit_details[Property Name], INDIRECT("B"&amp;ROW()),
  unit_details[Floorplan Name], INDIRECT("C"&amp;ROW()),
  unit_details[Beds], INDIRECT("D"&amp;ROW()),
  unit_details[Detected Unit Amenities], "&lt;&gt;*"&amp;$AD$3&amp;"*",
  unit_details[Leased Date], "&gt;=" &amp; ($U$2 - $AF$3)
),0)</f>
        <v>0</v>
      </c>
      <c r="AI214" s="528"/>
      <c r="AJ214" s="531">
        <f t="shared" ca="1" si="10"/>
        <v>0</v>
      </c>
      <c r="AK214" s="532">
        <f t="shared" ca="1" si="11"/>
        <v>0</v>
      </c>
    </row>
    <row r="215" spans="2:37" x14ac:dyDescent="0.2">
      <c r="B215" s="566"/>
      <c r="C215" s="53"/>
      <c r="E215" s="262"/>
      <c r="F215" s="262"/>
      <c r="J215" s="293"/>
      <c r="K215" s="6"/>
      <c r="M215" s="6"/>
      <c r="N215" s="531" t="str" cm="1">
        <f t="array" aca="1" ref="N21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5" s="552" t="str" cm="1">
        <f t="array" aca="1" ref="O21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5" s="526" cm="1">
        <f t="array" aca="1" ref="P215" ca="1">COUNTIFS(unit_details[Leased Date], "&gt;=" &amp; ($U$2 - N$5),
          unit_details[Leased Date], "&lt;" &amp; $U$2,
          unit_details[Floorplan Name], INDIRECT("C"&amp;ROW()),
          unit_details[Property Name], INDIRECT("B"&amp;ROW()))</f>
        <v>0</v>
      </c>
      <c r="Q215" s="531" t="str" cm="1">
        <f t="array" aca="1" ref="Q21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5" s="552" t="str" cm="1">
        <f t="array" aca="1" ref="R21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5" s="526" cm="1">
        <f t="array" aca="1" ref="S215" ca="1">COUNTIFS(unit_details[Leased Date], "&gt;=" &amp; ($U$2 - Q$5),
          unit_details[Leased Date], "&lt;" &amp; $U$2,
          unit_details[Floorplan Name], INDIRECT("C"&amp;ROW()),
          unit_details[Property Name], INDIRECT("B"&amp;ROW()))</f>
        <v>0</v>
      </c>
      <c r="T215" s="531" t="str" cm="1">
        <f t="array" aca="1" ref="T21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5" s="552" t="str" cm="1">
        <f t="array" aca="1" ref="U21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5" s="526" cm="1">
        <f t="array" aca="1" ref="V215" ca="1">COUNTIFS(unit_details[Leased Date], "&gt;=" &amp; ($U$2 - T$5),
          unit_details[Leased Date], "&lt;" &amp; $U$2,
          unit_details[Floorplan Name], INDIRECT("C"&amp;ROW()),
          unit_details[Property Name], INDIRECT("B"&amp;ROW()))</f>
        <v>0</v>
      </c>
      <c r="W215" s="531" t="str" cm="1">
        <f t="array" aca="1" ref="W21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5" s="552" t="str" cm="1">
        <f t="array" aca="1" ref="X21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5" s="27" t="str">
        <f t="shared" ca="1" si="9"/>
        <v/>
      </c>
      <c r="Z215" s="4" t="str">
        <f>IFERROR($U$2-AVERAGEIFS(unit_details[First Listed],
          unit_details[Active Listing?],TRUE,
          unit_details[Property Name], $B215,
          unit_details[Beds], $D215,
          unit_details[Baths], $E215,
          unit_details[Partial Baths], IF(ISNUMBER($F215),$F215,""),
          unit_details[Floorplan Name],$C215
),"")</f>
        <v/>
      </c>
      <c r="AA215" s="262" cm="1">
        <f t="array" aca="1" ref="AA215" ca="1">COUNTIFS(unit_details[Active Listing?],TRUE,
          unit_details[Floorplan Name], INDIRECT("C"&amp;ROW()),
          unit_details[Property Name], INDIRECT("B"&amp;ROW()))</f>
        <v>0</v>
      </c>
      <c r="AB215" s="553"/>
      <c r="AC215" s="528" cm="1">
        <f t="array" aca="1" ref="AC215" ca="1">IFERROR(AVERAGEIFS(
  unit_details[Sqft],
  unit_details[Property Name], INDIRECT("B"&amp;ROW()),
  unit_details[Floorplan Name], INDIRECT("C"&amp;ROW()),
  unit_details[Beds], INDIRECT("D"&amp;ROW()),
  unit_details[Detected Unit Amenities], "*"&amp;$AD$3&amp;"*",
  unit_details[Leased Date], "&gt;=" &amp; ($U$2 - $AF$3)
),0)</f>
        <v>0</v>
      </c>
      <c r="AD215" s="527" cm="1">
        <f t="array" aca="1" ref="AD2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5" s="526" cm="1">
        <f t="array" aca="1" ref="AE215" ca="1">IFERROR(COUNTIFS(
  unit_details[Property Name], INDIRECT("B"&amp;ROW()),
  unit_details[Floorplan Name], INDIRECT("C"&amp;ROW()),
  unit_details[Beds], INDIRECT("D"&amp;ROW()),
  unit_details[Detected Unit Amenities], "*"&amp;$AD$3&amp;"*",
  unit_details[Leased Date], "&gt;=" &amp; ($U$2 - $AF$3)
),0)</f>
        <v>0</v>
      </c>
      <c r="AF215" s="528" cm="1">
        <f t="array" aca="1" ref="AF215" ca="1">IFERROR(AVERAGEIFS(
  unit_details[Sqft],
  unit_details[Property Name], INDIRECT("B"&amp;ROW()),
  unit_details[Floorplan Name], INDIRECT("C"&amp;ROW()),
  unit_details[Beds], INDIRECT("D"&amp;ROW()),
  unit_details[Detected Unit Amenities], "&lt;&gt;*"&amp;$AD$3&amp;"*",
  unit_details[Leased Date], "&gt;=" &amp; ($U$2 - $AF$3)
),0)</f>
        <v>0</v>
      </c>
      <c r="AG215" s="527" cm="1">
        <f t="array" aca="1" ref="AG2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5" s="526" cm="1">
        <f t="array" aca="1" ref="AH215" ca="1">IFERROR(COUNTIFS(
  unit_details[Property Name], INDIRECT("B"&amp;ROW()),
  unit_details[Floorplan Name], INDIRECT("C"&amp;ROW()),
  unit_details[Beds], INDIRECT("D"&amp;ROW()),
  unit_details[Detected Unit Amenities], "&lt;&gt;*"&amp;$AD$3&amp;"*",
  unit_details[Leased Date], "&gt;=" &amp; ($U$2 - $AF$3)
),0)</f>
        <v>0</v>
      </c>
      <c r="AI215" s="528"/>
      <c r="AJ215" s="531">
        <f t="shared" ca="1" si="10"/>
        <v>0</v>
      </c>
      <c r="AK215" s="532">
        <f t="shared" ca="1" si="11"/>
        <v>0</v>
      </c>
    </row>
    <row r="216" spans="2:37" x14ac:dyDescent="0.2">
      <c r="B216" s="566"/>
      <c r="C216" s="53"/>
      <c r="E216" s="262"/>
      <c r="F216" s="262"/>
      <c r="J216" s="293"/>
      <c r="K216" s="6"/>
      <c r="M216" s="6"/>
      <c r="N216" s="531" t="str" cm="1">
        <f t="array" aca="1" ref="N21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6" s="552" t="str" cm="1">
        <f t="array" aca="1" ref="O21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6" s="526" cm="1">
        <f t="array" aca="1" ref="P216" ca="1">COUNTIFS(unit_details[Leased Date], "&gt;=" &amp; ($U$2 - N$5),
          unit_details[Leased Date], "&lt;" &amp; $U$2,
          unit_details[Floorplan Name], INDIRECT("C"&amp;ROW()),
          unit_details[Property Name], INDIRECT("B"&amp;ROW()))</f>
        <v>0</v>
      </c>
      <c r="Q216" s="531" t="str" cm="1">
        <f t="array" aca="1" ref="Q21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6" s="552" t="str" cm="1">
        <f t="array" aca="1" ref="R21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6" s="526" cm="1">
        <f t="array" aca="1" ref="S216" ca="1">COUNTIFS(unit_details[Leased Date], "&gt;=" &amp; ($U$2 - Q$5),
          unit_details[Leased Date], "&lt;" &amp; $U$2,
          unit_details[Floorplan Name], INDIRECT("C"&amp;ROW()),
          unit_details[Property Name], INDIRECT("B"&amp;ROW()))</f>
        <v>0</v>
      </c>
      <c r="T216" s="531" t="str" cm="1">
        <f t="array" aca="1" ref="T21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6" s="552" t="str" cm="1">
        <f t="array" aca="1" ref="U21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6" s="526" cm="1">
        <f t="array" aca="1" ref="V216" ca="1">COUNTIFS(unit_details[Leased Date], "&gt;=" &amp; ($U$2 - T$5),
          unit_details[Leased Date], "&lt;" &amp; $U$2,
          unit_details[Floorplan Name], INDIRECT("C"&amp;ROW()),
          unit_details[Property Name], INDIRECT("B"&amp;ROW()))</f>
        <v>0</v>
      </c>
      <c r="W216" s="531" t="str" cm="1">
        <f t="array" aca="1" ref="W21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6" s="552" t="str" cm="1">
        <f t="array" aca="1" ref="X21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6" s="27" t="str">
        <f t="shared" ca="1" si="9"/>
        <v/>
      </c>
      <c r="Z216" s="4" t="str">
        <f>IFERROR($U$2-AVERAGEIFS(unit_details[First Listed],
          unit_details[Active Listing?],TRUE,
          unit_details[Property Name], $B216,
          unit_details[Beds], $D216,
          unit_details[Baths], $E216,
          unit_details[Partial Baths], IF(ISNUMBER($F216),$F216,""),
          unit_details[Floorplan Name],$C216
),"")</f>
        <v/>
      </c>
      <c r="AA216" s="262" cm="1">
        <f t="array" aca="1" ref="AA216" ca="1">COUNTIFS(unit_details[Active Listing?],TRUE,
          unit_details[Floorplan Name], INDIRECT("C"&amp;ROW()),
          unit_details[Property Name], INDIRECT("B"&amp;ROW()))</f>
        <v>0</v>
      </c>
      <c r="AB216" s="553"/>
      <c r="AC216" s="528" cm="1">
        <f t="array" aca="1" ref="AC216" ca="1">IFERROR(AVERAGEIFS(
  unit_details[Sqft],
  unit_details[Property Name], INDIRECT("B"&amp;ROW()),
  unit_details[Floorplan Name], INDIRECT("C"&amp;ROW()),
  unit_details[Beds], INDIRECT("D"&amp;ROW()),
  unit_details[Detected Unit Amenities], "*"&amp;$AD$3&amp;"*",
  unit_details[Leased Date], "&gt;=" &amp; ($U$2 - $AF$3)
),0)</f>
        <v>0</v>
      </c>
      <c r="AD216" s="527" cm="1">
        <f t="array" aca="1" ref="AD2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6" s="526" cm="1">
        <f t="array" aca="1" ref="AE216" ca="1">IFERROR(COUNTIFS(
  unit_details[Property Name], INDIRECT("B"&amp;ROW()),
  unit_details[Floorplan Name], INDIRECT("C"&amp;ROW()),
  unit_details[Beds], INDIRECT("D"&amp;ROW()),
  unit_details[Detected Unit Amenities], "*"&amp;$AD$3&amp;"*",
  unit_details[Leased Date], "&gt;=" &amp; ($U$2 - $AF$3)
),0)</f>
        <v>0</v>
      </c>
      <c r="AF216" s="528" cm="1">
        <f t="array" aca="1" ref="AF216" ca="1">IFERROR(AVERAGEIFS(
  unit_details[Sqft],
  unit_details[Property Name], INDIRECT("B"&amp;ROW()),
  unit_details[Floorplan Name], INDIRECT("C"&amp;ROW()),
  unit_details[Beds], INDIRECT("D"&amp;ROW()),
  unit_details[Detected Unit Amenities], "&lt;&gt;*"&amp;$AD$3&amp;"*",
  unit_details[Leased Date], "&gt;=" &amp; ($U$2 - $AF$3)
),0)</f>
        <v>0</v>
      </c>
      <c r="AG216" s="527" cm="1">
        <f t="array" aca="1" ref="AG2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6" s="526" cm="1">
        <f t="array" aca="1" ref="AH216" ca="1">IFERROR(COUNTIFS(
  unit_details[Property Name], INDIRECT("B"&amp;ROW()),
  unit_details[Floorplan Name], INDIRECT("C"&amp;ROW()),
  unit_details[Beds], INDIRECT("D"&amp;ROW()),
  unit_details[Detected Unit Amenities], "&lt;&gt;*"&amp;$AD$3&amp;"*",
  unit_details[Leased Date], "&gt;=" &amp; ($U$2 - $AF$3)
),0)</f>
        <v>0</v>
      </c>
      <c r="AI216" s="528"/>
      <c r="AJ216" s="531">
        <f t="shared" ca="1" si="10"/>
        <v>0</v>
      </c>
      <c r="AK216" s="532">
        <f t="shared" ca="1" si="11"/>
        <v>0</v>
      </c>
    </row>
    <row r="217" spans="2:37" x14ac:dyDescent="0.2">
      <c r="B217" s="566"/>
      <c r="C217" s="53"/>
      <c r="E217" s="262"/>
      <c r="F217" s="262"/>
      <c r="J217" s="293"/>
      <c r="K217" s="6"/>
      <c r="M217" s="6"/>
      <c r="N217" s="531" t="str" cm="1">
        <f t="array" aca="1" ref="N21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7" s="552" t="str" cm="1">
        <f t="array" aca="1" ref="O21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7" s="526" cm="1">
        <f t="array" aca="1" ref="P217" ca="1">COUNTIFS(unit_details[Leased Date], "&gt;=" &amp; ($U$2 - N$5),
          unit_details[Leased Date], "&lt;" &amp; $U$2,
          unit_details[Floorplan Name], INDIRECT("C"&amp;ROW()),
          unit_details[Property Name], INDIRECT("B"&amp;ROW()))</f>
        <v>0</v>
      </c>
      <c r="Q217" s="531" t="str" cm="1">
        <f t="array" aca="1" ref="Q21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7" s="552" t="str" cm="1">
        <f t="array" aca="1" ref="R21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7" s="526" cm="1">
        <f t="array" aca="1" ref="S217" ca="1">COUNTIFS(unit_details[Leased Date], "&gt;=" &amp; ($U$2 - Q$5),
          unit_details[Leased Date], "&lt;" &amp; $U$2,
          unit_details[Floorplan Name], INDIRECT("C"&amp;ROW()),
          unit_details[Property Name], INDIRECT("B"&amp;ROW()))</f>
        <v>0</v>
      </c>
      <c r="T217" s="531" t="str" cm="1">
        <f t="array" aca="1" ref="T21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7" s="552" t="str" cm="1">
        <f t="array" aca="1" ref="U21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7" s="526" cm="1">
        <f t="array" aca="1" ref="V217" ca="1">COUNTIFS(unit_details[Leased Date], "&gt;=" &amp; ($U$2 - T$5),
          unit_details[Leased Date], "&lt;" &amp; $U$2,
          unit_details[Floorplan Name], INDIRECT("C"&amp;ROW()),
          unit_details[Property Name], INDIRECT("B"&amp;ROW()))</f>
        <v>0</v>
      </c>
      <c r="W217" s="531" t="str" cm="1">
        <f t="array" aca="1" ref="W21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7" s="552" t="str" cm="1">
        <f t="array" aca="1" ref="X21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7" s="27" t="str">
        <f t="shared" ca="1" si="9"/>
        <v/>
      </c>
      <c r="Z217" s="4" t="str">
        <f>IFERROR($U$2-AVERAGEIFS(unit_details[First Listed],
          unit_details[Active Listing?],TRUE,
          unit_details[Property Name], $B217,
          unit_details[Beds], $D217,
          unit_details[Baths], $E217,
          unit_details[Partial Baths], IF(ISNUMBER($F217),$F217,""),
          unit_details[Floorplan Name],$C217
),"")</f>
        <v/>
      </c>
      <c r="AA217" s="262" cm="1">
        <f t="array" aca="1" ref="AA217" ca="1">COUNTIFS(unit_details[Active Listing?],TRUE,
          unit_details[Floorplan Name], INDIRECT("C"&amp;ROW()),
          unit_details[Property Name], INDIRECT("B"&amp;ROW()))</f>
        <v>0</v>
      </c>
      <c r="AB217" s="553"/>
      <c r="AC217" s="528" cm="1">
        <f t="array" aca="1" ref="AC217" ca="1">IFERROR(AVERAGEIFS(
  unit_details[Sqft],
  unit_details[Property Name], INDIRECT("B"&amp;ROW()),
  unit_details[Floorplan Name], INDIRECT("C"&amp;ROW()),
  unit_details[Beds], INDIRECT("D"&amp;ROW()),
  unit_details[Detected Unit Amenities], "*"&amp;$AD$3&amp;"*",
  unit_details[Leased Date], "&gt;=" &amp; ($U$2 - $AF$3)
),0)</f>
        <v>0</v>
      </c>
      <c r="AD217" s="527" cm="1">
        <f t="array" aca="1" ref="AD2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7" s="526" cm="1">
        <f t="array" aca="1" ref="AE217" ca="1">IFERROR(COUNTIFS(
  unit_details[Property Name], INDIRECT("B"&amp;ROW()),
  unit_details[Floorplan Name], INDIRECT("C"&amp;ROW()),
  unit_details[Beds], INDIRECT("D"&amp;ROW()),
  unit_details[Detected Unit Amenities], "*"&amp;$AD$3&amp;"*",
  unit_details[Leased Date], "&gt;=" &amp; ($U$2 - $AF$3)
),0)</f>
        <v>0</v>
      </c>
      <c r="AF217" s="528" cm="1">
        <f t="array" aca="1" ref="AF217" ca="1">IFERROR(AVERAGEIFS(
  unit_details[Sqft],
  unit_details[Property Name], INDIRECT("B"&amp;ROW()),
  unit_details[Floorplan Name], INDIRECT("C"&amp;ROW()),
  unit_details[Beds], INDIRECT("D"&amp;ROW()),
  unit_details[Detected Unit Amenities], "&lt;&gt;*"&amp;$AD$3&amp;"*",
  unit_details[Leased Date], "&gt;=" &amp; ($U$2 - $AF$3)
),0)</f>
        <v>0</v>
      </c>
      <c r="AG217" s="527" cm="1">
        <f t="array" aca="1" ref="AG2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7" s="526" cm="1">
        <f t="array" aca="1" ref="AH217" ca="1">IFERROR(COUNTIFS(
  unit_details[Property Name], INDIRECT("B"&amp;ROW()),
  unit_details[Floorplan Name], INDIRECT("C"&amp;ROW()),
  unit_details[Beds], INDIRECT("D"&amp;ROW()),
  unit_details[Detected Unit Amenities], "&lt;&gt;*"&amp;$AD$3&amp;"*",
  unit_details[Leased Date], "&gt;=" &amp; ($U$2 - $AF$3)
),0)</f>
        <v>0</v>
      </c>
      <c r="AI217" s="528"/>
      <c r="AJ217" s="531">
        <f t="shared" ca="1" si="10"/>
        <v>0</v>
      </c>
      <c r="AK217" s="532">
        <f t="shared" ca="1" si="11"/>
        <v>0</v>
      </c>
    </row>
    <row r="218" spans="2:37" x14ac:dyDescent="0.2">
      <c r="B218" s="566"/>
      <c r="C218" s="53"/>
      <c r="E218" s="262"/>
      <c r="F218" s="262"/>
      <c r="J218" s="293"/>
      <c r="K218" s="6"/>
      <c r="M218" s="6"/>
      <c r="N218" s="531" t="str" cm="1">
        <f t="array" aca="1" ref="N21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8" s="552" t="str" cm="1">
        <f t="array" aca="1" ref="O21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8" s="526" cm="1">
        <f t="array" aca="1" ref="P218" ca="1">COUNTIFS(unit_details[Leased Date], "&gt;=" &amp; ($U$2 - N$5),
          unit_details[Leased Date], "&lt;" &amp; $U$2,
          unit_details[Floorplan Name], INDIRECT("C"&amp;ROW()),
          unit_details[Property Name], INDIRECT("B"&amp;ROW()))</f>
        <v>0</v>
      </c>
      <c r="Q218" s="531" t="str" cm="1">
        <f t="array" aca="1" ref="Q21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8" s="552" t="str" cm="1">
        <f t="array" aca="1" ref="R21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8" s="526" cm="1">
        <f t="array" aca="1" ref="S218" ca="1">COUNTIFS(unit_details[Leased Date], "&gt;=" &amp; ($U$2 - Q$5),
          unit_details[Leased Date], "&lt;" &amp; $U$2,
          unit_details[Floorplan Name], INDIRECT("C"&amp;ROW()),
          unit_details[Property Name], INDIRECT("B"&amp;ROW()))</f>
        <v>0</v>
      </c>
      <c r="T218" s="531" t="str" cm="1">
        <f t="array" aca="1" ref="T21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8" s="552" t="str" cm="1">
        <f t="array" aca="1" ref="U21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8" s="526" cm="1">
        <f t="array" aca="1" ref="V218" ca="1">COUNTIFS(unit_details[Leased Date], "&gt;=" &amp; ($U$2 - T$5),
          unit_details[Leased Date], "&lt;" &amp; $U$2,
          unit_details[Floorplan Name], INDIRECT("C"&amp;ROW()),
          unit_details[Property Name], INDIRECT("B"&amp;ROW()))</f>
        <v>0</v>
      </c>
      <c r="W218" s="531" t="str" cm="1">
        <f t="array" aca="1" ref="W21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8" s="552" t="str" cm="1">
        <f t="array" aca="1" ref="X21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8" s="27" t="str">
        <f t="shared" ca="1" si="9"/>
        <v/>
      </c>
      <c r="Z218" s="4" t="str">
        <f>IFERROR($U$2-AVERAGEIFS(unit_details[First Listed],
          unit_details[Active Listing?],TRUE,
          unit_details[Property Name], $B218,
          unit_details[Beds], $D218,
          unit_details[Baths], $E218,
          unit_details[Partial Baths], IF(ISNUMBER($F218),$F218,""),
          unit_details[Floorplan Name],$C218
),"")</f>
        <v/>
      </c>
      <c r="AA218" s="262" cm="1">
        <f t="array" aca="1" ref="AA218" ca="1">COUNTIFS(unit_details[Active Listing?],TRUE,
          unit_details[Floorplan Name], INDIRECT("C"&amp;ROW()),
          unit_details[Property Name], INDIRECT("B"&amp;ROW()))</f>
        <v>0</v>
      </c>
      <c r="AB218" s="553"/>
      <c r="AC218" s="528" cm="1">
        <f t="array" aca="1" ref="AC218" ca="1">IFERROR(AVERAGEIFS(
  unit_details[Sqft],
  unit_details[Property Name], INDIRECT("B"&amp;ROW()),
  unit_details[Floorplan Name], INDIRECT("C"&amp;ROW()),
  unit_details[Beds], INDIRECT("D"&amp;ROW()),
  unit_details[Detected Unit Amenities], "*"&amp;$AD$3&amp;"*",
  unit_details[Leased Date], "&gt;=" &amp; ($U$2 - $AF$3)
),0)</f>
        <v>0</v>
      </c>
      <c r="AD218" s="527" cm="1">
        <f t="array" aca="1" ref="AD2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8" s="526" cm="1">
        <f t="array" aca="1" ref="AE218" ca="1">IFERROR(COUNTIFS(
  unit_details[Property Name], INDIRECT("B"&amp;ROW()),
  unit_details[Floorplan Name], INDIRECT("C"&amp;ROW()),
  unit_details[Beds], INDIRECT("D"&amp;ROW()),
  unit_details[Detected Unit Amenities], "*"&amp;$AD$3&amp;"*",
  unit_details[Leased Date], "&gt;=" &amp; ($U$2 - $AF$3)
),0)</f>
        <v>0</v>
      </c>
      <c r="AF218" s="528" cm="1">
        <f t="array" aca="1" ref="AF218" ca="1">IFERROR(AVERAGEIFS(
  unit_details[Sqft],
  unit_details[Property Name], INDIRECT("B"&amp;ROW()),
  unit_details[Floorplan Name], INDIRECT("C"&amp;ROW()),
  unit_details[Beds], INDIRECT("D"&amp;ROW()),
  unit_details[Detected Unit Amenities], "&lt;&gt;*"&amp;$AD$3&amp;"*",
  unit_details[Leased Date], "&gt;=" &amp; ($U$2 - $AF$3)
),0)</f>
        <v>0</v>
      </c>
      <c r="AG218" s="527" cm="1">
        <f t="array" aca="1" ref="AG2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8" s="526" cm="1">
        <f t="array" aca="1" ref="AH218" ca="1">IFERROR(COUNTIFS(
  unit_details[Property Name], INDIRECT("B"&amp;ROW()),
  unit_details[Floorplan Name], INDIRECT("C"&amp;ROW()),
  unit_details[Beds], INDIRECT("D"&amp;ROW()),
  unit_details[Detected Unit Amenities], "&lt;&gt;*"&amp;$AD$3&amp;"*",
  unit_details[Leased Date], "&gt;=" &amp; ($U$2 - $AF$3)
),0)</f>
        <v>0</v>
      </c>
      <c r="AI218" s="528"/>
      <c r="AJ218" s="531">
        <f t="shared" ca="1" si="10"/>
        <v>0</v>
      </c>
      <c r="AK218" s="532">
        <f t="shared" ca="1" si="11"/>
        <v>0</v>
      </c>
    </row>
    <row r="219" spans="2:37" x14ac:dyDescent="0.2">
      <c r="B219" s="566"/>
      <c r="C219" s="53"/>
      <c r="E219" s="262"/>
      <c r="F219" s="262"/>
      <c r="J219" s="293"/>
      <c r="K219" s="6"/>
      <c r="M219" s="6"/>
      <c r="N219" s="531" t="str" cm="1">
        <f t="array" aca="1" ref="N21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19" s="552" t="str" cm="1">
        <f t="array" aca="1" ref="O21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19" s="526" cm="1">
        <f t="array" aca="1" ref="P219" ca="1">COUNTIFS(unit_details[Leased Date], "&gt;=" &amp; ($U$2 - N$5),
          unit_details[Leased Date], "&lt;" &amp; $U$2,
          unit_details[Floorplan Name], INDIRECT("C"&amp;ROW()),
          unit_details[Property Name], INDIRECT("B"&amp;ROW()))</f>
        <v>0</v>
      </c>
      <c r="Q219" s="531" t="str" cm="1">
        <f t="array" aca="1" ref="Q21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19" s="552" t="str" cm="1">
        <f t="array" aca="1" ref="R21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19" s="526" cm="1">
        <f t="array" aca="1" ref="S219" ca="1">COUNTIFS(unit_details[Leased Date], "&gt;=" &amp; ($U$2 - Q$5),
          unit_details[Leased Date], "&lt;" &amp; $U$2,
          unit_details[Floorplan Name], INDIRECT("C"&amp;ROW()),
          unit_details[Property Name], INDIRECT("B"&amp;ROW()))</f>
        <v>0</v>
      </c>
      <c r="T219" s="531" t="str" cm="1">
        <f t="array" aca="1" ref="T21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19" s="552" t="str" cm="1">
        <f t="array" aca="1" ref="U21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19" s="526" cm="1">
        <f t="array" aca="1" ref="V219" ca="1">COUNTIFS(unit_details[Leased Date], "&gt;=" &amp; ($U$2 - T$5),
          unit_details[Leased Date], "&lt;" &amp; $U$2,
          unit_details[Floorplan Name], INDIRECT("C"&amp;ROW()),
          unit_details[Property Name], INDIRECT("B"&amp;ROW()))</f>
        <v>0</v>
      </c>
      <c r="W219" s="531" t="str" cm="1">
        <f t="array" aca="1" ref="W21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19" s="552" t="str" cm="1">
        <f t="array" aca="1" ref="X21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19" s="27" t="str">
        <f t="shared" ca="1" si="9"/>
        <v/>
      </c>
      <c r="Z219" s="4" t="str">
        <f>IFERROR($U$2-AVERAGEIFS(unit_details[First Listed],
          unit_details[Active Listing?],TRUE,
          unit_details[Property Name], $B219,
          unit_details[Beds], $D219,
          unit_details[Baths], $E219,
          unit_details[Partial Baths], IF(ISNUMBER($F219),$F219,""),
          unit_details[Floorplan Name],$C219
),"")</f>
        <v/>
      </c>
      <c r="AA219" s="262" cm="1">
        <f t="array" aca="1" ref="AA219" ca="1">COUNTIFS(unit_details[Active Listing?],TRUE,
          unit_details[Floorplan Name], INDIRECT("C"&amp;ROW()),
          unit_details[Property Name], INDIRECT("B"&amp;ROW()))</f>
        <v>0</v>
      </c>
      <c r="AB219" s="553"/>
      <c r="AC219" s="528" cm="1">
        <f t="array" aca="1" ref="AC219" ca="1">IFERROR(AVERAGEIFS(
  unit_details[Sqft],
  unit_details[Property Name], INDIRECT("B"&amp;ROW()),
  unit_details[Floorplan Name], INDIRECT("C"&amp;ROW()),
  unit_details[Beds], INDIRECT("D"&amp;ROW()),
  unit_details[Detected Unit Amenities], "*"&amp;$AD$3&amp;"*",
  unit_details[Leased Date], "&gt;=" &amp; ($U$2 - $AF$3)
),0)</f>
        <v>0</v>
      </c>
      <c r="AD219" s="527" cm="1">
        <f t="array" aca="1" ref="AD2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19" s="526" cm="1">
        <f t="array" aca="1" ref="AE219" ca="1">IFERROR(COUNTIFS(
  unit_details[Property Name], INDIRECT("B"&amp;ROW()),
  unit_details[Floorplan Name], INDIRECT("C"&amp;ROW()),
  unit_details[Beds], INDIRECT("D"&amp;ROW()),
  unit_details[Detected Unit Amenities], "*"&amp;$AD$3&amp;"*",
  unit_details[Leased Date], "&gt;=" &amp; ($U$2 - $AF$3)
),0)</f>
        <v>0</v>
      </c>
      <c r="AF219" s="528" cm="1">
        <f t="array" aca="1" ref="AF219" ca="1">IFERROR(AVERAGEIFS(
  unit_details[Sqft],
  unit_details[Property Name], INDIRECT("B"&amp;ROW()),
  unit_details[Floorplan Name], INDIRECT("C"&amp;ROW()),
  unit_details[Beds], INDIRECT("D"&amp;ROW()),
  unit_details[Detected Unit Amenities], "&lt;&gt;*"&amp;$AD$3&amp;"*",
  unit_details[Leased Date], "&gt;=" &amp; ($U$2 - $AF$3)
),0)</f>
        <v>0</v>
      </c>
      <c r="AG219" s="527" cm="1">
        <f t="array" aca="1" ref="AG2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19" s="526" cm="1">
        <f t="array" aca="1" ref="AH219" ca="1">IFERROR(COUNTIFS(
  unit_details[Property Name], INDIRECT("B"&amp;ROW()),
  unit_details[Floorplan Name], INDIRECT("C"&amp;ROW()),
  unit_details[Beds], INDIRECT("D"&amp;ROW()),
  unit_details[Detected Unit Amenities], "&lt;&gt;*"&amp;$AD$3&amp;"*",
  unit_details[Leased Date], "&gt;=" &amp; ($U$2 - $AF$3)
),0)</f>
        <v>0</v>
      </c>
      <c r="AI219" s="528"/>
      <c r="AJ219" s="531">
        <f t="shared" ca="1" si="10"/>
        <v>0</v>
      </c>
      <c r="AK219" s="532">
        <f t="shared" ca="1" si="11"/>
        <v>0</v>
      </c>
    </row>
    <row r="220" spans="2:37" x14ac:dyDescent="0.2">
      <c r="B220" s="566"/>
      <c r="C220" s="53"/>
      <c r="E220" s="262"/>
      <c r="F220" s="262"/>
      <c r="J220" s="293"/>
      <c r="K220" s="6"/>
      <c r="M220" s="6"/>
      <c r="N220" s="531" t="str" cm="1">
        <f t="array" aca="1" ref="N22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0" s="552" t="str" cm="1">
        <f t="array" aca="1" ref="O22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0" s="526" cm="1">
        <f t="array" aca="1" ref="P220" ca="1">COUNTIFS(unit_details[Leased Date], "&gt;=" &amp; ($U$2 - N$5),
          unit_details[Leased Date], "&lt;" &amp; $U$2,
          unit_details[Floorplan Name], INDIRECT("C"&amp;ROW()),
          unit_details[Property Name], INDIRECT("B"&amp;ROW()))</f>
        <v>0</v>
      </c>
      <c r="Q220" s="531" t="str" cm="1">
        <f t="array" aca="1" ref="Q22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0" s="552" t="str" cm="1">
        <f t="array" aca="1" ref="R22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0" s="526" cm="1">
        <f t="array" aca="1" ref="S220" ca="1">COUNTIFS(unit_details[Leased Date], "&gt;=" &amp; ($U$2 - Q$5),
          unit_details[Leased Date], "&lt;" &amp; $U$2,
          unit_details[Floorplan Name], INDIRECT("C"&amp;ROW()),
          unit_details[Property Name], INDIRECT("B"&amp;ROW()))</f>
        <v>0</v>
      </c>
      <c r="T220" s="531" t="str" cm="1">
        <f t="array" aca="1" ref="T22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0" s="552" t="str" cm="1">
        <f t="array" aca="1" ref="U22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0" s="526" cm="1">
        <f t="array" aca="1" ref="V220" ca="1">COUNTIFS(unit_details[Leased Date], "&gt;=" &amp; ($U$2 - T$5),
          unit_details[Leased Date], "&lt;" &amp; $U$2,
          unit_details[Floorplan Name], INDIRECT("C"&amp;ROW()),
          unit_details[Property Name], INDIRECT("B"&amp;ROW()))</f>
        <v>0</v>
      </c>
      <c r="W220" s="531" t="str" cm="1">
        <f t="array" aca="1" ref="W22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0" s="552" t="str" cm="1">
        <f t="array" aca="1" ref="X22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0" s="27" t="str">
        <f t="shared" ca="1" si="9"/>
        <v/>
      </c>
      <c r="Z220" s="4" t="str">
        <f>IFERROR($U$2-AVERAGEIFS(unit_details[First Listed],
          unit_details[Active Listing?],TRUE,
          unit_details[Property Name], $B220,
          unit_details[Beds], $D220,
          unit_details[Baths], $E220,
          unit_details[Partial Baths], IF(ISNUMBER($F220),$F220,""),
          unit_details[Floorplan Name],$C220
),"")</f>
        <v/>
      </c>
      <c r="AA220" s="262" cm="1">
        <f t="array" aca="1" ref="AA220" ca="1">COUNTIFS(unit_details[Active Listing?],TRUE,
          unit_details[Floorplan Name], INDIRECT("C"&amp;ROW()),
          unit_details[Property Name], INDIRECT("B"&amp;ROW()))</f>
        <v>0</v>
      </c>
      <c r="AB220" s="553"/>
      <c r="AC220" s="528" cm="1">
        <f t="array" aca="1" ref="AC220" ca="1">IFERROR(AVERAGEIFS(
  unit_details[Sqft],
  unit_details[Property Name], INDIRECT("B"&amp;ROW()),
  unit_details[Floorplan Name], INDIRECT("C"&amp;ROW()),
  unit_details[Beds], INDIRECT("D"&amp;ROW()),
  unit_details[Detected Unit Amenities], "*"&amp;$AD$3&amp;"*",
  unit_details[Leased Date], "&gt;=" &amp; ($U$2 - $AF$3)
),0)</f>
        <v>0</v>
      </c>
      <c r="AD220" s="527" cm="1">
        <f t="array" aca="1" ref="AD2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0" s="526" cm="1">
        <f t="array" aca="1" ref="AE220" ca="1">IFERROR(COUNTIFS(
  unit_details[Property Name], INDIRECT("B"&amp;ROW()),
  unit_details[Floorplan Name], INDIRECT("C"&amp;ROW()),
  unit_details[Beds], INDIRECT("D"&amp;ROW()),
  unit_details[Detected Unit Amenities], "*"&amp;$AD$3&amp;"*",
  unit_details[Leased Date], "&gt;=" &amp; ($U$2 - $AF$3)
),0)</f>
        <v>0</v>
      </c>
      <c r="AF220" s="528" cm="1">
        <f t="array" aca="1" ref="AF220" ca="1">IFERROR(AVERAGEIFS(
  unit_details[Sqft],
  unit_details[Property Name], INDIRECT("B"&amp;ROW()),
  unit_details[Floorplan Name], INDIRECT("C"&amp;ROW()),
  unit_details[Beds], INDIRECT("D"&amp;ROW()),
  unit_details[Detected Unit Amenities], "&lt;&gt;*"&amp;$AD$3&amp;"*",
  unit_details[Leased Date], "&gt;=" &amp; ($U$2 - $AF$3)
),0)</f>
        <v>0</v>
      </c>
      <c r="AG220" s="527" cm="1">
        <f t="array" aca="1" ref="AG2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0" s="526" cm="1">
        <f t="array" aca="1" ref="AH220" ca="1">IFERROR(COUNTIFS(
  unit_details[Property Name], INDIRECT("B"&amp;ROW()),
  unit_details[Floorplan Name], INDIRECT("C"&amp;ROW()),
  unit_details[Beds], INDIRECT("D"&amp;ROW()),
  unit_details[Detected Unit Amenities], "&lt;&gt;*"&amp;$AD$3&amp;"*",
  unit_details[Leased Date], "&gt;=" &amp; ($U$2 - $AF$3)
),0)</f>
        <v>0</v>
      </c>
      <c r="AI220" s="528"/>
      <c r="AJ220" s="531">
        <f t="shared" ca="1" si="10"/>
        <v>0</v>
      </c>
      <c r="AK220" s="532">
        <f t="shared" ca="1" si="11"/>
        <v>0</v>
      </c>
    </row>
    <row r="221" spans="2:37" x14ac:dyDescent="0.2">
      <c r="B221" s="566"/>
      <c r="C221" s="53"/>
      <c r="E221" s="262"/>
      <c r="F221" s="262"/>
      <c r="J221" s="293"/>
      <c r="K221" s="6"/>
      <c r="M221" s="6"/>
      <c r="N221" s="531" t="str" cm="1">
        <f t="array" aca="1" ref="N22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1" s="552" t="str" cm="1">
        <f t="array" aca="1" ref="O22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1" s="526" cm="1">
        <f t="array" aca="1" ref="P221" ca="1">COUNTIFS(unit_details[Leased Date], "&gt;=" &amp; ($U$2 - N$5),
          unit_details[Leased Date], "&lt;" &amp; $U$2,
          unit_details[Floorplan Name], INDIRECT("C"&amp;ROW()),
          unit_details[Property Name], INDIRECT("B"&amp;ROW()))</f>
        <v>0</v>
      </c>
      <c r="Q221" s="531" t="str" cm="1">
        <f t="array" aca="1" ref="Q22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1" s="552" t="str" cm="1">
        <f t="array" aca="1" ref="R22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1" s="526" cm="1">
        <f t="array" aca="1" ref="S221" ca="1">COUNTIFS(unit_details[Leased Date], "&gt;=" &amp; ($U$2 - Q$5),
          unit_details[Leased Date], "&lt;" &amp; $U$2,
          unit_details[Floorplan Name], INDIRECT("C"&amp;ROW()),
          unit_details[Property Name], INDIRECT("B"&amp;ROW()))</f>
        <v>0</v>
      </c>
      <c r="T221" s="531" t="str" cm="1">
        <f t="array" aca="1" ref="T22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1" s="552" t="str" cm="1">
        <f t="array" aca="1" ref="U22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1" s="526" cm="1">
        <f t="array" aca="1" ref="V221" ca="1">COUNTIFS(unit_details[Leased Date], "&gt;=" &amp; ($U$2 - T$5),
          unit_details[Leased Date], "&lt;" &amp; $U$2,
          unit_details[Floorplan Name], INDIRECT("C"&amp;ROW()),
          unit_details[Property Name], INDIRECT("B"&amp;ROW()))</f>
        <v>0</v>
      </c>
      <c r="W221" s="531" t="str" cm="1">
        <f t="array" aca="1" ref="W22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1" s="552" t="str" cm="1">
        <f t="array" aca="1" ref="X22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1" s="27" t="str">
        <f t="shared" ca="1" si="9"/>
        <v/>
      </c>
      <c r="Z221" s="4" t="str">
        <f>IFERROR($U$2-AVERAGEIFS(unit_details[First Listed],
          unit_details[Active Listing?],TRUE,
          unit_details[Property Name], $B221,
          unit_details[Beds], $D221,
          unit_details[Baths], $E221,
          unit_details[Partial Baths], IF(ISNUMBER($F221),$F221,""),
          unit_details[Floorplan Name],$C221
),"")</f>
        <v/>
      </c>
      <c r="AA221" s="262" cm="1">
        <f t="array" aca="1" ref="AA221" ca="1">COUNTIFS(unit_details[Active Listing?],TRUE,
          unit_details[Floorplan Name], INDIRECT("C"&amp;ROW()),
          unit_details[Property Name], INDIRECT("B"&amp;ROW()))</f>
        <v>0</v>
      </c>
      <c r="AB221" s="553"/>
      <c r="AC221" s="528" cm="1">
        <f t="array" aca="1" ref="AC221" ca="1">IFERROR(AVERAGEIFS(
  unit_details[Sqft],
  unit_details[Property Name], INDIRECT("B"&amp;ROW()),
  unit_details[Floorplan Name], INDIRECT("C"&amp;ROW()),
  unit_details[Beds], INDIRECT("D"&amp;ROW()),
  unit_details[Detected Unit Amenities], "*"&amp;$AD$3&amp;"*",
  unit_details[Leased Date], "&gt;=" &amp; ($U$2 - $AF$3)
),0)</f>
        <v>0</v>
      </c>
      <c r="AD221" s="527" cm="1">
        <f t="array" aca="1" ref="AD2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1" s="526" cm="1">
        <f t="array" aca="1" ref="AE221" ca="1">IFERROR(COUNTIFS(
  unit_details[Property Name], INDIRECT("B"&amp;ROW()),
  unit_details[Floorplan Name], INDIRECT("C"&amp;ROW()),
  unit_details[Beds], INDIRECT("D"&amp;ROW()),
  unit_details[Detected Unit Amenities], "*"&amp;$AD$3&amp;"*",
  unit_details[Leased Date], "&gt;=" &amp; ($U$2 - $AF$3)
),0)</f>
        <v>0</v>
      </c>
      <c r="AF221" s="528" cm="1">
        <f t="array" aca="1" ref="AF221" ca="1">IFERROR(AVERAGEIFS(
  unit_details[Sqft],
  unit_details[Property Name], INDIRECT("B"&amp;ROW()),
  unit_details[Floorplan Name], INDIRECT("C"&amp;ROW()),
  unit_details[Beds], INDIRECT("D"&amp;ROW()),
  unit_details[Detected Unit Amenities], "&lt;&gt;*"&amp;$AD$3&amp;"*",
  unit_details[Leased Date], "&gt;=" &amp; ($U$2 - $AF$3)
),0)</f>
        <v>0</v>
      </c>
      <c r="AG221" s="527" cm="1">
        <f t="array" aca="1" ref="AG2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1" s="526" cm="1">
        <f t="array" aca="1" ref="AH221" ca="1">IFERROR(COUNTIFS(
  unit_details[Property Name], INDIRECT("B"&amp;ROW()),
  unit_details[Floorplan Name], INDIRECT("C"&amp;ROW()),
  unit_details[Beds], INDIRECT("D"&amp;ROW()),
  unit_details[Detected Unit Amenities], "&lt;&gt;*"&amp;$AD$3&amp;"*",
  unit_details[Leased Date], "&gt;=" &amp; ($U$2 - $AF$3)
),0)</f>
        <v>0</v>
      </c>
      <c r="AI221" s="528"/>
      <c r="AJ221" s="531">
        <f t="shared" ca="1" si="10"/>
        <v>0</v>
      </c>
      <c r="AK221" s="532">
        <f t="shared" ca="1" si="11"/>
        <v>0</v>
      </c>
    </row>
    <row r="222" spans="2:37" x14ac:dyDescent="0.2">
      <c r="B222" s="566"/>
      <c r="C222" s="53"/>
      <c r="E222" s="262"/>
      <c r="F222" s="262"/>
      <c r="J222" s="293"/>
      <c r="K222" s="6"/>
      <c r="M222" s="6"/>
      <c r="N222" s="531" t="str" cm="1">
        <f t="array" aca="1" ref="N22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2" s="552" t="str" cm="1">
        <f t="array" aca="1" ref="O22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2" s="526" cm="1">
        <f t="array" aca="1" ref="P222" ca="1">COUNTIFS(unit_details[Leased Date], "&gt;=" &amp; ($U$2 - N$5),
          unit_details[Leased Date], "&lt;" &amp; $U$2,
          unit_details[Floorplan Name], INDIRECT("C"&amp;ROW()),
          unit_details[Property Name], INDIRECT("B"&amp;ROW()))</f>
        <v>0</v>
      </c>
      <c r="Q222" s="531" t="str" cm="1">
        <f t="array" aca="1" ref="Q22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2" s="552" t="str" cm="1">
        <f t="array" aca="1" ref="R22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2" s="526" cm="1">
        <f t="array" aca="1" ref="S222" ca="1">COUNTIFS(unit_details[Leased Date], "&gt;=" &amp; ($U$2 - Q$5),
          unit_details[Leased Date], "&lt;" &amp; $U$2,
          unit_details[Floorplan Name], INDIRECT("C"&amp;ROW()),
          unit_details[Property Name], INDIRECT("B"&amp;ROW()))</f>
        <v>0</v>
      </c>
      <c r="T222" s="531" t="str" cm="1">
        <f t="array" aca="1" ref="T22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2" s="552" t="str" cm="1">
        <f t="array" aca="1" ref="U22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2" s="526" cm="1">
        <f t="array" aca="1" ref="V222" ca="1">COUNTIFS(unit_details[Leased Date], "&gt;=" &amp; ($U$2 - T$5),
          unit_details[Leased Date], "&lt;" &amp; $U$2,
          unit_details[Floorplan Name], INDIRECT("C"&amp;ROW()),
          unit_details[Property Name], INDIRECT("B"&amp;ROW()))</f>
        <v>0</v>
      </c>
      <c r="W222" s="531" t="str" cm="1">
        <f t="array" aca="1" ref="W22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2" s="552" t="str" cm="1">
        <f t="array" aca="1" ref="X22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2" s="27" t="str">
        <f t="shared" ca="1" si="9"/>
        <v/>
      </c>
      <c r="Z222" s="4" t="str">
        <f>IFERROR($U$2-AVERAGEIFS(unit_details[First Listed],
          unit_details[Active Listing?],TRUE,
          unit_details[Property Name], $B222,
          unit_details[Beds], $D222,
          unit_details[Baths], $E222,
          unit_details[Partial Baths], IF(ISNUMBER($F222),$F222,""),
          unit_details[Floorplan Name],$C222
),"")</f>
        <v/>
      </c>
      <c r="AA222" s="262" cm="1">
        <f t="array" aca="1" ref="AA222" ca="1">COUNTIFS(unit_details[Active Listing?],TRUE,
          unit_details[Floorplan Name], INDIRECT("C"&amp;ROW()),
          unit_details[Property Name], INDIRECT("B"&amp;ROW()))</f>
        <v>0</v>
      </c>
      <c r="AB222" s="553"/>
      <c r="AC222" s="528" cm="1">
        <f t="array" aca="1" ref="AC222" ca="1">IFERROR(AVERAGEIFS(
  unit_details[Sqft],
  unit_details[Property Name], INDIRECT("B"&amp;ROW()),
  unit_details[Floorplan Name], INDIRECT("C"&amp;ROW()),
  unit_details[Beds], INDIRECT("D"&amp;ROW()),
  unit_details[Detected Unit Amenities], "*"&amp;$AD$3&amp;"*",
  unit_details[Leased Date], "&gt;=" &amp; ($U$2 - $AF$3)
),0)</f>
        <v>0</v>
      </c>
      <c r="AD222" s="527" cm="1">
        <f t="array" aca="1" ref="AD2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2" s="526" cm="1">
        <f t="array" aca="1" ref="AE222" ca="1">IFERROR(COUNTIFS(
  unit_details[Property Name], INDIRECT("B"&amp;ROW()),
  unit_details[Floorplan Name], INDIRECT("C"&amp;ROW()),
  unit_details[Beds], INDIRECT("D"&amp;ROW()),
  unit_details[Detected Unit Amenities], "*"&amp;$AD$3&amp;"*",
  unit_details[Leased Date], "&gt;=" &amp; ($U$2 - $AF$3)
),0)</f>
        <v>0</v>
      </c>
      <c r="AF222" s="528" cm="1">
        <f t="array" aca="1" ref="AF222" ca="1">IFERROR(AVERAGEIFS(
  unit_details[Sqft],
  unit_details[Property Name], INDIRECT("B"&amp;ROW()),
  unit_details[Floorplan Name], INDIRECT("C"&amp;ROW()),
  unit_details[Beds], INDIRECT("D"&amp;ROW()),
  unit_details[Detected Unit Amenities], "&lt;&gt;*"&amp;$AD$3&amp;"*",
  unit_details[Leased Date], "&gt;=" &amp; ($U$2 - $AF$3)
),0)</f>
        <v>0</v>
      </c>
      <c r="AG222" s="527" cm="1">
        <f t="array" aca="1" ref="AG2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2" s="526" cm="1">
        <f t="array" aca="1" ref="AH222" ca="1">IFERROR(COUNTIFS(
  unit_details[Property Name], INDIRECT("B"&amp;ROW()),
  unit_details[Floorplan Name], INDIRECT("C"&amp;ROW()),
  unit_details[Beds], INDIRECT("D"&amp;ROW()),
  unit_details[Detected Unit Amenities], "&lt;&gt;*"&amp;$AD$3&amp;"*",
  unit_details[Leased Date], "&gt;=" &amp; ($U$2 - $AF$3)
),0)</f>
        <v>0</v>
      </c>
      <c r="AI222" s="528"/>
      <c r="AJ222" s="531">
        <f t="shared" ca="1" si="10"/>
        <v>0</v>
      </c>
      <c r="AK222" s="532">
        <f t="shared" ca="1" si="11"/>
        <v>0</v>
      </c>
    </row>
    <row r="223" spans="2:37" x14ac:dyDescent="0.2">
      <c r="B223" s="566"/>
      <c r="C223" s="53"/>
      <c r="E223" s="262"/>
      <c r="F223" s="262"/>
      <c r="J223" s="293"/>
      <c r="K223" s="6"/>
      <c r="M223" s="6"/>
      <c r="N223" s="531" t="str" cm="1">
        <f t="array" aca="1" ref="N22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3" s="552" t="str" cm="1">
        <f t="array" aca="1" ref="O22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3" s="526" cm="1">
        <f t="array" aca="1" ref="P223" ca="1">COUNTIFS(unit_details[Leased Date], "&gt;=" &amp; ($U$2 - N$5),
          unit_details[Leased Date], "&lt;" &amp; $U$2,
          unit_details[Floorplan Name], INDIRECT("C"&amp;ROW()),
          unit_details[Property Name], INDIRECT("B"&amp;ROW()))</f>
        <v>0</v>
      </c>
      <c r="Q223" s="531" t="str" cm="1">
        <f t="array" aca="1" ref="Q22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3" s="552" t="str" cm="1">
        <f t="array" aca="1" ref="R22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3" s="526" cm="1">
        <f t="array" aca="1" ref="S223" ca="1">COUNTIFS(unit_details[Leased Date], "&gt;=" &amp; ($U$2 - Q$5),
          unit_details[Leased Date], "&lt;" &amp; $U$2,
          unit_details[Floorplan Name], INDIRECT("C"&amp;ROW()),
          unit_details[Property Name], INDIRECT("B"&amp;ROW()))</f>
        <v>0</v>
      </c>
      <c r="T223" s="531" t="str" cm="1">
        <f t="array" aca="1" ref="T22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3" s="552" t="str" cm="1">
        <f t="array" aca="1" ref="U22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3" s="526" cm="1">
        <f t="array" aca="1" ref="V223" ca="1">COUNTIFS(unit_details[Leased Date], "&gt;=" &amp; ($U$2 - T$5),
          unit_details[Leased Date], "&lt;" &amp; $U$2,
          unit_details[Floorplan Name], INDIRECT("C"&amp;ROW()),
          unit_details[Property Name], INDIRECT("B"&amp;ROW()))</f>
        <v>0</v>
      </c>
      <c r="W223" s="531" t="str" cm="1">
        <f t="array" aca="1" ref="W22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3" s="552" t="str" cm="1">
        <f t="array" aca="1" ref="X22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3" s="27" t="str">
        <f t="shared" ca="1" si="9"/>
        <v/>
      </c>
      <c r="Z223" s="4" t="str">
        <f>IFERROR($U$2-AVERAGEIFS(unit_details[First Listed],
          unit_details[Active Listing?],TRUE,
          unit_details[Property Name], $B223,
          unit_details[Beds], $D223,
          unit_details[Baths], $E223,
          unit_details[Partial Baths], IF(ISNUMBER($F223),$F223,""),
          unit_details[Floorplan Name],$C223
),"")</f>
        <v/>
      </c>
      <c r="AA223" s="262" cm="1">
        <f t="array" aca="1" ref="AA223" ca="1">COUNTIFS(unit_details[Active Listing?],TRUE,
          unit_details[Floorplan Name], INDIRECT("C"&amp;ROW()),
          unit_details[Property Name], INDIRECT("B"&amp;ROW()))</f>
        <v>0</v>
      </c>
      <c r="AB223" s="553"/>
      <c r="AC223" s="528" cm="1">
        <f t="array" aca="1" ref="AC223" ca="1">IFERROR(AVERAGEIFS(
  unit_details[Sqft],
  unit_details[Property Name], INDIRECT("B"&amp;ROW()),
  unit_details[Floorplan Name], INDIRECT("C"&amp;ROW()),
  unit_details[Beds], INDIRECT("D"&amp;ROW()),
  unit_details[Detected Unit Amenities], "*"&amp;$AD$3&amp;"*",
  unit_details[Leased Date], "&gt;=" &amp; ($U$2 - $AF$3)
),0)</f>
        <v>0</v>
      </c>
      <c r="AD223" s="527" cm="1">
        <f t="array" aca="1" ref="AD2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3" s="526" cm="1">
        <f t="array" aca="1" ref="AE223" ca="1">IFERROR(COUNTIFS(
  unit_details[Property Name], INDIRECT("B"&amp;ROW()),
  unit_details[Floorplan Name], INDIRECT("C"&amp;ROW()),
  unit_details[Beds], INDIRECT("D"&amp;ROW()),
  unit_details[Detected Unit Amenities], "*"&amp;$AD$3&amp;"*",
  unit_details[Leased Date], "&gt;=" &amp; ($U$2 - $AF$3)
),0)</f>
        <v>0</v>
      </c>
      <c r="AF223" s="528" cm="1">
        <f t="array" aca="1" ref="AF223" ca="1">IFERROR(AVERAGEIFS(
  unit_details[Sqft],
  unit_details[Property Name], INDIRECT("B"&amp;ROW()),
  unit_details[Floorplan Name], INDIRECT("C"&amp;ROW()),
  unit_details[Beds], INDIRECT("D"&amp;ROW()),
  unit_details[Detected Unit Amenities], "&lt;&gt;*"&amp;$AD$3&amp;"*",
  unit_details[Leased Date], "&gt;=" &amp; ($U$2 - $AF$3)
),0)</f>
        <v>0</v>
      </c>
      <c r="AG223" s="527" cm="1">
        <f t="array" aca="1" ref="AG2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3" s="526" cm="1">
        <f t="array" aca="1" ref="AH223" ca="1">IFERROR(COUNTIFS(
  unit_details[Property Name], INDIRECT("B"&amp;ROW()),
  unit_details[Floorplan Name], INDIRECT("C"&amp;ROW()),
  unit_details[Beds], INDIRECT("D"&amp;ROW()),
  unit_details[Detected Unit Amenities], "&lt;&gt;*"&amp;$AD$3&amp;"*",
  unit_details[Leased Date], "&gt;=" &amp; ($U$2 - $AF$3)
),0)</f>
        <v>0</v>
      </c>
      <c r="AI223" s="528"/>
      <c r="AJ223" s="531">
        <f t="shared" ca="1" si="10"/>
        <v>0</v>
      </c>
      <c r="AK223" s="532">
        <f t="shared" ca="1" si="11"/>
        <v>0</v>
      </c>
    </row>
    <row r="224" spans="2:37" x14ac:dyDescent="0.2">
      <c r="B224" s="566"/>
      <c r="C224" s="53"/>
      <c r="E224" s="262"/>
      <c r="F224" s="262"/>
      <c r="J224" s="293"/>
      <c r="K224" s="6"/>
      <c r="M224" s="6"/>
      <c r="N224" s="531" t="str" cm="1">
        <f t="array" aca="1" ref="N22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4" s="552" t="str" cm="1">
        <f t="array" aca="1" ref="O22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4" s="526" cm="1">
        <f t="array" aca="1" ref="P224" ca="1">COUNTIFS(unit_details[Leased Date], "&gt;=" &amp; ($U$2 - N$5),
          unit_details[Leased Date], "&lt;" &amp; $U$2,
          unit_details[Floorplan Name], INDIRECT("C"&amp;ROW()),
          unit_details[Property Name], INDIRECT("B"&amp;ROW()))</f>
        <v>0</v>
      </c>
      <c r="Q224" s="531" t="str" cm="1">
        <f t="array" aca="1" ref="Q22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4" s="552" t="str" cm="1">
        <f t="array" aca="1" ref="R22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4" s="526" cm="1">
        <f t="array" aca="1" ref="S224" ca="1">COUNTIFS(unit_details[Leased Date], "&gt;=" &amp; ($U$2 - Q$5),
          unit_details[Leased Date], "&lt;" &amp; $U$2,
          unit_details[Floorplan Name], INDIRECT("C"&amp;ROW()),
          unit_details[Property Name], INDIRECT("B"&amp;ROW()))</f>
        <v>0</v>
      </c>
      <c r="T224" s="531" t="str" cm="1">
        <f t="array" aca="1" ref="T22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4" s="552" t="str" cm="1">
        <f t="array" aca="1" ref="U22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4" s="526" cm="1">
        <f t="array" aca="1" ref="V224" ca="1">COUNTIFS(unit_details[Leased Date], "&gt;=" &amp; ($U$2 - T$5),
          unit_details[Leased Date], "&lt;" &amp; $U$2,
          unit_details[Floorplan Name], INDIRECT("C"&amp;ROW()),
          unit_details[Property Name], INDIRECT("B"&amp;ROW()))</f>
        <v>0</v>
      </c>
      <c r="W224" s="531" t="str" cm="1">
        <f t="array" aca="1" ref="W22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4" s="552" t="str" cm="1">
        <f t="array" aca="1" ref="X22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4" s="27" t="str">
        <f t="shared" ca="1" si="9"/>
        <v/>
      </c>
      <c r="Z224" s="4" t="str">
        <f>IFERROR($U$2-AVERAGEIFS(unit_details[First Listed],
          unit_details[Active Listing?],TRUE,
          unit_details[Property Name], $B224,
          unit_details[Beds], $D224,
          unit_details[Baths], $E224,
          unit_details[Partial Baths], IF(ISNUMBER($F224),$F224,""),
          unit_details[Floorplan Name],$C224
),"")</f>
        <v/>
      </c>
      <c r="AA224" s="262" cm="1">
        <f t="array" aca="1" ref="AA224" ca="1">COUNTIFS(unit_details[Active Listing?],TRUE,
          unit_details[Floorplan Name], INDIRECT("C"&amp;ROW()),
          unit_details[Property Name], INDIRECT("B"&amp;ROW()))</f>
        <v>0</v>
      </c>
      <c r="AB224" s="553"/>
      <c r="AC224" s="528" cm="1">
        <f t="array" aca="1" ref="AC224" ca="1">IFERROR(AVERAGEIFS(
  unit_details[Sqft],
  unit_details[Property Name], INDIRECT("B"&amp;ROW()),
  unit_details[Floorplan Name], INDIRECT("C"&amp;ROW()),
  unit_details[Beds], INDIRECT("D"&amp;ROW()),
  unit_details[Detected Unit Amenities], "*"&amp;$AD$3&amp;"*",
  unit_details[Leased Date], "&gt;=" &amp; ($U$2 - $AF$3)
),0)</f>
        <v>0</v>
      </c>
      <c r="AD224" s="527" cm="1">
        <f t="array" aca="1" ref="AD2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4" s="526" cm="1">
        <f t="array" aca="1" ref="AE224" ca="1">IFERROR(COUNTIFS(
  unit_details[Property Name], INDIRECT("B"&amp;ROW()),
  unit_details[Floorplan Name], INDIRECT("C"&amp;ROW()),
  unit_details[Beds], INDIRECT("D"&amp;ROW()),
  unit_details[Detected Unit Amenities], "*"&amp;$AD$3&amp;"*",
  unit_details[Leased Date], "&gt;=" &amp; ($U$2 - $AF$3)
),0)</f>
        <v>0</v>
      </c>
      <c r="AF224" s="528" cm="1">
        <f t="array" aca="1" ref="AF224" ca="1">IFERROR(AVERAGEIFS(
  unit_details[Sqft],
  unit_details[Property Name], INDIRECT("B"&amp;ROW()),
  unit_details[Floorplan Name], INDIRECT("C"&amp;ROW()),
  unit_details[Beds], INDIRECT("D"&amp;ROW()),
  unit_details[Detected Unit Amenities], "&lt;&gt;*"&amp;$AD$3&amp;"*",
  unit_details[Leased Date], "&gt;=" &amp; ($U$2 - $AF$3)
),0)</f>
        <v>0</v>
      </c>
      <c r="AG224" s="527" cm="1">
        <f t="array" aca="1" ref="AG2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4" s="526" cm="1">
        <f t="array" aca="1" ref="AH224" ca="1">IFERROR(COUNTIFS(
  unit_details[Property Name], INDIRECT("B"&amp;ROW()),
  unit_details[Floorplan Name], INDIRECT("C"&amp;ROW()),
  unit_details[Beds], INDIRECT("D"&amp;ROW()),
  unit_details[Detected Unit Amenities], "&lt;&gt;*"&amp;$AD$3&amp;"*",
  unit_details[Leased Date], "&gt;=" &amp; ($U$2 - $AF$3)
),0)</f>
        <v>0</v>
      </c>
      <c r="AI224" s="528"/>
      <c r="AJ224" s="531">
        <f t="shared" ca="1" si="10"/>
        <v>0</v>
      </c>
      <c r="AK224" s="532">
        <f t="shared" ca="1" si="11"/>
        <v>0</v>
      </c>
    </row>
    <row r="225" spans="2:37" x14ac:dyDescent="0.2">
      <c r="B225" s="566"/>
      <c r="C225" s="53"/>
      <c r="E225" s="262"/>
      <c r="F225" s="262"/>
      <c r="J225" s="293"/>
      <c r="K225" s="6"/>
      <c r="M225" s="6"/>
      <c r="N225" s="531" t="str" cm="1">
        <f t="array" aca="1" ref="N22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5" s="552" t="str" cm="1">
        <f t="array" aca="1" ref="O22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5" s="526" cm="1">
        <f t="array" aca="1" ref="P225" ca="1">COUNTIFS(unit_details[Leased Date], "&gt;=" &amp; ($U$2 - N$5),
          unit_details[Leased Date], "&lt;" &amp; $U$2,
          unit_details[Floorplan Name], INDIRECT("C"&amp;ROW()),
          unit_details[Property Name], INDIRECT("B"&amp;ROW()))</f>
        <v>0</v>
      </c>
      <c r="Q225" s="531" t="str" cm="1">
        <f t="array" aca="1" ref="Q22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5" s="552" t="str" cm="1">
        <f t="array" aca="1" ref="R22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5" s="526" cm="1">
        <f t="array" aca="1" ref="S225" ca="1">COUNTIFS(unit_details[Leased Date], "&gt;=" &amp; ($U$2 - Q$5),
          unit_details[Leased Date], "&lt;" &amp; $U$2,
          unit_details[Floorplan Name], INDIRECT("C"&amp;ROW()),
          unit_details[Property Name], INDIRECT("B"&amp;ROW()))</f>
        <v>0</v>
      </c>
      <c r="T225" s="531" t="str" cm="1">
        <f t="array" aca="1" ref="T22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5" s="552" t="str" cm="1">
        <f t="array" aca="1" ref="U22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5" s="526" cm="1">
        <f t="array" aca="1" ref="V225" ca="1">COUNTIFS(unit_details[Leased Date], "&gt;=" &amp; ($U$2 - T$5),
          unit_details[Leased Date], "&lt;" &amp; $U$2,
          unit_details[Floorplan Name], INDIRECT("C"&amp;ROW()),
          unit_details[Property Name], INDIRECT("B"&amp;ROW()))</f>
        <v>0</v>
      </c>
      <c r="W225" s="531" t="str" cm="1">
        <f t="array" aca="1" ref="W22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5" s="552" t="str" cm="1">
        <f t="array" aca="1" ref="X22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5" s="27" t="str">
        <f t="shared" ca="1" si="9"/>
        <v/>
      </c>
      <c r="Z225" s="4" t="str">
        <f>IFERROR($U$2-AVERAGEIFS(unit_details[First Listed],
          unit_details[Active Listing?],TRUE,
          unit_details[Property Name], $B225,
          unit_details[Beds], $D225,
          unit_details[Baths], $E225,
          unit_details[Partial Baths], IF(ISNUMBER($F225),$F225,""),
          unit_details[Floorplan Name],$C225
),"")</f>
        <v/>
      </c>
      <c r="AA225" s="262" cm="1">
        <f t="array" aca="1" ref="AA225" ca="1">COUNTIFS(unit_details[Active Listing?],TRUE,
          unit_details[Floorplan Name], INDIRECT("C"&amp;ROW()),
          unit_details[Property Name], INDIRECT("B"&amp;ROW()))</f>
        <v>0</v>
      </c>
      <c r="AB225" s="553"/>
      <c r="AC225" s="528" cm="1">
        <f t="array" aca="1" ref="AC225" ca="1">IFERROR(AVERAGEIFS(
  unit_details[Sqft],
  unit_details[Property Name], INDIRECT("B"&amp;ROW()),
  unit_details[Floorplan Name], INDIRECT("C"&amp;ROW()),
  unit_details[Beds], INDIRECT("D"&amp;ROW()),
  unit_details[Detected Unit Amenities], "*"&amp;$AD$3&amp;"*",
  unit_details[Leased Date], "&gt;=" &amp; ($U$2 - $AF$3)
),0)</f>
        <v>0</v>
      </c>
      <c r="AD225" s="527" cm="1">
        <f t="array" aca="1" ref="AD2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5" s="526" cm="1">
        <f t="array" aca="1" ref="AE225" ca="1">IFERROR(COUNTIFS(
  unit_details[Property Name], INDIRECT("B"&amp;ROW()),
  unit_details[Floorplan Name], INDIRECT("C"&amp;ROW()),
  unit_details[Beds], INDIRECT("D"&amp;ROW()),
  unit_details[Detected Unit Amenities], "*"&amp;$AD$3&amp;"*",
  unit_details[Leased Date], "&gt;=" &amp; ($U$2 - $AF$3)
),0)</f>
        <v>0</v>
      </c>
      <c r="AF225" s="528" cm="1">
        <f t="array" aca="1" ref="AF225" ca="1">IFERROR(AVERAGEIFS(
  unit_details[Sqft],
  unit_details[Property Name], INDIRECT("B"&amp;ROW()),
  unit_details[Floorplan Name], INDIRECT("C"&amp;ROW()),
  unit_details[Beds], INDIRECT("D"&amp;ROW()),
  unit_details[Detected Unit Amenities], "&lt;&gt;*"&amp;$AD$3&amp;"*",
  unit_details[Leased Date], "&gt;=" &amp; ($U$2 - $AF$3)
),0)</f>
        <v>0</v>
      </c>
      <c r="AG225" s="527" cm="1">
        <f t="array" aca="1" ref="AG2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5" s="526" cm="1">
        <f t="array" aca="1" ref="AH225" ca="1">IFERROR(COUNTIFS(
  unit_details[Property Name], INDIRECT("B"&amp;ROW()),
  unit_details[Floorplan Name], INDIRECT("C"&amp;ROW()),
  unit_details[Beds], INDIRECT("D"&amp;ROW()),
  unit_details[Detected Unit Amenities], "&lt;&gt;*"&amp;$AD$3&amp;"*",
  unit_details[Leased Date], "&gt;=" &amp; ($U$2 - $AF$3)
),0)</f>
        <v>0</v>
      </c>
      <c r="AI225" s="528"/>
      <c r="AJ225" s="531">
        <f t="shared" ca="1" si="10"/>
        <v>0</v>
      </c>
      <c r="AK225" s="532">
        <f t="shared" ca="1" si="11"/>
        <v>0</v>
      </c>
    </row>
    <row r="226" spans="2:37" x14ac:dyDescent="0.2">
      <c r="B226" s="566"/>
      <c r="C226" s="53"/>
      <c r="E226" s="262"/>
      <c r="F226" s="262"/>
      <c r="J226" s="293"/>
      <c r="K226" s="6"/>
      <c r="M226" s="6"/>
      <c r="N226" s="531" t="str" cm="1">
        <f t="array" aca="1" ref="N22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6" s="552" t="str" cm="1">
        <f t="array" aca="1" ref="O22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6" s="526" cm="1">
        <f t="array" aca="1" ref="P226" ca="1">COUNTIFS(unit_details[Leased Date], "&gt;=" &amp; ($U$2 - N$5),
          unit_details[Leased Date], "&lt;" &amp; $U$2,
          unit_details[Floorplan Name], INDIRECT("C"&amp;ROW()),
          unit_details[Property Name], INDIRECT("B"&amp;ROW()))</f>
        <v>0</v>
      </c>
      <c r="Q226" s="531" t="str" cm="1">
        <f t="array" aca="1" ref="Q22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6" s="552" t="str" cm="1">
        <f t="array" aca="1" ref="R22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6" s="526" cm="1">
        <f t="array" aca="1" ref="S226" ca="1">COUNTIFS(unit_details[Leased Date], "&gt;=" &amp; ($U$2 - Q$5),
          unit_details[Leased Date], "&lt;" &amp; $U$2,
          unit_details[Floorplan Name], INDIRECT("C"&amp;ROW()),
          unit_details[Property Name], INDIRECT("B"&amp;ROW()))</f>
        <v>0</v>
      </c>
      <c r="T226" s="531" t="str" cm="1">
        <f t="array" aca="1" ref="T22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6" s="552" t="str" cm="1">
        <f t="array" aca="1" ref="U22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6" s="526" cm="1">
        <f t="array" aca="1" ref="V226" ca="1">COUNTIFS(unit_details[Leased Date], "&gt;=" &amp; ($U$2 - T$5),
          unit_details[Leased Date], "&lt;" &amp; $U$2,
          unit_details[Floorplan Name], INDIRECT("C"&amp;ROW()),
          unit_details[Property Name], INDIRECT("B"&amp;ROW()))</f>
        <v>0</v>
      </c>
      <c r="W226" s="531" t="str" cm="1">
        <f t="array" aca="1" ref="W22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6" s="552" t="str" cm="1">
        <f t="array" aca="1" ref="X22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6" s="27" t="str">
        <f t="shared" ca="1" si="9"/>
        <v/>
      </c>
      <c r="Z226" s="4" t="str">
        <f>IFERROR($U$2-AVERAGEIFS(unit_details[First Listed],
          unit_details[Active Listing?],TRUE,
          unit_details[Property Name], $B226,
          unit_details[Beds], $D226,
          unit_details[Baths], $E226,
          unit_details[Partial Baths], IF(ISNUMBER($F226),$F226,""),
          unit_details[Floorplan Name],$C226
),"")</f>
        <v/>
      </c>
      <c r="AA226" s="262" cm="1">
        <f t="array" aca="1" ref="AA226" ca="1">COUNTIFS(unit_details[Active Listing?],TRUE,
          unit_details[Floorplan Name], INDIRECT("C"&amp;ROW()),
          unit_details[Property Name], INDIRECT("B"&amp;ROW()))</f>
        <v>0</v>
      </c>
      <c r="AB226" s="553"/>
      <c r="AC226" s="528" cm="1">
        <f t="array" aca="1" ref="AC226" ca="1">IFERROR(AVERAGEIFS(
  unit_details[Sqft],
  unit_details[Property Name], INDIRECT("B"&amp;ROW()),
  unit_details[Floorplan Name], INDIRECT("C"&amp;ROW()),
  unit_details[Beds], INDIRECT("D"&amp;ROW()),
  unit_details[Detected Unit Amenities], "*"&amp;$AD$3&amp;"*",
  unit_details[Leased Date], "&gt;=" &amp; ($U$2 - $AF$3)
),0)</f>
        <v>0</v>
      </c>
      <c r="AD226" s="527" cm="1">
        <f t="array" aca="1" ref="AD2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6" s="526" cm="1">
        <f t="array" aca="1" ref="AE226" ca="1">IFERROR(COUNTIFS(
  unit_details[Property Name], INDIRECT("B"&amp;ROW()),
  unit_details[Floorplan Name], INDIRECT("C"&amp;ROW()),
  unit_details[Beds], INDIRECT("D"&amp;ROW()),
  unit_details[Detected Unit Amenities], "*"&amp;$AD$3&amp;"*",
  unit_details[Leased Date], "&gt;=" &amp; ($U$2 - $AF$3)
),0)</f>
        <v>0</v>
      </c>
      <c r="AF226" s="528" cm="1">
        <f t="array" aca="1" ref="AF226" ca="1">IFERROR(AVERAGEIFS(
  unit_details[Sqft],
  unit_details[Property Name], INDIRECT("B"&amp;ROW()),
  unit_details[Floorplan Name], INDIRECT("C"&amp;ROW()),
  unit_details[Beds], INDIRECT("D"&amp;ROW()),
  unit_details[Detected Unit Amenities], "&lt;&gt;*"&amp;$AD$3&amp;"*",
  unit_details[Leased Date], "&gt;=" &amp; ($U$2 - $AF$3)
),0)</f>
        <v>0</v>
      </c>
      <c r="AG226" s="527" cm="1">
        <f t="array" aca="1" ref="AG2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6" s="526" cm="1">
        <f t="array" aca="1" ref="AH226" ca="1">IFERROR(COUNTIFS(
  unit_details[Property Name], INDIRECT("B"&amp;ROW()),
  unit_details[Floorplan Name], INDIRECT("C"&amp;ROW()),
  unit_details[Beds], INDIRECT("D"&amp;ROW()),
  unit_details[Detected Unit Amenities], "&lt;&gt;*"&amp;$AD$3&amp;"*",
  unit_details[Leased Date], "&gt;=" &amp; ($U$2 - $AF$3)
),0)</f>
        <v>0</v>
      </c>
      <c r="AI226" s="528"/>
      <c r="AJ226" s="531">
        <f t="shared" ca="1" si="10"/>
        <v>0</v>
      </c>
      <c r="AK226" s="532">
        <f t="shared" ca="1" si="11"/>
        <v>0</v>
      </c>
    </row>
    <row r="227" spans="2:37" x14ac:dyDescent="0.2">
      <c r="B227" s="566"/>
      <c r="C227" s="53"/>
      <c r="E227" s="262"/>
      <c r="F227" s="262"/>
      <c r="J227" s="293"/>
      <c r="K227" s="6"/>
      <c r="M227" s="6"/>
      <c r="N227" s="531" t="str" cm="1">
        <f t="array" aca="1" ref="N22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7" s="552" t="str" cm="1">
        <f t="array" aca="1" ref="O22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7" s="526" cm="1">
        <f t="array" aca="1" ref="P227" ca="1">COUNTIFS(unit_details[Leased Date], "&gt;=" &amp; ($U$2 - N$5),
          unit_details[Leased Date], "&lt;" &amp; $U$2,
          unit_details[Floorplan Name], INDIRECT("C"&amp;ROW()),
          unit_details[Property Name], INDIRECT("B"&amp;ROW()))</f>
        <v>0</v>
      </c>
      <c r="Q227" s="531" t="str" cm="1">
        <f t="array" aca="1" ref="Q22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7" s="552" t="str" cm="1">
        <f t="array" aca="1" ref="R22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7" s="526" cm="1">
        <f t="array" aca="1" ref="S227" ca="1">COUNTIFS(unit_details[Leased Date], "&gt;=" &amp; ($U$2 - Q$5),
          unit_details[Leased Date], "&lt;" &amp; $U$2,
          unit_details[Floorplan Name], INDIRECT("C"&amp;ROW()),
          unit_details[Property Name], INDIRECT("B"&amp;ROW()))</f>
        <v>0</v>
      </c>
      <c r="T227" s="531" t="str" cm="1">
        <f t="array" aca="1" ref="T22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7" s="552" t="str" cm="1">
        <f t="array" aca="1" ref="U22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7" s="526" cm="1">
        <f t="array" aca="1" ref="V227" ca="1">COUNTIFS(unit_details[Leased Date], "&gt;=" &amp; ($U$2 - T$5),
          unit_details[Leased Date], "&lt;" &amp; $U$2,
          unit_details[Floorplan Name], INDIRECT("C"&amp;ROW()),
          unit_details[Property Name], INDIRECT("B"&amp;ROW()))</f>
        <v>0</v>
      </c>
      <c r="W227" s="531" t="str" cm="1">
        <f t="array" aca="1" ref="W22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7" s="552" t="str" cm="1">
        <f t="array" aca="1" ref="X22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7" s="27" t="str">
        <f t="shared" ca="1" si="9"/>
        <v/>
      </c>
      <c r="Z227" s="4" t="str">
        <f>IFERROR($U$2-AVERAGEIFS(unit_details[First Listed],
          unit_details[Active Listing?],TRUE,
          unit_details[Property Name], $B227,
          unit_details[Beds], $D227,
          unit_details[Baths], $E227,
          unit_details[Partial Baths], IF(ISNUMBER($F227),$F227,""),
          unit_details[Floorplan Name],$C227
),"")</f>
        <v/>
      </c>
      <c r="AA227" s="262" cm="1">
        <f t="array" aca="1" ref="AA227" ca="1">COUNTIFS(unit_details[Active Listing?],TRUE,
          unit_details[Floorplan Name], INDIRECT("C"&amp;ROW()),
          unit_details[Property Name], INDIRECT("B"&amp;ROW()))</f>
        <v>0</v>
      </c>
      <c r="AB227" s="553"/>
      <c r="AC227" s="528" cm="1">
        <f t="array" aca="1" ref="AC227" ca="1">IFERROR(AVERAGEIFS(
  unit_details[Sqft],
  unit_details[Property Name], INDIRECT("B"&amp;ROW()),
  unit_details[Floorplan Name], INDIRECT("C"&amp;ROW()),
  unit_details[Beds], INDIRECT("D"&amp;ROW()),
  unit_details[Detected Unit Amenities], "*"&amp;$AD$3&amp;"*",
  unit_details[Leased Date], "&gt;=" &amp; ($U$2 - $AF$3)
),0)</f>
        <v>0</v>
      </c>
      <c r="AD227" s="527" cm="1">
        <f t="array" aca="1" ref="AD2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7" s="526" cm="1">
        <f t="array" aca="1" ref="AE227" ca="1">IFERROR(COUNTIFS(
  unit_details[Property Name], INDIRECT("B"&amp;ROW()),
  unit_details[Floorplan Name], INDIRECT("C"&amp;ROW()),
  unit_details[Beds], INDIRECT("D"&amp;ROW()),
  unit_details[Detected Unit Amenities], "*"&amp;$AD$3&amp;"*",
  unit_details[Leased Date], "&gt;=" &amp; ($U$2 - $AF$3)
),0)</f>
        <v>0</v>
      </c>
      <c r="AF227" s="528" cm="1">
        <f t="array" aca="1" ref="AF227" ca="1">IFERROR(AVERAGEIFS(
  unit_details[Sqft],
  unit_details[Property Name], INDIRECT("B"&amp;ROW()),
  unit_details[Floorplan Name], INDIRECT("C"&amp;ROW()),
  unit_details[Beds], INDIRECT("D"&amp;ROW()),
  unit_details[Detected Unit Amenities], "&lt;&gt;*"&amp;$AD$3&amp;"*",
  unit_details[Leased Date], "&gt;=" &amp; ($U$2 - $AF$3)
),0)</f>
        <v>0</v>
      </c>
      <c r="AG227" s="527" cm="1">
        <f t="array" aca="1" ref="AG2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7" s="526" cm="1">
        <f t="array" aca="1" ref="AH227" ca="1">IFERROR(COUNTIFS(
  unit_details[Property Name], INDIRECT("B"&amp;ROW()),
  unit_details[Floorplan Name], INDIRECT("C"&amp;ROW()),
  unit_details[Beds], INDIRECT("D"&amp;ROW()),
  unit_details[Detected Unit Amenities], "&lt;&gt;*"&amp;$AD$3&amp;"*",
  unit_details[Leased Date], "&gt;=" &amp; ($U$2 - $AF$3)
),0)</f>
        <v>0</v>
      </c>
      <c r="AI227" s="528"/>
      <c r="AJ227" s="531">
        <f t="shared" ca="1" si="10"/>
        <v>0</v>
      </c>
      <c r="AK227" s="532">
        <f t="shared" ca="1" si="11"/>
        <v>0</v>
      </c>
    </row>
    <row r="228" spans="2:37" x14ac:dyDescent="0.2">
      <c r="B228" s="566"/>
      <c r="C228" s="53"/>
      <c r="E228" s="262"/>
      <c r="F228" s="262"/>
      <c r="J228" s="293"/>
      <c r="K228" s="6"/>
      <c r="M228" s="6"/>
      <c r="N228" s="531" t="str" cm="1">
        <f t="array" aca="1" ref="N22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8" s="552" t="str" cm="1">
        <f t="array" aca="1" ref="O22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8" s="526" cm="1">
        <f t="array" aca="1" ref="P228" ca="1">COUNTIFS(unit_details[Leased Date], "&gt;=" &amp; ($U$2 - N$5),
          unit_details[Leased Date], "&lt;" &amp; $U$2,
          unit_details[Floorplan Name], INDIRECT("C"&amp;ROW()),
          unit_details[Property Name], INDIRECT("B"&amp;ROW()))</f>
        <v>0</v>
      </c>
      <c r="Q228" s="531" t="str" cm="1">
        <f t="array" aca="1" ref="Q22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8" s="552" t="str" cm="1">
        <f t="array" aca="1" ref="R22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8" s="526" cm="1">
        <f t="array" aca="1" ref="S228" ca="1">COUNTIFS(unit_details[Leased Date], "&gt;=" &amp; ($U$2 - Q$5),
          unit_details[Leased Date], "&lt;" &amp; $U$2,
          unit_details[Floorplan Name], INDIRECT("C"&amp;ROW()),
          unit_details[Property Name], INDIRECT("B"&amp;ROW()))</f>
        <v>0</v>
      </c>
      <c r="T228" s="531" t="str" cm="1">
        <f t="array" aca="1" ref="T22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8" s="552" t="str" cm="1">
        <f t="array" aca="1" ref="U22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8" s="526" cm="1">
        <f t="array" aca="1" ref="V228" ca="1">COUNTIFS(unit_details[Leased Date], "&gt;=" &amp; ($U$2 - T$5),
          unit_details[Leased Date], "&lt;" &amp; $U$2,
          unit_details[Floorplan Name], INDIRECT("C"&amp;ROW()),
          unit_details[Property Name], INDIRECT("B"&amp;ROW()))</f>
        <v>0</v>
      </c>
      <c r="W228" s="531" t="str" cm="1">
        <f t="array" aca="1" ref="W22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8" s="552" t="str" cm="1">
        <f t="array" aca="1" ref="X22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8" s="27" t="str">
        <f t="shared" ca="1" si="9"/>
        <v/>
      </c>
      <c r="Z228" s="4" t="str">
        <f>IFERROR($U$2-AVERAGEIFS(unit_details[First Listed],
          unit_details[Active Listing?],TRUE,
          unit_details[Property Name], $B228,
          unit_details[Beds], $D228,
          unit_details[Baths], $E228,
          unit_details[Partial Baths], IF(ISNUMBER($F228),$F228,""),
          unit_details[Floorplan Name],$C228
),"")</f>
        <v/>
      </c>
      <c r="AA228" s="262" cm="1">
        <f t="array" aca="1" ref="AA228" ca="1">COUNTIFS(unit_details[Active Listing?],TRUE,
          unit_details[Floorplan Name], INDIRECT("C"&amp;ROW()),
          unit_details[Property Name], INDIRECT("B"&amp;ROW()))</f>
        <v>0</v>
      </c>
      <c r="AB228" s="553"/>
      <c r="AC228" s="528" cm="1">
        <f t="array" aca="1" ref="AC228" ca="1">IFERROR(AVERAGEIFS(
  unit_details[Sqft],
  unit_details[Property Name], INDIRECT("B"&amp;ROW()),
  unit_details[Floorplan Name], INDIRECT("C"&amp;ROW()),
  unit_details[Beds], INDIRECT("D"&amp;ROW()),
  unit_details[Detected Unit Amenities], "*"&amp;$AD$3&amp;"*",
  unit_details[Leased Date], "&gt;=" &amp; ($U$2 - $AF$3)
),0)</f>
        <v>0</v>
      </c>
      <c r="AD228" s="527" cm="1">
        <f t="array" aca="1" ref="AD2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8" s="526" cm="1">
        <f t="array" aca="1" ref="AE228" ca="1">IFERROR(COUNTIFS(
  unit_details[Property Name], INDIRECT("B"&amp;ROW()),
  unit_details[Floorplan Name], INDIRECT("C"&amp;ROW()),
  unit_details[Beds], INDIRECT("D"&amp;ROW()),
  unit_details[Detected Unit Amenities], "*"&amp;$AD$3&amp;"*",
  unit_details[Leased Date], "&gt;=" &amp; ($U$2 - $AF$3)
),0)</f>
        <v>0</v>
      </c>
      <c r="AF228" s="528" cm="1">
        <f t="array" aca="1" ref="AF228" ca="1">IFERROR(AVERAGEIFS(
  unit_details[Sqft],
  unit_details[Property Name], INDIRECT("B"&amp;ROW()),
  unit_details[Floorplan Name], INDIRECT("C"&amp;ROW()),
  unit_details[Beds], INDIRECT("D"&amp;ROW()),
  unit_details[Detected Unit Amenities], "&lt;&gt;*"&amp;$AD$3&amp;"*",
  unit_details[Leased Date], "&gt;=" &amp; ($U$2 - $AF$3)
),0)</f>
        <v>0</v>
      </c>
      <c r="AG228" s="527" cm="1">
        <f t="array" aca="1" ref="AG2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8" s="526" cm="1">
        <f t="array" aca="1" ref="AH228" ca="1">IFERROR(COUNTIFS(
  unit_details[Property Name], INDIRECT("B"&amp;ROW()),
  unit_details[Floorplan Name], INDIRECT("C"&amp;ROW()),
  unit_details[Beds], INDIRECT("D"&amp;ROW()),
  unit_details[Detected Unit Amenities], "&lt;&gt;*"&amp;$AD$3&amp;"*",
  unit_details[Leased Date], "&gt;=" &amp; ($U$2 - $AF$3)
),0)</f>
        <v>0</v>
      </c>
      <c r="AI228" s="528"/>
      <c r="AJ228" s="531">
        <f t="shared" ca="1" si="10"/>
        <v>0</v>
      </c>
      <c r="AK228" s="532">
        <f t="shared" ca="1" si="11"/>
        <v>0</v>
      </c>
    </row>
    <row r="229" spans="2:37" x14ac:dyDescent="0.2">
      <c r="B229" s="566"/>
      <c r="C229" s="53"/>
      <c r="E229" s="262"/>
      <c r="F229" s="262"/>
      <c r="J229" s="293"/>
      <c r="K229" s="6"/>
      <c r="M229" s="6"/>
      <c r="N229" s="531" t="str" cm="1">
        <f t="array" aca="1" ref="N22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29" s="552" t="str" cm="1">
        <f t="array" aca="1" ref="O22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29" s="526" cm="1">
        <f t="array" aca="1" ref="P229" ca="1">COUNTIFS(unit_details[Leased Date], "&gt;=" &amp; ($U$2 - N$5),
          unit_details[Leased Date], "&lt;" &amp; $U$2,
          unit_details[Floorplan Name], INDIRECT("C"&amp;ROW()),
          unit_details[Property Name], INDIRECT("B"&amp;ROW()))</f>
        <v>0</v>
      </c>
      <c r="Q229" s="531" t="str" cm="1">
        <f t="array" aca="1" ref="Q22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29" s="552" t="str" cm="1">
        <f t="array" aca="1" ref="R22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29" s="526" cm="1">
        <f t="array" aca="1" ref="S229" ca="1">COUNTIFS(unit_details[Leased Date], "&gt;=" &amp; ($U$2 - Q$5),
          unit_details[Leased Date], "&lt;" &amp; $U$2,
          unit_details[Floorplan Name], INDIRECT("C"&amp;ROW()),
          unit_details[Property Name], INDIRECT("B"&amp;ROW()))</f>
        <v>0</v>
      </c>
      <c r="T229" s="531" t="str" cm="1">
        <f t="array" aca="1" ref="T22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29" s="552" t="str" cm="1">
        <f t="array" aca="1" ref="U22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29" s="526" cm="1">
        <f t="array" aca="1" ref="V229" ca="1">COUNTIFS(unit_details[Leased Date], "&gt;=" &amp; ($U$2 - T$5),
          unit_details[Leased Date], "&lt;" &amp; $U$2,
          unit_details[Floorplan Name], INDIRECT("C"&amp;ROW()),
          unit_details[Property Name], INDIRECT("B"&amp;ROW()))</f>
        <v>0</v>
      </c>
      <c r="W229" s="531" t="str" cm="1">
        <f t="array" aca="1" ref="W22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29" s="552" t="str" cm="1">
        <f t="array" aca="1" ref="X22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29" s="27" t="str">
        <f t="shared" ca="1" si="9"/>
        <v/>
      </c>
      <c r="Z229" s="4" t="str">
        <f>IFERROR($U$2-AVERAGEIFS(unit_details[First Listed],
          unit_details[Active Listing?],TRUE,
          unit_details[Property Name], $B229,
          unit_details[Beds], $D229,
          unit_details[Baths], $E229,
          unit_details[Partial Baths], IF(ISNUMBER($F229),$F229,""),
          unit_details[Floorplan Name],$C229
),"")</f>
        <v/>
      </c>
      <c r="AA229" s="262" cm="1">
        <f t="array" aca="1" ref="AA229" ca="1">COUNTIFS(unit_details[Active Listing?],TRUE,
          unit_details[Floorplan Name], INDIRECT("C"&amp;ROW()),
          unit_details[Property Name], INDIRECT("B"&amp;ROW()))</f>
        <v>0</v>
      </c>
      <c r="AB229" s="553"/>
      <c r="AC229" s="528" cm="1">
        <f t="array" aca="1" ref="AC229" ca="1">IFERROR(AVERAGEIFS(
  unit_details[Sqft],
  unit_details[Property Name], INDIRECT("B"&amp;ROW()),
  unit_details[Floorplan Name], INDIRECT("C"&amp;ROW()),
  unit_details[Beds], INDIRECT("D"&amp;ROW()),
  unit_details[Detected Unit Amenities], "*"&amp;$AD$3&amp;"*",
  unit_details[Leased Date], "&gt;=" &amp; ($U$2 - $AF$3)
),0)</f>
        <v>0</v>
      </c>
      <c r="AD229" s="527" cm="1">
        <f t="array" aca="1" ref="AD2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29" s="526" cm="1">
        <f t="array" aca="1" ref="AE229" ca="1">IFERROR(COUNTIFS(
  unit_details[Property Name], INDIRECT("B"&amp;ROW()),
  unit_details[Floorplan Name], INDIRECT("C"&amp;ROW()),
  unit_details[Beds], INDIRECT("D"&amp;ROW()),
  unit_details[Detected Unit Amenities], "*"&amp;$AD$3&amp;"*",
  unit_details[Leased Date], "&gt;=" &amp; ($U$2 - $AF$3)
),0)</f>
        <v>0</v>
      </c>
      <c r="AF229" s="528" cm="1">
        <f t="array" aca="1" ref="AF229" ca="1">IFERROR(AVERAGEIFS(
  unit_details[Sqft],
  unit_details[Property Name], INDIRECT("B"&amp;ROW()),
  unit_details[Floorplan Name], INDIRECT("C"&amp;ROW()),
  unit_details[Beds], INDIRECT("D"&amp;ROW()),
  unit_details[Detected Unit Amenities], "&lt;&gt;*"&amp;$AD$3&amp;"*",
  unit_details[Leased Date], "&gt;=" &amp; ($U$2 - $AF$3)
),0)</f>
        <v>0</v>
      </c>
      <c r="AG229" s="527" cm="1">
        <f t="array" aca="1" ref="AG2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29" s="526" cm="1">
        <f t="array" aca="1" ref="AH229" ca="1">IFERROR(COUNTIFS(
  unit_details[Property Name], INDIRECT("B"&amp;ROW()),
  unit_details[Floorplan Name], INDIRECT("C"&amp;ROW()),
  unit_details[Beds], INDIRECT("D"&amp;ROW()),
  unit_details[Detected Unit Amenities], "&lt;&gt;*"&amp;$AD$3&amp;"*",
  unit_details[Leased Date], "&gt;=" &amp; ($U$2 - $AF$3)
),0)</f>
        <v>0</v>
      </c>
      <c r="AI229" s="528"/>
      <c r="AJ229" s="531">
        <f t="shared" ca="1" si="10"/>
        <v>0</v>
      </c>
      <c r="AK229" s="532">
        <f t="shared" ca="1" si="11"/>
        <v>0</v>
      </c>
    </row>
    <row r="230" spans="2:37" x14ac:dyDescent="0.2">
      <c r="B230" s="566"/>
      <c r="C230" s="53"/>
      <c r="E230" s="262"/>
      <c r="F230" s="262"/>
      <c r="J230" s="293"/>
      <c r="K230" s="6"/>
      <c r="M230" s="6"/>
      <c r="N230" s="531" t="str" cm="1">
        <f t="array" aca="1" ref="N23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0" s="552" t="str" cm="1">
        <f t="array" aca="1" ref="O23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0" s="526" cm="1">
        <f t="array" aca="1" ref="P230" ca="1">COUNTIFS(unit_details[Leased Date], "&gt;=" &amp; ($U$2 - N$5),
          unit_details[Leased Date], "&lt;" &amp; $U$2,
          unit_details[Floorplan Name], INDIRECT("C"&amp;ROW()),
          unit_details[Property Name], INDIRECT("B"&amp;ROW()))</f>
        <v>0</v>
      </c>
      <c r="Q230" s="531" t="str" cm="1">
        <f t="array" aca="1" ref="Q23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0" s="552" t="str" cm="1">
        <f t="array" aca="1" ref="R23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0" s="526" cm="1">
        <f t="array" aca="1" ref="S230" ca="1">COUNTIFS(unit_details[Leased Date], "&gt;=" &amp; ($U$2 - Q$5),
          unit_details[Leased Date], "&lt;" &amp; $U$2,
          unit_details[Floorplan Name], INDIRECT("C"&amp;ROW()),
          unit_details[Property Name], INDIRECT("B"&amp;ROW()))</f>
        <v>0</v>
      </c>
      <c r="T230" s="531" t="str" cm="1">
        <f t="array" aca="1" ref="T23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0" s="552" t="str" cm="1">
        <f t="array" aca="1" ref="U23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0" s="526" cm="1">
        <f t="array" aca="1" ref="V230" ca="1">COUNTIFS(unit_details[Leased Date], "&gt;=" &amp; ($U$2 - T$5),
          unit_details[Leased Date], "&lt;" &amp; $U$2,
          unit_details[Floorplan Name], INDIRECT("C"&amp;ROW()),
          unit_details[Property Name], INDIRECT("B"&amp;ROW()))</f>
        <v>0</v>
      </c>
      <c r="W230" s="531" t="str" cm="1">
        <f t="array" aca="1" ref="W23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0" s="552" t="str" cm="1">
        <f t="array" aca="1" ref="X23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0" s="27" t="str">
        <f t="shared" ca="1" si="9"/>
        <v/>
      </c>
      <c r="Z230" s="4" t="str">
        <f>IFERROR($U$2-AVERAGEIFS(unit_details[First Listed],
          unit_details[Active Listing?],TRUE,
          unit_details[Property Name], $B230,
          unit_details[Beds], $D230,
          unit_details[Baths], $E230,
          unit_details[Partial Baths], IF(ISNUMBER($F230),$F230,""),
          unit_details[Floorplan Name],$C230
),"")</f>
        <v/>
      </c>
      <c r="AA230" s="262" cm="1">
        <f t="array" aca="1" ref="AA230" ca="1">COUNTIFS(unit_details[Active Listing?],TRUE,
          unit_details[Floorplan Name], INDIRECT("C"&amp;ROW()),
          unit_details[Property Name], INDIRECT("B"&amp;ROW()))</f>
        <v>0</v>
      </c>
      <c r="AB230" s="553"/>
      <c r="AC230" s="528" cm="1">
        <f t="array" aca="1" ref="AC230" ca="1">IFERROR(AVERAGEIFS(
  unit_details[Sqft],
  unit_details[Property Name], INDIRECT("B"&amp;ROW()),
  unit_details[Floorplan Name], INDIRECT("C"&amp;ROW()),
  unit_details[Beds], INDIRECT("D"&amp;ROW()),
  unit_details[Detected Unit Amenities], "*"&amp;$AD$3&amp;"*",
  unit_details[Leased Date], "&gt;=" &amp; ($U$2 - $AF$3)
),0)</f>
        <v>0</v>
      </c>
      <c r="AD230" s="527" cm="1">
        <f t="array" aca="1" ref="AD2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0" s="526" cm="1">
        <f t="array" aca="1" ref="AE230" ca="1">IFERROR(COUNTIFS(
  unit_details[Property Name], INDIRECT("B"&amp;ROW()),
  unit_details[Floorplan Name], INDIRECT("C"&amp;ROW()),
  unit_details[Beds], INDIRECT("D"&amp;ROW()),
  unit_details[Detected Unit Amenities], "*"&amp;$AD$3&amp;"*",
  unit_details[Leased Date], "&gt;=" &amp; ($U$2 - $AF$3)
),0)</f>
        <v>0</v>
      </c>
      <c r="AF230" s="528" cm="1">
        <f t="array" aca="1" ref="AF230" ca="1">IFERROR(AVERAGEIFS(
  unit_details[Sqft],
  unit_details[Property Name], INDIRECT("B"&amp;ROW()),
  unit_details[Floorplan Name], INDIRECT("C"&amp;ROW()),
  unit_details[Beds], INDIRECT("D"&amp;ROW()),
  unit_details[Detected Unit Amenities], "&lt;&gt;*"&amp;$AD$3&amp;"*",
  unit_details[Leased Date], "&gt;=" &amp; ($U$2 - $AF$3)
),0)</f>
        <v>0</v>
      </c>
      <c r="AG230" s="527" cm="1">
        <f t="array" aca="1" ref="AG2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0" s="526" cm="1">
        <f t="array" aca="1" ref="AH230" ca="1">IFERROR(COUNTIFS(
  unit_details[Property Name], INDIRECT("B"&amp;ROW()),
  unit_details[Floorplan Name], INDIRECT("C"&amp;ROW()),
  unit_details[Beds], INDIRECT("D"&amp;ROW()),
  unit_details[Detected Unit Amenities], "&lt;&gt;*"&amp;$AD$3&amp;"*",
  unit_details[Leased Date], "&gt;=" &amp; ($U$2 - $AF$3)
),0)</f>
        <v>0</v>
      </c>
      <c r="AI230" s="528"/>
      <c r="AJ230" s="531">
        <f t="shared" ca="1" si="10"/>
        <v>0</v>
      </c>
      <c r="AK230" s="532">
        <f t="shared" ca="1" si="11"/>
        <v>0</v>
      </c>
    </row>
    <row r="231" spans="2:37" x14ac:dyDescent="0.2">
      <c r="B231" s="566"/>
      <c r="C231" s="53"/>
      <c r="E231" s="262"/>
      <c r="F231" s="262"/>
      <c r="J231" s="293"/>
      <c r="K231" s="6"/>
      <c r="M231" s="6"/>
      <c r="N231" s="531" t="str" cm="1">
        <f t="array" aca="1" ref="N23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1" s="552" t="str" cm="1">
        <f t="array" aca="1" ref="O23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1" s="526" cm="1">
        <f t="array" aca="1" ref="P231" ca="1">COUNTIFS(unit_details[Leased Date], "&gt;=" &amp; ($U$2 - N$5),
          unit_details[Leased Date], "&lt;" &amp; $U$2,
          unit_details[Floorplan Name], INDIRECT("C"&amp;ROW()),
          unit_details[Property Name], INDIRECT("B"&amp;ROW()))</f>
        <v>0</v>
      </c>
      <c r="Q231" s="531" t="str" cm="1">
        <f t="array" aca="1" ref="Q23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1" s="552" t="str" cm="1">
        <f t="array" aca="1" ref="R23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1" s="526" cm="1">
        <f t="array" aca="1" ref="S231" ca="1">COUNTIFS(unit_details[Leased Date], "&gt;=" &amp; ($U$2 - Q$5),
          unit_details[Leased Date], "&lt;" &amp; $U$2,
          unit_details[Floorplan Name], INDIRECT("C"&amp;ROW()),
          unit_details[Property Name], INDIRECT("B"&amp;ROW()))</f>
        <v>0</v>
      </c>
      <c r="T231" s="531" t="str" cm="1">
        <f t="array" aca="1" ref="T23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1" s="552" t="str" cm="1">
        <f t="array" aca="1" ref="U23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1" s="526" cm="1">
        <f t="array" aca="1" ref="V231" ca="1">COUNTIFS(unit_details[Leased Date], "&gt;=" &amp; ($U$2 - T$5),
          unit_details[Leased Date], "&lt;" &amp; $U$2,
          unit_details[Floorplan Name], INDIRECT("C"&amp;ROW()),
          unit_details[Property Name], INDIRECT("B"&amp;ROW()))</f>
        <v>0</v>
      </c>
      <c r="W231" s="531" t="str" cm="1">
        <f t="array" aca="1" ref="W23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1" s="552" t="str" cm="1">
        <f t="array" aca="1" ref="X23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1" s="27" t="str">
        <f t="shared" ca="1" si="9"/>
        <v/>
      </c>
      <c r="Z231" s="4" t="str">
        <f>IFERROR($U$2-AVERAGEIFS(unit_details[First Listed],
          unit_details[Active Listing?],TRUE,
          unit_details[Property Name], $B231,
          unit_details[Beds], $D231,
          unit_details[Baths], $E231,
          unit_details[Partial Baths], IF(ISNUMBER($F231),$F231,""),
          unit_details[Floorplan Name],$C231
),"")</f>
        <v/>
      </c>
      <c r="AA231" s="262" cm="1">
        <f t="array" aca="1" ref="AA231" ca="1">COUNTIFS(unit_details[Active Listing?],TRUE,
          unit_details[Floorplan Name], INDIRECT("C"&amp;ROW()),
          unit_details[Property Name], INDIRECT("B"&amp;ROW()))</f>
        <v>0</v>
      </c>
      <c r="AB231" s="553"/>
      <c r="AC231" s="528" cm="1">
        <f t="array" aca="1" ref="AC231" ca="1">IFERROR(AVERAGEIFS(
  unit_details[Sqft],
  unit_details[Property Name], INDIRECT("B"&amp;ROW()),
  unit_details[Floorplan Name], INDIRECT("C"&amp;ROW()),
  unit_details[Beds], INDIRECT("D"&amp;ROW()),
  unit_details[Detected Unit Amenities], "*"&amp;$AD$3&amp;"*",
  unit_details[Leased Date], "&gt;=" &amp; ($U$2 - $AF$3)
),0)</f>
        <v>0</v>
      </c>
      <c r="AD231" s="527" cm="1">
        <f t="array" aca="1" ref="AD2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1" s="526" cm="1">
        <f t="array" aca="1" ref="AE231" ca="1">IFERROR(COUNTIFS(
  unit_details[Property Name], INDIRECT("B"&amp;ROW()),
  unit_details[Floorplan Name], INDIRECT("C"&amp;ROW()),
  unit_details[Beds], INDIRECT("D"&amp;ROW()),
  unit_details[Detected Unit Amenities], "*"&amp;$AD$3&amp;"*",
  unit_details[Leased Date], "&gt;=" &amp; ($U$2 - $AF$3)
),0)</f>
        <v>0</v>
      </c>
      <c r="AF231" s="528" cm="1">
        <f t="array" aca="1" ref="AF231" ca="1">IFERROR(AVERAGEIFS(
  unit_details[Sqft],
  unit_details[Property Name], INDIRECT("B"&amp;ROW()),
  unit_details[Floorplan Name], INDIRECT("C"&amp;ROW()),
  unit_details[Beds], INDIRECT("D"&amp;ROW()),
  unit_details[Detected Unit Amenities], "&lt;&gt;*"&amp;$AD$3&amp;"*",
  unit_details[Leased Date], "&gt;=" &amp; ($U$2 - $AF$3)
),0)</f>
        <v>0</v>
      </c>
      <c r="AG231" s="527" cm="1">
        <f t="array" aca="1" ref="AG2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1" s="526" cm="1">
        <f t="array" aca="1" ref="AH231" ca="1">IFERROR(COUNTIFS(
  unit_details[Property Name], INDIRECT("B"&amp;ROW()),
  unit_details[Floorplan Name], INDIRECT("C"&amp;ROW()),
  unit_details[Beds], INDIRECT("D"&amp;ROW()),
  unit_details[Detected Unit Amenities], "&lt;&gt;*"&amp;$AD$3&amp;"*",
  unit_details[Leased Date], "&gt;=" &amp; ($U$2 - $AF$3)
),0)</f>
        <v>0</v>
      </c>
      <c r="AI231" s="528"/>
      <c r="AJ231" s="531">
        <f t="shared" ca="1" si="10"/>
        <v>0</v>
      </c>
      <c r="AK231" s="532">
        <f t="shared" ca="1" si="11"/>
        <v>0</v>
      </c>
    </row>
    <row r="232" spans="2:37" x14ac:dyDescent="0.2">
      <c r="B232" s="566"/>
      <c r="C232" s="53"/>
      <c r="E232" s="262"/>
      <c r="F232" s="262"/>
      <c r="J232" s="293"/>
      <c r="K232" s="6"/>
      <c r="M232" s="6"/>
      <c r="N232" s="531" t="str" cm="1">
        <f t="array" aca="1" ref="N23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2" s="552" t="str" cm="1">
        <f t="array" aca="1" ref="O23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2" s="526" cm="1">
        <f t="array" aca="1" ref="P232" ca="1">COUNTIFS(unit_details[Leased Date], "&gt;=" &amp; ($U$2 - N$5),
          unit_details[Leased Date], "&lt;" &amp; $U$2,
          unit_details[Floorplan Name], INDIRECT("C"&amp;ROW()),
          unit_details[Property Name], INDIRECT("B"&amp;ROW()))</f>
        <v>0</v>
      </c>
      <c r="Q232" s="531" t="str" cm="1">
        <f t="array" aca="1" ref="Q23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2" s="552" t="str" cm="1">
        <f t="array" aca="1" ref="R23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2" s="526" cm="1">
        <f t="array" aca="1" ref="S232" ca="1">COUNTIFS(unit_details[Leased Date], "&gt;=" &amp; ($U$2 - Q$5),
          unit_details[Leased Date], "&lt;" &amp; $U$2,
          unit_details[Floorplan Name], INDIRECT("C"&amp;ROW()),
          unit_details[Property Name], INDIRECT("B"&amp;ROW()))</f>
        <v>0</v>
      </c>
      <c r="T232" s="531" t="str" cm="1">
        <f t="array" aca="1" ref="T23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2" s="552" t="str" cm="1">
        <f t="array" aca="1" ref="U23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2" s="526" cm="1">
        <f t="array" aca="1" ref="V232" ca="1">COUNTIFS(unit_details[Leased Date], "&gt;=" &amp; ($U$2 - T$5),
          unit_details[Leased Date], "&lt;" &amp; $U$2,
          unit_details[Floorplan Name], INDIRECT("C"&amp;ROW()),
          unit_details[Property Name], INDIRECT("B"&amp;ROW()))</f>
        <v>0</v>
      </c>
      <c r="W232" s="531" t="str" cm="1">
        <f t="array" aca="1" ref="W23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2" s="552" t="str" cm="1">
        <f t="array" aca="1" ref="X23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2" s="27" t="str">
        <f t="shared" ca="1" si="9"/>
        <v/>
      </c>
      <c r="Z232" s="4" t="str">
        <f>IFERROR($U$2-AVERAGEIFS(unit_details[First Listed],
          unit_details[Active Listing?],TRUE,
          unit_details[Property Name], $B232,
          unit_details[Beds], $D232,
          unit_details[Baths], $E232,
          unit_details[Partial Baths], IF(ISNUMBER($F232),$F232,""),
          unit_details[Floorplan Name],$C232
),"")</f>
        <v/>
      </c>
      <c r="AA232" s="262" cm="1">
        <f t="array" aca="1" ref="AA232" ca="1">COUNTIFS(unit_details[Active Listing?],TRUE,
          unit_details[Floorplan Name], INDIRECT("C"&amp;ROW()),
          unit_details[Property Name], INDIRECT("B"&amp;ROW()))</f>
        <v>0</v>
      </c>
      <c r="AB232" s="553"/>
      <c r="AC232" s="528" cm="1">
        <f t="array" aca="1" ref="AC232" ca="1">IFERROR(AVERAGEIFS(
  unit_details[Sqft],
  unit_details[Property Name], INDIRECT("B"&amp;ROW()),
  unit_details[Floorplan Name], INDIRECT("C"&amp;ROW()),
  unit_details[Beds], INDIRECT("D"&amp;ROW()),
  unit_details[Detected Unit Amenities], "*"&amp;$AD$3&amp;"*",
  unit_details[Leased Date], "&gt;=" &amp; ($U$2 - $AF$3)
),0)</f>
        <v>0</v>
      </c>
      <c r="AD232" s="527" cm="1">
        <f t="array" aca="1" ref="AD2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2" s="526" cm="1">
        <f t="array" aca="1" ref="AE232" ca="1">IFERROR(COUNTIFS(
  unit_details[Property Name], INDIRECT("B"&amp;ROW()),
  unit_details[Floorplan Name], INDIRECT("C"&amp;ROW()),
  unit_details[Beds], INDIRECT("D"&amp;ROW()),
  unit_details[Detected Unit Amenities], "*"&amp;$AD$3&amp;"*",
  unit_details[Leased Date], "&gt;=" &amp; ($U$2 - $AF$3)
),0)</f>
        <v>0</v>
      </c>
      <c r="AF232" s="528" cm="1">
        <f t="array" aca="1" ref="AF232" ca="1">IFERROR(AVERAGEIFS(
  unit_details[Sqft],
  unit_details[Property Name], INDIRECT("B"&amp;ROW()),
  unit_details[Floorplan Name], INDIRECT("C"&amp;ROW()),
  unit_details[Beds], INDIRECT("D"&amp;ROW()),
  unit_details[Detected Unit Amenities], "&lt;&gt;*"&amp;$AD$3&amp;"*",
  unit_details[Leased Date], "&gt;=" &amp; ($U$2 - $AF$3)
),0)</f>
        <v>0</v>
      </c>
      <c r="AG232" s="527" cm="1">
        <f t="array" aca="1" ref="AG2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2" s="526" cm="1">
        <f t="array" aca="1" ref="AH232" ca="1">IFERROR(COUNTIFS(
  unit_details[Property Name], INDIRECT("B"&amp;ROW()),
  unit_details[Floorplan Name], INDIRECT("C"&amp;ROW()),
  unit_details[Beds], INDIRECT("D"&amp;ROW()),
  unit_details[Detected Unit Amenities], "&lt;&gt;*"&amp;$AD$3&amp;"*",
  unit_details[Leased Date], "&gt;=" &amp; ($U$2 - $AF$3)
),0)</f>
        <v>0</v>
      </c>
      <c r="AI232" s="528"/>
      <c r="AJ232" s="531">
        <f t="shared" ca="1" si="10"/>
        <v>0</v>
      </c>
      <c r="AK232" s="532">
        <f t="shared" ca="1" si="11"/>
        <v>0</v>
      </c>
    </row>
    <row r="233" spans="2:37" x14ac:dyDescent="0.2">
      <c r="B233" s="566"/>
      <c r="C233" s="53"/>
      <c r="E233" s="262"/>
      <c r="F233" s="262"/>
      <c r="J233" s="293"/>
      <c r="K233" s="6"/>
      <c r="M233" s="6"/>
      <c r="N233" s="531" t="str" cm="1">
        <f t="array" aca="1" ref="N23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3" s="552" t="str" cm="1">
        <f t="array" aca="1" ref="O23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3" s="526" cm="1">
        <f t="array" aca="1" ref="P233" ca="1">COUNTIFS(unit_details[Leased Date], "&gt;=" &amp; ($U$2 - N$5),
          unit_details[Leased Date], "&lt;" &amp; $U$2,
          unit_details[Floorplan Name], INDIRECT("C"&amp;ROW()),
          unit_details[Property Name], INDIRECT("B"&amp;ROW()))</f>
        <v>0</v>
      </c>
      <c r="Q233" s="531" t="str" cm="1">
        <f t="array" aca="1" ref="Q23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3" s="552" t="str" cm="1">
        <f t="array" aca="1" ref="R23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3" s="526" cm="1">
        <f t="array" aca="1" ref="S233" ca="1">COUNTIFS(unit_details[Leased Date], "&gt;=" &amp; ($U$2 - Q$5),
          unit_details[Leased Date], "&lt;" &amp; $U$2,
          unit_details[Floorplan Name], INDIRECT("C"&amp;ROW()),
          unit_details[Property Name], INDIRECT("B"&amp;ROW()))</f>
        <v>0</v>
      </c>
      <c r="T233" s="531" t="str" cm="1">
        <f t="array" aca="1" ref="T23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3" s="552" t="str" cm="1">
        <f t="array" aca="1" ref="U23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3" s="526" cm="1">
        <f t="array" aca="1" ref="V233" ca="1">COUNTIFS(unit_details[Leased Date], "&gt;=" &amp; ($U$2 - T$5),
          unit_details[Leased Date], "&lt;" &amp; $U$2,
          unit_details[Floorplan Name], INDIRECT("C"&amp;ROW()),
          unit_details[Property Name], INDIRECT("B"&amp;ROW()))</f>
        <v>0</v>
      </c>
      <c r="W233" s="531" t="str" cm="1">
        <f t="array" aca="1" ref="W23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3" s="552" t="str" cm="1">
        <f t="array" aca="1" ref="X23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3" s="27" t="str">
        <f t="shared" ca="1" si="9"/>
        <v/>
      </c>
      <c r="Z233" s="4" t="str">
        <f>IFERROR($U$2-AVERAGEIFS(unit_details[First Listed],
          unit_details[Active Listing?],TRUE,
          unit_details[Property Name], $B233,
          unit_details[Beds], $D233,
          unit_details[Baths], $E233,
          unit_details[Partial Baths], IF(ISNUMBER($F233),$F233,""),
          unit_details[Floorplan Name],$C233
),"")</f>
        <v/>
      </c>
      <c r="AA233" s="262" cm="1">
        <f t="array" aca="1" ref="AA233" ca="1">COUNTIFS(unit_details[Active Listing?],TRUE,
          unit_details[Floorplan Name], INDIRECT("C"&amp;ROW()),
          unit_details[Property Name], INDIRECT("B"&amp;ROW()))</f>
        <v>0</v>
      </c>
      <c r="AB233" s="553"/>
      <c r="AC233" s="528" cm="1">
        <f t="array" aca="1" ref="AC233" ca="1">IFERROR(AVERAGEIFS(
  unit_details[Sqft],
  unit_details[Property Name], INDIRECT("B"&amp;ROW()),
  unit_details[Floorplan Name], INDIRECT("C"&amp;ROW()),
  unit_details[Beds], INDIRECT("D"&amp;ROW()),
  unit_details[Detected Unit Amenities], "*"&amp;$AD$3&amp;"*",
  unit_details[Leased Date], "&gt;=" &amp; ($U$2 - $AF$3)
),0)</f>
        <v>0</v>
      </c>
      <c r="AD233" s="527" cm="1">
        <f t="array" aca="1" ref="AD2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3" s="526" cm="1">
        <f t="array" aca="1" ref="AE233" ca="1">IFERROR(COUNTIFS(
  unit_details[Property Name], INDIRECT("B"&amp;ROW()),
  unit_details[Floorplan Name], INDIRECT("C"&amp;ROW()),
  unit_details[Beds], INDIRECT("D"&amp;ROW()),
  unit_details[Detected Unit Amenities], "*"&amp;$AD$3&amp;"*",
  unit_details[Leased Date], "&gt;=" &amp; ($U$2 - $AF$3)
),0)</f>
        <v>0</v>
      </c>
      <c r="AF233" s="528" cm="1">
        <f t="array" aca="1" ref="AF233" ca="1">IFERROR(AVERAGEIFS(
  unit_details[Sqft],
  unit_details[Property Name], INDIRECT("B"&amp;ROW()),
  unit_details[Floorplan Name], INDIRECT("C"&amp;ROW()),
  unit_details[Beds], INDIRECT("D"&amp;ROW()),
  unit_details[Detected Unit Amenities], "&lt;&gt;*"&amp;$AD$3&amp;"*",
  unit_details[Leased Date], "&gt;=" &amp; ($U$2 - $AF$3)
),0)</f>
        <v>0</v>
      </c>
      <c r="AG233" s="527" cm="1">
        <f t="array" aca="1" ref="AG2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3" s="526" cm="1">
        <f t="array" aca="1" ref="AH233" ca="1">IFERROR(COUNTIFS(
  unit_details[Property Name], INDIRECT("B"&amp;ROW()),
  unit_details[Floorplan Name], INDIRECT("C"&amp;ROW()),
  unit_details[Beds], INDIRECT("D"&amp;ROW()),
  unit_details[Detected Unit Amenities], "&lt;&gt;*"&amp;$AD$3&amp;"*",
  unit_details[Leased Date], "&gt;=" &amp; ($U$2 - $AF$3)
),0)</f>
        <v>0</v>
      </c>
      <c r="AI233" s="528"/>
      <c r="AJ233" s="531">
        <f t="shared" ca="1" si="10"/>
        <v>0</v>
      </c>
      <c r="AK233" s="532">
        <f t="shared" ca="1" si="11"/>
        <v>0</v>
      </c>
    </row>
    <row r="234" spans="2:37" x14ac:dyDescent="0.2">
      <c r="B234" s="566"/>
      <c r="C234" s="53"/>
      <c r="E234" s="262"/>
      <c r="F234" s="262"/>
      <c r="J234" s="293"/>
      <c r="K234" s="6"/>
      <c r="M234" s="6"/>
      <c r="N234" s="531" t="str" cm="1">
        <f t="array" aca="1" ref="N23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4" s="552" t="str" cm="1">
        <f t="array" aca="1" ref="O23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4" s="526" cm="1">
        <f t="array" aca="1" ref="P234" ca="1">COUNTIFS(unit_details[Leased Date], "&gt;=" &amp; ($U$2 - N$5),
          unit_details[Leased Date], "&lt;" &amp; $U$2,
          unit_details[Floorplan Name], INDIRECT("C"&amp;ROW()),
          unit_details[Property Name], INDIRECT("B"&amp;ROW()))</f>
        <v>0</v>
      </c>
      <c r="Q234" s="531" t="str" cm="1">
        <f t="array" aca="1" ref="Q23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4" s="552" t="str" cm="1">
        <f t="array" aca="1" ref="R23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4" s="526" cm="1">
        <f t="array" aca="1" ref="S234" ca="1">COUNTIFS(unit_details[Leased Date], "&gt;=" &amp; ($U$2 - Q$5),
          unit_details[Leased Date], "&lt;" &amp; $U$2,
          unit_details[Floorplan Name], INDIRECT("C"&amp;ROW()),
          unit_details[Property Name], INDIRECT("B"&amp;ROW()))</f>
        <v>0</v>
      </c>
      <c r="T234" s="531" t="str" cm="1">
        <f t="array" aca="1" ref="T23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4" s="552" t="str" cm="1">
        <f t="array" aca="1" ref="U23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4" s="526" cm="1">
        <f t="array" aca="1" ref="V234" ca="1">COUNTIFS(unit_details[Leased Date], "&gt;=" &amp; ($U$2 - T$5),
          unit_details[Leased Date], "&lt;" &amp; $U$2,
          unit_details[Floorplan Name], INDIRECT("C"&amp;ROW()),
          unit_details[Property Name], INDIRECT("B"&amp;ROW()))</f>
        <v>0</v>
      </c>
      <c r="W234" s="531" t="str" cm="1">
        <f t="array" aca="1" ref="W23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4" s="552" t="str" cm="1">
        <f t="array" aca="1" ref="X23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4" s="27" t="str">
        <f t="shared" ca="1" si="9"/>
        <v/>
      </c>
      <c r="Z234" s="4" t="str">
        <f>IFERROR($U$2-AVERAGEIFS(unit_details[First Listed],
          unit_details[Active Listing?],TRUE,
          unit_details[Property Name], $B234,
          unit_details[Beds], $D234,
          unit_details[Baths], $E234,
          unit_details[Partial Baths], IF(ISNUMBER($F234),$F234,""),
          unit_details[Floorplan Name],$C234
),"")</f>
        <v/>
      </c>
      <c r="AA234" s="262" cm="1">
        <f t="array" aca="1" ref="AA234" ca="1">COUNTIFS(unit_details[Active Listing?],TRUE,
          unit_details[Floorplan Name], INDIRECT("C"&amp;ROW()),
          unit_details[Property Name], INDIRECT("B"&amp;ROW()))</f>
        <v>0</v>
      </c>
      <c r="AB234" s="553"/>
      <c r="AC234" s="528" cm="1">
        <f t="array" aca="1" ref="AC234" ca="1">IFERROR(AVERAGEIFS(
  unit_details[Sqft],
  unit_details[Property Name], INDIRECT("B"&amp;ROW()),
  unit_details[Floorplan Name], INDIRECT("C"&amp;ROW()),
  unit_details[Beds], INDIRECT("D"&amp;ROW()),
  unit_details[Detected Unit Amenities], "*"&amp;$AD$3&amp;"*",
  unit_details[Leased Date], "&gt;=" &amp; ($U$2 - $AF$3)
),0)</f>
        <v>0</v>
      </c>
      <c r="AD234" s="527" cm="1">
        <f t="array" aca="1" ref="AD2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4" s="526" cm="1">
        <f t="array" aca="1" ref="AE234" ca="1">IFERROR(COUNTIFS(
  unit_details[Property Name], INDIRECT("B"&amp;ROW()),
  unit_details[Floorplan Name], INDIRECT("C"&amp;ROW()),
  unit_details[Beds], INDIRECT("D"&amp;ROW()),
  unit_details[Detected Unit Amenities], "*"&amp;$AD$3&amp;"*",
  unit_details[Leased Date], "&gt;=" &amp; ($U$2 - $AF$3)
),0)</f>
        <v>0</v>
      </c>
      <c r="AF234" s="528" cm="1">
        <f t="array" aca="1" ref="AF234" ca="1">IFERROR(AVERAGEIFS(
  unit_details[Sqft],
  unit_details[Property Name], INDIRECT("B"&amp;ROW()),
  unit_details[Floorplan Name], INDIRECT("C"&amp;ROW()),
  unit_details[Beds], INDIRECT("D"&amp;ROW()),
  unit_details[Detected Unit Amenities], "&lt;&gt;*"&amp;$AD$3&amp;"*",
  unit_details[Leased Date], "&gt;=" &amp; ($U$2 - $AF$3)
),0)</f>
        <v>0</v>
      </c>
      <c r="AG234" s="527" cm="1">
        <f t="array" aca="1" ref="AG2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4" s="526" cm="1">
        <f t="array" aca="1" ref="AH234" ca="1">IFERROR(COUNTIFS(
  unit_details[Property Name], INDIRECT("B"&amp;ROW()),
  unit_details[Floorplan Name], INDIRECT("C"&amp;ROW()),
  unit_details[Beds], INDIRECT("D"&amp;ROW()),
  unit_details[Detected Unit Amenities], "&lt;&gt;*"&amp;$AD$3&amp;"*",
  unit_details[Leased Date], "&gt;=" &amp; ($U$2 - $AF$3)
),0)</f>
        <v>0</v>
      </c>
      <c r="AI234" s="528"/>
      <c r="AJ234" s="531">
        <f t="shared" ca="1" si="10"/>
        <v>0</v>
      </c>
      <c r="AK234" s="532">
        <f t="shared" ca="1" si="11"/>
        <v>0</v>
      </c>
    </row>
    <row r="235" spans="2:37" x14ac:dyDescent="0.2">
      <c r="B235" s="566"/>
      <c r="C235" s="53"/>
      <c r="E235" s="262"/>
      <c r="F235" s="262"/>
      <c r="J235" s="293"/>
      <c r="K235" s="6"/>
      <c r="M235" s="6"/>
      <c r="N235" s="531" t="str" cm="1">
        <f t="array" aca="1" ref="N23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5" s="552" t="str" cm="1">
        <f t="array" aca="1" ref="O23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5" s="526" cm="1">
        <f t="array" aca="1" ref="P235" ca="1">COUNTIFS(unit_details[Leased Date], "&gt;=" &amp; ($U$2 - N$5),
          unit_details[Leased Date], "&lt;" &amp; $U$2,
          unit_details[Floorplan Name], INDIRECT("C"&amp;ROW()),
          unit_details[Property Name], INDIRECT("B"&amp;ROW()))</f>
        <v>0</v>
      </c>
      <c r="Q235" s="531" t="str" cm="1">
        <f t="array" aca="1" ref="Q23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5" s="552" t="str" cm="1">
        <f t="array" aca="1" ref="R23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5" s="526" cm="1">
        <f t="array" aca="1" ref="S235" ca="1">COUNTIFS(unit_details[Leased Date], "&gt;=" &amp; ($U$2 - Q$5),
          unit_details[Leased Date], "&lt;" &amp; $U$2,
          unit_details[Floorplan Name], INDIRECT("C"&amp;ROW()),
          unit_details[Property Name], INDIRECT("B"&amp;ROW()))</f>
        <v>0</v>
      </c>
      <c r="T235" s="531" t="str" cm="1">
        <f t="array" aca="1" ref="T23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5" s="552" t="str" cm="1">
        <f t="array" aca="1" ref="U23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5" s="526" cm="1">
        <f t="array" aca="1" ref="V235" ca="1">COUNTIFS(unit_details[Leased Date], "&gt;=" &amp; ($U$2 - T$5),
          unit_details[Leased Date], "&lt;" &amp; $U$2,
          unit_details[Floorplan Name], INDIRECT("C"&amp;ROW()),
          unit_details[Property Name], INDIRECT("B"&amp;ROW()))</f>
        <v>0</v>
      </c>
      <c r="W235" s="531" t="str" cm="1">
        <f t="array" aca="1" ref="W23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5" s="552" t="str" cm="1">
        <f t="array" aca="1" ref="X23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5" s="27" t="str">
        <f t="shared" ca="1" si="9"/>
        <v/>
      </c>
      <c r="Z235" s="4" t="str">
        <f>IFERROR($U$2-AVERAGEIFS(unit_details[First Listed],
          unit_details[Active Listing?],TRUE,
          unit_details[Property Name], $B235,
          unit_details[Beds], $D235,
          unit_details[Baths], $E235,
          unit_details[Partial Baths], IF(ISNUMBER($F235),$F235,""),
          unit_details[Floorplan Name],$C235
),"")</f>
        <v/>
      </c>
      <c r="AA235" s="262" cm="1">
        <f t="array" aca="1" ref="AA235" ca="1">COUNTIFS(unit_details[Active Listing?],TRUE,
          unit_details[Floorplan Name], INDIRECT("C"&amp;ROW()),
          unit_details[Property Name], INDIRECT("B"&amp;ROW()))</f>
        <v>0</v>
      </c>
      <c r="AB235" s="553"/>
      <c r="AC235" s="528" cm="1">
        <f t="array" aca="1" ref="AC235" ca="1">IFERROR(AVERAGEIFS(
  unit_details[Sqft],
  unit_details[Property Name], INDIRECT("B"&amp;ROW()),
  unit_details[Floorplan Name], INDIRECT("C"&amp;ROW()),
  unit_details[Beds], INDIRECT("D"&amp;ROW()),
  unit_details[Detected Unit Amenities], "*"&amp;$AD$3&amp;"*",
  unit_details[Leased Date], "&gt;=" &amp; ($U$2 - $AF$3)
),0)</f>
        <v>0</v>
      </c>
      <c r="AD235" s="527" cm="1">
        <f t="array" aca="1" ref="AD2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5" s="526" cm="1">
        <f t="array" aca="1" ref="AE235" ca="1">IFERROR(COUNTIFS(
  unit_details[Property Name], INDIRECT("B"&amp;ROW()),
  unit_details[Floorplan Name], INDIRECT("C"&amp;ROW()),
  unit_details[Beds], INDIRECT("D"&amp;ROW()),
  unit_details[Detected Unit Amenities], "*"&amp;$AD$3&amp;"*",
  unit_details[Leased Date], "&gt;=" &amp; ($U$2 - $AF$3)
),0)</f>
        <v>0</v>
      </c>
      <c r="AF235" s="528" cm="1">
        <f t="array" aca="1" ref="AF235" ca="1">IFERROR(AVERAGEIFS(
  unit_details[Sqft],
  unit_details[Property Name], INDIRECT("B"&amp;ROW()),
  unit_details[Floorplan Name], INDIRECT("C"&amp;ROW()),
  unit_details[Beds], INDIRECT("D"&amp;ROW()),
  unit_details[Detected Unit Amenities], "&lt;&gt;*"&amp;$AD$3&amp;"*",
  unit_details[Leased Date], "&gt;=" &amp; ($U$2 - $AF$3)
),0)</f>
        <v>0</v>
      </c>
      <c r="AG235" s="527" cm="1">
        <f t="array" aca="1" ref="AG2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5" s="526" cm="1">
        <f t="array" aca="1" ref="AH235" ca="1">IFERROR(COUNTIFS(
  unit_details[Property Name], INDIRECT("B"&amp;ROW()),
  unit_details[Floorplan Name], INDIRECT("C"&amp;ROW()),
  unit_details[Beds], INDIRECT("D"&amp;ROW()),
  unit_details[Detected Unit Amenities], "&lt;&gt;*"&amp;$AD$3&amp;"*",
  unit_details[Leased Date], "&gt;=" &amp; ($U$2 - $AF$3)
),0)</f>
        <v>0</v>
      </c>
      <c r="AI235" s="528"/>
      <c r="AJ235" s="531">
        <f t="shared" ca="1" si="10"/>
        <v>0</v>
      </c>
      <c r="AK235" s="532">
        <f t="shared" ca="1" si="11"/>
        <v>0</v>
      </c>
    </row>
    <row r="236" spans="2:37" x14ac:dyDescent="0.2">
      <c r="B236" s="566"/>
      <c r="C236" s="53"/>
      <c r="E236" s="262"/>
      <c r="F236" s="262"/>
      <c r="J236" s="293"/>
      <c r="K236" s="6"/>
      <c r="M236" s="6"/>
      <c r="N236" s="531" t="str" cm="1">
        <f t="array" aca="1" ref="N23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6" s="552" t="str" cm="1">
        <f t="array" aca="1" ref="O23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6" s="526" cm="1">
        <f t="array" aca="1" ref="P236" ca="1">COUNTIFS(unit_details[Leased Date], "&gt;=" &amp; ($U$2 - N$5),
          unit_details[Leased Date], "&lt;" &amp; $U$2,
          unit_details[Floorplan Name], INDIRECT("C"&amp;ROW()),
          unit_details[Property Name], INDIRECT("B"&amp;ROW()))</f>
        <v>0</v>
      </c>
      <c r="Q236" s="531" t="str" cm="1">
        <f t="array" aca="1" ref="Q23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6" s="552" t="str" cm="1">
        <f t="array" aca="1" ref="R23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6" s="526" cm="1">
        <f t="array" aca="1" ref="S236" ca="1">COUNTIFS(unit_details[Leased Date], "&gt;=" &amp; ($U$2 - Q$5),
          unit_details[Leased Date], "&lt;" &amp; $U$2,
          unit_details[Floorplan Name], INDIRECT("C"&amp;ROW()),
          unit_details[Property Name], INDIRECT("B"&amp;ROW()))</f>
        <v>0</v>
      </c>
      <c r="T236" s="531" t="str" cm="1">
        <f t="array" aca="1" ref="T23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6" s="552" t="str" cm="1">
        <f t="array" aca="1" ref="U23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6" s="526" cm="1">
        <f t="array" aca="1" ref="V236" ca="1">COUNTIFS(unit_details[Leased Date], "&gt;=" &amp; ($U$2 - T$5),
          unit_details[Leased Date], "&lt;" &amp; $U$2,
          unit_details[Floorplan Name], INDIRECT("C"&amp;ROW()),
          unit_details[Property Name], INDIRECT("B"&amp;ROW()))</f>
        <v>0</v>
      </c>
      <c r="W236" s="531" t="str" cm="1">
        <f t="array" aca="1" ref="W23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6" s="552" t="str" cm="1">
        <f t="array" aca="1" ref="X23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6" s="27" t="str">
        <f t="shared" ca="1" si="9"/>
        <v/>
      </c>
      <c r="Z236" s="4" t="str">
        <f>IFERROR($U$2-AVERAGEIFS(unit_details[First Listed],
          unit_details[Active Listing?],TRUE,
          unit_details[Property Name], $B236,
          unit_details[Beds], $D236,
          unit_details[Baths], $E236,
          unit_details[Partial Baths], IF(ISNUMBER($F236),$F236,""),
          unit_details[Floorplan Name],$C236
),"")</f>
        <v/>
      </c>
      <c r="AA236" s="262" cm="1">
        <f t="array" aca="1" ref="AA236" ca="1">COUNTIFS(unit_details[Active Listing?],TRUE,
          unit_details[Floorplan Name], INDIRECT("C"&amp;ROW()),
          unit_details[Property Name], INDIRECT("B"&amp;ROW()))</f>
        <v>0</v>
      </c>
      <c r="AB236" s="553"/>
      <c r="AC236" s="528" cm="1">
        <f t="array" aca="1" ref="AC236" ca="1">IFERROR(AVERAGEIFS(
  unit_details[Sqft],
  unit_details[Property Name], INDIRECT("B"&amp;ROW()),
  unit_details[Floorplan Name], INDIRECT("C"&amp;ROW()),
  unit_details[Beds], INDIRECT("D"&amp;ROW()),
  unit_details[Detected Unit Amenities], "*"&amp;$AD$3&amp;"*",
  unit_details[Leased Date], "&gt;=" &amp; ($U$2 - $AF$3)
),0)</f>
        <v>0</v>
      </c>
      <c r="AD236" s="527" cm="1">
        <f t="array" aca="1" ref="AD2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6" s="526" cm="1">
        <f t="array" aca="1" ref="AE236" ca="1">IFERROR(COUNTIFS(
  unit_details[Property Name], INDIRECT("B"&amp;ROW()),
  unit_details[Floorplan Name], INDIRECT("C"&amp;ROW()),
  unit_details[Beds], INDIRECT("D"&amp;ROW()),
  unit_details[Detected Unit Amenities], "*"&amp;$AD$3&amp;"*",
  unit_details[Leased Date], "&gt;=" &amp; ($U$2 - $AF$3)
),0)</f>
        <v>0</v>
      </c>
      <c r="AF236" s="528" cm="1">
        <f t="array" aca="1" ref="AF236" ca="1">IFERROR(AVERAGEIFS(
  unit_details[Sqft],
  unit_details[Property Name], INDIRECT("B"&amp;ROW()),
  unit_details[Floorplan Name], INDIRECT("C"&amp;ROW()),
  unit_details[Beds], INDIRECT("D"&amp;ROW()),
  unit_details[Detected Unit Amenities], "&lt;&gt;*"&amp;$AD$3&amp;"*",
  unit_details[Leased Date], "&gt;=" &amp; ($U$2 - $AF$3)
),0)</f>
        <v>0</v>
      </c>
      <c r="AG236" s="527" cm="1">
        <f t="array" aca="1" ref="AG2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6" s="526" cm="1">
        <f t="array" aca="1" ref="AH236" ca="1">IFERROR(COUNTIFS(
  unit_details[Property Name], INDIRECT("B"&amp;ROW()),
  unit_details[Floorplan Name], INDIRECT("C"&amp;ROW()),
  unit_details[Beds], INDIRECT("D"&amp;ROW()),
  unit_details[Detected Unit Amenities], "&lt;&gt;*"&amp;$AD$3&amp;"*",
  unit_details[Leased Date], "&gt;=" &amp; ($U$2 - $AF$3)
),0)</f>
        <v>0</v>
      </c>
      <c r="AI236" s="528"/>
      <c r="AJ236" s="531">
        <f t="shared" ca="1" si="10"/>
        <v>0</v>
      </c>
      <c r="AK236" s="532">
        <f t="shared" ca="1" si="11"/>
        <v>0</v>
      </c>
    </row>
    <row r="237" spans="2:37" x14ac:dyDescent="0.2">
      <c r="B237" s="566"/>
      <c r="C237" s="53"/>
      <c r="E237" s="262"/>
      <c r="F237" s="262"/>
      <c r="J237" s="293"/>
      <c r="K237" s="6"/>
      <c r="M237" s="6"/>
      <c r="N237" s="531" t="str" cm="1">
        <f t="array" aca="1" ref="N23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7" s="552" t="str" cm="1">
        <f t="array" aca="1" ref="O23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7" s="526" cm="1">
        <f t="array" aca="1" ref="P237" ca="1">COUNTIFS(unit_details[Leased Date], "&gt;=" &amp; ($U$2 - N$5),
          unit_details[Leased Date], "&lt;" &amp; $U$2,
          unit_details[Floorplan Name], INDIRECT("C"&amp;ROW()),
          unit_details[Property Name], INDIRECT("B"&amp;ROW()))</f>
        <v>0</v>
      </c>
      <c r="Q237" s="531" t="str" cm="1">
        <f t="array" aca="1" ref="Q23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7" s="552" t="str" cm="1">
        <f t="array" aca="1" ref="R23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7" s="526" cm="1">
        <f t="array" aca="1" ref="S237" ca="1">COUNTIFS(unit_details[Leased Date], "&gt;=" &amp; ($U$2 - Q$5),
          unit_details[Leased Date], "&lt;" &amp; $U$2,
          unit_details[Floorplan Name], INDIRECT("C"&amp;ROW()),
          unit_details[Property Name], INDIRECT("B"&amp;ROW()))</f>
        <v>0</v>
      </c>
      <c r="T237" s="531" t="str" cm="1">
        <f t="array" aca="1" ref="T23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7" s="552" t="str" cm="1">
        <f t="array" aca="1" ref="U23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7" s="526" cm="1">
        <f t="array" aca="1" ref="V237" ca="1">COUNTIFS(unit_details[Leased Date], "&gt;=" &amp; ($U$2 - T$5),
          unit_details[Leased Date], "&lt;" &amp; $U$2,
          unit_details[Floorplan Name], INDIRECT("C"&amp;ROW()),
          unit_details[Property Name], INDIRECT("B"&amp;ROW()))</f>
        <v>0</v>
      </c>
      <c r="W237" s="531" t="str" cm="1">
        <f t="array" aca="1" ref="W23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7" s="552" t="str" cm="1">
        <f t="array" aca="1" ref="X23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7" s="27" t="str">
        <f t="shared" ca="1" si="9"/>
        <v/>
      </c>
      <c r="Z237" s="4" t="str">
        <f>IFERROR($U$2-AVERAGEIFS(unit_details[First Listed],
          unit_details[Active Listing?],TRUE,
          unit_details[Property Name], $B237,
          unit_details[Beds], $D237,
          unit_details[Baths], $E237,
          unit_details[Partial Baths], IF(ISNUMBER($F237),$F237,""),
          unit_details[Floorplan Name],$C237
),"")</f>
        <v/>
      </c>
      <c r="AA237" s="262" cm="1">
        <f t="array" aca="1" ref="AA237" ca="1">COUNTIFS(unit_details[Active Listing?],TRUE,
          unit_details[Floorplan Name], INDIRECT("C"&amp;ROW()),
          unit_details[Property Name], INDIRECT("B"&amp;ROW()))</f>
        <v>0</v>
      </c>
      <c r="AB237" s="553"/>
      <c r="AC237" s="528" cm="1">
        <f t="array" aca="1" ref="AC237" ca="1">IFERROR(AVERAGEIFS(
  unit_details[Sqft],
  unit_details[Property Name], INDIRECT("B"&amp;ROW()),
  unit_details[Floorplan Name], INDIRECT("C"&amp;ROW()),
  unit_details[Beds], INDIRECT("D"&amp;ROW()),
  unit_details[Detected Unit Amenities], "*"&amp;$AD$3&amp;"*",
  unit_details[Leased Date], "&gt;=" &amp; ($U$2 - $AF$3)
),0)</f>
        <v>0</v>
      </c>
      <c r="AD237" s="527" cm="1">
        <f t="array" aca="1" ref="AD2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7" s="526" cm="1">
        <f t="array" aca="1" ref="AE237" ca="1">IFERROR(COUNTIFS(
  unit_details[Property Name], INDIRECT("B"&amp;ROW()),
  unit_details[Floorplan Name], INDIRECT("C"&amp;ROW()),
  unit_details[Beds], INDIRECT("D"&amp;ROW()),
  unit_details[Detected Unit Amenities], "*"&amp;$AD$3&amp;"*",
  unit_details[Leased Date], "&gt;=" &amp; ($U$2 - $AF$3)
),0)</f>
        <v>0</v>
      </c>
      <c r="AF237" s="528" cm="1">
        <f t="array" aca="1" ref="AF237" ca="1">IFERROR(AVERAGEIFS(
  unit_details[Sqft],
  unit_details[Property Name], INDIRECT("B"&amp;ROW()),
  unit_details[Floorplan Name], INDIRECT("C"&amp;ROW()),
  unit_details[Beds], INDIRECT("D"&amp;ROW()),
  unit_details[Detected Unit Amenities], "&lt;&gt;*"&amp;$AD$3&amp;"*",
  unit_details[Leased Date], "&gt;=" &amp; ($U$2 - $AF$3)
),0)</f>
        <v>0</v>
      </c>
      <c r="AG237" s="527" cm="1">
        <f t="array" aca="1" ref="AG2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7" s="526" cm="1">
        <f t="array" aca="1" ref="AH237" ca="1">IFERROR(COUNTIFS(
  unit_details[Property Name], INDIRECT("B"&amp;ROW()),
  unit_details[Floorplan Name], INDIRECT("C"&amp;ROW()),
  unit_details[Beds], INDIRECT("D"&amp;ROW()),
  unit_details[Detected Unit Amenities], "&lt;&gt;*"&amp;$AD$3&amp;"*",
  unit_details[Leased Date], "&gt;=" &amp; ($U$2 - $AF$3)
),0)</f>
        <v>0</v>
      </c>
      <c r="AI237" s="528"/>
      <c r="AJ237" s="531">
        <f t="shared" ca="1" si="10"/>
        <v>0</v>
      </c>
      <c r="AK237" s="532">
        <f t="shared" ca="1" si="11"/>
        <v>0</v>
      </c>
    </row>
    <row r="238" spans="2:37" x14ac:dyDescent="0.2">
      <c r="B238" s="566"/>
      <c r="C238" s="53"/>
      <c r="E238" s="262"/>
      <c r="F238" s="262"/>
      <c r="J238" s="293"/>
      <c r="K238" s="6"/>
      <c r="M238" s="6"/>
      <c r="N238" s="531" t="str" cm="1">
        <f t="array" aca="1" ref="N23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8" s="552" t="str" cm="1">
        <f t="array" aca="1" ref="O23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8" s="526" cm="1">
        <f t="array" aca="1" ref="P238" ca="1">COUNTIFS(unit_details[Leased Date], "&gt;=" &amp; ($U$2 - N$5),
          unit_details[Leased Date], "&lt;" &amp; $U$2,
          unit_details[Floorplan Name], INDIRECT("C"&amp;ROW()),
          unit_details[Property Name], INDIRECT("B"&amp;ROW()))</f>
        <v>0</v>
      </c>
      <c r="Q238" s="531" t="str" cm="1">
        <f t="array" aca="1" ref="Q23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8" s="552" t="str" cm="1">
        <f t="array" aca="1" ref="R23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8" s="526" cm="1">
        <f t="array" aca="1" ref="S238" ca="1">COUNTIFS(unit_details[Leased Date], "&gt;=" &amp; ($U$2 - Q$5),
          unit_details[Leased Date], "&lt;" &amp; $U$2,
          unit_details[Floorplan Name], INDIRECT("C"&amp;ROW()),
          unit_details[Property Name], INDIRECT("B"&amp;ROW()))</f>
        <v>0</v>
      </c>
      <c r="T238" s="531" t="str" cm="1">
        <f t="array" aca="1" ref="T23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8" s="552" t="str" cm="1">
        <f t="array" aca="1" ref="U23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8" s="526" cm="1">
        <f t="array" aca="1" ref="V238" ca="1">COUNTIFS(unit_details[Leased Date], "&gt;=" &amp; ($U$2 - T$5),
          unit_details[Leased Date], "&lt;" &amp; $U$2,
          unit_details[Floorplan Name], INDIRECT("C"&amp;ROW()),
          unit_details[Property Name], INDIRECT("B"&amp;ROW()))</f>
        <v>0</v>
      </c>
      <c r="W238" s="531" t="str" cm="1">
        <f t="array" aca="1" ref="W23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8" s="552" t="str" cm="1">
        <f t="array" aca="1" ref="X23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8" s="27" t="str">
        <f t="shared" ca="1" si="9"/>
        <v/>
      </c>
      <c r="Z238" s="4" t="str">
        <f>IFERROR($U$2-AVERAGEIFS(unit_details[First Listed],
          unit_details[Active Listing?],TRUE,
          unit_details[Property Name], $B238,
          unit_details[Beds], $D238,
          unit_details[Baths], $E238,
          unit_details[Partial Baths], IF(ISNUMBER($F238),$F238,""),
          unit_details[Floorplan Name],$C238
),"")</f>
        <v/>
      </c>
      <c r="AA238" s="262" cm="1">
        <f t="array" aca="1" ref="AA238" ca="1">COUNTIFS(unit_details[Active Listing?],TRUE,
          unit_details[Floorplan Name], INDIRECT("C"&amp;ROW()),
          unit_details[Property Name], INDIRECT("B"&amp;ROW()))</f>
        <v>0</v>
      </c>
      <c r="AB238" s="553"/>
      <c r="AC238" s="528" cm="1">
        <f t="array" aca="1" ref="AC238" ca="1">IFERROR(AVERAGEIFS(
  unit_details[Sqft],
  unit_details[Property Name], INDIRECT("B"&amp;ROW()),
  unit_details[Floorplan Name], INDIRECT("C"&amp;ROW()),
  unit_details[Beds], INDIRECT("D"&amp;ROW()),
  unit_details[Detected Unit Amenities], "*"&amp;$AD$3&amp;"*",
  unit_details[Leased Date], "&gt;=" &amp; ($U$2 - $AF$3)
),0)</f>
        <v>0</v>
      </c>
      <c r="AD238" s="527" cm="1">
        <f t="array" aca="1" ref="AD2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8" s="526" cm="1">
        <f t="array" aca="1" ref="AE238" ca="1">IFERROR(COUNTIFS(
  unit_details[Property Name], INDIRECT("B"&amp;ROW()),
  unit_details[Floorplan Name], INDIRECT("C"&amp;ROW()),
  unit_details[Beds], INDIRECT("D"&amp;ROW()),
  unit_details[Detected Unit Amenities], "*"&amp;$AD$3&amp;"*",
  unit_details[Leased Date], "&gt;=" &amp; ($U$2 - $AF$3)
),0)</f>
        <v>0</v>
      </c>
      <c r="AF238" s="528" cm="1">
        <f t="array" aca="1" ref="AF238" ca="1">IFERROR(AVERAGEIFS(
  unit_details[Sqft],
  unit_details[Property Name], INDIRECT("B"&amp;ROW()),
  unit_details[Floorplan Name], INDIRECT("C"&amp;ROW()),
  unit_details[Beds], INDIRECT("D"&amp;ROW()),
  unit_details[Detected Unit Amenities], "&lt;&gt;*"&amp;$AD$3&amp;"*",
  unit_details[Leased Date], "&gt;=" &amp; ($U$2 - $AF$3)
),0)</f>
        <v>0</v>
      </c>
      <c r="AG238" s="527" cm="1">
        <f t="array" aca="1" ref="AG2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8" s="526" cm="1">
        <f t="array" aca="1" ref="AH238" ca="1">IFERROR(COUNTIFS(
  unit_details[Property Name], INDIRECT("B"&amp;ROW()),
  unit_details[Floorplan Name], INDIRECT("C"&amp;ROW()),
  unit_details[Beds], INDIRECT("D"&amp;ROW()),
  unit_details[Detected Unit Amenities], "&lt;&gt;*"&amp;$AD$3&amp;"*",
  unit_details[Leased Date], "&gt;=" &amp; ($U$2 - $AF$3)
),0)</f>
        <v>0</v>
      </c>
      <c r="AI238" s="528"/>
      <c r="AJ238" s="531">
        <f t="shared" ca="1" si="10"/>
        <v>0</v>
      </c>
      <c r="AK238" s="532">
        <f t="shared" ca="1" si="11"/>
        <v>0</v>
      </c>
    </row>
    <row r="239" spans="2:37" x14ac:dyDescent="0.2">
      <c r="B239" s="566"/>
      <c r="C239" s="53"/>
      <c r="E239" s="262"/>
      <c r="F239" s="262"/>
      <c r="J239" s="293"/>
      <c r="K239" s="6"/>
      <c r="M239" s="6"/>
      <c r="N239" s="531" t="str" cm="1">
        <f t="array" aca="1" ref="N23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39" s="552" t="str" cm="1">
        <f t="array" aca="1" ref="O23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39" s="526" cm="1">
        <f t="array" aca="1" ref="P239" ca="1">COUNTIFS(unit_details[Leased Date], "&gt;=" &amp; ($U$2 - N$5),
          unit_details[Leased Date], "&lt;" &amp; $U$2,
          unit_details[Floorplan Name], INDIRECT("C"&amp;ROW()),
          unit_details[Property Name], INDIRECT("B"&amp;ROW()))</f>
        <v>0</v>
      </c>
      <c r="Q239" s="531" t="str" cm="1">
        <f t="array" aca="1" ref="Q23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39" s="552" t="str" cm="1">
        <f t="array" aca="1" ref="R23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39" s="526" cm="1">
        <f t="array" aca="1" ref="S239" ca="1">COUNTIFS(unit_details[Leased Date], "&gt;=" &amp; ($U$2 - Q$5),
          unit_details[Leased Date], "&lt;" &amp; $U$2,
          unit_details[Floorplan Name], INDIRECT("C"&amp;ROW()),
          unit_details[Property Name], INDIRECT("B"&amp;ROW()))</f>
        <v>0</v>
      </c>
      <c r="T239" s="531" t="str" cm="1">
        <f t="array" aca="1" ref="T23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39" s="552" t="str" cm="1">
        <f t="array" aca="1" ref="U23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39" s="526" cm="1">
        <f t="array" aca="1" ref="V239" ca="1">COUNTIFS(unit_details[Leased Date], "&gt;=" &amp; ($U$2 - T$5),
          unit_details[Leased Date], "&lt;" &amp; $U$2,
          unit_details[Floorplan Name], INDIRECT("C"&amp;ROW()),
          unit_details[Property Name], INDIRECT("B"&amp;ROW()))</f>
        <v>0</v>
      </c>
      <c r="W239" s="531" t="str" cm="1">
        <f t="array" aca="1" ref="W23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39" s="552" t="str" cm="1">
        <f t="array" aca="1" ref="X23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39" s="27" t="str">
        <f t="shared" ca="1" si="9"/>
        <v/>
      </c>
      <c r="Z239" s="4" t="str">
        <f>IFERROR($U$2-AVERAGEIFS(unit_details[First Listed],
          unit_details[Active Listing?],TRUE,
          unit_details[Property Name], $B239,
          unit_details[Beds], $D239,
          unit_details[Baths], $E239,
          unit_details[Partial Baths], IF(ISNUMBER($F239),$F239,""),
          unit_details[Floorplan Name],$C239
),"")</f>
        <v/>
      </c>
      <c r="AA239" s="262" cm="1">
        <f t="array" aca="1" ref="AA239" ca="1">COUNTIFS(unit_details[Active Listing?],TRUE,
          unit_details[Floorplan Name], INDIRECT("C"&amp;ROW()),
          unit_details[Property Name], INDIRECT("B"&amp;ROW()))</f>
        <v>0</v>
      </c>
      <c r="AB239" s="553"/>
      <c r="AC239" s="528" cm="1">
        <f t="array" aca="1" ref="AC239" ca="1">IFERROR(AVERAGEIFS(
  unit_details[Sqft],
  unit_details[Property Name], INDIRECT("B"&amp;ROW()),
  unit_details[Floorplan Name], INDIRECT("C"&amp;ROW()),
  unit_details[Beds], INDIRECT("D"&amp;ROW()),
  unit_details[Detected Unit Amenities], "*"&amp;$AD$3&amp;"*",
  unit_details[Leased Date], "&gt;=" &amp; ($U$2 - $AF$3)
),0)</f>
        <v>0</v>
      </c>
      <c r="AD239" s="527" cm="1">
        <f t="array" aca="1" ref="AD2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39" s="526" cm="1">
        <f t="array" aca="1" ref="AE239" ca="1">IFERROR(COUNTIFS(
  unit_details[Property Name], INDIRECT("B"&amp;ROW()),
  unit_details[Floorplan Name], INDIRECT("C"&amp;ROW()),
  unit_details[Beds], INDIRECT("D"&amp;ROW()),
  unit_details[Detected Unit Amenities], "*"&amp;$AD$3&amp;"*",
  unit_details[Leased Date], "&gt;=" &amp; ($U$2 - $AF$3)
),0)</f>
        <v>0</v>
      </c>
      <c r="AF239" s="528" cm="1">
        <f t="array" aca="1" ref="AF239" ca="1">IFERROR(AVERAGEIFS(
  unit_details[Sqft],
  unit_details[Property Name], INDIRECT("B"&amp;ROW()),
  unit_details[Floorplan Name], INDIRECT("C"&amp;ROW()),
  unit_details[Beds], INDIRECT("D"&amp;ROW()),
  unit_details[Detected Unit Amenities], "&lt;&gt;*"&amp;$AD$3&amp;"*",
  unit_details[Leased Date], "&gt;=" &amp; ($U$2 - $AF$3)
),0)</f>
        <v>0</v>
      </c>
      <c r="AG239" s="527" cm="1">
        <f t="array" aca="1" ref="AG2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39" s="526" cm="1">
        <f t="array" aca="1" ref="AH239" ca="1">IFERROR(COUNTIFS(
  unit_details[Property Name], INDIRECT("B"&amp;ROW()),
  unit_details[Floorplan Name], INDIRECT("C"&amp;ROW()),
  unit_details[Beds], INDIRECT("D"&amp;ROW()),
  unit_details[Detected Unit Amenities], "&lt;&gt;*"&amp;$AD$3&amp;"*",
  unit_details[Leased Date], "&gt;=" &amp; ($U$2 - $AF$3)
),0)</f>
        <v>0</v>
      </c>
      <c r="AI239" s="528"/>
      <c r="AJ239" s="531">
        <f t="shared" ca="1" si="10"/>
        <v>0</v>
      </c>
      <c r="AK239" s="532">
        <f t="shared" ca="1" si="11"/>
        <v>0</v>
      </c>
    </row>
    <row r="240" spans="2:37" x14ac:dyDescent="0.2">
      <c r="B240" s="566"/>
      <c r="C240" s="53"/>
      <c r="E240" s="262"/>
      <c r="F240" s="262"/>
      <c r="J240" s="293"/>
      <c r="K240" s="6"/>
      <c r="M240" s="6"/>
      <c r="N240" s="531" t="str" cm="1">
        <f t="array" aca="1" ref="N24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0" s="552" t="str" cm="1">
        <f t="array" aca="1" ref="O24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0" s="526" cm="1">
        <f t="array" aca="1" ref="P240" ca="1">COUNTIFS(unit_details[Leased Date], "&gt;=" &amp; ($U$2 - N$5),
          unit_details[Leased Date], "&lt;" &amp; $U$2,
          unit_details[Floorplan Name], INDIRECT("C"&amp;ROW()),
          unit_details[Property Name], INDIRECT("B"&amp;ROW()))</f>
        <v>0</v>
      </c>
      <c r="Q240" s="531" t="str" cm="1">
        <f t="array" aca="1" ref="Q24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0" s="552" t="str" cm="1">
        <f t="array" aca="1" ref="R24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0" s="526" cm="1">
        <f t="array" aca="1" ref="S240" ca="1">COUNTIFS(unit_details[Leased Date], "&gt;=" &amp; ($U$2 - Q$5),
          unit_details[Leased Date], "&lt;" &amp; $U$2,
          unit_details[Floorplan Name], INDIRECT("C"&amp;ROW()),
          unit_details[Property Name], INDIRECT("B"&amp;ROW()))</f>
        <v>0</v>
      </c>
      <c r="T240" s="531" t="str" cm="1">
        <f t="array" aca="1" ref="T24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0" s="552" t="str" cm="1">
        <f t="array" aca="1" ref="U24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0" s="526" cm="1">
        <f t="array" aca="1" ref="V240" ca="1">COUNTIFS(unit_details[Leased Date], "&gt;=" &amp; ($U$2 - T$5),
          unit_details[Leased Date], "&lt;" &amp; $U$2,
          unit_details[Floorplan Name], INDIRECT("C"&amp;ROW()),
          unit_details[Property Name], INDIRECT("B"&amp;ROW()))</f>
        <v>0</v>
      </c>
      <c r="W240" s="531" t="str" cm="1">
        <f t="array" aca="1" ref="W24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0" s="552" t="str" cm="1">
        <f t="array" aca="1" ref="X24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0" s="27" t="str">
        <f t="shared" ca="1" si="9"/>
        <v/>
      </c>
      <c r="Z240" s="4" t="str">
        <f>IFERROR($U$2-AVERAGEIFS(unit_details[First Listed],
          unit_details[Active Listing?],TRUE,
          unit_details[Property Name], $B240,
          unit_details[Beds], $D240,
          unit_details[Baths], $E240,
          unit_details[Partial Baths], IF(ISNUMBER($F240),$F240,""),
          unit_details[Floorplan Name],$C240
),"")</f>
        <v/>
      </c>
      <c r="AA240" s="262" cm="1">
        <f t="array" aca="1" ref="AA240" ca="1">COUNTIFS(unit_details[Active Listing?],TRUE,
          unit_details[Floorplan Name], INDIRECT("C"&amp;ROW()),
          unit_details[Property Name], INDIRECT("B"&amp;ROW()))</f>
        <v>0</v>
      </c>
      <c r="AB240" s="553"/>
      <c r="AC240" s="528" cm="1">
        <f t="array" aca="1" ref="AC240" ca="1">IFERROR(AVERAGEIFS(
  unit_details[Sqft],
  unit_details[Property Name], INDIRECT("B"&amp;ROW()),
  unit_details[Floorplan Name], INDIRECT("C"&amp;ROW()),
  unit_details[Beds], INDIRECT("D"&amp;ROW()),
  unit_details[Detected Unit Amenities], "*"&amp;$AD$3&amp;"*",
  unit_details[Leased Date], "&gt;=" &amp; ($U$2 - $AF$3)
),0)</f>
        <v>0</v>
      </c>
      <c r="AD240" s="527" cm="1">
        <f t="array" aca="1" ref="AD2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0" s="526" cm="1">
        <f t="array" aca="1" ref="AE240" ca="1">IFERROR(COUNTIFS(
  unit_details[Property Name], INDIRECT("B"&amp;ROW()),
  unit_details[Floorplan Name], INDIRECT("C"&amp;ROW()),
  unit_details[Beds], INDIRECT("D"&amp;ROW()),
  unit_details[Detected Unit Amenities], "*"&amp;$AD$3&amp;"*",
  unit_details[Leased Date], "&gt;=" &amp; ($U$2 - $AF$3)
),0)</f>
        <v>0</v>
      </c>
      <c r="AF240" s="528" cm="1">
        <f t="array" aca="1" ref="AF240" ca="1">IFERROR(AVERAGEIFS(
  unit_details[Sqft],
  unit_details[Property Name], INDIRECT("B"&amp;ROW()),
  unit_details[Floorplan Name], INDIRECT("C"&amp;ROW()),
  unit_details[Beds], INDIRECT("D"&amp;ROW()),
  unit_details[Detected Unit Amenities], "&lt;&gt;*"&amp;$AD$3&amp;"*",
  unit_details[Leased Date], "&gt;=" &amp; ($U$2 - $AF$3)
),0)</f>
        <v>0</v>
      </c>
      <c r="AG240" s="527" cm="1">
        <f t="array" aca="1" ref="AG2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0" s="526" cm="1">
        <f t="array" aca="1" ref="AH240" ca="1">IFERROR(COUNTIFS(
  unit_details[Property Name], INDIRECT("B"&amp;ROW()),
  unit_details[Floorplan Name], INDIRECT("C"&amp;ROW()),
  unit_details[Beds], INDIRECT("D"&amp;ROW()),
  unit_details[Detected Unit Amenities], "&lt;&gt;*"&amp;$AD$3&amp;"*",
  unit_details[Leased Date], "&gt;=" &amp; ($U$2 - $AF$3)
),0)</f>
        <v>0</v>
      </c>
      <c r="AI240" s="528"/>
      <c r="AJ240" s="531">
        <f t="shared" ca="1" si="10"/>
        <v>0</v>
      </c>
      <c r="AK240" s="532">
        <f t="shared" ca="1" si="11"/>
        <v>0</v>
      </c>
    </row>
    <row r="241" spans="2:37" x14ac:dyDescent="0.2">
      <c r="B241" s="566"/>
      <c r="C241" s="53"/>
      <c r="E241" s="262"/>
      <c r="F241" s="262"/>
      <c r="J241" s="293"/>
      <c r="K241" s="6"/>
      <c r="M241" s="6"/>
      <c r="N241" s="531" t="str" cm="1">
        <f t="array" aca="1" ref="N24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1" s="552" t="str" cm="1">
        <f t="array" aca="1" ref="O24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1" s="526" cm="1">
        <f t="array" aca="1" ref="P241" ca="1">COUNTIFS(unit_details[Leased Date], "&gt;=" &amp; ($U$2 - N$5),
          unit_details[Leased Date], "&lt;" &amp; $U$2,
          unit_details[Floorplan Name], INDIRECT("C"&amp;ROW()),
          unit_details[Property Name], INDIRECT("B"&amp;ROW()))</f>
        <v>0</v>
      </c>
      <c r="Q241" s="531" t="str" cm="1">
        <f t="array" aca="1" ref="Q24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1" s="552" t="str" cm="1">
        <f t="array" aca="1" ref="R24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1" s="526" cm="1">
        <f t="array" aca="1" ref="S241" ca="1">COUNTIFS(unit_details[Leased Date], "&gt;=" &amp; ($U$2 - Q$5),
          unit_details[Leased Date], "&lt;" &amp; $U$2,
          unit_details[Floorplan Name], INDIRECT("C"&amp;ROW()),
          unit_details[Property Name], INDIRECT("B"&amp;ROW()))</f>
        <v>0</v>
      </c>
      <c r="T241" s="531" t="str" cm="1">
        <f t="array" aca="1" ref="T24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1" s="552" t="str" cm="1">
        <f t="array" aca="1" ref="U24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1" s="526" cm="1">
        <f t="array" aca="1" ref="V241" ca="1">COUNTIFS(unit_details[Leased Date], "&gt;=" &amp; ($U$2 - T$5),
          unit_details[Leased Date], "&lt;" &amp; $U$2,
          unit_details[Floorplan Name], INDIRECT("C"&amp;ROW()),
          unit_details[Property Name], INDIRECT("B"&amp;ROW()))</f>
        <v>0</v>
      </c>
      <c r="W241" s="531" t="str" cm="1">
        <f t="array" aca="1" ref="W24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1" s="552" t="str" cm="1">
        <f t="array" aca="1" ref="X24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1" s="27" t="str">
        <f t="shared" ca="1" si="9"/>
        <v/>
      </c>
      <c r="Z241" s="4" t="str">
        <f>IFERROR($U$2-AVERAGEIFS(unit_details[First Listed],
          unit_details[Active Listing?],TRUE,
          unit_details[Property Name], $B241,
          unit_details[Beds], $D241,
          unit_details[Baths], $E241,
          unit_details[Partial Baths], IF(ISNUMBER($F241),$F241,""),
          unit_details[Floorplan Name],$C241
),"")</f>
        <v/>
      </c>
      <c r="AA241" s="262" cm="1">
        <f t="array" aca="1" ref="AA241" ca="1">COUNTIFS(unit_details[Active Listing?],TRUE,
          unit_details[Floorplan Name], INDIRECT("C"&amp;ROW()),
          unit_details[Property Name], INDIRECT("B"&amp;ROW()))</f>
        <v>0</v>
      </c>
      <c r="AB241" s="553"/>
      <c r="AC241" s="528" cm="1">
        <f t="array" aca="1" ref="AC241" ca="1">IFERROR(AVERAGEIFS(
  unit_details[Sqft],
  unit_details[Property Name], INDIRECT("B"&amp;ROW()),
  unit_details[Floorplan Name], INDIRECT("C"&amp;ROW()),
  unit_details[Beds], INDIRECT("D"&amp;ROW()),
  unit_details[Detected Unit Amenities], "*"&amp;$AD$3&amp;"*",
  unit_details[Leased Date], "&gt;=" &amp; ($U$2 - $AF$3)
),0)</f>
        <v>0</v>
      </c>
      <c r="AD241" s="527" cm="1">
        <f t="array" aca="1" ref="AD2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1" s="526" cm="1">
        <f t="array" aca="1" ref="AE241" ca="1">IFERROR(COUNTIFS(
  unit_details[Property Name], INDIRECT("B"&amp;ROW()),
  unit_details[Floorplan Name], INDIRECT("C"&amp;ROW()),
  unit_details[Beds], INDIRECT("D"&amp;ROW()),
  unit_details[Detected Unit Amenities], "*"&amp;$AD$3&amp;"*",
  unit_details[Leased Date], "&gt;=" &amp; ($U$2 - $AF$3)
),0)</f>
        <v>0</v>
      </c>
      <c r="AF241" s="528" cm="1">
        <f t="array" aca="1" ref="AF241" ca="1">IFERROR(AVERAGEIFS(
  unit_details[Sqft],
  unit_details[Property Name], INDIRECT("B"&amp;ROW()),
  unit_details[Floorplan Name], INDIRECT("C"&amp;ROW()),
  unit_details[Beds], INDIRECT("D"&amp;ROW()),
  unit_details[Detected Unit Amenities], "&lt;&gt;*"&amp;$AD$3&amp;"*",
  unit_details[Leased Date], "&gt;=" &amp; ($U$2 - $AF$3)
),0)</f>
        <v>0</v>
      </c>
      <c r="AG241" s="527" cm="1">
        <f t="array" aca="1" ref="AG2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1" s="526" cm="1">
        <f t="array" aca="1" ref="AH241" ca="1">IFERROR(COUNTIFS(
  unit_details[Property Name], INDIRECT("B"&amp;ROW()),
  unit_details[Floorplan Name], INDIRECT("C"&amp;ROW()),
  unit_details[Beds], INDIRECT("D"&amp;ROW()),
  unit_details[Detected Unit Amenities], "&lt;&gt;*"&amp;$AD$3&amp;"*",
  unit_details[Leased Date], "&gt;=" &amp; ($U$2 - $AF$3)
),0)</f>
        <v>0</v>
      </c>
      <c r="AI241" s="528"/>
      <c r="AJ241" s="531">
        <f t="shared" ca="1" si="10"/>
        <v>0</v>
      </c>
      <c r="AK241" s="532">
        <f t="shared" ca="1" si="11"/>
        <v>0</v>
      </c>
    </row>
    <row r="242" spans="2:37" x14ac:dyDescent="0.2">
      <c r="B242" s="566"/>
      <c r="C242" s="53"/>
      <c r="E242" s="262"/>
      <c r="F242" s="262"/>
      <c r="J242" s="293"/>
      <c r="K242" s="6"/>
      <c r="M242" s="6"/>
      <c r="N242" s="531" t="str" cm="1">
        <f t="array" aca="1" ref="N24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2" s="552" t="str" cm="1">
        <f t="array" aca="1" ref="O24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2" s="526" cm="1">
        <f t="array" aca="1" ref="P242" ca="1">COUNTIFS(unit_details[Leased Date], "&gt;=" &amp; ($U$2 - N$5),
          unit_details[Leased Date], "&lt;" &amp; $U$2,
          unit_details[Floorplan Name], INDIRECT("C"&amp;ROW()),
          unit_details[Property Name], INDIRECT("B"&amp;ROW()))</f>
        <v>0</v>
      </c>
      <c r="Q242" s="531" t="str" cm="1">
        <f t="array" aca="1" ref="Q24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2" s="552" t="str" cm="1">
        <f t="array" aca="1" ref="R24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2" s="526" cm="1">
        <f t="array" aca="1" ref="S242" ca="1">COUNTIFS(unit_details[Leased Date], "&gt;=" &amp; ($U$2 - Q$5),
          unit_details[Leased Date], "&lt;" &amp; $U$2,
          unit_details[Floorplan Name], INDIRECT("C"&amp;ROW()),
          unit_details[Property Name], INDIRECT("B"&amp;ROW()))</f>
        <v>0</v>
      </c>
      <c r="T242" s="531" t="str" cm="1">
        <f t="array" aca="1" ref="T24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2" s="552" t="str" cm="1">
        <f t="array" aca="1" ref="U24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2" s="526" cm="1">
        <f t="array" aca="1" ref="V242" ca="1">COUNTIFS(unit_details[Leased Date], "&gt;=" &amp; ($U$2 - T$5),
          unit_details[Leased Date], "&lt;" &amp; $U$2,
          unit_details[Floorplan Name], INDIRECT("C"&amp;ROW()),
          unit_details[Property Name], INDIRECT("B"&amp;ROW()))</f>
        <v>0</v>
      </c>
      <c r="W242" s="531" t="str" cm="1">
        <f t="array" aca="1" ref="W24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2" s="552" t="str" cm="1">
        <f t="array" aca="1" ref="X24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2" s="27" t="str">
        <f t="shared" ca="1" si="9"/>
        <v/>
      </c>
      <c r="Z242" s="4" t="str">
        <f>IFERROR($U$2-AVERAGEIFS(unit_details[First Listed],
          unit_details[Active Listing?],TRUE,
          unit_details[Property Name], $B242,
          unit_details[Beds], $D242,
          unit_details[Baths], $E242,
          unit_details[Partial Baths], IF(ISNUMBER($F242),$F242,""),
          unit_details[Floorplan Name],$C242
),"")</f>
        <v/>
      </c>
      <c r="AA242" s="262" cm="1">
        <f t="array" aca="1" ref="AA242" ca="1">COUNTIFS(unit_details[Active Listing?],TRUE,
          unit_details[Floorplan Name], INDIRECT("C"&amp;ROW()),
          unit_details[Property Name], INDIRECT("B"&amp;ROW()))</f>
        <v>0</v>
      </c>
      <c r="AB242" s="553"/>
      <c r="AC242" s="528" cm="1">
        <f t="array" aca="1" ref="AC242" ca="1">IFERROR(AVERAGEIFS(
  unit_details[Sqft],
  unit_details[Property Name], INDIRECT("B"&amp;ROW()),
  unit_details[Floorplan Name], INDIRECT("C"&amp;ROW()),
  unit_details[Beds], INDIRECT("D"&amp;ROW()),
  unit_details[Detected Unit Amenities], "*"&amp;$AD$3&amp;"*",
  unit_details[Leased Date], "&gt;=" &amp; ($U$2 - $AF$3)
),0)</f>
        <v>0</v>
      </c>
      <c r="AD242" s="527" cm="1">
        <f t="array" aca="1" ref="AD2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2" s="526" cm="1">
        <f t="array" aca="1" ref="AE242" ca="1">IFERROR(COUNTIFS(
  unit_details[Property Name], INDIRECT("B"&amp;ROW()),
  unit_details[Floorplan Name], INDIRECT("C"&amp;ROW()),
  unit_details[Beds], INDIRECT("D"&amp;ROW()),
  unit_details[Detected Unit Amenities], "*"&amp;$AD$3&amp;"*",
  unit_details[Leased Date], "&gt;=" &amp; ($U$2 - $AF$3)
),0)</f>
        <v>0</v>
      </c>
      <c r="AF242" s="528" cm="1">
        <f t="array" aca="1" ref="AF242" ca="1">IFERROR(AVERAGEIFS(
  unit_details[Sqft],
  unit_details[Property Name], INDIRECT("B"&amp;ROW()),
  unit_details[Floorplan Name], INDIRECT("C"&amp;ROW()),
  unit_details[Beds], INDIRECT("D"&amp;ROW()),
  unit_details[Detected Unit Amenities], "&lt;&gt;*"&amp;$AD$3&amp;"*",
  unit_details[Leased Date], "&gt;=" &amp; ($U$2 - $AF$3)
),0)</f>
        <v>0</v>
      </c>
      <c r="AG242" s="527" cm="1">
        <f t="array" aca="1" ref="AG2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2" s="526" cm="1">
        <f t="array" aca="1" ref="AH242" ca="1">IFERROR(COUNTIFS(
  unit_details[Property Name], INDIRECT("B"&amp;ROW()),
  unit_details[Floorplan Name], INDIRECT("C"&amp;ROW()),
  unit_details[Beds], INDIRECT("D"&amp;ROW()),
  unit_details[Detected Unit Amenities], "&lt;&gt;*"&amp;$AD$3&amp;"*",
  unit_details[Leased Date], "&gt;=" &amp; ($U$2 - $AF$3)
),0)</f>
        <v>0</v>
      </c>
      <c r="AI242" s="528"/>
      <c r="AJ242" s="531">
        <f t="shared" ca="1" si="10"/>
        <v>0</v>
      </c>
      <c r="AK242" s="532">
        <f t="shared" ca="1" si="11"/>
        <v>0</v>
      </c>
    </row>
    <row r="243" spans="2:37" x14ac:dyDescent="0.2">
      <c r="B243" s="566"/>
      <c r="C243" s="53"/>
      <c r="E243" s="262"/>
      <c r="F243" s="262"/>
      <c r="J243" s="293"/>
      <c r="K243" s="6"/>
      <c r="M243" s="6"/>
      <c r="N243" s="531" t="str" cm="1">
        <f t="array" aca="1" ref="N24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3" s="552" t="str" cm="1">
        <f t="array" aca="1" ref="O24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3" s="526" cm="1">
        <f t="array" aca="1" ref="P243" ca="1">COUNTIFS(unit_details[Leased Date], "&gt;=" &amp; ($U$2 - N$5),
          unit_details[Leased Date], "&lt;" &amp; $U$2,
          unit_details[Floorplan Name], INDIRECT("C"&amp;ROW()),
          unit_details[Property Name], INDIRECT("B"&amp;ROW()))</f>
        <v>0</v>
      </c>
      <c r="Q243" s="531" t="str" cm="1">
        <f t="array" aca="1" ref="Q24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3" s="552" t="str" cm="1">
        <f t="array" aca="1" ref="R24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3" s="526" cm="1">
        <f t="array" aca="1" ref="S243" ca="1">COUNTIFS(unit_details[Leased Date], "&gt;=" &amp; ($U$2 - Q$5),
          unit_details[Leased Date], "&lt;" &amp; $U$2,
          unit_details[Floorplan Name], INDIRECT("C"&amp;ROW()),
          unit_details[Property Name], INDIRECT("B"&amp;ROW()))</f>
        <v>0</v>
      </c>
      <c r="T243" s="531" t="str" cm="1">
        <f t="array" aca="1" ref="T24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3" s="552" t="str" cm="1">
        <f t="array" aca="1" ref="U24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3" s="526" cm="1">
        <f t="array" aca="1" ref="V243" ca="1">COUNTIFS(unit_details[Leased Date], "&gt;=" &amp; ($U$2 - T$5),
          unit_details[Leased Date], "&lt;" &amp; $U$2,
          unit_details[Floorplan Name], INDIRECT("C"&amp;ROW()),
          unit_details[Property Name], INDIRECT("B"&amp;ROW()))</f>
        <v>0</v>
      </c>
      <c r="W243" s="531" t="str" cm="1">
        <f t="array" aca="1" ref="W24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3" s="552" t="str" cm="1">
        <f t="array" aca="1" ref="X24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3" s="27" t="str">
        <f t="shared" ca="1" si="9"/>
        <v/>
      </c>
      <c r="Z243" s="4" t="str">
        <f>IFERROR($U$2-AVERAGEIFS(unit_details[First Listed],
          unit_details[Active Listing?],TRUE,
          unit_details[Property Name], $B243,
          unit_details[Beds], $D243,
          unit_details[Baths], $E243,
          unit_details[Partial Baths], IF(ISNUMBER($F243),$F243,""),
          unit_details[Floorplan Name],$C243
),"")</f>
        <v/>
      </c>
      <c r="AA243" s="262" cm="1">
        <f t="array" aca="1" ref="AA243" ca="1">COUNTIFS(unit_details[Active Listing?],TRUE,
          unit_details[Floorplan Name], INDIRECT("C"&amp;ROW()),
          unit_details[Property Name], INDIRECT("B"&amp;ROW()))</f>
        <v>0</v>
      </c>
      <c r="AB243" s="553"/>
      <c r="AC243" s="528" cm="1">
        <f t="array" aca="1" ref="AC243" ca="1">IFERROR(AVERAGEIFS(
  unit_details[Sqft],
  unit_details[Property Name], INDIRECT("B"&amp;ROW()),
  unit_details[Floorplan Name], INDIRECT("C"&amp;ROW()),
  unit_details[Beds], INDIRECT("D"&amp;ROW()),
  unit_details[Detected Unit Amenities], "*"&amp;$AD$3&amp;"*",
  unit_details[Leased Date], "&gt;=" &amp; ($U$2 - $AF$3)
),0)</f>
        <v>0</v>
      </c>
      <c r="AD243" s="527" cm="1">
        <f t="array" aca="1" ref="AD2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3" s="526" cm="1">
        <f t="array" aca="1" ref="AE243" ca="1">IFERROR(COUNTIFS(
  unit_details[Property Name], INDIRECT("B"&amp;ROW()),
  unit_details[Floorplan Name], INDIRECT("C"&amp;ROW()),
  unit_details[Beds], INDIRECT("D"&amp;ROW()),
  unit_details[Detected Unit Amenities], "*"&amp;$AD$3&amp;"*",
  unit_details[Leased Date], "&gt;=" &amp; ($U$2 - $AF$3)
),0)</f>
        <v>0</v>
      </c>
      <c r="AF243" s="528" cm="1">
        <f t="array" aca="1" ref="AF243" ca="1">IFERROR(AVERAGEIFS(
  unit_details[Sqft],
  unit_details[Property Name], INDIRECT("B"&amp;ROW()),
  unit_details[Floorplan Name], INDIRECT("C"&amp;ROW()),
  unit_details[Beds], INDIRECT("D"&amp;ROW()),
  unit_details[Detected Unit Amenities], "&lt;&gt;*"&amp;$AD$3&amp;"*",
  unit_details[Leased Date], "&gt;=" &amp; ($U$2 - $AF$3)
),0)</f>
        <v>0</v>
      </c>
      <c r="AG243" s="527" cm="1">
        <f t="array" aca="1" ref="AG2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3" s="526" cm="1">
        <f t="array" aca="1" ref="AH243" ca="1">IFERROR(COUNTIFS(
  unit_details[Property Name], INDIRECT("B"&amp;ROW()),
  unit_details[Floorplan Name], INDIRECT("C"&amp;ROW()),
  unit_details[Beds], INDIRECT("D"&amp;ROW()),
  unit_details[Detected Unit Amenities], "&lt;&gt;*"&amp;$AD$3&amp;"*",
  unit_details[Leased Date], "&gt;=" &amp; ($U$2 - $AF$3)
),0)</f>
        <v>0</v>
      </c>
      <c r="AI243" s="528"/>
      <c r="AJ243" s="531">
        <f t="shared" ca="1" si="10"/>
        <v>0</v>
      </c>
      <c r="AK243" s="532">
        <f t="shared" ca="1" si="11"/>
        <v>0</v>
      </c>
    </row>
    <row r="244" spans="2:37" x14ac:dyDescent="0.2">
      <c r="B244" s="566"/>
      <c r="C244" s="53"/>
      <c r="E244" s="262"/>
      <c r="F244" s="262"/>
      <c r="J244" s="293"/>
      <c r="K244" s="6"/>
      <c r="M244" s="6"/>
      <c r="N244" s="531" t="str" cm="1">
        <f t="array" aca="1" ref="N24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4" s="552" t="str" cm="1">
        <f t="array" aca="1" ref="O24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4" s="526" cm="1">
        <f t="array" aca="1" ref="P244" ca="1">COUNTIFS(unit_details[Leased Date], "&gt;=" &amp; ($U$2 - N$5),
          unit_details[Leased Date], "&lt;" &amp; $U$2,
          unit_details[Floorplan Name], INDIRECT("C"&amp;ROW()),
          unit_details[Property Name], INDIRECT("B"&amp;ROW()))</f>
        <v>0</v>
      </c>
      <c r="Q244" s="531" t="str" cm="1">
        <f t="array" aca="1" ref="Q24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4" s="552" t="str" cm="1">
        <f t="array" aca="1" ref="R24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4" s="526" cm="1">
        <f t="array" aca="1" ref="S244" ca="1">COUNTIFS(unit_details[Leased Date], "&gt;=" &amp; ($U$2 - Q$5),
          unit_details[Leased Date], "&lt;" &amp; $U$2,
          unit_details[Floorplan Name], INDIRECT("C"&amp;ROW()),
          unit_details[Property Name], INDIRECT("B"&amp;ROW()))</f>
        <v>0</v>
      </c>
      <c r="T244" s="531" t="str" cm="1">
        <f t="array" aca="1" ref="T24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4" s="552" t="str" cm="1">
        <f t="array" aca="1" ref="U24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4" s="526" cm="1">
        <f t="array" aca="1" ref="V244" ca="1">COUNTIFS(unit_details[Leased Date], "&gt;=" &amp; ($U$2 - T$5),
          unit_details[Leased Date], "&lt;" &amp; $U$2,
          unit_details[Floorplan Name], INDIRECT("C"&amp;ROW()),
          unit_details[Property Name], INDIRECT("B"&amp;ROW()))</f>
        <v>0</v>
      </c>
      <c r="W244" s="531" t="str" cm="1">
        <f t="array" aca="1" ref="W24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4" s="552" t="str" cm="1">
        <f t="array" aca="1" ref="X24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4" s="27" t="str">
        <f t="shared" ca="1" si="9"/>
        <v/>
      </c>
      <c r="Z244" s="4" t="str">
        <f>IFERROR($U$2-AVERAGEIFS(unit_details[First Listed],
          unit_details[Active Listing?],TRUE,
          unit_details[Property Name], $B244,
          unit_details[Beds], $D244,
          unit_details[Baths], $E244,
          unit_details[Partial Baths], IF(ISNUMBER($F244),$F244,""),
          unit_details[Floorplan Name],$C244
),"")</f>
        <v/>
      </c>
      <c r="AA244" s="262" cm="1">
        <f t="array" aca="1" ref="AA244" ca="1">COUNTIFS(unit_details[Active Listing?],TRUE,
          unit_details[Floorplan Name], INDIRECT("C"&amp;ROW()),
          unit_details[Property Name], INDIRECT("B"&amp;ROW()))</f>
        <v>0</v>
      </c>
      <c r="AB244" s="553"/>
      <c r="AC244" s="528" cm="1">
        <f t="array" aca="1" ref="AC244" ca="1">IFERROR(AVERAGEIFS(
  unit_details[Sqft],
  unit_details[Property Name], INDIRECT("B"&amp;ROW()),
  unit_details[Floorplan Name], INDIRECT("C"&amp;ROW()),
  unit_details[Beds], INDIRECT("D"&amp;ROW()),
  unit_details[Detected Unit Amenities], "*"&amp;$AD$3&amp;"*",
  unit_details[Leased Date], "&gt;=" &amp; ($U$2 - $AF$3)
),0)</f>
        <v>0</v>
      </c>
      <c r="AD244" s="527" cm="1">
        <f t="array" aca="1" ref="AD2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4" s="526" cm="1">
        <f t="array" aca="1" ref="AE244" ca="1">IFERROR(COUNTIFS(
  unit_details[Property Name], INDIRECT("B"&amp;ROW()),
  unit_details[Floorplan Name], INDIRECT("C"&amp;ROW()),
  unit_details[Beds], INDIRECT("D"&amp;ROW()),
  unit_details[Detected Unit Amenities], "*"&amp;$AD$3&amp;"*",
  unit_details[Leased Date], "&gt;=" &amp; ($U$2 - $AF$3)
),0)</f>
        <v>0</v>
      </c>
      <c r="AF244" s="528" cm="1">
        <f t="array" aca="1" ref="AF244" ca="1">IFERROR(AVERAGEIFS(
  unit_details[Sqft],
  unit_details[Property Name], INDIRECT("B"&amp;ROW()),
  unit_details[Floorplan Name], INDIRECT("C"&amp;ROW()),
  unit_details[Beds], INDIRECT("D"&amp;ROW()),
  unit_details[Detected Unit Amenities], "&lt;&gt;*"&amp;$AD$3&amp;"*",
  unit_details[Leased Date], "&gt;=" &amp; ($U$2 - $AF$3)
),0)</f>
        <v>0</v>
      </c>
      <c r="AG244" s="527" cm="1">
        <f t="array" aca="1" ref="AG2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4" s="526" cm="1">
        <f t="array" aca="1" ref="AH244" ca="1">IFERROR(COUNTIFS(
  unit_details[Property Name], INDIRECT("B"&amp;ROW()),
  unit_details[Floorplan Name], INDIRECT("C"&amp;ROW()),
  unit_details[Beds], INDIRECT("D"&amp;ROW()),
  unit_details[Detected Unit Amenities], "&lt;&gt;*"&amp;$AD$3&amp;"*",
  unit_details[Leased Date], "&gt;=" &amp; ($U$2 - $AF$3)
),0)</f>
        <v>0</v>
      </c>
      <c r="AI244" s="528"/>
      <c r="AJ244" s="531">
        <f t="shared" ca="1" si="10"/>
        <v>0</v>
      </c>
      <c r="AK244" s="532">
        <f t="shared" ca="1" si="11"/>
        <v>0</v>
      </c>
    </row>
    <row r="245" spans="2:37" x14ac:dyDescent="0.2">
      <c r="B245" s="566"/>
      <c r="C245" s="53"/>
      <c r="E245" s="262"/>
      <c r="F245" s="262"/>
      <c r="J245" s="293"/>
      <c r="K245" s="6"/>
      <c r="M245" s="538"/>
      <c r="N245" s="531" t="str" cm="1">
        <f t="array" aca="1" ref="N24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5" s="552" t="str" cm="1">
        <f t="array" aca="1" ref="O24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5" s="526" cm="1">
        <f t="array" aca="1" ref="P245" ca="1">COUNTIFS(unit_details[Leased Date], "&gt;=" &amp; ($U$2 - N$5),
          unit_details[Leased Date], "&lt;" &amp; $U$2,
          unit_details[Floorplan Name], INDIRECT("C"&amp;ROW()),
          unit_details[Property Name], INDIRECT("B"&amp;ROW()))</f>
        <v>0</v>
      </c>
      <c r="Q245" s="531" t="str" cm="1">
        <f t="array" aca="1" ref="Q24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5" s="552" t="str" cm="1">
        <f t="array" aca="1" ref="R24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5" s="526" cm="1">
        <f t="array" aca="1" ref="S245" ca="1">COUNTIFS(unit_details[Leased Date], "&gt;=" &amp; ($U$2 - Q$5),
          unit_details[Leased Date], "&lt;" &amp; $U$2,
          unit_details[Floorplan Name], INDIRECT("C"&amp;ROW()),
          unit_details[Property Name], INDIRECT("B"&amp;ROW()))</f>
        <v>0</v>
      </c>
      <c r="T245" s="531" t="str" cm="1">
        <f t="array" aca="1" ref="T24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5" s="552" t="str" cm="1">
        <f t="array" aca="1" ref="U24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5" s="526" cm="1">
        <f t="array" aca="1" ref="V245" ca="1">COUNTIFS(unit_details[Leased Date], "&gt;=" &amp; ($U$2 - T$5),
          unit_details[Leased Date], "&lt;" &amp; $U$2,
          unit_details[Floorplan Name], INDIRECT("C"&amp;ROW()),
          unit_details[Property Name], INDIRECT("B"&amp;ROW()))</f>
        <v>0</v>
      </c>
      <c r="W245" s="531" t="str" cm="1">
        <f t="array" aca="1" ref="W24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5" s="552" t="str" cm="1">
        <f t="array" aca="1" ref="X24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5" s="27" t="str">
        <f t="shared" ca="1" si="9"/>
        <v/>
      </c>
      <c r="Z245" s="4" t="str">
        <f>IFERROR($U$2-AVERAGEIFS(unit_details[First Listed],
          unit_details[Active Listing?],TRUE,
          unit_details[Property Name], $B245,
          unit_details[Beds], $D245,
          unit_details[Baths], $E245,
          unit_details[Partial Baths], IF(ISNUMBER($F245),$F245,""),
          unit_details[Floorplan Name],$C245
),"")</f>
        <v/>
      </c>
      <c r="AA245" s="262" cm="1">
        <f t="array" aca="1" ref="AA245" ca="1">COUNTIFS(unit_details[Active Listing?],TRUE,
          unit_details[Floorplan Name], INDIRECT("C"&amp;ROW()),
          unit_details[Property Name], INDIRECT("B"&amp;ROW()))</f>
        <v>0</v>
      </c>
      <c r="AB245" s="553"/>
      <c r="AC245" s="528" cm="1">
        <f t="array" aca="1" ref="AC245" ca="1">IFERROR(AVERAGEIFS(
  unit_details[Sqft],
  unit_details[Property Name], INDIRECT("B"&amp;ROW()),
  unit_details[Floorplan Name], INDIRECT("C"&amp;ROW()),
  unit_details[Beds], INDIRECT("D"&amp;ROW()),
  unit_details[Detected Unit Amenities], "*"&amp;$AD$3&amp;"*",
  unit_details[Leased Date], "&gt;=" &amp; ($U$2 - $AF$3)
),0)</f>
        <v>0</v>
      </c>
      <c r="AD245" s="527" cm="1">
        <f t="array" aca="1" ref="AD2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5" s="526" cm="1">
        <f t="array" aca="1" ref="AE245" ca="1">IFERROR(COUNTIFS(
  unit_details[Property Name], INDIRECT("B"&amp;ROW()),
  unit_details[Floorplan Name], INDIRECT("C"&amp;ROW()),
  unit_details[Beds], INDIRECT("D"&amp;ROW()),
  unit_details[Detected Unit Amenities], "*"&amp;$AD$3&amp;"*",
  unit_details[Leased Date], "&gt;=" &amp; ($U$2 - $AF$3)
),0)</f>
        <v>0</v>
      </c>
      <c r="AF245" s="528" cm="1">
        <f t="array" aca="1" ref="AF245" ca="1">IFERROR(AVERAGEIFS(
  unit_details[Sqft],
  unit_details[Property Name], INDIRECT("B"&amp;ROW()),
  unit_details[Floorplan Name], INDIRECT("C"&amp;ROW()),
  unit_details[Beds], INDIRECT("D"&amp;ROW()),
  unit_details[Detected Unit Amenities], "&lt;&gt;*"&amp;$AD$3&amp;"*",
  unit_details[Leased Date], "&gt;=" &amp; ($U$2 - $AF$3)
),0)</f>
        <v>0</v>
      </c>
      <c r="AG245" s="527" cm="1">
        <f t="array" aca="1" ref="AG2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5" s="526" cm="1">
        <f t="array" aca="1" ref="AH245" ca="1">IFERROR(COUNTIFS(
  unit_details[Property Name], INDIRECT("B"&amp;ROW()),
  unit_details[Floorplan Name], INDIRECT("C"&amp;ROW()),
  unit_details[Beds], INDIRECT("D"&amp;ROW()),
  unit_details[Detected Unit Amenities], "&lt;&gt;*"&amp;$AD$3&amp;"*",
  unit_details[Leased Date], "&gt;=" &amp; ($U$2 - $AF$3)
),0)</f>
        <v>0</v>
      </c>
      <c r="AI245" s="528"/>
      <c r="AJ245" s="531">
        <f t="shared" ca="1" si="10"/>
        <v>0</v>
      </c>
      <c r="AK245" s="532">
        <f t="shared" ca="1" si="11"/>
        <v>0</v>
      </c>
    </row>
    <row r="246" spans="2:37" x14ac:dyDescent="0.2">
      <c r="B246" s="566"/>
      <c r="C246" s="53"/>
      <c r="E246" s="262"/>
      <c r="F246" s="262"/>
      <c r="J246" s="293"/>
      <c r="K246" s="6"/>
      <c r="M246" s="538"/>
      <c r="N246" s="531" t="str" cm="1">
        <f t="array" aca="1" ref="N24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6" s="552" t="str" cm="1">
        <f t="array" aca="1" ref="O24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6" s="526" cm="1">
        <f t="array" aca="1" ref="P246" ca="1">COUNTIFS(unit_details[Leased Date], "&gt;=" &amp; ($U$2 - N$5),
          unit_details[Leased Date], "&lt;" &amp; $U$2,
          unit_details[Floorplan Name], INDIRECT("C"&amp;ROW()),
          unit_details[Property Name], INDIRECT("B"&amp;ROW()))</f>
        <v>0</v>
      </c>
      <c r="Q246" s="531" t="str" cm="1">
        <f t="array" aca="1" ref="Q24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6" s="552" t="str" cm="1">
        <f t="array" aca="1" ref="R24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6" s="526" cm="1">
        <f t="array" aca="1" ref="S246" ca="1">COUNTIFS(unit_details[Leased Date], "&gt;=" &amp; ($U$2 - Q$5),
          unit_details[Leased Date], "&lt;" &amp; $U$2,
          unit_details[Floorplan Name], INDIRECT("C"&amp;ROW()),
          unit_details[Property Name], INDIRECT("B"&amp;ROW()))</f>
        <v>0</v>
      </c>
      <c r="T246" s="531" t="str" cm="1">
        <f t="array" aca="1" ref="T24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6" s="552" t="str" cm="1">
        <f t="array" aca="1" ref="U24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6" s="526" cm="1">
        <f t="array" aca="1" ref="V246" ca="1">COUNTIFS(unit_details[Leased Date], "&gt;=" &amp; ($U$2 - T$5),
          unit_details[Leased Date], "&lt;" &amp; $U$2,
          unit_details[Floorplan Name], INDIRECT("C"&amp;ROW()),
          unit_details[Property Name], INDIRECT("B"&amp;ROW()))</f>
        <v>0</v>
      </c>
      <c r="W246" s="531" t="str" cm="1">
        <f t="array" aca="1" ref="W24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6" s="552" t="str" cm="1">
        <f t="array" aca="1" ref="X24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6" s="27" t="str">
        <f t="shared" ca="1" si="9"/>
        <v/>
      </c>
      <c r="Z246" s="4" t="str">
        <f>IFERROR($U$2-AVERAGEIFS(unit_details[First Listed],
          unit_details[Active Listing?],TRUE,
          unit_details[Property Name], $B246,
          unit_details[Beds], $D246,
          unit_details[Baths], $E246,
          unit_details[Partial Baths], IF(ISNUMBER($F246),$F246,""),
          unit_details[Floorplan Name],$C246
),"")</f>
        <v/>
      </c>
      <c r="AA246" s="262" cm="1">
        <f t="array" aca="1" ref="AA246" ca="1">COUNTIFS(unit_details[Active Listing?],TRUE,
          unit_details[Floorplan Name], INDIRECT("C"&amp;ROW()),
          unit_details[Property Name], INDIRECT("B"&amp;ROW()))</f>
        <v>0</v>
      </c>
      <c r="AB246" s="553"/>
      <c r="AC246" s="528" cm="1">
        <f t="array" aca="1" ref="AC246" ca="1">IFERROR(AVERAGEIFS(
  unit_details[Sqft],
  unit_details[Property Name], INDIRECT("B"&amp;ROW()),
  unit_details[Floorplan Name], INDIRECT("C"&amp;ROW()),
  unit_details[Beds], INDIRECT("D"&amp;ROW()),
  unit_details[Detected Unit Amenities], "*"&amp;$AD$3&amp;"*",
  unit_details[Leased Date], "&gt;=" &amp; ($U$2 - $AF$3)
),0)</f>
        <v>0</v>
      </c>
      <c r="AD246" s="527" cm="1">
        <f t="array" aca="1" ref="AD2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6" s="526" cm="1">
        <f t="array" aca="1" ref="AE246" ca="1">IFERROR(COUNTIFS(
  unit_details[Property Name], INDIRECT("B"&amp;ROW()),
  unit_details[Floorplan Name], INDIRECT("C"&amp;ROW()),
  unit_details[Beds], INDIRECT("D"&amp;ROW()),
  unit_details[Detected Unit Amenities], "*"&amp;$AD$3&amp;"*",
  unit_details[Leased Date], "&gt;=" &amp; ($U$2 - $AF$3)
),0)</f>
        <v>0</v>
      </c>
      <c r="AF246" s="528" cm="1">
        <f t="array" aca="1" ref="AF246" ca="1">IFERROR(AVERAGEIFS(
  unit_details[Sqft],
  unit_details[Property Name], INDIRECT("B"&amp;ROW()),
  unit_details[Floorplan Name], INDIRECT("C"&amp;ROW()),
  unit_details[Beds], INDIRECT("D"&amp;ROW()),
  unit_details[Detected Unit Amenities], "&lt;&gt;*"&amp;$AD$3&amp;"*",
  unit_details[Leased Date], "&gt;=" &amp; ($U$2 - $AF$3)
),0)</f>
        <v>0</v>
      </c>
      <c r="AG246" s="527" cm="1">
        <f t="array" aca="1" ref="AG2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6" s="526" cm="1">
        <f t="array" aca="1" ref="AH246" ca="1">IFERROR(COUNTIFS(
  unit_details[Property Name], INDIRECT("B"&amp;ROW()),
  unit_details[Floorplan Name], INDIRECT("C"&amp;ROW()),
  unit_details[Beds], INDIRECT("D"&amp;ROW()),
  unit_details[Detected Unit Amenities], "&lt;&gt;*"&amp;$AD$3&amp;"*",
  unit_details[Leased Date], "&gt;=" &amp; ($U$2 - $AF$3)
),0)</f>
        <v>0</v>
      </c>
      <c r="AI246" s="528"/>
      <c r="AJ246" s="531">
        <f t="shared" ca="1" si="10"/>
        <v>0</v>
      </c>
      <c r="AK246" s="532">
        <f t="shared" ca="1" si="11"/>
        <v>0</v>
      </c>
    </row>
    <row r="247" spans="2:37" x14ac:dyDescent="0.2">
      <c r="B247" s="566"/>
      <c r="C247" s="53"/>
      <c r="E247" s="262"/>
      <c r="F247" s="262"/>
      <c r="J247" s="293"/>
      <c r="K247" s="6"/>
      <c r="M247" s="538"/>
      <c r="N247" s="531" t="str" cm="1">
        <f t="array" aca="1" ref="N24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7" s="552" t="str" cm="1">
        <f t="array" aca="1" ref="O24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7" s="526" cm="1">
        <f t="array" aca="1" ref="P247" ca="1">COUNTIFS(unit_details[Leased Date], "&gt;=" &amp; ($U$2 - N$5),
          unit_details[Leased Date], "&lt;" &amp; $U$2,
          unit_details[Floorplan Name], INDIRECT("C"&amp;ROW()),
          unit_details[Property Name], INDIRECT("B"&amp;ROW()))</f>
        <v>0</v>
      </c>
      <c r="Q247" s="531" t="str" cm="1">
        <f t="array" aca="1" ref="Q24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7" s="552" t="str" cm="1">
        <f t="array" aca="1" ref="R24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7" s="526" cm="1">
        <f t="array" aca="1" ref="S247" ca="1">COUNTIFS(unit_details[Leased Date], "&gt;=" &amp; ($U$2 - Q$5),
          unit_details[Leased Date], "&lt;" &amp; $U$2,
          unit_details[Floorplan Name], INDIRECT("C"&amp;ROW()),
          unit_details[Property Name], INDIRECT("B"&amp;ROW()))</f>
        <v>0</v>
      </c>
      <c r="T247" s="531" t="str" cm="1">
        <f t="array" aca="1" ref="T24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7" s="552" t="str" cm="1">
        <f t="array" aca="1" ref="U24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7" s="526" cm="1">
        <f t="array" aca="1" ref="V247" ca="1">COUNTIFS(unit_details[Leased Date], "&gt;=" &amp; ($U$2 - T$5),
          unit_details[Leased Date], "&lt;" &amp; $U$2,
          unit_details[Floorplan Name], INDIRECT("C"&amp;ROW()),
          unit_details[Property Name], INDIRECT("B"&amp;ROW()))</f>
        <v>0</v>
      </c>
      <c r="W247" s="531" t="str" cm="1">
        <f t="array" aca="1" ref="W24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7" s="552" t="str" cm="1">
        <f t="array" aca="1" ref="X24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7" s="27" t="str">
        <f t="shared" ca="1" si="9"/>
        <v/>
      </c>
      <c r="Z247" s="4" t="str">
        <f>IFERROR($U$2-AVERAGEIFS(unit_details[First Listed],
          unit_details[Active Listing?],TRUE,
          unit_details[Property Name], $B247,
          unit_details[Beds], $D247,
          unit_details[Baths], $E247,
          unit_details[Partial Baths], IF(ISNUMBER($F247),$F247,""),
          unit_details[Floorplan Name],$C247
),"")</f>
        <v/>
      </c>
      <c r="AA247" s="262" cm="1">
        <f t="array" aca="1" ref="AA247" ca="1">COUNTIFS(unit_details[Active Listing?],TRUE,
          unit_details[Floorplan Name], INDIRECT("C"&amp;ROW()),
          unit_details[Property Name], INDIRECT("B"&amp;ROW()))</f>
        <v>0</v>
      </c>
      <c r="AB247" s="553"/>
      <c r="AC247" s="528" cm="1">
        <f t="array" aca="1" ref="AC247" ca="1">IFERROR(AVERAGEIFS(
  unit_details[Sqft],
  unit_details[Property Name], INDIRECT("B"&amp;ROW()),
  unit_details[Floorplan Name], INDIRECT("C"&amp;ROW()),
  unit_details[Beds], INDIRECT("D"&amp;ROW()),
  unit_details[Detected Unit Amenities], "*"&amp;$AD$3&amp;"*",
  unit_details[Leased Date], "&gt;=" &amp; ($U$2 - $AF$3)
),0)</f>
        <v>0</v>
      </c>
      <c r="AD247" s="527" cm="1">
        <f t="array" aca="1" ref="AD2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7" s="526" cm="1">
        <f t="array" aca="1" ref="AE247" ca="1">IFERROR(COUNTIFS(
  unit_details[Property Name], INDIRECT("B"&amp;ROW()),
  unit_details[Floorplan Name], INDIRECT("C"&amp;ROW()),
  unit_details[Beds], INDIRECT("D"&amp;ROW()),
  unit_details[Detected Unit Amenities], "*"&amp;$AD$3&amp;"*",
  unit_details[Leased Date], "&gt;=" &amp; ($U$2 - $AF$3)
),0)</f>
        <v>0</v>
      </c>
      <c r="AF247" s="528" cm="1">
        <f t="array" aca="1" ref="AF247" ca="1">IFERROR(AVERAGEIFS(
  unit_details[Sqft],
  unit_details[Property Name], INDIRECT("B"&amp;ROW()),
  unit_details[Floorplan Name], INDIRECT("C"&amp;ROW()),
  unit_details[Beds], INDIRECT("D"&amp;ROW()),
  unit_details[Detected Unit Amenities], "&lt;&gt;*"&amp;$AD$3&amp;"*",
  unit_details[Leased Date], "&gt;=" &amp; ($U$2 - $AF$3)
),0)</f>
        <v>0</v>
      </c>
      <c r="AG247" s="527" cm="1">
        <f t="array" aca="1" ref="AG2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7" s="526" cm="1">
        <f t="array" aca="1" ref="AH247" ca="1">IFERROR(COUNTIFS(
  unit_details[Property Name], INDIRECT("B"&amp;ROW()),
  unit_details[Floorplan Name], INDIRECT("C"&amp;ROW()),
  unit_details[Beds], INDIRECT("D"&amp;ROW()),
  unit_details[Detected Unit Amenities], "&lt;&gt;*"&amp;$AD$3&amp;"*",
  unit_details[Leased Date], "&gt;=" &amp; ($U$2 - $AF$3)
),0)</f>
        <v>0</v>
      </c>
      <c r="AI247" s="528"/>
      <c r="AJ247" s="531">
        <f t="shared" ca="1" si="10"/>
        <v>0</v>
      </c>
      <c r="AK247" s="532">
        <f t="shared" ca="1" si="11"/>
        <v>0</v>
      </c>
    </row>
    <row r="248" spans="2:37" x14ac:dyDescent="0.2">
      <c r="B248" s="566"/>
      <c r="C248" s="53"/>
      <c r="E248" s="262"/>
      <c r="F248" s="262"/>
      <c r="J248" s="293"/>
      <c r="K248" s="6"/>
      <c r="M248" s="538"/>
      <c r="N248" s="531" t="str" cm="1">
        <f t="array" aca="1" ref="N24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8" s="552" t="str" cm="1">
        <f t="array" aca="1" ref="O24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8" s="526" cm="1">
        <f t="array" aca="1" ref="P248" ca="1">COUNTIFS(unit_details[Leased Date], "&gt;=" &amp; ($U$2 - N$5),
          unit_details[Leased Date], "&lt;" &amp; $U$2,
          unit_details[Floorplan Name], INDIRECT("C"&amp;ROW()),
          unit_details[Property Name], INDIRECT("B"&amp;ROW()))</f>
        <v>0</v>
      </c>
      <c r="Q248" s="531" t="str" cm="1">
        <f t="array" aca="1" ref="Q24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8" s="552" t="str" cm="1">
        <f t="array" aca="1" ref="R24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8" s="526" cm="1">
        <f t="array" aca="1" ref="S248" ca="1">COUNTIFS(unit_details[Leased Date], "&gt;=" &amp; ($U$2 - Q$5),
          unit_details[Leased Date], "&lt;" &amp; $U$2,
          unit_details[Floorplan Name], INDIRECT("C"&amp;ROW()),
          unit_details[Property Name], INDIRECT("B"&amp;ROW()))</f>
        <v>0</v>
      </c>
      <c r="T248" s="531" t="str" cm="1">
        <f t="array" aca="1" ref="T24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8" s="552" t="str" cm="1">
        <f t="array" aca="1" ref="U24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8" s="526" cm="1">
        <f t="array" aca="1" ref="V248" ca="1">COUNTIFS(unit_details[Leased Date], "&gt;=" &amp; ($U$2 - T$5),
          unit_details[Leased Date], "&lt;" &amp; $U$2,
          unit_details[Floorplan Name], INDIRECT("C"&amp;ROW()),
          unit_details[Property Name], INDIRECT("B"&amp;ROW()))</f>
        <v>0</v>
      </c>
      <c r="W248" s="531" t="str" cm="1">
        <f t="array" aca="1" ref="W24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8" s="552" t="str" cm="1">
        <f t="array" aca="1" ref="X24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8" s="27" t="str">
        <f t="shared" ca="1" si="9"/>
        <v/>
      </c>
      <c r="Z248" s="4" t="str">
        <f>IFERROR($U$2-AVERAGEIFS(unit_details[First Listed],
          unit_details[Active Listing?],TRUE,
          unit_details[Property Name], $B248,
          unit_details[Beds], $D248,
          unit_details[Baths], $E248,
          unit_details[Partial Baths], IF(ISNUMBER($F248),$F248,""),
          unit_details[Floorplan Name],$C248
),"")</f>
        <v/>
      </c>
      <c r="AA248" s="262" cm="1">
        <f t="array" aca="1" ref="AA248" ca="1">COUNTIFS(unit_details[Active Listing?],TRUE,
          unit_details[Floorplan Name], INDIRECT("C"&amp;ROW()),
          unit_details[Property Name], INDIRECT("B"&amp;ROW()))</f>
        <v>0</v>
      </c>
      <c r="AB248" s="553"/>
      <c r="AC248" s="528" cm="1">
        <f t="array" aca="1" ref="AC248" ca="1">IFERROR(AVERAGEIFS(
  unit_details[Sqft],
  unit_details[Property Name], INDIRECT("B"&amp;ROW()),
  unit_details[Floorplan Name], INDIRECT("C"&amp;ROW()),
  unit_details[Beds], INDIRECT("D"&amp;ROW()),
  unit_details[Detected Unit Amenities], "*"&amp;$AD$3&amp;"*",
  unit_details[Leased Date], "&gt;=" &amp; ($U$2 - $AF$3)
),0)</f>
        <v>0</v>
      </c>
      <c r="AD248" s="527" cm="1">
        <f t="array" aca="1" ref="AD2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8" s="526" cm="1">
        <f t="array" aca="1" ref="AE248" ca="1">IFERROR(COUNTIFS(
  unit_details[Property Name], INDIRECT("B"&amp;ROW()),
  unit_details[Floorplan Name], INDIRECT("C"&amp;ROW()),
  unit_details[Beds], INDIRECT("D"&amp;ROW()),
  unit_details[Detected Unit Amenities], "*"&amp;$AD$3&amp;"*",
  unit_details[Leased Date], "&gt;=" &amp; ($U$2 - $AF$3)
),0)</f>
        <v>0</v>
      </c>
      <c r="AF248" s="528" cm="1">
        <f t="array" aca="1" ref="AF248" ca="1">IFERROR(AVERAGEIFS(
  unit_details[Sqft],
  unit_details[Property Name], INDIRECT("B"&amp;ROW()),
  unit_details[Floorplan Name], INDIRECT("C"&amp;ROW()),
  unit_details[Beds], INDIRECT("D"&amp;ROW()),
  unit_details[Detected Unit Amenities], "&lt;&gt;*"&amp;$AD$3&amp;"*",
  unit_details[Leased Date], "&gt;=" &amp; ($U$2 - $AF$3)
),0)</f>
        <v>0</v>
      </c>
      <c r="AG248" s="527" cm="1">
        <f t="array" aca="1" ref="AG2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8" s="526" cm="1">
        <f t="array" aca="1" ref="AH248" ca="1">IFERROR(COUNTIFS(
  unit_details[Property Name], INDIRECT("B"&amp;ROW()),
  unit_details[Floorplan Name], INDIRECT("C"&amp;ROW()),
  unit_details[Beds], INDIRECT("D"&amp;ROW()),
  unit_details[Detected Unit Amenities], "&lt;&gt;*"&amp;$AD$3&amp;"*",
  unit_details[Leased Date], "&gt;=" &amp; ($U$2 - $AF$3)
),0)</f>
        <v>0</v>
      </c>
      <c r="AI248" s="528"/>
      <c r="AJ248" s="531">
        <f t="shared" ca="1" si="10"/>
        <v>0</v>
      </c>
      <c r="AK248" s="532">
        <f t="shared" ca="1" si="11"/>
        <v>0</v>
      </c>
    </row>
    <row r="249" spans="2:37" x14ac:dyDescent="0.2">
      <c r="B249" s="566"/>
      <c r="C249" s="53"/>
      <c r="E249" s="262"/>
      <c r="F249" s="262"/>
      <c r="J249" s="293"/>
      <c r="K249" s="6"/>
      <c r="M249" s="538"/>
      <c r="N249" s="531" t="str" cm="1">
        <f t="array" aca="1" ref="N24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49" s="552" t="str" cm="1">
        <f t="array" aca="1" ref="O24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49" s="526" cm="1">
        <f t="array" aca="1" ref="P249" ca="1">COUNTIFS(unit_details[Leased Date], "&gt;=" &amp; ($U$2 - N$5),
          unit_details[Leased Date], "&lt;" &amp; $U$2,
          unit_details[Floorplan Name], INDIRECT("C"&amp;ROW()),
          unit_details[Property Name], INDIRECT("B"&amp;ROW()))</f>
        <v>0</v>
      </c>
      <c r="Q249" s="531" t="str" cm="1">
        <f t="array" aca="1" ref="Q24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49" s="552" t="str" cm="1">
        <f t="array" aca="1" ref="R24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49" s="526" cm="1">
        <f t="array" aca="1" ref="S249" ca="1">COUNTIFS(unit_details[Leased Date], "&gt;=" &amp; ($U$2 - Q$5),
          unit_details[Leased Date], "&lt;" &amp; $U$2,
          unit_details[Floorplan Name], INDIRECT("C"&amp;ROW()),
          unit_details[Property Name], INDIRECT("B"&amp;ROW()))</f>
        <v>0</v>
      </c>
      <c r="T249" s="531" t="str" cm="1">
        <f t="array" aca="1" ref="T24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49" s="552" t="str" cm="1">
        <f t="array" aca="1" ref="U24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49" s="526" cm="1">
        <f t="array" aca="1" ref="V249" ca="1">COUNTIFS(unit_details[Leased Date], "&gt;=" &amp; ($U$2 - T$5),
          unit_details[Leased Date], "&lt;" &amp; $U$2,
          unit_details[Floorplan Name], INDIRECT("C"&amp;ROW()),
          unit_details[Property Name], INDIRECT("B"&amp;ROW()))</f>
        <v>0</v>
      </c>
      <c r="W249" s="531" t="str" cm="1">
        <f t="array" aca="1" ref="W24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49" s="552" t="str" cm="1">
        <f t="array" aca="1" ref="X24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49" s="27" t="str">
        <f t="shared" ca="1" si="9"/>
        <v/>
      </c>
      <c r="Z249" s="4" t="str">
        <f>IFERROR($U$2-AVERAGEIFS(unit_details[First Listed],
          unit_details[Active Listing?],TRUE,
          unit_details[Property Name], $B249,
          unit_details[Beds], $D249,
          unit_details[Baths], $E249,
          unit_details[Partial Baths], IF(ISNUMBER($F249),$F249,""),
          unit_details[Floorplan Name],$C249
),"")</f>
        <v/>
      </c>
      <c r="AA249" s="262" cm="1">
        <f t="array" aca="1" ref="AA249" ca="1">COUNTIFS(unit_details[Active Listing?],TRUE,
          unit_details[Floorplan Name], INDIRECT("C"&amp;ROW()),
          unit_details[Property Name], INDIRECT("B"&amp;ROW()))</f>
        <v>0</v>
      </c>
      <c r="AB249" s="553"/>
      <c r="AC249" s="528" cm="1">
        <f t="array" aca="1" ref="AC249" ca="1">IFERROR(AVERAGEIFS(
  unit_details[Sqft],
  unit_details[Property Name], INDIRECT("B"&amp;ROW()),
  unit_details[Floorplan Name], INDIRECT("C"&amp;ROW()),
  unit_details[Beds], INDIRECT("D"&amp;ROW()),
  unit_details[Detected Unit Amenities], "*"&amp;$AD$3&amp;"*",
  unit_details[Leased Date], "&gt;=" &amp; ($U$2 - $AF$3)
),0)</f>
        <v>0</v>
      </c>
      <c r="AD249" s="527" cm="1">
        <f t="array" aca="1" ref="AD2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49" s="526" cm="1">
        <f t="array" aca="1" ref="AE249" ca="1">IFERROR(COUNTIFS(
  unit_details[Property Name], INDIRECT("B"&amp;ROW()),
  unit_details[Floorplan Name], INDIRECT("C"&amp;ROW()),
  unit_details[Beds], INDIRECT("D"&amp;ROW()),
  unit_details[Detected Unit Amenities], "*"&amp;$AD$3&amp;"*",
  unit_details[Leased Date], "&gt;=" &amp; ($U$2 - $AF$3)
),0)</f>
        <v>0</v>
      </c>
      <c r="AF249" s="528" cm="1">
        <f t="array" aca="1" ref="AF249" ca="1">IFERROR(AVERAGEIFS(
  unit_details[Sqft],
  unit_details[Property Name], INDIRECT("B"&amp;ROW()),
  unit_details[Floorplan Name], INDIRECT("C"&amp;ROW()),
  unit_details[Beds], INDIRECT("D"&amp;ROW()),
  unit_details[Detected Unit Amenities], "&lt;&gt;*"&amp;$AD$3&amp;"*",
  unit_details[Leased Date], "&gt;=" &amp; ($U$2 - $AF$3)
),0)</f>
        <v>0</v>
      </c>
      <c r="AG249" s="527" cm="1">
        <f t="array" aca="1" ref="AG2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49" s="526" cm="1">
        <f t="array" aca="1" ref="AH249" ca="1">IFERROR(COUNTIFS(
  unit_details[Property Name], INDIRECT("B"&amp;ROW()),
  unit_details[Floorplan Name], INDIRECT("C"&amp;ROW()),
  unit_details[Beds], INDIRECT("D"&amp;ROW()),
  unit_details[Detected Unit Amenities], "&lt;&gt;*"&amp;$AD$3&amp;"*",
  unit_details[Leased Date], "&gt;=" &amp; ($U$2 - $AF$3)
),0)</f>
        <v>0</v>
      </c>
      <c r="AI249" s="528"/>
      <c r="AJ249" s="531">
        <f t="shared" ca="1" si="10"/>
        <v>0</v>
      </c>
      <c r="AK249" s="532">
        <f t="shared" ca="1" si="11"/>
        <v>0</v>
      </c>
    </row>
    <row r="250" spans="2:37" x14ac:dyDescent="0.2">
      <c r="B250" s="566"/>
      <c r="C250" s="53"/>
      <c r="E250" s="262"/>
      <c r="F250" s="262"/>
      <c r="J250" s="293"/>
      <c r="K250" s="6"/>
      <c r="M250" s="538"/>
      <c r="N250" s="531" t="str" cm="1">
        <f t="array" aca="1" ref="N25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0" s="552" t="str" cm="1">
        <f t="array" aca="1" ref="O25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0" s="526" cm="1">
        <f t="array" aca="1" ref="P250" ca="1">COUNTIFS(unit_details[Leased Date], "&gt;=" &amp; ($U$2 - N$5),
          unit_details[Leased Date], "&lt;" &amp; $U$2,
          unit_details[Floorplan Name], INDIRECT("C"&amp;ROW()),
          unit_details[Property Name], INDIRECT("B"&amp;ROW()))</f>
        <v>0</v>
      </c>
      <c r="Q250" s="531" t="str" cm="1">
        <f t="array" aca="1" ref="Q25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0" s="552" t="str" cm="1">
        <f t="array" aca="1" ref="R25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0" s="526" cm="1">
        <f t="array" aca="1" ref="S250" ca="1">COUNTIFS(unit_details[Leased Date], "&gt;=" &amp; ($U$2 - Q$5),
          unit_details[Leased Date], "&lt;" &amp; $U$2,
          unit_details[Floorplan Name], INDIRECT("C"&amp;ROW()),
          unit_details[Property Name], INDIRECT("B"&amp;ROW()))</f>
        <v>0</v>
      </c>
      <c r="T250" s="531" t="str" cm="1">
        <f t="array" aca="1" ref="T25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0" s="552" t="str" cm="1">
        <f t="array" aca="1" ref="U25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0" s="526" cm="1">
        <f t="array" aca="1" ref="V250" ca="1">COUNTIFS(unit_details[Leased Date], "&gt;=" &amp; ($U$2 - T$5),
          unit_details[Leased Date], "&lt;" &amp; $U$2,
          unit_details[Floorplan Name], INDIRECT("C"&amp;ROW()),
          unit_details[Property Name], INDIRECT("B"&amp;ROW()))</f>
        <v>0</v>
      </c>
      <c r="W250" s="531" t="str" cm="1">
        <f t="array" aca="1" ref="W25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0" s="552" t="str" cm="1">
        <f t="array" aca="1" ref="X25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0" s="27" t="str">
        <f t="shared" ca="1" si="9"/>
        <v/>
      </c>
      <c r="Z250" s="4" t="str">
        <f>IFERROR($U$2-AVERAGEIFS(unit_details[First Listed],
          unit_details[Active Listing?],TRUE,
          unit_details[Property Name], $B250,
          unit_details[Beds], $D250,
          unit_details[Baths], $E250,
          unit_details[Partial Baths], IF(ISNUMBER($F250),$F250,""),
          unit_details[Floorplan Name],$C250
),"")</f>
        <v/>
      </c>
      <c r="AA250" s="262" cm="1">
        <f t="array" aca="1" ref="AA250" ca="1">COUNTIFS(unit_details[Active Listing?],TRUE,
          unit_details[Floorplan Name], INDIRECT("C"&amp;ROW()),
          unit_details[Property Name], INDIRECT("B"&amp;ROW()))</f>
        <v>0</v>
      </c>
      <c r="AB250" s="553"/>
      <c r="AC250" s="528" cm="1">
        <f t="array" aca="1" ref="AC250" ca="1">IFERROR(AVERAGEIFS(
  unit_details[Sqft],
  unit_details[Property Name], INDIRECT("B"&amp;ROW()),
  unit_details[Floorplan Name], INDIRECT("C"&amp;ROW()),
  unit_details[Beds], INDIRECT("D"&amp;ROW()),
  unit_details[Detected Unit Amenities], "*"&amp;$AD$3&amp;"*",
  unit_details[Leased Date], "&gt;=" &amp; ($U$2 - $AF$3)
),0)</f>
        <v>0</v>
      </c>
      <c r="AD250" s="527" cm="1">
        <f t="array" aca="1" ref="AD2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0" s="526" cm="1">
        <f t="array" aca="1" ref="AE250" ca="1">IFERROR(COUNTIFS(
  unit_details[Property Name], INDIRECT("B"&amp;ROW()),
  unit_details[Floorplan Name], INDIRECT("C"&amp;ROW()),
  unit_details[Beds], INDIRECT("D"&amp;ROW()),
  unit_details[Detected Unit Amenities], "*"&amp;$AD$3&amp;"*",
  unit_details[Leased Date], "&gt;=" &amp; ($U$2 - $AF$3)
),0)</f>
        <v>0</v>
      </c>
      <c r="AF250" s="528" cm="1">
        <f t="array" aca="1" ref="AF250" ca="1">IFERROR(AVERAGEIFS(
  unit_details[Sqft],
  unit_details[Property Name], INDIRECT("B"&amp;ROW()),
  unit_details[Floorplan Name], INDIRECT("C"&amp;ROW()),
  unit_details[Beds], INDIRECT("D"&amp;ROW()),
  unit_details[Detected Unit Amenities], "&lt;&gt;*"&amp;$AD$3&amp;"*",
  unit_details[Leased Date], "&gt;=" &amp; ($U$2 - $AF$3)
),0)</f>
        <v>0</v>
      </c>
      <c r="AG250" s="527" cm="1">
        <f t="array" aca="1" ref="AG2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0" s="526" cm="1">
        <f t="array" aca="1" ref="AH250" ca="1">IFERROR(COUNTIFS(
  unit_details[Property Name], INDIRECT("B"&amp;ROW()),
  unit_details[Floorplan Name], INDIRECT("C"&amp;ROW()),
  unit_details[Beds], INDIRECT("D"&amp;ROW()),
  unit_details[Detected Unit Amenities], "&lt;&gt;*"&amp;$AD$3&amp;"*",
  unit_details[Leased Date], "&gt;=" &amp; ($U$2 - $AF$3)
),0)</f>
        <v>0</v>
      </c>
      <c r="AI250" s="528"/>
      <c r="AJ250" s="531">
        <f t="shared" ca="1" si="10"/>
        <v>0</v>
      </c>
      <c r="AK250" s="532">
        <f t="shared" ca="1" si="11"/>
        <v>0</v>
      </c>
    </row>
    <row r="251" spans="2:37" x14ac:dyDescent="0.2">
      <c r="B251" s="566"/>
      <c r="C251" s="53"/>
      <c r="E251" s="262"/>
      <c r="F251" s="262"/>
      <c r="J251" s="293"/>
      <c r="K251" s="6"/>
      <c r="M251" s="538"/>
      <c r="N251" s="531" t="str" cm="1">
        <f t="array" aca="1" ref="N25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1" s="552" t="str" cm="1">
        <f t="array" aca="1" ref="O25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1" s="526" cm="1">
        <f t="array" aca="1" ref="P251" ca="1">COUNTIFS(unit_details[Leased Date], "&gt;=" &amp; ($U$2 - N$5),
          unit_details[Leased Date], "&lt;" &amp; $U$2,
          unit_details[Floorplan Name], INDIRECT("C"&amp;ROW()),
          unit_details[Property Name], INDIRECT("B"&amp;ROW()))</f>
        <v>0</v>
      </c>
      <c r="Q251" s="531" t="str" cm="1">
        <f t="array" aca="1" ref="Q25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1" s="552" t="str" cm="1">
        <f t="array" aca="1" ref="R25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1" s="526" cm="1">
        <f t="array" aca="1" ref="S251" ca="1">COUNTIFS(unit_details[Leased Date], "&gt;=" &amp; ($U$2 - Q$5),
          unit_details[Leased Date], "&lt;" &amp; $U$2,
          unit_details[Floorplan Name], INDIRECT("C"&amp;ROW()),
          unit_details[Property Name], INDIRECT("B"&amp;ROW()))</f>
        <v>0</v>
      </c>
      <c r="T251" s="531" t="str" cm="1">
        <f t="array" aca="1" ref="T25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1" s="552" t="str" cm="1">
        <f t="array" aca="1" ref="U25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1" s="526" cm="1">
        <f t="array" aca="1" ref="V251" ca="1">COUNTIFS(unit_details[Leased Date], "&gt;=" &amp; ($U$2 - T$5),
          unit_details[Leased Date], "&lt;" &amp; $U$2,
          unit_details[Floorplan Name], INDIRECT("C"&amp;ROW()),
          unit_details[Property Name], INDIRECT("B"&amp;ROW()))</f>
        <v>0</v>
      </c>
      <c r="W251" s="531" t="str" cm="1">
        <f t="array" aca="1" ref="W25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1" s="552" t="str" cm="1">
        <f t="array" aca="1" ref="X25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1" s="27" t="str">
        <f t="shared" ca="1" si="9"/>
        <v/>
      </c>
      <c r="Z251" s="4" t="str">
        <f>IFERROR($U$2-AVERAGEIFS(unit_details[First Listed],
          unit_details[Active Listing?],TRUE,
          unit_details[Property Name], $B251,
          unit_details[Beds], $D251,
          unit_details[Baths], $E251,
          unit_details[Partial Baths], IF(ISNUMBER($F251),$F251,""),
          unit_details[Floorplan Name],$C251
),"")</f>
        <v/>
      </c>
      <c r="AA251" s="262" cm="1">
        <f t="array" aca="1" ref="AA251" ca="1">COUNTIFS(unit_details[Active Listing?],TRUE,
          unit_details[Floorplan Name], INDIRECT("C"&amp;ROW()),
          unit_details[Property Name], INDIRECT("B"&amp;ROW()))</f>
        <v>0</v>
      </c>
      <c r="AB251" s="553"/>
      <c r="AC251" s="528" cm="1">
        <f t="array" aca="1" ref="AC251" ca="1">IFERROR(AVERAGEIFS(
  unit_details[Sqft],
  unit_details[Property Name], INDIRECT("B"&amp;ROW()),
  unit_details[Floorplan Name], INDIRECT("C"&amp;ROW()),
  unit_details[Beds], INDIRECT("D"&amp;ROW()),
  unit_details[Detected Unit Amenities], "*"&amp;$AD$3&amp;"*",
  unit_details[Leased Date], "&gt;=" &amp; ($U$2 - $AF$3)
),0)</f>
        <v>0</v>
      </c>
      <c r="AD251" s="527" cm="1">
        <f t="array" aca="1" ref="AD2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1" s="526" cm="1">
        <f t="array" aca="1" ref="AE251" ca="1">IFERROR(COUNTIFS(
  unit_details[Property Name], INDIRECT("B"&amp;ROW()),
  unit_details[Floorplan Name], INDIRECT("C"&amp;ROW()),
  unit_details[Beds], INDIRECT("D"&amp;ROW()),
  unit_details[Detected Unit Amenities], "*"&amp;$AD$3&amp;"*",
  unit_details[Leased Date], "&gt;=" &amp; ($U$2 - $AF$3)
),0)</f>
        <v>0</v>
      </c>
      <c r="AF251" s="528" cm="1">
        <f t="array" aca="1" ref="AF251" ca="1">IFERROR(AVERAGEIFS(
  unit_details[Sqft],
  unit_details[Property Name], INDIRECT("B"&amp;ROW()),
  unit_details[Floorplan Name], INDIRECT("C"&amp;ROW()),
  unit_details[Beds], INDIRECT("D"&amp;ROW()),
  unit_details[Detected Unit Amenities], "&lt;&gt;*"&amp;$AD$3&amp;"*",
  unit_details[Leased Date], "&gt;=" &amp; ($U$2 - $AF$3)
),0)</f>
        <v>0</v>
      </c>
      <c r="AG251" s="527" cm="1">
        <f t="array" aca="1" ref="AG2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1" s="526" cm="1">
        <f t="array" aca="1" ref="AH251" ca="1">IFERROR(COUNTIFS(
  unit_details[Property Name], INDIRECT("B"&amp;ROW()),
  unit_details[Floorplan Name], INDIRECT("C"&amp;ROW()),
  unit_details[Beds], INDIRECT("D"&amp;ROW()),
  unit_details[Detected Unit Amenities], "&lt;&gt;*"&amp;$AD$3&amp;"*",
  unit_details[Leased Date], "&gt;=" &amp; ($U$2 - $AF$3)
),0)</f>
        <v>0</v>
      </c>
      <c r="AI251" s="528"/>
      <c r="AJ251" s="531">
        <f t="shared" ca="1" si="10"/>
        <v>0</v>
      </c>
      <c r="AK251" s="532">
        <f t="shared" ca="1" si="11"/>
        <v>0</v>
      </c>
    </row>
    <row r="252" spans="2:37" x14ac:dyDescent="0.2">
      <c r="B252" s="566"/>
      <c r="C252" s="53"/>
      <c r="E252" s="262"/>
      <c r="F252" s="262"/>
      <c r="J252" s="293"/>
      <c r="K252" s="6"/>
      <c r="M252" s="538"/>
      <c r="N252" s="531" t="str" cm="1">
        <f t="array" aca="1" ref="N25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2" s="552" t="str" cm="1">
        <f t="array" aca="1" ref="O25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2" s="526" cm="1">
        <f t="array" aca="1" ref="P252" ca="1">COUNTIFS(unit_details[Leased Date], "&gt;=" &amp; ($U$2 - N$5),
          unit_details[Leased Date], "&lt;" &amp; $U$2,
          unit_details[Floorplan Name], INDIRECT("C"&amp;ROW()),
          unit_details[Property Name], INDIRECT("B"&amp;ROW()))</f>
        <v>0</v>
      </c>
      <c r="Q252" s="531" t="str" cm="1">
        <f t="array" aca="1" ref="Q25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2" s="552" t="str" cm="1">
        <f t="array" aca="1" ref="R25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2" s="526" cm="1">
        <f t="array" aca="1" ref="S252" ca="1">COUNTIFS(unit_details[Leased Date], "&gt;=" &amp; ($U$2 - Q$5),
          unit_details[Leased Date], "&lt;" &amp; $U$2,
          unit_details[Floorplan Name], INDIRECT("C"&amp;ROW()),
          unit_details[Property Name], INDIRECT("B"&amp;ROW()))</f>
        <v>0</v>
      </c>
      <c r="T252" s="531" t="str" cm="1">
        <f t="array" aca="1" ref="T25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2" s="552" t="str" cm="1">
        <f t="array" aca="1" ref="U25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2" s="526" cm="1">
        <f t="array" aca="1" ref="V252" ca="1">COUNTIFS(unit_details[Leased Date], "&gt;=" &amp; ($U$2 - T$5),
          unit_details[Leased Date], "&lt;" &amp; $U$2,
          unit_details[Floorplan Name], INDIRECT("C"&amp;ROW()),
          unit_details[Property Name], INDIRECT("B"&amp;ROW()))</f>
        <v>0</v>
      </c>
      <c r="W252" s="531" t="str" cm="1">
        <f t="array" aca="1" ref="W25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2" s="552" t="str" cm="1">
        <f t="array" aca="1" ref="X25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2" s="27" t="str">
        <f t="shared" ca="1" si="9"/>
        <v/>
      </c>
      <c r="Z252" s="4" t="str">
        <f>IFERROR($U$2-AVERAGEIFS(unit_details[First Listed],
          unit_details[Active Listing?],TRUE,
          unit_details[Property Name], $B252,
          unit_details[Beds], $D252,
          unit_details[Baths], $E252,
          unit_details[Partial Baths], IF(ISNUMBER($F252),$F252,""),
          unit_details[Floorplan Name],$C252
),"")</f>
        <v/>
      </c>
      <c r="AA252" s="262" cm="1">
        <f t="array" aca="1" ref="AA252" ca="1">COUNTIFS(unit_details[Active Listing?],TRUE,
          unit_details[Floorplan Name], INDIRECT("C"&amp;ROW()),
          unit_details[Property Name], INDIRECT("B"&amp;ROW()))</f>
        <v>0</v>
      </c>
      <c r="AB252" s="553"/>
      <c r="AC252" s="528" cm="1">
        <f t="array" aca="1" ref="AC252" ca="1">IFERROR(AVERAGEIFS(
  unit_details[Sqft],
  unit_details[Property Name], INDIRECT("B"&amp;ROW()),
  unit_details[Floorplan Name], INDIRECT("C"&amp;ROW()),
  unit_details[Beds], INDIRECT("D"&amp;ROW()),
  unit_details[Detected Unit Amenities], "*"&amp;$AD$3&amp;"*",
  unit_details[Leased Date], "&gt;=" &amp; ($U$2 - $AF$3)
),0)</f>
        <v>0</v>
      </c>
      <c r="AD252" s="527" cm="1">
        <f t="array" aca="1" ref="AD2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2" s="526" cm="1">
        <f t="array" aca="1" ref="AE252" ca="1">IFERROR(COUNTIFS(
  unit_details[Property Name], INDIRECT("B"&amp;ROW()),
  unit_details[Floorplan Name], INDIRECT("C"&amp;ROW()),
  unit_details[Beds], INDIRECT("D"&amp;ROW()),
  unit_details[Detected Unit Amenities], "*"&amp;$AD$3&amp;"*",
  unit_details[Leased Date], "&gt;=" &amp; ($U$2 - $AF$3)
),0)</f>
        <v>0</v>
      </c>
      <c r="AF252" s="528" cm="1">
        <f t="array" aca="1" ref="AF252" ca="1">IFERROR(AVERAGEIFS(
  unit_details[Sqft],
  unit_details[Property Name], INDIRECT("B"&amp;ROW()),
  unit_details[Floorplan Name], INDIRECT("C"&amp;ROW()),
  unit_details[Beds], INDIRECT("D"&amp;ROW()),
  unit_details[Detected Unit Amenities], "&lt;&gt;*"&amp;$AD$3&amp;"*",
  unit_details[Leased Date], "&gt;=" &amp; ($U$2 - $AF$3)
),0)</f>
        <v>0</v>
      </c>
      <c r="AG252" s="527" cm="1">
        <f t="array" aca="1" ref="AG2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2" s="526" cm="1">
        <f t="array" aca="1" ref="AH252" ca="1">IFERROR(COUNTIFS(
  unit_details[Property Name], INDIRECT("B"&amp;ROW()),
  unit_details[Floorplan Name], INDIRECT("C"&amp;ROW()),
  unit_details[Beds], INDIRECT("D"&amp;ROW()),
  unit_details[Detected Unit Amenities], "&lt;&gt;*"&amp;$AD$3&amp;"*",
  unit_details[Leased Date], "&gt;=" &amp; ($U$2 - $AF$3)
),0)</f>
        <v>0</v>
      </c>
      <c r="AI252" s="528"/>
      <c r="AJ252" s="531">
        <f t="shared" ca="1" si="10"/>
        <v>0</v>
      </c>
      <c r="AK252" s="532">
        <f t="shared" ca="1" si="11"/>
        <v>0</v>
      </c>
    </row>
    <row r="253" spans="2:37" x14ac:dyDescent="0.2">
      <c r="B253" s="566"/>
      <c r="C253" s="53"/>
      <c r="E253" s="262"/>
      <c r="F253" s="262"/>
      <c r="J253" s="293"/>
      <c r="K253" s="6"/>
      <c r="M253" s="538"/>
      <c r="N253" s="531" t="str" cm="1">
        <f t="array" aca="1" ref="N25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3" s="552" t="str" cm="1">
        <f t="array" aca="1" ref="O25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3" s="526" cm="1">
        <f t="array" aca="1" ref="P253" ca="1">COUNTIFS(unit_details[Leased Date], "&gt;=" &amp; ($U$2 - N$5),
          unit_details[Leased Date], "&lt;" &amp; $U$2,
          unit_details[Floorplan Name], INDIRECT("C"&amp;ROW()),
          unit_details[Property Name], INDIRECT("B"&amp;ROW()))</f>
        <v>0</v>
      </c>
      <c r="Q253" s="531" t="str" cm="1">
        <f t="array" aca="1" ref="Q25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3" s="552" t="str" cm="1">
        <f t="array" aca="1" ref="R25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3" s="526" cm="1">
        <f t="array" aca="1" ref="S253" ca="1">COUNTIFS(unit_details[Leased Date], "&gt;=" &amp; ($U$2 - Q$5),
          unit_details[Leased Date], "&lt;" &amp; $U$2,
          unit_details[Floorplan Name], INDIRECT("C"&amp;ROW()),
          unit_details[Property Name], INDIRECT("B"&amp;ROW()))</f>
        <v>0</v>
      </c>
      <c r="T253" s="531" t="str" cm="1">
        <f t="array" aca="1" ref="T25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3" s="552" t="str" cm="1">
        <f t="array" aca="1" ref="U25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3" s="526" cm="1">
        <f t="array" aca="1" ref="V253" ca="1">COUNTIFS(unit_details[Leased Date], "&gt;=" &amp; ($U$2 - T$5),
          unit_details[Leased Date], "&lt;" &amp; $U$2,
          unit_details[Floorplan Name], INDIRECT("C"&amp;ROW()),
          unit_details[Property Name], INDIRECT("B"&amp;ROW()))</f>
        <v>0</v>
      </c>
      <c r="W253" s="531" t="str" cm="1">
        <f t="array" aca="1" ref="W25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3" s="552" t="str" cm="1">
        <f t="array" aca="1" ref="X25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3" s="27" t="str">
        <f t="shared" ca="1" si="9"/>
        <v/>
      </c>
      <c r="Z253" s="4" t="str">
        <f>IFERROR($U$2-AVERAGEIFS(unit_details[First Listed],
          unit_details[Active Listing?],TRUE,
          unit_details[Property Name], $B253,
          unit_details[Beds], $D253,
          unit_details[Baths], $E253,
          unit_details[Partial Baths], IF(ISNUMBER($F253),$F253,""),
          unit_details[Floorplan Name],$C253
),"")</f>
        <v/>
      </c>
      <c r="AA253" s="262" cm="1">
        <f t="array" aca="1" ref="AA253" ca="1">COUNTIFS(unit_details[Active Listing?],TRUE,
          unit_details[Floorplan Name], INDIRECT("C"&amp;ROW()),
          unit_details[Property Name], INDIRECT("B"&amp;ROW()))</f>
        <v>0</v>
      </c>
      <c r="AB253" s="553"/>
      <c r="AC253" s="528" cm="1">
        <f t="array" aca="1" ref="AC253" ca="1">IFERROR(AVERAGEIFS(
  unit_details[Sqft],
  unit_details[Property Name], INDIRECT("B"&amp;ROW()),
  unit_details[Floorplan Name], INDIRECT("C"&amp;ROW()),
  unit_details[Beds], INDIRECT("D"&amp;ROW()),
  unit_details[Detected Unit Amenities], "*"&amp;$AD$3&amp;"*",
  unit_details[Leased Date], "&gt;=" &amp; ($U$2 - $AF$3)
),0)</f>
        <v>0</v>
      </c>
      <c r="AD253" s="527" cm="1">
        <f t="array" aca="1" ref="AD2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3" s="526" cm="1">
        <f t="array" aca="1" ref="AE253" ca="1">IFERROR(COUNTIFS(
  unit_details[Property Name], INDIRECT("B"&amp;ROW()),
  unit_details[Floorplan Name], INDIRECT("C"&amp;ROW()),
  unit_details[Beds], INDIRECT("D"&amp;ROW()),
  unit_details[Detected Unit Amenities], "*"&amp;$AD$3&amp;"*",
  unit_details[Leased Date], "&gt;=" &amp; ($U$2 - $AF$3)
),0)</f>
        <v>0</v>
      </c>
      <c r="AF253" s="528" cm="1">
        <f t="array" aca="1" ref="AF253" ca="1">IFERROR(AVERAGEIFS(
  unit_details[Sqft],
  unit_details[Property Name], INDIRECT("B"&amp;ROW()),
  unit_details[Floorplan Name], INDIRECT("C"&amp;ROW()),
  unit_details[Beds], INDIRECT("D"&amp;ROW()),
  unit_details[Detected Unit Amenities], "&lt;&gt;*"&amp;$AD$3&amp;"*",
  unit_details[Leased Date], "&gt;=" &amp; ($U$2 - $AF$3)
),0)</f>
        <v>0</v>
      </c>
      <c r="AG253" s="527" cm="1">
        <f t="array" aca="1" ref="AG2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3" s="526" cm="1">
        <f t="array" aca="1" ref="AH253" ca="1">IFERROR(COUNTIFS(
  unit_details[Property Name], INDIRECT("B"&amp;ROW()),
  unit_details[Floorplan Name], INDIRECT("C"&amp;ROW()),
  unit_details[Beds], INDIRECT("D"&amp;ROW()),
  unit_details[Detected Unit Amenities], "&lt;&gt;*"&amp;$AD$3&amp;"*",
  unit_details[Leased Date], "&gt;=" &amp; ($U$2 - $AF$3)
),0)</f>
        <v>0</v>
      </c>
      <c r="AI253" s="528"/>
      <c r="AJ253" s="531">
        <f t="shared" ca="1" si="10"/>
        <v>0</v>
      </c>
      <c r="AK253" s="532">
        <f t="shared" ca="1" si="11"/>
        <v>0</v>
      </c>
    </row>
    <row r="254" spans="2:37" x14ac:dyDescent="0.2">
      <c r="B254" s="566"/>
      <c r="C254" s="53"/>
      <c r="E254" s="262"/>
      <c r="F254" s="262"/>
      <c r="J254" s="293"/>
      <c r="K254" s="6"/>
      <c r="M254" s="538"/>
      <c r="N254" s="531" t="str" cm="1">
        <f t="array" aca="1" ref="N25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4" s="552" t="str" cm="1">
        <f t="array" aca="1" ref="O25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4" s="526" cm="1">
        <f t="array" aca="1" ref="P254" ca="1">COUNTIFS(unit_details[Leased Date], "&gt;=" &amp; ($U$2 - N$5),
          unit_details[Leased Date], "&lt;" &amp; $U$2,
          unit_details[Floorplan Name], INDIRECT("C"&amp;ROW()),
          unit_details[Property Name], INDIRECT("B"&amp;ROW()))</f>
        <v>0</v>
      </c>
      <c r="Q254" s="531" t="str" cm="1">
        <f t="array" aca="1" ref="Q25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4" s="552" t="str" cm="1">
        <f t="array" aca="1" ref="R25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4" s="526" cm="1">
        <f t="array" aca="1" ref="S254" ca="1">COUNTIFS(unit_details[Leased Date], "&gt;=" &amp; ($U$2 - Q$5),
          unit_details[Leased Date], "&lt;" &amp; $U$2,
          unit_details[Floorplan Name], INDIRECT("C"&amp;ROW()),
          unit_details[Property Name], INDIRECT("B"&amp;ROW()))</f>
        <v>0</v>
      </c>
      <c r="T254" s="531" t="str" cm="1">
        <f t="array" aca="1" ref="T25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4" s="552" t="str" cm="1">
        <f t="array" aca="1" ref="U25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4" s="526" cm="1">
        <f t="array" aca="1" ref="V254" ca="1">COUNTIFS(unit_details[Leased Date], "&gt;=" &amp; ($U$2 - T$5),
          unit_details[Leased Date], "&lt;" &amp; $U$2,
          unit_details[Floorplan Name], INDIRECT("C"&amp;ROW()),
          unit_details[Property Name], INDIRECT("B"&amp;ROW()))</f>
        <v>0</v>
      </c>
      <c r="W254" s="531" t="str" cm="1">
        <f t="array" aca="1" ref="W25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4" s="552" t="str" cm="1">
        <f t="array" aca="1" ref="X25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4" s="27" t="str">
        <f t="shared" ca="1" si="9"/>
        <v/>
      </c>
      <c r="Z254" s="4" t="str">
        <f>IFERROR($U$2-AVERAGEIFS(unit_details[First Listed],
          unit_details[Active Listing?],TRUE,
          unit_details[Property Name], $B254,
          unit_details[Beds], $D254,
          unit_details[Baths], $E254,
          unit_details[Partial Baths], IF(ISNUMBER($F254),$F254,""),
          unit_details[Floorplan Name],$C254
),"")</f>
        <v/>
      </c>
      <c r="AA254" s="262" cm="1">
        <f t="array" aca="1" ref="AA254" ca="1">COUNTIFS(unit_details[Active Listing?],TRUE,
          unit_details[Floorplan Name], INDIRECT("C"&amp;ROW()),
          unit_details[Property Name], INDIRECT("B"&amp;ROW()))</f>
        <v>0</v>
      </c>
      <c r="AB254" s="553"/>
      <c r="AC254" s="528" cm="1">
        <f t="array" aca="1" ref="AC254" ca="1">IFERROR(AVERAGEIFS(
  unit_details[Sqft],
  unit_details[Property Name], INDIRECT("B"&amp;ROW()),
  unit_details[Floorplan Name], INDIRECT("C"&amp;ROW()),
  unit_details[Beds], INDIRECT("D"&amp;ROW()),
  unit_details[Detected Unit Amenities], "*"&amp;$AD$3&amp;"*",
  unit_details[Leased Date], "&gt;=" &amp; ($U$2 - $AF$3)
),0)</f>
        <v>0</v>
      </c>
      <c r="AD254" s="527" cm="1">
        <f t="array" aca="1" ref="AD2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4" s="526" cm="1">
        <f t="array" aca="1" ref="AE254" ca="1">IFERROR(COUNTIFS(
  unit_details[Property Name], INDIRECT("B"&amp;ROW()),
  unit_details[Floorplan Name], INDIRECT("C"&amp;ROW()),
  unit_details[Beds], INDIRECT("D"&amp;ROW()),
  unit_details[Detected Unit Amenities], "*"&amp;$AD$3&amp;"*",
  unit_details[Leased Date], "&gt;=" &amp; ($U$2 - $AF$3)
),0)</f>
        <v>0</v>
      </c>
      <c r="AF254" s="528" cm="1">
        <f t="array" aca="1" ref="AF254" ca="1">IFERROR(AVERAGEIFS(
  unit_details[Sqft],
  unit_details[Property Name], INDIRECT("B"&amp;ROW()),
  unit_details[Floorplan Name], INDIRECT("C"&amp;ROW()),
  unit_details[Beds], INDIRECT("D"&amp;ROW()),
  unit_details[Detected Unit Amenities], "&lt;&gt;*"&amp;$AD$3&amp;"*",
  unit_details[Leased Date], "&gt;=" &amp; ($U$2 - $AF$3)
),0)</f>
        <v>0</v>
      </c>
      <c r="AG254" s="527" cm="1">
        <f t="array" aca="1" ref="AG2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4" s="526" cm="1">
        <f t="array" aca="1" ref="AH254" ca="1">IFERROR(COUNTIFS(
  unit_details[Property Name], INDIRECT("B"&amp;ROW()),
  unit_details[Floorplan Name], INDIRECT("C"&amp;ROW()),
  unit_details[Beds], INDIRECT("D"&amp;ROW()),
  unit_details[Detected Unit Amenities], "&lt;&gt;*"&amp;$AD$3&amp;"*",
  unit_details[Leased Date], "&gt;=" &amp; ($U$2 - $AF$3)
),0)</f>
        <v>0</v>
      </c>
      <c r="AI254" s="528"/>
      <c r="AJ254" s="531">
        <f t="shared" ca="1" si="10"/>
        <v>0</v>
      </c>
      <c r="AK254" s="532">
        <f t="shared" ca="1" si="11"/>
        <v>0</v>
      </c>
    </row>
    <row r="255" spans="2:37" x14ac:dyDescent="0.2">
      <c r="B255" s="566"/>
      <c r="C255" s="53"/>
      <c r="E255" s="262"/>
      <c r="F255" s="262"/>
      <c r="J255" s="293"/>
      <c r="K255" s="6"/>
      <c r="M255" s="538"/>
      <c r="N255" s="531" t="str" cm="1">
        <f t="array" aca="1" ref="N25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5" s="552" t="str" cm="1">
        <f t="array" aca="1" ref="O25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5" s="526" cm="1">
        <f t="array" aca="1" ref="P255" ca="1">COUNTIFS(unit_details[Leased Date], "&gt;=" &amp; ($U$2 - N$5),
          unit_details[Leased Date], "&lt;" &amp; $U$2,
          unit_details[Floorplan Name], INDIRECT("C"&amp;ROW()),
          unit_details[Property Name], INDIRECT("B"&amp;ROW()))</f>
        <v>0</v>
      </c>
      <c r="Q255" s="531" t="str" cm="1">
        <f t="array" aca="1" ref="Q25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5" s="552" t="str" cm="1">
        <f t="array" aca="1" ref="R25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5" s="526" cm="1">
        <f t="array" aca="1" ref="S255" ca="1">COUNTIFS(unit_details[Leased Date], "&gt;=" &amp; ($U$2 - Q$5),
          unit_details[Leased Date], "&lt;" &amp; $U$2,
          unit_details[Floorplan Name], INDIRECT("C"&amp;ROW()),
          unit_details[Property Name], INDIRECT("B"&amp;ROW()))</f>
        <v>0</v>
      </c>
      <c r="T255" s="531" t="str" cm="1">
        <f t="array" aca="1" ref="T25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5" s="552" t="str" cm="1">
        <f t="array" aca="1" ref="U25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5" s="526" cm="1">
        <f t="array" aca="1" ref="V255" ca="1">COUNTIFS(unit_details[Leased Date], "&gt;=" &amp; ($U$2 - T$5),
          unit_details[Leased Date], "&lt;" &amp; $U$2,
          unit_details[Floorplan Name], INDIRECT("C"&amp;ROW()),
          unit_details[Property Name], INDIRECT("B"&amp;ROW()))</f>
        <v>0</v>
      </c>
      <c r="W255" s="531" t="str" cm="1">
        <f t="array" aca="1" ref="W25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5" s="552" t="str" cm="1">
        <f t="array" aca="1" ref="X25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5" s="27" t="str">
        <f t="shared" ca="1" si="9"/>
        <v/>
      </c>
      <c r="Z255" s="4" t="str">
        <f>IFERROR($U$2-AVERAGEIFS(unit_details[First Listed],
          unit_details[Active Listing?],TRUE,
          unit_details[Property Name], $B255,
          unit_details[Beds], $D255,
          unit_details[Baths], $E255,
          unit_details[Partial Baths], IF(ISNUMBER($F255),$F255,""),
          unit_details[Floorplan Name],$C255
),"")</f>
        <v/>
      </c>
      <c r="AA255" s="262" cm="1">
        <f t="array" aca="1" ref="AA255" ca="1">COUNTIFS(unit_details[Active Listing?],TRUE,
          unit_details[Floorplan Name], INDIRECT("C"&amp;ROW()),
          unit_details[Property Name], INDIRECT("B"&amp;ROW()))</f>
        <v>0</v>
      </c>
      <c r="AB255" s="553"/>
      <c r="AC255" s="528" cm="1">
        <f t="array" aca="1" ref="AC255" ca="1">IFERROR(AVERAGEIFS(
  unit_details[Sqft],
  unit_details[Property Name], INDIRECT("B"&amp;ROW()),
  unit_details[Floorplan Name], INDIRECT("C"&amp;ROW()),
  unit_details[Beds], INDIRECT("D"&amp;ROW()),
  unit_details[Detected Unit Amenities], "*"&amp;$AD$3&amp;"*",
  unit_details[Leased Date], "&gt;=" &amp; ($U$2 - $AF$3)
),0)</f>
        <v>0</v>
      </c>
      <c r="AD255" s="527" cm="1">
        <f t="array" aca="1" ref="AD2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5" s="526" cm="1">
        <f t="array" aca="1" ref="AE255" ca="1">IFERROR(COUNTIFS(
  unit_details[Property Name], INDIRECT("B"&amp;ROW()),
  unit_details[Floorplan Name], INDIRECT("C"&amp;ROW()),
  unit_details[Beds], INDIRECT("D"&amp;ROW()),
  unit_details[Detected Unit Amenities], "*"&amp;$AD$3&amp;"*",
  unit_details[Leased Date], "&gt;=" &amp; ($U$2 - $AF$3)
),0)</f>
        <v>0</v>
      </c>
      <c r="AF255" s="528" cm="1">
        <f t="array" aca="1" ref="AF255" ca="1">IFERROR(AVERAGEIFS(
  unit_details[Sqft],
  unit_details[Property Name], INDIRECT("B"&amp;ROW()),
  unit_details[Floorplan Name], INDIRECT("C"&amp;ROW()),
  unit_details[Beds], INDIRECT("D"&amp;ROW()),
  unit_details[Detected Unit Amenities], "&lt;&gt;*"&amp;$AD$3&amp;"*",
  unit_details[Leased Date], "&gt;=" &amp; ($U$2 - $AF$3)
),0)</f>
        <v>0</v>
      </c>
      <c r="AG255" s="527" cm="1">
        <f t="array" aca="1" ref="AG2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5" s="526" cm="1">
        <f t="array" aca="1" ref="AH255" ca="1">IFERROR(COUNTIFS(
  unit_details[Property Name], INDIRECT("B"&amp;ROW()),
  unit_details[Floorplan Name], INDIRECT("C"&amp;ROW()),
  unit_details[Beds], INDIRECT("D"&amp;ROW()),
  unit_details[Detected Unit Amenities], "&lt;&gt;*"&amp;$AD$3&amp;"*",
  unit_details[Leased Date], "&gt;=" &amp; ($U$2 - $AF$3)
),0)</f>
        <v>0</v>
      </c>
      <c r="AI255" s="528"/>
      <c r="AJ255" s="531">
        <f t="shared" ca="1" si="10"/>
        <v>0</v>
      </c>
      <c r="AK255" s="532">
        <f t="shared" ca="1" si="11"/>
        <v>0</v>
      </c>
    </row>
    <row r="256" spans="2:37" x14ac:dyDescent="0.2">
      <c r="B256" s="566"/>
      <c r="C256" s="53"/>
      <c r="E256" s="262"/>
      <c r="F256" s="262"/>
      <c r="J256" s="293"/>
      <c r="K256" s="6"/>
      <c r="M256" s="538"/>
      <c r="N256" s="531" t="str" cm="1">
        <f t="array" aca="1" ref="N25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6" s="552" t="str" cm="1">
        <f t="array" aca="1" ref="O25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6" s="526" cm="1">
        <f t="array" aca="1" ref="P256" ca="1">COUNTIFS(unit_details[Leased Date], "&gt;=" &amp; ($U$2 - N$5),
          unit_details[Leased Date], "&lt;" &amp; $U$2,
          unit_details[Floorplan Name], INDIRECT("C"&amp;ROW()),
          unit_details[Property Name], INDIRECT("B"&amp;ROW()))</f>
        <v>0</v>
      </c>
      <c r="Q256" s="531" t="str" cm="1">
        <f t="array" aca="1" ref="Q25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6" s="552" t="str" cm="1">
        <f t="array" aca="1" ref="R25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6" s="526" cm="1">
        <f t="array" aca="1" ref="S256" ca="1">COUNTIFS(unit_details[Leased Date], "&gt;=" &amp; ($U$2 - Q$5),
          unit_details[Leased Date], "&lt;" &amp; $U$2,
          unit_details[Floorplan Name], INDIRECT("C"&amp;ROW()),
          unit_details[Property Name], INDIRECT("B"&amp;ROW()))</f>
        <v>0</v>
      </c>
      <c r="T256" s="531" t="str" cm="1">
        <f t="array" aca="1" ref="T25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6" s="552" t="str" cm="1">
        <f t="array" aca="1" ref="U25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6" s="526" cm="1">
        <f t="array" aca="1" ref="V256" ca="1">COUNTIFS(unit_details[Leased Date], "&gt;=" &amp; ($U$2 - T$5),
          unit_details[Leased Date], "&lt;" &amp; $U$2,
          unit_details[Floorplan Name], INDIRECT("C"&amp;ROW()),
          unit_details[Property Name], INDIRECT("B"&amp;ROW()))</f>
        <v>0</v>
      </c>
      <c r="W256" s="531" t="str" cm="1">
        <f t="array" aca="1" ref="W25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6" s="552" t="str" cm="1">
        <f t="array" aca="1" ref="X25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6" s="27" t="str">
        <f t="shared" ca="1" si="9"/>
        <v/>
      </c>
      <c r="Z256" s="4" t="str">
        <f>IFERROR($U$2-AVERAGEIFS(unit_details[First Listed],
          unit_details[Active Listing?],TRUE,
          unit_details[Property Name], $B256,
          unit_details[Beds], $D256,
          unit_details[Baths], $E256,
          unit_details[Partial Baths], IF(ISNUMBER($F256),$F256,""),
          unit_details[Floorplan Name],$C256
),"")</f>
        <v/>
      </c>
      <c r="AA256" s="262" cm="1">
        <f t="array" aca="1" ref="AA256" ca="1">COUNTIFS(unit_details[Active Listing?],TRUE,
          unit_details[Floorplan Name], INDIRECT("C"&amp;ROW()),
          unit_details[Property Name], INDIRECT("B"&amp;ROW()))</f>
        <v>0</v>
      </c>
      <c r="AB256" s="553"/>
      <c r="AC256" s="528" cm="1">
        <f t="array" aca="1" ref="AC256" ca="1">IFERROR(AVERAGEIFS(
  unit_details[Sqft],
  unit_details[Property Name], INDIRECT("B"&amp;ROW()),
  unit_details[Floorplan Name], INDIRECT("C"&amp;ROW()),
  unit_details[Beds], INDIRECT("D"&amp;ROW()),
  unit_details[Detected Unit Amenities], "*"&amp;$AD$3&amp;"*",
  unit_details[Leased Date], "&gt;=" &amp; ($U$2 - $AF$3)
),0)</f>
        <v>0</v>
      </c>
      <c r="AD256" s="527" cm="1">
        <f t="array" aca="1" ref="AD2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6" s="526" cm="1">
        <f t="array" aca="1" ref="AE256" ca="1">IFERROR(COUNTIFS(
  unit_details[Property Name], INDIRECT("B"&amp;ROW()),
  unit_details[Floorplan Name], INDIRECT("C"&amp;ROW()),
  unit_details[Beds], INDIRECT("D"&amp;ROW()),
  unit_details[Detected Unit Amenities], "*"&amp;$AD$3&amp;"*",
  unit_details[Leased Date], "&gt;=" &amp; ($U$2 - $AF$3)
),0)</f>
        <v>0</v>
      </c>
      <c r="AF256" s="528" cm="1">
        <f t="array" aca="1" ref="AF256" ca="1">IFERROR(AVERAGEIFS(
  unit_details[Sqft],
  unit_details[Property Name], INDIRECT("B"&amp;ROW()),
  unit_details[Floorplan Name], INDIRECT("C"&amp;ROW()),
  unit_details[Beds], INDIRECT("D"&amp;ROW()),
  unit_details[Detected Unit Amenities], "&lt;&gt;*"&amp;$AD$3&amp;"*",
  unit_details[Leased Date], "&gt;=" &amp; ($U$2 - $AF$3)
),0)</f>
        <v>0</v>
      </c>
      <c r="AG256" s="527" cm="1">
        <f t="array" aca="1" ref="AG2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6" s="526" cm="1">
        <f t="array" aca="1" ref="AH256" ca="1">IFERROR(COUNTIFS(
  unit_details[Property Name], INDIRECT("B"&amp;ROW()),
  unit_details[Floorplan Name], INDIRECT("C"&amp;ROW()),
  unit_details[Beds], INDIRECT("D"&amp;ROW()),
  unit_details[Detected Unit Amenities], "&lt;&gt;*"&amp;$AD$3&amp;"*",
  unit_details[Leased Date], "&gt;=" &amp; ($U$2 - $AF$3)
),0)</f>
        <v>0</v>
      </c>
      <c r="AI256" s="528"/>
      <c r="AJ256" s="531">
        <f t="shared" ca="1" si="10"/>
        <v>0</v>
      </c>
      <c r="AK256" s="532">
        <f t="shared" ca="1" si="11"/>
        <v>0</v>
      </c>
    </row>
    <row r="257" spans="2:37" x14ac:dyDescent="0.2">
      <c r="B257" s="566"/>
      <c r="C257" s="53"/>
      <c r="E257" s="262"/>
      <c r="F257" s="262"/>
      <c r="J257" s="293"/>
      <c r="K257" s="6"/>
      <c r="M257" s="538"/>
      <c r="N257" s="531" t="str" cm="1">
        <f t="array" aca="1" ref="N25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7" s="552" t="str" cm="1">
        <f t="array" aca="1" ref="O25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7" s="526" cm="1">
        <f t="array" aca="1" ref="P257" ca="1">COUNTIFS(unit_details[Leased Date], "&gt;=" &amp; ($U$2 - N$5),
          unit_details[Leased Date], "&lt;" &amp; $U$2,
          unit_details[Floorplan Name], INDIRECT("C"&amp;ROW()),
          unit_details[Property Name], INDIRECT("B"&amp;ROW()))</f>
        <v>0</v>
      </c>
      <c r="Q257" s="531" t="str" cm="1">
        <f t="array" aca="1" ref="Q25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7" s="552" t="str" cm="1">
        <f t="array" aca="1" ref="R25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7" s="526" cm="1">
        <f t="array" aca="1" ref="S257" ca="1">COUNTIFS(unit_details[Leased Date], "&gt;=" &amp; ($U$2 - Q$5),
          unit_details[Leased Date], "&lt;" &amp; $U$2,
          unit_details[Floorplan Name], INDIRECT("C"&amp;ROW()),
          unit_details[Property Name], INDIRECT("B"&amp;ROW()))</f>
        <v>0</v>
      </c>
      <c r="T257" s="531" t="str" cm="1">
        <f t="array" aca="1" ref="T25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7" s="552" t="str" cm="1">
        <f t="array" aca="1" ref="U25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7" s="526" cm="1">
        <f t="array" aca="1" ref="V257" ca="1">COUNTIFS(unit_details[Leased Date], "&gt;=" &amp; ($U$2 - T$5),
          unit_details[Leased Date], "&lt;" &amp; $U$2,
          unit_details[Floorplan Name], INDIRECT("C"&amp;ROW()),
          unit_details[Property Name], INDIRECT("B"&amp;ROW()))</f>
        <v>0</v>
      </c>
      <c r="W257" s="531" t="str" cm="1">
        <f t="array" aca="1" ref="W25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7" s="552" t="str" cm="1">
        <f t="array" aca="1" ref="X25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7" s="27" t="str">
        <f t="shared" ca="1" si="9"/>
        <v/>
      </c>
      <c r="Z257" s="4" t="str">
        <f>IFERROR($U$2-AVERAGEIFS(unit_details[First Listed],
          unit_details[Active Listing?],TRUE,
          unit_details[Property Name], $B257,
          unit_details[Beds], $D257,
          unit_details[Baths], $E257,
          unit_details[Partial Baths], IF(ISNUMBER($F257),$F257,""),
          unit_details[Floorplan Name],$C257
),"")</f>
        <v/>
      </c>
      <c r="AA257" s="262" cm="1">
        <f t="array" aca="1" ref="AA257" ca="1">COUNTIFS(unit_details[Active Listing?],TRUE,
          unit_details[Floorplan Name], INDIRECT("C"&amp;ROW()),
          unit_details[Property Name], INDIRECT("B"&amp;ROW()))</f>
        <v>0</v>
      </c>
      <c r="AB257" s="553"/>
      <c r="AC257" s="528" cm="1">
        <f t="array" aca="1" ref="AC257" ca="1">IFERROR(AVERAGEIFS(
  unit_details[Sqft],
  unit_details[Property Name], INDIRECT("B"&amp;ROW()),
  unit_details[Floorplan Name], INDIRECT("C"&amp;ROW()),
  unit_details[Beds], INDIRECT("D"&amp;ROW()),
  unit_details[Detected Unit Amenities], "*"&amp;$AD$3&amp;"*",
  unit_details[Leased Date], "&gt;=" &amp; ($U$2 - $AF$3)
),0)</f>
        <v>0</v>
      </c>
      <c r="AD257" s="527" cm="1">
        <f t="array" aca="1" ref="AD2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7" s="526" cm="1">
        <f t="array" aca="1" ref="AE257" ca="1">IFERROR(COUNTIFS(
  unit_details[Property Name], INDIRECT("B"&amp;ROW()),
  unit_details[Floorplan Name], INDIRECT("C"&amp;ROW()),
  unit_details[Beds], INDIRECT("D"&amp;ROW()),
  unit_details[Detected Unit Amenities], "*"&amp;$AD$3&amp;"*",
  unit_details[Leased Date], "&gt;=" &amp; ($U$2 - $AF$3)
),0)</f>
        <v>0</v>
      </c>
      <c r="AF257" s="528" cm="1">
        <f t="array" aca="1" ref="AF257" ca="1">IFERROR(AVERAGEIFS(
  unit_details[Sqft],
  unit_details[Property Name], INDIRECT("B"&amp;ROW()),
  unit_details[Floorplan Name], INDIRECT("C"&amp;ROW()),
  unit_details[Beds], INDIRECT("D"&amp;ROW()),
  unit_details[Detected Unit Amenities], "&lt;&gt;*"&amp;$AD$3&amp;"*",
  unit_details[Leased Date], "&gt;=" &amp; ($U$2 - $AF$3)
),0)</f>
        <v>0</v>
      </c>
      <c r="AG257" s="527" cm="1">
        <f t="array" aca="1" ref="AG2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7" s="526" cm="1">
        <f t="array" aca="1" ref="AH257" ca="1">IFERROR(COUNTIFS(
  unit_details[Property Name], INDIRECT("B"&amp;ROW()),
  unit_details[Floorplan Name], INDIRECT("C"&amp;ROW()),
  unit_details[Beds], INDIRECT("D"&amp;ROW()),
  unit_details[Detected Unit Amenities], "&lt;&gt;*"&amp;$AD$3&amp;"*",
  unit_details[Leased Date], "&gt;=" &amp; ($U$2 - $AF$3)
),0)</f>
        <v>0</v>
      </c>
      <c r="AI257" s="528"/>
      <c r="AJ257" s="531">
        <f t="shared" ca="1" si="10"/>
        <v>0</v>
      </c>
      <c r="AK257" s="532">
        <f t="shared" ca="1" si="11"/>
        <v>0</v>
      </c>
    </row>
    <row r="258" spans="2:37" x14ac:dyDescent="0.2">
      <c r="B258" s="566"/>
      <c r="C258" s="53"/>
      <c r="E258" s="262"/>
      <c r="F258" s="262"/>
      <c r="J258" s="293"/>
      <c r="K258" s="6"/>
      <c r="M258" s="538"/>
      <c r="N258" s="531" t="str" cm="1">
        <f t="array" aca="1" ref="N25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8" s="552" t="str" cm="1">
        <f t="array" aca="1" ref="O25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8" s="526" cm="1">
        <f t="array" aca="1" ref="P258" ca="1">COUNTIFS(unit_details[Leased Date], "&gt;=" &amp; ($U$2 - N$5),
          unit_details[Leased Date], "&lt;" &amp; $U$2,
          unit_details[Floorplan Name], INDIRECT("C"&amp;ROW()),
          unit_details[Property Name], INDIRECT("B"&amp;ROW()))</f>
        <v>0</v>
      </c>
      <c r="Q258" s="531" t="str" cm="1">
        <f t="array" aca="1" ref="Q25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8" s="552" t="str" cm="1">
        <f t="array" aca="1" ref="R25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8" s="526" cm="1">
        <f t="array" aca="1" ref="S258" ca="1">COUNTIFS(unit_details[Leased Date], "&gt;=" &amp; ($U$2 - Q$5),
          unit_details[Leased Date], "&lt;" &amp; $U$2,
          unit_details[Floorplan Name], INDIRECT("C"&amp;ROW()),
          unit_details[Property Name], INDIRECT("B"&amp;ROW()))</f>
        <v>0</v>
      </c>
      <c r="T258" s="531" t="str" cm="1">
        <f t="array" aca="1" ref="T25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8" s="552" t="str" cm="1">
        <f t="array" aca="1" ref="U25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8" s="526" cm="1">
        <f t="array" aca="1" ref="V258" ca="1">COUNTIFS(unit_details[Leased Date], "&gt;=" &amp; ($U$2 - T$5),
          unit_details[Leased Date], "&lt;" &amp; $U$2,
          unit_details[Floorplan Name], INDIRECT("C"&amp;ROW()),
          unit_details[Property Name], INDIRECT("B"&amp;ROW()))</f>
        <v>0</v>
      </c>
      <c r="W258" s="531" t="str" cm="1">
        <f t="array" aca="1" ref="W25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8" s="552" t="str" cm="1">
        <f t="array" aca="1" ref="X25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8" s="27" t="str">
        <f t="shared" ca="1" si="9"/>
        <v/>
      </c>
      <c r="Z258" s="4" t="str">
        <f>IFERROR($U$2-AVERAGEIFS(unit_details[First Listed],
          unit_details[Active Listing?],TRUE,
          unit_details[Property Name], $B258,
          unit_details[Beds], $D258,
          unit_details[Baths], $E258,
          unit_details[Partial Baths], IF(ISNUMBER($F258),$F258,""),
          unit_details[Floorplan Name],$C258
),"")</f>
        <v/>
      </c>
      <c r="AA258" s="262" cm="1">
        <f t="array" aca="1" ref="AA258" ca="1">COUNTIFS(unit_details[Active Listing?],TRUE,
          unit_details[Floorplan Name], INDIRECT("C"&amp;ROW()),
          unit_details[Property Name], INDIRECT("B"&amp;ROW()))</f>
        <v>0</v>
      </c>
      <c r="AB258" s="553"/>
      <c r="AC258" s="528" cm="1">
        <f t="array" aca="1" ref="AC258" ca="1">IFERROR(AVERAGEIFS(
  unit_details[Sqft],
  unit_details[Property Name], INDIRECT("B"&amp;ROW()),
  unit_details[Floorplan Name], INDIRECT("C"&amp;ROW()),
  unit_details[Beds], INDIRECT("D"&amp;ROW()),
  unit_details[Detected Unit Amenities], "*"&amp;$AD$3&amp;"*",
  unit_details[Leased Date], "&gt;=" &amp; ($U$2 - $AF$3)
),0)</f>
        <v>0</v>
      </c>
      <c r="AD258" s="527" cm="1">
        <f t="array" aca="1" ref="AD2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8" s="526" cm="1">
        <f t="array" aca="1" ref="AE258" ca="1">IFERROR(COUNTIFS(
  unit_details[Property Name], INDIRECT("B"&amp;ROW()),
  unit_details[Floorplan Name], INDIRECT("C"&amp;ROW()),
  unit_details[Beds], INDIRECT("D"&amp;ROW()),
  unit_details[Detected Unit Amenities], "*"&amp;$AD$3&amp;"*",
  unit_details[Leased Date], "&gt;=" &amp; ($U$2 - $AF$3)
),0)</f>
        <v>0</v>
      </c>
      <c r="AF258" s="528" cm="1">
        <f t="array" aca="1" ref="AF258" ca="1">IFERROR(AVERAGEIFS(
  unit_details[Sqft],
  unit_details[Property Name], INDIRECT("B"&amp;ROW()),
  unit_details[Floorplan Name], INDIRECT("C"&amp;ROW()),
  unit_details[Beds], INDIRECT("D"&amp;ROW()),
  unit_details[Detected Unit Amenities], "&lt;&gt;*"&amp;$AD$3&amp;"*",
  unit_details[Leased Date], "&gt;=" &amp; ($U$2 - $AF$3)
),0)</f>
        <v>0</v>
      </c>
      <c r="AG258" s="527" cm="1">
        <f t="array" aca="1" ref="AG2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8" s="526" cm="1">
        <f t="array" aca="1" ref="AH258" ca="1">IFERROR(COUNTIFS(
  unit_details[Property Name], INDIRECT("B"&amp;ROW()),
  unit_details[Floorplan Name], INDIRECT("C"&amp;ROW()),
  unit_details[Beds], INDIRECT("D"&amp;ROW()),
  unit_details[Detected Unit Amenities], "&lt;&gt;*"&amp;$AD$3&amp;"*",
  unit_details[Leased Date], "&gt;=" &amp; ($U$2 - $AF$3)
),0)</f>
        <v>0</v>
      </c>
      <c r="AI258" s="528"/>
      <c r="AJ258" s="531">
        <f t="shared" ca="1" si="10"/>
        <v>0</v>
      </c>
      <c r="AK258" s="532">
        <f t="shared" ca="1" si="11"/>
        <v>0</v>
      </c>
    </row>
    <row r="259" spans="2:37" x14ac:dyDescent="0.2">
      <c r="B259" s="566"/>
      <c r="C259" s="53"/>
      <c r="E259" s="262"/>
      <c r="F259" s="262"/>
      <c r="J259" s="293"/>
      <c r="K259" s="6"/>
      <c r="M259" s="538"/>
      <c r="N259" s="531" t="str" cm="1">
        <f t="array" aca="1" ref="N25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59" s="552" t="str" cm="1">
        <f t="array" aca="1" ref="O25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59" s="526" cm="1">
        <f t="array" aca="1" ref="P259" ca="1">COUNTIFS(unit_details[Leased Date], "&gt;=" &amp; ($U$2 - N$5),
          unit_details[Leased Date], "&lt;" &amp; $U$2,
          unit_details[Floorplan Name], INDIRECT("C"&amp;ROW()),
          unit_details[Property Name], INDIRECT("B"&amp;ROW()))</f>
        <v>0</v>
      </c>
      <c r="Q259" s="531" t="str" cm="1">
        <f t="array" aca="1" ref="Q25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59" s="552" t="str" cm="1">
        <f t="array" aca="1" ref="R25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59" s="526" cm="1">
        <f t="array" aca="1" ref="S259" ca="1">COUNTIFS(unit_details[Leased Date], "&gt;=" &amp; ($U$2 - Q$5),
          unit_details[Leased Date], "&lt;" &amp; $U$2,
          unit_details[Floorplan Name], INDIRECT("C"&amp;ROW()),
          unit_details[Property Name], INDIRECT("B"&amp;ROW()))</f>
        <v>0</v>
      </c>
      <c r="T259" s="531" t="str" cm="1">
        <f t="array" aca="1" ref="T25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59" s="552" t="str" cm="1">
        <f t="array" aca="1" ref="U25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59" s="526" cm="1">
        <f t="array" aca="1" ref="V259" ca="1">COUNTIFS(unit_details[Leased Date], "&gt;=" &amp; ($U$2 - T$5),
          unit_details[Leased Date], "&lt;" &amp; $U$2,
          unit_details[Floorplan Name], INDIRECT("C"&amp;ROW()),
          unit_details[Property Name], INDIRECT("B"&amp;ROW()))</f>
        <v>0</v>
      </c>
      <c r="W259" s="531" t="str" cm="1">
        <f t="array" aca="1" ref="W25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59" s="552" t="str" cm="1">
        <f t="array" aca="1" ref="X25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59" s="27" t="str">
        <f t="shared" ca="1" si="9"/>
        <v/>
      </c>
      <c r="Z259" s="4" t="str">
        <f>IFERROR($U$2-AVERAGEIFS(unit_details[First Listed],
          unit_details[Active Listing?],TRUE,
          unit_details[Property Name], $B259,
          unit_details[Beds], $D259,
          unit_details[Baths], $E259,
          unit_details[Partial Baths], IF(ISNUMBER($F259),$F259,""),
          unit_details[Floorplan Name],$C259
),"")</f>
        <v/>
      </c>
      <c r="AA259" s="262" cm="1">
        <f t="array" aca="1" ref="AA259" ca="1">COUNTIFS(unit_details[Active Listing?],TRUE,
          unit_details[Floorplan Name], INDIRECT("C"&amp;ROW()),
          unit_details[Property Name], INDIRECT("B"&amp;ROW()))</f>
        <v>0</v>
      </c>
      <c r="AB259" s="553"/>
      <c r="AC259" s="528" cm="1">
        <f t="array" aca="1" ref="AC259" ca="1">IFERROR(AVERAGEIFS(
  unit_details[Sqft],
  unit_details[Property Name], INDIRECT("B"&amp;ROW()),
  unit_details[Floorplan Name], INDIRECT("C"&amp;ROW()),
  unit_details[Beds], INDIRECT("D"&amp;ROW()),
  unit_details[Detected Unit Amenities], "*"&amp;$AD$3&amp;"*",
  unit_details[Leased Date], "&gt;=" &amp; ($U$2 - $AF$3)
),0)</f>
        <v>0</v>
      </c>
      <c r="AD259" s="527" cm="1">
        <f t="array" aca="1" ref="AD2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59" s="526" cm="1">
        <f t="array" aca="1" ref="AE259" ca="1">IFERROR(COUNTIFS(
  unit_details[Property Name], INDIRECT("B"&amp;ROW()),
  unit_details[Floorplan Name], INDIRECT("C"&amp;ROW()),
  unit_details[Beds], INDIRECT("D"&amp;ROW()),
  unit_details[Detected Unit Amenities], "*"&amp;$AD$3&amp;"*",
  unit_details[Leased Date], "&gt;=" &amp; ($U$2 - $AF$3)
),0)</f>
        <v>0</v>
      </c>
      <c r="AF259" s="528" cm="1">
        <f t="array" aca="1" ref="AF259" ca="1">IFERROR(AVERAGEIFS(
  unit_details[Sqft],
  unit_details[Property Name], INDIRECT("B"&amp;ROW()),
  unit_details[Floorplan Name], INDIRECT("C"&amp;ROW()),
  unit_details[Beds], INDIRECT("D"&amp;ROW()),
  unit_details[Detected Unit Amenities], "&lt;&gt;*"&amp;$AD$3&amp;"*",
  unit_details[Leased Date], "&gt;=" &amp; ($U$2 - $AF$3)
),0)</f>
        <v>0</v>
      </c>
      <c r="AG259" s="527" cm="1">
        <f t="array" aca="1" ref="AG2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59" s="526" cm="1">
        <f t="array" aca="1" ref="AH259" ca="1">IFERROR(COUNTIFS(
  unit_details[Property Name], INDIRECT("B"&amp;ROW()),
  unit_details[Floorplan Name], INDIRECT("C"&amp;ROW()),
  unit_details[Beds], INDIRECT("D"&amp;ROW()),
  unit_details[Detected Unit Amenities], "&lt;&gt;*"&amp;$AD$3&amp;"*",
  unit_details[Leased Date], "&gt;=" &amp; ($U$2 - $AF$3)
),0)</f>
        <v>0</v>
      </c>
      <c r="AI259" s="528"/>
      <c r="AJ259" s="531">
        <f t="shared" ca="1" si="10"/>
        <v>0</v>
      </c>
      <c r="AK259" s="532">
        <f t="shared" ca="1" si="11"/>
        <v>0</v>
      </c>
    </row>
    <row r="260" spans="2:37" x14ac:dyDescent="0.2">
      <c r="B260" s="566"/>
      <c r="C260" s="53"/>
      <c r="E260" s="262"/>
      <c r="F260" s="262"/>
      <c r="J260" s="293"/>
      <c r="K260" s="6"/>
      <c r="M260" s="538"/>
      <c r="N260" s="531" t="str" cm="1">
        <f t="array" aca="1" ref="N26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0" s="552" t="str" cm="1">
        <f t="array" aca="1" ref="O26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0" s="526" cm="1">
        <f t="array" aca="1" ref="P260" ca="1">COUNTIFS(unit_details[Leased Date], "&gt;=" &amp; ($U$2 - N$5),
          unit_details[Leased Date], "&lt;" &amp; $U$2,
          unit_details[Floorplan Name], INDIRECT("C"&amp;ROW()),
          unit_details[Property Name], INDIRECT("B"&amp;ROW()))</f>
        <v>0</v>
      </c>
      <c r="Q260" s="531" t="str" cm="1">
        <f t="array" aca="1" ref="Q26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0" s="552" t="str" cm="1">
        <f t="array" aca="1" ref="R26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0" s="526" cm="1">
        <f t="array" aca="1" ref="S260" ca="1">COUNTIFS(unit_details[Leased Date], "&gt;=" &amp; ($U$2 - Q$5),
          unit_details[Leased Date], "&lt;" &amp; $U$2,
          unit_details[Floorplan Name], INDIRECT("C"&amp;ROW()),
          unit_details[Property Name], INDIRECT("B"&amp;ROW()))</f>
        <v>0</v>
      </c>
      <c r="T260" s="531" t="str" cm="1">
        <f t="array" aca="1" ref="T26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0" s="552" t="str" cm="1">
        <f t="array" aca="1" ref="U26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0" s="526" cm="1">
        <f t="array" aca="1" ref="V260" ca="1">COUNTIFS(unit_details[Leased Date], "&gt;=" &amp; ($U$2 - T$5),
          unit_details[Leased Date], "&lt;" &amp; $U$2,
          unit_details[Floorplan Name], INDIRECT("C"&amp;ROW()),
          unit_details[Property Name], INDIRECT("B"&amp;ROW()))</f>
        <v>0</v>
      </c>
      <c r="W260" s="531" t="str" cm="1">
        <f t="array" aca="1" ref="W26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0" s="552" t="str" cm="1">
        <f t="array" aca="1" ref="X26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0" s="27" t="str">
        <f t="shared" ca="1" si="9"/>
        <v/>
      </c>
      <c r="Z260" s="4" t="str">
        <f>IFERROR($U$2-AVERAGEIFS(unit_details[First Listed],
          unit_details[Active Listing?],TRUE,
          unit_details[Property Name], $B260,
          unit_details[Beds], $D260,
          unit_details[Baths], $E260,
          unit_details[Partial Baths], IF(ISNUMBER($F260),$F260,""),
          unit_details[Floorplan Name],$C260
),"")</f>
        <v/>
      </c>
      <c r="AA260" s="262" cm="1">
        <f t="array" aca="1" ref="AA260" ca="1">COUNTIFS(unit_details[Active Listing?],TRUE,
          unit_details[Floorplan Name], INDIRECT("C"&amp;ROW()),
          unit_details[Property Name], INDIRECT("B"&amp;ROW()))</f>
        <v>0</v>
      </c>
      <c r="AB260" s="553"/>
      <c r="AC260" s="528" cm="1">
        <f t="array" aca="1" ref="AC260" ca="1">IFERROR(AVERAGEIFS(
  unit_details[Sqft],
  unit_details[Property Name], INDIRECT("B"&amp;ROW()),
  unit_details[Floorplan Name], INDIRECT("C"&amp;ROW()),
  unit_details[Beds], INDIRECT("D"&amp;ROW()),
  unit_details[Detected Unit Amenities], "*"&amp;$AD$3&amp;"*",
  unit_details[Leased Date], "&gt;=" &amp; ($U$2 - $AF$3)
),0)</f>
        <v>0</v>
      </c>
      <c r="AD260" s="527" cm="1">
        <f t="array" aca="1" ref="AD2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0" s="526" cm="1">
        <f t="array" aca="1" ref="AE260" ca="1">IFERROR(COUNTIFS(
  unit_details[Property Name], INDIRECT("B"&amp;ROW()),
  unit_details[Floorplan Name], INDIRECT("C"&amp;ROW()),
  unit_details[Beds], INDIRECT("D"&amp;ROW()),
  unit_details[Detected Unit Amenities], "*"&amp;$AD$3&amp;"*",
  unit_details[Leased Date], "&gt;=" &amp; ($U$2 - $AF$3)
),0)</f>
        <v>0</v>
      </c>
      <c r="AF260" s="528" cm="1">
        <f t="array" aca="1" ref="AF260" ca="1">IFERROR(AVERAGEIFS(
  unit_details[Sqft],
  unit_details[Property Name], INDIRECT("B"&amp;ROW()),
  unit_details[Floorplan Name], INDIRECT("C"&amp;ROW()),
  unit_details[Beds], INDIRECT("D"&amp;ROW()),
  unit_details[Detected Unit Amenities], "&lt;&gt;*"&amp;$AD$3&amp;"*",
  unit_details[Leased Date], "&gt;=" &amp; ($U$2 - $AF$3)
),0)</f>
        <v>0</v>
      </c>
      <c r="AG260" s="527" cm="1">
        <f t="array" aca="1" ref="AG2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0" s="526" cm="1">
        <f t="array" aca="1" ref="AH260" ca="1">IFERROR(COUNTIFS(
  unit_details[Property Name], INDIRECT("B"&amp;ROW()),
  unit_details[Floorplan Name], INDIRECT("C"&amp;ROW()),
  unit_details[Beds], INDIRECT("D"&amp;ROW()),
  unit_details[Detected Unit Amenities], "&lt;&gt;*"&amp;$AD$3&amp;"*",
  unit_details[Leased Date], "&gt;=" &amp; ($U$2 - $AF$3)
),0)</f>
        <v>0</v>
      </c>
      <c r="AI260" s="528"/>
      <c r="AJ260" s="531">
        <f t="shared" ca="1" si="10"/>
        <v>0</v>
      </c>
      <c r="AK260" s="532">
        <f t="shared" ca="1" si="11"/>
        <v>0</v>
      </c>
    </row>
    <row r="261" spans="2:37" x14ac:dyDescent="0.2">
      <c r="B261" s="566"/>
      <c r="C261" s="53"/>
      <c r="E261" s="262"/>
      <c r="F261" s="262"/>
      <c r="J261" s="293"/>
      <c r="K261" s="6"/>
      <c r="M261" s="538"/>
      <c r="N261" s="531" t="str" cm="1">
        <f t="array" aca="1" ref="N26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1" s="552" t="str" cm="1">
        <f t="array" aca="1" ref="O26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1" s="526" cm="1">
        <f t="array" aca="1" ref="P261" ca="1">COUNTIFS(unit_details[Leased Date], "&gt;=" &amp; ($U$2 - N$5),
          unit_details[Leased Date], "&lt;" &amp; $U$2,
          unit_details[Floorplan Name], INDIRECT("C"&amp;ROW()),
          unit_details[Property Name], INDIRECT("B"&amp;ROW()))</f>
        <v>0</v>
      </c>
      <c r="Q261" s="531" t="str" cm="1">
        <f t="array" aca="1" ref="Q26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1" s="552" t="str" cm="1">
        <f t="array" aca="1" ref="R26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1" s="526" cm="1">
        <f t="array" aca="1" ref="S261" ca="1">COUNTIFS(unit_details[Leased Date], "&gt;=" &amp; ($U$2 - Q$5),
          unit_details[Leased Date], "&lt;" &amp; $U$2,
          unit_details[Floorplan Name], INDIRECT("C"&amp;ROW()),
          unit_details[Property Name], INDIRECT("B"&amp;ROW()))</f>
        <v>0</v>
      </c>
      <c r="T261" s="531" t="str" cm="1">
        <f t="array" aca="1" ref="T26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1" s="552" t="str" cm="1">
        <f t="array" aca="1" ref="U26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1" s="526" cm="1">
        <f t="array" aca="1" ref="V261" ca="1">COUNTIFS(unit_details[Leased Date], "&gt;=" &amp; ($U$2 - T$5),
          unit_details[Leased Date], "&lt;" &amp; $U$2,
          unit_details[Floorplan Name], INDIRECT("C"&amp;ROW()),
          unit_details[Property Name], INDIRECT("B"&amp;ROW()))</f>
        <v>0</v>
      </c>
      <c r="W261" s="531" t="str" cm="1">
        <f t="array" aca="1" ref="W26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1" s="552" t="str" cm="1">
        <f t="array" aca="1" ref="X26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1" s="27" t="str">
        <f t="shared" ca="1" si="9"/>
        <v/>
      </c>
      <c r="Z261" s="4" t="str">
        <f>IFERROR($U$2-AVERAGEIFS(unit_details[First Listed],
          unit_details[Active Listing?],TRUE,
          unit_details[Property Name], $B261,
          unit_details[Beds], $D261,
          unit_details[Baths], $E261,
          unit_details[Partial Baths], IF(ISNUMBER($F261),$F261,""),
          unit_details[Floorplan Name],$C261
),"")</f>
        <v/>
      </c>
      <c r="AA261" s="262" cm="1">
        <f t="array" aca="1" ref="AA261" ca="1">COUNTIFS(unit_details[Active Listing?],TRUE,
          unit_details[Floorplan Name], INDIRECT("C"&amp;ROW()),
          unit_details[Property Name], INDIRECT("B"&amp;ROW()))</f>
        <v>0</v>
      </c>
      <c r="AB261" s="553"/>
      <c r="AC261" s="528" cm="1">
        <f t="array" aca="1" ref="AC261" ca="1">IFERROR(AVERAGEIFS(
  unit_details[Sqft],
  unit_details[Property Name], INDIRECT("B"&amp;ROW()),
  unit_details[Floorplan Name], INDIRECT("C"&amp;ROW()),
  unit_details[Beds], INDIRECT("D"&amp;ROW()),
  unit_details[Detected Unit Amenities], "*"&amp;$AD$3&amp;"*",
  unit_details[Leased Date], "&gt;=" &amp; ($U$2 - $AF$3)
),0)</f>
        <v>0</v>
      </c>
      <c r="AD261" s="527" cm="1">
        <f t="array" aca="1" ref="AD2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1" s="526" cm="1">
        <f t="array" aca="1" ref="AE261" ca="1">IFERROR(COUNTIFS(
  unit_details[Property Name], INDIRECT("B"&amp;ROW()),
  unit_details[Floorplan Name], INDIRECT("C"&amp;ROW()),
  unit_details[Beds], INDIRECT("D"&amp;ROW()),
  unit_details[Detected Unit Amenities], "*"&amp;$AD$3&amp;"*",
  unit_details[Leased Date], "&gt;=" &amp; ($U$2 - $AF$3)
),0)</f>
        <v>0</v>
      </c>
      <c r="AF261" s="528" cm="1">
        <f t="array" aca="1" ref="AF261" ca="1">IFERROR(AVERAGEIFS(
  unit_details[Sqft],
  unit_details[Property Name], INDIRECT("B"&amp;ROW()),
  unit_details[Floorplan Name], INDIRECT("C"&amp;ROW()),
  unit_details[Beds], INDIRECT("D"&amp;ROW()),
  unit_details[Detected Unit Amenities], "&lt;&gt;*"&amp;$AD$3&amp;"*",
  unit_details[Leased Date], "&gt;=" &amp; ($U$2 - $AF$3)
),0)</f>
        <v>0</v>
      </c>
      <c r="AG261" s="527" cm="1">
        <f t="array" aca="1" ref="AG2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1" s="526" cm="1">
        <f t="array" aca="1" ref="AH261" ca="1">IFERROR(COUNTIFS(
  unit_details[Property Name], INDIRECT("B"&amp;ROW()),
  unit_details[Floorplan Name], INDIRECT("C"&amp;ROW()),
  unit_details[Beds], INDIRECT("D"&amp;ROW()),
  unit_details[Detected Unit Amenities], "&lt;&gt;*"&amp;$AD$3&amp;"*",
  unit_details[Leased Date], "&gt;=" &amp; ($U$2 - $AF$3)
),0)</f>
        <v>0</v>
      </c>
      <c r="AI261" s="528"/>
      <c r="AJ261" s="531">
        <f t="shared" ca="1" si="10"/>
        <v>0</v>
      </c>
      <c r="AK261" s="532">
        <f t="shared" ca="1" si="11"/>
        <v>0</v>
      </c>
    </row>
    <row r="262" spans="2:37" x14ac:dyDescent="0.2">
      <c r="B262" s="566"/>
      <c r="C262" s="53"/>
      <c r="E262" s="262"/>
      <c r="F262" s="262"/>
      <c r="J262" s="293"/>
      <c r="K262" s="6"/>
      <c r="M262" s="538"/>
      <c r="N262" s="531" t="str" cm="1">
        <f t="array" aca="1" ref="N26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2" s="552" t="str" cm="1">
        <f t="array" aca="1" ref="O26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2" s="526" cm="1">
        <f t="array" aca="1" ref="P262" ca="1">COUNTIFS(unit_details[Leased Date], "&gt;=" &amp; ($U$2 - N$5),
          unit_details[Leased Date], "&lt;" &amp; $U$2,
          unit_details[Floorplan Name], INDIRECT("C"&amp;ROW()),
          unit_details[Property Name], INDIRECT("B"&amp;ROW()))</f>
        <v>0</v>
      </c>
      <c r="Q262" s="531" t="str" cm="1">
        <f t="array" aca="1" ref="Q26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2" s="552" t="str" cm="1">
        <f t="array" aca="1" ref="R26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2" s="526" cm="1">
        <f t="array" aca="1" ref="S262" ca="1">COUNTIFS(unit_details[Leased Date], "&gt;=" &amp; ($U$2 - Q$5),
          unit_details[Leased Date], "&lt;" &amp; $U$2,
          unit_details[Floorplan Name], INDIRECT("C"&amp;ROW()),
          unit_details[Property Name], INDIRECT("B"&amp;ROW()))</f>
        <v>0</v>
      </c>
      <c r="T262" s="531" t="str" cm="1">
        <f t="array" aca="1" ref="T26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2" s="552" t="str" cm="1">
        <f t="array" aca="1" ref="U26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2" s="526" cm="1">
        <f t="array" aca="1" ref="V262" ca="1">COUNTIFS(unit_details[Leased Date], "&gt;=" &amp; ($U$2 - T$5),
          unit_details[Leased Date], "&lt;" &amp; $U$2,
          unit_details[Floorplan Name], INDIRECT("C"&amp;ROW()),
          unit_details[Property Name], INDIRECT("B"&amp;ROW()))</f>
        <v>0</v>
      </c>
      <c r="W262" s="531" t="str" cm="1">
        <f t="array" aca="1" ref="W26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2" s="552" t="str" cm="1">
        <f t="array" aca="1" ref="X26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2" s="27" t="str">
        <f t="shared" ca="1" si="9"/>
        <v/>
      </c>
      <c r="Z262" s="4" t="str">
        <f>IFERROR($U$2-AVERAGEIFS(unit_details[First Listed],
          unit_details[Active Listing?],TRUE,
          unit_details[Property Name], $B262,
          unit_details[Beds], $D262,
          unit_details[Baths], $E262,
          unit_details[Partial Baths], IF(ISNUMBER($F262),$F262,""),
          unit_details[Floorplan Name],$C262
),"")</f>
        <v/>
      </c>
      <c r="AA262" s="262" cm="1">
        <f t="array" aca="1" ref="AA262" ca="1">COUNTIFS(unit_details[Active Listing?],TRUE,
          unit_details[Floorplan Name], INDIRECT("C"&amp;ROW()),
          unit_details[Property Name], INDIRECT("B"&amp;ROW()))</f>
        <v>0</v>
      </c>
      <c r="AB262" s="553"/>
      <c r="AC262" s="528" cm="1">
        <f t="array" aca="1" ref="AC262" ca="1">IFERROR(AVERAGEIFS(
  unit_details[Sqft],
  unit_details[Property Name], INDIRECT("B"&amp;ROW()),
  unit_details[Floorplan Name], INDIRECT("C"&amp;ROW()),
  unit_details[Beds], INDIRECT("D"&amp;ROW()),
  unit_details[Detected Unit Amenities], "*"&amp;$AD$3&amp;"*",
  unit_details[Leased Date], "&gt;=" &amp; ($U$2 - $AF$3)
),0)</f>
        <v>0</v>
      </c>
      <c r="AD262" s="527" cm="1">
        <f t="array" aca="1" ref="AD2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2" s="526" cm="1">
        <f t="array" aca="1" ref="AE262" ca="1">IFERROR(COUNTIFS(
  unit_details[Property Name], INDIRECT("B"&amp;ROW()),
  unit_details[Floorplan Name], INDIRECT("C"&amp;ROW()),
  unit_details[Beds], INDIRECT("D"&amp;ROW()),
  unit_details[Detected Unit Amenities], "*"&amp;$AD$3&amp;"*",
  unit_details[Leased Date], "&gt;=" &amp; ($U$2 - $AF$3)
),0)</f>
        <v>0</v>
      </c>
      <c r="AF262" s="528" cm="1">
        <f t="array" aca="1" ref="AF262" ca="1">IFERROR(AVERAGEIFS(
  unit_details[Sqft],
  unit_details[Property Name], INDIRECT("B"&amp;ROW()),
  unit_details[Floorplan Name], INDIRECT("C"&amp;ROW()),
  unit_details[Beds], INDIRECT("D"&amp;ROW()),
  unit_details[Detected Unit Amenities], "&lt;&gt;*"&amp;$AD$3&amp;"*",
  unit_details[Leased Date], "&gt;=" &amp; ($U$2 - $AF$3)
),0)</f>
        <v>0</v>
      </c>
      <c r="AG262" s="527" cm="1">
        <f t="array" aca="1" ref="AG2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2" s="526" cm="1">
        <f t="array" aca="1" ref="AH262" ca="1">IFERROR(COUNTIFS(
  unit_details[Property Name], INDIRECT("B"&amp;ROW()),
  unit_details[Floorplan Name], INDIRECT("C"&amp;ROW()),
  unit_details[Beds], INDIRECT("D"&amp;ROW()),
  unit_details[Detected Unit Amenities], "&lt;&gt;*"&amp;$AD$3&amp;"*",
  unit_details[Leased Date], "&gt;=" &amp; ($U$2 - $AF$3)
),0)</f>
        <v>0</v>
      </c>
      <c r="AI262" s="528"/>
      <c r="AJ262" s="531">
        <f t="shared" ca="1" si="10"/>
        <v>0</v>
      </c>
      <c r="AK262" s="532">
        <f t="shared" ca="1" si="11"/>
        <v>0</v>
      </c>
    </row>
    <row r="263" spans="2:37" x14ac:dyDescent="0.2">
      <c r="B263" s="566"/>
      <c r="C263" s="53"/>
      <c r="E263" s="262"/>
      <c r="F263" s="262"/>
      <c r="J263" s="293"/>
      <c r="K263" s="6"/>
      <c r="M263" s="538"/>
      <c r="N263" s="531" t="str" cm="1">
        <f t="array" aca="1" ref="N26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3" s="552" t="str" cm="1">
        <f t="array" aca="1" ref="O26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3" s="526" cm="1">
        <f t="array" aca="1" ref="P263" ca="1">COUNTIFS(unit_details[Leased Date], "&gt;=" &amp; ($U$2 - N$5),
          unit_details[Leased Date], "&lt;" &amp; $U$2,
          unit_details[Floorplan Name], INDIRECT("C"&amp;ROW()),
          unit_details[Property Name], INDIRECT("B"&amp;ROW()))</f>
        <v>0</v>
      </c>
      <c r="Q263" s="531" t="str" cm="1">
        <f t="array" aca="1" ref="Q26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3" s="552" t="str" cm="1">
        <f t="array" aca="1" ref="R26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3" s="526" cm="1">
        <f t="array" aca="1" ref="S263" ca="1">COUNTIFS(unit_details[Leased Date], "&gt;=" &amp; ($U$2 - Q$5),
          unit_details[Leased Date], "&lt;" &amp; $U$2,
          unit_details[Floorplan Name], INDIRECT("C"&amp;ROW()),
          unit_details[Property Name], INDIRECT("B"&amp;ROW()))</f>
        <v>0</v>
      </c>
      <c r="T263" s="531" t="str" cm="1">
        <f t="array" aca="1" ref="T26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3" s="552" t="str" cm="1">
        <f t="array" aca="1" ref="U26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3" s="526" cm="1">
        <f t="array" aca="1" ref="V263" ca="1">COUNTIFS(unit_details[Leased Date], "&gt;=" &amp; ($U$2 - T$5),
          unit_details[Leased Date], "&lt;" &amp; $U$2,
          unit_details[Floorplan Name], INDIRECT("C"&amp;ROW()),
          unit_details[Property Name], INDIRECT("B"&amp;ROW()))</f>
        <v>0</v>
      </c>
      <c r="W263" s="531" t="str" cm="1">
        <f t="array" aca="1" ref="W26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3" s="552" t="str" cm="1">
        <f t="array" aca="1" ref="X26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3" s="27" t="str">
        <f t="shared" ca="1" si="9"/>
        <v/>
      </c>
      <c r="Z263" s="4" t="str">
        <f>IFERROR($U$2-AVERAGEIFS(unit_details[First Listed],
          unit_details[Active Listing?],TRUE,
          unit_details[Property Name], $B263,
          unit_details[Beds], $D263,
          unit_details[Baths], $E263,
          unit_details[Partial Baths], IF(ISNUMBER($F263),$F263,""),
          unit_details[Floorplan Name],$C263
),"")</f>
        <v/>
      </c>
      <c r="AA263" s="262" cm="1">
        <f t="array" aca="1" ref="AA263" ca="1">COUNTIFS(unit_details[Active Listing?],TRUE,
          unit_details[Floorplan Name], INDIRECT("C"&amp;ROW()),
          unit_details[Property Name], INDIRECT("B"&amp;ROW()))</f>
        <v>0</v>
      </c>
      <c r="AB263" s="553"/>
      <c r="AC263" s="528" cm="1">
        <f t="array" aca="1" ref="AC263" ca="1">IFERROR(AVERAGEIFS(
  unit_details[Sqft],
  unit_details[Property Name], INDIRECT("B"&amp;ROW()),
  unit_details[Floorplan Name], INDIRECT("C"&amp;ROW()),
  unit_details[Beds], INDIRECT("D"&amp;ROW()),
  unit_details[Detected Unit Amenities], "*"&amp;$AD$3&amp;"*",
  unit_details[Leased Date], "&gt;=" &amp; ($U$2 - $AF$3)
),0)</f>
        <v>0</v>
      </c>
      <c r="AD263" s="527" cm="1">
        <f t="array" aca="1" ref="AD2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3" s="526" cm="1">
        <f t="array" aca="1" ref="AE263" ca="1">IFERROR(COUNTIFS(
  unit_details[Property Name], INDIRECT("B"&amp;ROW()),
  unit_details[Floorplan Name], INDIRECT("C"&amp;ROW()),
  unit_details[Beds], INDIRECT("D"&amp;ROW()),
  unit_details[Detected Unit Amenities], "*"&amp;$AD$3&amp;"*",
  unit_details[Leased Date], "&gt;=" &amp; ($U$2 - $AF$3)
),0)</f>
        <v>0</v>
      </c>
      <c r="AF263" s="528" cm="1">
        <f t="array" aca="1" ref="AF263" ca="1">IFERROR(AVERAGEIFS(
  unit_details[Sqft],
  unit_details[Property Name], INDIRECT("B"&amp;ROW()),
  unit_details[Floorplan Name], INDIRECT("C"&amp;ROW()),
  unit_details[Beds], INDIRECT("D"&amp;ROW()),
  unit_details[Detected Unit Amenities], "&lt;&gt;*"&amp;$AD$3&amp;"*",
  unit_details[Leased Date], "&gt;=" &amp; ($U$2 - $AF$3)
),0)</f>
        <v>0</v>
      </c>
      <c r="AG263" s="527" cm="1">
        <f t="array" aca="1" ref="AG2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3" s="526" cm="1">
        <f t="array" aca="1" ref="AH263" ca="1">IFERROR(COUNTIFS(
  unit_details[Property Name], INDIRECT("B"&amp;ROW()),
  unit_details[Floorplan Name], INDIRECT("C"&amp;ROW()),
  unit_details[Beds], INDIRECT("D"&amp;ROW()),
  unit_details[Detected Unit Amenities], "&lt;&gt;*"&amp;$AD$3&amp;"*",
  unit_details[Leased Date], "&gt;=" &amp; ($U$2 - $AF$3)
),0)</f>
        <v>0</v>
      </c>
      <c r="AI263" s="528"/>
      <c r="AJ263" s="531">
        <f t="shared" ca="1" si="10"/>
        <v>0</v>
      </c>
      <c r="AK263" s="532">
        <f t="shared" ca="1" si="11"/>
        <v>0</v>
      </c>
    </row>
    <row r="264" spans="2:37" x14ac:dyDescent="0.2">
      <c r="B264" s="566"/>
      <c r="C264" s="53"/>
      <c r="E264" s="262"/>
      <c r="F264" s="262"/>
      <c r="J264" s="293"/>
      <c r="K264" s="6"/>
      <c r="M264" s="538"/>
      <c r="N264" s="531" t="str" cm="1">
        <f t="array" aca="1" ref="N26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4" s="552" t="str" cm="1">
        <f t="array" aca="1" ref="O26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4" s="526" cm="1">
        <f t="array" aca="1" ref="P264" ca="1">COUNTIFS(unit_details[Leased Date], "&gt;=" &amp; ($U$2 - N$5),
          unit_details[Leased Date], "&lt;" &amp; $U$2,
          unit_details[Floorplan Name], INDIRECT("C"&amp;ROW()),
          unit_details[Property Name], INDIRECT("B"&amp;ROW()))</f>
        <v>0</v>
      </c>
      <c r="Q264" s="531" t="str" cm="1">
        <f t="array" aca="1" ref="Q26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4" s="552" t="str" cm="1">
        <f t="array" aca="1" ref="R26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4" s="526" cm="1">
        <f t="array" aca="1" ref="S264" ca="1">COUNTIFS(unit_details[Leased Date], "&gt;=" &amp; ($U$2 - Q$5),
          unit_details[Leased Date], "&lt;" &amp; $U$2,
          unit_details[Floorplan Name], INDIRECT("C"&amp;ROW()),
          unit_details[Property Name], INDIRECT("B"&amp;ROW()))</f>
        <v>0</v>
      </c>
      <c r="T264" s="531" t="str" cm="1">
        <f t="array" aca="1" ref="T26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4" s="552" t="str" cm="1">
        <f t="array" aca="1" ref="U26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4" s="526" cm="1">
        <f t="array" aca="1" ref="V264" ca="1">COUNTIFS(unit_details[Leased Date], "&gt;=" &amp; ($U$2 - T$5),
          unit_details[Leased Date], "&lt;" &amp; $U$2,
          unit_details[Floorplan Name], INDIRECT("C"&amp;ROW()),
          unit_details[Property Name], INDIRECT("B"&amp;ROW()))</f>
        <v>0</v>
      </c>
      <c r="W264" s="531" t="str" cm="1">
        <f t="array" aca="1" ref="W26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4" s="552" t="str" cm="1">
        <f t="array" aca="1" ref="X26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4" s="27" t="str">
        <f t="shared" ref="Y264:Y327" ca="1" si="12">IFERROR((W264-X264)/W264,"")</f>
        <v/>
      </c>
      <c r="Z264" s="4" t="str">
        <f>IFERROR($U$2-AVERAGEIFS(unit_details[First Listed],
          unit_details[Active Listing?],TRUE,
          unit_details[Property Name], $B264,
          unit_details[Beds], $D264,
          unit_details[Baths], $E264,
          unit_details[Partial Baths], IF(ISNUMBER($F264),$F264,""),
          unit_details[Floorplan Name],$C264
),"")</f>
        <v/>
      </c>
      <c r="AA264" s="262" cm="1">
        <f t="array" aca="1" ref="AA264" ca="1">COUNTIFS(unit_details[Active Listing?],TRUE,
          unit_details[Floorplan Name], INDIRECT("C"&amp;ROW()),
          unit_details[Property Name], INDIRECT("B"&amp;ROW()))</f>
        <v>0</v>
      </c>
      <c r="AB264" s="553"/>
      <c r="AC264" s="528" cm="1">
        <f t="array" aca="1" ref="AC264" ca="1">IFERROR(AVERAGEIFS(
  unit_details[Sqft],
  unit_details[Property Name], INDIRECT("B"&amp;ROW()),
  unit_details[Floorplan Name], INDIRECT("C"&amp;ROW()),
  unit_details[Beds], INDIRECT("D"&amp;ROW()),
  unit_details[Detected Unit Amenities], "*"&amp;$AD$3&amp;"*",
  unit_details[Leased Date], "&gt;=" &amp; ($U$2 - $AF$3)
),0)</f>
        <v>0</v>
      </c>
      <c r="AD264" s="527" cm="1">
        <f t="array" aca="1" ref="AD2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4" s="526" cm="1">
        <f t="array" aca="1" ref="AE264" ca="1">IFERROR(COUNTIFS(
  unit_details[Property Name], INDIRECT("B"&amp;ROW()),
  unit_details[Floorplan Name], INDIRECT("C"&amp;ROW()),
  unit_details[Beds], INDIRECT("D"&amp;ROW()),
  unit_details[Detected Unit Amenities], "*"&amp;$AD$3&amp;"*",
  unit_details[Leased Date], "&gt;=" &amp; ($U$2 - $AF$3)
),0)</f>
        <v>0</v>
      </c>
      <c r="AF264" s="528" cm="1">
        <f t="array" aca="1" ref="AF264" ca="1">IFERROR(AVERAGEIFS(
  unit_details[Sqft],
  unit_details[Property Name], INDIRECT("B"&amp;ROW()),
  unit_details[Floorplan Name], INDIRECT("C"&amp;ROW()),
  unit_details[Beds], INDIRECT("D"&amp;ROW()),
  unit_details[Detected Unit Amenities], "&lt;&gt;*"&amp;$AD$3&amp;"*",
  unit_details[Leased Date], "&gt;=" &amp; ($U$2 - $AF$3)
),0)</f>
        <v>0</v>
      </c>
      <c r="AG264" s="527" cm="1">
        <f t="array" aca="1" ref="AG2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4" s="526" cm="1">
        <f t="array" aca="1" ref="AH264" ca="1">IFERROR(COUNTIFS(
  unit_details[Property Name], INDIRECT("B"&amp;ROW()),
  unit_details[Floorplan Name], INDIRECT("C"&amp;ROW()),
  unit_details[Beds], INDIRECT("D"&amp;ROW()),
  unit_details[Detected Unit Amenities], "&lt;&gt;*"&amp;$AD$3&amp;"*",
  unit_details[Leased Date], "&gt;=" &amp; ($U$2 - $AF$3)
),0)</f>
        <v>0</v>
      </c>
      <c r="AI264" s="528"/>
      <c r="AJ264" s="531">
        <f t="shared" ca="1" si="10"/>
        <v>0</v>
      </c>
      <c r="AK264" s="532">
        <f t="shared" ca="1" si="11"/>
        <v>0</v>
      </c>
    </row>
    <row r="265" spans="2:37" x14ac:dyDescent="0.2">
      <c r="B265" s="566"/>
      <c r="C265" s="53"/>
      <c r="E265" s="262"/>
      <c r="F265" s="262"/>
      <c r="J265" s="293"/>
      <c r="K265" s="6"/>
      <c r="M265" s="538"/>
      <c r="N265" s="531" t="str" cm="1">
        <f t="array" aca="1" ref="N26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5" s="552" t="str" cm="1">
        <f t="array" aca="1" ref="O26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5" s="526" cm="1">
        <f t="array" aca="1" ref="P265" ca="1">COUNTIFS(unit_details[Leased Date], "&gt;=" &amp; ($U$2 - N$5),
          unit_details[Leased Date], "&lt;" &amp; $U$2,
          unit_details[Floorplan Name], INDIRECT("C"&amp;ROW()),
          unit_details[Property Name], INDIRECT("B"&amp;ROW()))</f>
        <v>0</v>
      </c>
      <c r="Q265" s="531" t="str" cm="1">
        <f t="array" aca="1" ref="Q26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5" s="552" t="str" cm="1">
        <f t="array" aca="1" ref="R26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5" s="526" cm="1">
        <f t="array" aca="1" ref="S265" ca="1">COUNTIFS(unit_details[Leased Date], "&gt;=" &amp; ($U$2 - Q$5),
          unit_details[Leased Date], "&lt;" &amp; $U$2,
          unit_details[Floorplan Name], INDIRECT("C"&amp;ROW()),
          unit_details[Property Name], INDIRECT("B"&amp;ROW()))</f>
        <v>0</v>
      </c>
      <c r="T265" s="531" t="str" cm="1">
        <f t="array" aca="1" ref="T26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5" s="552" t="str" cm="1">
        <f t="array" aca="1" ref="U26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5" s="526" cm="1">
        <f t="array" aca="1" ref="V265" ca="1">COUNTIFS(unit_details[Leased Date], "&gt;=" &amp; ($U$2 - T$5),
          unit_details[Leased Date], "&lt;" &amp; $U$2,
          unit_details[Floorplan Name], INDIRECT("C"&amp;ROW()),
          unit_details[Property Name], INDIRECT("B"&amp;ROW()))</f>
        <v>0</v>
      </c>
      <c r="W265" s="531" t="str" cm="1">
        <f t="array" aca="1" ref="W26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5" s="552" t="str" cm="1">
        <f t="array" aca="1" ref="X26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5" s="27" t="str">
        <f t="shared" ca="1" si="12"/>
        <v/>
      </c>
      <c r="Z265" s="4" t="str">
        <f>IFERROR($U$2-AVERAGEIFS(unit_details[First Listed],
          unit_details[Active Listing?],TRUE,
          unit_details[Property Name], $B265,
          unit_details[Beds], $D265,
          unit_details[Baths], $E265,
          unit_details[Partial Baths], IF(ISNUMBER($F265),$F265,""),
          unit_details[Floorplan Name],$C265
),"")</f>
        <v/>
      </c>
      <c r="AA265" s="262" cm="1">
        <f t="array" aca="1" ref="AA265" ca="1">COUNTIFS(unit_details[Active Listing?],TRUE,
          unit_details[Floorplan Name], INDIRECT("C"&amp;ROW()),
          unit_details[Property Name], INDIRECT("B"&amp;ROW()))</f>
        <v>0</v>
      </c>
      <c r="AB265" s="553"/>
      <c r="AC265" s="528" cm="1">
        <f t="array" aca="1" ref="AC265" ca="1">IFERROR(AVERAGEIFS(
  unit_details[Sqft],
  unit_details[Property Name], INDIRECT("B"&amp;ROW()),
  unit_details[Floorplan Name], INDIRECT("C"&amp;ROW()),
  unit_details[Beds], INDIRECT("D"&amp;ROW()),
  unit_details[Detected Unit Amenities], "*"&amp;$AD$3&amp;"*",
  unit_details[Leased Date], "&gt;=" &amp; ($U$2 - $AF$3)
),0)</f>
        <v>0</v>
      </c>
      <c r="AD265" s="527" cm="1">
        <f t="array" aca="1" ref="AD2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5" s="526" cm="1">
        <f t="array" aca="1" ref="AE265" ca="1">IFERROR(COUNTIFS(
  unit_details[Property Name], INDIRECT("B"&amp;ROW()),
  unit_details[Floorplan Name], INDIRECT("C"&amp;ROW()),
  unit_details[Beds], INDIRECT("D"&amp;ROW()),
  unit_details[Detected Unit Amenities], "*"&amp;$AD$3&amp;"*",
  unit_details[Leased Date], "&gt;=" &amp; ($U$2 - $AF$3)
),0)</f>
        <v>0</v>
      </c>
      <c r="AF265" s="528" cm="1">
        <f t="array" aca="1" ref="AF265" ca="1">IFERROR(AVERAGEIFS(
  unit_details[Sqft],
  unit_details[Property Name], INDIRECT("B"&amp;ROW()),
  unit_details[Floorplan Name], INDIRECT("C"&amp;ROW()),
  unit_details[Beds], INDIRECT("D"&amp;ROW()),
  unit_details[Detected Unit Amenities], "&lt;&gt;*"&amp;$AD$3&amp;"*",
  unit_details[Leased Date], "&gt;=" &amp; ($U$2 - $AF$3)
),0)</f>
        <v>0</v>
      </c>
      <c r="AG265" s="527" cm="1">
        <f t="array" aca="1" ref="AG2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5" s="526" cm="1">
        <f t="array" aca="1" ref="AH265" ca="1">IFERROR(COUNTIFS(
  unit_details[Property Name], INDIRECT("B"&amp;ROW()),
  unit_details[Floorplan Name], INDIRECT("C"&amp;ROW()),
  unit_details[Beds], INDIRECT("D"&amp;ROW()),
  unit_details[Detected Unit Amenities], "&lt;&gt;*"&amp;$AD$3&amp;"*",
  unit_details[Leased Date], "&gt;=" &amp; ($U$2 - $AF$3)
),0)</f>
        <v>0</v>
      </c>
      <c r="AI265" s="528"/>
      <c r="AJ265" s="531">
        <f t="shared" ref="AJ265:AJ328" ca="1" si="13">IF(OR(AD265=0,AG265=0),0,IFERROR(AD265-AG265,0))</f>
        <v>0</v>
      </c>
      <c r="AK265" s="532">
        <f t="shared" ref="AK265:AK328" ca="1" si="14">IFERROR(AJ265/AG265,0)</f>
        <v>0</v>
      </c>
    </row>
    <row r="266" spans="2:37" x14ac:dyDescent="0.2">
      <c r="B266" s="566"/>
      <c r="C266" s="53"/>
      <c r="E266" s="262"/>
      <c r="F266" s="262"/>
      <c r="J266" s="293"/>
      <c r="K266" s="6"/>
      <c r="M266" s="538"/>
      <c r="N266" s="531" t="str" cm="1">
        <f t="array" aca="1" ref="N26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6" s="552" t="str" cm="1">
        <f t="array" aca="1" ref="O26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6" s="526" cm="1">
        <f t="array" aca="1" ref="P266" ca="1">COUNTIFS(unit_details[Leased Date], "&gt;=" &amp; ($U$2 - N$5),
          unit_details[Leased Date], "&lt;" &amp; $U$2,
          unit_details[Floorplan Name], INDIRECT("C"&amp;ROW()),
          unit_details[Property Name], INDIRECT("B"&amp;ROW()))</f>
        <v>0</v>
      </c>
      <c r="Q266" s="531" t="str" cm="1">
        <f t="array" aca="1" ref="Q26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6" s="552" t="str" cm="1">
        <f t="array" aca="1" ref="R26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6" s="526" cm="1">
        <f t="array" aca="1" ref="S266" ca="1">COUNTIFS(unit_details[Leased Date], "&gt;=" &amp; ($U$2 - Q$5),
          unit_details[Leased Date], "&lt;" &amp; $U$2,
          unit_details[Floorplan Name], INDIRECT("C"&amp;ROW()),
          unit_details[Property Name], INDIRECT("B"&amp;ROW()))</f>
        <v>0</v>
      </c>
      <c r="T266" s="531" t="str" cm="1">
        <f t="array" aca="1" ref="T26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6" s="552" t="str" cm="1">
        <f t="array" aca="1" ref="U26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6" s="526" cm="1">
        <f t="array" aca="1" ref="V266" ca="1">COUNTIFS(unit_details[Leased Date], "&gt;=" &amp; ($U$2 - T$5),
          unit_details[Leased Date], "&lt;" &amp; $U$2,
          unit_details[Floorplan Name], INDIRECT("C"&amp;ROW()),
          unit_details[Property Name], INDIRECT("B"&amp;ROW()))</f>
        <v>0</v>
      </c>
      <c r="W266" s="531" t="str" cm="1">
        <f t="array" aca="1" ref="W26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6" s="552" t="str" cm="1">
        <f t="array" aca="1" ref="X26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6" s="27" t="str">
        <f t="shared" ca="1" si="12"/>
        <v/>
      </c>
      <c r="Z266" s="4" t="str">
        <f>IFERROR($U$2-AVERAGEIFS(unit_details[First Listed],
          unit_details[Active Listing?],TRUE,
          unit_details[Property Name], $B266,
          unit_details[Beds], $D266,
          unit_details[Baths], $E266,
          unit_details[Partial Baths], IF(ISNUMBER($F266),$F266,""),
          unit_details[Floorplan Name],$C266
),"")</f>
        <v/>
      </c>
      <c r="AA266" s="262" cm="1">
        <f t="array" aca="1" ref="AA266" ca="1">COUNTIFS(unit_details[Active Listing?],TRUE,
          unit_details[Floorplan Name], INDIRECT("C"&amp;ROW()),
          unit_details[Property Name], INDIRECT("B"&amp;ROW()))</f>
        <v>0</v>
      </c>
      <c r="AB266" s="553"/>
      <c r="AC266" s="528" cm="1">
        <f t="array" aca="1" ref="AC266" ca="1">IFERROR(AVERAGEIFS(
  unit_details[Sqft],
  unit_details[Property Name], INDIRECT("B"&amp;ROW()),
  unit_details[Floorplan Name], INDIRECT("C"&amp;ROW()),
  unit_details[Beds], INDIRECT("D"&amp;ROW()),
  unit_details[Detected Unit Amenities], "*"&amp;$AD$3&amp;"*",
  unit_details[Leased Date], "&gt;=" &amp; ($U$2 - $AF$3)
),0)</f>
        <v>0</v>
      </c>
      <c r="AD266" s="527" cm="1">
        <f t="array" aca="1" ref="AD2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6" s="526" cm="1">
        <f t="array" aca="1" ref="AE266" ca="1">IFERROR(COUNTIFS(
  unit_details[Property Name], INDIRECT("B"&amp;ROW()),
  unit_details[Floorplan Name], INDIRECT("C"&amp;ROW()),
  unit_details[Beds], INDIRECT("D"&amp;ROW()),
  unit_details[Detected Unit Amenities], "*"&amp;$AD$3&amp;"*",
  unit_details[Leased Date], "&gt;=" &amp; ($U$2 - $AF$3)
),0)</f>
        <v>0</v>
      </c>
      <c r="AF266" s="528" cm="1">
        <f t="array" aca="1" ref="AF266" ca="1">IFERROR(AVERAGEIFS(
  unit_details[Sqft],
  unit_details[Property Name], INDIRECT("B"&amp;ROW()),
  unit_details[Floorplan Name], INDIRECT("C"&amp;ROW()),
  unit_details[Beds], INDIRECT("D"&amp;ROW()),
  unit_details[Detected Unit Amenities], "&lt;&gt;*"&amp;$AD$3&amp;"*",
  unit_details[Leased Date], "&gt;=" &amp; ($U$2 - $AF$3)
),0)</f>
        <v>0</v>
      </c>
      <c r="AG266" s="527" cm="1">
        <f t="array" aca="1" ref="AG2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6" s="526" cm="1">
        <f t="array" aca="1" ref="AH266" ca="1">IFERROR(COUNTIFS(
  unit_details[Property Name], INDIRECT("B"&amp;ROW()),
  unit_details[Floorplan Name], INDIRECT("C"&amp;ROW()),
  unit_details[Beds], INDIRECT("D"&amp;ROW()),
  unit_details[Detected Unit Amenities], "&lt;&gt;*"&amp;$AD$3&amp;"*",
  unit_details[Leased Date], "&gt;=" &amp; ($U$2 - $AF$3)
),0)</f>
        <v>0</v>
      </c>
      <c r="AI266" s="528"/>
      <c r="AJ266" s="531">
        <f t="shared" ca="1" si="13"/>
        <v>0</v>
      </c>
      <c r="AK266" s="532">
        <f t="shared" ca="1" si="14"/>
        <v>0</v>
      </c>
    </row>
    <row r="267" spans="2:37" x14ac:dyDescent="0.2">
      <c r="B267" s="566"/>
      <c r="C267" s="53"/>
      <c r="E267" s="262"/>
      <c r="F267" s="262"/>
      <c r="J267" s="293"/>
      <c r="K267" s="6"/>
      <c r="M267" s="538"/>
      <c r="N267" s="531" t="str" cm="1">
        <f t="array" aca="1" ref="N26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7" s="552" t="str" cm="1">
        <f t="array" aca="1" ref="O26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7" s="526" cm="1">
        <f t="array" aca="1" ref="P267" ca="1">COUNTIFS(unit_details[Leased Date], "&gt;=" &amp; ($U$2 - N$5),
          unit_details[Leased Date], "&lt;" &amp; $U$2,
          unit_details[Floorplan Name], INDIRECT("C"&amp;ROW()),
          unit_details[Property Name], INDIRECT("B"&amp;ROW()))</f>
        <v>0</v>
      </c>
      <c r="Q267" s="531" t="str" cm="1">
        <f t="array" aca="1" ref="Q26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7" s="552" t="str" cm="1">
        <f t="array" aca="1" ref="R26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7" s="526" cm="1">
        <f t="array" aca="1" ref="S267" ca="1">COUNTIFS(unit_details[Leased Date], "&gt;=" &amp; ($U$2 - Q$5),
          unit_details[Leased Date], "&lt;" &amp; $U$2,
          unit_details[Floorplan Name], INDIRECT("C"&amp;ROW()),
          unit_details[Property Name], INDIRECT("B"&amp;ROW()))</f>
        <v>0</v>
      </c>
      <c r="T267" s="531" t="str" cm="1">
        <f t="array" aca="1" ref="T26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7" s="552" t="str" cm="1">
        <f t="array" aca="1" ref="U26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7" s="526" cm="1">
        <f t="array" aca="1" ref="V267" ca="1">COUNTIFS(unit_details[Leased Date], "&gt;=" &amp; ($U$2 - T$5),
          unit_details[Leased Date], "&lt;" &amp; $U$2,
          unit_details[Floorplan Name], INDIRECT("C"&amp;ROW()),
          unit_details[Property Name], INDIRECT("B"&amp;ROW()))</f>
        <v>0</v>
      </c>
      <c r="W267" s="531" t="str" cm="1">
        <f t="array" aca="1" ref="W26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7" s="552" t="str" cm="1">
        <f t="array" aca="1" ref="X26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7" s="27" t="str">
        <f t="shared" ca="1" si="12"/>
        <v/>
      </c>
      <c r="Z267" s="4" t="str">
        <f>IFERROR($U$2-AVERAGEIFS(unit_details[First Listed],
          unit_details[Active Listing?],TRUE,
          unit_details[Property Name], $B267,
          unit_details[Beds], $D267,
          unit_details[Baths], $E267,
          unit_details[Partial Baths], IF(ISNUMBER($F267),$F267,""),
          unit_details[Floorplan Name],$C267
),"")</f>
        <v/>
      </c>
      <c r="AA267" s="262" cm="1">
        <f t="array" aca="1" ref="AA267" ca="1">COUNTIFS(unit_details[Active Listing?],TRUE,
          unit_details[Floorplan Name], INDIRECT("C"&amp;ROW()),
          unit_details[Property Name], INDIRECT("B"&amp;ROW()))</f>
        <v>0</v>
      </c>
      <c r="AB267" s="553"/>
      <c r="AC267" s="528" cm="1">
        <f t="array" aca="1" ref="AC267" ca="1">IFERROR(AVERAGEIFS(
  unit_details[Sqft],
  unit_details[Property Name], INDIRECT("B"&amp;ROW()),
  unit_details[Floorplan Name], INDIRECT("C"&amp;ROW()),
  unit_details[Beds], INDIRECT("D"&amp;ROW()),
  unit_details[Detected Unit Amenities], "*"&amp;$AD$3&amp;"*",
  unit_details[Leased Date], "&gt;=" &amp; ($U$2 - $AF$3)
),0)</f>
        <v>0</v>
      </c>
      <c r="AD267" s="527" cm="1">
        <f t="array" aca="1" ref="AD2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7" s="526" cm="1">
        <f t="array" aca="1" ref="AE267" ca="1">IFERROR(COUNTIFS(
  unit_details[Property Name], INDIRECT("B"&amp;ROW()),
  unit_details[Floorplan Name], INDIRECT("C"&amp;ROW()),
  unit_details[Beds], INDIRECT("D"&amp;ROW()),
  unit_details[Detected Unit Amenities], "*"&amp;$AD$3&amp;"*",
  unit_details[Leased Date], "&gt;=" &amp; ($U$2 - $AF$3)
),0)</f>
        <v>0</v>
      </c>
      <c r="AF267" s="528" cm="1">
        <f t="array" aca="1" ref="AF267" ca="1">IFERROR(AVERAGEIFS(
  unit_details[Sqft],
  unit_details[Property Name], INDIRECT("B"&amp;ROW()),
  unit_details[Floorplan Name], INDIRECT("C"&amp;ROW()),
  unit_details[Beds], INDIRECT("D"&amp;ROW()),
  unit_details[Detected Unit Amenities], "&lt;&gt;*"&amp;$AD$3&amp;"*",
  unit_details[Leased Date], "&gt;=" &amp; ($U$2 - $AF$3)
),0)</f>
        <v>0</v>
      </c>
      <c r="AG267" s="527" cm="1">
        <f t="array" aca="1" ref="AG2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7" s="526" cm="1">
        <f t="array" aca="1" ref="AH267" ca="1">IFERROR(COUNTIFS(
  unit_details[Property Name], INDIRECT("B"&amp;ROW()),
  unit_details[Floorplan Name], INDIRECT("C"&amp;ROW()),
  unit_details[Beds], INDIRECT("D"&amp;ROW()),
  unit_details[Detected Unit Amenities], "&lt;&gt;*"&amp;$AD$3&amp;"*",
  unit_details[Leased Date], "&gt;=" &amp; ($U$2 - $AF$3)
),0)</f>
        <v>0</v>
      </c>
      <c r="AI267" s="528"/>
      <c r="AJ267" s="531">
        <f t="shared" ca="1" si="13"/>
        <v>0</v>
      </c>
      <c r="AK267" s="532">
        <f t="shared" ca="1" si="14"/>
        <v>0</v>
      </c>
    </row>
    <row r="268" spans="2:37" x14ac:dyDescent="0.2">
      <c r="B268" s="566"/>
      <c r="C268" s="53"/>
      <c r="E268" s="262"/>
      <c r="F268" s="262"/>
      <c r="J268" s="293"/>
      <c r="K268" s="6"/>
      <c r="M268" s="538"/>
      <c r="N268" s="531" t="str" cm="1">
        <f t="array" aca="1" ref="N26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8" s="552" t="str" cm="1">
        <f t="array" aca="1" ref="O26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8" s="526" cm="1">
        <f t="array" aca="1" ref="P268" ca="1">COUNTIFS(unit_details[Leased Date], "&gt;=" &amp; ($U$2 - N$5),
          unit_details[Leased Date], "&lt;" &amp; $U$2,
          unit_details[Floorplan Name], INDIRECT("C"&amp;ROW()),
          unit_details[Property Name], INDIRECT("B"&amp;ROW()))</f>
        <v>0</v>
      </c>
      <c r="Q268" s="531" t="str" cm="1">
        <f t="array" aca="1" ref="Q26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8" s="552" t="str" cm="1">
        <f t="array" aca="1" ref="R26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8" s="526" cm="1">
        <f t="array" aca="1" ref="S268" ca="1">COUNTIFS(unit_details[Leased Date], "&gt;=" &amp; ($U$2 - Q$5),
          unit_details[Leased Date], "&lt;" &amp; $U$2,
          unit_details[Floorplan Name], INDIRECT("C"&amp;ROW()),
          unit_details[Property Name], INDIRECT("B"&amp;ROW()))</f>
        <v>0</v>
      </c>
      <c r="T268" s="531" t="str" cm="1">
        <f t="array" aca="1" ref="T26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8" s="552" t="str" cm="1">
        <f t="array" aca="1" ref="U26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8" s="526" cm="1">
        <f t="array" aca="1" ref="V268" ca="1">COUNTIFS(unit_details[Leased Date], "&gt;=" &amp; ($U$2 - T$5),
          unit_details[Leased Date], "&lt;" &amp; $U$2,
          unit_details[Floorplan Name], INDIRECT("C"&amp;ROW()),
          unit_details[Property Name], INDIRECT("B"&amp;ROW()))</f>
        <v>0</v>
      </c>
      <c r="W268" s="531" t="str" cm="1">
        <f t="array" aca="1" ref="W26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8" s="552" t="str" cm="1">
        <f t="array" aca="1" ref="X26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8" s="27" t="str">
        <f t="shared" ca="1" si="12"/>
        <v/>
      </c>
      <c r="Z268" s="4" t="str">
        <f>IFERROR($U$2-AVERAGEIFS(unit_details[First Listed],
          unit_details[Active Listing?],TRUE,
          unit_details[Property Name], $B268,
          unit_details[Beds], $D268,
          unit_details[Baths], $E268,
          unit_details[Partial Baths], IF(ISNUMBER($F268),$F268,""),
          unit_details[Floorplan Name],$C268
),"")</f>
        <v/>
      </c>
      <c r="AA268" s="262" cm="1">
        <f t="array" aca="1" ref="AA268" ca="1">COUNTIFS(unit_details[Active Listing?],TRUE,
          unit_details[Floorplan Name], INDIRECT("C"&amp;ROW()),
          unit_details[Property Name], INDIRECT("B"&amp;ROW()))</f>
        <v>0</v>
      </c>
      <c r="AB268" s="553"/>
      <c r="AC268" s="528" cm="1">
        <f t="array" aca="1" ref="AC268" ca="1">IFERROR(AVERAGEIFS(
  unit_details[Sqft],
  unit_details[Property Name], INDIRECT("B"&amp;ROW()),
  unit_details[Floorplan Name], INDIRECT("C"&amp;ROW()),
  unit_details[Beds], INDIRECT("D"&amp;ROW()),
  unit_details[Detected Unit Amenities], "*"&amp;$AD$3&amp;"*",
  unit_details[Leased Date], "&gt;=" &amp; ($U$2 - $AF$3)
),0)</f>
        <v>0</v>
      </c>
      <c r="AD268" s="527" cm="1">
        <f t="array" aca="1" ref="AD2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8" s="526" cm="1">
        <f t="array" aca="1" ref="AE268" ca="1">IFERROR(COUNTIFS(
  unit_details[Property Name], INDIRECT("B"&amp;ROW()),
  unit_details[Floorplan Name], INDIRECT("C"&amp;ROW()),
  unit_details[Beds], INDIRECT("D"&amp;ROW()),
  unit_details[Detected Unit Amenities], "*"&amp;$AD$3&amp;"*",
  unit_details[Leased Date], "&gt;=" &amp; ($U$2 - $AF$3)
),0)</f>
        <v>0</v>
      </c>
      <c r="AF268" s="528" cm="1">
        <f t="array" aca="1" ref="AF268" ca="1">IFERROR(AVERAGEIFS(
  unit_details[Sqft],
  unit_details[Property Name], INDIRECT("B"&amp;ROW()),
  unit_details[Floorplan Name], INDIRECT("C"&amp;ROW()),
  unit_details[Beds], INDIRECT("D"&amp;ROW()),
  unit_details[Detected Unit Amenities], "&lt;&gt;*"&amp;$AD$3&amp;"*",
  unit_details[Leased Date], "&gt;=" &amp; ($U$2 - $AF$3)
),0)</f>
        <v>0</v>
      </c>
      <c r="AG268" s="527" cm="1">
        <f t="array" aca="1" ref="AG2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8" s="526" cm="1">
        <f t="array" aca="1" ref="AH268" ca="1">IFERROR(COUNTIFS(
  unit_details[Property Name], INDIRECT("B"&amp;ROW()),
  unit_details[Floorplan Name], INDIRECT("C"&amp;ROW()),
  unit_details[Beds], INDIRECT("D"&amp;ROW()),
  unit_details[Detected Unit Amenities], "&lt;&gt;*"&amp;$AD$3&amp;"*",
  unit_details[Leased Date], "&gt;=" &amp; ($U$2 - $AF$3)
),0)</f>
        <v>0</v>
      </c>
      <c r="AI268" s="528"/>
      <c r="AJ268" s="531">
        <f t="shared" ca="1" si="13"/>
        <v>0</v>
      </c>
      <c r="AK268" s="532">
        <f t="shared" ca="1" si="14"/>
        <v>0</v>
      </c>
    </row>
    <row r="269" spans="2:37" x14ac:dyDescent="0.2">
      <c r="B269" s="566"/>
      <c r="C269" s="53"/>
      <c r="E269" s="262"/>
      <c r="F269" s="262"/>
      <c r="J269" s="293"/>
      <c r="K269" s="6"/>
      <c r="M269" s="538"/>
      <c r="N269" s="531" t="str" cm="1">
        <f t="array" aca="1" ref="N26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69" s="552" t="str" cm="1">
        <f t="array" aca="1" ref="O26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69" s="526" cm="1">
        <f t="array" aca="1" ref="P269" ca="1">COUNTIFS(unit_details[Leased Date], "&gt;=" &amp; ($U$2 - N$5),
          unit_details[Leased Date], "&lt;" &amp; $U$2,
          unit_details[Floorplan Name], INDIRECT("C"&amp;ROW()),
          unit_details[Property Name], INDIRECT("B"&amp;ROW()))</f>
        <v>0</v>
      </c>
      <c r="Q269" s="531" t="str" cm="1">
        <f t="array" aca="1" ref="Q26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69" s="552" t="str" cm="1">
        <f t="array" aca="1" ref="R26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69" s="526" cm="1">
        <f t="array" aca="1" ref="S269" ca="1">COUNTIFS(unit_details[Leased Date], "&gt;=" &amp; ($U$2 - Q$5),
          unit_details[Leased Date], "&lt;" &amp; $U$2,
          unit_details[Floorplan Name], INDIRECT("C"&amp;ROW()),
          unit_details[Property Name], INDIRECT("B"&amp;ROW()))</f>
        <v>0</v>
      </c>
      <c r="T269" s="531" t="str" cm="1">
        <f t="array" aca="1" ref="T26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69" s="552" t="str" cm="1">
        <f t="array" aca="1" ref="U26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69" s="526" cm="1">
        <f t="array" aca="1" ref="V269" ca="1">COUNTIFS(unit_details[Leased Date], "&gt;=" &amp; ($U$2 - T$5),
          unit_details[Leased Date], "&lt;" &amp; $U$2,
          unit_details[Floorplan Name], INDIRECT("C"&amp;ROW()),
          unit_details[Property Name], INDIRECT("B"&amp;ROW()))</f>
        <v>0</v>
      </c>
      <c r="W269" s="531" t="str" cm="1">
        <f t="array" aca="1" ref="W26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69" s="552" t="str" cm="1">
        <f t="array" aca="1" ref="X26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69" s="27" t="str">
        <f t="shared" ca="1" si="12"/>
        <v/>
      </c>
      <c r="Z269" s="4" t="str">
        <f>IFERROR($U$2-AVERAGEIFS(unit_details[First Listed],
          unit_details[Active Listing?],TRUE,
          unit_details[Property Name], $B269,
          unit_details[Beds], $D269,
          unit_details[Baths], $E269,
          unit_details[Partial Baths], IF(ISNUMBER($F269),$F269,""),
          unit_details[Floorplan Name],$C269
),"")</f>
        <v/>
      </c>
      <c r="AA269" s="262" cm="1">
        <f t="array" aca="1" ref="AA269" ca="1">COUNTIFS(unit_details[Active Listing?],TRUE,
          unit_details[Floorplan Name], INDIRECT("C"&amp;ROW()),
          unit_details[Property Name], INDIRECT("B"&amp;ROW()))</f>
        <v>0</v>
      </c>
      <c r="AB269" s="553"/>
      <c r="AC269" s="528" cm="1">
        <f t="array" aca="1" ref="AC269" ca="1">IFERROR(AVERAGEIFS(
  unit_details[Sqft],
  unit_details[Property Name], INDIRECT("B"&amp;ROW()),
  unit_details[Floorplan Name], INDIRECT("C"&amp;ROW()),
  unit_details[Beds], INDIRECT("D"&amp;ROW()),
  unit_details[Detected Unit Amenities], "*"&amp;$AD$3&amp;"*",
  unit_details[Leased Date], "&gt;=" &amp; ($U$2 - $AF$3)
),0)</f>
        <v>0</v>
      </c>
      <c r="AD269" s="527" cm="1">
        <f t="array" aca="1" ref="AD2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69" s="526" cm="1">
        <f t="array" aca="1" ref="AE269" ca="1">IFERROR(COUNTIFS(
  unit_details[Property Name], INDIRECT("B"&amp;ROW()),
  unit_details[Floorplan Name], INDIRECT("C"&amp;ROW()),
  unit_details[Beds], INDIRECT("D"&amp;ROW()),
  unit_details[Detected Unit Amenities], "*"&amp;$AD$3&amp;"*",
  unit_details[Leased Date], "&gt;=" &amp; ($U$2 - $AF$3)
),0)</f>
        <v>0</v>
      </c>
      <c r="AF269" s="528" cm="1">
        <f t="array" aca="1" ref="AF269" ca="1">IFERROR(AVERAGEIFS(
  unit_details[Sqft],
  unit_details[Property Name], INDIRECT("B"&amp;ROW()),
  unit_details[Floorplan Name], INDIRECT("C"&amp;ROW()),
  unit_details[Beds], INDIRECT("D"&amp;ROW()),
  unit_details[Detected Unit Amenities], "&lt;&gt;*"&amp;$AD$3&amp;"*",
  unit_details[Leased Date], "&gt;=" &amp; ($U$2 - $AF$3)
),0)</f>
        <v>0</v>
      </c>
      <c r="AG269" s="527" cm="1">
        <f t="array" aca="1" ref="AG2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69" s="526" cm="1">
        <f t="array" aca="1" ref="AH269" ca="1">IFERROR(COUNTIFS(
  unit_details[Property Name], INDIRECT("B"&amp;ROW()),
  unit_details[Floorplan Name], INDIRECT("C"&amp;ROW()),
  unit_details[Beds], INDIRECT("D"&amp;ROW()),
  unit_details[Detected Unit Amenities], "&lt;&gt;*"&amp;$AD$3&amp;"*",
  unit_details[Leased Date], "&gt;=" &amp; ($U$2 - $AF$3)
),0)</f>
        <v>0</v>
      </c>
      <c r="AI269" s="528"/>
      <c r="AJ269" s="531">
        <f t="shared" ca="1" si="13"/>
        <v>0</v>
      </c>
      <c r="AK269" s="532">
        <f t="shared" ca="1" si="14"/>
        <v>0</v>
      </c>
    </row>
    <row r="270" spans="2:37" x14ac:dyDescent="0.2">
      <c r="B270" s="566"/>
      <c r="C270" s="53"/>
      <c r="E270" s="262"/>
      <c r="F270" s="262"/>
      <c r="J270" s="293"/>
      <c r="K270" s="6"/>
      <c r="M270" s="538"/>
      <c r="N270" s="531" t="str" cm="1">
        <f t="array" aca="1" ref="N27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0" s="552" t="str" cm="1">
        <f t="array" aca="1" ref="O27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0" s="526" cm="1">
        <f t="array" aca="1" ref="P270" ca="1">COUNTIFS(unit_details[Leased Date], "&gt;=" &amp; ($U$2 - N$5),
          unit_details[Leased Date], "&lt;" &amp; $U$2,
          unit_details[Floorplan Name], INDIRECT("C"&amp;ROW()),
          unit_details[Property Name], INDIRECT("B"&amp;ROW()))</f>
        <v>0</v>
      </c>
      <c r="Q270" s="531" t="str" cm="1">
        <f t="array" aca="1" ref="Q27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0" s="552" t="str" cm="1">
        <f t="array" aca="1" ref="R27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0" s="526" cm="1">
        <f t="array" aca="1" ref="S270" ca="1">COUNTIFS(unit_details[Leased Date], "&gt;=" &amp; ($U$2 - Q$5),
          unit_details[Leased Date], "&lt;" &amp; $U$2,
          unit_details[Floorplan Name], INDIRECT("C"&amp;ROW()),
          unit_details[Property Name], INDIRECT("B"&amp;ROW()))</f>
        <v>0</v>
      </c>
      <c r="T270" s="531" t="str" cm="1">
        <f t="array" aca="1" ref="T27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0" s="552" t="str" cm="1">
        <f t="array" aca="1" ref="U27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0" s="526" cm="1">
        <f t="array" aca="1" ref="V270" ca="1">COUNTIFS(unit_details[Leased Date], "&gt;=" &amp; ($U$2 - T$5),
          unit_details[Leased Date], "&lt;" &amp; $U$2,
          unit_details[Floorplan Name], INDIRECT("C"&amp;ROW()),
          unit_details[Property Name], INDIRECT("B"&amp;ROW()))</f>
        <v>0</v>
      </c>
      <c r="W270" s="531" t="str" cm="1">
        <f t="array" aca="1" ref="W27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0" s="552" t="str" cm="1">
        <f t="array" aca="1" ref="X27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0" s="27" t="str">
        <f t="shared" ca="1" si="12"/>
        <v/>
      </c>
      <c r="Z270" s="4" t="str">
        <f>IFERROR($U$2-AVERAGEIFS(unit_details[First Listed],
          unit_details[Active Listing?],TRUE,
          unit_details[Property Name], $B270,
          unit_details[Beds], $D270,
          unit_details[Baths], $E270,
          unit_details[Partial Baths], IF(ISNUMBER($F270),$F270,""),
          unit_details[Floorplan Name],$C270
),"")</f>
        <v/>
      </c>
      <c r="AA270" s="262" cm="1">
        <f t="array" aca="1" ref="AA270" ca="1">COUNTIFS(unit_details[Active Listing?],TRUE,
          unit_details[Floorplan Name], INDIRECT("C"&amp;ROW()),
          unit_details[Property Name], INDIRECT("B"&amp;ROW()))</f>
        <v>0</v>
      </c>
      <c r="AB270" s="553"/>
      <c r="AC270" s="528" cm="1">
        <f t="array" aca="1" ref="AC270" ca="1">IFERROR(AVERAGEIFS(
  unit_details[Sqft],
  unit_details[Property Name], INDIRECT("B"&amp;ROW()),
  unit_details[Floorplan Name], INDIRECT("C"&amp;ROW()),
  unit_details[Beds], INDIRECT("D"&amp;ROW()),
  unit_details[Detected Unit Amenities], "*"&amp;$AD$3&amp;"*",
  unit_details[Leased Date], "&gt;=" &amp; ($U$2 - $AF$3)
),0)</f>
        <v>0</v>
      </c>
      <c r="AD270" s="527" cm="1">
        <f t="array" aca="1" ref="AD2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0" s="526" cm="1">
        <f t="array" aca="1" ref="AE270" ca="1">IFERROR(COUNTIFS(
  unit_details[Property Name], INDIRECT("B"&amp;ROW()),
  unit_details[Floorplan Name], INDIRECT("C"&amp;ROW()),
  unit_details[Beds], INDIRECT("D"&amp;ROW()),
  unit_details[Detected Unit Amenities], "*"&amp;$AD$3&amp;"*",
  unit_details[Leased Date], "&gt;=" &amp; ($U$2 - $AF$3)
),0)</f>
        <v>0</v>
      </c>
      <c r="AF270" s="528" cm="1">
        <f t="array" aca="1" ref="AF270" ca="1">IFERROR(AVERAGEIFS(
  unit_details[Sqft],
  unit_details[Property Name], INDIRECT("B"&amp;ROW()),
  unit_details[Floorplan Name], INDIRECT("C"&amp;ROW()),
  unit_details[Beds], INDIRECT("D"&amp;ROW()),
  unit_details[Detected Unit Amenities], "&lt;&gt;*"&amp;$AD$3&amp;"*",
  unit_details[Leased Date], "&gt;=" &amp; ($U$2 - $AF$3)
),0)</f>
        <v>0</v>
      </c>
      <c r="AG270" s="527" cm="1">
        <f t="array" aca="1" ref="AG2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0" s="526" cm="1">
        <f t="array" aca="1" ref="AH270" ca="1">IFERROR(COUNTIFS(
  unit_details[Property Name], INDIRECT("B"&amp;ROW()),
  unit_details[Floorplan Name], INDIRECT("C"&amp;ROW()),
  unit_details[Beds], INDIRECT("D"&amp;ROW()),
  unit_details[Detected Unit Amenities], "&lt;&gt;*"&amp;$AD$3&amp;"*",
  unit_details[Leased Date], "&gt;=" &amp; ($U$2 - $AF$3)
),0)</f>
        <v>0</v>
      </c>
      <c r="AI270" s="528"/>
      <c r="AJ270" s="531">
        <f t="shared" ca="1" si="13"/>
        <v>0</v>
      </c>
      <c r="AK270" s="532">
        <f t="shared" ca="1" si="14"/>
        <v>0</v>
      </c>
    </row>
    <row r="271" spans="2:37" x14ac:dyDescent="0.2">
      <c r="B271" s="566"/>
      <c r="C271" s="53"/>
      <c r="E271" s="262"/>
      <c r="F271" s="262"/>
      <c r="J271" s="293"/>
      <c r="K271" s="6"/>
      <c r="M271" s="538"/>
      <c r="N271" s="531" t="str" cm="1">
        <f t="array" aca="1" ref="N27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1" s="552" t="str" cm="1">
        <f t="array" aca="1" ref="O27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1" s="526" cm="1">
        <f t="array" aca="1" ref="P271" ca="1">COUNTIFS(unit_details[Leased Date], "&gt;=" &amp; ($U$2 - N$5),
          unit_details[Leased Date], "&lt;" &amp; $U$2,
          unit_details[Floorplan Name], INDIRECT("C"&amp;ROW()),
          unit_details[Property Name], INDIRECT("B"&amp;ROW()))</f>
        <v>0</v>
      </c>
      <c r="Q271" s="531" t="str" cm="1">
        <f t="array" aca="1" ref="Q27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1" s="552" t="str" cm="1">
        <f t="array" aca="1" ref="R27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1" s="526" cm="1">
        <f t="array" aca="1" ref="S271" ca="1">COUNTIFS(unit_details[Leased Date], "&gt;=" &amp; ($U$2 - Q$5),
          unit_details[Leased Date], "&lt;" &amp; $U$2,
          unit_details[Floorplan Name], INDIRECT("C"&amp;ROW()),
          unit_details[Property Name], INDIRECT("B"&amp;ROW()))</f>
        <v>0</v>
      </c>
      <c r="T271" s="531" t="str" cm="1">
        <f t="array" aca="1" ref="T27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1" s="552" t="str" cm="1">
        <f t="array" aca="1" ref="U27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1" s="526" cm="1">
        <f t="array" aca="1" ref="V271" ca="1">COUNTIFS(unit_details[Leased Date], "&gt;=" &amp; ($U$2 - T$5),
          unit_details[Leased Date], "&lt;" &amp; $U$2,
          unit_details[Floorplan Name], INDIRECT("C"&amp;ROW()),
          unit_details[Property Name], INDIRECT("B"&amp;ROW()))</f>
        <v>0</v>
      </c>
      <c r="W271" s="531" t="str" cm="1">
        <f t="array" aca="1" ref="W27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1" s="552" t="str" cm="1">
        <f t="array" aca="1" ref="X27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1" s="27" t="str">
        <f t="shared" ca="1" si="12"/>
        <v/>
      </c>
      <c r="Z271" s="4" t="str">
        <f>IFERROR($U$2-AVERAGEIFS(unit_details[First Listed],
          unit_details[Active Listing?],TRUE,
          unit_details[Property Name], $B271,
          unit_details[Beds], $D271,
          unit_details[Baths], $E271,
          unit_details[Partial Baths], IF(ISNUMBER($F271),$F271,""),
          unit_details[Floorplan Name],$C271
),"")</f>
        <v/>
      </c>
      <c r="AA271" s="262" cm="1">
        <f t="array" aca="1" ref="AA271" ca="1">COUNTIFS(unit_details[Active Listing?],TRUE,
          unit_details[Floorplan Name], INDIRECT("C"&amp;ROW()),
          unit_details[Property Name], INDIRECT("B"&amp;ROW()))</f>
        <v>0</v>
      </c>
      <c r="AB271" s="553"/>
      <c r="AC271" s="528" cm="1">
        <f t="array" aca="1" ref="AC271" ca="1">IFERROR(AVERAGEIFS(
  unit_details[Sqft],
  unit_details[Property Name], INDIRECT("B"&amp;ROW()),
  unit_details[Floorplan Name], INDIRECT("C"&amp;ROW()),
  unit_details[Beds], INDIRECT("D"&amp;ROW()),
  unit_details[Detected Unit Amenities], "*"&amp;$AD$3&amp;"*",
  unit_details[Leased Date], "&gt;=" &amp; ($U$2 - $AF$3)
),0)</f>
        <v>0</v>
      </c>
      <c r="AD271" s="527" cm="1">
        <f t="array" aca="1" ref="AD2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1" s="526" cm="1">
        <f t="array" aca="1" ref="AE271" ca="1">IFERROR(COUNTIFS(
  unit_details[Property Name], INDIRECT("B"&amp;ROW()),
  unit_details[Floorplan Name], INDIRECT("C"&amp;ROW()),
  unit_details[Beds], INDIRECT("D"&amp;ROW()),
  unit_details[Detected Unit Amenities], "*"&amp;$AD$3&amp;"*",
  unit_details[Leased Date], "&gt;=" &amp; ($U$2 - $AF$3)
),0)</f>
        <v>0</v>
      </c>
      <c r="AF271" s="528" cm="1">
        <f t="array" aca="1" ref="AF271" ca="1">IFERROR(AVERAGEIFS(
  unit_details[Sqft],
  unit_details[Property Name], INDIRECT("B"&amp;ROW()),
  unit_details[Floorplan Name], INDIRECT("C"&amp;ROW()),
  unit_details[Beds], INDIRECT("D"&amp;ROW()),
  unit_details[Detected Unit Amenities], "&lt;&gt;*"&amp;$AD$3&amp;"*",
  unit_details[Leased Date], "&gt;=" &amp; ($U$2 - $AF$3)
),0)</f>
        <v>0</v>
      </c>
      <c r="AG271" s="527" cm="1">
        <f t="array" aca="1" ref="AG2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1" s="526" cm="1">
        <f t="array" aca="1" ref="AH271" ca="1">IFERROR(COUNTIFS(
  unit_details[Property Name], INDIRECT("B"&amp;ROW()),
  unit_details[Floorplan Name], INDIRECT("C"&amp;ROW()),
  unit_details[Beds], INDIRECT("D"&amp;ROW()),
  unit_details[Detected Unit Amenities], "&lt;&gt;*"&amp;$AD$3&amp;"*",
  unit_details[Leased Date], "&gt;=" &amp; ($U$2 - $AF$3)
),0)</f>
        <v>0</v>
      </c>
      <c r="AI271" s="528"/>
      <c r="AJ271" s="531">
        <f t="shared" ca="1" si="13"/>
        <v>0</v>
      </c>
      <c r="AK271" s="532">
        <f t="shared" ca="1" si="14"/>
        <v>0</v>
      </c>
    </row>
    <row r="272" spans="2:37" x14ac:dyDescent="0.2">
      <c r="B272" s="566"/>
      <c r="C272" s="53"/>
      <c r="E272" s="262"/>
      <c r="F272" s="262"/>
      <c r="J272" s="293"/>
      <c r="K272" s="6"/>
      <c r="M272" s="538"/>
      <c r="N272" s="531" t="str" cm="1">
        <f t="array" aca="1" ref="N27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2" s="552" t="str" cm="1">
        <f t="array" aca="1" ref="O27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2" s="526" cm="1">
        <f t="array" aca="1" ref="P272" ca="1">COUNTIFS(unit_details[Leased Date], "&gt;=" &amp; ($U$2 - N$5),
          unit_details[Leased Date], "&lt;" &amp; $U$2,
          unit_details[Floorplan Name], INDIRECT("C"&amp;ROW()),
          unit_details[Property Name], INDIRECT("B"&amp;ROW()))</f>
        <v>0</v>
      </c>
      <c r="Q272" s="531" t="str" cm="1">
        <f t="array" aca="1" ref="Q27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2" s="552" t="str" cm="1">
        <f t="array" aca="1" ref="R27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2" s="526" cm="1">
        <f t="array" aca="1" ref="S272" ca="1">COUNTIFS(unit_details[Leased Date], "&gt;=" &amp; ($U$2 - Q$5),
          unit_details[Leased Date], "&lt;" &amp; $U$2,
          unit_details[Floorplan Name], INDIRECT("C"&amp;ROW()),
          unit_details[Property Name], INDIRECT("B"&amp;ROW()))</f>
        <v>0</v>
      </c>
      <c r="T272" s="531" t="str" cm="1">
        <f t="array" aca="1" ref="T27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2" s="552" t="str" cm="1">
        <f t="array" aca="1" ref="U27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2" s="526" cm="1">
        <f t="array" aca="1" ref="V272" ca="1">COUNTIFS(unit_details[Leased Date], "&gt;=" &amp; ($U$2 - T$5),
          unit_details[Leased Date], "&lt;" &amp; $U$2,
          unit_details[Floorplan Name], INDIRECT("C"&amp;ROW()),
          unit_details[Property Name], INDIRECT("B"&amp;ROW()))</f>
        <v>0</v>
      </c>
      <c r="W272" s="531" t="str" cm="1">
        <f t="array" aca="1" ref="W27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2" s="552" t="str" cm="1">
        <f t="array" aca="1" ref="X27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2" s="27" t="str">
        <f t="shared" ca="1" si="12"/>
        <v/>
      </c>
      <c r="Z272" s="4" t="str">
        <f>IFERROR($U$2-AVERAGEIFS(unit_details[First Listed],
          unit_details[Active Listing?],TRUE,
          unit_details[Property Name], $B272,
          unit_details[Beds], $D272,
          unit_details[Baths], $E272,
          unit_details[Partial Baths], IF(ISNUMBER($F272),$F272,""),
          unit_details[Floorplan Name],$C272
),"")</f>
        <v/>
      </c>
      <c r="AA272" s="262" cm="1">
        <f t="array" aca="1" ref="AA272" ca="1">COUNTIFS(unit_details[Active Listing?],TRUE,
          unit_details[Floorplan Name], INDIRECT("C"&amp;ROW()),
          unit_details[Property Name], INDIRECT("B"&amp;ROW()))</f>
        <v>0</v>
      </c>
      <c r="AB272" s="553"/>
      <c r="AC272" s="528" cm="1">
        <f t="array" aca="1" ref="AC272" ca="1">IFERROR(AVERAGEIFS(
  unit_details[Sqft],
  unit_details[Property Name], INDIRECT("B"&amp;ROW()),
  unit_details[Floorplan Name], INDIRECT("C"&amp;ROW()),
  unit_details[Beds], INDIRECT("D"&amp;ROW()),
  unit_details[Detected Unit Amenities], "*"&amp;$AD$3&amp;"*",
  unit_details[Leased Date], "&gt;=" &amp; ($U$2 - $AF$3)
),0)</f>
        <v>0</v>
      </c>
      <c r="AD272" s="527" cm="1">
        <f t="array" aca="1" ref="AD2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2" s="526" cm="1">
        <f t="array" aca="1" ref="AE272" ca="1">IFERROR(COUNTIFS(
  unit_details[Property Name], INDIRECT("B"&amp;ROW()),
  unit_details[Floorplan Name], INDIRECT("C"&amp;ROW()),
  unit_details[Beds], INDIRECT("D"&amp;ROW()),
  unit_details[Detected Unit Amenities], "*"&amp;$AD$3&amp;"*",
  unit_details[Leased Date], "&gt;=" &amp; ($U$2 - $AF$3)
),0)</f>
        <v>0</v>
      </c>
      <c r="AF272" s="528" cm="1">
        <f t="array" aca="1" ref="AF272" ca="1">IFERROR(AVERAGEIFS(
  unit_details[Sqft],
  unit_details[Property Name], INDIRECT("B"&amp;ROW()),
  unit_details[Floorplan Name], INDIRECT("C"&amp;ROW()),
  unit_details[Beds], INDIRECT("D"&amp;ROW()),
  unit_details[Detected Unit Amenities], "&lt;&gt;*"&amp;$AD$3&amp;"*",
  unit_details[Leased Date], "&gt;=" &amp; ($U$2 - $AF$3)
),0)</f>
        <v>0</v>
      </c>
      <c r="AG272" s="527" cm="1">
        <f t="array" aca="1" ref="AG2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2" s="526" cm="1">
        <f t="array" aca="1" ref="AH272" ca="1">IFERROR(COUNTIFS(
  unit_details[Property Name], INDIRECT("B"&amp;ROW()),
  unit_details[Floorplan Name], INDIRECT("C"&amp;ROW()),
  unit_details[Beds], INDIRECT("D"&amp;ROW()),
  unit_details[Detected Unit Amenities], "&lt;&gt;*"&amp;$AD$3&amp;"*",
  unit_details[Leased Date], "&gt;=" &amp; ($U$2 - $AF$3)
),0)</f>
        <v>0</v>
      </c>
      <c r="AI272" s="528"/>
      <c r="AJ272" s="531">
        <f t="shared" ca="1" si="13"/>
        <v>0</v>
      </c>
      <c r="AK272" s="532">
        <f t="shared" ca="1" si="14"/>
        <v>0</v>
      </c>
    </row>
    <row r="273" spans="2:37" x14ac:dyDescent="0.2">
      <c r="B273" s="566"/>
      <c r="C273" s="53"/>
      <c r="E273" s="262"/>
      <c r="F273" s="262"/>
      <c r="J273" s="293"/>
      <c r="K273" s="6"/>
      <c r="M273" s="538"/>
      <c r="N273" s="531" t="str" cm="1">
        <f t="array" aca="1" ref="N27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3" s="552" t="str" cm="1">
        <f t="array" aca="1" ref="O27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3" s="526" cm="1">
        <f t="array" aca="1" ref="P273" ca="1">COUNTIFS(unit_details[Leased Date], "&gt;=" &amp; ($U$2 - N$5),
          unit_details[Leased Date], "&lt;" &amp; $U$2,
          unit_details[Floorplan Name], INDIRECT("C"&amp;ROW()),
          unit_details[Property Name], INDIRECT("B"&amp;ROW()))</f>
        <v>0</v>
      </c>
      <c r="Q273" s="531" t="str" cm="1">
        <f t="array" aca="1" ref="Q27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3" s="552" t="str" cm="1">
        <f t="array" aca="1" ref="R27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3" s="526" cm="1">
        <f t="array" aca="1" ref="S273" ca="1">COUNTIFS(unit_details[Leased Date], "&gt;=" &amp; ($U$2 - Q$5),
          unit_details[Leased Date], "&lt;" &amp; $U$2,
          unit_details[Floorplan Name], INDIRECT("C"&amp;ROW()),
          unit_details[Property Name], INDIRECT("B"&amp;ROW()))</f>
        <v>0</v>
      </c>
      <c r="T273" s="531" t="str" cm="1">
        <f t="array" aca="1" ref="T27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3" s="552" t="str" cm="1">
        <f t="array" aca="1" ref="U27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3" s="526" cm="1">
        <f t="array" aca="1" ref="V273" ca="1">COUNTIFS(unit_details[Leased Date], "&gt;=" &amp; ($U$2 - T$5),
          unit_details[Leased Date], "&lt;" &amp; $U$2,
          unit_details[Floorplan Name], INDIRECT("C"&amp;ROW()),
          unit_details[Property Name], INDIRECT("B"&amp;ROW()))</f>
        <v>0</v>
      </c>
      <c r="W273" s="531" t="str" cm="1">
        <f t="array" aca="1" ref="W27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3" s="552" t="str" cm="1">
        <f t="array" aca="1" ref="X27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3" s="27" t="str">
        <f t="shared" ca="1" si="12"/>
        <v/>
      </c>
      <c r="Z273" s="4" t="str">
        <f>IFERROR($U$2-AVERAGEIFS(unit_details[First Listed],
          unit_details[Active Listing?],TRUE,
          unit_details[Property Name], $B273,
          unit_details[Beds], $D273,
          unit_details[Baths], $E273,
          unit_details[Partial Baths], IF(ISNUMBER($F273),$F273,""),
          unit_details[Floorplan Name],$C273
),"")</f>
        <v/>
      </c>
      <c r="AA273" s="262" cm="1">
        <f t="array" aca="1" ref="AA273" ca="1">COUNTIFS(unit_details[Active Listing?],TRUE,
          unit_details[Floorplan Name], INDIRECT("C"&amp;ROW()),
          unit_details[Property Name], INDIRECT("B"&amp;ROW()))</f>
        <v>0</v>
      </c>
      <c r="AB273" s="553"/>
      <c r="AC273" s="528" cm="1">
        <f t="array" aca="1" ref="AC273" ca="1">IFERROR(AVERAGEIFS(
  unit_details[Sqft],
  unit_details[Property Name], INDIRECT("B"&amp;ROW()),
  unit_details[Floorplan Name], INDIRECT("C"&amp;ROW()),
  unit_details[Beds], INDIRECT("D"&amp;ROW()),
  unit_details[Detected Unit Amenities], "*"&amp;$AD$3&amp;"*",
  unit_details[Leased Date], "&gt;=" &amp; ($U$2 - $AF$3)
),0)</f>
        <v>0</v>
      </c>
      <c r="AD273" s="527" cm="1">
        <f t="array" aca="1" ref="AD2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3" s="526" cm="1">
        <f t="array" aca="1" ref="AE273" ca="1">IFERROR(COUNTIFS(
  unit_details[Property Name], INDIRECT("B"&amp;ROW()),
  unit_details[Floorplan Name], INDIRECT("C"&amp;ROW()),
  unit_details[Beds], INDIRECT("D"&amp;ROW()),
  unit_details[Detected Unit Amenities], "*"&amp;$AD$3&amp;"*",
  unit_details[Leased Date], "&gt;=" &amp; ($U$2 - $AF$3)
),0)</f>
        <v>0</v>
      </c>
      <c r="AF273" s="528" cm="1">
        <f t="array" aca="1" ref="AF273" ca="1">IFERROR(AVERAGEIFS(
  unit_details[Sqft],
  unit_details[Property Name], INDIRECT("B"&amp;ROW()),
  unit_details[Floorplan Name], INDIRECT("C"&amp;ROW()),
  unit_details[Beds], INDIRECT("D"&amp;ROW()),
  unit_details[Detected Unit Amenities], "&lt;&gt;*"&amp;$AD$3&amp;"*",
  unit_details[Leased Date], "&gt;=" &amp; ($U$2 - $AF$3)
),0)</f>
        <v>0</v>
      </c>
      <c r="AG273" s="527" cm="1">
        <f t="array" aca="1" ref="AG2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3" s="526" cm="1">
        <f t="array" aca="1" ref="AH273" ca="1">IFERROR(COUNTIFS(
  unit_details[Property Name], INDIRECT("B"&amp;ROW()),
  unit_details[Floorplan Name], INDIRECT("C"&amp;ROW()),
  unit_details[Beds], INDIRECT("D"&amp;ROW()),
  unit_details[Detected Unit Amenities], "&lt;&gt;*"&amp;$AD$3&amp;"*",
  unit_details[Leased Date], "&gt;=" &amp; ($U$2 - $AF$3)
),0)</f>
        <v>0</v>
      </c>
      <c r="AI273" s="528"/>
      <c r="AJ273" s="531">
        <f t="shared" ca="1" si="13"/>
        <v>0</v>
      </c>
      <c r="AK273" s="532">
        <f t="shared" ca="1" si="14"/>
        <v>0</v>
      </c>
    </row>
    <row r="274" spans="2:37" x14ac:dyDescent="0.2">
      <c r="B274" s="566"/>
      <c r="C274" s="53"/>
      <c r="E274" s="262"/>
      <c r="F274" s="262"/>
      <c r="J274" s="293"/>
      <c r="K274" s="6"/>
      <c r="M274" s="538"/>
      <c r="N274" s="531" t="str" cm="1">
        <f t="array" aca="1" ref="N27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4" s="552" t="str" cm="1">
        <f t="array" aca="1" ref="O27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4" s="526" cm="1">
        <f t="array" aca="1" ref="P274" ca="1">COUNTIFS(unit_details[Leased Date], "&gt;=" &amp; ($U$2 - N$5),
          unit_details[Leased Date], "&lt;" &amp; $U$2,
          unit_details[Floorplan Name], INDIRECT("C"&amp;ROW()),
          unit_details[Property Name], INDIRECT("B"&amp;ROW()))</f>
        <v>0</v>
      </c>
      <c r="Q274" s="531" t="str" cm="1">
        <f t="array" aca="1" ref="Q27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4" s="552" t="str" cm="1">
        <f t="array" aca="1" ref="R27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4" s="526" cm="1">
        <f t="array" aca="1" ref="S274" ca="1">COUNTIFS(unit_details[Leased Date], "&gt;=" &amp; ($U$2 - Q$5),
          unit_details[Leased Date], "&lt;" &amp; $U$2,
          unit_details[Floorplan Name], INDIRECT("C"&amp;ROW()),
          unit_details[Property Name], INDIRECT("B"&amp;ROW()))</f>
        <v>0</v>
      </c>
      <c r="T274" s="531" t="str" cm="1">
        <f t="array" aca="1" ref="T27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4" s="552" t="str" cm="1">
        <f t="array" aca="1" ref="U27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4" s="526" cm="1">
        <f t="array" aca="1" ref="V274" ca="1">COUNTIFS(unit_details[Leased Date], "&gt;=" &amp; ($U$2 - T$5),
          unit_details[Leased Date], "&lt;" &amp; $U$2,
          unit_details[Floorplan Name], INDIRECT("C"&amp;ROW()),
          unit_details[Property Name], INDIRECT("B"&amp;ROW()))</f>
        <v>0</v>
      </c>
      <c r="W274" s="531" t="str" cm="1">
        <f t="array" aca="1" ref="W27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4" s="552" t="str" cm="1">
        <f t="array" aca="1" ref="X27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4" s="27" t="str">
        <f t="shared" ca="1" si="12"/>
        <v/>
      </c>
      <c r="Z274" s="4" t="str">
        <f>IFERROR($U$2-AVERAGEIFS(unit_details[First Listed],
          unit_details[Active Listing?],TRUE,
          unit_details[Property Name], $B274,
          unit_details[Beds], $D274,
          unit_details[Baths], $E274,
          unit_details[Partial Baths], IF(ISNUMBER($F274),$F274,""),
          unit_details[Floorplan Name],$C274
),"")</f>
        <v/>
      </c>
      <c r="AA274" s="262" cm="1">
        <f t="array" aca="1" ref="AA274" ca="1">COUNTIFS(unit_details[Active Listing?],TRUE,
          unit_details[Floorplan Name], INDIRECT("C"&amp;ROW()),
          unit_details[Property Name], INDIRECT("B"&amp;ROW()))</f>
        <v>0</v>
      </c>
      <c r="AB274" s="553"/>
      <c r="AC274" s="528" cm="1">
        <f t="array" aca="1" ref="AC274" ca="1">IFERROR(AVERAGEIFS(
  unit_details[Sqft],
  unit_details[Property Name], INDIRECT("B"&amp;ROW()),
  unit_details[Floorplan Name], INDIRECT("C"&amp;ROW()),
  unit_details[Beds], INDIRECT("D"&amp;ROW()),
  unit_details[Detected Unit Amenities], "*"&amp;$AD$3&amp;"*",
  unit_details[Leased Date], "&gt;=" &amp; ($U$2 - $AF$3)
),0)</f>
        <v>0</v>
      </c>
      <c r="AD274" s="527" cm="1">
        <f t="array" aca="1" ref="AD2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4" s="526" cm="1">
        <f t="array" aca="1" ref="AE274" ca="1">IFERROR(COUNTIFS(
  unit_details[Property Name], INDIRECT("B"&amp;ROW()),
  unit_details[Floorplan Name], INDIRECT("C"&amp;ROW()),
  unit_details[Beds], INDIRECT("D"&amp;ROW()),
  unit_details[Detected Unit Amenities], "*"&amp;$AD$3&amp;"*",
  unit_details[Leased Date], "&gt;=" &amp; ($U$2 - $AF$3)
),0)</f>
        <v>0</v>
      </c>
      <c r="AF274" s="528" cm="1">
        <f t="array" aca="1" ref="AF274" ca="1">IFERROR(AVERAGEIFS(
  unit_details[Sqft],
  unit_details[Property Name], INDIRECT("B"&amp;ROW()),
  unit_details[Floorplan Name], INDIRECT("C"&amp;ROW()),
  unit_details[Beds], INDIRECT("D"&amp;ROW()),
  unit_details[Detected Unit Amenities], "&lt;&gt;*"&amp;$AD$3&amp;"*",
  unit_details[Leased Date], "&gt;=" &amp; ($U$2 - $AF$3)
),0)</f>
        <v>0</v>
      </c>
      <c r="AG274" s="527" cm="1">
        <f t="array" aca="1" ref="AG2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4" s="526" cm="1">
        <f t="array" aca="1" ref="AH274" ca="1">IFERROR(COUNTIFS(
  unit_details[Property Name], INDIRECT("B"&amp;ROW()),
  unit_details[Floorplan Name], INDIRECT("C"&amp;ROW()),
  unit_details[Beds], INDIRECT("D"&amp;ROW()),
  unit_details[Detected Unit Amenities], "&lt;&gt;*"&amp;$AD$3&amp;"*",
  unit_details[Leased Date], "&gt;=" &amp; ($U$2 - $AF$3)
),0)</f>
        <v>0</v>
      </c>
      <c r="AI274" s="528"/>
      <c r="AJ274" s="531">
        <f t="shared" ca="1" si="13"/>
        <v>0</v>
      </c>
      <c r="AK274" s="532">
        <f t="shared" ca="1" si="14"/>
        <v>0</v>
      </c>
    </row>
    <row r="275" spans="2:37" x14ac:dyDescent="0.2">
      <c r="B275" s="566"/>
      <c r="C275" s="53"/>
      <c r="E275" s="262"/>
      <c r="F275" s="262"/>
      <c r="J275" s="293"/>
      <c r="K275" s="6"/>
      <c r="M275" s="538"/>
      <c r="N275" s="531" t="str" cm="1">
        <f t="array" aca="1" ref="N27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5" s="552" t="str" cm="1">
        <f t="array" aca="1" ref="O27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5" s="526" cm="1">
        <f t="array" aca="1" ref="P275" ca="1">COUNTIFS(unit_details[Leased Date], "&gt;=" &amp; ($U$2 - N$5),
          unit_details[Leased Date], "&lt;" &amp; $U$2,
          unit_details[Floorplan Name], INDIRECT("C"&amp;ROW()),
          unit_details[Property Name], INDIRECT("B"&amp;ROW()))</f>
        <v>0</v>
      </c>
      <c r="Q275" s="531" t="str" cm="1">
        <f t="array" aca="1" ref="Q27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5" s="552" t="str" cm="1">
        <f t="array" aca="1" ref="R27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5" s="526" cm="1">
        <f t="array" aca="1" ref="S275" ca="1">COUNTIFS(unit_details[Leased Date], "&gt;=" &amp; ($U$2 - Q$5),
          unit_details[Leased Date], "&lt;" &amp; $U$2,
          unit_details[Floorplan Name], INDIRECT("C"&amp;ROW()),
          unit_details[Property Name], INDIRECT("B"&amp;ROW()))</f>
        <v>0</v>
      </c>
      <c r="T275" s="531" t="str" cm="1">
        <f t="array" aca="1" ref="T27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5" s="552" t="str" cm="1">
        <f t="array" aca="1" ref="U27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5" s="526" cm="1">
        <f t="array" aca="1" ref="V275" ca="1">COUNTIFS(unit_details[Leased Date], "&gt;=" &amp; ($U$2 - T$5),
          unit_details[Leased Date], "&lt;" &amp; $U$2,
          unit_details[Floorplan Name], INDIRECT("C"&amp;ROW()),
          unit_details[Property Name], INDIRECT("B"&amp;ROW()))</f>
        <v>0</v>
      </c>
      <c r="W275" s="531" t="str" cm="1">
        <f t="array" aca="1" ref="W27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5" s="552" t="str" cm="1">
        <f t="array" aca="1" ref="X27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5" s="27" t="str">
        <f t="shared" ca="1" si="12"/>
        <v/>
      </c>
      <c r="Z275" s="4" t="str">
        <f>IFERROR($U$2-AVERAGEIFS(unit_details[First Listed],
          unit_details[Active Listing?],TRUE,
          unit_details[Property Name], $B275,
          unit_details[Beds], $D275,
          unit_details[Baths], $E275,
          unit_details[Partial Baths], IF(ISNUMBER($F275),$F275,""),
          unit_details[Floorplan Name],$C275
),"")</f>
        <v/>
      </c>
      <c r="AA275" s="262" cm="1">
        <f t="array" aca="1" ref="AA275" ca="1">COUNTIFS(unit_details[Active Listing?],TRUE,
          unit_details[Floorplan Name], INDIRECT("C"&amp;ROW()),
          unit_details[Property Name], INDIRECT("B"&amp;ROW()))</f>
        <v>0</v>
      </c>
      <c r="AB275" s="553"/>
      <c r="AC275" s="528" cm="1">
        <f t="array" aca="1" ref="AC275" ca="1">IFERROR(AVERAGEIFS(
  unit_details[Sqft],
  unit_details[Property Name], INDIRECT("B"&amp;ROW()),
  unit_details[Floorplan Name], INDIRECT("C"&amp;ROW()),
  unit_details[Beds], INDIRECT("D"&amp;ROW()),
  unit_details[Detected Unit Amenities], "*"&amp;$AD$3&amp;"*",
  unit_details[Leased Date], "&gt;=" &amp; ($U$2 - $AF$3)
),0)</f>
        <v>0</v>
      </c>
      <c r="AD275" s="527" cm="1">
        <f t="array" aca="1" ref="AD2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5" s="526" cm="1">
        <f t="array" aca="1" ref="AE275" ca="1">IFERROR(COUNTIFS(
  unit_details[Property Name], INDIRECT("B"&amp;ROW()),
  unit_details[Floorplan Name], INDIRECT("C"&amp;ROW()),
  unit_details[Beds], INDIRECT("D"&amp;ROW()),
  unit_details[Detected Unit Amenities], "*"&amp;$AD$3&amp;"*",
  unit_details[Leased Date], "&gt;=" &amp; ($U$2 - $AF$3)
),0)</f>
        <v>0</v>
      </c>
      <c r="AF275" s="528" cm="1">
        <f t="array" aca="1" ref="AF275" ca="1">IFERROR(AVERAGEIFS(
  unit_details[Sqft],
  unit_details[Property Name], INDIRECT("B"&amp;ROW()),
  unit_details[Floorplan Name], INDIRECT("C"&amp;ROW()),
  unit_details[Beds], INDIRECT("D"&amp;ROW()),
  unit_details[Detected Unit Amenities], "&lt;&gt;*"&amp;$AD$3&amp;"*",
  unit_details[Leased Date], "&gt;=" &amp; ($U$2 - $AF$3)
),0)</f>
        <v>0</v>
      </c>
      <c r="AG275" s="527" cm="1">
        <f t="array" aca="1" ref="AG2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5" s="526" cm="1">
        <f t="array" aca="1" ref="AH275" ca="1">IFERROR(COUNTIFS(
  unit_details[Property Name], INDIRECT("B"&amp;ROW()),
  unit_details[Floorplan Name], INDIRECT("C"&amp;ROW()),
  unit_details[Beds], INDIRECT("D"&amp;ROW()),
  unit_details[Detected Unit Amenities], "&lt;&gt;*"&amp;$AD$3&amp;"*",
  unit_details[Leased Date], "&gt;=" &amp; ($U$2 - $AF$3)
),0)</f>
        <v>0</v>
      </c>
      <c r="AI275" s="528"/>
      <c r="AJ275" s="531">
        <f t="shared" ca="1" si="13"/>
        <v>0</v>
      </c>
      <c r="AK275" s="532">
        <f t="shared" ca="1" si="14"/>
        <v>0</v>
      </c>
    </row>
    <row r="276" spans="2:37" x14ac:dyDescent="0.2">
      <c r="B276" s="566"/>
      <c r="C276" s="53"/>
      <c r="E276" s="262"/>
      <c r="F276" s="262"/>
      <c r="J276" s="293"/>
      <c r="K276" s="6"/>
      <c r="M276" s="538"/>
      <c r="N276" s="531" t="str" cm="1">
        <f t="array" aca="1" ref="N27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6" s="552" t="str" cm="1">
        <f t="array" aca="1" ref="O27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6" s="526" cm="1">
        <f t="array" aca="1" ref="P276" ca="1">COUNTIFS(unit_details[Leased Date], "&gt;=" &amp; ($U$2 - N$5),
          unit_details[Leased Date], "&lt;" &amp; $U$2,
          unit_details[Floorplan Name], INDIRECT("C"&amp;ROW()),
          unit_details[Property Name], INDIRECT("B"&amp;ROW()))</f>
        <v>0</v>
      </c>
      <c r="Q276" s="531" t="str" cm="1">
        <f t="array" aca="1" ref="Q27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6" s="552" t="str" cm="1">
        <f t="array" aca="1" ref="R27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6" s="526" cm="1">
        <f t="array" aca="1" ref="S276" ca="1">COUNTIFS(unit_details[Leased Date], "&gt;=" &amp; ($U$2 - Q$5),
          unit_details[Leased Date], "&lt;" &amp; $U$2,
          unit_details[Floorplan Name], INDIRECT("C"&amp;ROW()),
          unit_details[Property Name], INDIRECT("B"&amp;ROW()))</f>
        <v>0</v>
      </c>
      <c r="T276" s="531" t="str" cm="1">
        <f t="array" aca="1" ref="T27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6" s="552" t="str" cm="1">
        <f t="array" aca="1" ref="U27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6" s="526" cm="1">
        <f t="array" aca="1" ref="V276" ca="1">COUNTIFS(unit_details[Leased Date], "&gt;=" &amp; ($U$2 - T$5),
          unit_details[Leased Date], "&lt;" &amp; $U$2,
          unit_details[Floorplan Name], INDIRECT("C"&amp;ROW()),
          unit_details[Property Name], INDIRECT("B"&amp;ROW()))</f>
        <v>0</v>
      </c>
      <c r="W276" s="531" t="str" cm="1">
        <f t="array" aca="1" ref="W27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6" s="552" t="str" cm="1">
        <f t="array" aca="1" ref="X27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6" s="27" t="str">
        <f t="shared" ca="1" si="12"/>
        <v/>
      </c>
      <c r="Z276" s="4" t="str">
        <f>IFERROR($U$2-AVERAGEIFS(unit_details[First Listed],
          unit_details[Active Listing?],TRUE,
          unit_details[Property Name], $B276,
          unit_details[Beds], $D276,
          unit_details[Baths], $E276,
          unit_details[Partial Baths], IF(ISNUMBER($F276),$F276,""),
          unit_details[Floorplan Name],$C276
),"")</f>
        <v/>
      </c>
      <c r="AA276" s="262" cm="1">
        <f t="array" aca="1" ref="AA276" ca="1">COUNTIFS(unit_details[Active Listing?],TRUE,
          unit_details[Floorplan Name], INDIRECT("C"&amp;ROW()),
          unit_details[Property Name], INDIRECT("B"&amp;ROW()))</f>
        <v>0</v>
      </c>
      <c r="AB276" s="553"/>
      <c r="AC276" s="528" cm="1">
        <f t="array" aca="1" ref="AC276" ca="1">IFERROR(AVERAGEIFS(
  unit_details[Sqft],
  unit_details[Property Name], INDIRECT("B"&amp;ROW()),
  unit_details[Floorplan Name], INDIRECT("C"&amp;ROW()),
  unit_details[Beds], INDIRECT("D"&amp;ROW()),
  unit_details[Detected Unit Amenities], "*"&amp;$AD$3&amp;"*",
  unit_details[Leased Date], "&gt;=" &amp; ($U$2 - $AF$3)
),0)</f>
        <v>0</v>
      </c>
      <c r="AD276" s="527" cm="1">
        <f t="array" aca="1" ref="AD2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6" s="526" cm="1">
        <f t="array" aca="1" ref="AE276" ca="1">IFERROR(COUNTIFS(
  unit_details[Property Name], INDIRECT("B"&amp;ROW()),
  unit_details[Floorplan Name], INDIRECT("C"&amp;ROW()),
  unit_details[Beds], INDIRECT("D"&amp;ROW()),
  unit_details[Detected Unit Amenities], "*"&amp;$AD$3&amp;"*",
  unit_details[Leased Date], "&gt;=" &amp; ($U$2 - $AF$3)
),0)</f>
        <v>0</v>
      </c>
      <c r="AF276" s="528" cm="1">
        <f t="array" aca="1" ref="AF276" ca="1">IFERROR(AVERAGEIFS(
  unit_details[Sqft],
  unit_details[Property Name], INDIRECT("B"&amp;ROW()),
  unit_details[Floorplan Name], INDIRECT("C"&amp;ROW()),
  unit_details[Beds], INDIRECT("D"&amp;ROW()),
  unit_details[Detected Unit Amenities], "&lt;&gt;*"&amp;$AD$3&amp;"*",
  unit_details[Leased Date], "&gt;=" &amp; ($U$2 - $AF$3)
),0)</f>
        <v>0</v>
      </c>
      <c r="AG276" s="527" cm="1">
        <f t="array" aca="1" ref="AG2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6" s="526" cm="1">
        <f t="array" aca="1" ref="AH276" ca="1">IFERROR(COUNTIFS(
  unit_details[Property Name], INDIRECT("B"&amp;ROW()),
  unit_details[Floorplan Name], INDIRECT("C"&amp;ROW()),
  unit_details[Beds], INDIRECT("D"&amp;ROW()),
  unit_details[Detected Unit Amenities], "&lt;&gt;*"&amp;$AD$3&amp;"*",
  unit_details[Leased Date], "&gt;=" &amp; ($U$2 - $AF$3)
),0)</f>
        <v>0</v>
      </c>
      <c r="AI276" s="528"/>
      <c r="AJ276" s="531">
        <f t="shared" ca="1" si="13"/>
        <v>0</v>
      </c>
      <c r="AK276" s="532">
        <f t="shared" ca="1" si="14"/>
        <v>0</v>
      </c>
    </row>
    <row r="277" spans="2:37" x14ac:dyDescent="0.2">
      <c r="B277" s="566"/>
      <c r="C277" s="53"/>
      <c r="E277" s="262"/>
      <c r="F277" s="262"/>
      <c r="J277" s="293"/>
      <c r="K277" s="6"/>
      <c r="M277" s="538"/>
      <c r="N277" s="531" t="str" cm="1">
        <f t="array" aca="1" ref="N27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7" s="552" t="str" cm="1">
        <f t="array" aca="1" ref="O27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7" s="526" cm="1">
        <f t="array" aca="1" ref="P277" ca="1">COUNTIFS(unit_details[Leased Date], "&gt;=" &amp; ($U$2 - N$5),
          unit_details[Leased Date], "&lt;" &amp; $U$2,
          unit_details[Floorplan Name], INDIRECT("C"&amp;ROW()),
          unit_details[Property Name], INDIRECT("B"&amp;ROW()))</f>
        <v>0</v>
      </c>
      <c r="Q277" s="531" t="str" cm="1">
        <f t="array" aca="1" ref="Q27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7" s="552" t="str" cm="1">
        <f t="array" aca="1" ref="R27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7" s="526" cm="1">
        <f t="array" aca="1" ref="S277" ca="1">COUNTIFS(unit_details[Leased Date], "&gt;=" &amp; ($U$2 - Q$5),
          unit_details[Leased Date], "&lt;" &amp; $U$2,
          unit_details[Floorplan Name], INDIRECT("C"&amp;ROW()),
          unit_details[Property Name], INDIRECT("B"&amp;ROW()))</f>
        <v>0</v>
      </c>
      <c r="T277" s="531" t="str" cm="1">
        <f t="array" aca="1" ref="T27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7" s="552" t="str" cm="1">
        <f t="array" aca="1" ref="U27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7" s="526" cm="1">
        <f t="array" aca="1" ref="V277" ca="1">COUNTIFS(unit_details[Leased Date], "&gt;=" &amp; ($U$2 - T$5),
          unit_details[Leased Date], "&lt;" &amp; $U$2,
          unit_details[Floorplan Name], INDIRECT("C"&amp;ROW()),
          unit_details[Property Name], INDIRECT("B"&amp;ROW()))</f>
        <v>0</v>
      </c>
      <c r="W277" s="531" t="str" cm="1">
        <f t="array" aca="1" ref="W27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7" s="552" t="str" cm="1">
        <f t="array" aca="1" ref="X27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7" s="27" t="str">
        <f t="shared" ca="1" si="12"/>
        <v/>
      </c>
      <c r="Z277" s="4" t="str">
        <f>IFERROR($U$2-AVERAGEIFS(unit_details[First Listed],
          unit_details[Active Listing?],TRUE,
          unit_details[Property Name], $B277,
          unit_details[Beds], $D277,
          unit_details[Baths], $E277,
          unit_details[Partial Baths], IF(ISNUMBER($F277),$F277,""),
          unit_details[Floorplan Name],$C277
),"")</f>
        <v/>
      </c>
      <c r="AA277" s="262" cm="1">
        <f t="array" aca="1" ref="AA277" ca="1">COUNTIFS(unit_details[Active Listing?],TRUE,
          unit_details[Floorplan Name], INDIRECT("C"&amp;ROW()),
          unit_details[Property Name], INDIRECT("B"&amp;ROW()))</f>
        <v>0</v>
      </c>
      <c r="AB277" s="553"/>
      <c r="AC277" s="528" cm="1">
        <f t="array" aca="1" ref="AC277" ca="1">IFERROR(AVERAGEIFS(
  unit_details[Sqft],
  unit_details[Property Name], INDIRECT("B"&amp;ROW()),
  unit_details[Floorplan Name], INDIRECT("C"&amp;ROW()),
  unit_details[Beds], INDIRECT("D"&amp;ROW()),
  unit_details[Detected Unit Amenities], "*"&amp;$AD$3&amp;"*",
  unit_details[Leased Date], "&gt;=" &amp; ($U$2 - $AF$3)
),0)</f>
        <v>0</v>
      </c>
      <c r="AD277" s="527" cm="1">
        <f t="array" aca="1" ref="AD2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7" s="526" cm="1">
        <f t="array" aca="1" ref="AE277" ca="1">IFERROR(COUNTIFS(
  unit_details[Property Name], INDIRECT("B"&amp;ROW()),
  unit_details[Floorplan Name], INDIRECT("C"&amp;ROW()),
  unit_details[Beds], INDIRECT("D"&amp;ROW()),
  unit_details[Detected Unit Amenities], "*"&amp;$AD$3&amp;"*",
  unit_details[Leased Date], "&gt;=" &amp; ($U$2 - $AF$3)
),0)</f>
        <v>0</v>
      </c>
      <c r="AF277" s="528" cm="1">
        <f t="array" aca="1" ref="AF277" ca="1">IFERROR(AVERAGEIFS(
  unit_details[Sqft],
  unit_details[Property Name], INDIRECT("B"&amp;ROW()),
  unit_details[Floorplan Name], INDIRECT("C"&amp;ROW()),
  unit_details[Beds], INDIRECT("D"&amp;ROW()),
  unit_details[Detected Unit Amenities], "&lt;&gt;*"&amp;$AD$3&amp;"*",
  unit_details[Leased Date], "&gt;=" &amp; ($U$2 - $AF$3)
),0)</f>
        <v>0</v>
      </c>
      <c r="AG277" s="527" cm="1">
        <f t="array" aca="1" ref="AG2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7" s="526" cm="1">
        <f t="array" aca="1" ref="AH277" ca="1">IFERROR(COUNTIFS(
  unit_details[Property Name], INDIRECT("B"&amp;ROW()),
  unit_details[Floorplan Name], INDIRECT("C"&amp;ROW()),
  unit_details[Beds], INDIRECT("D"&amp;ROW()),
  unit_details[Detected Unit Amenities], "&lt;&gt;*"&amp;$AD$3&amp;"*",
  unit_details[Leased Date], "&gt;=" &amp; ($U$2 - $AF$3)
),0)</f>
        <v>0</v>
      </c>
      <c r="AI277" s="528"/>
      <c r="AJ277" s="531">
        <f t="shared" ca="1" si="13"/>
        <v>0</v>
      </c>
      <c r="AK277" s="532">
        <f t="shared" ca="1" si="14"/>
        <v>0</v>
      </c>
    </row>
    <row r="278" spans="2:37" x14ac:dyDescent="0.2">
      <c r="B278" s="566"/>
      <c r="C278" s="53"/>
      <c r="E278" s="262"/>
      <c r="F278" s="262"/>
      <c r="J278" s="293"/>
      <c r="K278" s="6"/>
      <c r="M278" s="538"/>
      <c r="N278" s="531" t="str" cm="1">
        <f t="array" aca="1" ref="N27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8" s="552" t="str" cm="1">
        <f t="array" aca="1" ref="O27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8" s="526" cm="1">
        <f t="array" aca="1" ref="P278" ca="1">COUNTIFS(unit_details[Leased Date], "&gt;=" &amp; ($U$2 - N$5),
          unit_details[Leased Date], "&lt;" &amp; $U$2,
          unit_details[Floorplan Name], INDIRECT("C"&amp;ROW()),
          unit_details[Property Name], INDIRECT("B"&amp;ROW()))</f>
        <v>0</v>
      </c>
      <c r="Q278" s="531" t="str" cm="1">
        <f t="array" aca="1" ref="Q27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8" s="552" t="str" cm="1">
        <f t="array" aca="1" ref="R27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8" s="526" cm="1">
        <f t="array" aca="1" ref="S278" ca="1">COUNTIFS(unit_details[Leased Date], "&gt;=" &amp; ($U$2 - Q$5),
          unit_details[Leased Date], "&lt;" &amp; $U$2,
          unit_details[Floorplan Name], INDIRECT("C"&amp;ROW()),
          unit_details[Property Name], INDIRECT("B"&amp;ROW()))</f>
        <v>0</v>
      </c>
      <c r="T278" s="531" t="str" cm="1">
        <f t="array" aca="1" ref="T27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8" s="552" t="str" cm="1">
        <f t="array" aca="1" ref="U27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8" s="526" cm="1">
        <f t="array" aca="1" ref="V278" ca="1">COUNTIFS(unit_details[Leased Date], "&gt;=" &amp; ($U$2 - T$5),
          unit_details[Leased Date], "&lt;" &amp; $U$2,
          unit_details[Floorplan Name], INDIRECT("C"&amp;ROW()),
          unit_details[Property Name], INDIRECT("B"&amp;ROW()))</f>
        <v>0</v>
      </c>
      <c r="W278" s="531" t="str" cm="1">
        <f t="array" aca="1" ref="W27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8" s="552" t="str" cm="1">
        <f t="array" aca="1" ref="X27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8" s="27" t="str">
        <f t="shared" ca="1" si="12"/>
        <v/>
      </c>
      <c r="Z278" s="4" t="str">
        <f>IFERROR($U$2-AVERAGEIFS(unit_details[First Listed],
          unit_details[Active Listing?],TRUE,
          unit_details[Property Name], $B278,
          unit_details[Beds], $D278,
          unit_details[Baths], $E278,
          unit_details[Partial Baths], IF(ISNUMBER($F278),$F278,""),
          unit_details[Floorplan Name],$C278
),"")</f>
        <v/>
      </c>
      <c r="AA278" s="262" cm="1">
        <f t="array" aca="1" ref="AA278" ca="1">COUNTIFS(unit_details[Active Listing?],TRUE,
          unit_details[Floorplan Name], INDIRECT("C"&amp;ROW()),
          unit_details[Property Name], INDIRECT("B"&amp;ROW()))</f>
        <v>0</v>
      </c>
      <c r="AB278" s="553"/>
      <c r="AC278" s="528" cm="1">
        <f t="array" aca="1" ref="AC278" ca="1">IFERROR(AVERAGEIFS(
  unit_details[Sqft],
  unit_details[Property Name], INDIRECT("B"&amp;ROW()),
  unit_details[Floorplan Name], INDIRECT("C"&amp;ROW()),
  unit_details[Beds], INDIRECT("D"&amp;ROW()),
  unit_details[Detected Unit Amenities], "*"&amp;$AD$3&amp;"*",
  unit_details[Leased Date], "&gt;=" &amp; ($U$2 - $AF$3)
),0)</f>
        <v>0</v>
      </c>
      <c r="AD278" s="527" cm="1">
        <f t="array" aca="1" ref="AD2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8" s="526" cm="1">
        <f t="array" aca="1" ref="AE278" ca="1">IFERROR(COUNTIFS(
  unit_details[Property Name], INDIRECT("B"&amp;ROW()),
  unit_details[Floorplan Name], INDIRECT("C"&amp;ROW()),
  unit_details[Beds], INDIRECT("D"&amp;ROW()),
  unit_details[Detected Unit Amenities], "*"&amp;$AD$3&amp;"*",
  unit_details[Leased Date], "&gt;=" &amp; ($U$2 - $AF$3)
),0)</f>
        <v>0</v>
      </c>
      <c r="AF278" s="528" cm="1">
        <f t="array" aca="1" ref="AF278" ca="1">IFERROR(AVERAGEIFS(
  unit_details[Sqft],
  unit_details[Property Name], INDIRECT("B"&amp;ROW()),
  unit_details[Floorplan Name], INDIRECT("C"&amp;ROW()),
  unit_details[Beds], INDIRECT("D"&amp;ROW()),
  unit_details[Detected Unit Amenities], "&lt;&gt;*"&amp;$AD$3&amp;"*",
  unit_details[Leased Date], "&gt;=" &amp; ($U$2 - $AF$3)
),0)</f>
        <v>0</v>
      </c>
      <c r="AG278" s="527" cm="1">
        <f t="array" aca="1" ref="AG2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8" s="526" cm="1">
        <f t="array" aca="1" ref="AH278" ca="1">IFERROR(COUNTIFS(
  unit_details[Property Name], INDIRECT("B"&amp;ROW()),
  unit_details[Floorplan Name], INDIRECT("C"&amp;ROW()),
  unit_details[Beds], INDIRECT("D"&amp;ROW()),
  unit_details[Detected Unit Amenities], "&lt;&gt;*"&amp;$AD$3&amp;"*",
  unit_details[Leased Date], "&gt;=" &amp; ($U$2 - $AF$3)
),0)</f>
        <v>0</v>
      </c>
      <c r="AI278" s="528"/>
      <c r="AJ278" s="531">
        <f t="shared" ca="1" si="13"/>
        <v>0</v>
      </c>
      <c r="AK278" s="532">
        <f t="shared" ca="1" si="14"/>
        <v>0</v>
      </c>
    </row>
    <row r="279" spans="2:37" x14ac:dyDescent="0.2">
      <c r="B279" s="566"/>
      <c r="C279" s="53"/>
      <c r="E279" s="262"/>
      <c r="F279" s="262"/>
      <c r="J279" s="293"/>
      <c r="K279" s="6"/>
      <c r="M279" s="538"/>
      <c r="N279" s="531" t="str" cm="1">
        <f t="array" aca="1" ref="N27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79" s="552" t="str" cm="1">
        <f t="array" aca="1" ref="O27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79" s="526" cm="1">
        <f t="array" aca="1" ref="P279" ca="1">COUNTIFS(unit_details[Leased Date], "&gt;=" &amp; ($U$2 - N$5),
          unit_details[Leased Date], "&lt;" &amp; $U$2,
          unit_details[Floorplan Name], INDIRECT("C"&amp;ROW()),
          unit_details[Property Name], INDIRECT("B"&amp;ROW()))</f>
        <v>0</v>
      </c>
      <c r="Q279" s="531" t="str" cm="1">
        <f t="array" aca="1" ref="Q27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79" s="552" t="str" cm="1">
        <f t="array" aca="1" ref="R27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79" s="526" cm="1">
        <f t="array" aca="1" ref="S279" ca="1">COUNTIFS(unit_details[Leased Date], "&gt;=" &amp; ($U$2 - Q$5),
          unit_details[Leased Date], "&lt;" &amp; $U$2,
          unit_details[Floorplan Name], INDIRECT("C"&amp;ROW()),
          unit_details[Property Name], INDIRECT("B"&amp;ROW()))</f>
        <v>0</v>
      </c>
      <c r="T279" s="531" t="str" cm="1">
        <f t="array" aca="1" ref="T27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79" s="552" t="str" cm="1">
        <f t="array" aca="1" ref="U27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79" s="526" cm="1">
        <f t="array" aca="1" ref="V279" ca="1">COUNTIFS(unit_details[Leased Date], "&gt;=" &amp; ($U$2 - T$5),
          unit_details[Leased Date], "&lt;" &amp; $U$2,
          unit_details[Floorplan Name], INDIRECT("C"&amp;ROW()),
          unit_details[Property Name], INDIRECT("B"&amp;ROW()))</f>
        <v>0</v>
      </c>
      <c r="W279" s="531" t="str" cm="1">
        <f t="array" aca="1" ref="W27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79" s="552" t="str" cm="1">
        <f t="array" aca="1" ref="X27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79" s="27" t="str">
        <f t="shared" ca="1" si="12"/>
        <v/>
      </c>
      <c r="Z279" s="4" t="str">
        <f>IFERROR($U$2-AVERAGEIFS(unit_details[First Listed],
          unit_details[Active Listing?],TRUE,
          unit_details[Property Name], $B279,
          unit_details[Beds], $D279,
          unit_details[Baths], $E279,
          unit_details[Partial Baths], IF(ISNUMBER($F279),$F279,""),
          unit_details[Floorplan Name],$C279
),"")</f>
        <v/>
      </c>
      <c r="AA279" s="262" cm="1">
        <f t="array" aca="1" ref="AA279" ca="1">COUNTIFS(unit_details[Active Listing?],TRUE,
          unit_details[Floorplan Name], INDIRECT("C"&amp;ROW()),
          unit_details[Property Name], INDIRECT("B"&amp;ROW()))</f>
        <v>0</v>
      </c>
      <c r="AB279" s="553"/>
      <c r="AC279" s="528" cm="1">
        <f t="array" aca="1" ref="AC279" ca="1">IFERROR(AVERAGEIFS(
  unit_details[Sqft],
  unit_details[Property Name], INDIRECT("B"&amp;ROW()),
  unit_details[Floorplan Name], INDIRECT("C"&amp;ROW()),
  unit_details[Beds], INDIRECT("D"&amp;ROW()),
  unit_details[Detected Unit Amenities], "*"&amp;$AD$3&amp;"*",
  unit_details[Leased Date], "&gt;=" &amp; ($U$2 - $AF$3)
),0)</f>
        <v>0</v>
      </c>
      <c r="AD279" s="527" cm="1">
        <f t="array" aca="1" ref="AD2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79" s="526" cm="1">
        <f t="array" aca="1" ref="AE279" ca="1">IFERROR(COUNTIFS(
  unit_details[Property Name], INDIRECT("B"&amp;ROW()),
  unit_details[Floorplan Name], INDIRECT("C"&amp;ROW()),
  unit_details[Beds], INDIRECT("D"&amp;ROW()),
  unit_details[Detected Unit Amenities], "*"&amp;$AD$3&amp;"*",
  unit_details[Leased Date], "&gt;=" &amp; ($U$2 - $AF$3)
),0)</f>
        <v>0</v>
      </c>
      <c r="AF279" s="528" cm="1">
        <f t="array" aca="1" ref="AF279" ca="1">IFERROR(AVERAGEIFS(
  unit_details[Sqft],
  unit_details[Property Name], INDIRECT("B"&amp;ROW()),
  unit_details[Floorplan Name], INDIRECT("C"&amp;ROW()),
  unit_details[Beds], INDIRECT("D"&amp;ROW()),
  unit_details[Detected Unit Amenities], "&lt;&gt;*"&amp;$AD$3&amp;"*",
  unit_details[Leased Date], "&gt;=" &amp; ($U$2 - $AF$3)
),0)</f>
        <v>0</v>
      </c>
      <c r="AG279" s="527" cm="1">
        <f t="array" aca="1" ref="AG2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79" s="526" cm="1">
        <f t="array" aca="1" ref="AH279" ca="1">IFERROR(COUNTIFS(
  unit_details[Property Name], INDIRECT("B"&amp;ROW()),
  unit_details[Floorplan Name], INDIRECT("C"&amp;ROW()),
  unit_details[Beds], INDIRECT("D"&amp;ROW()),
  unit_details[Detected Unit Amenities], "&lt;&gt;*"&amp;$AD$3&amp;"*",
  unit_details[Leased Date], "&gt;=" &amp; ($U$2 - $AF$3)
),0)</f>
        <v>0</v>
      </c>
      <c r="AI279" s="528"/>
      <c r="AJ279" s="531">
        <f t="shared" ca="1" si="13"/>
        <v>0</v>
      </c>
      <c r="AK279" s="532">
        <f t="shared" ca="1" si="14"/>
        <v>0</v>
      </c>
    </row>
    <row r="280" spans="2:37" x14ac:dyDescent="0.2">
      <c r="B280" s="566"/>
      <c r="C280" s="53"/>
      <c r="E280" s="262"/>
      <c r="F280" s="262"/>
      <c r="J280" s="293"/>
      <c r="K280" s="6"/>
      <c r="M280" s="538"/>
      <c r="N280" s="531" t="str" cm="1">
        <f t="array" aca="1" ref="N28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0" s="552" t="str" cm="1">
        <f t="array" aca="1" ref="O28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0" s="526" cm="1">
        <f t="array" aca="1" ref="P280" ca="1">COUNTIFS(unit_details[Leased Date], "&gt;=" &amp; ($U$2 - N$5),
          unit_details[Leased Date], "&lt;" &amp; $U$2,
          unit_details[Floorplan Name], INDIRECT("C"&amp;ROW()),
          unit_details[Property Name], INDIRECT("B"&amp;ROW()))</f>
        <v>0</v>
      </c>
      <c r="Q280" s="531" t="str" cm="1">
        <f t="array" aca="1" ref="Q28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0" s="552" t="str" cm="1">
        <f t="array" aca="1" ref="R28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0" s="526" cm="1">
        <f t="array" aca="1" ref="S280" ca="1">COUNTIFS(unit_details[Leased Date], "&gt;=" &amp; ($U$2 - Q$5),
          unit_details[Leased Date], "&lt;" &amp; $U$2,
          unit_details[Floorplan Name], INDIRECT("C"&amp;ROW()),
          unit_details[Property Name], INDIRECT("B"&amp;ROW()))</f>
        <v>0</v>
      </c>
      <c r="T280" s="531" t="str" cm="1">
        <f t="array" aca="1" ref="T28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0" s="552" t="str" cm="1">
        <f t="array" aca="1" ref="U28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0" s="526" cm="1">
        <f t="array" aca="1" ref="V280" ca="1">COUNTIFS(unit_details[Leased Date], "&gt;=" &amp; ($U$2 - T$5),
          unit_details[Leased Date], "&lt;" &amp; $U$2,
          unit_details[Floorplan Name], INDIRECT("C"&amp;ROW()),
          unit_details[Property Name], INDIRECT("B"&amp;ROW()))</f>
        <v>0</v>
      </c>
      <c r="W280" s="531" t="str" cm="1">
        <f t="array" aca="1" ref="W28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0" s="552" t="str" cm="1">
        <f t="array" aca="1" ref="X28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0" s="27" t="str">
        <f t="shared" ca="1" si="12"/>
        <v/>
      </c>
      <c r="Z280" s="4" t="str">
        <f>IFERROR($U$2-AVERAGEIFS(unit_details[First Listed],
          unit_details[Active Listing?],TRUE,
          unit_details[Property Name], $B280,
          unit_details[Beds], $D280,
          unit_details[Baths], $E280,
          unit_details[Partial Baths], IF(ISNUMBER($F280),$F280,""),
          unit_details[Floorplan Name],$C280
),"")</f>
        <v/>
      </c>
      <c r="AA280" s="262" cm="1">
        <f t="array" aca="1" ref="AA280" ca="1">COUNTIFS(unit_details[Active Listing?],TRUE,
          unit_details[Floorplan Name], INDIRECT("C"&amp;ROW()),
          unit_details[Property Name], INDIRECT("B"&amp;ROW()))</f>
        <v>0</v>
      </c>
      <c r="AB280" s="553"/>
      <c r="AC280" s="528" cm="1">
        <f t="array" aca="1" ref="AC280" ca="1">IFERROR(AVERAGEIFS(
  unit_details[Sqft],
  unit_details[Property Name], INDIRECT("B"&amp;ROW()),
  unit_details[Floorplan Name], INDIRECT("C"&amp;ROW()),
  unit_details[Beds], INDIRECT("D"&amp;ROW()),
  unit_details[Detected Unit Amenities], "*"&amp;$AD$3&amp;"*",
  unit_details[Leased Date], "&gt;=" &amp; ($U$2 - $AF$3)
),0)</f>
        <v>0</v>
      </c>
      <c r="AD280" s="527" cm="1">
        <f t="array" aca="1" ref="AD2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0" s="526" cm="1">
        <f t="array" aca="1" ref="AE280" ca="1">IFERROR(COUNTIFS(
  unit_details[Property Name], INDIRECT("B"&amp;ROW()),
  unit_details[Floorplan Name], INDIRECT("C"&amp;ROW()),
  unit_details[Beds], INDIRECT("D"&amp;ROW()),
  unit_details[Detected Unit Amenities], "*"&amp;$AD$3&amp;"*",
  unit_details[Leased Date], "&gt;=" &amp; ($U$2 - $AF$3)
),0)</f>
        <v>0</v>
      </c>
      <c r="AF280" s="528" cm="1">
        <f t="array" aca="1" ref="AF280" ca="1">IFERROR(AVERAGEIFS(
  unit_details[Sqft],
  unit_details[Property Name], INDIRECT("B"&amp;ROW()),
  unit_details[Floorplan Name], INDIRECT("C"&amp;ROW()),
  unit_details[Beds], INDIRECT("D"&amp;ROW()),
  unit_details[Detected Unit Amenities], "&lt;&gt;*"&amp;$AD$3&amp;"*",
  unit_details[Leased Date], "&gt;=" &amp; ($U$2 - $AF$3)
),0)</f>
        <v>0</v>
      </c>
      <c r="AG280" s="527" cm="1">
        <f t="array" aca="1" ref="AG2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0" s="526" cm="1">
        <f t="array" aca="1" ref="AH280" ca="1">IFERROR(COUNTIFS(
  unit_details[Property Name], INDIRECT("B"&amp;ROW()),
  unit_details[Floorplan Name], INDIRECT("C"&amp;ROW()),
  unit_details[Beds], INDIRECT("D"&amp;ROW()),
  unit_details[Detected Unit Amenities], "&lt;&gt;*"&amp;$AD$3&amp;"*",
  unit_details[Leased Date], "&gt;=" &amp; ($U$2 - $AF$3)
),0)</f>
        <v>0</v>
      </c>
      <c r="AI280" s="528"/>
      <c r="AJ280" s="531">
        <f t="shared" ca="1" si="13"/>
        <v>0</v>
      </c>
      <c r="AK280" s="532">
        <f t="shared" ca="1" si="14"/>
        <v>0</v>
      </c>
    </row>
    <row r="281" spans="2:37" x14ac:dyDescent="0.2">
      <c r="B281" s="566"/>
      <c r="C281" s="53"/>
      <c r="E281" s="262"/>
      <c r="F281" s="262"/>
      <c r="J281" s="293"/>
      <c r="K281" s="6"/>
      <c r="M281" s="538"/>
      <c r="N281" s="531" t="str" cm="1">
        <f t="array" aca="1" ref="N28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1" s="552" t="str" cm="1">
        <f t="array" aca="1" ref="O28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1" s="526" cm="1">
        <f t="array" aca="1" ref="P281" ca="1">COUNTIFS(unit_details[Leased Date], "&gt;=" &amp; ($U$2 - N$5),
          unit_details[Leased Date], "&lt;" &amp; $U$2,
          unit_details[Floorplan Name], INDIRECT("C"&amp;ROW()),
          unit_details[Property Name], INDIRECT("B"&amp;ROW()))</f>
        <v>0</v>
      </c>
      <c r="Q281" s="531" t="str" cm="1">
        <f t="array" aca="1" ref="Q28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1" s="552" t="str" cm="1">
        <f t="array" aca="1" ref="R28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1" s="526" cm="1">
        <f t="array" aca="1" ref="S281" ca="1">COUNTIFS(unit_details[Leased Date], "&gt;=" &amp; ($U$2 - Q$5),
          unit_details[Leased Date], "&lt;" &amp; $U$2,
          unit_details[Floorplan Name], INDIRECT("C"&amp;ROW()),
          unit_details[Property Name], INDIRECT("B"&amp;ROW()))</f>
        <v>0</v>
      </c>
      <c r="T281" s="531" t="str" cm="1">
        <f t="array" aca="1" ref="T28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1" s="552" t="str" cm="1">
        <f t="array" aca="1" ref="U28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1" s="526" cm="1">
        <f t="array" aca="1" ref="V281" ca="1">COUNTIFS(unit_details[Leased Date], "&gt;=" &amp; ($U$2 - T$5),
          unit_details[Leased Date], "&lt;" &amp; $U$2,
          unit_details[Floorplan Name], INDIRECT("C"&amp;ROW()),
          unit_details[Property Name], INDIRECT("B"&amp;ROW()))</f>
        <v>0</v>
      </c>
      <c r="W281" s="531" t="str" cm="1">
        <f t="array" aca="1" ref="W28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1" s="552" t="str" cm="1">
        <f t="array" aca="1" ref="X28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1" s="27" t="str">
        <f t="shared" ca="1" si="12"/>
        <v/>
      </c>
      <c r="Z281" s="4" t="str">
        <f>IFERROR($U$2-AVERAGEIFS(unit_details[First Listed],
          unit_details[Active Listing?],TRUE,
          unit_details[Property Name], $B281,
          unit_details[Beds], $D281,
          unit_details[Baths], $E281,
          unit_details[Partial Baths], IF(ISNUMBER($F281),$F281,""),
          unit_details[Floorplan Name],$C281
),"")</f>
        <v/>
      </c>
      <c r="AA281" s="262" cm="1">
        <f t="array" aca="1" ref="AA281" ca="1">COUNTIFS(unit_details[Active Listing?],TRUE,
          unit_details[Floorplan Name], INDIRECT("C"&amp;ROW()),
          unit_details[Property Name], INDIRECT("B"&amp;ROW()))</f>
        <v>0</v>
      </c>
      <c r="AB281" s="553"/>
      <c r="AC281" s="528" cm="1">
        <f t="array" aca="1" ref="AC281" ca="1">IFERROR(AVERAGEIFS(
  unit_details[Sqft],
  unit_details[Property Name], INDIRECT("B"&amp;ROW()),
  unit_details[Floorplan Name], INDIRECT("C"&amp;ROW()),
  unit_details[Beds], INDIRECT("D"&amp;ROW()),
  unit_details[Detected Unit Amenities], "*"&amp;$AD$3&amp;"*",
  unit_details[Leased Date], "&gt;=" &amp; ($U$2 - $AF$3)
),0)</f>
        <v>0</v>
      </c>
      <c r="AD281" s="527" cm="1">
        <f t="array" aca="1" ref="AD2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1" s="526" cm="1">
        <f t="array" aca="1" ref="AE281" ca="1">IFERROR(COUNTIFS(
  unit_details[Property Name], INDIRECT("B"&amp;ROW()),
  unit_details[Floorplan Name], INDIRECT("C"&amp;ROW()),
  unit_details[Beds], INDIRECT("D"&amp;ROW()),
  unit_details[Detected Unit Amenities], "*"&amp;$AD$3&amp;"*",
  unit_details[Leased Date], "&gt;=" &amp; ($U$2 - $AF$3)
),0)</f>
        <v>0</v>
      </c>
      <c r="AF281" s="528" cm="1">
        <f t="array" aca="1" ref="AF281" ca="1">IFERROR(AVERAGEIFS(
  unit_details[Sqft],
  unit_details[Property Name], INDIRECT("B"&amp;ROW()),
  unit_details[Floorplan Name], INDIRECT("C"&amp;ROW()),
  unit_details[Beds], INDIRECT("D"&amp;ROW()),
  unit_details[Detected Unit Amenities], "&lt;&gt;*"&amp;$AD$3&amp;"*",
  unit_details[Leased Date], "&gt;=" &amp; ($U$2 - $AF$3)
),0)</f>
        <v>0</v>
      </c>
      <c r="AG281" s="527" cm="1">
        <f t="array" aca="1" ref="AG2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1" s="526" cm="1">
        <f t="array" aca="1" ref="AH281" ca="1">IFERROR(COUNTIFS(
  unit_details[Property Name], INDIRECT("B"&amp;ROW()),
  unit_details[Floorplan Name], INDIRECT("C"&amp;ROW()),
  unit_details[Beds], INDIRECT("D"&amp;ROW()),
  unit_details[Detected Unit Amenities], "&lt;&gt;*"&amp;$AD$3&amp;"*",
  unit_details[Leased Date], "&gt;=" &amp; ($U$2 - $AF$3)
),0)</f>
        <v>0</v>
      </c>
      <c r="AI281" s="528"/>
      <c r="AJ281" s="531">
        <f t="shared" ca="1" si="13"/>
        <v>0</v>
      </c>
      <c r="AK281" s="532">
        <f t="shared" ca="1" si="14"/>
        <v>0</v>
      </c>
    </row>
    <row r="282" spans="2:37" x14ac:dyDescent="0.2">
      <c r="B282" s="566"/>
      <c r="C282" s="53"/>
      <c r="E282" s="262"/>
      <c r="F282" s="262"/>
      <c r="J282" s="293"/>
      <c r="K282" s="6"/>
      <c r="M282" s="538"/>
      <c r="N282" s="531" t="str" cm="1">
        <f t="array" aca="1" ref="N28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2" s="552" t="str" cm="1">
        <f t="array" aca="1" ref="O28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2" s="526" cm="1">
        <f t="array" aca="1" ref="P282" ca="1">COUNTIFS(unit_details[Leased Date], "&gt;=" &amp; ($U$2 - N$5),
          unit_details[Leased Date], "&lt;" &amp; $U$2,
          unit_details[Floorplan Name], INDIRECT("C"&amp;ROW()),
          unit_details[Property Name], INDIRECT("B"&amp;ROW()))</f>
        <v>0</v>
      </c>
      <c r="Q282" s="531" t="str" cm="1">
        <f t="array" aca="1" ref="Q28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2" s="552" t="str" cm="1">
        <f t="array" aca="1" ref="R28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2" s="526" cm="1">
        <f t="array" aca="1" ref="S282" ca="1">COUNTIFS(unit_details[Leased Date], "&gt;=" &amp; ($U$2 - Q$5),
          unit_details[Leased Date], "&lt;" &amp; $U$2,
          unit_details[Floorplan Name], INDIRECT("C"&amp;ROW()),
          unit_details[Property Name], INDIRECT("B"&amp;ROW()))</f>
        <v>0</v>
      </c>
      <c r="T282" s="531" t="str" cm="1">
        <f t="array" aca="1" ref="T28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2" s="552" t="str" cm="1">
        <f t="array" aca="1" ref="U28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2" s="526" cm="1">
        <f t="array" aca="1" ref="V282" ca="1">COUNTIFS(unit_details[Leased Date], "&gt;=" &amp; ($U$2 - T$5),
          unit_details[Leased Date], "&lt;" &amp; $U$2,
          unit_details[Floorplan Name], INDIRECT("C"&amp;ROW()),
          unit_details[Property Name], INDIRECT("B"&amp;ROW()))</f>
        <v>0</v>
      </c>
      <c r="W282" s="531" t="str" cm="1">
        <f t="array" aca="1" ref="W28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2" s="552" t="str" cm="1">
        <f t="array" aca="1" ref="X28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2" s="27" t="str">
        <f t="shared" ca="1" si="12"/>
        <v/>
      </c>
      <c r="Z282" s="4" t="str">
        <f>IFERROR($U$2-AVERAGEIFS(unit_details[First Listed],
          unit_details[Active Listing?],TRUE,
          unit_details[Property Name], $B282,
          unit_details[Beds], $D282,
          unit_details[Baths], $E282,
          unit_details[Partial Baths], IF(ISNUMBER($F282),$F282,""),
          unit_details[Floorplan Name],$C282
),"")</f>
        <v/>
      </c>
      <c r="AA282" s="262" cm="1">
        <f t="array" aca="1" ref="AA282" ca="1">COUNTIFS(unit_details[Active Listing?],TRUE,
          unit_details[Floorplan Name], INDIRECT("C"&amp;ROW()),
          unit_details[Property Name], INDIRECT("B"&amp;ROW()))</f>
        <v>0</v>
      </c>
      <c r="AB282" s="553"/>
      <c r="AC282" s="528" cm="1">
        <f t="array" aca="1" ref="AC282" ca="1">IFERROR(AVERAGEIFS(
  unit_details[Sqft],
  unit_details[Property Name], INDIRECT("B"&amp;ROW()),
  unit_details[Floorplan Name], INDIRECT("C"&amp;ROW()),
  unit_details[Beds], INDIRECT("D"&amp;ROW()),
  unit_details[Detected Unit Amenities], "*"&amp;$AD$3&amp;"*",
  unit_details[Leased Date], "&gt;=" &amp; ($U$2 - $AF$3)
),0)</f>
        <v>0</v>
      </c>
      <c r="AD282" s="527" cm="1">
        <f t="array" aca="1" ref="AD2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2" s="526" cm="1">
        <f t="array" aca="1" ref="AE282" ca="1">IFERROR(COUNTIFS(
  unit_details[Property Name], INDIRECT("B"&amp;ROW()),
  unit_details[Floorplan Name], INDIRECT("C"&amp;ROW()),
  unit_details[Beds], INDIRECT("D"&amp;ROW()),
  unit_details[Detected Unit Amenities], "*"&amp;$AD$3&amp;"*",
  unit_details[Leased Date], "&gt;=" &amp; ($U$2 - $AF$3)
),0)</f>
        <v>0</v>
      </c>
      <c r="AF282" s="528" cm="1">
        <f t="array" aca="1" ref="AF282" ca="1">IFERROR(AVERAGEIFS(
  unit_details[Sqft],
  unit_details[Property Name], INDIRECT("B"&amp;ROW()),
  unit_details[Floorplan Name], INDIRECT("C"&amp;ROW()),
  unit_details[Beds], INDIRECT("D"&amp;ROW()),
  unit_details[Detected Unit Amenities], "&lt;&gt;*"&amp;$AD$3&amp;"*",
  unit_details[Leased Date], "&gt;=" &amp; ($U$2 - $AF$3)
),0)</f>
        <v>0</v>
      </c>
      <c r="AG282" s="527" cm="1">
        <f t="array" aca="1" ref="AG2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2" s="526" cm="1">
        <f t="array" aca="1" ref="AH282" ca="1">IFERROR(COUNTIFS(
  unit_details[Property Name], INDIRECT("B"&amp;ROW()),
  unit_details[Floorplan Name], INDIRECT("C"&amp;ROW()),
  unit_details[Beds], INDIRECT("D"&amp;ROW()),
  unit_details[Detected Unit Amenities], "&lt;&gt;*"&amp;$AD$3&amp;"*",
  unit_details[Leased Date], "&gt;=" &amp; ($U$2 - $AF$3)
),0)</f>
        <v>0</v>
      </c>
      <c r="AI282" s="528"/>
      <c r="AJ282" s="531">
        <f t="shared" ca="1" si="13"/>
        <v>0</v>
      </c>
      <c r="AK282" s="532">
        <f t="shared" ca="1" si="14"/>
        <v>0</v>
      </c>
    </row>
    <row r="283" spans="2:37" x14ac:dyDescent="0.2">
      <c r="B283" s="566"/>
      <c r="C283" s="53"/>
      <c r="E283" s="262"/>
      <c r="F283" s="262"/>
      <c r="J283" s="293"/>
      <c r="K283" s="6"/>
      <c r="M283" s="538"/>
      <c r="N283" s="531" t="str" cm="1">
        <f t="array" aca="1" ref="N28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3" s="552" t="str" cm="1">
        <f t="array" aca="1" ref="O28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3" s="526" cm="1">
        <f t="array" aca="1" ref="P283" ca="1">COUNTIFS(unit_details[Leased Date], "&gt;=" &amp; ($U$2 - N$5),
          unit_details[Leased Date], "&lt;" &amp; $U$2,
          unit_details[Floorplan Name], INDIRECT("C"&amp;ROW()),
          unit_details[Property Name], INDIRECT("B"&amp;ROW()))</f>
        <v>0</v>
      </c>
      <c r="Q283" s="531" t="str" cm="1">
        <f t="array" aca="1" ref="Q28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3" s="552" t="str" cm="1">
        <f t="array" aca="1" ref="R28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3" s="526" cm="1">
        <f t="array" aca="1" ref="S283" ca="1">COUNTIFS(unit_details[Leased Date], "&gt;=" &amp; ($U$2 - Q$5),
          unit_details[Leased Date], "&lt;" &amp; $U$2,
          unit_details[Floorplan Name], INDIRECT("C"&amp;ROW()),
          unit_details[Property Name], INDIRECT("B"&amp;ROW()))</f>
        <v>0</v>
      </c>
      <c r="T283" s="531" t="str" cm="1">
        <f t="array" aca="1" ref="T28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3" s="552" t="str" cm="1">
        <f t="array" aca="1" ref="U28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3" s="526" cm="1">
        <f t="array" aca="1" ref="V283" ca="1">COUNTIFS(unit_details[Leased Date], "&gt;=" &amp; ($U$2 - T$5),
          unit_details[Leased Date], "&lt;" &amp; $U$2,
          unit_details[Floorplan Name], INDIRECT("C"&amp;ROW()),
          unit_details[Property Name], INDIRECT("B"&amp;ROW()))</f>
        <v>0</v>
      </c>
      <c r="W283" s="531" t="str" cm="1">
        <f t="array" aca="1" ref="W28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3" s="552" t="str" cm="1">
        <f t="array" aca="1" ref="X28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3" s="27" t="str">
        <f t="shared" ca="1" si="12"/>
        <v/>
      </c>
      <c r="Z283" s="4" t="str">
        <f>IFERROR($U$2-AVERAGEIFS(unit_details[First Listed],
          unit_details[Active Listing?],TRUE,
          unit_details[Property Name], $B283,
          unit_details[Beds], $D283,
          unit_details[Baths], $E283,
          unit_details[Partial Baths], IF(ISNUMBER($F283),$F283,""),
          unit_details[Floorplan Name],$C283
),"")</f>
        <v/>
      </c>
      <c r="AA283" s="262" cm="1">
        <f t="array" aca="1" ref="AA283" ca="1">COUNTIFS(unit_details[Active Listing?],TRUE,
          unit_details[Floorplan Name], INDIRECT("C"&amp;ROW()),
          unit_details[Property Name], INDIRECT("B"&amp;ROW()))</f>
        <v>0</v>
      </c>
      <c r="AB283" s="553"/>
      <c r="AC283" s="528" cm="1">
        <f t="array" aca="1" ref="AC283" ca="1">IFERROR(AVERAGEIFS(
  unit_details[Sqft],
  unit_details[Property Name], INDIRECT("B"&amp;ROW()),
  unit_details[Floorplan Name], INDIRECT("C"&amp;ROW()),
  unit_details[Beds], INDIRECT("D"&amp;ROW()),
  unit_details[Detected Unit Amenities], "*"&amp;$AD$3&amp;"*",
  unit_details[Leased Date], "&gt;=" &amp; ($U$2 - $AF$3)
),0)</f>
        <v>0</v>
      </c>
      <c r="AD283" s="527" cm="1">
        <f t="array" aca="1" ref="AD2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3" s="526" cm="1">
        <f t="array" aca="1" ref="AE283" ca="1">IFERROR(COUNTIFS(
  unit_details[Property Name], INDIRECT("B"&amp;ROW()),
  unit_details[Floorplan Name], INDIRECT("C"&amp;ROW()),
  unit_details[Beds], INDIRECT("D"&amp;ROW()),
  unit_details[Detected Unit Amenities], "*"&amp;$AD$3&amp;"*",
  unit_details[Leased Date], "&gt;=" &amp; ($U$2 - $AF$3)
),0)</f>
        <v>0</v>
      </c>
      <c r="AF283" s="528" cm="1">
        <f t="array" aca="1" ref="AF283" ca="1">IFERROR(AVERAGEIFS(
  unit_details[Sqft],
  unit_details[Property Name], INDIRECT("B"&amp;ROW()),
  unit_details[Floorplan Name], INDIRECT("C"&amp;ROW()),
  unit_details[Beds], INDIRECT("D"&amp;ROW()),
  unit_details[Detected Unit Amenities], "&lt;&gt;*"&amp;$AD$3&amp;"*",
  unit_details[Leased Date], "&gt;=" &amp; ($U$2 - $AF$3)
),0)</f>
        <v>0</v>
      </c>
      <c r="AG283" s="527" cm="1">
        <f t="array" aca="1" ref="AG2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3" s="526" cm="1">
        <f t="array" aca="1" ref="AH283" ca="1">IFERROR(COUNTIFS(
  unit_details[Property Name], INDIRECT("B"&amp;ROW()),
  unit_details[Floorplan Name], INDIRECT("C"&amp;ROW()),
  unit_details[Beds], INDIRECT("D"&amp;ROW()),
  unit_details[Detected Unit Amenities], "&lt;&gt;*"&amp;$AD$3&amp;"*",
  unit_details[Leased Date], "&gt;=" &amp; ($U$2 - $AF$3)
),0)</f>
        <v>0</v>
      </c>
      <c r="AI283" s="528"/>
      <c r="AJ283" s="531">
        <f t="shared" ca="1" si="13"/>
        <v>0</v>
      </c>
      <c r="AK283" s="532">
        <f t="shared" ca="1" si="14"/>
        <v>0</v>
      </c>
    </row>
    <row r="284" spans="2:37" x14ac:dyDescent="0.2">
      <c r="B284" s="566"/>
      <c r="C284" s="53"/>
      <c r="E284" s="262"/>
      <c r="F284" s="262"/>
      <c r="J284" s="293"/>
      <c r="K284" s="6"/>
      <c r="M284" s="538"/>
      <c r="N284" s="531" t="str" cm="1">
        <f t="array" aca="1" ref="N28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4" s="552" t="str" cm="1">
        <f t="array" aca="1" ref="O28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4" s="526" cm="1">
        <f t="array" aca="1" ref="P284" ca="1">COUNTIFS(unit_details[Leased Date], "&gt;=" &amp; ($U$2 - N$5),
          unit_details[Leased Date], "&lt;" &amp; $U$2,
          unit_details[Floorplan Name], INDIRECT("C"&amp;ROW()),
          unit_details[Property Name], INDIRECT("B"&amp;ROW()))</f>
        <v>0</v>
      </c>
      <c r="Q284" s="531" t="str" cm="1">
        <f t="array" aca="1" ref="Q28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4" s="552" t="str" cm="1">
        <f t="array" aca="1" ref="R28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4" s="526" cm="1">
        <f t="array" aca="1" ref="S284" ca="1">COUNTIFS(unit_details[Leased Date], "&gt;=" &amp; ($U$2 - Q$5),
          unit_details[Leased Date], "&lt;" &amp; $U$2,
          unit_details[Floorplan Name], INDIRECT("C"&amp;ROW()),
          unit_details[Property Name], INDIRECT("B"&amp;ROW()))</f>
        <v>0</v>
      </c>
      <c r="T284" s="531" t="str" cm="1">
        <f t="array" aca="1" ref="T28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4" s="552" t="str" cm="1">
        <f t="array" aca="1" ref="U28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4" s="526" cm="1">
        <f t="array" aca="1" ref="V284" ca="1">COUNTIFS(unit_details[Leased Date], "&gt;=" &amp; ($U$2 - T$5),
          unit_details[Leased Date], "&lt;" &amp; $U$2,
          unit_details[Floorplan Name], INDIRECT("C"&amp;ROW()),
          unit_details[Property Name], INDIRECT("B"&amp;ROW()))</f>
        <v>0</v>
      </c>
      <c r="W284" s="531" t="str" cm="1">
        <f t="array" aca="1" ref="W28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4" s="552" t="str" cm="1">
        <f t="array" aca="1" ref="X28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4" s="27" t="str">
        <f t="shared" ca="1" si="12"/>
        <v/>
      </c>
      <c r="Z284" s="4" t="str">
        <f>IFERROR($U$2-AVERAGEIFS(unit_details[First Listed],
          unit_details[Active Listing?],TRUE,
          unit_details[Property Name], $B284,
          unit_details[Beds], $D284,
          unit_details[Baths], $E284,
          unit_details[Partial Baths], IF(ISNUMBER($F284),$F284,""),
          unit_details[Floorplan Name],$C284
),"")</f>
        <v/>
      </c>
      <c r="AA284" s="262" cm="1">
        <f t="array" aca="1" ref="AA284" ca="1">COUNTIFS(unit_details[Active Listing?],TRUE,
          unit_details[Floorplan Name], INDIRECT("C"&amp;ROW()),
          unit_details[Property Name], INDIRECT("B"&amp;ROW()))</f>
        <v>0</v>
      </c>
      <c r="AB284" s="553"/>
      <c r="AC284" s="528" cm="1">
        <f t="array" aca="1" ref="AC284" ca="1">IFERROR(AVERAGEIFS(
  unit_details[Sqft],
  unit_details[Property Name], INDIRECT("B"&amp;ROW()),
  unit_details[Floorplan Name], INDIRECT("C"&amp;ROW()),
  unit_details[Beds], INDIRECT("D"&amp;ROW()),
  unit_details[Detected Unit Amenities], "*"&amp;$AD$3&amp;"*",
  unit_details[Leased Date], "&gt;=" &amp; ($U$2 - $AF$3)
),0)</f>
        <v>0</v>
      </c>
      <c r="AD284" s="527" cm="1">
        <f t="array" aca="1" ref="AD2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4" s="526" cm="1">
        <f t="array" aca="1" ref="AE284" ca="1">IFERROR(COUNTIFS(
  unit_details[Property Name], INDIRECT("B"&amp;ROW()),
  unit_details[Floorplan Name], INDIRECT("C"&amp;ROW()),
  unit_details[Beds], INDIRECT("D"&amp;ROW()),
  unit_details[Detected Unit Amenities], "*"&amp;$AD$3&amp;"*",
  unit_details[Leased Date], "&gt;=" &amp; ($U$2 - $AF$3)
),0)</f>
        <v>0</v>
      </c>
      <c r="AF284" s="528" cm="1">
        <f t="array" aca="1" ref="AF284" ca="1">IFERROR(AVERAGEIFS(
  unit_details[Sqft],
  unit_details[Property Name], INDIRECT("B"&amp;ROW()),
  unit_details[Floorplan Name], INDIRECT("C"&amp;ROW()),
  unit_details[Beds], INDIRECT("D"&amp;ROW()),
  unit_details[Detected Unit Amenities], "&lt;&gt;*"&amp;$AD$3&amp;"*",
  unit_details[Leased Date], "&gt;=" &amp; ($U$2 - $AF$3)
),0)</f>
        <v>0</v>
      </c>
      <c r="AG284" s="527" cm="1">
        <f t="array" aca="1" ref="AG2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4" s="526" cm="1">
        <f t="array" aca="1" ref="AH284" ca="1">IFERROR(COUNTIFS(
  unit_details[Property Name], INDIRECT("B"&amp;ROW()),
  unit_details[Floorplan Name], INDIRECT("C"&amp;ROW()),
  unit_details[Beds], INDIRECT("D"&amp;ROW()),
  unit_details[Detected Unit Amenities], "&lt;&gt;*"&amp;$AD$3&amp;"*",
  unit_details[Leased Date], "&gt;=" &amp; ($U$2 - $AF$3)
),0)</f>
        <v>0</v>
      </c>
      <c r="AI284" s="528"/>
      <c r="AJ284" s="531">
        <f t="shared" ca="1" si="13"/>
        <v>0</v>
      </c>
      <c r="AK284" s="532">
        <f t="shared" ca="1" si="14"/>
        <v>0</v>
      </c>
    </row>
    <row r="285" spans="2:37" x14ac:dyDescent="0.2">
      <c r="B285" s="566"/>
      <c r="C285" s="53"/>
      <c r="E285" s="262"/>
      <c r="F285" s="262"/>
      <c r="J285" s="293"/>
      <c r="K285" s="6"/>
      <c r="M285" s="538"/>
      <c r="N285" s="531" t="str" cm="1">
        <f t="array" aca="1" ref="N28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5" s="552" t="str" cm="1">
        <f t="array" aca="1" ref="O28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5" s="526" cm="1">
        <f t="array" aca="1" ref="P285" ca="1">COUNTIFS(unit_details[Leased Date], "&gt;=" &amp; ($U$2 - N$5),
          unit_details[Leased Date], "&lt;" &amp; $U$2,
          unit_details[Floorplan Name], INDIRECT("C"&amp;ROW()),
          unit_details[Property Name], INDIRECT("B"&amp;ROW()))</f>
        <v>0</v>
      </c>
      <c r="Q285" s="531" t="str" cm="1">
        <f t="array" aca="1" ref="Q28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5" s="552" t="str" cm="1">
        <f t="array" aca="1" ref="R28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5" s="526" cm="1">
        <f t="array" aca="1" ref="S285" ca="1">COUNTIFS(unit_details[Leased Date], "&gt;=" &amp; ($U$2 - Q$5),
          unit_details[Leased Date], "&lt;" &amp; $U$2,
          unit_details[Floorplan Name], INDIRECT("C"&amp;ROW()),
          unit_details[Property Name], INDIRECT("B"&amp;ROW()))</f>
        <v>0</v>
      </c>
      <c r="T285" s="531" t="str" cm="1">
        <f t="array" aca="1" ref="T28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5" s="552" t="str" cm="1">
        <f t="array" aca="1" ref="U28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5" s="526" cm="1">
        <f t="array" aca="1" ref="V285" ca="1">COUNTIFS(unit_details[Leased Date], "&gt;=" &amp; ($U$2 - T$5),
          unit_details[Leased Date], "&lt;" &amp; $U$2,
          unit_details[Floorplan Name], INDIRECT("C"&amp;ROW()),
          unit_details[Property Name], INDIRECT("B"&amp;ROW()))</f>
        <v>0</v>
      </c>
      <c r="W285" s="531" t="str" cm="1">
        <f t="array" aca="1" ref="W28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5" s="552" t="str" cm="1">
        <f t="array" aca="1" ref="X28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5" s="27" t="str">
        <f t="shared" ca="1" si="12"/>
        <v/>
      </c>
      <c r="Z285" s="4" t="str">
        <f>IFERROR($U$2-AVERAGEIFS(unit_details[First Listed],
          unit_details[Active Listing?],TRUE,
          unit_details[Property Name], $B285,
          unit_details[Beds], $D285,
          unit_details[Baths], $E285,
          unit_details[Partial Baths], IF(ISNUMBER($F285),$F285,""),
          unit_details[Floorplan Name],$C285
),"")</f>
        <v/>
      </c>
      <c r="AA285" s="262" cm="1">
        <f t="array" aca="1" ref="AA285" ca="1">COUNTIFS(unit_details[Active Listing?],TRUE,
          unit_details[Floorplan Name], INDIRECT("C"&amp;ROW()),
          unit_details[Property Name], INDIRECT("B"&amp;ROW()))</f>
        <v>0</v>
      </c>
      <c r="AB285" s="553"/>
      <c r="AC285" s="528" cm="1">
        <f t="array" aca="1" ref="AC285" ca="1">IFERROR(AVERAGEIFS(
  unit_details[Sqft],
  unit_details[Property Name], INDIRECT("B"&amp;ROW()),
  unit_details[Floorplan Name], INDIRECT("C"&amp;ROW()),
  unit_details[Beds], INDIRECT("D"&amp;ROW()),
  unit_details[Detected Unit Amenities], "*"&amp;$AD$3&amp;"*",
  unit_details[Leased Date], "&gt;=" &amp; ($U$2 - $AF$3)
),0)</f>
        <v>0</v>
      </c>
      <c r="AD285" s="527" cm="1">
        <f t="array" aca="1" ref="AD2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5" s="526" cm="1">
        <f t="array" aca="1" ref="AE285" ca="1">IFERROR(COUNTIFS(
  unit_details[Property Name], INDIRECT("B"&amp;ROW()),
  unit_details[Floorplan Name], INDIRECT("C"&amp;ROW()),
  unit_details[Beds], INDIRECT("D"&amp;ROW()),
  unit_details[Detected Unit Amenities], "*"&amp;$AD$3&amp;"*",
  unit_details[Leased Date], "&gt;=" &amp; ($U$2 - $AF$3)
),0)</f>
        <v>0</v>
      </c>
      <c r="AF285" s="528" cm="1">
        <f t="array" aca="1" ref="AF285" ca="1">IFERROR(AVERAGEIFS(
  unit_details[Sqft],
  unit_details[Property Name], INDIRECT("B"&amp;ROW()),
  unit_details[Floorplan Name], INDIRECT("C"&amp;ROW()),
  unit_details[Beds], INDIRECT("D"&amp;ROW()),
  unit_details[Detected Unit Amenities], "&lt;&gt;*"&amp;$AD$3&amp;"*",
  unit_details[Leased Date], "&gt;=" &amp; ($U$2 - $AF$3)
),0)</f>
        <v>0</v>
      </c>
      <c r="AG285" s="527" cm="1">
        <f t="array" aca="1" ref="AG2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5" s="526" cm="1">
        <f t="array" aca="1" ref="AH285" ca="1">IFERROR(COUNTIFS(
  unit_details[Property Name], INDIRECT("B"&amp;ROW()),
  unit_details[Floorplan Name], INDIRECT("C"&amp;ROW()),
  unit_details[Beds], INDIRECT("D"&amp;ROW()),
  unit_details[Detected Unit Amenities], "&lt;&gt;*"&amp;$AD$3&amp;"*",
  unit_details[Leased Date], "&gt;=" &amp; ($U$2 - $AF$3)
),0)</f>
        <v>0</v>
      </c>
      <c r="AI285" s="528"/>
      <c r="AJ285" s="531">
        <f t="shared" ca="1" si="13"/>
        <v>0</v>
      </c>
      <c r="AK285" s="532">
        <f t="shared" ca="1" si="14"/>
        <v>0</v>
      </c>
    </row>
    <row r="286" spans="2:37" x14ac:dyDescent="0.2">
      <c r="B286" s="566"/>
      <c r="C286" s="53"/>
      <c r="E286" s="262"/>
      <c r="F286" s="262"/>
      <c r="J286" s="293"/>
      <c r="K286" s="6"/>
      <c r="M286" s="538"/>
      <c r="N286" s="531" t="str" cm="1">
        <f t="array" aca="1" ref="N28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6" s="552" t="str" cm="1">
        <f t="array" aca="1" ref="O28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6" s="526" cm="1">
        <f t="array" aca="1" ref="P286" ca="1">COUNTIFS(unit_details[Leased Date], "&gt;=" &amp; ($U$2 - N$5),
          unit_details[Leased Date], "&lt;" &amp; $U$2,
          unit_details[Floorplan Name], INDIRECT("C"&amp;ROW()),
          unit_details[Property Name], INDIRECT("B"&amp;ROW()))</f>
        <v>0</v>
      </c>
      <c r="Q286" s="531" t="str" cm="1">
        <f t="array" aca="1" ref="Q28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6" s="552" t="str" cm="1">
        <f t="array" aca="1" ref="R28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6" s="526" cm="1">
        <f t="array" aca="1" ref="S286" ca="1">COUNTIFS(unit_details[Leased Date], "&gt;=" &amp; ($U$2 - Q$5),
          unit_details[Leased Date], "&lt;" &amp; $U$2,
          unit_details[Floorplan Name], INDIRECT("C"&amp;ROW()),
          unit_details[Property Name], INDIRECT("B"&amp;ROW()))</f>
        <v>0</v>
      </c>
      <c r="T286" s="531" t="str" cm="1">
        <f t="array" aca="1" ref="T28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6" s="552" t="str" cm="1">
        <f t="array" aca="1" ref="U28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6" s="526" cm="1">
        <f t="array" aca="1" ref="V286" ca="1">COUNTIFS(unit_details[Leased Date], "&gt;=" &amp; ($U$2 - T$5),
          unit_details[Leased Date], "&lt;" &amp; $U$2,
          unit_details[Floorplan Name], INDIRECT("C"&amp;ROW()),
          unit_details[Property Name], INDIRECT("B"&amp;ROW()))</f>
        <v>0</v>
      </c>
      <c r="W286" s="531" t="str" cm="1">
        <f t="array" aca="1" ref="W28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6" s="552" t="str" cm="1">
        <f t="array" aca="1" ref="X28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6" s="27" t="str">
        <f t="shared" ca="1" si="12"/>
        <v/>
      </c>
      <c r="Z286" s="4" t="str">
        <f>IFERROR($U$2-AVERAGEIFS(unit_details[First Listed],
          unit_details[Active Listing?],TRUE,
          unit_details[Property Name], $B286,
          unit_details[Beds], $D286,
          unit_details[Baths], $E286,
          unit_details[Partial Baths], IF(ISNUMBER($F286),$F286,""),
          unit_details[Floorplan Name],$C286
),"")</f>
        <v/>
      </c>
      <c r="AA286" s="262" cm="1">
        <f t="array" aca="1" ref="AA286" ca="1">COUNTIFS(unit_details[Active Listing?],TRUE,
          unit_details[Floorplan Name], INDIRECT("C"&amp;ROW()),
          unit_details[Property Name], INDIRECT("B"&amp;ROW()))</f>
        <v>0</v>
      </c>
      <c r="AB286" s="553"/>
      <c r="AC286" s="528" cm="1">
        <f t="array" aca="1" ref="AC286" ca="1">IFERROR(AVERAGEIFS(
  unit_details[Sqft],
  unit_details[Property Name], INDIRECT("B"&amp;ROW()),
  unit_details[Floorplan Name], INDIRECT("C"&amp;ROW()),
  unit_details[Beds], INDIRECT("D"&amp;ROW()),
  unit_details[Detected Unit Amenities], "*"&amp;$AD$3&amp;"*",
  unit_details[Leased Date], "&gt;=" &amp; ($U$2 - $AF$3)
),0)</f>
        <v>0</v>
      </c>
      <c r="AD286" s="527" cm="1">
        <f t="array" aca="1" ref="AD2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6" s="526" cm="1">
        <f t="array" aca="1" ref="AE286" ca="1">IFERROR(COUNTIFS(
  unit_details[Property Name], INDIRECT("B"&amp;ROW()),
  unit_details[Floorplan Name], INDIRECT("C"&amp;ROW()),
  unit_details[Beds], INDIRECT("D"&amp;ROW()),
  unit_details[Detected Unit Amenities], "*"&amp;$AD$3&amp;"*",
  unit_details[Leased Date], "&gt;=" &amp; ($U$2 - $AF$3)
),0)</f>
        <v>0</v>
      </c>
      <c r="AF286" s="528" cm="1">
        <f t="array" aca="1" ref="AF286" ca="1">IFERROR(AVERAGEIFS(
  unit_details[Sqft],
  unit_details[Property Name], INDIRECT("B"&amp;ROW()),
  unit_details[Floorplan Name], INDIRECT("C"&amp;ROW()),
  unit_details[Beds], INDIRECT("D"&amp;ROW()),
  unit_details[Detected Unit Amenities], "&lt;&gt;*"&amp;$AD$3&amp;"*",
  unit_details[Leased Date], "&gt;=" &amp; ($U$2 - $AF$3)
),0)</f>
        <v>0</v>
      </c>
      <c r="AG286" s="527" cm="1">
        <f t="array" aca="1" ref="AG2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6" s="526" cm="1">
        <f t="array" aca="1" ref="AH286" ca="1">IFERROR(COUNTIFS(
  unit_details[Property Name], INDIRECT("B"&amp;ROW()),
  unit_details[Floorplan Name], INDIRECT("C"&amp;ROW()),
  unit_details[Beds], INDIRECT("D"&amp;ROW()),
  unit_details[Detected Unit Amenities], "&lt;&gt;*"&amp;$AD$3&amp;"*",
  unit_details[Leased Date], "&gt;=" &amp; ($U$2 - $AF$3)
),0)</f>
        <v>0</v>
      </c>
      <c r="AI286" s="528"/>
      <c r="AJ286" s="531">
        <f t="shared" ca="1" si="13"/>
        <v>0</v>
      </c>
      <c r="AK286" s="532">
        <f t="shared" ca="1" si="14"/>
        <v>0</v>
      </c>
    </row>
    <row r="287" spans="2:37" x14ac:dyDescent="0.2">
      <c r="B287" s="566"/>
      <c r="C287" s="53"/>
      <c r="E287" s="262"/>
      <c r="F287" s="262"/>
      <c r="J287" s="293"/>
      <c r="K287" s="6"/>
      <c r="M287" s="538"/>
      <c r="N287" s="531" t="str" cm="1">
        <f t="array" aca="1" ref="N28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7" s="552" t="str" cm="1">
        <f t="array" aca="1" ref="O28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7" s="526" cm="1">
        <f t="array" aca="1" ref="P287" ca="1">COUNTIFS(unit_details[Leased Date], "&gt;=" &amp; ($U$2 - N$5),
          unit_details[Leased Date], "&lt;" &amp; $U$2,
          unit_details[Floorplan Name], INDIRECT("C"&amp;ROW()),
          unit_details[Property Name], INDIRECT("B"&amp;ROW()))</f>
        <v>0</v>
      </c>
      <c r="Q287" s="531" t="str" cm="1">
        <f t="array" aca="1" ref="Q28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7" s="552" t="str" cm="1">
        <f t="array" aca="1" ref="R28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7" s="526" cm="1">
        <f t="array" aca="1" ref="S287" ca="1">COUNTIFS(unit_details[Leased Date], "&gt;=" &amp; ($U$2 - Q$5),
          unit_details[Leased Date], "&lt;" &amp; $U$2,
          unit_details[Floorplan Name], INDIRECT("C"&amp;ROW()),
          unit_details[Property Name], INDIRECT("B"&amp;ROW()))</f>
        <v>0</v>
      </c>
      <c r="T287" s="531" t="str" cm="1">
        <f t="array" aca="1" ref="T28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7" s="552" t="str" cm="1">
        <f t="array" aca="1" ref="U28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7" s="526" cm="1">
        <f t="array" aca="1" ref="V287" ca="1">COUNTIFS(unit_details[Leased Date], "&gt;=" &amp; ($U$2 - T$5),
          unit_details[Leased Date], "&lt;" &amp; $U$2,
          unit_details[Floorplan Name], INDIRECT("C"&amp;ROW()),
          unit_details[Property Name], INDIRECT("B"&amp;ROW()))</f>
        <v>0</v>
      </c>
      <c r="W287" s="531" t="str" cm="1">
        <f t="array" aca="1" ref="W28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7" s="552" t="str" cm="1">
        <f t="array" aca="1" ref="X28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7" s="27" t="str">
        <f t="shared" ca="1" si="12"/>
        <v/>
      </c>
      <c r="Z287" s="4" t="str">
        <f>IFERROR($U$2-AVERAGEIFS(unit_details[First Listed],
          unit_details[Active Listing?],TRUE,
          unit_details[Property Name], $B287,
          unit_details[Beds], $D287,
          unit_details[Baths], $E287,
          unit_details[Partial Baths], IF(ISNUMBER($F287),$F287,""),
          unit_details[Floorplan Name],$C287
),"")</f>
        <v/>
      </c>
      <c r="AA287" s="262" cm="1">
        <f t="array" aca="1" ref="AA287" ca="1">COUNTIFS(unit_details[Active Listing?],TRUE,
          unit_details[Floorplan Name], INDIRECT("C"&amp;ROW()),
          unit_details[Property Name], INDIRECT("B"&amp;ROW()))</f>
        <v>0</v>
      </c>
      <c r="AB287" s="553"/>
      <c r="AC287" s="528" cm="1">
        <f t="array" aca="1" ref="AC287" ca="1">IFERROR(AVERAGEIFS(
  unit_details[Sqft],
  unit_details[Property Name], INDIRECT("B"&amp;ROW()),
  unit_details[Floorplan Name], INDIRECT("C"&amp;ROW()),
  unit_details[Beds], INDIRECT("D"&amp;ROW()),
  unit_details[Detected Unit Amenities], "*"&amp;$AD$3&amp;"*",
  unit_details[Leased Date], "&gt;=" &amp; ($U$2 - $AF$3)
),0)</f>
        <v>0</v>
      </c>
      <c r="AD287" s="527" cm="1">
        <f t="array" aca="1" ref="AD2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7" s="526" cm="1">
        <f t="array" aca="1" ref="AE287" ca="1">IFERROR(COUNTIFS(
  unit_details[Property Name], INDIRECT("B"&amp;ROW()),
  unit_details[Floorplan Name], INDIRECT("C"&amp;ROW()),
  unit_details[Beds], INDIRECT("D"&amp;ROW()),
  unit_details[Detected Unit Amenities], "*"&amp;$AD$3&amp;"*",
  unit_details[Leased Date], "&gt;=" &amp; ($U$2 - $AF$3)
),0)</f>
        <v>0</v>
      </c>
      <c r="AF287" s="528" cm="1">
        <f t="array" aca="1" ref="AF287" ca="1">IFERROR(AVERAGEIFS(
  unit_details[Sqft],
  unit_details[Property Name], INDIRECT("B"&amp;ROW()),
  unit_details[Floorplan Name], INDIRECT("C"&amp;ROW()),
  unit_details[Beds], INDIRECT("D"&amp;ROW()),
  unit_details[Detected Unit Amenities], "&lt;&gt;*"&amp;$AD$3&amp;"*",
  unit_details[Leased Date], "&gt;=" &amp; ($U$2 - $AF$3)
),0)</f>
        <v>0</v>
      </c>
      <c r="AG287" s="527" cm="1">
        <f t="array" aca="1" ref="AG2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7" s="526" cm="1">
        <f t="array" aca="1" ref="AH287" ca="1">IFERROR(COUNTIFS(
  unit_details[Property Name], INDIRECT("B"&amp;ROW()),
  unit_details[Floorplan Name], INDIRECT("C"&amp;ROW()),
  unit_details[Beds], INDIRECT("D"&amp;ROW()),
  unit_details[Detected Unit Amenities], "&lt;&gt;*"&amp;$AD$3&amp;"*",
  unit_details[Leased Date], "&gt;=" &amp; ($U$2 - $AF$3)
),0)</f>
        <v>0</v>
      </c>
      <c r="AI287" s="528"/>
      <c r="AJ287" s="531">
        <f t="shared" ca="1" si="13"/>
        <v>0</v>
      </c>
      <c r="AK287" s="532">
        <f t="shared" ca="1" si="14"/>
        <v>0</v>
      </c>
    </row>
    <row r="288" spans="2:37" x14ac:dyDescent="0.2">
      <c r="B288" s="566"/>
      <c r="C288" s="53"/>
      <c r="E288" s="262"/>
      <c r="F288" s="262"/>
      <c r="J288" s="293"/>
      <c r="K288" s="6"/>
      <c r="M288" s="538"/>
      <c r="N288" s="531" t="str" cm="1">
        <f t="array" aca="1" ref="N28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8" s="552" t="str" cm="1">
        <f t="array" aca="1" ref="O28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8" s="526" cm="1">
        <f t="array" aca="1" ref="P288" ca="1">COUNTIFS(unit_details[Leased Date], "&gt;=" &amp; ($U$2 - N$5),
          unit_details[Leased Date], "&lt;" &amp; $U$2,
          unit_details[Floorplan Name], INDIRECT("C"&amp;ROW()),
          unit_details[Property Name], INDIRECT("B"&amp;ROW()))</f>
        <v>0</v>
      </c>
      <c r="Q288" s="531" t="str" cm="1">
        <f t="array" aca="1" ref="Q28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8" s="552" t="str" cm="1">
        <f t="array" aca="1" ref="R28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8" s="526" cm="1">
        <f t="array" aca="1" ref="S288" ca="1">COUNTIFS(unit_details[Leased Date], "&gt;=" &amp; ($U$2 - Q$5),
          unit_details[Leased Date], "&lt;" &amp; $U$2,
          unit_details[Floorplan Name], INDIRECT("C"&amp;ROW()),
          unit_details[Property Name], INDIRECT("B"&amp;ROW()))</f>
        <v>0</v>
      </c>
      <c r="T288" s="531" t="str" cm="1">
        <f t="array" aca="1" ref="T28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8" s="552" t="str" cm="1">
        <f t="array" aca="1" ref="U28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8" s="526" cm="1">
        <f t="array" aca="1" ref="V288" ca="1">COUNTIFS(unit_details[Leased Date], "&gt;=" &amp; ($U$2 - T$5),
          unit_details[Leased Date], "&lt;" &amp; $U$2,
          unit_details[Floorplan Name], INDIRECT("C"&amp;ROW()),
          unit_details[Property Name], INDIRECT("B"&amp;ROW()))</f>
        <v>0</v>
      </c>
      <c r="W288" s="531" t="str" cm="1">
        <f t="array" aca="1" ref="W28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8" s="552" t="str" cm="1">
        <f t="array" aca="1" ref="X28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8" s="27" t="str">
        <f t="shared" ca="1" si="12"/>
        <v/>
      </c>
      <c r="Z288" s="4" t="str">
        <f>IFERROR($U$2-AVERAGEIFS(unit_details[First Listed],
          unit_details[Active Listing?],TRUE,
          unit_details[Property Name], $B288,
          unit_details[Beds], $D288,
          unit_details[Baths], $E288,
          unit_details[Partial Baths], IF(ISNUMBER($F288),$F288,""),
          unit_details[Floorplan Name],$C288
),"")</f>
        <v/>
      </c>
      <c r="AA288" s="262" cm="1">
        <f t="array" aca="1" ref="AA288" ca="1">COUNTIFS(unit_details[Active Listing?],TRUE,
          unit_details[Floorplan Name], INDIRECT("C"&amp;ROW()),
          unit_details[Property Name], INDIRECT("B"&amp;ROW()))</f>
        <v>0</v>
      </c>
      <c r="AB288" s="553"/>
      <c r="AC288" s="528" cm="1">
        <f t="array" aca="1" ref="AC288" ca="1">IFERROR(AVERAGEIFS(
  unit_details[Sqft],
  unit_details[Property Name], INDIRECT("B"&amp;ROW()),
  unit_details[Floorplan Name], INDIRECT("C"&amp;ROW()),
  unit_details[Beds], INDIRECT("D"&amp;ROW()),
  unit_details[Detected Unit Amenities], "*"&amp;$AD$3&amp;"*",
  unit_details[Leased Date], "&gt;=" &amp; ($U$2 - $AF$3)
),0)</f>
        <v>0</v>
      </c>
      <c r="AD288" s="527" cm="1">
        <f t="array" aca="1" ref="AD2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8" s="526" cm="1">
        <f t="array" aca="1" ref="AE288" ca="1">IFERROR(COUNTIFS(
  unit_details[Property Name], INDIRECT("B"&amp;ROW()),
  unit_details[Floorplan Name], INDIRECT("C"&amp;ROW()),
  unit_details[Beds], INDIRECT("D"&amp;ROW()),
  unit_details[Detected Unit Amenities], "*"&amp;$AD$3&amp;"*",
  unit_details[Leased Date], "&gt;=" &amp; ($U$2 - $AF$3)
),0)</f>
        <v>0</v>
      </c>
      <c r="AF288" s="528" cm="1">
        <f t="array" aca="1" ref="AF288" ca="1">IFERROR(AVERAGEIFS(
  unit_details[Sqft],
  unit_details[Property Name], INDIRECT("B"&amp;ROW()),
  unit_details[Floorplan Name], INDIRECT("C"&amp;ROW()),
  unit_details[Beds], INDIRECT("D"&amp;ROW()),
  unit_details[Detected Unit Amenities], "&lt;&gt;*"&amp;$AD$3&amp;"*",
  unit_details[Leased Date], "&gt;=" &amp; ($U$2 - $AF$3)
),0)</f>
        <v>0</v>
      </c>
      <c r="AG288" s="527" cm="1">
        <f t="array" aca="1" ref="AG2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8" s="526" cm="1">
        <f t="array" aca="1" ref="AH288" ca="1">IFERROR(COUNTIFS(
  unit_details[Property Name], INDIRECT("B"&amp;ROW()),
  unit_details[Floorplan Name], INDIRECT("C"&amp;ROW()),
  unit_details[Beds], INDIRECT("D"&amp;ROW()),
  unit_details[Detected Unit Amenities], "&lt;&gt;*"&amp;$AD$3&amp;"*",
  unit_details[Leased Date], "&gt;=" &amp; ($U$2 - $AF$3)
),0)</f>
        <v>0</v>
      </c>
      <c r="AI288" s="528"/>
      <c r="AJ288" s="531">
        <f t="shared" ca="1" si="13"/>
        <v>0</v>
      </c>
      <c r="AK288" s="532">
        <f t="shared" ca="1" si="14"/>
        <v>0</v>
      </c>
    </row>
    <row r="289" spans="2:37" x14ac:dyDescent="0.2">
      <c r="B289" s="566"/>
      <c r="C289" s="53"/>
      <c r="E289" s="262"/>
      <c r="F289" s="262"/>
      <c r="J289" s="293"/>
      <c r="K289" s="6"/>
      <c r="M289" s="538"/>
      <c r="N289" s="531" t="str" cm="1">
        <f t="array" aca="1" ref="N28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89" s="552" t="str" cm="1">
        <f t="array" aca="1" ref="O28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89" s="526" cm="1">
        <f t="array" aca="1" ref="P289" ca="1">COUNTIFS(unit_details[Leased Date], "&gt;=" &amp; ($U$2 - N$5),
          unit_details[Leased Date], "&lt;" &amp; $U$2,
          unit_details[Floorplan Name], INDIRECT("C"&amp;ROW()),
          unit_details[Property Name], INDIRECT("B"&amp;ROW()))</f>
        <v>0</v>
      </c>
      <c r="Q289" s="531" t="str" cm="1">
        <f t="array" aca="1" ref="Q28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89" s="552" t="str" cm="1">
        <f t="array" aca="1" ref="R28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89" s="526" cm="1">
        <f t="array" aca="1" ref="S289" ca="1">COUNTIFS(unit_details[Leased Date], "&gt;=" &amp; ($U$2 - Q$5),
          unit_details[Leased Date], "&lt;" &amp; $U$2,
          unit_details[Floorplan Name], INDIRECT("C"&amp;ROW()),
          unit_details[Property Name], INDIRECT("B"&amp;ROW()))</f>
        <v>0</v>
      </c>
      <c r="T289" s="531" t="str" cm="1">
        <f t="array" aca="1" ref="T28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89" s="552" t="str" cm="1">
        <f t="array" aca="1" ref="U28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89" s="526" cm="1">
        <f t="array" aca="1" ref="V289" ca="1">COUNTIFS(unit_details[Leased Date], "&gt;=" &amp; ($U$2 - T$5),
          unit_details[Leased Date], "&lt;" &amp; $U$2,
          unit_details[Floorplan Name], INDIRECT("C"&amp;ROW()),
          unit_details[Property Name], INDIRECT("B"&amp;ROW()))</f>
        <v>0</v>
      </c>
      <c r="W289" s="531" t="str" cm="1">
        <f t="array" aca="1" ref="W28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89" s="552" t="str" cm="1">
        <f t="array" aca="1" ref="X28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89" s="27" t="str">
        <f t="shared" ca="1" si="12"/>
        <v/>
      </c>
      <c r="Z289" s="4" t="str">
        <f>IFERROR($U$2-AVERAGEIFS(unit_details[First Listed],
          unit_details[Active Listing?],TRUE,
          unit_details[Property Name], $B289,
          unit_details[Beds], $D289,
          unit_details[Baths], $E289,
          unit_details[Partial Baths], IF(ISNUMBER($F289),$F289,""),
          unit_details[Floorplan Name],$C289
),"")</f>
        <v/>
      </c>
      <c r="AA289" s="262" cm="1">
        <f t="array" aca="1" ref="AA289" ca="1">COUNTIFS(unit_details[Active Listing?],TRUE,
          unit_details[Floorplan Name], INDIRECT("C"&amp;ROW()),
          unit_details[Property Name], INDIRECT("B"&amp;ROW()))</f>
        <v>0</v>
      </c>
      <c r="AB289" s="553"/>
      <c r="AC289" s="528" cm="1">
        <f t="array" aca="1" ref="AC289" ca="1">IFERROR(AVERAGEIFS(
  unit_details[Sqft],
  unit_details[Property Name], INDIRECT("B"&amp;ROW()),
  unit_details[Floorplan Name], INDIRECT("C"&amp;ROW()),
  unit_details[Beds], INDIRECT("D"&amp;ROW()),
  unit_details[Detected Unit Amenities], "*"&amp;$AD$3&amp;"*",
  unit_details[Leased Date], "&gt;=" &amp; ($U$2 - $AF$3)
),0)</f>
        <v>0</v>
      </c>
      <c r="AD289" s="527" cm="1">
        <f t="array" aca="1" ref="AD2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89" s="526" cm="1">
        <f t="array" aca="1" ref="AE289" ca="1">IFERROR(COUNTIFS(
  unit_details[Property Name], INDIRECT("B"&amp;ROW()),
  unit_details[Floorplan Name], INDIRECT("C"&amp;ROW()),
  unit_details[Beds], INDIRECT("D"&amp;ROW()),
  unit_details[Detected Unit Amenities], "*"&amp;$AD$3&amp;"*",
  unit_details[Leased Date], "&gt;=" &amp; ($U$2 - $AF$3)
),0)</f>
        <v>0</v>
      </c>
      <c r="AF289" s="528" cm="1">
        <f t="array" aca="1" ref="AF289" ca="1">IFERROR(AVERAGEIFS(
  unit_details[Sqft],
  unit_details[Property Name], INDIRECT("B"&amp;ROW()),
  unit_details[Floorplan Name], INDIRECT("C"&amp;ROW()),
  unit_details[Beds], INDIRECT("D"&amp;ROW()),
  unit_details[Detected Unit Amenities], "&lt;&gt;*"&amp;$AD$3&amp;"*",
  unit_details[Leased Date], "&gt;=" &amp; ($U$2 - $AF$3)
),0)</f>
        <v>0</v>
      </c>
      <c r="AG289" s="527" cm="1">
        <f t="array" aca="1" ref="AG2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89" s="526" cm="1">
        <f t="array" aca="1" ref="AH289" ca="1">IFERROR(COUNTIFS(
  unit_details[Property Name], INDIRECT("B"&amp;ROW()),
  unit_details[Floorplan Name], INDIRECT("C"&amp;ROW()),
  unit_details[Beds], INDIRECT("D"&amp;ROW()),
  unit_details[Detected Unit Amenities], "&lt;&gt;*"&amp;$AD$3&amp;"*",
  unit_details[Leased Date], "&gt;=" &amp; ($U$2 - $AF$3)
),0)</f>
        <v>0</v>
      </c>
      <c r="AI289" s="528"/>
      <c r="AJ289" s="531">
        <f t="shared" ca="1" si="13"/>
        <v>0</v>
      </c>
      <c r="AK289" s="532">
        <f t="shared" ca="1" si="14"/>
        <v>0</v>
      </c>
    </row>
    <row r="290" spans="2:37" x14ac:dyDescent="0.2">
      <c r="B290" s="566"/>
      <c r="C290" s="53"/>
      <c r="E290" s="262"/>
      <c r="F290" s="262"/>
      <c r="J290" s="293"/>
      <c r="K290" s="6"/>
      <c r="M290" s="538"/>
      <c r="N290" s="531" t="str" cm="1">
        <f t="array" aca="1" ref="N29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0" s="552" t="str" cm="1">
        <f t="array" aca="1" ref="O29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0" s="526" cm="1">
        <f t="array" aca="1" ref="P290" ca="1">COUNTIFS(unit_details[Leased Date], "&gt;=" &amp; ($U$2 - N$5),
          unit_details[Leased Date], "&lt;" &amp; $U$2,
          unit_details[Floorplan Name], INDIRECT("C"&amp;ROW()),
          unit_details[Property Name], INDIRECT("B"&amp;ROW()))</f>
        <v>0</v>
      </c>
      <c r="Q290" s="531" t="str" cm="1">
        <f t="array" aca="1" ref="Q29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0" s="552" t="str" cm="1">
        <f t="array" aca="1" ref="R29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0" s="526" cm="1">
        <f t="array" aca="1" ref="S290" ca="1">COUNTIFS(unit_details[Leased Date], "&gt;=" &amp; ($U$2 - Q$5),
          unit_details[Leased Date], "&lt;" &amp; $U$2,
          unit_details[Floorplan Name], INDIRECT("C"&amp;ROW()),
          unit_details[Property Name], INDIRECT("B"&amp;ROW()))</f>
        <v>0</v>
      </c>
      <c r="T290" s="531" t="str" cm="1">
        <f t="array" aca="1" ref="T29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0" s="552" t="str" cm="1">
        <f t="array" aca="1" ref="U29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0" s="526" cm="1">
        <f t="array" aca="1" ref="V290" ca="1">COUNTIFS(unit_details[Leased Date], "&gt;=" &amp; ($U$2 - T$5),
          unit_details[Leased Date], "&lt;" &amp; $U$2,
          unit_details[Floorplan Name], INDIRECT("C"&amp;ROW()),
          unit_details[Property Name], INDIRECT("B"&amp;ROW()))</f>
        <v>0</v>
      </c>
      <c r="W290" s="531" t="str" cm="1">
        <f t="array" aca="1" ref="W29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0" s="552" t="str" cm="1">
        <f t="array" aca="1" ref="X29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0" s="27" t="str">
        <f t="shared" ca="1" si="12"/>
        <v/>
      </c>
      <c r="Z290" s="4" t="str">
        <f>IFERROR($U$2-AVERAGEIFS(unit_details[First Listed],
          unit_details[Active Listing?],TRUE,
          unit_details[Property Name], $B290,
          unit_details[Beds], $D290,
          unit_details[Baths], $E290,
          unit_details[Partial Baths], IF(ISNUMBER($F290),$F290,""),
          unit_details[Floorplan Name],$C290
),"")</f>
        <v/>
      </c>
      <c r="AA290" s="262" cm="1">
        <f t="array" aca="1" ref="AA290" ca="1">COUNTIFS(unit_details[Active Listing?],TRUE,
          unit_details[Floorplan Name], INDIRECT("C"&amp;ROW()),
          unit_details[Property Name], INDIRECT("B"&amp;ROW()))</f>
        <v>0</v>
      </c>
      <c r="AB290" s="553"/>
      <c r="AC290" s="528" cm="1">
        <f t="array" aca="1" ref="AC290" ca="1">IFERROR(AVERAGEIFS(
  unit_details[Sqft],
  unit_details[Property Name], INDIRECT("B"&amp;ROW()),
  unit_details[Floorplan Name], INDIRECT("C"&amp;ROW()),
  unit_details[Beds], INDIRECT("D"&amp;ROW()),
  unit_details[Detected Unit Amenities], "*"&amp;$AD$3&amp;"*",
  unit_details[Leased Date], "&gt;=" &amp; ($U$2 - $AF$3)
),0)</f>
        <v>0</v>
      </c>
      <c r="AD290" s="527" cm="1">
        <f t="array" aca="1" ref="AD2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0" s="526" cm="1">
        <f t="array" aca="1" ref="AE290" ca="1">IFERROR(COUNTIFS(
  unit_details[Property Name], INDIRECT("B"&amp;ROW()),
  unit_details[Floorplan Name], INDIRECT("C"&amp;ROW()),
  unit_details[Beds], INDIRECT("D"&amp;ROW()),
  unit_details[Detected Unit Amenities], "*"&amp;$AD$3&amp;"*",
  unit_details[Leased Date], "&gt;=" &amp; ($U$2 - $AF$3)
),0)</f>
        <v>0</v>
      </c>
      <c r="AF290" s="528" cm="1">
        <f t="array" aca="1" ref="AF290" ca="1">IFERROR(AVERAGEIFS(
  unit_details[Sqft],
  unit_details[Property Name], INDIRECT("B"&amp;ROW()),
  unit_details[Floorplan Name], INDIRECT("C"&amp;ROW()),
  unit_details[Beds], INDIRECT("D"&amp;ROW()),
  unit_details[Detected Unit Amenities], "&lt;&gt;*"&amp;$AD$3&amp;"*",
  unit_details[Leased Date], "&gt;=" &amp; ($U$2 - $AF$3)
),0)</f>
        <v>0</v>
      </c>
      <c r="AG290" s="527" cm="1">
        <f t="array" aca="1" ref="AG2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0" s="526" cm="1">
        <f t="array" aca="1" ref="AH290" ca="1">IFERROR(COUNTIFS(
  unit_details[Property Name], INDIRECT("B"&amp;ROW()),
  unit_details[Floorplan Name], INDIRECT("C"&amp;ROW()),
  unit_details[Beds], INDIRECT("D"&amp;ROW()),
  unit_details[Detected Unit Amenities], "&lt;&gt;*"&amp;$AD$3&amp;"*",
  unit_details[Leased Date], "&gt;=" &amp; ($U$2 - $AF$3)
),0)</f>
        <v>0</v>
      </c>
      <c r="AI290" s="528"/>
      <c r="AJ290" s="531">
        <f t="shared" ca="1" si="13"/>
        <v>0</v>
      </c>
      <c r="AK290" s="532">
        <f t="shared" ca="1" si="14"/>
        <v>0</v>
      </c>
    </row>
    <row r="291" spans="2:37" x14ac:dyDescent="0.2">
      <c r="B291" s="566"/>
      <c r="C291" s="53"/>
      <c r="E291" s="262"/>
      <c r="F291" s="262"/>
      <c r="J291" s="293"/>
      <c r="K291" s="6"/>
      <c r="M291" s="538"/>
      <c r="N291" s="531" t="str" cm="1">
        <f t="array" aca="1" ref="N29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1" s="552" t="str" cm="1">
        <f t="array" aca="1" ref="O29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1" s="526" cm="1">
        <f t="array" aca="1" ref="P291" ca="1">COUNTIFS(unit_details[Leased Date], "&gt;=" &amp; ($U$2 - N$5),
          unit_details[Leased Date], "&lt;" &amp; $U$2,
          unit_details[Floorplan Name], INDIRECT("C"&amp;ROW()),
          unit_details[Property Name], INDIRECT("B"&amp;ROW()))</f>
        <v>0</v>
      </c>
      <c r="Q291" s="531" t="str" cm="1">
        <f t="array" aca="1" ref="Q29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1" s="552" t="str" cm="1">
        <f t="array" aca="1" ref="R29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1" s="526" cm="1">
        <f t="array" aca="1" ref="S291" ca="1">COUNTIFS(unit_details[Leased Date], "&gt;=" &amp; ($U$2 - Q$5),
          unit_details[Leased Date], "&lt;" &amp; $U$2,
          unit_details[Floorplan Name], INDIRECT("C"&amp;ROW()),
          unit_details[Property Name], INDIRECT("B"&amp;ROW()))</f>
        <v>0</v>
      </c>
      <c r="T291" s="531" t="str" cm="1">
        <f t="array" aca="1" ref="T29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1" s="552" t="str" cm="1">
        <f t="array" aca="1" ref="U29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1" s="526" cm="1">
        <f t="array" aca="1" ref="V291" ca="1">COUNTIFS(unit_details[Leased Date], "&gt;=" &amp; ($U$2 - T$5),
          unit_details[Leased Date], "&lt;" &amp; $U$2,
          unit_details[Floorplan Name], INDIRECT("C"&amp;ROW()),
          unit_details[Property Name], INDIRECT("B"&amp;ROW()))</f>
        <v>0</v>
      </c>
      <c r="W291" s="531" t="str" cm="1">
        <f t="array" aca="1" ref="W29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1" s="552" t="str" cm="1">
        <f t="array" aca="1" ref="X29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1" s="27" t="str">
        <f t="shared" ca="1" si="12"/>
        <v/>
      </c>
      <c r="Z291" s="4" t="str">
        <f>IFERROR($U$2-AVERAGEIFS(unit_details[First Listed],
          unit_details[Active Listing?],TRUE,
          unit_details[Property Name], $B291,
          unit_details[Beds], $D291,
          unit_details[Baths], $E291,
          unit_details[Partial Baths], IF(ISNUMBER($F291),$F291,""),
          unit_details[Floorplan Name],$C291
),"")</f>
        <v/>
      </c>
      <c r="AA291" s="262" cm="1">
        <f t="array" aca="1" ref="AA291" ca="1">COUNTIFS(unit_details[Active Listing?],TRUE,
          unit_details[Floorplan Name], INDIRECT("C"&amp;ROW()),
          unit_details[Property Name], INDIRECT("B"&amp;ROW()))</f>
        <v>0</v>
      </c>
      <c r="AB291" s="553"/>
      <c r="AC291" s="528" cm="1">
        <f t="array" aca="1" ref="AC291" ca="1">IFERROR(AVERAGEIFS(
  unit_details[Sqft],
  unit_details[Property Name], INDIRECT("B"&amp;ROW()),
  unit_details[Floorplan Name], INDIRECT("C"&amp;ROW()),
  unit_details[Beds], INDIRECT("D"&amp;ROW()),
  unit_details[Detected Unit Amenities], "*"&amp;$AD$3&amp;"*",
  unit_details[Leased Date], "&gt;=" &amp; ($U$2 - $AF$3)
),0)</f>
        <v>0</v>
      </c>
      <c r="AD291" s="527" cm="1">
        <f t="array" aca="1" ref="AD2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1" s="526" cm="1">
        <f t="array" aca="1" ref="AE291" ca="1">IFERROR(COUNTIFS(
  unit_details[Property Name], INDIRECT("B"&amp;ROW()),
  unit_details[Floorplan Name], INDIRECT("C"&amp;ROW()),
  unit_details[Beds], INDIRECT("D"&amp;ROW()),
  unit_details[Detected Unit Amenities], "*"&amp;$AD$3&amp;"*",
  unit_details[Leased Date], "&gt;=" &amp; ($U$2 - $AF$3)
),0)</f>
        <v>0</v>
      </c>
      <c r="AF291" s="528" cm="1">
        <f t="array" aca="1" ref="AF291" ca="1">IFERROR(AVERAGEIFS(
  unit_details[Sqft],
  unit_details[Property Name], INDIRECT("B"&amp;ROW()),
  unit_details[Floorplan Name], INDIRECT("C"&amp;ROW()),
  unit_details[Beds], INDIRECT("D"&amp;ROW()),
  unit_details[Detected Unit Amenities], "&lt;&gt;*"&amp;$AD$3&amp;"*",
  unit_details[Leased Date], "&gt;=" &amp; ($U$2 - $AF$3)
),0)</f>
        <v>0</v>
      </c>
      <c r="AG291" s="527" cm="1">
        <f t="array" aca="1" ref="AG2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1" s="526" cm="1">
        <f t="array" aca="1" ref="AH291" ca="1">IFERROR(COUNTIFS(
  unit_details[Property Name], INDIRECT("B"&amp;ROW()),
  unit_details[Floorplan Name], INDIRECT("C"&amp;ROW()),
  unit_details[Beds], INDIRECT("D"&amp;ROW()),
  unit_details[Detected Unit Amenities], "&lt;&gt;*"&amp;$AD$3&amp;"*",
  unit_details[Leased Date], "&gt;=" &amp; ($U$2 - $AF$3)
),0)</f>
        <v>0</v>
      </c>
      <c r="AI291" s="528"/>
      <c r="AJ291" s="531">
        <f t="shared" ca="1" si="13"/>
        <v>0</v>
      </c>
      <c r="AK291" s="532">
        <f t="shared" ca="1" si="14"/>
        <v>0</v>
      </c>
    </row>
    <row r="292" spans="2:37" x14ac:dyDescent="0.2">
      <c r="B292" s="566"/>
      <c r="C292" s="53"/>
      <c r="E292" s="262"/>
      <c r="F292" s="262"/>
      <c r="J292" s="293"/>
      <c r="K292" s="6"/>
      <c r="M292" s="538"/>
      <c r="N292" s="531" t="str" cm="1">
        <f t="array" aca="1" ref="N29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2" s="552" t="str" cm="1">
        <f t="array" aca="1" ref="O29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2" s="526" cm="1">
        <f t="array" aca="1" ref="P292" ca="1">COUNTIFS(unit_details[Leased Date], "&gt;=" &amp; ($U$2 - N$5),
          unit_details[Leased Date], "&lt;" &amp; $U$2,
          unit_details[Floorplan Name], INDIRECT("C"&amp;ROW()),
          unit_details[Property Name], INDIRECT("B"&amp;ROW()))</f>
        <v>0</v>
      </c>
      <c r="Q292" s="531" t="str" cm="1">
        <f t="array" aca="1" ref="Q29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2" s="552" t="str" cm="1">
        <f t="array" aca="1" ref="R29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2" s="526" cm="1">
        <f t="array" aca="1" ref="S292" ca="1">COUNTIFS(unit_details[Leased Date], "&gt;=" &amp; ($U$2 - Q$5),
          unit_details[Leased Date], "&lt;" &amp; $U$2,
          unit_details[Floorplan Name], INDIRECT("C"&amp;ROW()),
          unit_details[Property Name], INDIRECT("B"&amp;ROW()))</f>
        <v>0</v>
      </c>
      <c r="T292" s="531" t="str" cm="1">
        <f t="array" aca="1" ref="T29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2" s="552" t="str" cm="1">
        <f t="array" aca="1" ref="U29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2" s="526" cm="1">
        <f t="array" aca="1" ref="V292" ca="1">COUNTIFS(unit_details[Leased Date], "&gt;=" &amp; ($U$2 - T$5),
          unit_details[Leased Date], "&lt;" &amp; $U$2,
          unit_details[Floorplan Name], INDIRECT("C"&amp;ROW()),
          unit_details[Property Name], INDIRECT("B"&amp;ROW()))</f>
        <v>0</v>
      </c>
      <c r="W292" s="531" t="str" cm="1">
        <f t="array" aca="1" ref="W29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2" s="552" t="str" cm="1">
        <f t="array" aca="1" ref="X29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2" s="27" t="str">
        <f t="shared" ca="1" si="12"/>
        <v/>
      </c>
      <c r="Z292" s="4" t="str">
        <f>IFERROR($U$2-AVERAGEIFS(unit_details[First Listed],
          unit_details[Active Listing?],TRUE,
          unit_details[Property Name], $B292,
          unit_details[Beds], $D292,
          unit_details[Baths], $E292,
          unit_details[Partial Baths], IF(ISNUMBER($F292),$F292,""),
          unit_details[Floorplan Name],$C292
),"")</f>
        <v/>
      </c>
      <c r="AA292" s="262" cm="1">
        <f t="array" aca="1" ref="AA292" ca="1">COUNTIFS(unit_details[Active Listing?],TRUE,
          unit_details[Floorplan Name], INDIRECT("C"&amp;ROW()),
          unit_details[Property Name], INDIRECT("B"&amp;ROW()))</f>
        <v>0</v>
      </c>
      <c r="AB292" s="553"/>
      <c r="AC292" s="528" cm="1">
        <f t="array" aca="1" ref="AC292" ca="1">IFERROR(AVERAGEIFS(
  unit_details[Sqft],
  unit_details[Property Name], INDIRECT("B"&amp;ROW()),
  unit_details[Floorplan Name], INDIRECT("C"&amp;ROW()),
  unit_details[Beds], INDIRECT("D"&amp;ROW()),
  unit_details[Detected Unit Amenities], "*"&amp;$AD$3&amp;"*",
  unit_details[Leased Date], "&gt;=" &amp; ($U$2 - $AF$3)
),0)</f>
        <v>0</v>
      </c>
      <c r="AD292" s="527" cm="1">
        <f t="array" aca="1" ref="AD2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2" s="526" cm="1">
        <f t="array" aca="1" ref="AE292" ca="1">IFERROR(COUNTIFS(
  unit_details[Property Name], INDIRECT("B"&amp;ROW()),
  unit_details[Floorplan Name], INDIRECT("C"&amp;ROW()),
  unit_details[Beds], INDIRECT("D"&amp;ROW()),
  unit_details[Detected Unit Amenities], "*"&amp;$AD$3&amp;"*",
  unit_details[Leased Date], "&gt;=" &amp; ($U$2 - $AF$3)
),0)</f>
        <v>0</v>
      </c>
      <c r="AF292" s="528" cm="1">
        <f t="array" aca="1" ref="AF292" ca="1">IFERROR(AVERAGEIFS(
  unit_details[Sqft],
  unit_details[Property Name], INDIRECT("B"&amp;ROW()),
  unit_details[Floorplan Name], INDIRECT("C"&amp;ROW()),
  unit_details[Beds], INDIRECT("D"&amp;ROW()),
  unit_details[Detected Unit Amenities], "&lt;&gt;*"&amp;$AD$3&amp;"*",
  unit_details[Leased Date], "&gt;=" &amp; ($U$2 - $AF$3)
),0)</f>
        <v>0</v>
      </c>
      <c r="AG292" s="527" cm="1">
        <f t="array" aca="1" ref="AG2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2" s="526" cm="1">
        <f t="array" aca="1" ref="AH292" ca="1">IFERROR(COUNTIFS(
  unit_details[Property Name], INDIRECT("B"&amp;ROW()),
  unit_details[Floorplan Name], INDIRECT("C"&amp;ROW()),
  unit_details[Beds], INDIRECT("D"&amp;ROW()),
  unit_details[Detected Unit Amenities], "&lt;&gt;*"&amp;$AD$3&amp;"*",
  unit_details[Leased Date], "&gt;=" &amp; ($U$2 - $AF$3)
),0)</f>
        <v>0</v>
      </c>
      <c r="AI292" s="528"/>
      <c r="AJ292" s="531">
        <f t="shared" ca="1" si="13"/>
        <v>0</v>
      </c>
      <c r="AK292" s="532">
        <f t="shared" ca="1" si="14"/>
        <v>0</v>
      </c>
    </row>
    <row r="293" spans="2:37" x14ac:dyDescent="0.2">
      <c r="B293" s="566"/>
      <c r="C293" s="53"/>
      <c r="E293" s="262"/>
      <c r="F293" s="262"/>
      <c r="J293" s="293"/>
      <c r="K293" s="6"/>
      <c r="M293" s="538"/>
      <c r="N293" s="531" t="str" cm="1">
        <f t="array" aca="1" ref="N29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3" s="552" t="str" cm="1">
        <f t="array" aca="1" ref="O29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3" s="526" cm="1">
        <f t="array" aca="1" ref="P293" ca="1">COUNTIFS(unit_details[Leased Date], "&gt;=" &amp; ($U$2 - N$5),
          unit_details[Leased Date], "&lt;" &amp; $U$2,
          unit_details[Floorplan Name], INDIRECT("C"&amp;ROW()),
          unit_details[Property Name], INDIRECT("B"&amp;ROW()))</f>
        <v>0</v>
      </c>
      <c r="Q293" s="531" t="str" cm="1">
        <f t="array" aca="1" ref="Q29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3" s="552" t="str" cm="1">
        <f t="array" aca="1" ref="R29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3" s="526" cm="1">
        <f t="array" aca="1" ref="S293" ca="1">COUNTIFS(unit_details[Leased Date], "&gt;=" &amp; ($U$2 - Q$5),
          unit_details[Leased Date], "&lt;" &amp; $U$2,
          unit_details[Floorplan Name], INDIRECT("C"&amp;ROW()),
          unit_details[Property Name], INDIRECT("B"&amp;ROW()))</f>
        <v>0</v>
      </c>
      <c r="T293" s="531" t="str" cm="1">
        <f t="array" aca="1" ref="T29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3" s="552" t="str" cm="1">
        <f t="array" aca="1" ref="U29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3" s="526" cm="1">
        <f t="array" aca="1" ref="V293" ca="1">COUNTIFS(unit_details[Leased Date], "&gt;=" &amp; ($U$2 - T$5),
          unit_details[Leased Date], "&lt;" &amp; $U$2,
          unit_details[Floorplan Name], INDIRECT("C"&amp;ROW()),
          unit_details[Property Name], INDIRECT("B"&amp;ROW()))</f>
        <v>0</v>
      </c>
      <c r="W293" s="531" t="str" cm="1">
        <f t="array" aca="1" ref="W29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3" s="552" t="str" cm="1">
        <f t="array" aca="1" ref="X29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3" s="27" t="str">
        <f t="shared" ca="1" si="12"/>
        <v/>
      </c>
      <c r="Z293" s="4" t="str">
        <f>IFERROR($U$2-AVERAGEIFS(unit_details[First Listed],
          unit_details[Active Listing?],TRUE,
          unit_details[Property Name], $B293,
          unit_details[Beds], $D293,
          unit_details[Baths], $E293,
          unit_details[Partial Baths], IF(ISNUMBER($F293),$F293,""),
          unit_details[Floorplan Name],$C293
),"")</f>
        <v/>
      </c>
      <c r="AA293" s="262" cm="1">
        <f t="array" aca="1" ref="AA293" ca="1">COUNTIFS(unit_details[Active Listing?],TRUE,
          unit_details[Floorplan Name], INDIRECT("C"&amp;ROW()),
          unit_details[Property Name], INDIRECT("B"&amp;ROW()))</f>
        <v>0</v>
      </c>
      <c r="AB293" s="553"/>
      <c r="AC293" s="528" cm="1">
        <f t="array" aca="1" ref="AC293" ca="1">IFERROR(AVERAGEIFS(
  unit_details[Sqft],
  unit_details[Property Name], INDIRECT("B"&amp;ROW()),
  unit_details[Floorplan Name], INDIRECT("C"&amp;ROW()),
  unit_details[Beds], INDIRECT("D"&amp;ROW()),
  unit_details[Detected Unit Amenities], "*"&amp;$AD$3&amp;"*",
  unit_details[Leased Date], "&gt;=" &amp; ($U$2 - $AF$3)
),0)</f>
        <v>0</v>
      </c>
      <c r="AD293" s="527" cm="1">
        <f t="array" aca="1" ref="AD2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3" s="526" cm="1">
        <f t="array" aca="1" ref="AE293" ca="1">IFERROR(COUNTIFS(
  unit_details[Property Name], INDIRECT("B"&amp;ROW()),
  unit_details[Floorplan Name], INDIRECT("C"&amp;ROW()),
  unit_details[Beds], INDIRECT("D"&amp;ROW()),
  unit_details[Detected Unit Amenities], "*"&amp;$AD$3&amp;"*",
  unit_details[Leased Date], "&gt;=" &amp; ($U$2 - $AF$3)
),0)</f>
        <v>0</v>
      </c>
      <c r="AF293" s="528" cm="1">
        <f t="array" aca="1" ref="AF293" ca="1">IFERROR(AVERAGEIFS(
  unit_details[Sqft],
  unit_details[Property Name], INDIRECT("B"&amp;ROW()),
  unit_details[Floorplan Name], INDIRECT("C"&amp;ROW()),
  unit_details[Beds], INDIRECT("D"&amp;ROW()),
  unit_details[Detected Unit Amenities], "&lt;&gt;*"&amp;$AD$3&amp;"*",
  unit_details[Leased Date], "&gt;=" &amp; ($U$2 - $AF$3)
),0)</f>
        <v>0</v>
      </c>
      <c r="AG293" s="527" cm="1">
        <f t="array" aca="1" ref="AG2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3" s="526" cm="1">
        <f t="array" aca="1" ref="AH293" ca="1">IFERROR(COUNTIFS(
  unit_details[Property Name], INDIRECT("B"&amp;ROW()),
  unit_details[Floorplan Name], INDIRECT("C"&amp;ROW()),
  unit_details[Beds], INDIRECT("D"&amp;ROW()),
  unit_details[Detected Unit Amenities], "&lt;&gt;*"&amp;$AD$3&amp;"*",
  unit_details[Leased Date], "&gt;=" &amp; ($U$2 - $AF$3)
),0)</f>
        <v>0</v>
      </c>
      <c r="AI293" s="528"/>
      <c r="AJ293" s="531">
        <f t="shared" ca="1" si="13"/>
        <v>0</v>
      </c>
      <c r="AK293" s="532">
        <f t="shared" ca="1" si="14"/>
        <v>0</v>
      </c>
    </row>
    <row r="294" spans="2:37" x14ac:dyDescent="0.2">
      <c r="B294" s="566"/>
      <c r="C294" s="53"/>
      <c r="E294" s="262"/>
      <c r="F294" s="262"/>
      <c r="J294" s="293"/>
      <c r="K294" s="6"/>
      <c r="M294" s="538"/>
      <c r="N294" s="531" t="str" cm="1">
        <f t="array" aca="1" ref="N29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4" s="552" t="str" cm="1">
        <f t="array" aca="1" ref="O29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4" s="526" cm="1">
        <f t="array" aca="1" ref="P294" ca="1">COUNTIFS(unit_details[Leased Date], "&gt;=" &amp; ($U$2 - N$5),
          unit_details[Leased Date], "&lt;" &amp; $U$2,
          unit_details[Floorplan Name], INDIRECT("C"&amp;ROW()),
          unit_details[Property Name], INDIRECT("B"&amp;ROW()))</f>
        <v>0</v>
      </c>
      <c r="Q294" s="531" t="str" cm="1">
        <f t="array" aca="1" ref="Q29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4" s="552" t="str" cm="1">
        <f t="array" aca="1" ref="R29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4" s="526" cm="1">
        <f t="array" aca="1" ref="S294" ca="1">COUNTIFS(unit_details[Leased Date], "&gt;=" &amp; ($U$2 - Q$5),
          unit_details[Leased Date], "&lt;" &amp; $U$2,
          unit_details[Floorplan Name], INDIRECT("C"&amp;ROW()),
          unit_details[Property Name], INDIRECT("B"&amp;ROW()))</f>
        <v>0</v>
      </c>
      <c r="T294" s="531" t="str" cm="1">
        <f t="array" aca="1" ref="T29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4" s="552" t="str" cm="1">
        <f t="array" aca="1" ref="U29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4" s="526" cm="1">
        <f t="array" aca="1" ref="V294" ca="1">COUNTIFS(unit_details[Leased Date], "&gt;=" &amp; ($U$2 - T$5),
          unit_details[Leased Date], "&lt;" &amp; $U$2,
          unit_details[Floorplan Name], INDIRECT("C"&amp;ROW()),
          unit_details[Property Name], INDIRECT("B"&amp;ROW()))</f>
        <v>0</v>
      </c>
      <c r="W294" s="531" t="str" cm="1">
        <f t="array" aca="1" ref="W29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4" s="552" t="str" cm="1">
        <f t="array" aca="1" ref="X29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4" s="27" t="str">
        <f t="shared" ca="1" si="12"/>
        <v/>
      </c>
      <c r="Z294" s="4" t="str">
        <f>IFERROR($U$2-AVERAGEIFS(unit_details[First Listed],
          unit_details[Active Listing?],TRUE,
          unit_details[Property Name], $B294,
          unit_details[Beds], $D294,
          unit_details[Baths], $E294,
          unit_details[Partial Baths], IF(ISNUMBER($F294),$F294,""),
          unit_details[Floorplan Name],$C294
),"")</f>
        <v/>
      </c>
      <c r="AA294" s="262" cm="1">
        <f t="array" aca="1" ref="AA294" ca="1">COUNTIFS(unit_details[Active Listing?],TRUE,
          unit_details[Floorplan Name], INDIRECT("C"&amp;ROW()),
          unit_details[Property Name], INDIRECT("B"&amp;ROW()))</f>
        <v>0</v>
      </c>
      <c r="AB294" s="553"/>
      <c r="AC294" s="528" cm="1">
        <f t="array" aca="1" ref="AC294" ca="1">IFERROR(AVERAGEIFS(
  unit_details[Sqft],
  unit_details[Property Name], INDIRECT("B"&amp;ROW()),
  unit_details[Floorplan Name], INDIRECT("C"&amp;ROW()),
  unit_details[Beds], INDIRECT("D"&amp;ROW()),
  unit_details[Detected Unit Amenities], "*"&amp;$AD$3&amp;"*",
  unit_details[Leased Date], "&gt;=" &amp; ($U$2 - $AF$3)
),0)</f>
        <v>0</v>
      </c>
      <c r="AD294" s="527" cm="1">
        <f t="array" aca="1" ref="AD2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4" s="526" cm="1">
        <f t="array" aca="1" ref="AE294" ca="1">IFERROR(COUNTIFS(
  unit_details[Property Name], INDIRECT("B"&amp;ROW()),
  unit_details[Floorplan Name], INDIRECT("C"&amp;ROW()),
  unit_details[Beds], INDIRECT("D"&amp;ROW()),
  unit_details[Detected Unit Amenities], "*"&amp;$AD$3&amp;"*",
  unit_details[Leased Date], "&gt;=" &amp; ($U$2 - $AF$3)
),0)</f>
        <v>0</v>
      </c>
      <c r="AF294" s="528" cm="1">
        <f t="array" aca="1" ref="AF294" ca="1">IFERROR(AVERAGEIFS(
  unit_details[Sqft],
  unit_details[Property Name], INDIRECT("B"&amp;ROW()),
  unit_details[Floorplan Name], INDIRECT("C"&amp;ROW()),
  unit_details[Beds], INDIRECT("D"&amp;ROW()),
  unit_details[Detected Unit Amenities], "&lt;&gt;*"&amp;$AD$3&amp;"*",
  unit_details[Leased Date], "&gt;=" &amp; ($U$2 - $AF$3)
),0)</f>
        <v>0</v>
      </c>
      <c r="AG294" s="527" cm="1">
        <f t="array" aca="1" ref="AG2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4" s="526" cm="1">
        <f t="array" aca="1" ref="AH294" ca="1">IFERROR(COUNTIFS(
  unit_details[Property Name], INDIRECT("B"&amp;ROW()),
  unit_details[Floorplan Name], INDIRECT("C"&amp;ROW()),
  unit_details[Beds], INDIRECT("D"&amp;ROW()),
  unit_details[Detected Unit Amenities], "&lt;&gt;*"&amp;$AD$3&amp;"*",
  unit_details[Leased Date], "&gt;=" &amp; ($U$2 - $AF$3)
),0)</f>
        <v>0</v>
      </c>
      <c r="AI294" s="528"/>
      <c r="AJ294" s="531">
        <f t="shared" ca="1" si="13"/>
        <v>0</v>
      </c>
      <c r="AK294" s="532">
        <f t="shared" ca="1" si="14"/>
        <v>0</v>
      </c>
    </row>
    <row r="295" spans="2:37" x14ac:dyDescent="0.2">
      <c r="B295" s="566"/>
      <c r="C295" s="53"/>
      <c r="E295" s="262"/>
      <c r="F295" s="262"/>
      <c r="J295" s="293"/>
      <c r="K295" s="6"/>
      <c r="M295" s="538"/>
      <c r="N295" s="531" t="str" cm="1">
        <f t="array" aca="1" ref="N29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5" s="552" t="str" cm="1">
        <f t="array" aca="1" ref="O29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5" s="526" cm="1">
        <f t="array" aca="1" ref="P295" ca="1">COUNTIFS(unit_details[Leased Date], "&gt;=" &amp; ($U$2 - N$5),
          unit_details[Leased Date], "&lt;" &amp; $U$2,
          unit_details[Floorplan Name], INDIRECT("C"&amp;ROW()),
          unit_details[Property Name], INDIRECT("B"&amp;ROW()))</f>
        <v>0</v>
      </c>
      <c r="Q295" s="531" t="str" cm="1">
        <f t="array" aca="1" ref="Q29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5" s="552" t="str" cm="1">
        <f t="array" aca="1" ref="R29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5" s="526" cm="1">
        <f t="array" aca="1" ref="S295" ca="1">COUNTIFS(unit_details[Leased Date], "&gt;=" &amp; ($U$2 - Q$5),
          unit_details[Leased Date], "&lt;" &amp; $U$2,
          unit_details[Floorplan Name], INDIRECT("C"&amp;ROW()),
          unit_details[Property Name], INDIRECT("B"&amp;ROW()))</f>
        <v>0</v>
      </c>
      <c r="T295" s="531" t="str" cm="1">
        <f t="array" aca="1" ref="T29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5" s="552" t="str" cm="1">
        <f t="array" aca="1" ref="U29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5" s="526" cm="1">
        <f t="array" aca="1" ref="V295" ca="1">COUNTIFS(unit_details[Leased Date], "&gt;=" &amp; ($U$2 - T$5),
          unit_details[Leased Date], "&lt;" &amp; $U$2,
          unit_details[Floorplan Name], INDIRECT("C"&amp;ROW()),
          unit_details[Property Name], INDIRECT("B"&amp;ROW()))</f>
        <v>0</v>
      </c>
      <c r="W295" s="531" t="str" cm="1">
        <f t="array" aca="1" ref="W29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5" s="552" t="str" cm="1">
        <f t="array" aca="1" ref="X29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5" s="27" t="str">
        <f t="shared" ca="1" si="12"/>
        <v/>
      </c>
      <c r="Z295" s="4" t="str">
        <f>IFERROR($U$2-AVERAGEIFS(unit_details[First Listed],
          unit_details[Active Listing?],TRUE,
          unit_details[Property Name], $B295,
          unit_details[Beds], $D295,
          unit_details[Baths], $E295,
          unit_details[Partial Baths], IF(ISNUMBER($F295),$F295,""),
          unit_details[Floorplan Name],$C295
),"")</f>
        <v/>
      </c>
      <c r="AA295" s="262" cm="1">
        <f t="array" aca="1" ref="AA295" ca="1">COUNTIFS(unit_details[Active Listing?],TRUE,
          unit_details[Floorplan Name], INDIRECT("C"&amp;ROW()),
          unit_details[Property Name], INDIRECT("B"&amp;ROW()))</f>
        <v>0</v>
      </c>
      <c r="AB295" s="553"/>
      <c r="AC295" s="528" cm="1">
        <f t="array" aca="1" ref="AC295" ca="1">IFERROR(AVERAGEIFS(
  unit_details[Sqft],
  unit_details[Property Name], INDIRECT("B"&amp;ROW()),
  unit_details[Floorplan Name], INDIRECT("C"&amp;ROW()),
  unit_details[Beds], INDIRECT("D"&amp;ROW()),
  unit_details[Detected Unit Amenities], "*"&amp;$AD$3&amp;"*",
  unit_details[Leased Date], "&gt;=" &amp; ($U$2 - $AF$3)
),0)</f>
        <v>0</v>
      </c>
      <c r="AD295" s="527" cm="1">
        <f t="array" aca="1" ref="AD2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5" s="526" cm="1">
        <f t="array" aca="1" ref="AE295" ca="1">IFERROR(COUNTIFS(
  unit_details[Property Name], INDIRECT("B"&amp;ROW()),
  unit_details[Floorplan Name], INDIRECT("C"&amp;ROW()),
  unit_details[Beds], INDIRECT("D"&amp;ROW()),
  unit_details[Detected Unit Amenities], "*"&amp;$AD$3&amp;"*",
  unit_details[Leased Date], "&gt;=" &amp; ($U$2 - $AF$3)
),0)</f>
        <v>0</v>
      </c>
      <c r="AF295" s="528" cm="1">
        <f t="array" aca="1" ref="AF295" ca="1">IFERROR(AVERAGEIFS(
  unit_details[Sqft],
  unit_details[Property Name], INDIRECT("B"&amp;ROW()),
  unit_details[Floorplan Name], INDIRECT("C"&amp;ROW()),
  unit_details[Beds], INDIRECT("D"&amp;ROW()),
  unit_details[Detected Unit Amenities], "&lt;&gt;*"&amp;$AD$3&amp;"*",
  unit_details[Leased Date], "&gt;=" &amp; ($U$2 - $AF$3)
),0)</f>
        <v>0</v>
      </c>
      <c r="AG295" s="527" cm="1">
        <f t="array" aca="1" ref="AG2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5" s="526" cm="1">
        <f t="array" aca="1" ref="AH295" ca="1">IFERROR(COUNTIFS(
  unit_details[Property Name], INDIRECT("B"&amp;ROW()),
  unit_details[Floorplan Name], INDIRECT("C"&amp;ROW()),
  unit_details[Beds], INDIRECT("D"&amp;ROW()),
  unit_details[Detected Unit Amenities], "&lt;&gt;*"&amp;$AD$3&amp;"*",
  unit_details[Leased Date], "&gt;=" &amp; ($U$2 - $AF$3)
),0)</f>
        <v>0</v>
      </c>
      <c r="AI295" s="528"/>
      <c r="AJ295" s="531">
        <f t="shared" ca="1" si="13"/>
        <v>0</v>
      </c>
      <c r="AK295" s="532">
        <f t="shared" ca="1" si="14"/>
        <v>0</v>
      </c>
    </row>
    <row r="296" spans="2:37" x14ac:dyDescent="0.2">
      <c r="B296" s="566"/>
      <c r="C296" s="53"/>
      <c r="E296" s="262"/>
      <c r="F296" s="262"/>
      <c r="J296" s="293"/>
      <c r="K296" s="6"/>
      <c r="M296" s="538"/>
      <c r="N296" s="531" t="str" cm="1">
        <f t="array" aca="1" ref="N29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6" s="552" t="str" cm="1">
        <f t="array" aca="1" ref="O29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6" s="526" cm="1">
        <f t="array" aca="1" ref="P296" ca="1">COUNTIFS(unit_details[Leased Date], "&gt;=" &amp; ($U$2 - N$5),
          unit_details[Leased Date], "&lt;" &amp; $U$2,
          unit_details[Floorplan Name], INDIRECT("C"&amp;ROW()),
          unit_details[Property Name], INDIRECT("B"&amp;ROW()))</f>
        <v>0</v>
      </c>
      <c r="Q296" s="531" t="str" cm="1">
        <f t="array" aca="1" ref="Q29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6" s="552" t="str" cm="1">
        <f t="array" aca="1" ref="R29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6" s="526" cm="1">
        <f t="array" aca="1" ref="S296" ca="1">COUNTIFS(unit_details[Leased Date], "&gt;=" &amp; ($U$2 - Q$5),
          unit_details[Leased Date], "&lt;" &amp; $U$2,
          unit_details[Floorplan Name], INDIRECT("C"&amp;ROW()),
          unit_details[Property Name], INDIRECT("B"&amp;ROW()))</f>
        <v>0</v>
      </c>
      <c r="T296" s="531" t="str" cm="1">
        <f t="array" aca="1" ref="T29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6" s="552" t="str" cm="1">
        <f t="array" aca="1" ref="U29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6" s="526" cm="1">
        <f t="array" aca="1" ref="V296" ca="1">COUNTIFS(unit_details[Leased Date], "&gt;=" &amp; ($U$2 - T$5),
          unit_details[Leased Date], "&lt;" &amp; $U$2,
          unit_details[Floorplan Name], INDIRECT("C"&amp;ROW()),
          unit_details[Property Name], INDIRECT("B"&amp;ROW()))</f>
        <v>0</v>
      </c>
      <c r="W296" s="531" t="str" cm="1">
        <f t="array" aca="1" ref="W29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6" s="552" t="str" cm="1">
        <f t="array" aca="1" ref="X29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6" s="27" t="str">
        <f t="shared" ca="1" si="12"/>
        <v/>
      </c>
      <c r="Z296" s="4" t="str">
        <f>IFERROR($U$2-AVERAGEIFS(unit_details[First Listed],
          unit_details[Active Listing?],TRUE,
          unit_details[Property Name], $B296,
          unit_details[Beds], $D296,
          unit_details[Baths], $E296,
          unit_details[Partial Baths], IF(ISNUMBER($F296),$F296,""),
          unit_details[Floorplan Name],$C296
),"")</f>
        <v/>
      </c>
      <c r="AA296" s="262" cm="1">
        <f t="array" aca="1" ref="AA296" ca="1">COUNTIFS(unit_details[Active Listing?],TRUE,
          unit_details[Floorplan Name], INDIRECT("C"&amp;ROW()),
          unit_details[Property Name], INDIRECT("B"&amp;ROW()))</f>
        <v>0</v>
      </c>
      <c r="AB296" s="553"/>
      <c r="AC296" s="528" cm="1">
        <f t="array" aca="1" ref="AC296" ca="1">IFERROR(AVERAGEIFS(
  unit_details[Sqft],
  unit_details[Property Name], INDIRECT("B"&amp;ROW()),
  unit_details[Floorplan Name], INDIRECT("C"&amp;ROW()),
  unit_details[Beds], INDIRECT("D"&amp;ROW()),
  unit_details[Detected Unit Amenities], "*"&amp;$AD$3&amp;"*",
  unit_details[Leased Date], "&gt;=" &amp; ($U$2 - $AF$3)
),0)</f>
        <v>0</v>
      </c>
      <c r="AD296" s="527" cm="1">
        <f t="array" aca="1" ref="AD2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6" s="526" cm="1">
        <f t="array" aca="1" ref="AE296" ca="1">IFERROR(COUNTIFS(
  unit_details[Property Name], INDIRECT("B"&amp;ROW()),
  unit_details[Floorplan Name], INDIRECT("C"&amp;ROW()),
  unit_details[Beds], INDIRECT("D"&amp;ROW()),
  unit_details[Detected Unit Amenities], "*"&amp;$AD$3&amp;"*",
  unit_details[Leased Date], "&gt;=" &amp; ($U$2 - $AF$3)
),0)</f>
        <v>0</v>
      </c>
      <c r="AF296" s="528" cm="1">
        <f t="array" aca="1" ref="AF296" ca="1">IFERROR(AVERAGEIFS(
  unit_details[Sqft],
  unit_details[Property Name], INDIRECT("B"&amp;ROW()),
  unit_details[Floorplan Name], INDIRECT("C"&amp;ROW()),
  unit_details[Beds], INDIRECT("D"&amp;ROW()),
  unit_details[Detected Unit Amenities], "&lt;&gt;*"&amp;$AD$3&amp;"*",
  unit_details[Leased Date], "&gt;=" &amp; ($U$2 - $AF$3)
),0)</f>
        <v>0</v>
      </c>
      <c r="AG296" s="527" cm="1">
        <f t="array" aca="1" ref="AG2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6" s="526" cm="1">
        <f t="array" aca="1" ref="AH296" ca="1">IFERROR(COUNTIFS(
  unit_details[Property Name], INDIRECT("B"&amp;ROW()),
  unit_details[Floorplan Name], INDIRECT("C"&amp;ROW()),
  unit_details[Beds], INDIRECT("D"&amp;ROW()),
  unit_details[Detected Unit Amenities], "&lt;&gt;*"&amp;$AD$3&amp;"*",
  unit_details[Leased Date], "&gt;=" &amp; ($U$2 - $AF$3)
),0)</f>
        <v>0</v>
      </c>
      <c r="AI296" s="528"/>
      <c r="AJ296" s="531">
        <f t="shared" ca="1" si="13"/>
        <v>0</v>
      </c>
      <c r="AK296" s="532">
        <f t="shared" ca="1" si="14"/>
        <v>0</v>
      </c>
    </row>
    <row r="297" spans="2:37" x14ac:dyDescent="0.2">
      <c r="B297" s="566"/>
      <c r="C297" s="53"/>
      <c r="E297" s="262"/>
      <c r="F297" s="262"/>
      <c r="J297" s="293"/>
      <c r="K297" s="6"/>
      <c r="M297" s="538"/>
      <c r="N297" s="531" t="str" cm="1">
        <f t="array" aca="1" ref="N29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7" s="552" t="str" cm="1">
        <f t="array" aca="1" ref="O29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7" s="526" cm="1">
        <f t="array" aca="1" ref="P297" ca="1">COUNTIFS(unit_details[Leased Date], "&gt;=" &amp; ($U$2 - N$5),
          unit_details[Leased Date], "&lt;" &amp; $U$2,
          unit_details[Floorplan Name], INDIRECT("C"&amp;ROW()),
          unit_details[Property Name], INDIRECT("B"&amp;ROW()))</f>
        <v>0</v>
      </c>
      <c r="Q297" s="531" t="str" cm="1">
        <f t="array" aca="1" ref="Q29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7" s="552" t="str" cm="1">
        <f t="array" aca="1" ref="R29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7" s="526" cm="1">
        <f t="array" aca="1" ref="S297" ca="1">COUNTIFS(unit_details[Leased Date], "&gt;=" &amp; ($U$2 - Q$5),
          unit_details[Leased Date], "&lt;" &amp; $U$2,
          unit_details[Floorplan Name], INDIRECT("C"&amp;ROW()),
          unit_details[Property Name], INDIRECT("B"&amp;ROW()))</f>
        <v>0</v>
      </c>
      <c r="T297" s="531" t="str" cm="1">
        <f t="array" aca="1" ref="T29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7" s="552" t="str" cm="1">
        <f t="array" aca="1" ref="U29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7" s="526" cm="1">
        <f t="array" aca="1" ref="V297" ca="1">COUNTIFS(unit_details[Leased Date], "&gt;=" &amp; ($U$2 - T$5),
          unit_details[Leased Date], "&lt;" &amp; $U$2,
          unit_details[Floorplan Name], INDIRECT("C"&amp;ROW()),
          unit_details[Property Name], INDIRECT("B"&amp;ROW()))</f>
        <v>0</v>
      </c>
      <c r="W297" s="531" t="str" cm="1">
        <f t="array" aca="1" ref="W29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7" s="552" t="str" cm="1">
        <f t="array" aca="1" ref="X29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7" s="27" t="str">
        <f t="shared" ca="1" si="12"/>
        <v/>
      </c>
      <c r="Z297" s="4" t="str">
        <f>IFERROR($U$2-AVERAGEIFS(unit_details[First Listed],
          unit_details[Active Listing?],TRUE,
          unit_details[Property Name], $B297,
          unit_details[Beds], $D297,
          unit_details[Baths], $E297,
          unit_details[Partial Baths], IF(ISNUMBER($F297),$F297,""),
          unit_details[Floorplan Name],$C297
),"")</f>
        <v/>
      </c>
      <c r="AA297" s="262" cm="1">
        <f t="array" aca="1" ref="AA297" ca="1">COUNTIFS(unit_details[Active Listing?],TRUE,
          unit_details[Floorplan Name], INDIRECT("C"&amp;ROW()),
          unit_details[Property Name], INDIRECT("B"&amp;ROW()))</f>
        <v>0</v>
      </c>
      <c r="AB297" s="553"/>
      <c r="AC297" s="528" cm="1">
        <f t="array" aca="1" ref="AC297" ca="1">IFERROR(AVERAGEIFS(
  unit_details[Sqft],
  unit_details[Property Name], INDIRECT("B"&amp;ROW()),
  unit_details[Floorplan Name], INDIRECT("C"&amp;ROW()),
  unit_details[Beds], INDIRECT("D"&amp;ROW()),
  unit_details[Detected Unit Amenities], "*"&amp;$AD$3&amp;"*",
  unit_details[Leased Date], "&gt;=" &amp; ($U$2 - $AF$3)
),0)</f>
        <v>0</v>
      </c>
      <c r="AD297" s="527" cm="1">
        <f t="array" aca="1" ref="AD2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7" s="526" cm="1">
        <f t="array" aca="1" ref="AE297" ca="1">IFERROR(COUNTIFS(
  unit_details[Property Name], INDIRECT("B"&amp;ROW()),
  unit_details[Floorplan Name], INDIRECT("C"&amp;ROW()),
  unit_details[Beds], INDIRECT("D"&amp;ROW()),
  unit_details[Detected Unit Amenities], "*"&amp;$AD$3&amp;"*",
  unit_details[Leased Date], "&gt;=" &amp; ($U$2 - $AF$3)
),0)</f>
        <v>0</v>
      </c>
      <c r="AF297" s="528" cm="1">
        <f t="array" aca="1" ref="AF297" ca="1">IFERROR(AVERAGEIFS(
  unit_details[Sqft],
  unit_details[Property Name], INDIRECT("B"&amp;ROW()),
  unit_details[Floorplan Name], INDIRECT("C"&amp;ROW()),
  unit_details[Beds], INDIRECT("D"&amp;ROW()),
  unit_details[Detected Unit Amenities], "&lt;&gt;*"&amp;$AD$3&amp;"*",
  unit_details[Leased Date], "&gt;=" &amp; ($U$2 - $AF$3)
),0)</f>
        <v>0</v>
      </c>
      <c r="AG297" s="527" cm="1">
        <f t="array" aca="1" ref="AG2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7" s="526" cm="1">
        <f t="array" aca="1" ref="AH297" ca="1">IFERROR(COUNTIFS(
  unit_details[Property Name], INDIRECT("B"&amp;ROW()),
  unit_details[Floorplan Name], INDIRECT("C"&amp;ROW()),
  unit_details[Beds], INDIRECT("D"&amp;ROW()),
  unit_details[Detected Unit Amenities], "&lt;&gt;*"&amp;$AD$3&amp;"*",
  unit_details[Leased Date], "&gt;=" &amp; ($U$2 - $AF$3)
),0)</f>
        <v>0</v>
      </c>
      <c r="AI297" s="528"/>
      <c r="AJ297" s="531">
        <f t="shared" ca="1" si="13"/>
        <v>0</v>
      </c>
      <c r="AK297" s="532">
        <f t="shared" ca="1" si="14"/>
        <v>0</v>
      </c>
    </row>
    <row r="298" spans="2:37" x14ac:dyDescent="0.2">
      <c r="B298" s="566"/>
      <c r="C298" s="53"/>
      <c r="E298" s="262"/>
      <c r="F298" s="262"/>
      <c r="J298" s="293"/>
      <c r="K298" s="6"/>
      <c r="M298" s="538"/>
      <c r="N298" s="531" t="str" cm="1">
        <f t="array" aca="1" ref="N29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8" s="552" t="str" cm="1">
        <f t="array" aca="1" ref="O29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8" s="526" cm="1">
        <f t="array" aca="1" ref="P298" ca="1">COUNTIFS(unit_details[Leased Date], "&gt;=" &amp; ($U$2 - N$5),
          unit_details[Leased Date], "&lt;" &amp; $U$2,
          unit_details[Floorplan Name], INDIRECT("C"&amp;ROW()),
          unit_details[Property Name], INDIRECT("B"&amp;ROW()))</f>
        <v>0</v>
      </c>
      <c r="Q298" s="531" t="str" cm="1">
        <f t="array" aca="1" ref="Q29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8" s="552" t="str" cm="1">
        <f t="array" aca="1" ref="R29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8" s="526" cm="1">
        <f t="array" aca="1" ref="S298" ca="1">COUNTIFS(unit_details[Leased Date], "&gt;=" &amp; ($U$2 - Q$5),
          unit_details[Leased Date], "&lt;" &amp; $U$2,
          unit_details[Floorplan Name], INDIRECT("C"&amp;ROW()),
          unit_details[Property Name], INDIRECT("B"&amp;ROW()))</f>
        <v>0</v>
      </c>
      <c r="T298" s="531" t="str" cm="1">
        <f t="array" aca="1" ref="T29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8" s="552" t="str" cm="1">
        <f t="array" aca="1" ref="U29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8" s="526" cm="1">
        <f t="array" aca="1" ref="V298" ca="1">COUNTIFS(unit_details[Leased Date], "&gt;=" &amp; ($U$2 - T$5),
          unit_details[Leased Date], "&lt;" &amp; $U$2,
          unit_details[Floorplan Name], INDIRECT("C"&amp;ROW()),
          unit_details[Property Name], INDIRECT("B"&amp;ROW()))</f>
        <v>0</v>
      </c>
      <c r="W298" s="531" t="str" cm="1">
        <f t="array" aca="1" ref="W29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8" s="552" t="str" cm="1">
        <f t="array" aca="1" ref="X29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8" s="27" t="str">
        <f t="shared" ca="1" si="12"/>
        <v/>
      </c>
      <c r="Z298" s="4" t="str">
        <f>IFERROR($U$2-AVERAGEIFS(unit_details[First Listed],
          unit_details[Active Listing?],TRUE,
          unit_details[Property Name], $B298,
          unit_details[Beds], $D298,
          unit_details[Baths], $E298,
          unit_details[Partial Baths], IF(ISNUMBER($F298),$F298,""),
          unit_details[Floorplan Name],$C298
),"")</f>
        <v/>
      </c>
      <c r="AA298" s="262" cm="1">
        <f t="array" aca="1" ref="AA298" ca="1">COUNTIFS(unit_details[Active Listing?],TRUE,
          unit_details[Floorplan Name], INDIRECT("C"&amp;ROW()),
          unit_details[Property Name], INDIRECT("B"&amp;ROW()))</f>
        <v>0</v>
      </c>
      <c r="AB298" s="553"/>
      <c r="AC298" s="528" cm="1">
        <f t="array" aca="1" ref="AC298" ca="1">IFERROR(AVERAGEIFS(
  unit_details[Sqft],
  unit_details[Property Name], INDIRECT("B"&amp;ROW()),
  unit_details[Floorplan Name], INDIRECT("C"&amp;ROW()),
  unit_details[Beds], INDIRECT("D"&amp;ROW()),
  unit_details[Detected Unit Amenities], "*"&amp;$AD$3&amp;"*",
  unit_details[Leased Date], "&gt;=" &amp; ($U$2 - $AF$3)
),0)</f>
        <v>0</v>
      </c>
      <c r="AD298" s="527" cm="1">
        <f t="array" aca="1" ref="AD2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8" s="526" cm="1">
        <f t="array" aca="1" ref="AE298" ca="1">IFERROR(COUNTIFS(
  unit_details[Property Name], INDIRECT("B"&amp;ROW()),
  unit_details[Floorplan Name], INDIRECT("C"&amp;ROW()),
  unit_details[Beds], INDIRECT("D"&amp;ROW()),
  unit_details[Detected Unit Amenities], "*"&amp;$AD$3&amp;"*",
  unit_details[Leased Date], "&gt;=" &amp; ($U$2 - $AF$3)
),0)</f>
        <v>0</v>
      </c>
      <c r="AF298" s="528" cm="1">
        <f t="array" aca="1" ref="AF298" ca="1">IFERROR(AVERAGEIFS(
  unit_details[Sqft],
  unit_details[Property Name], INDIRECT("B"&amp;ROW()),
  unit_details[Floorplan Name], INDIRECT("C"&amp;ROW()),
  unit_details[Beds], INDIRECT("D"&amp;ROW()),
  unit_details[Detected Unit Amenities], "&lt;&gt;*"&amp;$AD$3&amp;"*",
  unit_details[Leased Date], "&gt;=" &amp; ($U$2 - $AF$3)
),0)</f>
        <v>0</v>
      </c>
      <c r="AG298" s="527" cm="1">
        <f t="array" aca="1" ref="AG2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8" s="526" cm="1">
        <f t="array" aca="1" ref="AH298" ca="1">IFERROR(COUNTIFS(
  unit_details[Property Name], INDIRECT("B"&amp;ROW()),
  unit_details[Floorplan Name], INDIRECT("C"&amp;ROW()),
  unit_details[Beds], INDIRECT("D"&amp;ROW()),
  unit_details[Detected Unit Amenities], "&lt;&gt;*"&amp;$AD$3&amp;"*",
  unit_details[Leased Date], "&gt;=" &amp; ($U$2 - $AF$3)
),0)</f>
        <v>0</v>
      </c>
      <c r="AI298" s="528"/>
      <c r="AJ298" s="531">
        <f t="shared" ca="1" si="13"/>
        <v>0</v>
      </c>
      <c r="AK298" s="532">
        <f t="shared" ca="1" si="14"/>
        <v>0</v>
      </c>
    </row>
    <row r="299" spans="2:37" x14ac:dyDescent="0.2">
      <c r="B299" s="566"/>
      <c r="C299" s="53"/>
      <c r="E299" s="262"/>
      <c r="F299" s="262"/>
      <c r="J299" s="293"/>
      <c r="K299" s="6"/>
      <c r="M299" s="538"/>
      <c r="N299" s="531" t="str" cm="1">
        <f t="array" aca="1" ref="N29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299" s="552" t="str" cm="1">
        <f t="array" aca="1" ref="O29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299" s="526" cm="1">
        <f t="array" aca="1" ref="P299" ca="1">COUNTIFS(unit_details[Leased Date], "&gt;=" &amp; ($U$2 - N$5),
          unit_details[Leased Date], "&lt;" &amp; $U$2,
          unit_details[Floorplan Name], INDIRECT("C"&amp;ROW()),
          unit_details[Property Name], INDIRECT("B"&amp;ROW()))</f>
        <v>0</v>
      </c>
      <c r="Q299" s="531" t="str" cm="1">
        <f t="array" aca="1" ref="Q29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299" s="552" t="str" cm="1">
        <f t="array" aca="1" ref="R29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299" s="526" cm="1">
        <f t="array" aca="1" ref="S299" ca="1">COUNTIFS(unit_details[Leased Date], "&gt;=" &amp; ($U$2 - Q$5),
          unit_details[Leased Date], "&lt;" &amp; $U$2,
          unit_details[Floorplan Name], INDIRECT("C"&amp;ROW()),
          unit_details[Property Name], INDIRECT("B"&amp;ROW()))</f>
        <v>0</v>
      </c>
      <c r="T299" s="531" t="str" cm="1">
        <f t="array" aca="1" ref="T29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299" s="552" t="str" cm="1">
        <f t="array" aca="1" ref="U29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299" s="526" cm="1">
        <f t="array" aca="1" ref="V299" ca="1">COUNTIFS(unit_details[Leased Date], "&gt;=" &amp; ($U$2 - T$5),
          unit_details[Leased Date], "&lt;" &amp; $U$2,
          unit_details[Floorplan Name], INDIRECT("C"&amp;ROW()),
          unit_details[Property Name], INDIRECT("B"&amp;ROW()))</f>
        <v>0</v>
      </c>
      <c r="W299" s="531" t="str" cm="1">
        <f t="array" aca="1" ref="W29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299" s="552" t="str" cm="1">
        <f t="array" aca="1" ref="X29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299" s="27" t="str">
        <f t="shared" ca="1" si="12"/>
        <v/>
      </c>
      <c r="Z299" s="4" t="str">
        <f>IFERROR($U$2-AVERAGEIFS(unit_details[First Listed],
          unit_details[Active Listing?],TRUE,
          unit_details[Property Name], $B299,
          unit_details[Beds], $D299,
          unit_details[Baths], $E299,
          unit_details[Partial Baths], IF(ISNUMBER($F299),$F299,""),
          unit_details[Floorplan Name],$C299
),"")</f>
        <v/>
      </c>
      <c r="AA299" s="262" cm="1">
        <f t="array" aca="1" ref="AA299" ca="1">COUNTIFS(unit_details[Active Listing?],TRUE,
          unit_details[Floorplan Name], INDIRECT("C"&amp;ROW()),
          unit_details[Property Name], INDIRECT("B"&amp;ROW()))</f>
        <v>0</v>
      </c>
      <c r="AB299" s="553"/>
      <c r="AC299" s="528" cm="1">
        <f t="array" aca="1" ref="AC299" ca="1">IFERROR(AVERAGEIFS(
  unit_details[Sqft],
  unit_details[Property Name], INDIRECT("B"&amp;ROW()),
  unit_details[Floorplan Name], INDIRECT("C"&amp;ROW()),
  unit_details[Beds], INDIRECT("D"&amp;ROW()),
  unit_details[Detected Unit Amenities], "*"&amp;$AD$3&amp;"*",
  unit_details[Leased Date], "&gt;=" &amp; ($U$2 - $AF$3)
),0)</f>
        <v>0</v>
      </c>
      <c r="AD299" s="527" cm="1">
        <f t="array" aca="1" ref="AD2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299" s="526" cm="1">
        <f t="array" aca="1" ref="AE299" ca="1">IFERROR(COUNTIFS(
  unit_details[Property Name], INDIRECT("B"&amp;ROW()),
  unit_details[Floorplan Name], INDIRECT("C"&amp;ROW()),
  unit_details[Beds], INDIRECT("D"&amp;ROW()),
  unit_details[Detected Unit Amenities], "*"&amp;$AD$3&amp;"*",
  unit_details[Leased Date], "&gt;=" &amp; ($U$2 - $AF$3)
),0)</f>
        <v>0</v>
      </c>
      <c r="AF299" s="528" cm="1">
        <f t="array" aca="1" ref="AF299" ca="1">IFERROR(AVERAGEIFS(
  unit_details[Sqft],
  unit_details[Property Name], INDIRECT("B"&amp;ROW()),
  unit_details[Floorplan Name], INDIRECT("C"&amp;ROW()),
  unit_details[Beds], INDIRECT("D"&amp;ROW()),
  unit_details[Detected Unit Amenities], "&lt;&gt;*"&amp;$AD$3&amp;"*",
  unit_details[Leased Date], "&gt;=" &amp; ($U$2 - $AF$3)
),0)</f>
        <v>0</v>
      </c>
      <c r="AG299" s="527" cm="1">
        <f t="array" aca="1" ref="AG2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299" s="526" cm="1">
        <f t="array" aca="1" ref="AH299" ca="1">IFERROR(COUNTIFS(
  unit_details[Property Name], INDIRECT("B"&amp;ROW()),
  unit_details[Floorplan Name], INDIRECT("C"&amp;ROW()),
  unit_details[Beds], INDIRECT("D"&amp;ROW()),
  unit_details[Detected Unit Amenities], "&lt;&gt;*"&amp;$AD$3&amp;"*",
  unit_details[Leased Date], "&gt;=" &amp; ($U$2 - $AF$3)
),0)</f>
        <v>0</v>
      </c>
      <c r="AI299" s="528"/>
      <c r="AJ299" s="531">
        <f t="shared" ca="1" si="13"/>
        <v>0</v>
      </c>
      <c r="AK299" s="532">
        <f t="shared" ca="1" si="14"/>
        <v>0</v>
      </c>
    </row>
    <row r="300" spans="2:37" x14ac:dyDescent="0.2">
      <c r="B300" s="566"/>
      <c r="C300" s="53"/>
      <c r="E300" s="262"/>
      <c r="F300" s="262"/>
      <c r="J300" s="293"/>
      <c r="K300" s="6"/>
      <c r="M300" s="538"/>
      <c r="N300" s="531" t="str" cm="1">
        <f t="array" aca="1" ref="N30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0" s="552" t="str" cm="1">
        <f t="array" aca="1" ref="O30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0" s="526" cm="1">
        <f t="array" aca="1" ref="P300" ca="1">COUNTIFS(unit_details[Leased Date], "&gt;=" &amp; ($U$2 - N$5),
          unit_details[Leased Date], "&lt;" &amp; $U$2,
          unit_details[Floorplan Name], INDIRECT("C"&amp;ROW()),
          unit_details[Property Name], INDIRECT("B"&amp;ROW()))</f>
        <v>0</v>
      </c>
      <c r="Q300" s="531" t="str" cm="1">
        <f t="array" aca="1" ref="Q30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0" s="552" t="str" cm="1">
        <f t="array" aca="1" ref="R30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0" s="526" cm="1">
        <f t="array" aca="1" ref="S300" ca="1">COUNTIFS(unit_details[Leased Date], "&gt;=" &amp; ($U$2 - Q$5),
          unit_details[Leased Date], "&lt;" &amp; $U$2,
          unit_details[Floorplan Name], INDIRECT("C"&amp;ROW()),
          unit_details[Property Name], INDIRECT("B"&amp;ROW()))</f>
        <v>0</v>
      </c>
      <c r="T300" s="531" t="str" cm="1">
        <f t="array" aca="1" ref="T30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0" s="552" t="str" cm="1">
        <f t="array" aca="1" ref="U30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0" s="526" cm="1">
        <f t="array" aca="1" ref="V300" ca="1">COUNTIFS(unit_details[Leased Date], "&gt;=" &amp; ($U$2 - T$5),
          unit_details[Leased Date], "&lt;" &amp; $U$2,
          unit_details[Floorplan Name], INDIRECT("C"&amp;ROW()),
          unit_details[Property Name], INDIRECT("B"&amp;ROW()))</f>
        <v>0</v>
      </c>
      <c r="W300" s="531" t="str" cm="1">
        <f t="array" aca="1" ref="W30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0" s="552" t="str" cm="1">
        <f t="array" aca="1" ref="X30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0" s="27" t="str">
        <f t="shared" ca="1" si="12"/>
        <v/>
      </c>
      <c r="Z300" s="4" t="str">
        <f>IFERROR($U$2-AVERAGEIFS(unit_details[First Listed],
          unit_details[Active Listing?],TRUE,
          unit_details[Property Name], $B300,
          unit_details[Beds], $D300,
          unit_details[Baths], $E300,
          unit_details[Partial Baths], IF(ISNUMBER($F300),$F300,""),
          unit_details[Floorplan Name],$C300
),"")</f>
        <v/>
      </c>
      <c r="AA300" s="262" cm="1">
        <f t="array" aca="1" ref="AA300" ca="1">COUNTIFS(unit_details[Active Listing?],TRUE,
          unit_details[Floorplan Name], INDIRECT("C"&amp;ROW()),
          unit_details[Property Name], INDIRECT("B"&amp;ROW()))</f>
        <v>0</v>
      </c>
      <c r="AB300" s="553"/>
      <c r="AC300" s="528" cm="1">
        <f t="array" aca="1" ref="AC300" ca="1">IFERROR(AVERAGEIFS(
  unit_details[Sqft],
  unit_details[Property Name], INDIRECT("B"&amp;ROW()),
  unit_details[Floorplan Name], INDIRECT("C"&amp;ROW()),
  unit_details[Beds], INDIRECT("D"&amp;ROW()),
  unit_details[Detected Unit Amenities], "*"&amp;$AD$3&amp;"*",
  unit_details[Leased Date], "&gt;=" &amp; ($U$2 - $AF$3)
),0)</f>
        <v>0</v>
      </c>
      <c r="AD300" s="527" cm="1">
        <f t="array" aca="1" ref="AD3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0" s="526" cm="1">
        <f t="array" aca="1" ref="AE300" ca="1">IFERROR(COUNTIFS(
  unit_details[Property Name], INDIRECT("B"&amp;ROW()),
  unit_details[Floorplan Name], INDIRECT("C"&amp;ROW()),
  unit_details[Beds], INDIRECT("D"&amp;ROW()),
  unit_details[Detected Unit Amenities], "*"&amp;$AD$3&amp;"*",
  unit_details[Leased Date], "&gt;=" &amp; ($U$2 - $AF$3)
),0)</f>
        <v>0</v>
      </c>
      <c r="AF300" s="528" cm="1">
        <f t="array" aca="1" ref="AF300" ca="1">IFERROR(AVERAGEIFS(
  unit_details[Sqft],
  unit_details[Property Name], INDIRECT("B"&amp;ROW()),
  unit_details[Floorplan Name], INDIRECT("C"&amp;ROW()),
  unit_details[Beds], INDIRECT("D"&amp;ROW()),
  unit_details[Detected Unit Amenities], "&lt;&gt;*"&amp;$AD$3&amp;"*",
  unit_details[Leased Date], "&gt;=" &amp; ($U$2 - $AF$3)
),0)</f>
        <v>0</v>
      </c>
      <c r="AG300" s="527" cm="1">
        <f t="array" aca="1" ref="AG3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0" s="526" cm="1">
        <f t="array" aca="1" ref="AH300" ca="1">IFERROR(COUNTIFS(
  unit_details[Property Name], INDIRECT("B"&amp;ROW()),
  unit_details[Floorplan Name], INDIRECT("C"&amp;ROW()),
  unit_details[Beds], INDIRECT("D"&amp;ROW()),
  unit_details[Detected Unit Amenities], "&lt;&gt;*"&amp;$AD$3&amp;"*",
  unit_details[Leased Date], "&gt;=" &amp; ($U$2 - $AF$3)
),0)</f>
        <v>0</v>
      </c>
      <c r="AI300" s="528"/>
      <c r="AJ300" s="531">
        <f t="shared" ca="1" si="13"/>
        <v>0</v>
      </c>
      <c r="AK300" s="532">
        <f t="shared" ca="1" si="14"/>
        <v>0</v>
      </c>
    </row>
    <row r="301" spans="2:37" x14ac:dyDescent="0.2">
      <c r="B301" s="566"/>
      <c r="C301" s="53"/>
      <c r="E301" s="262"/>
      <c r="F301" s="262"/>
      <c r="J301" s="293"/>
      <c r="K301" s="6"/>
      <c r="M301" s="538"/>
      <c r="N301" s="531" t="str" cm="1">
        <f t="array" aca="1" ref="N30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1" s="552" t="str" cm="1">
        <f t="array" aca="1" ref="O30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1" s="526" cm="1">
        <f t="array" aca="1" ref="P301" ca="1">COUNTIFS(unit_details[Leased Date], "&gt;=" &amp; ($U$2 - N$5),
          unit_details[Leased Date], "&lt;" &amp; $U$2,
          unit_details[Floorplan Name], INDIRECT("C"&amp;ROW()),
          unit_details[Property Name], INDIRECT("B"&amp;ROW()))</f>
        <v>0</v>
      </c>
      <c r="Q301" s="531" t="str" cm="1">
        <f t="array" aca="1" ref="Q30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1" s="552" t="str" cm="1">
        <f t="array" aca="1" ref="R30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1" s="526" cm="1">
        <f t="array" aca="1" ref="S301" ca="1">COUNTIFS(unit_details[Leased Date], "&gt;=" &amp; ($U$2 - Q$5),
          unit_details[Leased Date], "&lt;" &amp; $U$2,
          unit_details[Floorplan Name], INDIRECT("C"&amp;ROW()),
          unit_details[Property Name], INDIRECT("B"&amp;ROW()))</f>
        <v>0</v>
      </c>
      <c r="T301" s="531" t="str" cm="1">
        <f t="array" aca="1" ref="T30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1" s="552" t="str" cm="1">
        <f t="array" aca="1" ref="U30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1" s="526" cm="1">
        <f t="array" aca="1" ref="V301" ca="1">COUNTIFS(unit_details[Leased Date], "&gt;=" &amp; ($U$2 - T$5),
          unit_details[Leased Date], "&lt;" &amp; $U$2,
          unit_details[Floorplan Name], INDIRECT("C"&amp;ROW()),
          unit_details[Property Name], INDIRECT("B"&amp;ROW()))</f>
        <v>0</v>
      </c>
      <c r="W301" s="531" t="str" cm="1">
        <f t="array" aca="1" ref="W30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1" s="552" t="str" cm="1">
        <f t="array" aca="1" ref="X30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1" s="27" t="str">
        <f t="shared" ca="1" si="12"/>
        <v/>
      </c>
      <c r="Z301" s="4" t="str">
        <f>IFERROR($U$2-AVERAGEIFS(unit_details[First Listed],
          unit_details[Active Listing?],TRUE,
          unit_details[Property Name], $B301,
          unit_details[Beds], $D301,
          unit_details[Baths], $E301,
          unit_details[Partial Baths], IF(ISNUMBER($F301),$F301,""),
          unit_details[Floorplan Name],$C301
),"")</f>
        <v/>
      </c>
      <c r="AA301" s="262" cm="1">
        <f t="array" aca="1" ref="AA301" ca="1">COUNTIFS(unit_details[Active Listing?],TRUE,
          unit_details[Floorplan Name], INDIRECT("C"&amp;ROW()),
          unit_details[Property Name], INDIRECT("B"&amp;ROW()))</f>
        <v>0</v>
      </c>
      <c r="AB301" s="553"/>
      <c r="AC301" s="528" cm="1">
        <f t="array" aca="1" ref="AC301" ca="1">IFERROR(AVERAGEIFS(
  unit_details[Sqft],
  unit_details[Property Name], INDIRECT("B"&amp;ROW()),
  unit_details[Floorplan Name], INDIRECT("C"&amp;ROW()),
  unit_details[Beds], INDIRECT("D"&amp;ROW()),
  unit_details[Detected Unit Amenities], "*"&amp;$AD$3&amp;"*",
  unit_details[Leased Date], "&gt;=" &amp; ($U$2 - $AF$3)
),0)</f>
        <v>0</v>
      </c>
      <c r="AD301" s="527" cm="1">
        <f t="array" aca="1" ref="AD3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1" s="526" cm="1">
        <f t="array" aca="1" ref="AE301" ca="1">IFERROR(COUNTIFS(
  unit_details[Property Name], INDIRECT("B"&amp;ROW()),
  unit_details[Floorplan Name], INDIRECT("C"&amp;ROW()),
  unit_details[Beds], INDIRECT("D"&amp;ROW()),
  unit_details[Detected Unit Amenities], "*"&amp;$AD$3&amp;"*",
  unit_details[Leased Date], "&gt;=" &amp; ($U$2 - $AF$3)
),0)</f>
        <v>0</v>
      </c>
      <c r="AF301" s="528" cm="1">
        <f t="array" aca="1" ref="AF301" ca="1">IFERROR(AVERAGEIFS(
  unit_details[Sqft],
  unit_details[Property Name], INDIRECT("B"&amp;ROW()),
  unit_details[Floorplan Name], INDIRECT("C"&amp;ROW()),
  unit_details[Beds], INDIRECT("D"&amp;ROW()),
  unit_details[Detected Unit Amenities], "&lt;&gt;*"&amp;$AD$3&amp;"*",
  unit_details[Leased Date], "&gt;=" &amp; ($U$2 - $AF$3)
),0)</f>
        <v>0</v>
      </c>
      <c r="AG301" s="527" cm="1">
        <f t="array" aca="1" ref="AG3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1" s="526" cm="1">
        <f t="array" aca="1" ref="AH301" ca="1">IFERROR(COUNTIFS(
  unit_details[Property Name], INDIRECT("B"&amp;ROW()),
  unit_details[Floorplan Name], INDIRECT("C"&amp;ROW()),
  unit_details[Beds], INDIRECT("D"&amp;ROW()),
  unit_details[Detected Unit Amenities], "&lt;&gt;*"&amp;$AD$3&amp;"*",
  unit_details[Leased Date], "&gt;=" &amp; ($U$2 - $AF$3)
),0)</f>
        <v>0</v>
      </c>
      <c r="AI301" s="528"/>
      <c r="AJ301" s="531">
        <f t="shared" ca="1" si="13"/>
        <v>0</v>
      </c>
      <c r="AK301" s="532">
        <f t="shared" ca="1" si="14"/>
        <v>0</v>
      </c>
    </row>
    <row r="302" spans="2:37" x14ac:dyDescent="0.2">
      <c r="B302" s="566"/>
      <c r="C302" s="53"/>
      <c r="E302" s="262"/>
      <c r="F302" s="262"/>
      <c r="J302" s="293"/>
      <c r="K302" s="6"/>
      <c r="M302" s="538"/>
      <c r="N302" s="531" t="str" cm="1">
        <f t="array" aca="1" ref="N30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2" s="552" t="str" cm="1">
        <f t="array" aca="1" ref="O30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2" s="526" cm="1">
        <f t="array" aca="1" ref="P302" ca="1">COUNTIFS(unit_details[Leased Date], "&gt;=" &amp; ($U$2 - N$5),
          unit_details[Leased Date], "&lt;" &amp; $U$2,
          unit_details[Floorplan Name], INDIRECT("C"&amp;ROW()),
          unit_details[Property Name], INDIRECT("B"&amp;ROW()))</f>
        <v>0</v>
      </c>
      <c r="Q302" s="531" t="str" cm="1">
        <f t="array" aca="1" ref="Q30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2" s="552" t="str" cm="1">
        <f t="array" aca="1" ref="R30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2" s="526" cm="1">
        <f t="array" aca="1" ref="S302" ca="1">COUNTIFS(unit_details[Leased Date], "&gt;=" &amp; ($U$2 - Q$5),
          unit_details[Leased Date], "&lt;" &amp; $U$2,
          unit_details[Floorplan Name], INDIRECT("C"&amp;ROW()),
          unit_details[Property Name], INDIRECT("B"&amp;ROW()))</f>
        <v>0</v>
      </c>
      <c r="T302" s="531" t="str" cm="1">
        <f t="array" aca="1" ref="T30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2" s="552" t="str" cm="1">
        <f t="array" aca="1" ref="U30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2" s="526" cm="1">
        <f t="array" aca="1" ref="V302" ca="1">COUNTIFS(unit_details[Leased Date], "&gt;=" &amp; ($U$2 - T$5),
          unit_details[Leased Date], "&lt;" &amp; $U$2,
          unit_details[Floorplan Name], INDIRECT("C"&amp;ROW()),
          unit_details[Property Name], INDIRECT("B"&amp;ROW()))</f>
        <v>0</v>
      </c>
      <c r="W302" s="531" t="str" cm="1">
        <f t="array" aca="1" ref="W30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2" s="552" t="str" cm="1">
        <f t="array" aca="1" ref="X30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2" s="27" t="str">
        <f t="shared" ca="1" si="12"/>
        <v/>
      </c>
      <c r="Z302" s="4" t="str">
        <f>IFERROR($U$2-AVERAGEIFS(unit_details[First Listed],
          unit_details[Active Listing?],TRUE,
          unit_details[Property Name], $B302,
          unit_details[Beds], $D302,
          unit_details[Baths], $E302,
          unit_details[Partial Baths], IF(ISNUMBER($F302),$F302,""),
          unit_details[Floorplan Name],$C302
),"")</f>
        <v/>
      </c>
      <c r="AA302" s="262" cm="1">
        <f t="array" aca="1" ref="AA302" ca="1">COUNTIFS(unit_details[Active Listing?],TRUE,
          unit_details[Floorplan Name], INDIRECT("C"&amp;ROW()),
          unit_details[Property Name], INDIRECT("B"&amp;ROW()))</f>
        <v>0</v>
      </c>
      <c r="AB302" s="553"/>
      <c r="AC302" s="528" cm="1">
        <f t="array" aca="1" ref="AC302" ca="1">IFERROR(AVERAGEIFS(
  unit_details[Sqft],
  unit_details[Property Name], INDIRECT("B"&amp;ROW()),
  unit_details[Floorplan Name], INDIRECT("C"&amp;ROW()),
  unit_details[Beds], INDIRECT("D"&amp;ROW()),
  unit_details[Detected Unit Amenities], "*"&amp;$AD$3&amp;"*",
  unit_details[Leased Date], "&gt;=" &amp; ($U$2 - $AF$3)
),0)</f>
        <v>0</v>
      </c>
      <c r="AD302" s="527" cm="1">
        <f t="array" aca="1" ref="AD3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2" s="526" cm="1">
        <f t="array" aca="1" ref="AE302" ca="1">IFERROR(COUNTIFS(
  unit_details[Property Name], INDIRECT("B"&amp;ROW()),
  unit_details[Floorplan Name], INDIRECT("C"&amp;ROW()),
  unit_details[Beds], INDIRECT("D"&amp;ROW()),
  unit_details[Detected Unit Amenities], "*"&amp;$AD$3&amp;"*",
  unit_details[Leased Date], "&gt;=" &amp; ($U$2 - $AF$3)
),0)</f>
        <v>0</v>
      </c>
      <c r="AF302" s="528" cm="1">
        <f t="array" aca="1" ref="AF302" ca="1">IFERROR(AVERAGEIFS(
  unit_details[Sqft],
  unit_details[Property Name], INDIRECT("B"&amp;ROW()),
  unit_details[Floorplan Name], INDIRECT("C"&amp;ROW()),
  unit_details[Beds], INDIRECT("D"&amp;ROW()),
  unit_details[Detected Unit Amenities], "&lt;&gt;*"&amp;$AD$3&amp;"*",
  unit_details[Leased Date], "&gt;=" &amp; ($U$2 - $AF$3)
),0)</f>
        <v>0</v>
      </c>
      <c r="AG302" s="527" cm="1">
        <f t="array" aca="1" ref="AG3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2" s="526" cm="1">
        <f t="array" aca="1" ref="AH302" ca="1">IFERROR(COUNTIFS(
  unit_details[Property Name], INDIRECT("B"&amp;ROW()),
  unit_details[Floorplan Name], INDIRECT("C"&amp;ROW()),
  unit_details[Beds], INDIRECT("D"&amp;ROW()),
  unit_details[Detected Unit Amenities], "&lt;&gt;*"&amp;$AD$3&amp;"*",
  unit_details[Leased Date], "&gt;=" &amp; ($U$2 - $AF$3)
),0)</f>
        <v>0</v>
      </c>
      <c r="AI302" s="528"/>
      <c r="AJ302" s="531">
        <f t="shared" ca="1" si="13"/>
        <v>0</v>
      </c>
      <c r="AK302" s="532">
        <f t="shared" ca="1" si="14"/>
        <v>0</v>
      </c>
    </row>
    <row r="303" spans="2:37" x14ac:dyDescent="0.2">
      <c r="B303" s="566"/>
      <c r="C303" s="53"/>
      <c r="E303" s="262"/>
      <c r="F303" s="262"/>
      <c r="J303" s="293"/>
      <c r="K303" s="6"/>
      <c r="M303" s="538"/>
      <c r="N303" s="531" t="str" cm="1">
        <f t="array" aca="1" ref="N30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3" s="552" t="str" cm="1">
        <f t="array" aca="1" ref="O30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3" s="526" cm="1">
        <f t="array" aca="1" ref="P303" ca="1">COUNTIFS(unit_details[Leased Date], "&gt;=" &amp; ($U$2 - N$5),
          unit_details[Leased Date], "&lt;" &amp; $U$2,
          unit_details[Floorplan Name], INDIRECT("C"&amp;ROW()),
          unit_details[Property Name], INDIRECT("B"&amp;ROW()))</f>
        <v>0</v>
      </c>
      <c r="Q303" s="531" t="str" cm="1">
        <f t="array" aca="1" ref="Q30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3" s="552" t="str" cm="1">
        <f t="array" aca="1" ref="R30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3" s="526" cm="1">
        <f t="array" aca="1" ref="S303" ca="1">COUNTIFS(unit_details[Leased Date], "&gt;=" &amp; ($U$2 - Q$5),
          unit_details[Leased Date], "&lt;" &amp; $U$2,
          unit_details[Floorplan Name], INDIRECT("C"&amp;ROW()),
          unit_details[Property Name], INDIRECT("B"&amp;ROW()))</f>
        <v>0</v>
      </c>
      <c r="T303" s="531" t="str" cm="1">
        <f t="array" aca="1" ref="T30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3" s="552" t="str" cm="1">
        <f t="array" aca="1" ref="U30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3" s="526" cm="1">
        <f t="array" aca="1" ref="V303" ca="1">COUNTIFS(unit_details[Leased Date], "&gt;=" &amp; ($U$2 - T$5),
          unit_details[Leased Date], "&lt;" &amp; $U$2,
          unit_details[Floorplan Name], INDIRECT("C"&amp;ROW()),
          unit_details[Property Name], INDIRECT("B"&amp;ROW()))</f>
        <v>0</v>
      </c>
      <c r="W303" s="531" t="str" cm="1">
        <f t="array" aca="1" ref="W30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3" s="552" t="str" cm="1">
        <f t="array" aca="1" ref="X30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3" s="27" t="str">
        <f t="shared" ca="1" si="12"/>
        <v/>
      </c>
      <c r="Z303" s="4" t="str">
        <f>IFERROR($U$2-AVERAGEIFS(unit_details[First Listed],
          unit_details[Active Listing?],TRUE,
          unit_details[Property Name], $B303,
          unit_details[Beds], $D303,
          unit_details[Baths], $E303,
          unit_details[Partial Baths], IF(ISNUMBER($F303),$F303,""),
          unit_details[Floorplan Name],$C303
),"")</f>
        <v/>
      </c>
      <c r="AA303" s="262" cm="1">
        <f t="array" aca="1" ref="AA303" ca="1">COUNTIFS(unit_details[Active Listing?],TRUE,
          unit_details[Floorplan Name], INDIRECT("C"&amp;ROW()),
          unit_details[Property Name], INDIRECT("B"&amp;ROW()))</f>
        <v>0</v>
      </c>
      <c r="AB303" s="553"/>
      <c r="AC303" s="528" cm="1">
        <f t="array" aca="1" ref="AC303" ca="1">IFERROR(AVERAGEIFS(
  unit_details[Sqft],
  unit_details[Property Name], INDIRECT("B"&amp;ROW()),
  unit_details[Floorplan Name], INDIRECT("C"&amp;ROW()),
  unit_details[Beds], INDIRECT("D"&amp;ROW()),
  unit_details[Detected Unit Amenities], "*"&amp;$AD$3&amp;"*",
  unit_details[Leased Date], "&gt;=" &amp; ($U$2 - $AF$3)
),0)</f>
        <v>0</v>
      </c>
      <c r="AD303" s="527" cm="1">
        <f t="array" aca="1" ref="AD3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3" s="526" cm="1">
        <f t="array" aca="1" ref="AE303" ca="1">IFERROR(COUNTIFS(
  unit_details[Property Name], INDIRECT("B"&amp;ROW()),
  unit_details[Floorplan Name], INDIRECT("C"&amp;ROW()),
  unit_details[Beds], INDIRECT("D"&amp;ROW()),
  unit_details[Detected Unit Amenities], "*"&amp;$AD$3&amp;"*",
  unit_details[Leased Date], "&gt;=" &amp; ($U$2 - $AF$3)
),0)</f>
        <v>0</v>
      </c>
      <c r="AF303" s="528" cm="1">
        <f t="array" aca="1" ref="AF303" ca="1">IFERROR(AVERAGEIFS(
  unit_details[Sqft],
  unit_details[Property Name], INDIRECT("B"&amp;ROW()),
  unit_details[Floorplan Name], INDIRECT("C"&amp;ROW()),
  unit_details[Beds], INDIRECT("D"&amp;ROW()),
  unit_details[Detected Unit Amenities], "&lt;&gt;*"&amp;$AD$3&amp;"*",
  unit_details[Leased Date], "&gt;=" &amp; ($U$2 - $AF$3)
),0)</f>
        <v>0</v>
      </c>
      <c r="AG303" s="527" cm="1">
        <f t="array" aca="1" ref="AG3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3" s="526" cm="1">
        <f t="array" aca="1" ref="AH303" ca="1">IFERROR(COUNTIFS(
  unit_details[Property Name], INDIRECT("B"&amp;ROW()),
  unit_details[Floorplan Name], INDIRECT("C"&amp;ROW()),
  unit_details[Beds], INDIRECT("D"&amp;ROW()),
  unit_details[Detected Unit Amenities], "&lt;&gt;*"&amp;$AD$3&amp;"*",
  unit_details[Leased Date], "&gt;=" &amp; ($U$2 - $AF$3)
),0)</f>
        <v>0</v>
      </c>
      <c r="AI303" s="528"/>
      <c r="AJ303" s="531">
        <f t="shared" ca="1" si="13"/>
        <v>0</v>
      </c>
      <c r="AK303" s="532">
        <f t="shared" ca="1" si="14"/>
        <v>0</v>
      </c>
    </row>
    <row r="304" spans="2:37" x14ac:dyDescent="0.2">
      <c r="B304" s="566"/>
      <c r="C304" s="53"/>
      <c r="E304" s="262"/>
      <c r="F304" s="262"/>
      <c r="J304" s="293"/>
      <c r="K304" s="6"/>
      <c r="M304" s="538"/>
      <c r="N304" s="531" t="str" cm="1">
        <f t="array" aca="1" ref="N30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4" s="552" t="str" cm="1">
        <f t="array" aca="1" ref="O30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4" s="526" cm="1">
        <f t="array" aca="1" ref="P304" ca="1">COUNTIFS(unit_details[Leased Date], "&gt;=" &amp; ($U$2 - N$5),
          unit_details[Leased Date], "&lt;" &amp; $U$2,
          unit_details[Floorplan Name], INDIRECT("C"&amp;ROW()),
          unit_details[Property Name], INDIRECT("B"&amp;ROW()))</f>
        <v>0</v>
      </c>
      <c r="Q304" s="531" t="str" cm="1">
        <f t="array" aca="1" ref="Q30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4" s="552" t="str" cm="1">
        <f t="array" aca="1" ref="R30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4" s="526" cm="1">
        <f t="array" aca="1" ref="S304" ca="1">COUNTIFS(unit_details[Leased Date], "&gt;=" &amp; ($U$2 - Q$5),
          unit_details[Leased Date], "&lt;" &amp; $U$2,
          unit_details[Floorplan Name], INDIRECT("C"&amp;ROW()),
          unit_details[Property Name], INDIRECT("B"&amp;ROW()))</f>
        <v>0</v>
      </c>
      <c r="T304" s="531" t="str" cm="1">
        <f t="array" aca="1" ref="T30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4" s="552" t="str" cm="1">
        <f t="array" aca="1" ref="U30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4" s="526" cm="1">
        <f t="array" aca="1" ref="V304" ca="1">COUNTIFS(unit_details[Leased Date], "&gt;=" &amp; ($U$2 - T$5),
          unit_details[Leased Date], "&lt;" &amp; $U$2,
          unit_details[Floorplan Name], INDIRECT("C"&amp;ROW()),
          unit_details[Property Name], INDIRECT("B"&amp;ROW()))</f>
        <v>0</v>
      </c>
      <c r="W304" s="531" t="str" cm="1">
        <f t="array" aca="1" ref="W30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4" s="552" t="str" cm="1">
        <f t="array" aca="1" ref="X30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4" s="27" t="str">
        <f t="shared" ca="1" si="12"/>
        <v/>
      </c>
      <c r="Z304" s="4" t="str">
        <f>IFERROR($U$2-AVERAGEIFS(unit_details[First Listed],
          unit_details[Active Listing?],TRUE,
          unit_details[Property Name], $B304,
          unit_details[Beds], $D304,
          unit_details[Baths], $E304,
          unit_details[Partial Baths], IF(ISNUMBER($F304),$F304,""),
          unit_details[Floorplan Name],$C304
),"")</f>
        <v/>
      </c>
      <c r="AA304" s="262" cm="1">
        <f t="array" aca="1" ref="AA304" ca="1">COUNTIFS(unit_details[Active Listing?],TRUE,
          unit_details[Floorplan Name], INDIRECT("C"&amp;ROW()),
          unit_details[Property Name], INDIRECT("B"&amp;ROW()))</f>
        <v>0</v>
      </c>
      <c r="AB304" s="553"/>
      <c r="AC304" s="528" cm="1">
        <f t="array" aca="1" ref="AC304" ca="1">IFERROR(AVERAGEIFS(
  unit_details[Sqft],
  unit_details[Property Name], INDIRECT("B"&amp;ROW()),
  unit_details[Floorplan Name], INDIRECT("C"&amp;ROW()),
  unit_details[Beds], INDIRECT("D"&amp;ROW()),
  unit_details[Detected Unit Amenities], "*"&amp;$AD$3&amp;"*",
  unit_details[Leased Date], "&gt;=" &amp; ($U$2 - $AF$3)
),0)</f>
        <v>0</v>
      </c>
      <c r="AD304" s="527" cm="1">
        <f t="array" aca="1" ref="AD3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4" s="526" cm="1">
        <f t="array" aca="1" ref="AE304" ca="1">IFERROR(COUNTIFS(
  unit_details[Property Name], INDIRECT("B"&amp;ROW()),
  unit_details[Floorplan Name], INDIRECT("C"&amp;ROW()),
  unit_details[Beds], INDIRECT("D"&amp;ROW()),
  unit_details[Detected Unit Amenities], "*"&amp;$AD$3&amp;"*",
  unit_details[Leased Date], "&gt;=" &amp; ($U$2 - $AF$3)
),0)</f>
        <v>0</v>
      </c>
      <c r="AF304" s="528" cm="1">
        <f t="array" aca="1" ref="AF304" ca="1">IFERROR(AVERAGEIFS(
  unit_details[Sqft],
  unit_details[Property Name], INDIRECT("B"&amp;ROW()),
  unit_details[Floorplan Name], INDIRECT("C"&amp;ROW()),
  unit_details[Beds], INDIRECT("D"&amp;ROW()),
  unit_details[Detected Unit Amenities], "&lt;&gt;*"&amp;$AD$3&amp;"*",
  unit_details[Leased Date], "&gt;=" &amp; ($U$2 - $AF$3)
),0)</f>
        <v>0</v>
      </c>
      <c r="AG304" s="527" cm="1">
        <f t="array" aca="1" ref="AG3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4" s="526" cm="1">
        <f t="array" aca="1" ref="AH304" ca="1">IFERROR(COUNTIFS(
  unit_details[Property Name], INDIRECT("B"&amp;ROW()),
  unit_details[Floorplan Name], INDIRECT("C"&amp;ROW()),
  unit_details[Beds], INDIRECT("D"&amp;ROW()),
  unit_details[Detected Unit Amenities], "&lt;&gt;*"&amp;$AD$3&amp;"*",
  unit_details[Leased Date], "&gt;=" &amp; ($U$2 - $AF$3)
),0)</f>
        <v>0</v>
      </c>
      <c r="AI304" s="528"/>
      <c r="AJ304" s="531">
        <f t="shared" ca="1" si="13"/>
        <v>0</v>
      </c>
      <c r="AK304" s="532">
        <f t="shared" ca="1" si="14"/>
        <v>0</v>
      </c>
    </row>
    <row r="305" spans="2:37" x14ac:dyDescent="0.2">
      <c r="B305" s="566"/>
      <c r="C305" s="53"/>
      <c r="E305" s="262"/>
      <c r="F305" s="262"/>
      <c r="J305" s="293"/>
      <c r="K305" s="6"/>
      <c r="M305" s="538"/>
      <c r="N305" s="531" t="str" cm="1">
        <f t="array" aca="1" ref="N30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5" s="552" t="str" cm="1">
        <f t="array" aca="1" ref="O30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5" s="526" cm="1">
        <f t="array" aca="1" ref="P305" ca="1">COUNTIFS(unit_details[Leased Date], "&gt;=" &amp; ($U$2 - N$5),
          unit_details[Leased Date], "&lt;" &amp; $U$2,
          unit_details[Floorplan Name], INDIRECT("C"&amp;ROW()),
          unit_details[Property Name], INDIRECT("B"&amp;ROW()))</f>
        <v>0</v>
      </c>
      <c r="Q305" s="531" t="str" cm="1">
        <f t="array" aca="1" ref="Q30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5" s="552" t="str" cm="1">
        <f t="array" aca="1" ref="R30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5" s="526" cm="1">
        <f t="array" aca="1" ref="S305" ca="1">COUNTIFS(unit_details[Leased Date], "&gt;=" &amp; ($U$2 - Q$5),
          unit_details[Leased Date], "&lt;" &amp; $U$2,
          unit_details[Floorplan Name], INDIRECT("C"&amp;ROW()),
          unit_details[Property Name], INDIRECT("B"&amp;ROW()))</f>
        <v>0</v>
      </c>
      <c r="T305" s="531" t="str" cm="1">
        <f t="array" aca="1" ref="T30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5" s="552" t="str" cm="1">
        <f t="array" aca="1" ref="U30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5" s="526" cm="1">
        <f t="array" aca="1" ref="V305" ca="1">COUNTIFS(unit_details[Leased Date], "&gt;=" &amp; ($U$2 - T$5),
          unit_details[Leased Date], "&lt;" &amp; $U$2,
          unit_details[Floorplan Name], INDIRECT("C"&amp;ROW()),
          unit_details[Property Name], INDIRECT("B"&amp;ROW()))</f>
        <v>0</v>
      </c>
      <c r="W305" s="531" t="str" cm="1">
        <f t="array" aca="1" ref="W30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5" s="552" t="str" cm="1">
        <f t="array" aca="1" ref="X30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5" s="27" t="str">
        <f t="shared" ca="1" si="12"/>
        <v/>
      </c>
      <c r="Z305" s="4" t="str">
        <f>IFERROR($U$2-AVERAGEIFS(unit_details[First Listed],
          unit_details[Active Listing?],TRUE,
          unit_details[Property Name], $B305,
          unit_details[Beds], $D305,
          unit_details[Baths], $E305,
          unit_details[Partial Baths], IF(ISNUMBER($F305),$F305,""),
          unit_details[Floorplan Name],$C305
),"")</f>
        <v/>
      </c>
      <c r="AA305" s="262" cm="1">
        <f t="array" aca="1" ref="AA305" ca="1">COUNTIFS(unit_details[Active Listing?],TRUE,
          unit_details[Floorplan Name], INDIRECT("C"&amp;ROW()),
          unit_details[Property Name], INDIRECT("B"&amp;ROW()))</f>
        <v>0</v>
      </c>
      <c r="AB305" s="553"/>
      <c r="AC305" s="528" cm="1">
        <f t="array" aca="1" ref="AC305" ca="1">IFERROR(AVERAGEIFS(
  unit_details[Sqft],
  unit_details[Property Name], INDIRECT("B"&amp;ROW()),
  unit_details[Floorplan Name], INDIRECT("C"&amp;ROW()),
  unit_details[Beds], INDIRECT("D"&amp;ROW()),
  unit_details[Detected Unit Amenities], "*"&amp;$AD$3&amp;"*",
  unit_details[Leased Date], "&gt;=" &amp; ($U$2 - $AF$3)
),0)</f>
        <v>0</v>
      </c>
      <c r="AD305" s="527" cm="1">
        <f t="array" aca="1" ref="AD3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5" s="526" cm="1">
        <f t="array" aca="1" ref="AE305" ca="1">IFERROR(COUNTIFS(
  unit_details[Property Name], INDIRECT("B"&amp;ROW()),
  unit_details[Floorplan Name], INDIRECT("C"&amp;ROW()),
  unit_details[Beds], INDIRECT("D"&amp;ROW()),
  unit_details[Detected Unit Amenities], "*"&amp;$AD$3&amp;"*",
  unit_details[Leased Date], "&gt;=" &amp; ($U$2 - $AF$3)
),0)</f>
        <v>0</v>
      </c>
      <c r="AF305" s="528" cm="1">
        <f t="array" aca="1" ref="AF305" ca="1">IFERROR(AVERAGEIFS(
  unit_details[Sqft],
  unit_details[Property Name], INDIRECT("B"&amp;ROW()),
  unit_details[Floorplan Name], INDIRECT("C"&amp;ROW()),
  unit_details[Beds], INDIRECT("D"&amp;ROW()),
  unit_details[Detected Unit Amenities], "&lt;&gt;*"&amp;$AD$3&amp;"*",
  unit_details[Leased Date], "&gt;=" &amp; ($U$2 - $AF$3)
),0)</f>
        <v>0</v>
      </c>
      <c r="AG305" s="527" cm="1">
        <f t="array" aca="1" ref="AG3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5" s="526" cm="1">
        <f t="array" aca="1" ref="AH305" ca="1">IFERROR(COUNTIFS(
  unit_details[Property Name], INDIRECT("B"&amp;ROW()),
  unit_details[Floorplan Name], INDIRECT("C"&amp;ROW()),
  unit_details[Beds], INDIRECT("D"&amp;ROW()),
  unit_details[Detected Unit Amenities], "&lt;&gt;*"&amp;$AD$3&amp;"*",
  unit_details[Leased Date], "&gt;=" &amp; ($U$2 - $AF$3)
),0)</f>
        <v>0</v>
      </c>
      <c r="AI305" s="528"/>
      <c r="AJ305" s="531">
        <f t="shared" ca="1" si="13"/>
        <v>0</v>
      </c>
      <c r="AK305" s="532">
        <f t="shared" ca="1" si="14"/>
        <v>0</v>
      </c>
    </row>
    <row r="306" spans="2:37" x14ac:dyDescent="0.2">
      <c r="B306" s="566"/>
      <c r="C306" s="53"/>
      <c r="E306" s="262"/>
      <c r="F306" s="262"/>
      <c r="J306" s="293"/>
      <c r="K306" s="6"/>
      <c r="M306" s="538"/>
      <c r="N306" s="531" t="str" cm="1">
        <f t="array" aca="1" ref="N30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6" s="552" t="str" cm="1">
        <f t="array" aca="1" ref="O30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6" s="526" cm="1">
        <f t="array" aca="1" ref="P306" ca="1">COUNTIFS(unit_details[Leased Date], "&gt;=" &amp; ($U$2 - N$5),
          unit_details[Leased Date], "&lt;" &amp; $U$2,
          unit_details[Floorplan Name], INDIRECT("C"&amp;ROW()),
          unit_details[Property Name], INDIRECT("B"&amp;ROW()))</f>
        <v>0</v>
      </c>
      <c r="Q306" s="531" t="str" cm="1">
        <f t="array" aca="1" ref="Q30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6" s="552" t="str" cm="1">
        <f t="array" aca="1" ref="R30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6" s="526" cm="1">
        <f t="array" aca="1" ref="S306" ca="1">COUNTIFS(unit_details[Leased Date], "&gt;=" &amp; ($U$2 - Q$5),
          unit_details[Leased Date], "&lt;" &amp; $U$2,
          unit_details[Floorplan Name], INDIRECT("C"&amp;ROW()),
          unit_details[Property Name], INDIRECT("B"&amp;ROW()))</f>
        <v>0</v>
      </c>
      <c r="T306" s="531" t="str" cm="1">
        <f t="array" aca="1" ref="T30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6" s="552" t="str" cm="1">
        <f t="array" aca="1" ref="U30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6" s="526" cm="1">
        <f t="array" aca="1" ref="V306" ca="1">COUNTIFS(unit_details[Leased Date], "&gt;=" &amp; ($U$2 - T$5),
          unit_details[Leased Date], "&lt;" &amp; $U$2,
          unit_details[Floorplan Name], INDIRECT("C"&amp;ROW()),
          unit_details[Property Name], INDIRECT("B"&amp;ROW()))</f>
        <v>0</v>
      </c>
      <c r="W306" s="531" t="str" cm="1">
        <f t="array" aca="1" ref="W30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6" s="552" t="str" cm="1">
        <f t="array" aca="1" ref="X30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6" s="27" t="str">
        <f t="shared" ca="1" si="12"/>
        <v/>
      </c>
      <c r="Z306" s="4" t="str">
        <f>IFERROR($U$2-AVERAGEIFS(unit_details[First Listed],
          unit_details[Active Listing?],TRUE,
          unit_details[Property Name], $B306,
          unit_details[Beds], $D306,
          unit_details[Baths], $E306,
          unit_details[Partial Baths], IF(ISNUMBER($F306),$F306,""),
          unit_details[Floorplan Name],$C306
),"")</f>
        <v/>
      </c>
      <c r="AA306" s="262" cm="1">
        <f t="array" aca="1" ref="AA306" ca="1">COUNTIFS(unit_details[Active Listing?],TRUE,
          unit_details[Floorplan Name], INDIRECT("C"&amp;ROW()),
          unit_details[Property Name], INDIRECT("B"&amp;ROW()))</f>
        <v>0</v>
      </c>
      <c r="AB306" s="553"/>
      <c r="AC306" s="528" cm="1">
        <f t="array" aca="1" ref="AC306" ca="1">IFERROR(AVERAGEIFS(
  unit_details[Sqft],
  unit_details[Property Name], INDIRECT("B"&amp;ROW()),
  unit_details[Floorplan Name], INDIRECT("C"&amp;ROW()),
  unit_details[Beds], INDIRECT("D"&amp;ROW()),
  unit_details[Detected Unit Amenities], "*"&amp;$AD$3&amp;"*",
  unit_details[Leased Date], "&gt;=" &amp; ($U$2 - $AF$3)
),0)</f>
        <v>0</v>
      </c>
      <c r="AD306" s="527" cm="1">
        <f t="array" aca="1" ref="AD3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6" s="526" cm="1">
        <f t="array" aca="1" ref="AE306" ca="1">IFERROR(COUNTIFS(
  unit_details[Property Name], INDIRECT("B"&amp;ROW()),
  unit_details[Floorplan Name], INDIRECT("C"&amp;ROW()),
  unit_details[Beds], INDIRECT("D"&amp;ROW()),
  unit_details[Detected Unit Amenities], "*"&amp;$AD$3&amp;"*",
  unit_details[Leased Date], "&gt;=" &amp; ($U$2 - $AF$3)
),0)</f>
        <v>0</v>
      </c>
      <c r="AF306" s="528" cm="1">
        <f t="array" aca="1" ref="AF306" ca="1">IFERROR(AVERAGEIFS(
  unit_details[Sqft],
  unit_details[Property Name], INDIRECT("B"&amp;ROW()),
  unit_details[Floorplan Name], INDIRECT("C"&amp;ROW()),
  unit_details[Beds], INDIRECT("D"&amp;ROW()),
  unit_details[Detected Unit Amenities], "&lt;&gt;*"&amp;$AD$3&amp;"*",
  unit_details[Leased Date], "&gt;=" &amp; ($U$2 - $AF$3)
),0)</f>
        <v>0</v>
      </c>
      <c r="AG306" s="527" cm="1">
        <f t="array" aca="1" ref="AG3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6" s="526" cm="1">
        <f t="array" aca="1" ref="AH306" ca="1">IFERROR(COUNTIFS(
  unit_details[Property Name], INDIRECT("B"&amp;ROW()),
  unit_details[Floorplan Name], INDIRECT("C"&amp;ROW()),
  unit_details[Beds], INDIRECT("D"&amp;ROW()),
  unit_details[Detected Unit Amenities], "&lt;&gt;*"&amp;$AD$3&amp;"*",
  unit_details[Leased Date], "&gt;=" &amp; ($U$2 - $AF$3)
),0)</f>
        <v>0</v>
      </c>
      <c r="AI306" s="528"/>
      <c r="AJ306" s="531">
        <f t="shared" ca="1" si="13"/>
        <v>0</v>
      </c>
      <c r="AK306" s="532">
        <f t="shared" ca="1" si="14"/>
        <v>0</v>
      </c>
    </row>
    <row r="307" spans="2:37" x14ac:dyDescent="0.2">
      <c r="B307" s="566"/>
      <c r="C307" s="53"/>
      <c r="E307" s="262"/>
      <c r="F307" s="262"/>
      <c r="J307" s="293"/>
      <c r="K307" s="6"/>
      <c r="M307" s="538"/>
      <c r="N307" s="531" t="str" cm="1">
        <f t="array" aca="1" ref="N30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7" s="552" t="str" cm="1">
        <f t="array" aca="1" ref="O30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7" s="526" cm="1">
        <f t="array" aca="1" ref="P307" ca="1">COUNTIFS(unit_details[Leased Date], "&gt;=" &amp; ($U$2 - N$5),
          unit_details[Leased Date], "&lt;" &amp; $U$2,
          unit_details[Floorplan Name], INDIRECT("C"&amp;ROW()),
          unit_details[Property Name], INDIRECT("B"&amp;ROW()))</f>
        <v>0</v>
      </c>
      <c r="Q307" s="531" t="str" cm="1">
        <f t="array" aca="1" ref="Q30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7" s="552" t="str" cm="1">
        <f t="array" aca="1" ref="R30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7" s="526" cm="1">
        <f t="array" aca="1" ref="S307" ca="1">COUNTIFS(unit_details[Leased Date], "&gt;=" &amp; ($U$2 - Q$5),
          unit_details[Leased Date], "&lt;" &amp; $U$2,
          unit_details[Floorplan Name], INDIRECT("C"&amp;ROW()),
          unit_details[Property Name], INDIRECT("B"&amp;ROW()))</f>
        <v>0</v>
      </c>
      <c r="T307" s="531" t="str" cm="1">
        <f t="array" aca="1" ref="T30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7" s="552" t="str" cm="1">
        <f t="array" aca="1" ref="U30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7" s="526" cm="1">
        <f t="array" aca="1" ref="V307" ca="1">COUNTIFS(unit_details[Leased Date], "&gt;=" &amp; ($U$2 - T$5),
          unit_details[Leased Date], "&lt;" &amp; $U$2,
          unit_details[Floorplan Name], INDIRECT("C"&amp;ROW()),
          unit_details[Property Name], INDIRECT("B"&amp;ROW()))</f>
        <v>0</v>
      </c>
      <c r="W307" s="531" t="str" cm="1">
        <f t="array" aca="1" ref="W30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7" s="552" t="str" cm="1">
        <f t="array" aca="1" ref="X30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7" s="27" t="str">
        <f t="shared" ca="1" si="12"/>
        <v/>
      </c>
      <c r="Z307" s="4" t="str">
        <f>IFERROR($U$2-AVERAGEIFS(unit_details[First Listed],
          unit_details[Active Listing?],TRUE,
          unit_details[Property Name], $B307,
          unit_details[Beds], $D307,
          unit_details[Baths], $E307,
          unit_details[Partial Baths], IF(ISNUMBER($F307),$F307,""),
          unit_details[Floorplan Name],$C307
),"")</f>
        <v/>
      </c>
      <c r="AA307" s="262" cm="1">
        <f t="array" aca="1" ref="AA307" ca="1">COUNTIFS(unit_details[Active Listing?],TRUE,
          unit_details[Floorplan Name], INDIRECT("C"&amp;ROW()),
          unit_details[Property Name], INDIRECT("B"&amp;ROW()))</f>
        <v>0</v>
      </c>
      <c r="AB307" s="553"/>
      <c r="AC307" s="528" cm="1">
        <f t="array" aca="1" ref="AC307" ca="1">IFERROR(AVERAGEIFS(
  unit_details[Sqft],
  unit_details[Property Name], INDIRECT("B"&amp;ROW()),
  unit_details[Floorplan Name], INDIRECT("C"&amp;ROW()),
  unit_details[Beds], INDIRECT("D"&amp;ROW()),
  unit_details[Detected Unit Amenities], "*"&amp;$AD$3&amp;"*",
  unit_details[Leased Date], "&gt;=" &amp; ($U$2 - $AF$3)
),0)</f>
        <v>0</v>
      </c>
      <c r="AD307" s="527" cm="1">
        <f t="array" aca="1" ref="AD3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7" s="526" cm="1">
        <f t="array" aca="1" ref="AE307" ca="1">IFERROR(COUNTIFS(
  unit_details[Property Name], INDIRECT("B"&amp;ROW()),
  unit_details[Floorplan Name], INDIRECT("C"&amp;ROW()),
  unit_details[Beds], INDIRECT("D"&amp;ROW()),
  unit_details[Detected Unit Amenities], "*"&amp;$AD$3&amp;"*",
  unit_details[Leased Date], "&gt;=" &amp; ($U$2 - $AF$3)
),0)</f>
        <v>0</v>
      </c>
      <c r="AF307" s="528" cm="1">
        <f t="array" aca="1" ref="AF307" ca="1">IFERROR(AVERAGEIFS(
  unit_details[Sqft],
  unit_details[Property Name], INDIRECT("B"&amp;ROW()),
  unit_details[Floorplan Name], INDIRECT("C"&amp;ROW()),
  unit_details[Beds], INDIRECT("D"&amp;ROW()),
  unit_details[Detected Unit Amenities], "&lt;&gt;*"&amp;$AD$3&amp;"*",
  unit_details[Leased Date], "&gt;=" &amp; ($U$2 - $AF$3)
),0)</f>
        <v>0</v>
      </c>
      <c r="AG307" s="527" cm="1">
        <f t="array" aca="1" ref="AG3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7" s="526" cm="1">
        <f t="array" aca="1" ref="AH307" ca="1">IFERROR(COUNTIFS(
  unit_details[Property Name], INDIRECT("B"&amp;ROW()),
  unit_details[Floorplan Name], INDIRECT("C"&amp;ROW()),
  unit_details[Beds], INDIRECT("D"&amp;ROW()),
  unit_details[Detected Unit Amenities], "&lt;&gt;*"&amp;$AD$3&amp;"*",
  unit_details[Leased Date], "&gt;=" &amp; ($U$2 - $AF$3)
),0)</f>
        <v>0</v>
      </c>
      <c r="AI307" s="528"/>
      <c r="AJ307" s="531">
        <f t="shared" ca="1" si="13"/>
        <v>0</v>
      </c>
      <c r="AK307" s="532">
        <f t="shared" ca="1" si="14"/>
        <v>0</v>
      </c>
    </row>
    <row r="308" spans="2:37" x14ac:dyDescent="0.2">
      <c r="B308" s="566"/>
      <c r="C308" s="53"/>
      <c r="E308" s="262"/>
      <c r="F308" s="262"/>
      <c r="J308" s="293"/>
      <c r="K308" s="6"/>
      <c r="M308" s="538"/>
      <c r="N308" s="531" t="str" cm="1">
        <f t="array" aca="1" ref="N30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8" s="552" t="str" cm="1">
        <f t="array" aca="1" ref="O30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8" s="526" cm="1">
        <f t="array" aca="1" ref="P308" ca="1">COUNTIFS(unit_details[Leased Date], "&gt;=" &amp; ($U$2 - N$5),
          unit_details[Leased Date], "&lt;" &amp; $U$2,
          unit_details[Floorplan Name], INDIRECT("C"&amp;ROW()),
          unit_details[Property Name], INDIRECT("B"&amp;ROW()))</f>
        <v>0</v>
      </c>
      <c r="Q308" s="531" t="str" cm="1">
        <f t="array" aca="1" ref="Q30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8" s="552" t="str" cm="1">
        <f t="array" aca="1" ref="R30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8" s="526" cm="1">
        <f t="array" aca="1" ref="S308" ca="1">COUNTIFS(unit_details[Leased Date], "&gt;=" &amp; ($U$2 - Q$5),
          unit_details[Leased Date], "&lt;" &amp; $U$2,
          unit_details[Floorplan Name], INDIRECT("C"&amp;ROW()),
          unit_details[Property Name], INDIRECT("B"&amp;ROW()))</f>
        <v>0</v>
      </c>
      <c r="T308" s="531" t="str" cm="1">
        <f t="array" aca="1" ref="T30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8" s="552" t="str" cm="1">
        <f t="array" aca="1" ref="U30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8" s="526" cm="1">
        <f t="array" aca="1" ref="V308" ca="1">COUNTIFS(unit_details[Leased Date], "&gt;=" &amp; ($U$2 - T$5),
          unit_details[Leased Date], "&lt;" &amp; $U$2,
          unit_details[Floorplan Name], INDIRECT("C"&amp;ROW()),
          unit_details[Property Name], INDIRECT("B"&amp;ROW()))</f>
        <v>0</v>
      </c>
      <c r="W308" s="531" t="str" cm="1">
        <f t="array" aca="1" ref="W30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8" s="552" t="str" cm="1">
        <f t="array" aca="1" ref="X30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8" s="27" t="str">
        <f t="shared" ca="1" si="12"/>
        <v/>
      </c>
      <c r="Z308" s="4" t="str">
        <f>IFERROR($U$2-AVERAGEIFS(unit_details[First Listed],
          unit_details[Active Listing?],TRUE,
          unit_details[Property Name], $B308,
          unit_details[Beds], $D308,
          unit_details[Baths], $E308,
          unit_details[Partial Baths], IF(ISNUMBER($F308),$F308,""),
          unit_details[Floorplan Name],$C308
),"")</f>
        <v/>
      </c>
      <c r="AA308" s="262" cm="1">
        <f t="array" aca="1" ref="AA308" ca="1">COUNTIFS(unit_details[Active Listing?],TRUE,
          unit_details[Floorplan Name], INDIRECT("C"&amp;ROW()),
          unit_details[Property Name], INDIRECT("B"&amp;ROW()))</f>
        <v>0</v>
      </c>
      <c r="AB308" s="553"/>
      <c r="AC308" s="528" cm="1">
        <f t="array" aca="1" ref="AC308" ca="1">IFERROR(AVERAGEIFS(
  unit_details[Sqft],
  unit_details[Property Name], INDIRECT("B"&amp;ROW()),
  unit_details[Floorplan Name], INDIRECT("C"&amp;ROW()),
  unit_details[Beds], INDIRECT("D"&amp;ROW()),
  unit_details[Detected Unit Amenities], "*"&amp;$AD$3&amp;"*",
  unit_details[Leased Date], "&gt;=" &amp; ($U$2 - $AF$3)
),0)</f>
        <v>0</v>
      </c>
      <c r="AD308" s="527" cm="1">
        <f t="array" aca="1" ref="AD3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8" s="526" cm="1">
        <f t="array" aca="1" ref="AE308" ca="1">IFERROR(COUNTIFS(
  unit_details[Property Name], INDIRECT("B"&amp;ROW()),
  unit_details[Floorplan Name], INDIRECT("C"&amp;ROW()),
  unit_details[Beds], INDIRECT("D"&amp;ROW()),
  unit_details[Detected Unit Amenities], "*"&amp;$AD$3&amp;"*",
  unit_details[Leased Date], "&gt;=" &amp; ($U$2 - $AF$3)
),0)</f>
        <v>0</v>
      </c>
      <c r="AF308" s="528" cm="1">
        <f t="array" aca="1" ref="AF308" ca="1">IFERROR(AVERAGEIFS(
  unit_details[Sqft],
  unit_details[Property Name], INDIRECT("B"&amp;ROW()),
  unit_details[Floorplan Name], INDIRECT("C"&amp;ROW()),
  unit_details[Beds], INDIRECT("D"&amp;ROW()),
  unit_details[Detected Unit Amenities], "&lt;&gt;*"&amp;$AD$3&amp;"*",
  unit_details[Leased Date], "&gt;=" &amp; ($U$2 - $AF$3)
),0)</f>
        <v>0</v>
      </c>
      <c r="AG308" s="527" cm="1">
        <f t="array" aca="1" ref="AG3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8" s="526" cm="1">
        <f t="array" aca="1" ref="AH308" ca="1">IFERROR(COUNTIFS(
  unit_details[Property Name], INDIRECT("B"&amp;ROW()),
  unit_details[Floorplan Name], INDIRECT("C"&amp;ROW()),
  unit_details[Beds], INDIRECT("D"&amp;ROW()),
  unit_details[Detected Unit Amenities], "&lt;&gt;*"&amp;$AD$3&amp;"*",
  unit_details[Leased Date], "&gt;=" &amp; ($U$2 - $AF$3)
),0)</f>
        <v>0</v>
      </c>
      <c r="AI308" s="528"/>
      <c r="AJ308" s="531">
        <f t="shared" ca="1" si="13"/>
        <v>0</v>
      </c>
      <c r="AK308" s="532">
        <f t="shared" ca="1" si="14"/>
        <v>0</v>
      </c>
    </row>
    <row r="309" spans="2:37" x14ac:dyDescent="0.2">
      <c r="B309" s="566"/>
      <c r="C309" s="53"/>
      <c r="E309" s="262"/>
      <c r="F309" s="262"/>
      <c r="J309" s="293"/>
      <c r="K309" s="6"/>
      <c r="M309" s="538"/>
      <c r="N309" s="531" t="str" cm="1">
        <f t="array" aca="1" ref="N30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09" s="552" t="str" cm="1">
        <f t="array" aca="1" ref="O30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09" s="526" cm="1">
        <f t="array" aca="1" ref="P309" ca="1">COUNTIFS(unit_details[Leased Date], "&gt;=" &amp; ($U$2 - N$5),
          unit_details[Leased Date], "&lt;" &amp; $U$2,
          unit_details[Floorplan Name], INDIRECT("C"&amp;ROW()),
          unit_details[Property Name], INDIRECT("B"&amp;ROW()))</f>
        <v>0</v>
      </c>
      <c r="Q309" s="531" t="str" cm="1">
        <f t="array" aca="1" ref="Q30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09" s="552" t="str" cm="1">
        <f t="array" aca="1" ref="R30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09" s="526" cm="1">
        <f t="array" aca="1" ref="S309" ca="1">COUNTIFS(unit_details[Leased Date], "&gt;=" &amp; ($U$2 - Q$5),
          unit_details[Leased Date], "&lt;" &amp; $U$2,
          unit_details[Floorplan Name], INDIRECT("C"&amp;ROW()),
          unit_details[Property Name], INDIRECT("B"&amp;ROW()))</f>
        <v>0</v>
      </c>
      <c r="T309" s="531" t="str" cm="1">
        <f t="array" aca="1" ref="T30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09" s="552" t="str" cm="1">
        <f t="array" aca="1" ref="U30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09" s="526" cm="1">
        <f t="array" aca="1" ref="V309" ca="1">COUNTIFS(unit_details[Leased Date], "&gt;=" &amp; ($U$2 - T$5),
          unit_details[Leased Date], "&lt;" &amp; $U$2,
          unit_details[Floorplan Name], INDIRECT("C"&amp;ROW()),
          unit_details[Property Name], INDIRECT("B"&amp;ROW()))</f>
        <v>0</v>
      </c>
      <c r="W309" s="531" t="str" cm="1">
        <f t="array" aca="1" ref="W30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09" s="552" t="str" cm="1">
        <f t="array" aca="1" ref="X30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09" s="27" t="str">
        <f t="shared" ca="1" si="12"/>
        <v/>
      </c>
      <c r="Z309" s="4" t="str">
        <f>IFERROR($U$2-AVERAGEIFS(unit_details[First Listed],
          unit_details[Active Listing?],TRUE,
          unit_details[Property Name], $B309,
          unit_details[Beds], $D309,
          unit_details[Baths], $E309,
          unit_details[Partial Baths], IF(ISNUMBER($F309),$F309,""),
          unit_details[Floorplan Name],$C309
),"")</f>
        <v/>
      </c>
      <c r="AA309" s="262" cm="1">
        <f t="array" aca="1" ref="AA309" ca="1">COUNTIFS(unit_details[Active Listing?],TRUE,
          unit_details[Floorplan Name], INDIRECT("C"&amp;ROW()),
          unit_details[Property Name], INDIRECT("B"&amp;ROW()))</f>
        <v>0</v>
      </c>
      <c r="AB309" s="553"/>
      <c r="AC309" s="528" cm="1">
        <f t="array" aca="1" ref="AC309" ca="1">IFERROR(AVERAGEIFS(
  unit_details[Sqft],
  unit_details[Property Name], INDIRECT("B"&amp;ROW()),
  unit_details[Floorplan Name], INDIRECT("C"&amp;ROW()),
  unit_details[Beds], INDIRECT("D"&amp;ROW()),
  unit_details[Detected Unit Amenities], "*"&amp;$AD$3&amp;"*",
  unit_details[Leased Date], "&gt;=" &amp; ($U$2 - $AF$3)
),0)</f>
        <v>0</v>
      </c>
      <c r="AD309" s="527" cm="1">
        <f t="array" aca="1" ref="AD3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09" s="526" cm="1">
        <f t="array" aca="1" ref="AE309" ca="1">IFERROR(COUNTIFS(
  unit_details[Property Name], INDIRECT("B"&amp;ROW()),
  unit_details[Floorplan Name], INDIRECT("C"&amp;ROW()),
  unit_details[Beds], INDIRECT("D"&amp;ROW()),
  unit_details[Detected Unit Amenities], "*"&amp;$AD$3&amp;"*",
  unit_details[Leased Date], "&gt;=" &amp; ($U$2 - $AF$3)
),0)</f>
        <v>0</v>
      </c>
      <c r="AF309" s="528" cm="1">
        <f t="array" aca="1" ref="AF309" ca="1">IFERROR(AVERAGEIFS(
  unit_details[Sqft],
  unit_details[Property Name], INDIRECT("B"&amp;ROW()),
  unit_details[Floorplan Name], INDIRECT("C"&amp;ROW()),
  unit_details[Beds], INDIRECT("D"&amp;ROW()),
  unit_details[Detected Unit Amenities], "&lt;&gt;*"&amp;$AD$3&amp;"*",
  unit_details[Leased Date], "&gt;=" &amp; ($U$2 - $AF$3)
),0)</f>
        <v>0</v>
      </c>
      <c r="AG309" s="527" cm="1">
        <f t="array" aca="1" ref="AG3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09" s="526" cm="1">
        <f t="array" aca="1" ref="AH309" ca="1">IFERROR(COUNTIFS(
  unit_details[Property Name], INDIRECT("B"&amp;ROW()),
  unit_details[Floorplan Name], INDIRECT("C"&amp;ROW()),
  unit_details[Beds], INDIRECT("D"&amp;ROW()),
  unit_details[Detected Unit Amenities], "&lt;&gt;*"&amp;$AD$3&amp;"*",
  unit_details[Leased Date], "&gt;=" &amp; ($U$2 - $AF$3)
),0)</f>
        <v>0</v>
      </c>
      <c r="AI309" s="528"/>
      <c r="AJ309" s="531">
        <f t="shared" ca="1" si="13"/>
        <v>0</v>
      </c>
      <c r="AK309" s="532">
        <f t="shared" ca="1" si="14"/>
        <v>0</v>
      </c>
    </row>
    <row r="310" spans="2:37" x14ac:dyDescent="0.2">
      <c r="B310" s="566"/>
      <c r="C310" s="53"/>
      <c r="E310" s="262"/>
      <c r="F310" s="262"/>
      <c r="J310" s="293"/>
      <c r="K310" s="6"/>
      <c r="M310" s="538"/>
      <c r="N310" s="531" t="str" cm="1">
        <f t="array" aca="1" ref="N31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0" s="552" t="str" cm="1">
        <f t="array" aca="1" ref="O31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0" s="526" cm="1">
        <f t="array" aca="1" ref="P310" ca="1">COUNTIFS(unit_details[Leased Date], "&gt;=" &amp; ($U$2 - N$5),
          unit_details[Leased Date], "&lt;" &amp; $U$2,
          unit_details[Floorplan Name], INDIRECT("C"&amp;ROW()),
          unit_details[Property Name], INDIRECT("B"&amp;ROW()))</f>
        <v>0</v>
      </c>
      <c r="Q310" s="531" t="str" cm="1">
        <f t="array" aca="1" ref="Q31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0" s="552" t="str" cm="1">
        <f t="array" aca="1" ref="R31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0" s="526" cm="1">
        <f t="array" aca="1" ref="S310" ca="1">COUNTIFS(unit_details[Leased Date], "&gt;=" &amp; ($U$2 - Q$5),
          unit_details[Leased Date], "&lt;" &amp; $U$2,
          unit_details[Floorplan Name], INDIRECT("C"&amp;ROW()),
          unit_details[Property Name], INDIRECT("B"&amp;ROW()))</f>
        <v>0</v>
      </c>
      <c r="T310" s="531" t="str" cm="1">
        <f t="array" aca="1" ref="T31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0" s="552" t="str" cm="1">
        <f t="array" aca="1" ref="U31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0" s="526" cm="1">
        <f t="array" aca="1" ref="V310" ca="1">COUNTIFS(unit_details[Leased Date], "&gt;=" &amp; ($U$2 - T$5),
          unit_details[Leased Date], "&lt;" &amp; $U$2,
          unit_details[Floorplan Name], INDIRECT("C"&amp;ROW()),
          unit_details[Property Name], INDIRECT("B"&amp;ROW()))</f>
        <v>0</v>
      </c>
      <c r="W310" s="531" t="str" cm="1">
        <f t="array" aca="1" ref="W31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0" s="552" t="str" cm="1">
        <f t="array" aca="1" ref="X31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0" s="27" t="str">
        <f t="shared" ca="1" si="12"/>
        <v/>
      </c>
      <c r="Z310" s="4" t="str">
        <f>IFERROR($U$2-AVERAGEIFS(unit_details[First Listed],
          unit_details[Active Listing?],TRUE,
          unit_details[Property Name], $B310,
          unit_details[Beds], $D310,
          unit_details[Baths], $E310,
          unit_details[Partial Baths], IF(ISNUMBER($F310),$F310,""),
          unit_details[Floorplan Name],$C310
),"")</f>
        <v/>
      </c>
      <c r="AA310" s="262" cm="1">
        <f t="array" aca="1" ref="AA310" ca="1">COUNTIFS(unit_details[Active Listing?],TRUE,
          unit_details[Floorplan Name], INDIRECT("C"&amp;ROW()),
          unit_details[Property Name], INDIRECT("B"&amp;ROW()))</f>
        <v>0</v>
      </c>
      <c r="AB310" s="553"/>
      <c r="AC310" s="528" cm="1">
        <f t="array" aca="1" ref="AC310" ca="1">IFERROR(AVERAGEIFS(
  unit_details[Sqft],
  unit_details[Property Name], INDIRECT("B"&amp;ROW()),
  unit_details[Floorplan Name], INDIRECT("C"&amp;ROW()),
  unit_details[Beds], INDIRECT("D"&amp;ROW()),
  unit_details[Detected Unit Amenities], "*"&amp;$AD$3&amp;"*",
  unit_details[Leased Date], "&gt;=" &amp; ($U$2 - $AF$3)
),0)</f>
        <v>0</v>
      </c>
      <c r="AD310" s="527" cm="1">
        <f t="array" aca="1" ref="AD3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0" s="526" cm="1">
        <f t="array" aca="1" ref="AE310" ca="1">IFERROR(COUNTIFS(
  unit_details[Property Name], INDIRECT("B"&amp;ROW()),
  unit_details[Floorplan Name], INDIRECT("C"&amp;ROW()),
  unit_details[Beds], INDIRECT("D"&amp;ROW()),
  unit_details[Detected Unit Amenities], "*"&amp;$AD$3&amp;"*",
  unit_details[Leased Date], "&gt;=" &amp; ($U$2 - $AF$3)
),0)</f>
        <v>0</v>
      </c>
      <c r="AF310" s="528" cm="1">
        <f t="array" aca="1" ref="AF310" ca="1">IFERROR(AVERAGEIFS(
  unit_details[Sqft],
  unit_details[Property Name], INDIRECT("B"&amp;ROW()),
  unit_details[Floorplan Name], INDIRECT("C"&amp;ROW()),
  unit_details[Beds], INDIRECT("D"&amp;ROW()),
  unit_details[Detected Unit Amenities], "&lt;&gt;*"&amp;$AD$3&amp;"*",
  unit_details[Leased Date], "&gt;=" &amp; ($U$2 - $AF$3)
),0)</f>
        <v>0</v>
      </c>
      <c r="AG310" s="527" cm="1">
        <f t="array" aca="1" ref="AG3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0" s="526" cm="1">
        <f t="array" aca="1" ref="AH310" ca="1">IFERROR(COUNTIFS(
  unit_details[Property Name], INDIRECT("B"&amp;ROW()),
  unit_details[Floorplan Name], INDIRECT("C"&amp;ROW()),
  unit_details[Beds], INDIRECT("D"&amp;ROW()),
  unit_details[Detected Unit Amenities], "&lt;&gt;*"&amp;$AD$3&amp;"*",
  unit_details[Leased Date], "&gt;=" &amp; ($U$2 - $AF$3)
),0)</f>
        <v>0</v>
      </c>
      <c r="AI310" s="528"/>
      <c r="AJ310" s="531">
        <f t="shared" ca="1" si="13"/>
        <v>0</v>
      </c>
      <c r="AK310" s="532">
        <f t="shared" ca="1" si="14"/>
        <v>0</v>
      </c>
    </row>
    <row r="311" spans="2:37" x14ac:dyDescent="0.2">
      <c r="B311" s="566"/>
      <c r="C311" s="53"/>
      <c r="E311" s="262"/>
      <c r="F311" s="262"/>
      <c r="J311" s="293"/>
      <c r="K311" s="6"/>
      <c r="M311" s="538"/>
      <c r="N311" s="531" t="str" cm="1">
        <f t="array" aca="1" ref="N31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1" s="552" t="str" cm="1">
        <f t="array" aca="1" ref="O31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1" s="526" cm="1">
        <f t="array" aca="1" ref="P311" ca="1">COUNTIFS(unit_details[Leased Date], "&gt;=" &amp; ($U$2 - N$5),
          unit_details[Leased Date], "&lt;" &amp; $U$2,
          unit_details[Floorplan Name], INDIRECT("C"&amp;ROW()),
          unit_details[Property Name], INDIRECT("B"&amp;ROW()))</f>
        <v>0</v>
      </c>
      <c r="Q311" s="531" t="str" cm="1">
        <f t="array" aca="1" ref="Q31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1" s="552" t="str" cm="1">
        <f t="array" aca="1" ref="R31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1" s="526" cm="1">
        <f t="array" aca="1" ref="S311" ca="1">COUNTIFS(unit_details[Leased Date], "&gt;=" &amp; ($U$2 - Q$5),
          unit_details[Leased Date], "&lt;" &amp; $U$2,
          unit_details[Floorplan Name], INDIRECT("C"&amp;ROW()),
          unit_details[Property Name], INDIRECT("B"&amp;ROW()))</f>
        <v>0</v>
      </c>
      <c r="T311" s="531" t="str" cm="1">
        <f t="array" aca="1" ref="T31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1" s="552" t="str" cm="1">
        <f t="array" aca="1" ref="U31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1" s="526" cm="1">
        <f t="array" aca="1" ref="V311" ca="1">COUNTIFS(unit_details[Leased Date], "&gt;=" &amp; ($U$2 - T$5),
          unit_details[Leased Date], "&lt;" &amp; $U$2,
          unit_details[Floorplan Name], INDIRECT("C"&amp;ROW()),
          unit_details[Property Name], INDIRECT("B"&amp;ROW()))</f>
        <v>0</v>
      </c>
      <c r="W311" s="531" t="str" cm="1">
        <f t="array" aca="1" ref="W31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1" s="552" t="str" cm="1">
        <f t="array" aca="1" ref="X31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1" s="27" t="str">
        <f t="shared" ca="1" si="12"/>
        <v/>
      </c>
      <c r="Z311" s="4" t="str">
        <f>IFERROR($U$2-AVERAGEIFS(unit_details[First Listed],
          unit_details[Active Listing?],TRUE,
          unit_details[Property Name], $B311,
          unit_details[Beds], $D311,
          unit_details[Baths], $E311,
          unit_details[Partial Baths], IF(ISNUMBER($F311),$F311,""),
          unit_details[Floorplan Name],$C311
),"")</f>
        <v/>
      </c>
      <c r="AA311" s="262" cm="1">
        <f t="array" aca="1" ref="AA311" ca="1">COUNTIFS(unit_details[Active Listing?],TRUE,
          unit_details[Floorplan Name], INDIRECT("C"&amp;ROW()),
          unit_details[Property Name], INDIRECT("B"&amp;ROW()))</f>
        <v>0</v>
      </c>
      <c r="AB311" s="553"/>
      <c r="AC311" s="528" cm="1">
        <f t="array" aca="1" ref="AC311" ca="1">IFERROR(AVERAGEIFS(
  unit_details[Sqft],
  unit_details[Property Name], INDIRECT("B"&amp;ROW()),
  unit_details[Floorplan Name], INDIRECT("C"&amp;ROW()),
  unit_details[Beds], INDIRECT("D"&amp;ROW()),
  unit_details[Detected Unit Amenities], "*"&amp;$AD$3&amp;"*",
  unit_details[Leased Date], "&gt;=" &amp; ($U$2 - $AF$3)
),0)</f>
        <v>0</v>
      </c>
      <c r="AD311" s="527" cm="1">
        <f t="array" aca="1" ref="AD3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1" s="526" cm="1">
        <f t="array" aca="1" ref="AE311" ca="1">IFERROR(COUNTIFS(
  unit_details[Property Name], INDIRECT("B"&amp;ROW()),
  unit_details[Floorplan Name], INDIRECT("C"&amp;ROW()),
  unit_details[Beds], INDIRECT("D"&amp;ROW()),
  unit_details[Detected Unit Amenities], "*"&amp;$AD$3&amp;"*",
  unit_details[Leased Date], "&gt;=" &amp; ($U$2 - $AF$3)
),0)</f>
        <v>0</v>
      </c>
      <c r="AF311" s="528" cm="1">
        <f t="array" aca="1" ref="AF311" ca="1">IFERROR(AVERAGEIFS(
  unit_details[Sqft],
  unit_details[Property Name], INDIRECT("B"&amp;ROW()),
  unit_details[Floorplan Name], INDIRECT("C"&amp;ROW()),
  unit_details[Beds], INDIRECT("D"&amp;ROW()),
  unit_details[Detected Unit Amenities], "&lt;&gt;*"&amp;$AD$3&amp;"*",
  unit_details[Leased Date], "&gt;=" &amp; ($U$2 - $AF$3)
),0)</f>
        <v>0</v>
      </c>
      <c r="AG311" s="527" cm="1">
        <f t="array" aca="1" ref="AG3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1" s="526" cm="1">
        <f t="array" aca="1" ref="AH311" ca="1">IFERROR(COUNTIFS(
  unit_details[Property Name], INDIRECT("B"&amp;ROW()),
  unit_details[Floorplan Name], INDIRECT("C"&amp;ROW()),
  unit_details[Beds], INDIRECT("D"&amp;ROW()),
  unit_details[Detected Unit Amenities], "&lt;&gt;*"&amp;$AD$3&amp;"*",
  unit_details[Leased Date], "&gt;=" &amp; ($U$2 - $AF$3)
),0)</f>
        <v>0</v>
      </c>
      <c r="AI311" s="528"/>
      <c r="AJ311" s="531">
        <f t="shared" ca="1" si="13"/>
        <v>0</v>
      </c>
      <c r="AK311" s="532">
        <f t="shared" ca="1" si="14"/>
        <v>0</v>
      </c>
    </row>
    <row r="312" spans="2:37" x14ac:dyDescent="0.2">
      <c r="B312" s="566"/>
      <c r="C312" s="53"/>
      <c r="E312" s="262"/>
      <c r="F312" s="262"/>
      <c r="J312" s="293"/>
      <c r="K312" s="6"/>
      <c r="M312" s="538"/>
      <c r="N312" s="531" t="str" cm="1">
        <f t="array" aca="1" ref="N31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2" s="552" t="str" cm="1">
        <f t="array" aca="1" ref="O31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2" s="526" cm="1">
        <f t="array" aca="1" ref="P312" ca="1">COUNTIFS(unit_details[Leased Date], "&gt;=" &amp; ($U$2 - N$5),
          unit_details[Leased Date], "&lt;" &amp; $U$2,
          unit_details[Floorplan Name], INDIRECT("C"&amp;ROW()),
          unit_details[Property Name], INDIRECT("B"&amp;ROW()))</f>
        <v>0</v>
      </c>
      <c r="Q312" s="531" t="str" cm="1">
        <f t="array" aca="1" ref="Q31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2" s="552" t="str" cm="1">
        <f t="array" aca="1" ref="R31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2" s="526" cm="1">
        <f t="array" aca="1" ref="S312" ca="1">COUNTIFS(unit_details[Leased Date], "&gt;=" &amp; ($U$2 - Q$5),
          unit_details[Leased Date], "&lt;" &amp; $U$2,
          unit_details[Floorplan Name], INDIRECT("C"&amp;ROW()),
          unit_details[Property Name], INDIRECT("B"&amp;ROW()))</f>
        <v>0</v>
      </c>
      <c r="T312" s="531" t="str" cm="1">
        <f t="array" aca="1" ref="T31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2" s="552" t="str" cm="1">
        <f t="array" aca="1" ref="U31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2" s="526" cm="1">
        <f t="array" aca="1" ref="V312" ca="1">COUNTIFS(unit_details[Leased Date], "&gt;=" &amp; ($U$2 - T$5),
          unit_details[Leased Date], "&lt;" &amp; $U$2,
          unit_details[Floorplan Name], INDIRECT("C"&amp;ROW()),
          unit_details[Property Name], INDIRECT("B"&amp;ROW()))</f>
        <v>0</v>
      </c>
      <c r="W312" s="531" t="str" cm="1">
        <f t="array" aca="1" ref="W31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2" s="552" t="str" cm="1">
        <f t="array" aca="1" ref="X31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2" s="27" t="str">
        <f t="shared" ca="1" si="12"/>
        <v/>
      </c>
      <c r="Z312" s="4" t="str">
        <f>IFERROR($U$2-AVERAGEIFS(unit_details[First Listed],
          unit_details[Active Listing?],TRUE,
          unit_details[Property Name], $B312,
          unit_details[Beds], $D312,
          unit_details[Baths], $E312,
          unit_details[Partial Baths], IF(ISNUMBER($F312),$F312,""),
          unit_details[Floorplan Name],$C312
),"")</f>
        <v/>
      </c>
      <c r="AA312" s="262" cm="1">
        <f t="array" aca="1" ref="AA312" ca="1">COUNTIFS(unit_details[Active Listing?],TRUE,
          unit_details[Floorplan Name], INDIRECT("C"&amp;ROW()),
          unit_details[Property Name], INDIRECT("B"&amp;ROW()))</f>
        <v>0</v>
      </c>
      <c r="AB312" s="553"/>
      <c r="AC312" s="528" cm="1">
        <f t="array" aca="1" ref="AC312" ca="1">IFERROR(AVERAGEIFS(
  unit_details[Sqft],
  unit_details[Property Name], INDIRECT("B"&amp;ROW()),
  unit_details[Floorplan Name], INDIRECT("C"&amp;ROW()),
  unit_details[Beds], INDIRECT("D"&amp;ROW()),
  unit_details[Detected Unit Amenities], "*"&amp;$AD$3&amp;"*",
  unit_details[Leased Date], "&gt;=" &amp; ($U$2 - $AF$3)
),0)</f>
        <v>0</v>
      </c>
      <c r="AD312" s="527" cm="1">
        <f t="array" aca="1" ref="AD3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2" s="526" cm="1">
        <f t="array" aca="1" ref="AE312" ca="1">IFERROR(COUNTIFS(
  unit_details[Property Name], INDIRECT("B"&amp;ROW()),
  unit_details[Floorplan Name], INDIRECT("C"&amp;ROW()),
  unit_details[Beds], INDIRECT("D"&amp;ROW()),
  unit_details[Detected Unit Amenities], "*"&amp;$AD$3&amp;"*",
  unit_details[Leased Date], "&gt;=" &amp; ($U$2 - $AF$3)
),0)</f>
        <v>0</v>
      </c>
      <c r="AF312" s="528" cm="1">
        <f t="array" aca="1" ref="AF312" ca="1">IFERROR(AVERAGEIFS(
  unit_details[Sqft],
  unit_details[Property Name], INDIRECT("B"&amp;ROW()),
  unit_details[Floorplan Name], INDIRECT("C"&amp;ROW()),
  unit_details[Beds], INDIRECT("D"&amp;ROW()),
  unit_details[Detected Unit Amenities], "&lt;&gt;*"&amp;$AD$3&amp;"*",
  unit_details[Leased Date], "&gt;=" &amp; ($U$2 - $AF$3)
),0)</f>
        <v>0</v>
      </c>
      <c r="AG312" s="527" cm="1">
        <f t="array" aca="1" ref="AG3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2" s="526" cm="1">
        <f t="array" aca="1" ref="AH312" ca="1">IFERROR(COUNTIFS(
  unit_details[Property Name], INDIRECT("B"&amp;ROW()),
  unit_details[Floorplan Name], INDIRECT("C"&amp;ROW()),
  unit_details[Beds], INDIRECT("D"&amp;ROW()),
  unit_details[Detected Unit Amenities], "&lt;&gt;*"&amp;$AD$3&amp;"*",
  unit_details[Leased Date], "&gt;=" &amp; ($U$2 - $AF$3)
),0)</f>
        <v>0</v>
      </c>
      <c r="AI312" s="528"/>
      <c r="AJ312" s="531">
        <f t="shared" ca="1" si="13"/>
        <v>0</v>
      </c>
      <c r="AK312" s="532">
        <f t="shared" ca="1" si="14"/>
        <v>0</v>
      </c>
    </row>
    <row r="313" spans="2:37" x14ac:dyDescent="0.2">
      <c r="B313" s="566"/>
      <c r="C313" s="53"/>
      <c r="E313" s="262"/>
      <c r="F313" s="262"/>
      <c r="J313" s="293"/>
      <c r="K313" s="6"/>
      <c r="M313" s="538"/>
      <c r="N313" s="531" t="str" cm="1">
        <f t="array" aca="1" ref="N31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3" s="552" t="str" cm="1">
        <f t="array" aca="1" ref="O31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3" s="526" cm="1">
        <f t="array" aca="1" ref="P313" ca="1">COUNTIFS(unit_details[Leased Date], "&gt;=" &amp; ($U$2 - N$5),
          unit_details[Leased Date], "&lt;" &amp; $U$2,
          unit_details[Floorplan Name], INDIRECT("C"&amp;ROW()),
          unit_details[Property Name], INDIRECT("B"&amp;ROW()))</f>
        <v>0</v>
      </c>
      <c r="Q313" s="531" t="str" cm="1">
        <f t="array" aca="1" ref="Q31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3" s="552" t="str" cm="1">
        <f t="array" aca="1" ref="R31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3" s="526" cm="1">
        <f t="array" aca="1" ref="S313" ca="1">COUNTIFS(unit_details[Leased Date], "&gt;=" &amp; ($U$2 - Q$5),
          unit_details[Leased Date], "&lt;" &amp; $U$2,
          unit_details[Floorplan Name], INDIRECT("C"&amp;ROW()),
          unit_details[Property Name], INDIRECT("B"&amp;ROW()))</f>
        <v>0</v>
      </c>
      <c r="T313" s="531" t="str" cm="1">
        <f t="array" aca="1" ref="T31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3" s="552" t="str" cm="1">
        <f t="array" aca="1" ref="U31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3" s="526" cm="1">
        <f t="array" aca="1" ref="V313" ca="1">COUNTIFS(unit_details[Leased Date], "&gt;=" &amp; ($U$2 - T$5),
          unit_details[Leased Date], "&lt;" &amp; $U$2,
          unit_details[Floorplan Name], INDIRECT("C"&amp;ROW()),
          unit_details[Property Name], INDIRECT("B"&amp;ROW()))</f>
        <v>0</v>
      </c>
      <c r="W313" s="531" t="str" cm="1">
        <f t="array" aca="1" ref="W31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3" s="552" t="str" cm="1">
        <f t="array" aca="1" ref="X31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3" s="27" t="str">
        <f t="shared" ca="1" si="12"/>
        <v/>
      </c>
      <c r="Z313" s="4" t="str">
        <f>IFERROR($U$2-AVERAGEIFS(unit_details[First Listed],
          unit_details[Active Listing?],TRUE,
          unit_details[Property Name], $B313,
          unit_details[Beds], $D313,
          unit_details[Baths], $E313,
          unit_details[Partial Baths], IF(ISNUMBER($F313),$F313,""),
          unit_details[Floorplan Name],$C313
),"")</f>
        <v/>
      </c>
      <c r="AA313" s="262" cm="1">
        <f t="array" aca="1" ref="AA313" ca="1">COUNTIFS(unit_details[Active Listing?],TRUE,
          unit_details[Floorplan Name], INDIRECT("C"&amp;ROW()),
          unit_details[Property Name], INDIRECT("B"&amp;ROW()))</f>
        <v>0</v>
      </c>
      <c r="AB313" s="553"/>
      <c r="AC313" s="528" cm="1">
        <f t="array" aca="1" ref="AC313" ca="1">IFERROR(AVERAGEIFS(
  unit_details[Sqft],
  unit_details[Property Name], INDIRECT("B"&amp;ROW()),
  unit_details[Floorplan Name], INDIRECT("C"&amp;ROW()),
  unit_details[Beds], INDIRECT("D"&amp;ROW()),
  unit_details[Detected Unit Amenities], "*"&amp;$AD$3&amp;"*",
  unit_details[Leased Date], "&gt;=" &amp; ($U$2 - $AF$3)
),0)</f>
        <v>0</v>
      </c>
      <c r="AD313" s="527" cm="1">
        <f t="array" aca="1" ref="AD3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3" s="526" cm="1">
        <f t="array" aca="1" ref="AE313" ca="1">IFERROR(COUNTIFS(
  unit_details[Property Name], INDIRECT("B"&amp;ROW()),
  unit_details[Floorplan Name], INDIRECT("C"&amp;ROW()),
  unit_details[Beds], INDIRECT("D"&amp;ROW()),
  unit_details[Detected Unit Amenities], "*"&amp;$AD$3&amp;"*",
  unit_details[Leased Date], "&gt;=" &amp; ($U$2 - $AF$3)
),0)</f>
        <v>0</v>
      </c>
      <c r="AF313" s="528" cm="1">
        <f t="array" aca="1" ref="AF313" ca="1">IFERROR(AVERAGEIFS(
  unit_details[Sqft],
  unit_details[Property Name], INDIRECT("B"&amp;ROW()),
  unit_details[Floorplan Name], INDIRECT("C"&amp;ROW()),
  unit_details[Beds], INDIRECT("D"&amp;ROW()),
  unit_details[Detected Unit Amenities], "&lt;&gt;*"&amp;$AD$3&amp;"*",
  unit_details[Leased Date], "&gt;=" &amp; ($U$2 - $AF$3)
),0)</f>
        <v>0</v>
      </c>
      <c r="AG313" s="527" cm="1">
        <f t="array" aca="1" ref="AG3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3" s="526" cm="1">
        <f t="array" aca="1" ref="AH313" ca="1">IFERROR(COUNTIFS(
  unit_details[Property Name], INDIRECT("B"&amp;ROW()),
  unit_details[Floorplan Name], INDIRECT("C"&amp;ROW()),
  unit_details[Beds], INDIRECT("D"&amp;ROW()),
  unit_details[Detected Unit Amenities], "&lt;&gt;*"&amp;$AD$3&amp;"*",
  unit_details[Leased Date], "&gt;=" &amp; ($U$2 - $AF$3)
),0)</f>
        <v>0</v>
      </c>
      <c r="AI313" s="528"/>
      <c r="AJ313" s="531">
        <f t="shared" ca="1" si="13"/>
        <v>0</v>
      </c>
      <c r="AK313" s="532">
        <f t="shared" ca="1" si="14"/>
        <v>0</v>
      </c>
    </row>
    <row r="314" spans="2:37" x14ac:dyDescent="0.2">
      <c r="B314" s="566"/>
      <c r="C314" s="53"/>
      <c r="E314" s="262"/>
      <c r="F314" s="262"/>
      <c r="J314" s="293"/>
      <c r="K314" s="6"/>
      <c r="M314" s="538"/>
      <c r="N314" s="531" t="str" cm="1">
        <f t="array" aca="1" ref="N31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4" s="552" t="str" cm="1">
        <f t="array" aca="1" ref="O31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4" s="526" cm="1">
        <f t="array" aca="1" ref="P314" ca="1">COUNTIFS(unit_details[Leased Date], "&gt;=" &amp; ($U$2 - N$5),
          unit_details[Leased Date], "&lt;" &amp; $U$2,
          unit_details[Floorplan Name], INDIRECT("C"&amp;ROW()),
          unit_details[Property Name], INDIRECT("B"&amp;ROW()))</f>
        <v>0</v>
      </c>
      <c r="Q314" s="531" t="str" cm="1">
        <f t="array" aca="1" ref="Q31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4" s="552" t="str" cm="1">
        <f t="array" aca="1" ref="R31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4" s="526" cm="1">
        <f t="array" aca="1" ref="S314" ca="1">COUNTIFS(unit_details[Leased Date], "&gt;=" &amp; ($U$2 - Q$5),
          unit_details[Leased Date], "&lt;" &amp; $U$2,
          unit_details[Floorplan Name], INDIRECT("C"&amp;ROW()),
          unit_details[Property Name], INDIRECT("B"&amp;ROW()))</f>
        <v>0</v>
      </c>
      <c r="T314" s="531" t="str" cm="1">
        <f t="array" aca="1" ref="T31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4" s="552" t="str" cm="1">
        <f t="array" aca="1" ref="U31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4" s="526" cm="1">
        <f t="array" aca="1" ref="V314" ca="1">COUNTIFS(unit_details[Leased Date], "&gt;=" &amp; ($U$2 - T$5),
          unit_details[Leased Date], "&lt;" &amp; $U$2,
          unit_details[Floorplan Name], INDIRECT("C"&amp;ROW()),
          unit_details[Property Name], INDIRECT("B"&amp;ROW()))</f>
        <v>0</v>
      </c>
      <c r="W314" s="531" t="str" cm="1">
        <f t="array" aca="1" ref="W31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4" s="552" t="str" cm="1">
        <f t="array" aca="1" ref="X31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4" s="27" t="str">
        <f t="shared" ca="1" si="12"/>
        <v/>
      </c>
      <c r="Z314" s="4" t="str">
        <f>IFERROR($U$2-AVERAGEIFS(unit_details[First Listed],
          unit_details[Active Listing?],TRUE,
          unit_details[Property Name], $B314,
          unit_details[Beds], $D314,
          unit_details[Baths], $E314,
          unit_details[Partial Baths], IF(ISNUMBER($F314),$F314,""),
          unit_details[Floorplan Name],$C314
),"")</f>
        <v/>
      </c>
      <c r="AA314" s="262" cm="1">
        <f t="array" aca="1" ref="AA314" ca="1">COUNTIFS(unit_details[Active Listing?],TRUE,
          unit_details[Floorplan Name], INDIRECT("C"&amp;ROW()),
          unit_details[Property Name], INDIRECT("B"&amp;ROW()))</f>
        <v>0</v>
      </c>
      <c r="AB314" s="553"/>
      <c r="AC314" s="528" cm="1">
        <f t="array" aca="1" ref="AC314" ca="1">IFERROR(AVERAGEIFS(
  unit_details[Sqft],
  unit_details[Property Name], INDIRECT("B"&amp;ROW()),
  unit_details[Floorplan Name], INDIRECT("C"&amp;ROW()),
  unit_details[Beds], INDIRECT("D"&amp;ROW()),
  unit_details[Detected Unit Amenities], "*"&amp;$AD$3&amp;"*",
  unit_details[Leased Date], "&gt;=" &amp; ($U$2 - $AF$3)
),0)</f>
        <v>0</v>
      </c>
      <c r="AD314" s="527" cm="1">
        <f t="array" aca="1" ref="AD3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4" s="526" cm="1">
        <f t="array" aca="1" ref="AE314" ca="1">IFERROR(COUNTIFS(
  unit_details[Property Name], INDIRECT("B"&amp;ROW()),
  unit_details[Floorplan Name], INDIRECT("C"&amp;ROW()),
  unit_details[Beds], INDIRECT("D"&amp;ROW()),
  unit_details[Detected Unit Amenities], "*"&amp;$AD$3&amp;"*",
  unit_details[Leased Date], "&gt;=" &amp; ($U$2 - $AF$3)
),0)</f>
        <v>0</v>
      </c>
      <c r="AF314" s="528" cm="1">
        <f t="array" aca="1" ref="AF314" ca="1">IFERROR(AVERAGEIFS(
  unit_details[Sqft],
  unit_details[Property Name], INDIRECT("B"&amp;ROW()),
  unit_details[Floorplan Name], INDIRECT("C"&amp;ROW()),
  unit_details[Beds], INDIRECT("D"&amp;ROW()),
  unit_details[Detected Unit Amenities], "&lt;&gt;*"&amp;$AD$3&amp;"*",
  unit_details[Leased Date], "&gt;=" &amp; ($U$2 - $AF$3)
),0)</f>
        <v>0</v>
      </c>
      <c r="AG314" s="527" cm="1">
        <f t="array" aca="1" ref="AG3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4" s="526" cm="1">
        <f t="array" aca="1" ref="AH314" ca="1">IFERROR(COUNTIFS(
  unit_details[Property Name], INDIRECT("B"&amp;ROW()),
  unit_details[Floorplan Name], INDIRECT("C"&amp;ROW()),
  unit_details[Beds], INDIRECT("D"&amp;ROW()),
  unit_details[Detected Unit Amenities], "&lt;&gt;*"&amp;$AD$3&amp;"*",
  unit_details[Leased Date], "&gt;=" &amp; ($U$2 - $AF$3)
),0)</f>
        <v>0</v>
      </c>
      <c r="AI314" s="528"/>
      <c r="AJ314" s="531">
        <f t="shared" ca="1" si="13"/>
        <v>0</v>
      </c>
      <c r="AK314" s="532">
        <f t="shared" ca="1" si="14"/>
        <v>0</v>
      </c>
    </row>
    <row r="315" spans="2:37" x14ac:dyDescent="0.2">
      <c r="B315" s="566"/>
      <c r="C315" s="53"/>
      <c r="E315" s="262"/>
      <c r="F315" s="262"/>
      <c r="J315" s="293"/>
      <c r="K315" s="6"/>
      <c r="M315" s="538"/>
      <c r="N315" s="531" t="str" cm="1">
        <f t="array" aca="1" ref="N31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5" s="552" t="str" cm="1">
        <f t="array" aca="1" ref="O31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5" s="526" cm="1">
        <f t="array" aca="1" ref="P315" ca="1">COUNTIFS(unit_details[Leased Date], "&gt;=" &amp; ($U$2 - N$5),
          unit_details[Leased Date], "&lt;" &amp; $U$2,
          unit_details[Floorplan Name], INDIRECT("C"&amp;ROW()),
          unit_details[Property Name], INDIRECT("B"&amp;ROW()))</f>
        <v>0</v>
      </c>
      <c r="Q315" s="531" t="str" cm="1">
        <f t="array" aca="1" ref="Q31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5" s="552" t="str" cm="1">
        <f t="array" aca="1" ref="R31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5" s="526" cm="1">
        <f t="array" aca="1" ref="S315" ca="1">COUNTIFS(unit_details[Leased Date], "&gt;=" &amp; ($U$2 - Q$5),
          unit_details[Leased Date], "&lt;" &amp; $U$2,
          unit_details[Floorplan Name], INDIRECT("C"&amp;ROW()),
          unit_details[Property Name], INDIRECT("B"&amp;ROW()))</f>
        <v>0</v>
      </c>
      <c r="T315" s="531" t="str" cm="1">
        <f t="array" aca="1" ref="T31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5" s="552" t="str" cm="1">
        <f t="array" aca="1" ref="U31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5" s="526" cm="1">
        <f t="array" aca="1" ref="V315" ca="1">COUNTIFS(unit_details[Leased Date], "&gt;=" &amp; ($U$2 - T$5),
          unit_details[Leased Date], "&lt;" &amp; $U$2,
          unit_details[Floorplan Name], INDIRECT("C"&amp;ROW()),
          unit_details[Property Name], INDIRECT("B"&amp;ROW()))</f>
        <v>0</v>
      </c>
      <c r="W315" s="531" t="str" cm="1">
        <f t="array" aca="1" ref="W31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5" s="552" t="str" cm="1">
        <f t="array" aca="1" ref="X31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5" s="27" t="str">
        <f t="shared" ca="1" si="12"/>
        <v/>
      </c>
      <c r="Z315" s="4" t="str">
        <f>IFERROR($U$2-AVERAGEIFS(unit_details[First Listed],
          unit_details[Active Listing?],TRUE,
          unit_details[Property Name], $B315,
          unit_details[Beds], $D315,
          unit_details[Baths], $E315,
          unit_details[Partial Baths], IF(ISNUMBER($F315),$F315,""),
          unit_details[Floorplan Name],$C315
),"")</f>
        <v/>
      </c>
      <c r="AA315" s="262" cm="1">
        <f t="array" aca="1" ref="AA315" ca="1">COUNTIFS(unit_details[Active Listing?],TRUE,
          unit_details[Floorplan Name], INDIRECT("C"&amp;ROW()),
          unit_details[Property Name], INDIRECT("B"&amp;ROW()))</f>
        <v>0</v>
      </c>
      <c r="AB315" s="553"/>
      <c r="AC315" s="528" cm="1">
        <f t="array" aca="1" ref="AC315" ca="1">IFERROR(AVERAGEIFS(
  unit_details[Sqft],
  unit_details[Property Name], INDIRECT("B"&amp;ROW()),
  unit_details[Floorplan Name], INDIRECT("C"&amp;ROW()),
  unit_details[Beds], INDIRECT("D"&amp;ROW()),
  unit_details[Detected Unit Amenities], "*"&amp;$AD$3&amp;"*",
  unit_details[Leased Date], "&gt;=" &amp; ($U$2 - $AF$3)
),0)</f>
        <v>0</v>
      </c>
      <c r="AD315" s="527" cm="1">
        <f t="array" aca="1" ref="AD3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5" s="526" cm="1">
        <f t="array" aca="1" ref="AE315" ca="1">IFERROR(COUNTIFS(
  unit_details[Property Name], INDIRECT("B"&amp;ROW()),
  unit_details[Floorplan Name], INDIRECT("C"&amp;ROW()),
  unit_details[Beds], INDIRECT("D"&amp;ROW()),
  unit_details[Detected Unit Amenities], "*"&amp;$AD$3&amp;"*",
  unit_details[Leased Date], "&gt;=" &amp; ($U$2 - $AF$3)
),0)</f>
        <v>0</v>
      </c>
      <c r="AF315" s="528" cm="1">
        <f t="array" aca="1" ref="AF315" ca="1">IFERROR(AVERAGEIFS(
  unit_details[Sqft],
  unit_details[Property Name], INDIRECT("B"&amp;ROW()),
  unit_details[Floorplan Name], INDIRECT("C"&amp;ROW()),
  unit_details[Beds], INDIRECT("D"&amp;ROW()),
  unit_details[Detected Unit Amenities], "&lt;&gt;*"&amp;$AD$3&amp;"*",
  unit_details[Leased Date], "&gt;=" &amp; ($U$2 - $AF$3)
),0)</f>
        <v>0</v>
      </c>
      <c r="AG315" s="527" cm="1">
        <f t="array" aca="1" ref="AG3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5" s="526" cm="1">
        <f t="array" aca="1" ref="AH315" ca="1">IFERROR(COUNTIFS(
  unit_details[Property Name], INDIRECT("B"&amp;ROW()),
  unit_details[Floorplan Name], INDIRECT("C"&amp;ROW()),
  unit_details[Beds], INDIRECT("D"&amp;ROW()),
  unit_details[Detected Unit Amenities], "&lt;&gt;*"&amp;$AD$3&amp;"*",
  unit_details[Leased Date], "&gt;=" &amp; ($U$2 - $AF$3)
),0)</f>
        <v>0</v>
      </c>
      <c r="AI315" s="528"/>
      <c r="AJ315" s="531">
        <f t="shared" ca="1" si="13"/>
        <v>0</v>
      </c>
      <c r="AK315" s="532">
        <f t="shared" ca="1" si="14"/>
        <v>0</v>
      </c>
    </row>
    <row r="316" spans="2:37" x14ac:dyDescent="0.2">
      <c r="B316" s="566"/>
      <c r="C316" s="53"/>
      <c r="E316" s="262"/>
      <c r="F316" s="262"/>
      <c r="J316" s="293"/>
      <c r="K316" s="6"/>
      <c r="M316" s="538"/>
      <c r="N316" s="531" t="str" cm="1">
        <f t="array" aca="1" ref="N31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6" s="552" t="str" cm="1">
        <f t="array" aca="1" ref="O31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6" s="526" cm="1">
        <f t="array" aca="1" ref="P316" ca="1">COUNTIFS(unit_details[Leased Date], "&gt;=" &amp; ($U$2 - N$5),
          unit_details[Leased Date], "&lt;" &amp; $U$2,
          unit_details[Floorplan Name], INDIRECT("C"&amp;ROW()),
          unit_details[Property Name], INDIRECT("B"&amp;ROW()))</f>
        <v>0</v>
      </c>
      <c r="Q316" s="531" t="str" cm="1">
        <f t="array" aca="1" ref="Q31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6" s="552" t="str" cm="1">
        <f t="array" aca="1" ref="R31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6" s="526" cm="1">
        <f t="array" aca="1" ref="S316" ca="1">COUNTIFS(unit_details[Leased Date], "&gt;=" &amp; ($U$2 - Q$5),
          unit_details[Leased Date], "&lt;" &amp; $U$2,
          unit_details[Floorplan Name], INDIRECT("C"&amp;ROW()),
          unit_details[Property Name], INDIRECT("B"&amp;ROW()))</f>
        <v>0</v>
      </c>
      <c r="T316" s="531" t="str" cm="1">
        <f t="array" aca="1" ref="T31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6" s="552" t="str" cm="1">
        <f t="array" aca="1" ref="U31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6" s="526" cm="1">
        <f t="array" aca="1" ref="V316" ca="1">COUNTIFS(unit_details[Leased Date], "&gt;=" &amp; ($U$2 - T$5),
          unit_details[Leased Date], "&lt;" &amp; $U$2,
          unit_details[Floorplan Name], INDIRECT("C"&amp;ROW()),
          unit_details[Property Name], INDIRECT("B"&amp;ROW()))</f>
        <v>0</v>
      </c>
      <c r="W316" s="531" t="str" cm="1">
        <f t="array" aca="1" ref="W31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6" s="552" t="str" cm="1">
        <f t="array" aca="1" ref="X31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6" s="27" t="str">
        <f t="shared" ca="1" si="12"/>
        <v/>
      </c>
      <c r="Z316" s="4" t="str">
        <f>IFERROR($U$2-AVERAGEIFS(unit_details[First Listed],
          unit_details[Active Listing?],TRUE,
          unit_details[Property Name], $B316,
          unit_details[Beds], $D316,
          unit_details[Baths], $E316,
          unit_details[Partial Baths], IF(ISNUMBER($F316),$F316,""),
          unit_details[Floorplan Name],$C316
),"")</f>
        <v/>
      </c>
      <c r="AA316" s="262" cm="1">
        <f t="array" aca="1" ref="AA316" ca="1">COUNTIFS(unit_details[Active Listing?],TRUE,
          unit_details[Floorplan Name], INDIRECT("C"&amp;ROW()),
          unit_details[Property Name], INDIRECT("B"&amp;ROW()))</f>
        <v>0</v>
      </c>
      <c r="AB316" s="553"/>
      <c r="AC316" s="528" cm="1">
        <f t="array" aca="1" ref="AC316" ca="1">IFERROR(AVERAGEIFS(
  unit_details[Sqft],
  unit_details[Property Name], INDIRECT("B"&amp;ROW()),
  unit_details[Floorplan Name], INDIRECT("C"&amp;ROW()),
  unit_details[Beds], INDIRECT("D"&amp;ROW()),
  unit_details[Detected Unit Amenities], "*"&amp;$AD$3&amp;"*",
  unit_details[Leased Date], "&gt;=" &amp; ($U$2 - $AF$3)
),0)</f>
        <v>0</v>
      </c>
      <c r="AD316" s="527" cm="1">
        <f t="array" aca="1" ref="AD3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6" s="526" cm="1">
        <f t="array" aca="1" ref="AE316" ca="1">IFERROR(COUNTIFS(
  unit_details[Property Name], INDIRECT("B"&amp;ROW()),
  unit_details[Floorplan Name], INDIRECT("C"&amp;ROW()),
  unit_details[Beds], INDIRECT("D"&amp;ROW()),
  unit_details[Detected Unit Amenities], "*"&amp;$AD$3&amp;"*",
  unit_details[Leased Date], "&gt;=" &amp; ($U$2 - $AF$3)
),0)</f>
        <v>0</v>
      </c>
      <c r="AF316" s="528" cm="1">
        <f t="array" aca="1" ref="AF316" ca="1">IFERROR(AVERAGEIFS(
  unit_details[Sqft],
  unit_details[Property Name], INDIRECT("B"&amp;ROW()),
  unit_details[Floorplan Name], INDIRECT("C"&amp;ROW()),
  unit_details[Beds], INDIRECT("D"&amp;ROW()),
  unit_details[Detected Unit Amenities], "&lt;&gt;*"&amp;$AD$3&amp;"*",
  unit_details[Leased Date], "&gt;=" &amp; ($U$2 - $AF$3)
),0)</f>
        <v>0</v>
      </c>
      <c r="AG316" s="527" cm="1">
        <f t="array" aca="1" ref="AG3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6" s="526" cm="1">
        <f t="array" aca="1" ref="AH316" ca="1">IFERROR(COUNTIFS(
  unit_details[Property Name], INDIRECT("B"&amp;ROW()),
  unit_details[Floorplan Name], INDIRECT("C"&amp;ROW()),
  unit_details[Beds], INDIRECT("D"&amp;ROW()),
  unit_details[Detected Unit Amenities], "&lt;&gt;*"&amp;$AD$3&amp;"*",
  unit_details[Leased Date], "&gt;=" &amp; ($U$2 - $AF$3)
),0)</f>
        <v>0</v>
      </c>
      <c r="AI316" s="528"/>
      <c r="AJ316" s="531">
        <f t="shared" ca="1" si="13"/>
        <v>0</v>
      </c>
      <c r="AK316" s="532">
        <f t="shared" ca="1" si="14"/>
        <v>0</v>
      </c>
    </row>
    <row r="317" spans="2:37" x14ac:dyDescent="0.2">
      <c r="B317" s="566"/>
      <c r="C317" s="53"/>
      <c r="E317" s="262"/>
      <c r="F317" s="262"/>
      <c r="J317" s="293"/>
      <c r="K317" s="6"/>
      <c r="M317" s="538"/>
      <c r="N317" s="531" t="str" cm="1">
        <f t="array" aca="1" ref="N31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7" s="552" t="str" cm="1">
        <f t="array" aca="1" ref="O31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7" s="526" cm="1">
        <f t="array" aca="1" ref="P317" ca="1">COUNTIFS(unit_details[Leased Date], "&gt;=" &amp; ($U$2 - N$5),
          unit_details[Leased Date], "&lt;" &amp; $U$2,
          unit_details[Floorplan Name], INDIRECT("C"&amp;ROW()),
          unit_details[Property Name], INDIRECT("B"&amp;ROW()))</f>
        <v>0</v>
      </c>
      <c r="Q317" s="531" t="str" cm="1">
        <f t="array" aca="1" ref="Q31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7" s="552" t="str" cm="1">
        <f t="array" aca="1" ref="R31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7" s="526" cm="1">
        <f t="array" aca="1" ref="S317" ca="1">COUNTIFS(unit_details[Leased Date], "&gt;=" &amp; ($U$2 - Q$5),
          unit_details[Leased Date], "&lt;" &amp; $U$2,
          unit_details[Floorplan Name], INDIRECT("C"&amp;ROW()),
          unit_details[Property Name], INDIRECT("B"&amp;ROW()))</f>
        <v>0</v>
      </c>
      <c r="T317" s="531" t="str" cm="1">
        <f t="array" aca="1" ref="T31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7" s="552" t="str" cm="1">
        <f t="array" aca="1" ref="U31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7" s="526" cm="1">
        <f t="array" aca="1" ref="V317" ca="1">COUNTIFS(unit_details[Leased Date], "&gt;=" &amp; ($U$2 - T$5),
          unit_details[Leased Date], "&lt;" &amp; $U$2,
          unit_details[Floorplan Name], INDIRECT("C"&amp;ROW()),
          unit_details[Property Name], INDIRECT("B"&amp;ROW()))</f>
        <v>0</v>
      </c>
      <c r="W317" s="531" t="str" cm="1">
        <f t="array" aca="1" ref="W31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7" s="552" t="str" cm="1">
        <f t="array" aca="1" ref="X31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7" s="27" t="str">
        <f t="shared" ca="1" si="12"/>
        <v/>
      </c>
      <c r="Z317" s="4" t="str">
        <f>IFERROR($U$2-AVERAGEIFS(unit_details[First Listed],
          unit_details[Active Listing?],TRUE,
          unit_details[Property Name], $B317,
          unit_details[Beds], $D317,
          unit_details[Baths], $E317,
          unit_details[Partial Baths], IF(ISNUMBER($F317),$F317,""),
          unit_details[Floorplan Name],$C317
),"")</f>
        <v/>
      </c>
      <c r="AA317" s="262" cm="1">
        <f t="array" aca="1" ref="AA317" ca="1">COUNTIFS(unit_details[Active Listing?],TRUE,
          unit_details[Floorplan Name], INDIRECT("C"&amp;ROW()),
          unit_details[Property Name], INDIRECT("B"&amp;ROW()))</f>
        <v>0</v>
      </c>
      <c r="AB317" s="553"/>
      <c r="AC317" s="528" cm="1">
        <f t="array" aca="1" ref="AC317" ca="1">IFERROR(AVERAGEIFS(
  unit_details[Sqft],
  unit_details[Property Name], INDIRECT("B"&amp;ROW()),
  unit_details[Floorplan Name], INDIRECT("C"&amp;ROW()),
  unit_details[Beds], INDIRECT("D"&amp;ROW()),
  unit_details[Detected Unit Amenities], "*"&amp;$AD$3&amp;"*",
  unit_details[Leased Date], "&gt;=" &amp; ($U$2 - $AF$3)
),0)</f>
        <v>0</v>
      </c>
      <c r="AD317" s="527" cm="1">
        <f t="array" aca="1" ref="AD3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7" s="526" cm="1">
        <f t="array" aca="1" ref="AE317" ca="1">IFERROR(COUNTIFS(
  unit_details[Property Name], INDIRECT("B"&amp;ROW()),
  unit_details[Floorplan Name], INDIRECT("C"&amp;ROW()),
  unit_details[Beds], INDIRECT("D"&amp;ROW()),
  unit_details[Detected Unit Amenities], "*"&amp;$AD$3&amp;"*",
  unit_details[Leased Date], "&gt;=" &amp; ($U$2 - $AF$3)
),0)</f>
        <v>0</v>
      </c>
      <c r="AF317" s="528" cm="1">
        <f t="array" aca="1" ref="AF317" ca="1">IFERROR(AVERAGEIFS(
  unit_details[Sqft],
  unit_details[Property Name], INDIRECT("B"&amp;ROW()),
  unit_details[Floorplan Name], INDIRECT("C"&amp;ROW()),
  unit_details[Beds], INDIRECT("D"&amp;ROW()),
  unit_details[Detected Unit Amenities], "&lt;&gt;*"&amp;$AD$3&amp;"*",
  unit_details[Leased Date], "&gt;=" &amp; ($U$2 - $AF$3)
),0)</f>
        <v>0</v>
      </c>
      <c r="AG317" s="527" cm="1">
        <f t="array" aca="1" ref="AG3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7" s="526" cm="1">
        <f t="array" aca="1" ref="AH317" ca="1">IFERROR(COUNTIFS(
  unit_details[Property Name], INDIRECT("B"&amp;ROW()),
  unit_details[Floorplan Name], INDIRECT("C"&amp;ROW()),
  unit_details[Beds], INDIRECT("D"&amp;ROW()),
  unit_details[Detected Unit Amenities], "&lt;&gt;*"&amp;$AD$3&amp;"*",
  unit_details[Leased Date], "&gt;=" &amp; ($U$2 - $AF$3)
),0)</f>
        <v>0</v>
      </c>
      <c r="AI317" s="528"/>
      <c r="AJ317" s="531">
        <f t="shared" ca="1" si="13"/>
        <v>0</v>
      </c>
      <c r="AK317" s="532">
        <f t="shared" ca="1" si="14"/>
        <v>0</v>
      </c>
    </row>
    <row r="318" spans="2:37" x14ac:dyDescent="0.2">
      <c r="B318" s="566"/>
      <c r="C318" s="53"/>
      <c r="E318" s="262"/>
      <c r="F318" s="262"/>
      <c r="J318" s="293"/>
      <c r="K318" s="6"/>
      <c r="M318" s="538"/>
      <c r="N318" s="531" t="str" cm="1">
        <f t="array" aca="1" ref="N31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8" s="552" t="str" cm="1">
        <f t="array" aca="1" ref="O31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8" s="526" cm="1">
        <f t="array" aca="1" ref="P318" ca="1">COUNTIFS(unit_details[Leased Date], "&gt;=" &amp; ($U$2 - N$5),
          unit_details[Leased Date], "&lt;" &amp; $U$2,
          unit_details[Floorplan Name], INDIRECT("C"&amp;ROW()),
          unit_details[Property Name], INDIRECT("B"&amp;ROW()))</f>
        <v>0</v>
      </c>
      <c r="Q318" s="531" t="str" cm="1">
        <f t="array" aca="1" ref="Q31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8" s="552" t="str" cm="1">
        <f t="array" aca="1" ref="R31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8" s="526" cm="1">
        <f t="array" aca="1" ref="S318" ca="1">COUNTIFS(unit_details[Leased Date], "&gt;=" &amp; ($U$2 - Q$5),
          unit_details[Leased Date], "&lt;" &amp; $U$2,
          unit_details[Floorplan Name], INDIRECT("C"&amp;ROW()),
          unit_details[Property Name], INDIRECT("B"&amp;ROW()))</f>
        <v>0</v>
      </c>
      <c r="T318" s="531" t="str" cm="1">
        <f t="array" aca="1" ref="T31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8" s="552" t="str" cm="1">
        <f t="array" aca="1" ref="U31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8" s="526" cm="1">
        <f t="array" aca="1" ref="V318" ca="1">COUNTIFS(unit_details[Leased Date], "&gt;=" &amp; ($U$2 - T$5),
          unit_details[Leased Date], "&lt;" &amp; $U$2,
          unit_details[Floorplan Name], INDIRECT("C"&amp;ROW()),
          unit_details[Property Name], INDIRECT("B"&amp;ROW()))</f>
        <v>0</v>
      </c>
      <c r="W318" s="531" t="str" cm="1">
        <f t="array" aca="1" ref="W31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8" s="552" t="str" cm="1">
        <f t="array" aca="1" ref="X31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8" s="27" t="str">
        <f t="shared" ca="1" si="12"/>
        <v/>
      </c>
      <c r="Z318" s="4" t="str">
        <f>IFERROR($U$2-AVERAGEIFS(unit_details[First Listed],
          unit_details[Active Listing?],TRUE,
          unit_details[Property Name], $B318,
          unit_details[Beds], $D318,
          unit_details[Baths], $E318,
          unit_details[Partial Baths], IF(ISNUMBER($F318),$F318,""),
          unit_details[Floorplan Name],$C318
),"")</f>
        <v/>
      </c>
      <c r="AA318" s="262" cm="1">
        <f t="array" aca="1" ref="AA318" ca="1">COUNTIFS(unit_details[Active Listing?],TRUE,
          unit_details[Floorplan Name], INDIRECT("C"&amp;ROW()),
          unit_details[Property Name], INDIRECT("B"&amp;ROW()))</f>
        <v>0</v>
      </c>
      <c r="AB318" s="553"/>
      <c r="AC318" s="528" cm="1">
        <f t="array" aca="1" ref="AC318" ca="1">IFERROR(AVERAGEIFS(
  unit_details[Sqft],
  unit_details[Property Name], INDIRECT("B"&amp;ROW()),
  unit_details[Floorplan Name], INDIRECT("C"&amp;ROW()),
  unit_details[Beds], INDIRECT("D"&amp;ROW()),
  unit_details[Detected Unit Amenities], "*"&amp;$AD$3&amp;"*",
  unit_details[Leased Date], "&gt;=" &amp; ($U$2 - $AF$3)
),0)</f>
        <v>0</v>
      </c>
      <c r="AD318" s="527" cm="1">
        <f t="array" aca="1" ref="AD3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8" s="526" cm="1">
        <f t="array" aca="1" ref="AE318" ca="1">IFERROR(COUNTIFS(
  unit_details[Property Name], INDIRECT("B"&amp;ROW()),
  unit_details[Floorplan Name], INDIRECT("C"&amp;ROW()),
  unit_details[Beds], INDIRECT("D"&amp;ROW()),
  unit_details[Detected Unit Amenities], "*"&amp;$AD$3&amp;"*",
  unit_details[Leased Date], "&gt;=" &amp; ($U$2 - $AF$3)
),0)</f>
        <v>0</v>
      </c>
      <c r="AF318" s="528" cm="1">
        <f t="array" aca="1" ref="AF318" ca="1">IFERROR(AVERAGEIFS(
  unit_details[Sqft],
  unit_details[Property Name], INDIRECT("B"&amp;ROW()),
  unit_details[Floorplan Name], INDIRECT("C"&amp;ROW()),
  unit_details[Beds], INDIRECT("D"&amp;ROW()),
  unit_details[Detected Unit Amenities], "&lt;&gt;*"&amp;$AD$3&amp;"*",
  unit_details[Leased Date], "&gt;=" &amp; ($U$2 - $AF$3)
),0)</f>
        <v>0</v>
      </c>
      <c r="AG318" s="527" cm="1">
        <f t="array" aca="1" ref="AG3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8" s="526" cm="1">
        <f t="array" aca="1" ref="AH318" ca="1">IFERROR(COUNTIFS(
  unit_details[Property Name], INDIRECT("B"&amp;ROW()),
  unit_details[Floorplan Name], INDIRECT("C"&amp;ROW()),
  unit_details[Beds], INDIRECT("D"&amp;ROW()),
  unit_details[Detected Unit Amenities], "&lt;&gt;*"&amp;$AD$3&amp;"*",
  unit_details[Leased Date], "&gt;=" &amp; ($U$2 - $AF$3)
),0)</f>
        <v>0</v>
      </c>
      <c r="AI318" s="528"/>
      <c r="AJ318" s="531">
        <f t="shared" ca="1" si="13"/>
        <v>0</v>
      </c>
      <c r="AK318" s="532">
        <f t="shared" ca="1" si="14"/>
        <v>0</v>
      </c>
    </row>
    <row r="319" spans="2:37" x14ac:dyDescent="0.2">
      <c r="B319" s="566"/>
      <c r="C319" s="53"/>
      <c r="E319" s="262"/>
      <c r="F319" s="262"/>
      <c r="J319" s="293"/>
      <c r="K319" s="6"/>
      <c r="M319" s="538"/>
      <c r="N319" s="531" t="str" cm="1">
        <f t="array" aca="1" ref="N31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19" s="552" t="str" cm="1">
        <f t="array" aca="1" ref="O31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19" s="526" cm="1">
        <f t="array" aca="1" ref="P319" ca="1">COUNTIFS(unit_details[Leased Date], "&gt;=" &amp; ($U$2 - N$5),
          unit_details[Leased Date], "&lt;" &amp; $U$2,
          unit_details[Floorplan Name], INDIRECT("C"&amp;ROW()),
          unit_details[Property Name], INDIRECT("B"&amp;ROW()))</f>
        <v>0</v>
      </c>
      <c r="Q319" s="531" t="str" cm="1">
        <f t="array" aca="1" ref="Q31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19" s="552" t="str" cm="1">
        <f t="array" aca="1" ref="R31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19" s="526" cm="1">
        <f t="array" aca="1" ref="S319" ca="1">COUNTIFS(unit_details[Leased Date], "&gt;=" &amp; ($U$2 - Q$5),
          unit_details[Leased Date], "&lt;" &amp; $U$2,
          unit_details[Floorplan Name], INDIRECT("C"&amp;ROW()),
          unit_details[Property Name], INDIRECT("B"&amp;ROW()))</f>
        <v>0</v>
      </c>
      <c r="T319" s="531" t="str" cm="1">
        <f t="array" aca="1" ref="T31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19" s="552" t="str" cm="1">
        <f t="array" aca="1" ref="U31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19" s="526" cm="1">
        <f t="array" aca="1" ref="V319" ca="1">COUNTIFS(unit_details[Leased Date], "&gt;=" &amp; ($U$2 - T$5),
          unit_details[Leased Date], "&lt;" &amp; $U$2,
          unit_details[Floorplan Name], INDIRECT("C"&amp;ROW()),
          unit_details[Property Name], INDIRECT("B"&amp;ROW()))</f>
        <v>0</v>
      </c>
      <c r="W319" s="531" t="str" cm="1">
        <f t="array" aca="1" ref="W31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19" s="552" t="str" cm="1">
        <f t="array" aca="1" ref="X31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19" s="27" t="str">
        <f t="shared" ca="1" si="12"/>
        <v/>
      </c>
      <c r="Z319" s="4" t="str">
        <f>IFERROR($U$2-AVERAGEIFS(unit_details[First Listed],
          unit_details[Active Listing?],TRUE,
          unit_details[Property Name], $B319,
          unit_details[Beds], $D319,
          unit_details[Baths], $E319,
          unit_details[Partial Baths], IF(ISNUMBER($F319),$F319,""),
          unit_details[Floorplan Name],$C319
),"")</f>
        <v/>
      </c>
      <c r="AA319" s="262" cm="1">
        <f t="array" aca="1" ref="AA319" ca="1">COUNTIFS(unit_details[Active Listing?],TRUE,
          unit_details[Floorplan Name], INDIRECT("C"&amp;ROW()),
          unit_details[Property Name], INDIRECT("B"&amp;ROW()))</f>
        <v>0</v>
      </c>
      <c r="AB319" s="553"/>
      <c r="AC319" s="528" cm="1">
        <f t="array" aca="1" ref="AC319" ca="1">IFERROR(AVERAGEIFS(
  unit_details[Sqft],
  unit_details[Property Name], INDIRECT("B"&amp;ROW()),
  unit_details[Floorplan Name], INDIRECT("C"&amp;ROW()),
  unit_details[Beds], INDIRECT("D"&amp;ROW()),
  unit_details[Detected Unit Amenities], "*"&amp;$AD$3&amp;"*",
  unit_details[Leased Date], "&gt;=" &amp; ($U$2 - $AF$3)
),0)</f>
        <v>0</v>
      </c>
      <c r="AD319" s="527" cm="1">
        <f t="array" aca="1" ref="AD3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19" s="526" cm="1">
        <f t="array" aca="1" ref="AE319" ca="1">IFERROR(COUNTIFS(
  unit_details[Property Name], INDIRECT("B"&amp;ROW()),
  unit_details[Floorplan Name], INDIRECT("C"&amp;ROW()),
  unit_details[Beds], INDIRECT("D"&amp;ROW()),
  unit_details[Detected Unit Amenities], "*"&amp;$AD$3&amp;"*",
  unit_details[Leased Date], "&gt;=" &amp; ($U$2 - $AF$3)
),0)</f>
        <v>0</v>
      </c>
      <c r="AF319" s="528" cm="1">
        <f t="array" aca="1" ref="AF319" ca="1">IFERROR(AVERAGEIFS(
  unit_details[Sqft],
  unit_details[Property Name], INDIRECT("B"&amp;ROW()),
  unit_details[Floorplan Name], INDIRECT("C"&amp;ROW()),
  unit_details[Beds], INDIRECT("D"&amp;ROW()),
  unit_details[Detected Unit Amenities], "&lt;&gt;*"&amp;$AD$3&amp;"*",
  unit_details[Leased Date], "&gt;=" &amp; ($U$2 - $AF$3)
),0)</f>
        <v>0</v>
      </c>
      <c r="AG319" s="527" cm="1">
        <f t="array" aca="1" ref="AG3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19" s="526" cm="1">
        <f t="array" aca="1" ref="AH319" ca="1">IFERROR(COUNTIFS(
  unit_details[Property Name], INDIRECT("B"&amp;ROW()),
  unit_details[Floorplan Name], INDIRECT("C"&amp;ROW()),
  unit_details[Beds], INDIRECT("D"&amp;ROW()),
  unit_details[Detected Unit Amenities], "&lt;&gt;*"&amp;$AD$3&amp;"*",
  unit_details[Leased Date], "&gt;=" &amp; ($U$2 - $AF$3)
),0)</f>
        <v>0</v>
      </c>
      <c r="AI319" s="528"/>
      <c r="AJ319" s="531">
        <f t="shared" ca="1" si="13"/>
        <v>0</v>
      </c>
      <c r="AK319" s="532">
        <f t="shared" ca="1" si="14"/>
        <v>0</v>
      </c>
    </row>
    <row r="320" spans="2:37" x14ac:dyDescent="0.2">
      <c r="B320" s="566"/>
      <c r="C320" s="53"/>
      <c r="E320" s="262"/>
      <c r="F320" s="262"/>
      <c r="J320" s="293"/>
      <c r="K320" s="6"/>
      <c r="M320" s="538"/>
      <c r="N320" s="531" t="str" cm="1">
        <f t="array" aca="1" ref="N32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0" s="552" t="str" cm="1">
        <f t="array" aca="1" ref="O32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0" s="526" cm="1">
        <f t="array" aca="1" ref="P320" ca="1">COUNTIFS(unit_details[Leased Date], "&gt;=" &amp; ($U$2 - N$5),
          unit_details[Leased Date], "&lt;" &amp; $U$2,
          unit_details[Floorplan Name], INDIRECT("C"&amp;ROW()),
          unit_details[Property Name], INDIRECT("B"&amp;ROW()))</f>
        <v>0</v>
      </c>
      <c r="Q320" s="531" t="str" cm="1">
        <f t="array" aca="1" ref="Q32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0" s="552" t="str" cm="1">
        <f t="array" aca="1" ref="R32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0" s="526" cm="1">
        <f t="array" aca="1" ref="S320" ca="1">COUNTIFS(unit_details[Leased Date], "&gt;=" &amp; ($U$2 - Q$5),
          unit_details[Leased Date], "&lt;" &amp; $U$2,
          unit_details[Floorplan Name], INDIRECT("C"&amp;ROW()),
          unit_details[Property Name], INDIRECT("B"&amp;ROW()))</f>
        <v>0</v>
      </c>
      <c r="T320" s="531" t="str" cm="1">
        <f t="array" aca="1" ref="T32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0" s="552" t="str" cm="1">
        <f t="array" aca="1" ref="U32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0" s="526" cm="1">
        <f t="array" aca="1" ref="V320" ca="1">COUNTIFS(unit_details[Leased Date], "&gt;=" &amp; ($U$2 - T$5),
          unit_details[Leased Date], "&lt;" &amp; $U$2,
          unit_details[Floorplan Name], INDIRECT("C"&amp;ROW()),
          unit_details[Property Name], INDIRECT("B"&amp;ROW()))</f>
        <v>0</v>
      </c>
      <c r="W320" s="531" t="str" cm="1">
        <f t="array" aca="1" ref="W32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0" s="552" t="str" cm="1">
        <f t="array" aca="1" ref="X32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0" s="27" t="str">
        <f t="shared" ca="1" si="12"/>
        <v/>
      </c>
      <c r="Z320" s="4" t="str">
        <f>IFERROR($U$2-AVERAGEIFS(unit_details[First Listed],
          unit_details[Active Listing?],TRUE,
          unit_details[Property Name], $B320,
          unit_details[Beds], $D320,
          unit_details[Baths], $E320,
          unit_details[Partial Baths], IF(ISNUMBER($F320),$F320,""),
          unit_details[Floorplan Name],$C320
),"")</f>
        <v/>
      </c>
      <c r="AA320" s="262" cm="1">
        <f t="array" aca="1" ref="AA320" ca="1">COUNTIFS(unit_details[Active Listing?],TRUE,
          unit_details[Floorplan Name], INDIRECT("C"&amp;ROW()),
          unit_details[Property Name], INDIRECT("B"&amp;ROW()))</f>
        <v>0</v>
      </c>
      <c r="AB320" s="553"/>
      <c r="AC320" s="528" cm="1">
        <f t="array" aca="1" ref="AC320" ca="1">IFERROR(AVERAGEIFS(
  unit_details[Sqft],
  unit_details[Property Name], INDIRECT("B"&amp;ROW()),
  unit_details[Floorplan Name], INDIRECT("C"&amp;ROW()),
  unit_details[Beds], INDIRECT("D"&amp;ROW()),
  unit_details[Detected Unit Amenities], "*"&amp;$AD$3&amp;"*",
  unit_details[Leased Date], "&gt;=" &amp; ($U$2 - $AF$3)
),0)</f>
        <v>0</v>
      </c>
      <c r="AD320" s="527" cm="1">
        <f t="array" aca="1" ref="AD3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0" s="526" cm="1">
        <f t="array" aca="1" ref="AE320" ca="1">IFERROR(COUNTIFS(
  unit_details[Property Name], INDIRECT("B"&amp;ROW()),
  unit_details[Floorplan Name], INDIRECT("C"&amp;ROW()),
  unit_details[Beds], INDIRECT("D"&amp;ROW()),
  unit_details[Detected Unit Amenities], "*"&amp;$AD$3&amp;"*",
  unit_details[Leased Date], "&gt;=" &amp; ($U$2 - $AF$3)
),0)</f>
        <v>0</v>
      </c>
      <c r="AF320" s="528" cm="1">
        <f t="array" aca="1" ref="AF320" ca="1">IFERROR(AVERAGEIFS(
  unit_details[Sqft],
  unit_details[Property Name], INDIRECT("B"&amp;ROW()),
  unit_details[Floorplan Name], INDIRECT("C"&amp;ROW()),
  unit_details[Beds], INDIRECT("D"&amp;ROW()),
  unit_details[Detected Unit Amenities], "&lt;&gt;*"&amp;$AD$3&amp;"*",
  unit_details[Leased Date], "&gt;=" &amp; ($U$2 - $AF$3)
),0)</f>
        <v>0</v>
      </c>
      <c r="AG320" s="527" cm="1">
        <f t="array" aca="1" ref="AG3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0" s="526" cm="1">
        <f t="array" aca="1" ref="AH320" ca="1">IFERROR(COUNTIFS(
  unit_details[Property Name], INDIRECT("B"&amp;ROW()),
  unit_details[Floorplan Name], INDIRECT("C"&amp;ROW()),
  unit_details[Beds], INDIRECT("D"&amp;ROW()),
  unit_details[Detected Unit Amenities], "&lt;&gt;*"&amp;$AD$3&amp;"*",
  unit_details[Leased Date], "&gt;=" &amp; ($U$2 - $AF$3)
),0)</f>
        <v>0</v>
      </c>
      <c r="AI320" s="528"/>
      <c r="AJ320" s="531">
        <f t="shared" ca="1" si="13"/>
        <v>0</v>
      </c>
      <c r="AK320" s="532">
        <f t="shared" ca="1" si="14"/>
        <v>0</v>
      </c>
    </row>
    <row r="321" spans="2:37" x14ac:dyDescent="0.2">
      <c r="B321" s="566"/>
      <c r="C321" s="53"/>
      <c r="E321" s="262"/>
      <c r="F321" s="262"/>
      <c r="J321" s="293"/>
      <c r="K321" s="6"/>
      <c r="M321" s="538"/>
      <c r="N321" s="531" t="str" cm="1">
        <f t="array" aca="1" ref="N32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1" s="552" t="str" cm="1">
        <f t="array" aca="1" ref="O32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1" s="526" cm="1">
        <f t="array" aca="1" ref="P321" ca="1">COUNTIFS(unit_details[Leased Date], "&gt;=" &amp; ($U$2 - N$5),
          unit_details[Leased Date], "&lt;" &amp; $U$2,
          unit_details[Floorplan Name], INDIRECT("C"&amp;ROW()),
          unit_details[Property Name], INDIRECT("B"&amp;ROW()))</f>
        <v>0</v>
      </c>
      <c r="Q321" s="531" t="str" cm="1">
        <f t="array" aca="1" ref="Q32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1" s="552" t="str" cm="1">
        <f t="array" aca="1" ref="R32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1" s="526" cm="1">
        <f t="array" aca="1" ref="S321" ca="1">COUNTIFS(unit_details[Leased Date], "&gt;=" &amp; ($U$2 - Q$5),
          unit_details[Leased Date], "&lt;" &amp; $U$2,
          unit_details[Floorplan Name], INDIRECT("C"&amp;ROW()),
          unit_details[Property Name], INDIRECT("B"&amp;ROW()))</f>
        <v>0</v>
      </c>
      <c r="T321" s="531" t="str" cm="1">
        <f t="array" aca="1" ref="T32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1" s="552" t="str" cm="1">
        <f t="array" aca="1" ref="U32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1" s="526" cm="1">
        <f t="array" aca="1" ref="V321" ca="1">COUNTIFS(unit_details[Leased Date], "&gt;=" &amp; ($U$2 - T$5),
          unit_details[Leased Date], "&lt;" &amp; $U$2,
          unit_details[Floorplan Name], INDIRECT("C"&amp;ROW()),
          unit_details[Property Name], INDIRECT("B"&amp;ROW()))</f>
        <v>0</v>
      </c>
      <c r="W321" s="531" t="str" cm="1">
        <f t="array" aca="1" ref="W32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1" s="552" t="str" cm="1">
        <f t="array" aca="1" ref="X32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1" s="27" t="str">
        <f t="shared" ca="1" si="12"/>
        <v/>
      </c>
      <c r="Z321" s="4" t="str">
        <f>IFERROR($U$2-AVERAGEIFS(unit_details[First Listed],
          unit_details[Active Listing?],TRUE,
          unit_details[Property Name], $B321,
          unit_details[Beds], $D321,
          unit_details[Baths], $E321,
          unit_details[Partial Baths], IF(ISNUMBER($F321),$F321,""),
          unit_details[Floorplan Name],$C321
),"")</f>
        <v/>
      </c>
      <c r="AA321" s="262" cm="1">
        <f t="array" aca="1" ref="AA321" ca="1">COUNTIFS(unit_details[Active Listing?],TRUE,
          unit_details[Floorplan Name], INDIRECT("C"&amp;ROW()),
          unit_details[Property Name], INDIRECT("B"&amp;ROW()))</f>
        <v>0</v>
      </c>
      <c r="AB321" s="553"/>
      <c r="AC321" s="528" cm="1">
        <f t="array" aca="1" ref="AC321" ca="1">IFERROR(AVERAGEIFS(
  unit_details[Sqft],
  unit_details[Property Name], INDIRECT("B"&amp;ROW()),
  unit_details[Floorplan Name], INDIRECT("C"&amp;ROW()),
  unit_details[Beds], INDIRECT("D"&amp;ROW()),
  unit_details[Detected Unit Amenities], "*"&amp;$AD$3&amp;"*",
  unit_details[Leased Date], "&gt;=" &amp; ($U$2 - $AF$3)
),0)</f>
        <v>0</v>
      </c>
      <c r="AD321" s="527" cm="1">
        <f t="array" aca="1" ref="AD3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1" s="526" cm="1">
        <f t="array" aca="1" ref="AE321" ca="1">IFERROR(COUNTIFS(
  unit_details[Property Name], INDIRECT("B"&amp;ROW()),
  unit_details[Floorplan Name], INDIRECT("C"&amp;ROW()),
  unit_details[Beds], INDIRECT("D"&amp;ROW()),
  unit_details[Detected Unit Amenities], "*"&amp;$AD$3&amp;"*",
  unit_details[Leased Date], "&gt;=" &amp; ($U$2 - $AF$3)
),0)</f>
        <v>0</v>
      </c>
      <c r="AF321" s="528" cm="1">
        <f t="array" aca="1" ref="AF321" ca="1">IFERROR(AVERAGEIFS(
  unit_details[Sqft],
  unit_details[Property Name], INDIRECT("B"&amp;ROW()),
  unit_details[Floorplan Name], INDIRECT("C"&amp;ROW()),
  unit_details[Beds], INDIRECT("D"&amp;ROW()),
  unit_details[Detected Unit Amenities], "&lt;&gt;*"&amp;$AD$3&amp;"*",
  unit_details[Leased Date], "&gt;=" &amp; ($U$2 - $AF$3)
),0)</f>
        <v>0</v>
      </c>
      <c r="AG321" s="527" cm="1">
        <f t="array" aca="1" ref="AG3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1" s="526" cm="1">
        <f t="array" aca="1" ref="AH321" ca="1">IFERROR(COUNTIFS(
  unit_details[Property Name], INDIRECT("B"&amp;ROW()),
  unit_details[Floorplan Name], INDIRECT("C"&amp;ROW()),
  unit_details[Beds], INDIRECT("D"&amp;ROW()),
  unit_details[Detected Unit Amenities], "&lt;&gt;*"&amp;$AD$3&amp;"*",
  unit_details[Leased Date], "&gt;=" &amp; ($U$2 - $AF$3)
),0)</f>
        <v>0</v>
      </c>
      <c r="AI321" s="528"/>
      <c r="AJ321" s="531">
        <f t="shared" ca="1" si="13"/>
        <v>0</v>
      </c>
      <c r="AK321" s="532">
        <f t="shared" ca="1" si="14"/>
        <v>0</v>
      </c>
    </row>
    <row r="322" spans="2:37" x14ac:dyDescent="0.2">
      <c r="B322" s="566"/>
      <c r="C322" s="53"/>
      <c r="E322" s="262"/>
      <c r="F322" s="262"/>
      <c r="J322" s="293"/>
      <c r="K322" s="6"/>
      <c r="M322" s="538"/>
      <c r="N322" s="531" t="str" cm="1">
        <f t="array" aca="1" ref="N32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2" s="552" t="str" cm="1">
        <f t="array" aca="1" ref="O32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2" s="526" cm="1">
        <f t="array" aca="1" ref="P322" ca="1">COUNTIFS(unit_details[Leased Date], "&gt;=" &amp; ($U$2 - N$5),
          unit_details[Leased Date], "&lt;" &amp; $U$2,
          unit_details[Floorplan Name], INDIRECT("C"&amp;ROW()),
          unit_details[Property Name], INDIRECT("B"&amp;ROW()))</f>
        <v>0</v>
      </c>
      <c r="Q322" s="531" t="str" cm="1">
        <f t="array" aca="1" ref="Q32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2" s="552" t="str" cm="1">
        <f t="array" aca="1" ref="R32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2" s="526" cm="1">
        <f t="array" aca="1" ref="S322" ca="1">COUNTIFS(unit_details[Leased Date], "&gt;=" &amp; ($U$2 - Q$5),
          unit_details[Leased Date], "&lt;" &amp; $U$2,
          unit_details[Floorplan Name], INDIRECT("C"&amp;ROW()),
          unit_details[Property Name], INDIRECT("B"&amp;ROW()))</f>
        <v>0</v>
      </c>
      <c r="T322" s="531" t="str" cm="1">
        <f t="array" aca="1" ref="T32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2" s="552" t="str" cm="1">
        <f t="array" aca="1" ref="U32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2" s="526" cm="1">
        <f t="array" aca="1" ref="V322" ca="1">COUNTIFS(unit_details[Leased Date], "&gt;=" &amp; ($U$2 - T$5),
          unit_details[Leased Date], "&lt;" &amp; $U$2,
          unit_details[Floorplan Name], INDIRECT("C"&amp;ROW()),
          unit_details[Property Name], INDIRECT("B"&amp;ROW()))</f>
        <v>0</v>
      </c>
      <c r="W322" s="531" t="str" cm="1">
        <f t="array" aca="1" ref="W32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2" s="552" t="str" cm="1">
        <f t="array" aca="1" ref="X32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2" s="27" t="str">
        <f t="shared" ca="1" si="12"/>
        <v/>
      </c>
      <c r="Z322" s="4" t="str">
        <f>IFERROR($U$2-AVERAGEIFS(unit_details[First Listed],
          unit_details[Active Listing?],TRUE,
          unit_details[Property Name], $B322,
          unit_details[Beds], $D322,
          unit_details[Baths], $E322,
          unit_details[Partial Baths], IF(ISNUMBER($F322),$F322,""),
          unit_details[Floorplan Name],$C322
),"")</f>
        <v/>
      </c>
      <c r="AA322" s="262" cm="1">
        <f t="array" aca="1" ref="AA322" ca="1">COUNTIFS(unit_details[Active Listing?],TRUE,
          unit_details[Floorplan Name], INDIRECT("C"&amp;ROW()),
          unit_details[Property Name], INDIRECT("B"&amp;ROW()))</f>
        <v>0</v>
      </c>
      <c r="AB322" s="553"/>
      <c r="AC322" s="528" cm="1">
        <f t="array" aca="1" ref="AC322" ca="1">IFERROR(AVERAGEIFS(
  unit_details[Sqft],
  unit_details[Property Name], INDIRECT("B"&amp;ROW()),
  unit_details[Floorplan Name], INDIRECT("C"&amp;ROW()),
  unit_details[Beds], INDIRECT("D"&amp;ROW()),
  unit_details[Detected Unit Amenities], "*"&amp;$AD$3&amp;"*",
  unit_details[Leased Date], "&gt;=" &amp; ($U$2 - $AF$3)
),0)</f>
        <v>0</v>
      </c>
      <c r="AD322" s="527" cm="1">
        <f t="array" aca="1" ref="AD3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2" s="526" cm="1">
        <f t="array" aca="1" ref="AE322" ca="1">IFERROR(COUNTIFS(
  unit_details[Property Name], INDIRECT("B"&amp;ROW()),
  unit_details[Floorplan Name], INDIRECT("C"&amp;ROW()),
  unit_details[Beds], INDIRECT("D"&amp;ROW()),
  unit_details[Detected Unit Amenities], "*"&amp;$AD$3&amp;"*",
  unit_details[Leased Date], "&gt;=" &amp; ($U$2 - $AF$3)
),0)</f>
        <v>0</v>
      </c>
      <c r="AF322" s="528" cm="1">
        <f t="array" aca="1" ref="AF322" ca="1">IFERROR(AVERAGEIFS(
  unit_details[Sqft],
  unit_details[Property Name], INDIRECT("B"&amp;ROW()),
  unit_details[Floorplan Name], INDIRECT("C"&amp;ROW()),
  unit_details[Beds], INDIRECT("D"&amp;ROW()),
  unit_details[Detected Unit Amenities], "&lt;&gt;*"&amp;$AD$3&amp;"*",
  unit_details[Leased Date], "&gt;=" &amp; ($U$2 - $AF$3)
),0)</f>
        <v>0</v>
      </c>
      <c r="AG322" s="527" cm="1">
        <f t="array" aca="1" ref="AG3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2" s="526" cm="1">
        <f t="array" aca="1" ref="AH322" ca="1">IFERROR(COUNTIFS(
  unit_details[Property Name], INDIRECT("B"&amp;ROW()),
  unit_details[Floorplan Name], INDIRECT("C"&amp;ROW()),
  unit_details[Beds], INDIRECT("D"&amp;ROW()),
  unit_details[Detected Unit Amenities], "&lt;&gt;*"&amp;$AD$3&amp;"*",
  unit_details[Leased Date], "&gt;=" &amp; ($U$2 - $AF$3)
),0)</f>
        <v>0</v>
      </c>
      <c r="AI322" s="528"/>
      <c r="AJ322" s="531">
        <f t="shared" ca="1" si="13"/>
        <v>0</v>
      </c>
      <c r="AK322" s="532">
        <f t="shared" ca="1" si="14"/>
        <v>0</v>
      </c>
    </row>
    <row r="323" spans="2:37" x14ac:dyDescent="0.2">
      <c r="B323" s="566"/>
      <c r="C323" s="53"/>
      <c r="E323" s="262"/>
      <c r="F323" s="262"/>
      <c r="J323" s="293"/>
      <c r="K323" s="6"/>
      <c r="M323" s="538"/>
      <c r="N323" s="531" t="str" cm="1">
        <f t="array" aca="1" ref="N32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3" s="552" t="str" cm="1">
        <f t="array" aca="1" ref="O32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3" s="526" cm="1">
        <f t="array" aca="1" ref="P323" ca="1">COUNTIFS(unit_details[Leased Date], "&gt;=" &amp; ($U$2 - N$5),
          unit_details[Leased Date], "&lt;" &amp; $U$2,
          unit_details[Floorplan Name], INDIRECT("C"&amp;ROW()),
          unit_details[Property Name], INDIRECT("B"&amp;ROW()))</f>
        <v>0</v>
      </c>
      <c r="Q323" s="531" t="str" cm="1">
        <f t="array" aca="1" ref="Q32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3" s="552" t="str" cm="1">
        <f t="array" aca="1" ref="R32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3" s="526" cm="1">
        <f t="array" aca="1" ref="S323" ca="1">COUNTIFS(unit_details[Leased Date], "&gt;=" &amp; ($U$2 - Q$5),
          unit_details[Leased Date], "&lt;" &amp; $U$2,
          unit_details[Floorplan Name], INDIRECT("C"&amp;ROW()),
          unit_details[Property Name], INDIRECT("B"&amp;ROW()))</f>
        <v>0</v>
      </c>
      <c r="T323" s="531" t="str" cm="1">
        <f t="array" aca="1" ref="T32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3" s="552" t="str" cm="1">
        <f t="array" aca="1" ref="U32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3" s="526" cm="1">
        <f t="array" aca="1" ref="V323" ca="1">COUNTIFS(unit_details[Leased Date], "&gt;=" &amp; ($U$2 - T$5),
          unit_details[Leased Date], "&lt;" &amp; $U$2,
          unit_details[Floorplan Name], INDIRECT("C"&amp;ROW()),
          unit_details[Property Name], INDIRECT("B"&amp;ROW()))</f>
        <v>0</v>
      </c>
      <c r="W323" s="531" t="str" cm="1">
        <f t="array" aca="1" ref="W32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3" s="552" t="str" cm="1">
        <f t="array" aca="1" ref="X32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3" s="27" t="str">
        <f t="shared" ca="1" si="12"/>
        <v/>
      </c>
      <c r="Z323" s="4" t="str">
        <f>IFERROR($U$2-AVERAGEIFS(unit_details[First Listed],
          unit_details[Active Listing?],TRUE,
          unit_details[Property Name], $B323,
          unit_details[Beds], $D323,
          unit_details[Baths], $E323,
          unit_details[Partial Baths], IF(ISNUMBER($F323),$F323,""),
          unit_details[Floorplan Name],$C323
),"")</f>
        <v/>
      </c>
      <c r="AA323" s="262" cm="1">
        <f t="array" aca="1" ref="AA323" ca="1">COUNTIFS(unit_details[Active Listing?],TRUE,
          unit_details[Floorplan Name], INDIRECT("C"&amp;ROW()),
          unit_details[Property Name], INDIRECT("B"&amp;ROW()))</f>
        <v>0</v>
      </c>
      <c r="AB323" s="553"/>
      <c r="AC323" s="528" cm="1">
        <f t="array" aca="1" ref="AC323" ca="1">IFERROR(AVERAGEIFS(
  unit_details[Sqft],
  unit_details[Property Name], INDIRECT("B"&amp;ROW()),
  unit_details[Floorplan Name], INDIRECT("C"&amp;ROW()),
  unit_details[Beds], INDIRECT("D"&amp;ROW()),
  unit_details[Detected Unit Amenities], "*"&amp;$AD$3&amp;"*",
  unit_details[Leased Date], "&gt;=" &amp; ($U$2 - $AF$3)
),0)</f>
        <v>0</v>
      </c>
      <c r="AD323" s="527" cm="1">
        <f t="array" aca="1" ref="AD3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3" s="526" cm="1">
        <f t="array" aca="1" ref="AE323" ca="1">IFERROR(COUNTIFS(
  unit_details[Property Name], INDIRECT("B"&amp;ROW()),
  unit_details[Floorplan Name], INDIRECT("C"&amp;ROW()),
  unit_details[Beds], INDIRECT("D"&amp;ROW()),
  unit_details[Detected Unit Amenities], "*"&amp;$AD$3&amp;"*",
  unit_details[Leased Date], "&gt;=" &amp; ($U$2 - $AF$3)
),0)</f>
        <v>0</v>
      </c>
      <c r="AF323" s="528" cm="1">
        <f t="array" aca="1" ref="AF323" ca="1">IFERROR(AVERAGEIFS(
  unit_details[Sqft],
  unit_details[Property Name], INDIRECT("B"&amp;ROW()),
  unit_details[Floorplan Name], INDIRECT("C"&amp;ROW()),
  unit_details[Beds], INDIRECT("D"&amp;ROW()),
  unit_details[Detected Unit Amenities], "&lt;&gt;*"&amp;$AD$3&amp;"*",
  unit_details[Leased Date], "&gt;=" &amp; ($U$2 - $AF$3)
),0)</f>
        <v>0</v>
      </c>
      <c r="AG323" s="527" cm="1">
        <f t="array" aca="1" ref="AG3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3" s="526" cm="1">
        <f t="array" aca="1" ref="AH323" ca="1">IFERROR(COUNTIFS(
  unit_details[Property Name], INDIRECT("B"&amp;ROW()),
  unit_details[Floorplan Name], INDIRECT("C"&amp;ROW()),
  unit_details[Beds], INDIRECT("D"&amp;ROW()),
  unit_details[Detected Unit Amenities], "&lt;&gt;*"&amp;$AD$3&amp;"*",
  unit_details[Leased Date], "&gt;=" &amp; ($U$2 - $AF$3)
),0)</f>
        <v>0</v>
      </c>
      <c r="AI323" s="528"/>
      <c r="AJ323" s="531">
        <f t="shared" ca="1" si="13"/>
        <v>0</v>
      </c>
      <c r="AK323" s="532">
        <f t="shared" ca="1" si="14"/>
        <v>0</v>
      </c>
    </row>
    <row r="324" spans="2:37" x14ac:dyDescent="0.2">
      <c r="B324" s="566"/>
      <c r="C324" s="53"/>
      <c r="E324" s="262"/>
      <c r="F324" s="262"/>
      <c r="J324" s="293"/>
      <c r="K324" s="6"/>
      <c r="M324" s="538"/>
      <c r="N324" s="531" t="str" cm="1">
        <f t="array" aca="1" ref="N32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4" s="552" t="str" cm="1">
        <f t="array" aca="1" ref="O32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4" s="526" cm="1">
        <f t="array" aca="1" ref="P324" ca="1">COUNTIFS(unit_details[Leased Date], "&gt;=" &amp; ($U$2 - N$5),
          unit_details[Leased Date], "&lt;" &amp; $U$2,
          unit_details[Floorplan Name], INDIRECT("C"&amp;ROW()),
          unit_details[Property Name], INDIRECT("B"&amp;ROW()))</f>
        <v>0</v>
      </c>
      <c r="Q324" s="531" t="str" cm="1">
        <f t="array" aca="1" ref="Q32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4" s="552" t="str" cm="1">
        <f t="array" aca="1" ref="R32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4" s="526" cm="1">
        <f t="array" aca="1" ref="S324" ca="1">COUNTIFS(unit_details[Leased Date], "&gt;=" &amp; ($U$2 - Q$5),
          unit_details[Leased Date], "&lt;" &amp; $U$2,
          unit_details[Floorplan Name], INDIRECT("C"&amp;ROW()),
          unit_details[Property Name], INDIRECT("B"&amp;ROW()))</f>
        <v>0</v>
      </c>
      <c r="T324" s="531" t="str" cm="1">
        <f t="array" aca="1" ref="T32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4" s="552" t="str" cm="1">
        <f t="array" aca="1" ref="U32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4" s="526" cm="1">
        <f t="array" aca="1" ref="V324" ca="1">COUNTIFS(unit_details[Leased Date], "&gt;=" &amp; ($U$2 - T$5),
          unit_details[Leased Date], "&lt;" &amp; $U$2,
          unit_details[Floorplan Name], INDIRECT("C"&amp;ROW()),
          unit_details[Property Name], INDIRECT("B"&amp;ROW()))</f>
        <v>0</v>
      </c>
      <c r="W324" s="531" t="str" cm="1">
        <f t="array" aca="1" ref="W32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4" s="552" t="str" cm="1">
        <f t="array" aca="1" ref="X32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4" s="27" t="str">
        <f t="shared" ca="1" si="12"/>
        <v/>
      </c>
      <c r="Z324" s="4" t="str">
        <f>IFERROR($U$2-AVERAGEIFS(unit_details[First Listed],
          unit_details[Active Listing?],TRUE,
          unit_details[Property Name], $B324,
          unit_details[Beds], $D324,
          unit_details[Baths], $E324,
          unit_details[Partial Baths], IF(ISNUMBER($F324),$F324,""),
          unit_details[Floorplan Name],$C324
),"")</f>
        <v/>
      </c>
      <c r="AA324" s="262" cm="1">
        <f t="array" aca="1" ref="AA324" ca="1">COUNTIFS(unit_details[Active Listing?],TRUE,
          unit_details[Floorplan Name], INDIRECT("C"&amp;ROW()),
          unit_details[Property Name], INDIRECT("B"&amp;ROW()))</f>
        <v>0</v>
      </c>
      <c r="AB324" s="553"/>
      <c r="AC324" s="528" cm="1">
        <f t="array" aca="1" ref="AC324" ca="1">IFERROR(AVERAGEIFS(
  unit_details[Sqft],
  unit_details[Property Name], INDIRECT("B"&amp;ROW()),
  unit_details[Floorplan Name], INDIRECT("C"&amp;ROW()),
  unit_details[Beds], INDIRECT("D"&amp;ROW()),
  unit_details[Detected Unit Amenities], "*"&amp;$AD$3&amp;"*",
  unit_details[Leased Date], "&gt;=" &amp; ($U$2 - $AF$3)
),0)</f>
        <v>0</v>
      </c>
      <c r="AD324" s="527" cm="1">
        <f t="array" aca="1" ref="AD3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4" s="526" cm="1">
        <f t="array" aca="1" ref="AE324" ca="1">IFERROR(COUNTIFS(
  unit_details[Property Name], INDIRECT("B"&amp;ROW()),
  unit_details[Floorplan Name], INDIRECT("C"&amp;ROW()),
  unit_details[Beds], INDIRECT("D"&amp;ROW()),
  unit_details[Detected Unit Amenities], "*"&amp;$AD$3&amp;"*",
  unit_details[Leased Date], "&gt;=" &amp; ($U$2 - $AF$3)
),0)</f>
        <v>0</v>
      </c>
      <c r="AF324" s="528" cm="1">
        <f t="array" aca="1" ref="AF324" ca="1">IFERROR(AVERAGEIFS(
  unit_details[Sqft],
  unit_details[Property Name], INDIRECT("B"&amp;ROW()),
  unit_details[Floorplan Name], INDIRECT("C"&amp;ROW()),
  unit_details[Beds], INDIRECT("D"&amp;ROW()),
  unit_details[Detected Unit Amenities], "&lt;&gt;*"&amp;$AD$3&amp;"*",
  unit_details[Leased Date], "&gt;=" &amp; ($U$2 - $AF$3)
),0)</f>
        <v>0</v>
      </c>
      <c r="AG324" s="527" cm="1">
        <f t="array" aca="1" ref="AG3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4" s="526" cm="1">
        <f t="array" aca="1" ref="AH324" ca="1">IFERROR(COUNTIFS(
  unit_details[Property Name], INDIRECT("B"&amp;ROW()),
  unit_details[Floorplan Name], INDIRECT("C"&amp;ROW()),
  unit_details[Beds], INDIRECT("D"&amp;ROW()),
  unit_details[Detected Unit Amenities], "&lt;&gt;*"&amp;$AD$3&amp;"*",
  unit_details[Leased Date], "&gt;=" &amp; ($U$2 - $AF$3)
),0)</f>
        <v>0</v>
      </c>
      <c r="AI324" s="528"/>
      <c r="AJ324" s="531">
        <f t="shared" ca="1" si="13"/>
        <v>0</v>
      </c>
      <c r="AK324" s="532">
        <f t="shared" ca="1" si="14"/>
        <v>0</v>
      </c>
    </row>
    <row r="325" spans="2:37" x14ac:dyDescent="0.2">
      <c r="B325" s="566"/>
      <c r="C325" s="53"/>
      <c r="E325" s="262"/>
      <c r="F325" s="262"/>
      <c r="J325" s="293"/>
      <c r="K325" s="6"/>
      <c r="M325" s="538"/>
      <c r="N325" s="531" t="str" cm="1">
        <f t="array" aca="1" ref="N32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5" s="552" t="str" cm="1">
        <f t="array" aca="1" ref="O32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5" s="526" cm="1">
        <f t="array" aca="1" ref="P325" ca="1">COUNTIFS(unit_details[Leased Date], "&gt;=" &amp; ($U$2 - N$5),
          unit_details[Leased Date], "&lt;" &amp; $U$2,
          unit_details[Floorplan Name], INDIRECT("C"&amp;ROW()),
          unit_details[Property Name], INDIRECT("B"&amp;ROW()))</f>
        <v>0</v>
      </c>
      <c r="Q325" s="531" t="str" cm="1">
        <f t="array" aca="1" ref="Q32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5" s="552" t="str" cm="1">
        <f t="array" aca="1" ref="R32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5" s="526" cm="1">
        <f t="array" aca="1" ref="S325" ca="1">COUNTIFS(unit_details[Leased Date], "&gt;=" &amp; ($U$2 - Q$5),
          unit_details[Leased Date], "&lt;" &amp; $U$2,
          unit_details[Floorplan Name], INDIRECT("C"&amp;ROW()),
          unit_details[Property Name], INDIRECT("B"&amp;ROW()))</f>
        <v>0</v>
      </c>
      <c r="T325" s="531" t="str" cm="1">
        <f t="array" aca="1" ref="T32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5" s="552" t="str" cm="1">
        <f t="array" aca="1" ref="U32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5" s="526" cm="1">
        <f t="array" aca="1" ref="V325" ca="1">COUNTIFS(unit_details[Leased Date], "&gt;=" &amp; ($U$2 - T$5),
          unit_details[Leased Date], "&lt;" &amp; $U$2,
          unit_details[Floorplan Name], INDIRECT("C"&amp;ROW()),
          unit_details[Property Name], INDIRECT("B"&amp;ROW()))</f>
        <v>0</v>
      </c>
      <c r="W325" s="531" t="str" cm="1">
        <f t="array" aca="1" ref="W32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5" s="552" t="str" cm="1">
        <f t="array" aca="1" ref="X32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5" s="27" t="str">
        <f t="shared" ca="1" si="12"/>
        <v/>
      </c>
      <c r="Z325" s="4" t="str">
        <f>IFERROR($U$2-AVERAGEIFS(unit_details[First Listed],
          unit_details[Active Listing?],TRUE,
          unit_details[Property Name], $B325,
          unit_details[Beds], $D325,
          unit_details[Baths], $E325,
          unit_details[Partial Baths], IF(ISNUMBER($F325),$F325,""),
          unit_details[Floorplan Name],$C325
),"")</f>
        <v/>
      </c>
      <c r="AA325" s="262" cm="1">
        <f t="array" aca="1" ref="AA325" ca="1">COUNTIFS(unit_details[Active Listing?],TRUE,
          unit_details[Floorplan Name], INDIRECT("C"&amp;ROW()),
          unit_details[Property Name], INDIRECT("B"&amp;ROW()))</f>
        <v>0</v>
      </c>
      <c r="AB325" s="553"/>
      <c r="AC325" s="528" cm="1">
        <f t="array" aca="1" ref="AC325" ca="1">IFERROR(AVERAGEIFS(
  unit_details[Sqft],
  unit_details[Property Name], INDIRECT("B"&amp;ROW()),
  unit_details[Floorplan Name], INDIRECT("C"&amp;ROW()),
  unit_details[Beds], INDIRECT("D"&amp;ROW()),
  unit_details[Detected Unit Amenities], "*"&amp;$AD$3&amp;"*",
  unit_details[Leased Date], "&gt;=" &amp; ($U$2 - $AF$3)
),0)</f>
        <v>0</v>
      </c>
      <c r="AD325" s="527" cm="1">
        <f t="array" aca="1" ref="AD3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5" s="526" cm="1">
        <f t="array" aca="1" ref="AE325" ca="1">IFERROR(COUNTIFS(
  unit_details[Property Name], INDIRECT("B"&amp;ROW()),
  unit_details[Floorplan Name], INDIRECT("C"&amp;ROW()),
  unit_details[Beds], INDIRECT("D"&amp;ROW()),
  unit_details[Detected Unit Amenities], "*"&amp;$AD$3&amp;"*",
  unit_details[Leased Date], "&gt;=" &amp; ($U$2 - $AF$3)
),0)</f>
        <v>0</v>
      </c>
      <c r="AF325" s="528" cm="1">
        <f t="array" aca="1" ref="AF325" ca="1">IFERROR(AVERAGEIFS(
  unit_details[Sqft],
  unit_details[Property Name], INDIRECT("B"&amp;ROW()),
  unit_details[Floorplan Name], INDIRECT("C"&amp;ROW()),
  unit_details[Beds], INDIRECT("D"&amp;ROW()),
  unit_details[Detected Unit Amenities], "&lt;&gt;*"&amp;$AD$3&amp;"*",
  unit_details[Leased Date], "&gt;=" &amp; ($U$2 - $AF$3)
),0)</f>
        <v>0</v>
      </c>
      <c r="AG325" s="527" cm="1">
        <f t="array" aca="1" ref="AG3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5" s="526" cm="1">
        <f t="array" aca="1" ref="AH325" ca="1">IFERROR(COUNTIFS(
  unit_details[Property Name], INDIRECT("B"&amp;ROW()),
  unit_details[Floorplan Name], INDIRECT("C"&amp;ROW()),
  unit_details[Beds], INDIRECT("D"&amp;ROW()),
  unit_details[Detected Unit Amenities], "&lt;&gt;*"&amp;$AD$3&amp;"*",
  unit_details[Leased Date], "&gt;=" &amp; ($U$2 - $AF$3)
),0)</f>
        <v>0</v>
      </c>
      <c r="AI325" s="528"/>
      <c r="AJ325" s="531">
        <f t="shared" ca="1" si="13"/>
        <v>0</v>
      </c>
      <c r="AK325" s="532">
        <f t="shared" ca="1" si="14"/>
        <v>0</v>
      </c>
    </row>
    <row r="326" spans="2:37" x14ac:dyDescent="0.2">
      <c r="B326" s="566"/>
      <c r="C326" s="53"/>
      <c r="E326" s="262"/>
      <c r="F326" s="262"/>
      <c r="J326" s="293"/>
      <c r="K326" s="6"/>
      <c r="M326" s="538"/>
      <c r="N326" s="531" t="str" cm="1">
        <f t="array" aca="1" ref="N32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6" s="552" t="str" cm="1">
        <f t="array" aca="1" ref="O32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6" s="526" cm="1">
        <f t="array" aca="1" ref="P326" ca="1">COUNTIFS(unit_details[Leased Date], "&gt;=" &amp; ($U$2 - N$5),
          unit_details[Leased Date], "&lt;" &amp; $U$2,
          unit_details[Floorplan Name], INDIRECT("C"&amp;ROW()),
          unit_details[Property Name], INDIRECT("B"&amp;ROW()))</f>
        <v>0</v>
      </c>
      <c r="Q326" s="531" t="str" cm="1">
        <f t="array" aca="1" ref="Q32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6" s="552" t="str" cm="1">
        <f t="array" aca="1" ref="R32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6" s="526" cm="1">
        <f t="array" aca="1" ref="S326" ca="1">COUNTIFS(unit_details[Leased Date], "&gt;=" &amp; ($U$2 - Q$5),
          unit_details[Leased Date], "&lt;" &amp; $U$2,
          unit_details[Floorplan Name], INDIRECT("C"&amp;ROW()),
          unit_details[Property Name], INDIRECT("B"&amp;ROW()))</f>
        <v>0</v>
      </c>
      <c r="T326" s="531" t="str" cm="1">
        <f t="array" aca="1" ref="T32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6" s="552" t="str" cm="1">
        <f t="array" aca="1" ref="U32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6" s="526" cm="1">
        <f t="array" aca="1" ref="V326" ca="1">COUNTIFS(unit_details[Leased Date], "&gt;=" &amp; ($U$2 - T$5),
          unit_details[Leased Date], "&lt;" &amp; $U$2,
          unit_details[Floorplan Name], INDIRECT("C"&amp;ROW()),
          unit_details[Property Name], INDIRECT("B"&amp;ROW()))</f>
        <v>0</v>
      </c>
      <c r="W326" s="531" t="str" cm="1">
        <f t="array" aca="1" ref="W32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6" s="552" t="str" cm="1">
        <f t="array" aca="1" ref="X32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6" s="27" t="str">
        <f t="shared" ca="1" si="12"/>
        <v/>
      </c>
      <c r="Z326" s="4" t="str">
        <f>IFERROR($U$2-AVERAGEIFS(unit_details[First Listed],
          unit_details[Active Listing?],TRUE,
          unit_details[Property Name], $B326,
          unit_details[Beds], $D326,
          unit_details[Baths], $E326,
          unit_details[Partial Baths], IF(ISNUMBER($F326),$F326,""),
          unit_details[Floorplan Name],$C326
),"")</f>
        <v/>
      </c>
      <c r="AA326" s="262" cm="1">
        <f t="array" aca="1" ref="AA326" ca="1">COUNTIFS(unit_details[Active Listing?],TRUE,
          unit_details[Floorplan Name], INDIRECT("C"&amp;ROW()),
          unit_details[Property Name], INDIRECT("B"&amp;ROW()))</f>
        <v>0</v>
      </c>
      <c r="AB326" s="553"/>
      <c r="AC326" s="528" cm="1">
        <f t="array" aca="1" ref="AC326" ca="1">IFERROR(AVERAGEIFS(
  unit_details[Sqft],
  unit_details[Property Name], INDIRECT("B"&amp;ROW()),
  unit_details[Floorplan Name], INDIRECT("C"&amp;ROW()),
  unit_details[Beds], INDIRECT("D"&amp;ROW()),
  unit_details[Detected Unit Amenities], "*"&amp;$AD$3&amp;"*",
  unit_details[Leased Date], "&gt;=" &amp; ($U$2 - $AF$3)
),0)</f>
        <v>0</v>
      </c>
      <c r="AD326" s="527" cm="1">
        <f t="array" aca="1" ref="AD3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6" s="526" cm="1">
        <f t="array" aca="1" ref="AE326" ca="1">IFERROR(COUNTIFS(
  unit_details[Property Name], INDIRECT("B"&amp;ROW()),
  unit_details[Floorplan Name], INDIRECT("C"&amp;ROW()),
  unit_details[Beds], INDIRECT("D"&amp;ROW()),
  unit_details[Detected Unit Amenities], "*"&amp;$AD$3&amp;"*",
  unit_details[Leased Date], "&gt;=" &amp; ($U$2 - $AF$3)
),0)</f>
        <v>0</v>
      </c>
      <c r="AF326" s="528" cm="1">
        <f t="array" aca="1" ref="AF326" ca="1">IFERROR(AVERAGEIFS(
  unit_details[Sqft],
  unit_details[Property Name], INDIRECT("B"&amp;ROW()),
  unit_details[Floorplan Name], INDIRECT("C"&amp;ROW()),
  unit_details[Beds], INDIRECT("D"&amp;ROW()),
  unit_details[Detected Unit Amenities], "&lt;&gt;*"&amp;$AD$3&amp;"*",
  unit_details[Leased Date], "&gt;=" &amp; ($U$2 - $AF$3)
),0)</f>
        <v>0</v>
      </c>
      <c r="AG326" s="527" cm="1">
        <f t="array" aca="1" ref="AG3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6" s="526" cm="1">
        <f t="array" aca="1" ref="AH326" ca="1">IFERROR(COUNTIFS(
  unit_details[Property Name], INDIRECT("B"&amp;ROW()),
  unit_details[Floorplan Name], INDIRECT("C"&amp;ROW()),
  unit_details[Beds], INDIRECT("D"&amp;ROW()),
  unit_details[Detected Unit Amenities], "&lt;&gt;*"&amp;$AD$3&amp;"*",
  unit_details[Leased Date], "&gt;=" &amp; ($U$2 - $AF$3)
),0)</f>
        <v>0</v>
      </c>
      <c r="AI326" s="528"/>
      <c r="AJ326" s="531">
        <f t="shared" ca="1" si="13"/>
        <v>0</v>
      </c>
      <c r="AK326" s="532">
        <f t="shared" ca="1" si="14"/>
        <v>0</v>
      </c>
    </row>
    <row r="327" spans="2:37" x14ac:dyDescent="0.2">
      <c r="B327" s="566"/>
      <c r="C327" s="53"/>
      <c r="E327" s="262"/>
      <c r="F327" s="262"/>
      <c r="J327" s="293"/>
      <c r="K327" s="6"/>
      <c r="M327" s="538"/>
      <c r="N327" s="531" t="str" cm="1">
        <f t="array" aca="1" ref="N32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7" s="552" t="str" cm="1">
        <f t="array" aca="1" ref="O32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7" s="526" cm="1">
        <f t="array" aca="1" ref="P327" ca="1">COUNTIFS(unit_details[Leased Date], "&gt;=" &amp; ($U$2 - N$5),
          unit_details[Leased Date], "&lt;" &amp; $U$2,
          unit_details[Floorplan Name], INDIRECT("C"&amp;ROW()),
          unit_details[Property Name], INDIRECT("B"&amp;ROW()))</f>
        <v>0</v>
      </c>
      <c r="Q327" s="531" t="str" cm="1">
        <f t="array" aca="1" ref="Q32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7" s="552" t="str" cm="1">
        <f t="array" aca="1" ref="R32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7" s="526" cm="1">
        <f t="array" aca="1" ref="S327" ca="1">COUNTIFS(unit_details[Leased Date], "&gt;=" &amp; ($U$2 - Q$5),
          unit_details[Leased Date], "&lt;" &amp; $U$2,
          unit_details[Floorplan Name], INDIRECT("C"&amp;ROW()),
          unit_details[Property Name], INDIRECT("B"&amp;ROW()))</f>
        <v>0</v>
      </c>
      <c r="T327" s="531" t="str" cm="1">
        <f t="array" aca="1" ref="T32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7" s="552" t="str" cm="1">
        <f t="array" aca="1" ref="U32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7" s="526" cm="1">
        <f t="array" aca="1" ref="V327" ca="1">COUNTIFS(unit_details[Leased Date], "&gt;=" &amp; ($U$2 - T$5),
          unit_details[Leased Date], "&lt;" &amp; $U$2,
          unit_details[Floorplan Name], INDIRECT("C"&amp;ROW()),
          unit_details[Property Name], INDIRECT("B"&amp;ROW()))</f>
        <v>0</v>
      </c>
      <c r="W327" s="531" t="str" cm="1">
        <f t="array" aca="1" ref="W32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7" s="552" t="str" cm="1">
        <f t="array" aca="1" ref="X32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7" s="27" t="str">
        <f t="shared" ca="1" si="12"/>
        <v/>
      </c>
      <c r="Z327" s="4" t="str">
        <f>IFERROR($U$2-AVERAGEIFS(unit_details[First Listed],
          unit_details[Active Listing?],TRUE,
          unit_details[Property Name], $B327,
          unit_details[Beds], $D327,
          unit_details[Baths], $E327,
          unit_details[Partial Baths], IF(ISNUMBER($F327),$F327,""),
          unit_details[Floorplan Name],$C327
),"")</f>
        <v/>
      </c>
      <c r="AA327" s="262" cm="1">
        <f t="array" aca="1" ref="AA327" ca="1">COUNTIFS(unit_details[Active Listing?],TRUE,
          unit_details[Floorplan Name], INDIRECT("C"&amp;ROW()),
          unit_details[Property Name], INDIRECT("B"&amp;ROW()))</f>
        <v>0</v>
      </c>
      <c r="AB327" s="553"/>
      <c r="AC327" s="528" cm="1">
        <f t="array" aca="1" ref="AC327" ca="1">IFERROR(AVERAGEIFS(
  unit_details[Sqft],
  unit_details[Property Name], INDIRECT("B"&amp;ROW()),
  unit_details[Floorplan Name], INDIRECT("C"&amp;ROW()),
  unit_details[Beds], INDIRECT("D"&amp;ROW()),
  unit_details[Detected Unit Amenities], "*"&amp;$AD$3&amp;"*",
  unit_details[Leased Date], "&gt;=" &amp; ($U$2 - $AF$3)
),0)</f>
        <v>0</v>
      </c>
      <c r="AD327" s="527" cm="1">
        <f t="array" aca="1" ref="AD3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7" s="526" cm="1">
        <f t="array" aca="1" ref="AE327" ca="1">IFERROR(COUNTIFS(
  unit_details[Property Name], INDIRECT("B"&amp;ROW()),
  unit_details[Floorplan Name], INDIRECT("C"&amp;ROW()),
  unit_details[Beds], INDIRECT("D"&amp;ROW()),
  unit_details[Detected Unit Amenities], "*"&amp;$AD$3&amp;"*",
  unit_details[Leased Date], "&gt;=" &amp; ($U$2 - $AF$3)
),0)</f>
        <v>0</v>
      </c>
      <c r="AF327" s="528" cm="1">
        <f t="array" aca="1" ref="AF327" ca="1">IFERROR(AVERAGEIFS(
  unit_details[Sqft],
  unit_details[Property Name], INDIRECT("B"&amp;ROW()),
  unit_details[Floorplan Name], INDIRECT("C"&amp;ROW()),
  unit_details[Beds], INDIRECT("D"&amp;ROW()),
  unit_details[Detected Unit Amenities], "&lt;&gt;*"&amp;$AD$3&amp;"*",
  unit_details[Leased Date], "&gt;=" &amp; ($U$2 - $AF$3)
),0)</f>
        <v>0</v>
      </c>
      <c r="AG327" s="527" cm="1">
        <f t="array" aca="1" ref="AG3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7" s="526" cm="1">
        <f t="array" aca="1" ref="AH327" ca="1">IFERROR(COUNTIFS(
  unit_details[Property Name], INDIRECT("B"&amp;ROW()),
  unit_details[Floorplan Name], INDIRECT("C"&amp;ROW()),
  unit_details[Beds], INDIRECT("D"&amp;ROW()),
  unit_details[Detected Unit Amenities], "&lt;&gt;*"&amp;$AD$3&amp;"*",
  unit_details[Leased Date], "&gt;=" &amp; ($U$2 - $AF$3)
),0)</f>
        <v>0</v>
      </c>
      <c r="AI327" s="528"/>
      <c r="AJ327" s="531">
        <f t="shared" ca="1" si="13"/>
        <v>0</v>
      </c>
      <c r="AK327" s="532">
        <f t="shared" ca="1" si="14"/>
        <v>0</v>
      </c>
    </row>
    <row r="328" spans="2:37" x14ac:dyDescent="0.2">
      <c r="B328" s="566"/>
      <c r="C328" s="53"/>
      <c r="E328" s="262"/>
      <c r="F328" s="262"/>
      <c r="J328" s="293"/>
      <c r="K328" s="6"/>
      <c r="M328" s="538"/>
      <c r="N328" s="531" t="str" cm="1">
        <f t="array" aca="1" ref="N32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8" s="552" t="str" cm="1">
        <f t="array" aca="1" ref="O32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8" s="526" cm="1">
        <f t="array" aca="1" ref="P328" ca="1">COUNTIFS(unit_details[Leased Date], "&gt;=" &amp; ($U$2 - N$5),
          unit_details[Leased Date], "&lt;" &amp; $U$2,
          unit_details[Floorplan Name], INDIRECT("C"&amp;ROW()),
          unit_details[Property Name], INDIRECT("B"&amp;ROW()))</f>
        <v>0</v>
      </c>
      <c r="Q328" s="531" t="str" cm="1">
        <f t="array" aca="1" ref="Q32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8" s="552" t="str" cm="1">
        <f t="array" aca="1" ref="R32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8" s="526" cm="1">
        <f t="array" aca="1" ref="S328" ca="1">COUNTIFS(unit_details[Leased Date], "&gt;=" &amp; ($U$2 - Q$5),
          unit_details[Leased Date], "&lt;" &amp; $U$2,
          unit_details[Floorplan Name], INDIRECT("C"&amp;ROW()),
          unit_details[Property Name], INDIRECT("B"&amp;ROW()))</f>
        <v>0</v>
      </c>
      <c r="T328" s="531" t="str" cm="1">
        <f t="array" aca="1" ref="T32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8" s="552" t="str" cm="1">
        <f t="array" aca="1" ref="U32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8" s="526" cm="1">
        <f t="array" aca="1" ref="V328" ca="1">COUNTIFS(unit_details[Leased Date], "&gt;=" &amp; ($U$2 - T$5),
          unit_details[Leased Date], "&lt;" &amp; $U$2,
          unit_details[Floorplan Name], INDIRECT("C"&amp;ROW()),
          unit_details[Property Name], INDIRECT("B"&amp;ROW()))</f>
        <v>0</v>
      </c>
      <c r="W328" s="531" t="str" cm="1">
        <f t="array" aca="1" ref="W32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8" s="552" t="str" cm="1">
        <f t="array" aca="1" ref="X32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8" s="27" t="str">
        <f t="shared" ref="Y328:Y391" ca="1" si="15">IFERROR((W328-X328)/W328,"")</f>
        <v/>
      </c>
      <c r="Z328" s="4" t="str">
        <f>IFERROR($U$2-AVERAGEIFS(unit_details[First Listed],
          unit_details[Active Listing?],TRUE,
          unit_details[Property Name], $B328,
          unit_details[Beds], $D328,
          unit_details[Baths], $E328,
          unit_details[Partial Baths], IF(ISNUMBER($F328),$F328,""),
          unit_details[Floorplan Name],$C328
),"")</f>
        <v/>
      </c>
      <c r="AA328" s="262" cm="1">
        <f t="array" aca="1" ref="AA328" ca="1">COUNTIFS(unit_details[Active Listing?],TRUE,
          unit_details[Floorplan Name], INDIRECT("C"&amp;ROW()),
          unit_details[Property Name], INDIRECT("B"&amp;ROW()))</f>
        <v>0</v>
      </c>
      <c r="AB328" s="553"/>
      <c r="AC328" s="528" cm="1">
        <f t="array" aca="1" ref="AC328" ca="1">IFERROR(AVERAGEIFS(
  unit_details[Sqft],
  unit_details[Property Name], INDIRECT("B"&amp;ROW()),
  unit_details[Floorplan Name], INDIRECT("C"&amp;ROW()),
  unit_details[Beds], INDIRECT("D"&amp;ROW()),
  unit_details[Detected Unit Amenities], "*"&amp;$AD$3&amp;"*",
  unit_details[Leased Date], "&gt;=" &amp; ($U$2 - $AF$3)
),0)</f>
        <v>0</v>
      </c>
      <c r="AD328" s="527" cm="1">
        <f t="array" aca="1" ref="AD3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8" s="526" cm="1">
        <f t="array" aca="1" ref="AE328" ca="1">IFERROR(COUNTIFS(
  unit_details[Property Name], INDIRECT("B"&amp;ROW()),
  unit_details[Floorplan Name], INDIRECT("C"&amp;ROW()),
  unit_details[Beds], INDIRECT("D"&amp;ROW()),
  unit_details[Detected Unit Amenities], "*"&amp;$AD$3&amp;"*",
  unit_details[Leased Date], "&gt;=" &amp; ($U$2 - $AF$3)
),0)</f>
        <v>0</v>
      </c>
      <c r="AF328" s="528" cm="1">
        <f t="array" aca="1" ref="AF328" ca="1">IFERROR(AVERAGEIFS(
  unit_details[Sqft],
  unit_details[Property Name], INDIRECT("B"&amp;ROW()),
  unit_details[Floorplan Name], INDIRECT("C"&amp;ROW()),
  unit_details[Beds], INDIRECT("D"&amp;ROW()),
  unit_details[Detected Unit Amenities], "&lt;&gt;*"&amp;$AD$3&amp;"*",
  unit_details[Leased Date], "&gt;=" &amp; ($U$2 - $AF$3)
),0)</f>
        <v>0</v>
      </c>
      <c r="AG328" s="527" cm="1">
        <f t="array" aca="1" ref="AG3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8" s="526" cm="1">
        <f t="array" aca="1" ref="AH328" ca="1">IFERROR(COUNTIFS(
  unit_details[Property Name], INDIRECT("B"&amp;ROW()),
  unit_details[Floorplan Name], INDIRECT("C"&amp;ROW()),
  unit_details[Beds], INDIRECT("D"&amp;ROW()),
  unit_details[Detected Unit Amenities], "&lt;&gt;*"&amp;$AD$3&amp;"*",
  unit_details[Leased Date], "&gt;=" &amp; ($U$2 - $AF$3)
),0)</f>
        <v>0</v>
      </c>
      <c r="AI328" s="528"/>
      <c r="AJ328" s="531">
        <f t="shared" ca="1" si="13"/>
        <v>0</v>
      </c>
      <c r="AK328" s="532">
        <f t="shared" ca="1" si="14"/>
        <v>0</v>
      </c>
    </row>
    <row r="329" spans="2:37" x14ac:dyDescent="0.2">
      <c r="B329" s="566"/>
      <c r="C329" s="53"/>
      <c r="E329" s="262"/>
      <c r="F329" s="262"/>
      <c r="J329" s="293"/>
      <c r="K329" s="6"/>
      <c r="M329" s="538"/>
      <c r="N329" s="531" t="str" cm="1">
        <f t="array" aca="1" ref="N32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29" s="552" t="str" cm="1">
        <f t="array" aca="1" ref="O32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29" s="526" cm="1">
        <f t="array" aca="1" ref="P329" ca="1">COUNTIFS(unit_details[Leased Date], "&gt;=" &amp; ($U$2 - N$5),
          unit_details[Leased Date], "&lt;" &amp; $U$2,
          unit_details[Floorplan Name], INDIRECT("C"&amp;ROW()),
          unit_details[Property Name], INDIRECT("B"&amp;ROW()))</f>
        <v>0</v>
      </c>
      <c r="Q329" s="531" t="str" cm="1">
        <f t="array" aca="1" ref="Q32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29" s="552" t="str" cm="1">
        <f t="array" aca="1" ref="R32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29" s="526" cm="1">
        <f t="array" aca="1" ref="S329" ca="1">COUNTIFS(unit_details[Leased Date], "&gt;=" &amp; ($U$2 - Q$5),
          unit_details[Leased Date], "&lt;" &amp; $U$2,
          unit_details[Floorplan Name], INDIRECT("C"&amp;ROW()),
          unit_details[Property Name], INDIRECT("B"&amp;ROW()))</f>
        <v>0</v>
      </c>
      <c r="T329" s="531" t="str" cm="1">
        <f t="array" aca="1" ref="T32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29" s="552" t="str" cm="1">
        <f t="array" aca="1" ref="U32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29" s="526" cm="1">
        <f t="array" aca="1" ref="V329" ca="1">COUNTIFS(unit_details[Leased Date], "&gt;=" &amp; ($U$2 - T$5),
          unit_details[Leased Date], "&lt;" &amp; $U$2,
          unit_details[Floorplan Name], INDIRECT("C"&amp;ROW()),
          unit_details[Property Name], INDIRECT("B"&amp;ROW()))</f>
        <v>0</v>
      </c>
      <c r="W329" s="531" t="str" cm="1">
        <f t="array" aca="1" ref="W32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29" s="552" t="str" cm="1">
        <f t="array" aca="1" ref="X32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29" s="27" t="str">
        <f t="shared" ca="1" si="15"/>
        <v/>
      </c>
      <c r="Z329" s="4" t="str">
        <f>IFERROR($U$2-AVERAGEIFS(unit_details[First Listed],
          unit_details[Active Listing?],TRUE,
          unit_details[Property Name], $B329,
          unit_details[Beds], $D329,
          unit_details[Baths], $E329,
          unit_details[Partial Baths], IF(ISNUMBER($F329),$F329,""),
          unit_details[Floorplan Name],$C329
),"")</f>
        <v/>
      </c>
      <c r="AA329" s="262" cm="1">
        <f t="array" aca="1" ref="AA329" ca="1">COUNTIFS(unit_details[Active Listing?],TRUE,
          unit_details[Floorplan Name], INDIRECT("C"&amp;ROW()),
          unit_details[Property Name], INDIRECT("B"&amp;ROW()))</f>
        <v>0</v>
      </c>
      <c r="AB329" s="553"/>
      <c r="AC329" s="528" cm="1">
        <f t="array" aca="1" ref="AC329" ca="1">IFERROR(AVERAGEIFS(
  unit_details[Sqft],
  unit_details[Property Name], INDIRECT("B"&amp;ROW()),
  unit_details[Floorplan Name], INDIRECT("C"&amp;ROW()),
  unit_details[Beds], INDIRECT("D"&amp;ROW()),
  unit_details[Detected Unit Amenities], "*"&amp;$AD$3&amp;"*",
  unit_details[Leased Date], "&gt;=" &amp; ($U$2 - $AF$3)
),0)</f>
        <v>0</v>
      </c>
      <c r="AD329" s="527" cm="1">
        <f t="array" aca="1" ref="AD3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29" s="526" cm="1">
        <f t="array" aca="1" ref="AE329" ca="1">IFERROR(COUNTIFS(
  unit_details[Property Name], INDIRECT("B"&amp;ROW()),
  unit_details[Floorplan Name], INDIRECT("C"&amp;ROW()),
  unit_details[Beds], INDIRECT("D"&amp;ROW()),
  unit_details[Detected Unit Amenities], "*"&amp;$AD$3&amp;"*",
  unit_details[Leased Date], "&gt;=" &amp; ($U$2 - $AF$3)
),0)</f>
        <v>0</v>
      </c>
      <c r="AF329" s="528" cm="1">
        <f t="array" aca="1" ref="AF329" ca="1">IFERROR(AVERAGEIFS(
  unit_details[Sqft],
  unit_details[Property Name], INDIRECT("B"&amp;ROW()),
  unit_details[Floorplan Name], INDIRECT("C"&amp;ROW()),
  unit_details[Beds], INDIRECT("D"&amp;ROW()),
  unit_details[Detected Unit Amenities], "&lt;&gt;*"&amp;$AD$3&amp;"*",
  unit_details[Leased Date], "&gt;=" &amp; ($U$2 - $AF$3)
),0)</f>
        <v>0</v>
      </c>
      <c r="AG329" s="527" cm="1">
        <f t="array" aca="1" ref="AG3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29" s="526" cm="1">
        <f t="array" aca="1" ref="AH329" ca="1">IFERROR(COUNTIFS(
  unit_details[Property Name], INDIRECT("B"&amp;ROW()),
  unit_details[Floorplan Name], INDIRECT("C"&amp;ROW()),
  unit_details[Beds], INDIRECT("D"&amp;ROW()),
  unit_details[Detected Unit Amenities], "&lt;&gt;*"&amp;$AD$3&amp;"*",
  unit_details[Leased Date], "&gt;=" &amp; ($U$2 - $AF$3)
),0)</f>
        <v>0</v>
      </c>
      <c r="AI329" s="528"/>
      <c r="AJ329" s="531">
        <f t="shared" ref="AJ329:AJ392" ca="1" si="16">IF(OR(AD329=0,AG329=0),0,IFERROR(AD329-AG329,0))</f>
        <v>0</v>
      </c>
      <c r="AK329" s="532">
        <f t="shared" ref="AK329:AK392" ca="1" si="17">IFERROR(AJ329/AG329,0)</f>
        <v>0</v>
      </c>
    </row>
    <row r="330" spans="2:37" x14ac:dyDescent="0.2">
      <c r="B330" s="566"/>
      <c r="C330" s="53"/>
      <c r="E330" s="262"/>
      <c r="F330" s="262"/>
      <c r="J330" s="293"/>
      <c r="K330" s="6"/>
      <c r="M330" s="538"/>
      <c r="N330" s="531" t="str" cm="1">
        <f t="array" aca="1" ref="N33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0" s="552" t="str" cm="1">
        <f t="array" aca="1" ref="O33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0" s="526" cm="1">
        <f t="array" aca="1" ref="P330" ca="1">COUNTIFS(unit_details[Leased Date], "&gt;=" &amp; ($U$2 - N$5),
          unit_details[Leased Date], "&lt;" &amp; $U$2,
          unit_details[Floorplan Name], INDIRECT("C"&amp;ROW()),
          unit_details[Property Name], INDIRECT("B"&amp;ROW()))</f>
        <v>0</v>
      </c>
      <c r="Q330" s="531" t="str" cm="1">
        <f t="array" aca="1" ref="Q33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0" s="552" t="str" cm="1">
        <f t="array" aca="1" ref="R33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0" s="526" cm="1">
        <f t="array" aca="1" ref="S330" ca="1">COUNTIFS(unit_details[Leased Date], "&gt;=" &amp; ($U$2 - Q$5),
          unit_details[Leased Date], "&lt;" &amp; $U$2,
          unit_details[Floorplan Name], INDIRECT("C"&amp;ROW()),
          unit_details[Property Name], INDIRECT("B"&amp;ROW()))</f>
        <v>0</v>
      </c>
      <c r="T330" s="531" t="str" cm="1">
        <f t="array" aca="1" ref="T33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0" s="552" t="str" cm="1">
        <f t="array" aca="1" ref="U33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0" s="526" cm="1">
        <f t="array" aca="1" ref="V330" ca="1">COUNTIFS(unit_details[Leased Date], "&gt;=" &amp; ($U$2 - T$5),
          unit_details[Leased Date], "&lt;" &amp; $U$2,
          unit_details[Floorplan Name], INDIRECT("C"&amp;ROW()),
          unit_details[Property Name], INDIRECT("B"&amp;ROW()))</f>
        <v>0</v>
      </c>
      <c r="W330" s="531" t="str" cm="1">
        <f t="array" aca="1" ref="W33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0" s="552" t="str" cm="1">
        <f t="array" aca="1" ref="X33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0" s="27" t="str">
        <f t="shared" ca="1" si="15"/>
        <v/>
      </c>
      <c r="Z330" s="4" t="str">
        <f>IFERROR($U$2-AVERAGEIFS(unit_details[First Listed],
          unit_details[Active Listing?],TRUE,
          unit_details[Property Name], $B330,
          unit_details[Beds], $D330,
          unit_details[Baths], $E330,
          unit_details[Partial Baths], IF(ISNUMBER($F330),$F330,""),
          unit_details[Floorplan Name],$C330
),"")</f>
        <v/>
      </c>
      <c r="AA330" s="262" cm="1">
        <f t="array" aca="1" ref="AA330" ca="1">COUNTIFS(unit_details[Active Listing?],TRUE,
          unit_details[Floorplan Name], INDIRECT("C"&amp;ROW()),
          unit_details[Property Name], INDIRECT("B"&amp;ROW()))</f>
        <v>0</v>
      </c>
      <c r="AB330" s="553"/>
      <c r="AC330" s="528" cm="1">
        <f t="array" aca="1" ref="AC330" ca="1">IFERROR(AVERAGEIFS(
  unit_details[Sqft],
  unit_details[Property Name], INDIRECT("B"&amp;ROW()),
  unit_details[Floorplan Name], INDIRECT("C"&amp;ROW()),
  unit_details[Beds], INDIRECT("D"&amp;ROW()),
  unit_details[Detected Unit Amenities], "*"&amp;$AD$3&amp;"*",
  unit_details[Leased Date], "&gt;=" &amp; ($U$2 - $AF$3)
),0)</f>
        <v>0</v>
      </c>
      <c r="AD330" s="527" cm="1">
        <f t="array" aca="1" ref="AD3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0" s="526" cm="1">
        <f t="array" aca="1" ref="AE330" ca="1">IFERROR(COUNTIFS(
  unit_details[Property Name], INDIRECT("B"&amp;ROW()),
  unit_details[Floorplan Name], INDIRECT("C"&amp;ROW()),
  unit_details[Beds], INDIRECT("D"&amp;ROW()),
  unit_details[Detected Unit Amenities], "*"&amp;$AD$3&amp;"*",
  unit_details[Leased Date], "&gt;=" &amp; ($U$2 - $AF$3)
),0)</f>
        <v>0</v>
      </c>
      <c r="AF330" s="528" cm="1">
        <f t="array" aca="1" ref="AF330" ca="1">IFERROR(AVERAGEIFS(
  unit_details[Sqft],
  unit_details[Property Name], INDIRECT("B"&amp;ROW()),
  unit_details[Floorplan Name], INDIRECT("C"&amp;ROW()),
  unit_details[Beds], INDIRECT("D"&amp;ROW()),
  unit_details[Detected Unit Amenities], "&lt;&gt;*"&amp;$AD$3&amp;"*",
  unit_details[Leased Date], "&gt;=" &amp; ($U$2 - $AF$3)
),0)</f>
        <v>0</v>
      </c>
      <c r="AG330" s="527" cm="1">
        <f t="array" aca="1" ref="AG3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0" s="526" cm="1">
        <f t="array" aca="1" ref="AH330" ca="1">IFERROR(COUNTIFS(
  unit_details[Property Name], INDIRECT("B"&amp;ROW()),
  unit_details[Floorplan Name], INDIRECT("C"&amp;ROW()),
  unit_details[Beds], INDIRECT("D"&amp;ROW()),
  unit_details[Detected Unit Amenities], "&lt;&gt;*"&amp;$AD$3&amp;"*",
  unit_details[Leased Date], "&gt;=" &amp; ($U$2 - $AF$3)
),0)</f>
        <v>0</v>
      </c>
      <c r="AI330" s="528"/>
      <c r="AJ330" s="531">
        <f t="shared" ca="1" si="16"/>
        <v>0</v>
      </c>
      <c r="AK330" s="532">
        <f t="shared" ca="1" si="17"/>
        <v>0</v>
      </c>
    </row>
    <row r="331" spans="2:37" x14ac:dyDescent="0.2">
      <c r="B331" s="566"/>
      <c r="C331" s="53"/>
      <c r="E331" s="262"/>
      <c r="F331" s="262"/>
      <c r="J331" s="293"/>
      <c r="K331" s="6"/>
      <c r="M331" s="538"/>
      <c r="N331" s="531" t="str" cm="1">
        <f t="array" aca="1" ref="N33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1" s="552" t="str" cm="1">
        <f t="array" aca="1" ref="O33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1" s="526" cm="1">
        <f t="array" aca="1" ref="P331" ca="1">COUNTIFS(unit_details[Leased Date], "&gt;=" &amp; ($U$2 - N$5),
          unit_details[Leased Date], "&lt;" &amp; $U$2,
          unit_details[Floorplan Name], INDIRECT("C"&amp;ROW()),
          unit_details[Property Name], INDIRECT("B"&amp;ROW()))</f>
        <v>0</v>
      </c>
      <c r="Q331" s="531" t="str" cm="1">
        <f t="array" aca="1" ref="Q33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1" s="552" t="str" cm="1">
        <f t="array" aca="1" ref="R33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1" s="526" cm="1">
        <f t="array" aca="1" ref="S331" ca="1">COUNTIFS(unit_details[Leased Date], "&gt;=" &amp; ($U$2 - Q$5),
          unit_details[Leased Date], "&lt;" &amp; $U$2,
          unit_details[Floorplan Name], INDIRECT("C"&amp;ROW()),
          unit_details[Property Name], INDIRECT("B"&amp;ROW()))</f>
        <v>0</v>
      </c>
      <c r="T331" s="531" t="str" cm="1">
        <f t="array" aca="1" ref="T33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1" s="552" t="str" cm="1">
        <f t="array" aca="1" ref="U33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1" s="526" cm="1">
        <f t="array" aca="1" ref="V331" ca="1">COUNTIFS(unit_details[Leased Date], "&gt;=" &amp; ($U$2 - T$5),
          unit_details[Leased Date], "&lt;" &amp; $U$2,
          unit_details[Floorplan Name], INDIRECT("C"&amp;ROW()),
          unit_details[Property Name], INDIRECT("B"&amp;ROW()))</f>
        <v>0</v>
      </c>
      <c r="W331" s="531" t="str" cm="1">
        <f t="array" aca="1" ref="W33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1" s="552" t="str" cm="1">
        <f t="array" aca="1" ref="X33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1" s="27" t="str">
        <f t="shared" ca="1" si="15"/>
        <v/>
      </c>
      <c r="Z331" s="4" t="str">
        <f>IFERROR($U$2-AVERAGEIFS(unit_details[First Listed],
          unit_details[Active Listing?],TRUE,
          unit_details[Property Name], $B331,
          unit_details[Beds], $D331,
          unit_details[Baths], $E331,
          unit_details[Partial Baths], IF(ISNUMBER($F331),$F331,""),
          unit_details[Floorplan Name],$C331
),"")</f>
        <v/>
      </c>
      <c r="AA331" s="262" cm="1">
        <f t="array" aca="1" ref="AA331" ca="1">COUNTIFS(unit_details[Active Listing?],TRUE,
          unit_details[Floorplan Name], INDIRECT("C"&amp;ROW()),
          unit_details[Property Name], INDIRECT("B"&amp;ROW()))</f>
        <v>0</v>
      </c>
      <c r="AB331" s="553"/>
      <c r="AC331" s="528" cm="1">
        <f t="array" aca="1" ref="AC331" ca="1">IFERROR(AVERAGEIFS(
  unit_details[Sqft],
  unit_details[Property Name], INDIRECT("B"&amp;ROW()),
  unit_details[Floorplan Name], INDIRECT("C"&amp;ROW()),
  unit_details[Beds], INDIRECT("D"&amp;ROW()),
  unit_details[Detected Unit Amenities], "*"&amp;$AD$3&amp;"*",
  unit_details[Leased Date], "&gt;=" &amp; ($U$2 - $AF$3)
),0)</f>
        <v>0</v>
      </c>
      <c r="AD331" s="527" cm="1">
        <f t="array" aca="1" ref="AD3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1" s="526" cm="1">
        <f t="array" aca="1" ref="AE331" ca="1">IFERROR(COUNTIFS(
  unit_details[Property Name], INDIRECT("B"&amp;ROW()),
  unit_details[Floorplan Name], INDIRECT("C"&amp;ROW()),
  unit_details[Beds], INDIRECT("D"&amp;ROW()),
  unit_details[Detected Unit Amenities], "*"&amp;$AD$3&amp;"*",
  unit_details[Leased Date], "&gt;=" &amp; ($U$2 - $AF$3)
),0)</f>
        <v>0</v>
      </c>
      <c r="AF331" s="528" cm="1">
        <f t="array" aca="1" ref="AF331" ca="1">IFERROR(AVERAGEIFS(
  unit_details[Sqft],
  unit_details[Property Name], INDIRECT("B"&amp;ROW()),
  unit_details[Floorplan Name], INDIRECT("C"&amp;ROW()),
  unit_details[Beds], INDIRECT("D"&amp;ROW()),
  unit_details[Detected Unit Amenities], "&lt;&gt;*"&amp;$AD$3&amp;"*",
  unit_details[Leased Date], "&gt;=" &amp; ($U$2 - $AF$3)
),0)</f>
        <v>0</v>
      </c>
      <c r="AG331" s="527" cm="1">
        <f t="array" aca="1" ref="AG3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1" s="526" cm="1">
        <f t="array" aca="1" ref="AH331" ca="1">IFERROR(COUNTIFS(
  unit_details[Property Name], INDIRECT("B"&amp;ROW()),
  unit_details[Floorplan Name], INDIRECT("C"&amp;ROW()),
  unit_details[Beds], INDIRECT("D"&amp;ROW()),
  unit_details[Detected Unit Amenities], "&lt;&gt;*"&amp;$AD$3&amp;"*",
  unit_details[Leased Date], "&gt;=" &amp; ($U$2 - $AF$3)
),0)</f>
        <v>0</v>
      </c>
      <c r="AI331" s="528"/>
      <c r="AJ331" s="531">
        <f t="shared" ca="1" si="16"/>
        <v>0</v>
      </c>
      <c r="AK331" s="532">
        <f t="shared" ca="1" si="17"/>
        <v>0</v>
      </c>
    </row>
    <row r="332" spans="2:37" x14ac:dyDescent="0.2">
      <c r="J332" s="293"/>
      <c r="N332" s="531" t="str" cm="1">
        <f t="array" aca="1" ref="N33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2" s="552" t="str" cm="1">
        <f t="array" aca="1" ref="O33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2" s="526" cm="1">
        <f t="array" aca="1" ref="P332" ca="1">COUNTIFS(unit_details[Leased Date], "&gt;=" &amp; ($U$2 - N$5),
          unit_details[Leased Date], "&lt;" &amp; $U$2,
          unit_details[Floorplan Name], INDIRECT("C"&amp;ROW()),
          unit_details[Property Name], INDIRECT("B"&amp;ROW()))</f>
        <v>0</v>
      </c>
      <c r="Q332" s="531" t="str" cm="1">
        <f t="array" aca="1" ref="Q33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2" s="552" t="str" cm="1">
        <f t="array" aca="1" ref="R33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2" s="526" cm="1">
        <f t="array" aca="1" ref="S332" ca="1">COUNTIFS(unit_details[Leased Date], "&gt;=" &amp; ($U$2 - Q$5),
          unit_details[Leased Date], "&lt;" &amp; $U$2,
          unit_details[Floorplan Name], INDIRECT("C"&amp;ROW()),
          unit_details[Property Name], INDIRECT("B"&amp;ROW()))</f>
        <v>0</v>
      </c>
      <c r="T332" s="531" t="str" cm="1">
        <f t="array" aca="1" ref="T33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2" s="552" t="str" cm="1">
        <f t="array" aca="1" ref="U33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2" s="526" cm="1">
        <f t="array" aca="1" ref="V332" ca="1">COUNTIFS(unit_details[Leased Date], "&gt;=" &amp; ($U$2 - T$5),
          unit_details[Leased Date], "&lt;" &amp; $U$2,
          unit_details[Floorplan Name], INDIRECT("C"&amp;ROW()),
          unit_details[Property Name], INDIRECT("B"&amp;ROW()))</f>
        <v>0</v>
      </c>
      <c r="W332" s="531" t="str" cm="1">
        <f t="array" aca="1" ref="W33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2" s="552" t="str" cm="1">
        <f t="array" aca="1" ref="X33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2" s="27" t="str">
        <f t="shared" ca="1" si="15"/>
        <v/>
      </c>
      <c r="Z332" s="4" t="str">
        <f>IFERROR($U$2-AVERAGEIFS(unit_details[First Listed],
          unit_details[Active Listing?],TRUE,
          unit_details[Property Name], $B332,
          unit_details[Beds], $D332,
          unit_details[Baths], $E332,
          unit_details[Partial Baths], IF(ISNUMBER($F332),$F332,""),
          unit_details[Floorplan Name],$C332
),"")</f>
        <v/>
      </c>
      <c r="AA332" s="262" cm="1">
        <f t="array" aca="1" ref="AA332" ca="1">COUNTIFS(unit_details[Active Listing?],TRUE,
          unit_details[Floorplan Name], INDIRECT("C"&amp;ROW()),
          unit_details[Property Name], INDIRECT("B"&amp;ROW()))</f>
        <v>0</v>
      </c>
      <c r="AB332" s="553"/>
      <c r="AC332" s="528" cm="1">
        <f t="array" aca="1" ref="AC332" ca="1">IFERROR(AVERAGEIFS(
  unit_details[Sqft],
  unit_details[Property Name], INDIRECT("B"&amp;ROW()),
  unit_details[Floorplan Name], INDIRECT("C"&amp;ROW()),
  unit_details[Beds], INDIRECT("D"&amp;ROW()),
  unit_details[Detected Unit Amenities], "*"&amp;$AD$3&amp;"*",
  unit_details[Leased Date], "&gt;=" &amp; ($U$2 - $AF$3)
),0)</f>
        <v>0</v>
      </c>
      <c r="AD332" s="527" cm="1">
        <f t="array" aca="1" ref="AD3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2" s="526" cm="1">
        <f t="array" aca="1" ref="AE332" ca="1">IFERROR(COUNTIFS(
  unit_details[Property Name], INDIRECT("B"&amp;ROW()),
  unit_details[Floorplan Name], INDIRECT("C"&amp;ROW()),
  unit_details[Beds], INDIRECT("D"&amp;ROW()),
  unit_details[Detected Unit Amenities], "*"&amp;$AD$3&amp;"*",
  unit_details[Leased Date], "&gt;=" &amp; ($U$2 - $AF$3)
),0)</f>
        <v>0</v>
      </c>
      <c r="AF332" s="528" cm="1">
        <f t="array" aca="1" ref="AF332" ca="1">IFERROR(AVERAGEIFS(
  unit_details[Sqft],
  unit_details[Property Name], INDIRECT("B"&amp;ROW()),
  unit_details[Floorplan Name], INDIRECT("C"&amp;ROW()),
  unit_details[Beds], INDIRECT("D"&amp;ROW()),
  unit_details[Detected Unit Amenities], "&lt;&gt;*"&amp;$AD$3&amp;"*",
  unit_details[Leased Date], "&gt;=" &amp; ($U$2 - $AF$3)
),0)</f>
        <v>0</v>
      </c>
      <c r="AG332" s="527" cm="1">
        <f t="array" aca="1" ref="AG3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2" s="526" cm="1">
        <f t="array" aca="1" ref="AH332" ca="1">IFERROR(COUNTIFS(
  unit_details[Property Name], INDIRECT("B"&amp;ROW()),
  unit_details[Floorplan Name], INDIRECT("C"&amp;ROW()),
  unit_details[Beds], INDIRECT("D"&amp;ROW()),
  unit_details[Detected Unit Amenities], "&lt;&gt;*"&amp;$AD$3&amp;"*",
  unit_details[Leased Date], "&gt;=" &amp; ($U$2 - $AF$3)
),0)</f>
        <v>0</v>
      </c>
      <c r="AI332" s="528"/>
      <c r="AJ332" s="531">
        <f t="shared" ca="1" si="16"/>
        <v>0</v>
      </c>
      <c r="AK332" s="532">
        <f t="shared" ca="1" si="17"/>
        <v>0</v>
      </c>
    </row>
    <row r="333" spans="2:37" x14ac:dyDescent="0.2">
      <c r="B333" s="1"/>
      <c r="C333" s="53"/>
      <c r="E333" s="262"/>
      <c r="F333" s="262"/>
      <c r="J333" s="293"/>
      <c r="K333" s="6"/>
      <c r="M333" s="6"/>
      <c r="N333" s="531" t="str" cm="1">
        <f t="array" aca="1" ref="N33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3" s="552" t="str" cm="1">
        <f t="array" aca="1" ref="O33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3" s="526" cm="1">
        <f t="array" aca="1" ref="P333" ca="1">COUNTIFS(unit_details[Leased Date], "&gt;=" &amp; ($U$2 - N$5),
          unit_details[Leased Date], "&lt;" &amp; $U$2,
          unit_details[Floorplan Name], INDIRECT("C"&amp;ROW()),
          unit_details[Property Name], INDIRECT("B"&amp;ROW()))</f>
        <v>0</v>
      </c>
      <c r="Q333" s="531" t="str" cm="1">
        <f t="array" aca="1" ref="Q33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3" s="552" t="str" cm="1">
        <f t="array" aca="1" ref="R33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3" s="526" cm="1">
        <f t="array" aca="1" ref="S333" ca="1">COUNTIFS(unit_details[Leased Date], "&gt;=" &amp; ($U$2 - Q$5),
          unit_details[Leased Date], "&lt;" &amp; $U$2,
          unit_details[Floorplan Name], INDIRECT("C"&amp;ROW()),
          unit_details[Property Name], INDIRECT("B"&amp;ROW()))</f>
        <v>0</v>
      </c>
      <c r="T333" s="531" t="str" cm="1">
        <f t="array" aca="1" ref="T33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3" s="552" t="str" cm="1">
        <f t="array" aca="1" ref="U33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3" s="526" cm="1">
        <f t="array" aca="1" ref="V333" ca="1">COUNTIFS(unit_details[Leased Date], "&gt;=" &amp; ($U$2 - T$5),
          unit_details[Leased Date], "&lt;" &amp; $U$2,
          unit_details[Floorplan Name], INDIRECT("C"&amp;ROW()),
          unit_details[Property Name], INDIRECT("B"&amp;ROW()))</f>
        <v>0</v>
      </c>
      <c r="W333" s="531" t="str" cm="1">
        <f t="array" aca="1" ref="W33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3" s="552" t="str" cm="1">
        <f t="array" aca="1" ref="X33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3" s="27" t="str">
        <f t="shared" ca="1" si="15"/>
        <v/>
      </c>
      <c r="Z333" s="4" t="str">
        <f>IFERROR($U$2-AVERAGEIFS(unit_details[First Listed],
          unit_details[Active Listing?],TRUE,
          unit_details[Property Name], $B333,
          unit_details[Beds], $D333,
          unit_details[Baths], $E333,
          unit_details[Partial Baths], IF(ISNUMBER($F333),$F333,""),
          unit_details[Floorplan Name],$C333
),"")</f>
        <v/>
      </c>
      <c r="AA333" s="262" cm="1">
        <f t="array" aca="1" ref="AA333" ca="1">COUNTIFS(unit_details[Active Listing?],TRUE,
          unit_details[Floorplan Name], INDIRECT("C"&amp;ROW()),
          unit_details[Property Name], INDIRECT("B"&amp;ROW()))</f>
        <v>0</v>
      </c>
      <c r="AB333" s="553"/>
      <c r="AC333" s="528" cm="1">
        <f t="array" aca="1" ref="AC333" ca="1">IFERROR(AVERAGEIFS(
  unit_details[Sqft],
  unit_details[Property Name], INDIRECT("B"&amp;ROW()),
  unit_details[Floorplan Name], INDIRECT("C"&amp;ROW()),
  unit_details[Beds], INDIRECT("D"&amp;ROW()),
  unit_details[Detected Unit Amenities], "*"&amp;$AD$3&amp;"*",
  unit_details[Leased Date], "&gt;=" &amp; ($U$2 - $AF$3)
),0)</f>
        <v>0</v>
      </c>
      <c r="AD333" s="527" cm="1">
        <f t="array" aca="1" ref="AD3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3" s="526" cm="1">
        <f t="array" aca="1" ref="AE333" ca="1">IFERROR(COUNTIFS(
  unit_details[Property Name], INDIRECT("B"&amp;ROW()),
  unit_details[Floorplan Name], INDIRECT("C"&amp;ROW()),
  unit_details[Beds], INDIRECT("D"&amp;ROW()),
  unit_details[Detected Unit Amenities], "*"&amp;$AD$3&amp;"*",
  unit_details[Leased Date], "&gt;=" &amp; ($U$2 - $AF$3)
),0)</f>
        <v>0</v>
      </c>
      <c r="AF333" s="528" cm="1">
        <f t="array" aca="1" ref="AF333" ca="1">IFERROR(AVERAGEIFS(
  unit_details[Sqft],
  unit_details[Property Name], INDIRECT("B"&amp;ROW()),
  unit_details[Floorplan Name], INDIRECT("C"&amp;ROW()),
  unit_details[Beds], INDIRECT("D"&amp;ROW()),
  unit_details[Detected Unit Amenities], "&lt;&gt;*"&amp;$AD$3&amp;"*",
  unit_details[Leased Date], "&gt;=" &amp; ($U$2 - $AF$3)
),0)</f>
        <v>0</v>
      </c>
      <c r="AG333" s="527" cm="1">
        <f t="array" aca="1" ref="AG3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3" s="526" cm="1">
        <f t="array" aca="1" ref="AH333" ca="1">IFERROR(COUNTIFS(
  unit_details[Property Name], INDIRECT("B"&amp;ROW()),
  unit_details[Floorplan Name], INDIRECT("C"&amp;ROW()),
  unit_details[Beds], INDIRECT("D"&amp;ROW()),
  unit_details[Detected Unit Amenities], "&lt;&gt;*"&amp;$AD$3&amp;"*",
  unit_details[Leased Date], "&gt;=" &amp; ($U$2 - $AF$3)
),0)</f>
        <v>0</v>
      </c>
      <c r="AI333" s="528"/>
      <c r="AJ333" s="531">
        <f t="shared" ca="1" si="16"/>
        <v>0</v>
      </c>
      <c r="AK333" s="532">
        <f t="shared" ca="1" si="17"/>
        <v>0</v>
      </c>
    </row>
    <row r="334" spans="2:37" x14ac:dyDescent="0.2">
      <c r="J334" s="293"/>
      <c r="N334" s="531" t="str" cm="1">
        <f t="array" aca="1" ref="N33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4" s="552" t="str" cm="1">
        <f t="array" aca="1" ref="O33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4" s="526" cm="1">
        <f t="array" aca="1" ref="P334" ca="1">COUNTIFS(unit_details[Leased Date], "&gt;=" &amp; ($U$2 - N$5),
          unit_details[Leased Date], "&lt;" &amp; $U$2,
          unit_details[Floorplan Name], INDIRECT("C"&amp;ROW()),
          unit_details[Property Name], INDIRECT("B"&amp;ROW()))</f>
        <v>0</v>
      </c>
      <c r="Q334" s="531" t="str" cm="1">
        <f t="array" aca="1" ref="Q33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4" s="552" t="str" cm="1">
        <f t="array" aca="1" ref="R33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4" s="526" cm="1">
        <f t="array" aca="1" ref="S334" ca="1">COUNTIFS(unit_details[Leased Date], "&gt;=" &amp; ($U$2 - Q$5),
          unit_details[Leased Date], "&lt;" &amp; $U$2,
          unit_details[Floorplan Name], INDIRECT("C"&amp;ROW()),
          unit_details[Property Name], INDIRECT("B"&amp;ROW()))</f>
        <v>0</v>
      </c>
      <c r="T334" s="531" t="str" cm="1">
        <f t="array" aca="1" ref="T33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4" s="552" t="str" cm="1">
        <f t="array" aca="1" ref="U33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4" s="526" cm="1">
        <f t="array" aca="1" ref="V334" ca="1">COUNTIFS(unit_details[Leased Date], "&gt;=" &amp; ($U$2 - T$5),
          unit_details[Leased Date], "&lt;" &amp; $U$2,
          unit_details[Floorplan Name], INDIRECT("C"&amp;ROW()),
          unit_details[Property Name], INDIRECT("B"&amp;ROW()))</f>
        <v>0</v>
      </c>
      <c r="W334" s="531" t="str" cm="1">
        <f t="array" aca="1" ref="W33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4" s="552" t="str" cm="1">
        <f t="array" aca="1" ref="X33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4" s="27" t="str">
        <f t="shared" ca="1" si="15"/>
        <v/>
      </c>
      <c r="Z334" s="4" t="str">
        <f>IFERROR($U$2-AVERAGEIFS(unit_details[First Listed],
          unit_details[Active Listing?],TRUE,
          unit_details[Property Name], $B334,
          unit_details[Beds], $D334,
          unit_details[Baths], $E334,
          unit_details[Partial Baths], IF(ISNUMBER($F334),$F334,""),
          unit_details[Floorplan Name],$C334
),"")</f>
        <v/>
      </c>
      <c r="AA334" s="262" cm="1">
        <f t="array" aca="1" ref="AA334" ca="1">COUNTIFS(unit_details[Active Listing?],TRUE,
          unit_details[Floorplan Name], INDIRECT("C"&amp;ROW()),
          unit_details[Property Name], INDIRECT("B"&amp;ROW()))</f>
        <v>0</v>
      </c>
      <c r="AB334" s="553"/>
      <c r="AC334" s="528" cm="1">
        <f t="array" aca="1" ref="AC334" ca="1">IFERROR(AVERAGEIFS(
  unit_details[Sqft],
  unit_details[Property Name], INDIRECT("B"&amp;ROW()),
  unit_details[Floorplan Name], INDIRECT("C"&amp;ROW()),
  unit_details[Beds], INDIRECT("D"&amp;ROW()),
  unit_details[Detected Unit Amenities], "*"&amp;$AD$3&amp;"*",
  unit_details[Leased Date], "&gt;=" &amp; ($U$2 - $AF$3)
),0)</f>
        <v>0</v>
      </c>
      <c r="AD334" s="527" cm="1">
        <f t="array" aca="1" ref="AD3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4" s="526" cm="1">
        <f t="array" aca="1" ref="AE334" ca="1">IFERROR(COUNTIFS(
  unit_details[Property Name], INDIRECT("B"&amp;ROW()),
  unit_details[Floorplan Name], INDIRECT("C"&amp;ROW()),
  unit_details[Beds], INDIRECT("D"&amp;ROW()),
  unit_details[Detected Unit Amenities], "*"&amp;$AD$3&amp;"*",
  unit_details[Leased Date], "&gt;=" &amp; ($U$2 - $AF$3)
),0)</f>
        <v>0</v>
      </c>
      <c r="AF334" s="528" cm="1">
        <f t="array" aca="1" ref="AF334" ca="1">IFERROR(AVERAGEIFS(
  unit_details[Sqft],
  unit_details[Property Name], INDIRECT("B"&amp;ROW()),
  unit_details[Floorplan Name], INDIRECT("C"&amp;ROW()),
  unit_details[Beds], INDIRECT("D"&amp;ROW()),
  unit_details[Detected Unit Amenities], "&lt;&gt;*"&amp;$AD$3&amp;"*",
  unit_details[Leased Date], "&gt;=" &amp; ($U$2 - $AF$3)
),0)</f>
        <v>0</v>
      </c>
      <c r="AG334" s="527" cm="1">
        <f t="array" aca="1" ref="AG3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4" s="526" cm="1">
        <f t="array" aca="1" ref="AH334" ca="1">IFERROR(COUNTIFS(
  unit_details[Property Name], INDIRECT("B"&amp;ROW()),
  unit_details[Floorplan Name], INDIRECT("C"&amp;ROW()),
  unit_details[Beds], INDIRECT("D"&amp;ROW()),
  unit_details[Detected Unit Amenities], "&lt;&gt;*"&amp;$AD$3&amp;"*",
  unit_details[Leased Date], "&gt;=" &amp; ($U$2 - $AF$3)
),0)</f>
        <v>0</v>
      </c>
      <c r="AI334" s="528"/>
      <c r="AJ334" s="531">
        <f t="shared" ca="1" si="16"/>
        <v>0</v>
      </c>
      <c r="AK334" s="532">
        <f t="shared" ca="1" si="17"/>
        <v>0</v>
      </c>
    </row>
    <row r="335" spans="2:37" x14ac:dyDescent="0.2">
      <c r="J335" s="293"/>
      <c r="N335" s="531" t="str" cm="1">
        <f t="array" aca="1" ref="N33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5" s="552" t="str" cm="1">
        <f t="array" aca="1" ref="O33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5" s="526" cm="1">
        <f t="array" aca="1" ref="P335" ca="1">COUNTIFS(unit_details[Leased Date], "&gt;=" &amp; ($U$2 - N$5),
          unit_details[Leased Date], "&lt;" &amp; $U$2,
          unit_details[Floorplan Name], INDIRECT("C"&amp;ROW()),
          unit_details[Property Name], INDIRECT("B"&amp;ROW()))</f>
        <v>0</v>
      </c>
      <c r="Q335" s="531" t="str" cm="1">
        <f t="array" aca="1" ref="Q33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5" s="552" t="str" cm="1">
        <f t="array" aca="1" ref="R33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5" s="526" cm="1">
        <f t="array" aca="1" ref="S335" ca="1">COUNTIFS(unit_details[Leased Date], "&gt;=" &amp; ($U$2 - Q$5),
          unit_details[Leased Date], "&lt;" &amp; $U$2,
          unit_details[Floorplan Name], INDIRECT("C"&amp;ROW()),
          unit_details[Property Name], INDIRECT("B"&amp;ROW()))</f>
        <v>0</v>
      </c>
      <c r="T335" s="531" t="str" cm="1">
        <f t="array" aca="1" ref="T33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5" s="552" t="str" cm="1">
        <f t="array" aca="1" ref="U33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5" s="526" cm="1">
        <f t="array" aca="1" ref="V335" ca="1">COUNTIFS(unit_details[Leased Date], "&gt;=" &amp; ($U$2 - T$5),
          unit_details[Leased Date], "&lt;" &amp; $U$2,
          unit_details[Floorplan Name], INDIRECT("C"&amp;ROW()),
          unit_details[Property Name], INDIRECT("B"&amp;ROW()))</f>
        <v>0</v>
      </c>
      <c r="W335" s="531" t="str" cm="1">
        <f t="array" aca="1" ref="W33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5" s="552" t="str" cm="1">
        <f t="array" aca="1" ref="X33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5" s="27" t="str">
        <f t="shared" ca="1" si="15"/>
        <v/>
      </c>
      <c r="Z335" s="4" t="str">
        <f>IFERROR($U$2-AVERAGEIFS(unit_details[First Listed],
          unit_details[Active Listing?],TRUE,
          unit_details[Property Name], $B335,
          unit_details[Beds], $D335,
          unit_details[Baths], $E335,
          unit_details[Partial Baths], IF(ISNUMBER($F335),$F335,""),
          unit_details[Floorplan Name],$C335
),"")</f>
        <v/>
      </c>
      <c r="AA335" s="262" cm="1">
        <f t="array" aca="1" ref="AA335" ca="1">COUNTIFS(unit_details[Active Listing?],TRUE,
          unit_details[Floorplan Name], INDIRECT("C"&amp;ROW()),
          unit_details[Property Name], INDIRECT("B"&amp;ROW()))</f>
        <v>0</v>
      </c>
      <c r="AB335" s="553"/>
      <c r="AC335" s="528" cm="1">
        <f t="array" aca="1" ref="AC335" ca="1">IFERROR(AVERAGEIFS(
  unit_details[Sqft],
  unit_details[Property Name], INDIRECT("B"&amp;ROW()),
  unit_details[Floorplan Name], INDIRECT("C"&amp;ROW()),
  unit_details[Beds], INDIRECT("D"&amp;ROW()),
  unit_details[Detected Unit Amenities], "*"&amp;$AD$3&amp;"*",
  unit_details[Leased Date], "&gt;=" &amp; ($U$2 - $AF$3)
),0)</f>
        <v>0</v>
      </c>
      <c r="AD335" s="527" cm="1">
        <f t="array" aca="1" ref="AD3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5" s="526" cm="1">
        <f t="array" aca="1" ref="AE335" ca="1">IFERROR(COUNTIFS(
  unit_details[Property Name], INDIRECT("B"&amp;ROW()),
  unit_details[Floorplan Name], INDIRECT("C"&amp;ROW()),
  unit_details[Beds], INDIRECT("D"&amp;ROW()),
  unit_details[Detected Unit Amenities], "*"&amp;$AD$3&amp;"*",
  unit_details[Leased Date], "&gt;=" &amp; ($U$2 - $AF$3)
),0)</f>
        <v>0</v>
      </c>
      <c r="AF335" s="528" cm="1">
        <f t="array" aca="1" ref="AF335" ca="1">IFERROR(AVERAGEIFS(
  unit_details[Sqft],
  unit_details[Property Name], INDIRECT("B"&amp;ROW()),
  unit_details[Floorplan Name], INDIRECT("C"&amp;ROW()),
  unit_details[Beds], INDIRECT("D"&amp;ROW()),
  unit_details[Detected Unit Amenities], "&lt;&gt;*"&amp;$AD$3&amp;"*",
  unit_details[Leased Date], "&gt;=" &amp; ($U$2 - $AF$3)
),0)</f>
        <v>0</v>
      </c>
      <c r="AG335" s="527" cm="1">
        <f t="array" aca="1" ref="AG3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5" s="526" cm="1">
        <f t="array" aca="1" ref="AH335" ca="1">IFERROR(COUNTIFS(
  unit_details[Property Name], INDIRECT("B"&amp;ROW()),
  unit_details[Floorplan Name], INDIRECT("C"&amp;ROW()),
  unit_details[Beds], INDIRECT("D"&amp;ROW()),
  unit_details[Detected Unit Amenities], "&lt;&gt;*"&amp;$AD$3&amp;"*",
  unit_details[Leased Date], "&gt;=" &amp; ($U$2 - $AF$3)
),0)</f>
        <v>0</v>
      </c>
      <c r="AI335" s="528"/>
      <c r="AJ335" s="531">
        <f t="shared" ca="1" si="16"/>
        <v>0</v>
      </c>
      <c r="AK335" s="532">
        <f t="shared" ca="1" si="17"/>
        <v>0</v>
      </c>
    </row>
    <row r="336" spans="2:37" x14ac:dyDescent="0.2">
      <c r="J336" s="293"/>
      <c r="N336" s="531" t="str" cm="1">
        <f t="array" aca="1" ref="N33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6" s="552" t="str" cm="1">
        <f t="array" aca="1" ref="O33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6" s="526" cm="1">
        <f t="array" aca="1" ref="P336" ca="1">COUNTIFS(unit_details[Leased Date], "&gt;=" &amp; ($U$2 - N$5),
          unit_details[Leased Date], "&lt;" &amp; $U$2,
          unit_details[Floorplan Name], INDIRECT("C"&amp;ROW()),
          unit_details[Property Name], INDIRECT("B"&amp;ROW()))</f>
        <v>0</v>
      </c>
      <c r="Q336" s="531" t="str" cm="1">
        <f t="array" aca="1" ref="Q33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6" s="552" t="str" cm="1">
        <f t="array" aca="1" ref="R33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6" s="526" cm="1">
        <f t="array" aca="1" ref="S336" ca="1">COUNTIFS(unit_details[Leased Date], "&gt;=" &amp; ($U$2 - Q$5),
          unit_details[Leased Date], "&lt;" &amp; $U$2,
          unit_details[Floorplan Name], INDIRECT("C"&amp;ROW()),
          unit_details[Property Name], INDIRECT("B"&amp;ROW()))</f>
        <v>0</v>
      </c>
      <c r="T336" s="531" t="str" cm="1">
        <f t="array" aca="1" ref="T33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6" s="552" t="str" cm="1">
        <f t="array" aca="1" ref="U33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6" s="526" cm="1">
        <f t="array" aca="1" ref="V336" ca="1">COUNTIFS(unit_details[Leased Date], "&gt;=" &amp; ($U$2 - T$5),
          unit_details[Leased Date], "&lt;" &amp; $U$2,
          unit_details[Floorplan Name], INDIRECT("C"&amp;ROW()),
          unit_details[Property Name], INDIRECT("B"&amp;ROW()))</f>
        <v>0</v>
      </c>
      <c r="W336" s="531" t="str" cm="1">
        <f t="array" aca="1" ref="W33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6" s="552" t="str" cm="1">
        <f t="array" aca="1" ref="X33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6" s="27" t="str">
        <f t="shared" ca="1" si="15"/>
        <v/>
      </c>
      <c r="Z336" s="4" t="str">
        <f>IFERROR($U$2-AVERAGEIFS(unit_details[First Listed],
          unit_details[Active Listing?],TRUE,
          unit_details[Property Name], $B336,
          unit_details[Beds], $D336,
          unit_details[Baths], $E336,
          unit_details[Partial Baths], IF(ISNUMBER($F336),$F336,""),
          unit_details[Floorplan Name],$C336
),"")</f>
        <v/>
      </c>
      <c r="AA336" s="262" cm="1">
        <f t="array" aca="1" ref="AA336" ca="1">COUNTIFS(unit_details[Active Listing?],TRUE,
          unit_details[Floorplan Name], INDIRECT("C"&amp;ROW()),
          unit_details[Property Name], INDIRECT("B"&amp;ROW()))</f>
        <v>0</v>
      </c>
      <c r="AB336" s="553"/>
      <c r="AC336" s="528" cm="1">
        <f t="array" aca="1" ref="AC336" ca="1">IFERROR(AVERAGEIFS(
  unit_details[Sqft],
  unit_details[Property Name], INDIRECT("B"&amp;ROW()),
  unit_details[Floorplan Name], INDIRECT("C"&amp;ROW()),
  unit_details[Beds], INDIRECT("D"&amp;ROW()),
  unit_details[Detected Unit Amenities], "*"&amp;$AD$3&amp;"*",
  unit_details[Leased Date], "&gt;=" &amp; ($U$2 - $AF$3)
),0)</f>
        <v>0</v>
      </c>
      <c r="AD336" s="527" cm="1">
        <f t="array" aca="1" ref="AD3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6" s="526" cm="1">
        <f t="array" aca="1" ref="AE336" ca="1">IFERROR(COUNTIFS(
  unit_details[Property Name], INDIRECT("B"&amp;ROW()),
  unit_details[Floorplan Name], INDIRECT("C"&amp;ROW()),
  unit_details[Beds], INDIRECT("D"&amp;ROW()),
  unit_details[Detected Unit Amenities], "*"&amp;$AD$3&amp;"*",
  unit_details[Leased Date], "&gt;=" &amp; ($U$2 - $AF$3)
),0)</f>
        <v>0</v>
      </c>
      <c r="AF336" s="528" cm="1">
        <f t="array" aca="1" ref="AF336" ca="1">IFERROR(AVERAGEIFS(
  unit_details[Sqft],
  unit_details[Property Name], INDIRECT("B"&amp;ROW()),
  unit_details[Floorplan Name], INDIRECT("C"&amp;ROW()),
  unit_details[Beds], INDIRECT("D"&amp;ROW()),
  unit_details[Detected Unit Amenities], "&lt;&gt;*"&amp;$AD$3&amp;"*",
  unit_details[Leased Date], "&gt;=" &amp; ($U$2 - $AF$3)
),0)</f>
        <v>0</v>
      </c>
      <c r="AG336" s="527" cm="1">
        <f t="array" aca="1" ref="AG3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6" s="526" cm="1">
        <f t="array" aca="1" ref="AH336" ca="1">IFERROR(COUNTIFS(
  unit_details[Property Name], INDIRECT("B"&amp;ROW()),
  unit_details[Floorplan Name], INDIRECT("C"&amp;ROW()),
  unit_details[Beds], INDIRECT("D"&amp;ROW()),
  unit_details[Detected Unit Amenities], "&lt;&gt;*"&amp;$AD$3&amp;"*",
  unit_details[Leased Date], "&gt;=" &amp; ($U$2 - $AF$3)
),0)</f>
        <v>0</v>
      </c>
      <c r="AI336" s="528"/>
      <c r="AJ336" s="531">
        <f t="shared" ca="1" si="16"/>
        <v>0</v>
      </c>
      <c r="AK336" s="532">
        <f t="shared" ca="1" si="17"/>
        <v>0</v>
      </c>
    </row>
    <row r="337" spans="10:37" x14ac:dyDescent="0.2">
      <c r="J337" s="293"/>
      <c r="N337" s="531" t="str" cm="1">
        <f t="array" aca="1" ref="N33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7" s="552" t="str" cm="1">
        <f t="array" aca="1" ref="O33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7" s="526" cm="1">
        <f t="array" aca="1" ref="P337" ca="1">COUNTIFS(unit_details[Leased Date], "&gt;=" &amp; ($U$2 - N$5),
          unit_details[Leased Date], "&lt;" &amp; $U$2,
          unit_details[Floorplan Name], INDIRECT("C"&amp;ROW()),
          unit_details[Property Name], INDIRECT("B"&amp;ROW()))</f>
        <v>0</v>
      </c>
      <c r="Q337" s="531" t="str" cm="1">
        <f t="array" aca="1" ref="Q33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7" s="552" t="str" cm="1">
        <f t="array" aca="1" ref="R33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7" s="526" cm="1">
        <f t="array" aca="1" ref="S337" ca="1">COUNTIFS(unit_details[Leased Date], "&gt;=" &amp; ($U$2 - Q$5),
          unit_details[Leased Date], "&lt;" &amp; $U$2,
          unit_details[Floorplan Name], INDIRECT("C"&amp;ROW()),
          unit_details[Property Name], INDIRECT("B"&amp;ROW()))</f>
        <v>0</v>
      </c>
      <c r="T337" s="531" t="str" cm="1">
        <f t="array" aca="1" ref="T33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7" s="552" t="str" cm="1">
        <f t="array" aca="1" ref="U33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7" s="526" cm="1">
        <f t="array" aca="1" ref="V337" ca="1">COUNTIFS(unit_details[Leased Date], "&gt;=" &amp; ($U$2 - T$5),
          unit_details[Leased Date], "&lt;" &amp; $U$2,
          unit_details[Floorplan Name], INDIRECT("C"&amp;ROW()),
          unit_details[Property Name], INDIRECT("B"&amp;ROW()))</f>
        <v>0</v>
      </c>
      <c r="W337" s="531" t="str" cm="1">
        <f t="array" aca="1" ref="W33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7" s="552" t="str" cm="1">
        <f t="array" aca="1" ref="X33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7" s="27" t="str">
        <f t="shared" ca="1" si="15"/>
        <v/>
      </c>
      <c r="Z337" s="4" t="str">
        <f>IFERROR($U$2-AVERAGEIFS(unit_details[First Listed],
          unit_details[Active Listing?],TRUE,
          unit_details[Property Name], $B337,
          unit_details[Beds], $D337,
          unit_details[Baths], $E337,
          unit_details[Partial Baths], IF(ISNUMBER($F337),$F337,""),
          unit_details[Floorplan Name],$C337
),"")</f>
        <v/>
      </c>
      <c r="AA337" s="262" cm="1">
        <f t="array" aca="1" ref="AA337" ca="1">COUNTIFS(unit_details[Active Listing?],TRUE,
          unit_details[Floorplan Name], INDIRECT("C"&amp;ROW()),
          unit_details[Property Name], INDIRECT("B"&amp;ROW()))</f>
        <v>0</v>
      </c>
      <c r="AB337" s="553"/>
      <c r="AC337" s="528" cm="1">
        <f t="array" aca="1" ref="AC337" ca="1">IFERROR(AVERAGEIFS(
  unit_details[Sqft],
  unit_details[Property Name], INDIRECT("B"&amp;ROW()),
  unit_details[Floorplan Name], INDIRECT("C"&amp;ROW()),
  unit_details[Beds], INDIRECT("D"&amp;ROW()),
  unit_details[Detected Unit Amenities], "*"&amp;$AD$3&amp;"*",
  unit_details[Leased Date], "&gt;=" &amp; ($U$2 - $AF$3)
),0)</f>
        <v>0</v>
      </c>
      <c r="AD337" s="527" cm="1">
        <f t="array" aca="1" ref="AD3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7" s="526" cm="1">
        <f t="array" aca="1" ref="AE337" ca="1">IFERROR(COUNTIFS(
  unit_details[Property Name], INDIRECT("B"&amp;ROW()),
  unit_details[Floorplan Name], INDIRECT("C"&amp;ROW()),
  unit_details[Beds], INDIRECT("D"&amp;ROW()),
  unit_details[Detected Unit Amenities], "*"&amp;$AD$3&amp;"*",
  unit_details[Leased Date], "&gt;=" &amp; ($U$2 - $AF$3)
),0)</f>
        <v>0</v>
      </c>
      <c r="AF337" s="528" cm="1">
        <f t="array" aca="1" ref="AF337" ca="1">IFERROR(AVERAGEIFS(
  unit_details[Sqft],
  unit_details[Property Name], INDIRECT("B"&amp;ROW()),
  unit_details[Floorplan Name], INDIRECT("C"&amp;ROW()),
  unit_details[Beds], INDIRECT("D"&amp;ROW()),
  unit_details[Detected Unit Amenities], "&lt;&gt;*"&amp;$AD$3&amp;"*",
  unit_details[Leased Date], "&gt;=" &amp; ($U$2 - $AF$3)
),0)</f>
        <v>0</v>
      </c>
      <c r="AG337" s="527" cm="1">
        <f t="array" aca="1" ref="AG3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7" s="526" cm="1">
        <f t="array" aca="1" ref="AH337" ca="1">IFERROR(COUNTIFS(
  unit_details[Property Name], INDIRECT("B"&amp;ROW()),
  unit_details[Floorplan Name], INDIRECT("C"&amp;ROW()),
  unit_details[Beds], INDIRECT("D"&amp;ROW()),
  unit_details[Detected Unit Amenities], "&lt;&gt;*"&amp;$AD$3&amp;"*",
  unit_details[Leased Date], "&gt;=" &amp; ($U$2 - $AF$3)
),0)</f>
        <v>0</v>
      </c>
      <c r="AI337" s="528"/>
      <c r="AJ337" s="531">
        <f t="shared" ca="1" si="16"/>
        <v>0</v>
      </c>
      <c r="AK337" s="532">
        <f t="shared" ca="1" si="17"/>
        <v>0</v>
      </c>
    </row>
    <row r="338" spans="10:37" x14ac:dyDescent="0.2">
      <c r="J338" s="293"/>
      <c r="N338" s="531" t="str" cm="1">
        <f t="array" aca="1" ref="N33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8" s="552" t="str" cm="1">
        <f t="array" aca="1" ref="O33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8" s="526" cm="1">
        <f t="array" aca="1" ref="P338" ca="1">COUNTIFS(unit_details[Leased Date], "&gt;=" &amp; ($U$2 - N$5),
          unit_details[Leased Date], "&lt;" &amp; $U$2,
          unit_details[Floorplan Name], INDIRECT("C"&amp;ROW()),
          unit_details[Property Name], INDIRECT("B"&amp;ROW()))</f>
        <v>0</v>
      </c>
      <c r="Q338" s="531" t="str" cm="1">
        <f t="array" aca="1" ref="Q33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8" s="552" t="str" cm="1">
        <f t="array" aca="1" ref="R33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8" s="526" cm="1">
        <f t="array" aca="1" ref="S338" ca="1">COUNTIFS(unit_details[Leased Date], "&gt;=" &amp; ($U$2 - Q$5),
          unit_details[Leased Date], "&lt;" &amp; $U$2,
          unit_details[Floorplan Name], INDIRECT("C"&amp;ROW()),
          unit_details[Property Name], INDIRECT("B"&amp;ROW()))</f>
        <v>0</v>
      </c>
      <c r="T338" s="531" t="str" cm="1">
        <f t="array" aca="1" ref="T33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8" s="552" t="str" cm="1">
        <f t="array" aca="1" ref="U33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8" s="526" cm="1">
        <f t="array" aca="1" ref="V338" ca="1">COUNTIFS(unit_details[Leased Date], "&gt;=" &amp; ($U$2 - T$5),
          unit_details[Leased Date], "&lt;" &amp; $U$2,
          unit_details[Floorplan Name], INDIRECT("C"&amp;ROW()),
          unit_details[Property Name], INDIRECT("B"&amp;ROW()))</f>
        <v>0</v>
      </c>
      <c r="W338" s="531" t="str" cm="1">
        <f t="array" aca="1" ref="W33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8" s="552" t="str" cm="1">
        <f t="array" aca="1" ref="X33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8" s="27" t="str">
        <f t="shared" ca="1" si="15"/>
        <v/>
      </c>
      <c r="Z338" s="4" t="str">
        <f>IFERROR($U$2-AVERAGEIFS(unit_details[First Listed],
          unit_details[Active Listing?],TRUE,
          unit_details[Property Name], $B338,
          unit_details[Beds], $D338,
          unit_details[Baths], $E338,
          unit_details[Partial Baths], IF(ISNUMBER($F338),$F338,""),
          unit_details[Floorplan Name],$C338
),"")</f>
        <v/>
      </c>
      <c r="AA338" s="262" cm="1">
        <f t="array" aca="1" ref="AA338" ca="1">COUNTIFS(unit_details[Active Listing?],TRUE,
          unit_details[Floorplan Name], INDIRECT("C"&amp;ROW()),
          unit_details[Property Name], INDIRECT("B"&amp;ROW()))</f>
        <v>0</v>
      </c>
      <c r="AB338" s="553"/>
      <c r="AC338" s="528" cm="1">
        <f t="array" aca="1" ref="AC338" ca="1">IFERROR(AVERAGEIFS(
  unit_details[Sqft],
  unit_details[Property Name], INDIRECT("B"&amp;ROW()),
  unit_details[Floorplan Name], INDIRECT("C"&amp;ROW()),
  unit_details[Beds], INDIRECT("D"&amp;ROW()),
  unit_details[Detected Unit Amenities], "*"&amp;$AD$3&amp;"*",
  unit_details[Leased Date], "&gt;=" &amp; ($U$2 - $AF$3)
),0)</f>
        <v>0</v>
      </c>
      <c r="AD338" s="527" cm="1">
        <f t="array" aca="1" ref="AD3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8" s="526" cm="1">
        <f t="array" aca="1" ref="AE338" ca="1">IFERROR(COUNTIFS(
  unit_details[Property Name], INDIRECT("B"&amp;ROW()),
  unit_details[Floorplan Name], INDIRECT("C"&amp;ROW()),
  unit_details[Beds], INDIRECT("D"&amp;ROW()),
  unit_details[Detected Unit Amenities], "*"&amp;$AD$3&amp;"*",
  unit_details[Leased Date], "&gt;=" &amp; ($U$2 - $AF$3)
),0)</f>
        <v>0</v>
      </c>
      <c r="AF338" s="528" cm="1">
        <f t="array" aca="1" ref="AF338" ca="1">IFERROR(AVERAGEIFS(
  unit_details[Sqft],
  unit_details[Property Name], INDIRECT("B"&amp;ROW()),
  unit_details[Floorplan Name], INDIRECT("C"&amp;ROW()),
  unit_details[Beds], INDIRECT("D"&amp;ROW()),
  unit_details[Detected Unit Amenities], "&lt;&gt;*"&amp;$AD$3&amp;"*",
  unit_details[Leased Date], "&gt;=" &amp; ($U$2 - $AF$3)
),0)</f>
        <v>0</v>
      </c>
      <c r="AG338" s="527" cm="1">
        <f t="array" aca="1" ref="AG3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8" s="526" cm="1">
        <f t="array" aca="1" ref="AH338" ca="1">IFERROR(COUNTIFS(
  unit_details[Property Name], INDIRECT("B"&amp;ROW()),
  unit_details[Floorplan Name], INDIRECT("C"&amp;ROW()),
  unit_details[Beds], INDIRECT("D"&amp;ROW()),
  unit_details[Detected Unit Amenities], "&lt;&gt;*"&amp;$AD$3&amp;"*",
  unit_details[Leased Date], "&gt;=" &amp; ($U$2 - $AF$3)
),0)</f>
        <v>0</v>
      </c>
      <c r="AI338" s="528"/>
      <c r="AJ338" s="531">
        <f t="shared" ca="1" si="16"/>
        <v>0</v>
      </c>
      <c r="AK338" s="532">
        <f t="shared" ca="1" si="17"/>
        <v>0</v>
      </c>
    </row>
    <row r="339" spans="10:37" x14ac:dyDescent="0.2">
      <c r="J339" s="293"/>
      <c r="N339" s="531" t="str" cm="1">
        <f t="array" aca="1" ref="N33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39" s="552" t="str" cm="1">
        <f t="array" aca="1" ref="O33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39" s="526" cm="1">
        <f t="array" aca="1" ref="P339" ca="1">COUNTIFS(unit_details[Leased Date], "&gt;=" &amp; ($U$2 - N$5),
          unit_details[Leased Date], "&lt;" &amp; $U$2,
          unit_details[Floorplan Name], INDIRECT("C"&amp;ROW()),
          unit_details[Property Name], INDIRECT("B"&amp;ROW()))</f>
        <v>0</v>
      </c>
      <c r="Q339" s="531" t="str" cm="1">
        <f t="array" aca="1" ref="Q33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39" s="552" t="str" cm="1">
        <f t="array" aca="1" ref="R33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39" s="526" cm="1">
        <f t="array" aca="1" ref="S339" ca="1">COUNTIFS(unit_details[Leased Date], "&gt;=" &amp; ($U$2 - Q$5),
          unit_details[Leased Date], "&lt;" &amp; $U$2,
          unit_details[Floorplan Name], INDIRECT("C"&amp;ROW()),
          unit_details[Property Name], INDIRECT("B"&amp;ROW()))</f>
        <v>0</v>
      </c>
      <c r="T339" s="531" t="str" cm="1">
        <f t="array" aca="1" ref="T33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39" s="552" t="str" cm="1">
        <f t="array" aca="1" ref="U33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39" s="526" cm="1">
        <f t="array" aca="1" ref="V339" ca="1">COUNTIFS(unit_details[Leased Date], "&gt;=" &amp; ($U$2 - T$5),
          unit_details[Leased Date], "&lt;" &amp; $U$2,
          unit_details[Floorplan Name], INDIRECT("C"&amp;ROW()),
          unit_details[Property Name], INDIRECT("B"&amp;ROW()))</f>
        <v>0</v>
      </c>
      <c r="W339" s="531" t="str" cm="1">
        <f t="array" aca="1" ref="W33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39" s="552" t="str" cm="1">
        <f t="array" aca="1" ref="X33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39" s="27" t="str">
        <f t="shared" ca="1" si="15"/>
        <v/>
      </c>
      <c r="Z339" s="4" t="str">
        <f>IFERROR($U$2-AVERAGEIFS(unit_details[First Listed],
          unit_details[Active Listing?],TRUE,
          unit_details[Property Name], $B339,
          unit_details[Beds], $D339,
          unit_details[Baths], $E339,
          unit_details[Partial Baths], IF(ISNUMBER($F339),$F339,""),
          unit_details[Floorplan Name],$C339
),"")</f>
        <v/>
      </c>
      <c r="AA339" s="262" cm="1">
        <f t="array" aca="1" ref="AA339" ca="1">COUNTIFS(unit_details[Active Listing?],TRUE,
          unit_details[Floorplan Name], INDIRECT("C"&amp;ROW()),
          unit_details[Property Name], INDIRECT("B"&amp;ROW()))</f>
        <v>0</v>
      </c>
      <c r="AB339" s="553"/>
      <c r="AC339" s="528" cm="1">
        <f t="array" aca="1" ref="AC339" ca="1">IFERROR(AVERAGEIFS(
  unit_details[Sqft],
  unit_details[Property Name], INDIRECT("B"&amp;ROW()),
  unit_details[Floorplan Name], INDIRECT("C"&amp;ROW()),
  unit_details[Beds], INDIRECT("D"&amp;ROW()),
  unit_details[Detected Unit Amenities], "*"&amp;$AD$3&amp;"*",
  unit_details[Leased Date], "&gt;=" &amp; ($U$2 - $AF$3)
),0)</f>
        <v>0</v>
      </c>
      <c r="AD339" s="527" cm="1">
        <f t="array" aca="1" ref="AD3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39" s="526" cm="1">
        <f t="array" aca="1" ref="AE339" ca="1">IFERROR(COUNTIFS(
  unit_details[Property Name], INDIRECT("B"&amp;ROW()),
  unit_details[Floorplan Name], INDIRECT("C"&amp;ROW()),
  unit_details[Beds], INDIRECT("D"&amp;ROW()),
  unit_details[Detected Unit Amenities], "*"&amp;$AD$3&amp;"*",
  unit_details[Leased Date], "&gt;=" &amp; ($U$2 - $AF$3)
),0)</f>
        <v>0</v>
      </c>
      <c r="AF339" s="528" cm="1">
        <f t="array" aca="1" ref="AF339" ca="1">IFERROR(AVERAGEIFS(
  unit_details[Sqft],
  unit_details[Property Name], INDIRECT("B"&amp;ROW()),
  unit_details[Floorplan Name], INDIRECT("C"&amp;ROW()),
  unit_details[Beds], INDIRECT("D"&amp;ROW()),
  unit_details[Detected Unit Amenities], "&lt;&gt;*"&amp;$AD$3&amp;"*",
  unit_details[Leased Date], "&gt;=" &amp; ($U$2 - $AF$3)
),0)</f>
        <v>0</v>
      </c>
      <c r="AG339" s="527" cm="1">
        <f t="array" aca="1" ref="AG3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39" s="526" cm="1">
        <f t="array" aca="1" ref="AH339" ca="1">IFERROR(COUNTIFS(
  unit_details[Property Name], INDIRECT("B"&amp;ROW()),
  unit_details[Floorplan Name], INDIRECT("C"&amp;ROW()),
  unit_details[Beds], INDIRECT("D"&amp;ROW()),
  unit_details[Detected Unit Amenities], "&lt;&gt;*"&amp;$AD$3&amp;"*",
  unit_details[Leased Date], "&gt;=" &amp; ($U$2 - $AF$3)
),0)</f>
        <v>0</v>
      </c>
      <c r="AI339" s="528"/>
      <c r="AJ339" s="531">
        <f t="shared" ca="1" si="16"/>
        <v>0</v>
      </c>
      <c r="AK339" s="532">
        <f t="shared" ca="1" si="17"/>
        <v>0</v>
      </c>
    </row>
    <row r="340" spans="10:37" x14ac:dyDescent="0.2">
      <c r="J340" s="293"/>
      <c r="N340" s="531" t="str" cm="1">
        <f t="array" aca="1" ref="N34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0" s="552" t="str" cm="1">
        <f t="array" aca="1" ref="O34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0" s="526" cm="1">
        <f t="array" aca="1" ref="P340" ca="1">COUNTIFS(unit_details[Leased Date], "&gt;=" &amp; ($U$2 - N$5),
          unit_details[Leased Date], "&lt;" &amp; $U$2,
          unit_details[Floorplan Name], INDIRECT("C"&amp;ROW()),
          unit_details[Property Name], INDIRECT("B"&amp;ROW()))</f>
        <v>0</v>
      </c>
      <c r="Q340" s="531" t="str" cm="1">
        <f t="array" aca="1" ref="Q34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0" s="552" t="str" cm="1">
        <f t="array" aca="1" ref="R34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0" s="526" cm="1">
        <f t="array" aca="1" ref="S340" ca="1">COUNTIFS(unit_details[Leased Date], "&gt;=" &amp; ($U$2 - Q$5),
          unit_details[Leased Date], "&lt;" &amp; $U$2,
          unit_details[Floorplan Name], INDIRECT("C"&amp;ROW()),
          unit_details[Property Name], INDIRECT("B"&amp;ROW()))</f>
        <v>0</v>
      </c>
      <c r="T340" s="531" t="str" cm="1">
        <f t="array" aca="1" ref="T34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0" s="552" t="str" cm="1">
        <f t="array" aca="1" ref="U34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0" s="526" cm="1">
        <f t="array" aca="1" ref="V340" ca="1">COUNTIFS(unit_details[Leased Date], "&gt;=" &amp; ($U$2 - T$5),
          unit_details[Leased Date], "&lt;" &amp; $U$2,
          unit_details[Floorplan Name], INDIRECT("C"&amp;ROW()),
          unit_details[Property Name], INDIRECT("B"&amp;ROW()))</f>
        <v>0</v>
      </c>
      <c r="W340" s="531" t="str" cm="1">
        <f t="array" aca="1" ref="W34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0" s="552" t="str" cm="1">
        <f t="array" aca="1" ref="X34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0" s="27" t="str">
        <f t="shared" ca="1" si="15"/>
        <v/>
      </c>
      <c r="Z340" s="4" t="str">
        <f>IFERROR($U$2-AVERAGEIFS(unit_details[First Listed],
          unit_details[Active Listing?],TRUE,
          unit_details[Property Name], $B340,
          unit_details[Beds], $D340,
          unit_details[Baths], $E340,
          unit_details[Partial Baths], IF(ISNUMBER($F340),$F340,""),
          unit_details[Floorplan Name],$C340
),"")</f>
        <v/>
      </c>
      <c r="AA340" s="262" cm="1">
        <f t="array" aca="1" ref="AA340" ca="1">COUNTIFS(unit_details[Active Listing?],TRUE,
          unit_details[Floorplan Name], INDIRECT("C"&amp;ROW()),
          unit_details[Property Name], INDIRECT("B"&amp;ROW()))</f>
        <v>0</v>
      </c>
      <c r="AB340" s="553"/>
      <c r="AC340" s="528" cm="1">
        <f t="array" aca="1" ref="AC340" ca="1">IFERROR(AVERAGEIFS(
  unit_details[Sqft],
  unit_details[Property Name], INDIRECT("B"&amp;ROW()),
  unit_details[Floorplan Name], INDIRECT("C"&amp;ROW()),
  unit_details[Beds], INDIRECT("D"&amp;ROW()),
  unit_details[Detected Unit Amenities], "*"&amp;$AD$3&amp;"*",
  unit_details[Leased Date], "&gt;=" &amp; ($U$2 - $AF$3)
),0)</f>
        <v>0</v>
      </c>
      <c r="AD340" s="527" cm="1">
        <f t="array" aca="1" ref="AD3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0" s="526" cm="1">
        <f t="array" aca="1" ref="AE340" ca="1">IFERROR(COUNTIFS(
  unit_details[Property Name], INDIRECT("B"&amp;ROW()),
  unit_details[Floorplan Name], INDIRECT("C"&amp;ROW()),
  unit_details[Beds], INDIRECT("D"&amp;ROW()),
  unit_details[Detected Unit Amenities], "*"&amp;$AD$3&amp;"*",
  unit_details[Leased Date], "&gt;=" &amp; ($U$2 - $AF$3)
),0)</f>
        <v>0</v>
      </c>
      <c r="AF340" s="528" cm="1">
        <f t="array" aca="1" ref="AF340" ca="1">IFERROR(AVERAGEIFS(
  unit_details[Sqft],
  unit_details[Property Name], INDIRECT("B"&amp;ROW()),
  unit_details[Floorplan Name], INDIRECT("C"&amp;ROW()),
  unit_details[Beds], INDIRECT("D"&amp;ROW()),
  unit_details[Detected Unit Amenities], "&lt;&gt;*"&amp;$AD$3&amp;"*",
  unit_details[Leased Date], "&gt;=" &amp; ($U$2 - $AF$3)
),0)</f>
        <v>0</v>
      </c>
      <c r="AG340" s="527" cm="1">
        <f t="array" aca="1" ref="AG3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0" s="526" cm="1">
        <f t="array" aca="1" ref="AH340" ca="1">IFERROR(COUNTIFS(
  unit_details[Property Name], INDIRECT("B"&amp;ROW()),
  unit_details[Floorplan Name], INDIRECT("C"&amp;ROW()),
  unit_details[Beds], INDIRECT("D"&amp;ROW()),
  unit_details[Detected Unit Amenities], "&lt;&gt;*"&amp;$AD$3&amp;"*",
  unit_details[Leased Date], "&gt;=" &amp; ($U$2 - $AF$3)
),0)</f>
        <v>0</v>
      </c>
      <c r="AI340" s="528"/>
      <c r="AJ340" s="531">
        <f t="shared" ca="1" si="16"/>
        <v>0</v>
      </c>
      <c r="AK340" s="532">
        <f t="shared" ca="1" si="17"/>
        <v>0</v>
      </c>
    </row>
    <row r="341" spans="10:37" x14ac:dyDescent="0.2">
      <c r="J341" s="293"/>
      <c r="N341" s="531" t="str" cm="1">
        <f t="array" aca="1" ref="N34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1" s="552" t="str" cm="1">
        <f t="array" aca="1" ref="O34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1" s="526" cm="1">
        <f t="array" aca="1" ref="P341" ca="1">COUNTIFS(unit_details[Leased Date], "&gt;=" &amp; ($U$2 - N$5),
          unit_details[Leased Date], "&lt;" &amp; $U$2,
          unit_details[Floorplan Name], INDIRECT("C"&amp;ROW()),
          unit_details[Property Name], INDIRECT("B"&amp;ROW()))</f>
        <v>0</v>
      </c>
      <c r="Q341" s="531" t="str" cm="1">
        <f t="array" aca="1" ref="Q34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1" s="552" t="str" cm="1">
        <f t="array" aca="1" ref="R34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1" s="526" cm="1">
        <f t="array" aca="1" ref="S341" ca="1">COUNTIFS(unit_details[Leased Date], "&gt;=" &amp; ($U$2 - Q$5),
          unit_details[Leased Date], "&lt;" &amp; $U$2,
          unit_details[Floorplan Name], INDIRECT("C"&amp;ROW()),
          unit_details[Property Name], INDIRECT("B"&amp;ROW()))</f>
        <v>0</v>
      </c>
      <c r="T341" s="531" t="str" cm="1">
        <f t="array" aca="1" ref="T34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1" s="552" t="str" cm="1">
        <f t="array" aca="1" ref="U34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1" s="526" cm="1">
        <f t="array" aca="1" ref="V341" ca="1">COUNTIFS(unit_details[Leased Date], "&gt;=" &amp; ($U$2 - T$5),
          unit_details[Leased Date], "&lt;" &amp; $U$2,
          unit_details[Floorplan Name], INDIRECT("C"&amp;ROW()),
          unit_details[Property Name], INDIRECT("B"&amp;ROW()))</f>
        <v>0</v>
      </c>
      <c r="W341" s="531" t="str" cm="1">
        <f t="array" aca="1" ref="W34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1" s="552" t="str" cm="1">
        <f t="array" aca="1" ref="X34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1" s="27" t="str">
        <f t="shared" ca="1" si="15"/>
        <v/>
      </c>
      <c r="Z341" s="4" t="str">
        <f>IFERROR($U$2-AVERAGEIFS(unit_details[First Listed],
          unit_details[Active Listing?],TRUE,
          unit_details[Property Name], $B341,
          unit_details[Beds], $D341,
          unit_details[Baths], $E341,
          unit_details[Partial Baths], IF(ISNUMBER($F341),$F341,""),
          unit_details[Floorplan Name],$C341
),"")</f>
        <v/>
      </c>
      <c r="AA341" s="262" cm="1">
        <f t="array" aca="1" ref="AA341" ca="1">COUNTIFS(unit_details[Active Listing?],TRUE,
          unit_details[Floorplan Name], INDIRECT("C"&amp;ROW()),
          unit_details[Property Name], INDIRECT("B"&amp;ROW()))</f>
        <v>0</v>
      </c>
      <c r="AB341" s="553"/>
      <c r="AC341" s="528" cm="1">
        <f t="array" aca="1" ref="AC341" ca="1">IFERROR(AVERAGEIFS(
  unit_details[Sqft],
  unit_details[Property Name], INDIRECT("B"&amp;ROW()),
  unit_details[Floorplan Name], INDIRECT("C"&amp;ROW()),
  unit_details[Beds], INDIRECT("D"&amp;ROW()),
  unit_details[Detected Unit Amenities], "*"&amp;$AD$3&amp;"*",
  unit_details[Leased Date], "&gt;=" &amp; ($U$2 - $AF$3)
),0)</f>
        <v>0</v>
      </c>
      <c r="AD341" s="527" cm="1">
        <f t="array" aca="1" ref="AD3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1" s="526" cm="1">
        <f t="array" aca="1" ref="AE341" ca="1">IFERROR(COUNTIFS(
  unit_details[Property Name], INDIRECT("B"&amp;ROW()),
  unit_details[Floorplan Name], INDIRECT("C"&amp;ROW()),
  unit_details[Beds], INDIRECT("D"&amp;ROW()),
  unit_details[Detected Unit Amenities], "*"&amp;$AD$3&amp;"*",
  unit_details[Leased Date], "&gt;=" &amp; ($U$2 - $AF$3)
),0)</f>
        <v>0</v>
      </c>
      <c r="AF341" s="528" cm="1">
        <f t="array" aca="1" ref="AF341" ca="1">IFERROR(AVERAGEIFS(
  unit_details[Sqft],
  unit_details[Property Name], INDIRECT("B"&amp;ROW()),
  unit_details[Floorplan Name], INDIRECT("C"&amp;ROW()),
  unit_details[Beds], INDIRECT("D"&amp;ROW()),
  unit_details[Detected Unit Amenities], "&lt;&gt;*"&amp;$AD$3&amp;"*",
  unit_details[Leased Date], "&gt;=" &amp; ($U$2 - $AF$3)
),0)</f>
        <v>0</v>
      </c>
      <c r="AG341" s="527" cm="1">
        <f t="array" aca="1" ref="AG3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1" s="526" cm="1">
        <f t="array" aca="1" ref="AH341" ca="1">IFERROR(COUNTIFS(
  unit_details[Property Name], INDIRECT("B"&amp;ROW()),
  unit_details[Floorplan Name], INDIRECT("C"&amp;ROW()),
  unit_details[Beds], INDIRECT("D"&amp;ROW()),
  unit_details[Detected Unit Amenities], "&lt;&gt;*"&amp;$AD$3&amp;"*",
  unit_details[Leased Date], "&gt;=" &amp; ($U$2 - $AF$3)
),0)</f>
        <v>0</v>
      </c>
      <c r="AI341" s="528"/>
      <c r="AJ341" s="531">
        <f t="shared" ca="1" si="16"/>
        <v>0</v>
      </c>
      <c r="AK341" s="532">
        <f t="shared" ca="1" si="17"/>
        <v>0</v>
      </c>
    </row>
    <row r="342" spans="10:37" x14ac:dyDescent="0.2">
      <c r="J342" s="293"/>
      <c r="N342" s="531" t="str" cm="1">
        <f t="array" aca="1" ref="N34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2" s="552" t="str" cm="1">
        <f t="array" aca="1" ref="O34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2" s="526" cm="1">
        <f t="array" aca="1" ref="P342" ca="1">COUNTIFS(unit_details[Leased Date], "&gt;=" &amp; ($U$2 - N$5),
          unit_details[Leased Date], "&lt;" &amp; $U$2,
          unit_details[Floorplan Name], INDIRECT("C"&amp;ROW()),
          unit_details[Property Name], INDIRECT("B"&amp;ROW()))</f>
        <v>0</v>
      </c>
      <c r="Q342" s="531" t="str" cm="1">
        <f t="array" aca="1" ref="Q34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2" s="552" t="str" cm="1">
        <f t="array" aca="1" ref="R34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2" s="526" cm="1">
        <f t="array" aca="1" ref="S342" ca="1">COUNTIFS(unit_details[Leased Date], "&gt;=" &amp; ($U$2 - Q$5),
          unit_details[Leased Date], "&lt;" &amp; $U$2,
          unit_details[Floorplan Name], INDIRECT("C"&amp;ROW()),
          unit_details[Property Name], INDIRECT("B"&amp;ROW()))</f>
        <v>0</v>
      </c>
      <c r="T342" s="531" t="str" cm="1">
        <f t="array" aca="1" ref="T34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2" s="552" t="str" cm="1">
        <f t="array" aca="1" ref="U34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2" s="526" cm="1">
        <f t="array" aca="1" ref="V342" ca="1">COUNTIFS(unit_details[Leased Date], "&gt;=" &amp; ($U$2 - T$5),
          unit_details[Leased Date], "&lt;" &amp; $U$2,
          unit_details[Floorplan Name], INDIRECT("C"&amp;ROW()),
          unit_details[Property Name], INDIRECT("B"&amp;ROW()))</f>
        <v>0</v>
      </c>
      <c r="W342" s="531" t="str" cm="1">
        <f t="array" aca="1" ref="W34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2" s="552" t="str" cm="1">
        <f t="array" aca="1" ref="X34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2" s="27" t="str">
        <f t="shared" ca="1" si="15"/>
        <v/>
      </c>
      <c r="Z342" s="4" t="str">
        <f>IFERROR($U$2-AVERAGEIFS(unit_details[First Listed],
          unit_details[Active Listing?],TRUE,
          unit_details[Property Name], $B342,
          unit_details[Beds], $D342,
          unit_details[Baths], $E342,
          unit_details[Partial Baths], IF(ISNUMBER($F342),$F342,""),
          unit_details[Floorplan Name],$C342
),"")</f>
        <v/>
      </c>
      <c r="AA342" s="262" cm="1">
        <f t="array" aca="1" ref="AA342" ca="1">COUNTIFS(unit_details[Active Listing?],TRUE,
          unit_details[Floorplan Name], INDIRECT("C"&amp;ROW()),
          unit_details[Property Name], INDIRECT("B"&amp;ROW()))</f>
        <v>0</v>
      </c>
      <c r="AB342" s="553"/>
      <c r="AC342" s="528" cm="1">
        <f t="array" aca="1" ref="AC342" ca="1">IFERROR(AVERAGEIFS(
  unit_details[Sqft],
  unit_details[Property Name], INDIRECT("B"&amp;ROW()),
  unit_details[Floorplan Name], INDIRECT("C"&amp;ROW()),
  unit_details[Beds], INDIRECT("D"&amp;ROW()),
  unit_details[Detected Unit Amenities], "*"&amp;$AD$3&amp;"*",
  unit_details[Leased Date], "&gt;=" &amp; ($U$2 - $AF$3)
),0)</f>
        <v>0</v>
      </c>
      <c r="AD342" s="527" cm="1">
        <f t="array" aca="1" ref="AD3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2" s="526" cm="1">
        <f t="array" aca="1" ref="AE342" ca="1">IFERROR(COUNTIFS(
  unit_details[Property Name], INDIRECT("B"&amp;ROW()),
  unit_details[Floorplan Name], INDIRECT("C"&amp;ROW()),
  unit_details[Beds], INDIRECT("D"&amp;ROW()),
  unit_details[Detected Unit Amenities], "*"&amp;$AD$3&amp;"*",
  unit_details[Leased Date], "&gt;=" &amp; ($U$2 - $AF$3)
),0)</f>
        <v>0</v>
      </c>
      <c r="AF342" s="528" cm="1">
        <f t="array" aca="1" ref="AF342" ca="1">IFERROR(AVERAGEIFS(
  unit_details[Sqft],
  unit_details[Property Name], INDIRECT("B"&amp;ROW()),
  unit_details[Floorplan Name], INDIRECT("C"&amp;ROW()),
  unit_details[Beds], INDIRECT("D"&amp;ROW()),
  unit_details[Detected Unit Amenities], "&lt;&gt;*"&amp;$AD$3&amp;"*",
  unit_details[Leased Date], "&gt;=" &amp; ($U$2 - $AF$3)
),0)</f>
        <v>0</v>
      </c>
      <c r="AG342" s="527" cm="1">
        <f t="array" aca="1" ref="AG3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2" s="526" cm="1">
        <f t="array" aca="1" ref="AH342" ca="1">IFERROR(COUNTIFS(
  unit_details[Property Name], INDIRECT("B"&amp;ROW()),
  unit_details[Floorplan Name], INDIRECT("C"&amp;ROW()),
  unit_details[Beds], INDIRECT("D"&amp;ROW()),
  unit_details[Detected Unit Amenities], "&lt;&gt;*"&amp;$AD$3&amp;"*",
  unit_details[Leased Date], "&gt;=" &amp; ($U$2 - $AF$3)
),0)</f>
        <v>0</v>
      </c>
      <c r="AI342" s="528"/>
      <c r="AJ342" s="531">
        <f t="shared" ca="1" si="16"/>
        <v>0</v>
      </c>
      <c r="AK342" s="532">
        <f t="shared" ca="1" si="17"/>
        <v>0</v>
      </c>
    </row>
    <row r="343" spans="10:37" x14ac:dyDescent="0.2">
      <c r="J343" s="293"/>
      <c r="N343" s="531" t="str" cm="1">
        <f t="array" aca="1" ref="N34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3" s="552" t="str" cm="1">
        <f t="array" aca="1" ref="O34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3" s="526" cm="1">
        <f t="array" aca="1" ref="P343" ca="1">COUNTIFS(unit_details[Leased Date], "&gt;=" &amp; ($U$2 - N$5),
          unit_details[Leased Date], "&lt;" &amp; $U$2,
          unit_details[Floorplan Name], INDIRECT("C"&amp;ROW()),
          unit_details[Property Name], INDIRECT("B"&amp;ROW()))</f>
        <v>0</v>
      </c>
      <c r="Q343" s="531" t="str" cm="1">
        <f t="array" aca="1" ref="Q34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3" s="552" t="str" cm="1">
        <f t="array" aca="1" ref="R34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3" s="526" cm="1">
        <f t="array" aca="1" ref="S343" ca="1">COUNTIFS(unit_details[Leased Date], "&gt;=" &amp; ($U$2 - Q$5),
          unit_details[Leased Date], "&lt;" &amp; $U$2,
          unit_details[Floorplan Name], INDIRECT("C"&amp;ROW()),
          unit_details[Property Name], INDIRECT("B"&amp;ROW()))</f>
        <v>0</v>
      </c>
      <c r="T343" s="531" t="str" cm="1">
        <f t="array" aca="1" ref="T34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3" s="552" t="str" cm="1">
        <f t="array" aca="1" ref="U34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3" s="526" cm="1">
        <f t="array" aca="1" ref="V343" ca="1">COUNTIFS(unit_details[Leased Date], "&gt;=" &amp; ($U$2 - T$5),
          unit_details[Leased Date], "&lt;" &amp; $U$2,
          unit_details[Floorplan Name], INDIRECT("C"&amp;ROW()),
          unit_details[Property Name], INDIRECT("B"&amp;ROW()))</f>
        <v>0</v>
      </c>
      <c r="W343" s="531" t="str" cm="1">
        <f t="array" aca="1" ref="W34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3" s="552" t="str" cm="1">
        <f t="array" aca="1" ref="X34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3" s="27" t="str">
        <f t="shared" ca="1" si="15"/>
        <v/>
      </c>
      <c r="Z343" s="4" t="str">
        <f>IFERROR($U$2-AVERAGEIFS(unit_details[First Listed],
          unit_details[Active Listing?],TRUE,
          unit_details[Property Name], $B343,
          unit_details[Beds], $D343,
          unit_details[Baths], $E343,
          unit_details[Partial Baths], IF(ISNUMBER($F343),$F343,""),
          unit_details[Floorplan Name],$C343
),"")</f>
        <v/>
      </c>
      <c r="AA343" s="262" cm="1">
        <f t="array" aca="1" ref="AA343" ca="1">COUNTIFS(unit_details[Active Listing?],TRUE,
          unit_details[Floorplan Name], INDIRECT("C"&amp;ROW()),
          unit_details[Property Name], INDIRECT("B"&amp;ROW()))</f>
        <v>0</v>
      </c>
      <c r="AB343" s="553"/>
      <c r="AC343" s="528" cm="1">
        <f t="array" aca="1" ref="AC343" ca="1">IFERROR(AVERAGEIFS(
  unit_details[Sqft],
  unit_details[Property Name], INDIRECT("B"&amp;ROW()),
  unit_details[Floorplan Name], INDIRECT("C"&amp;ROW()),
  unit_details[Beds], INDIRECT("D"&amp;ROW()),
  unit_details[Detected Unit Amenities], "*"&amp;$AD$3&amp;"*",
  unit_details[Leased Date], "&gt;=" &amp; ($U$2 - $AF$3)
),0)</f>
        <v>0</v>
      </c>
      <c r="AD343" s="527" cm="1">
        <f t="array" aca="1" ref="AD3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3" s="526" cm="1">
        <f t="array" aca="1" ref="AE343" ca="1">IFERROR(COUNTIFS(
  unit_details[Property Name], INDIRECT("B"&amp;ROW()),
  unit_details[Floorplan Name], INDIRECT("C"&amp;ROW()),
  unit_details[Beds], INDIRECT("D"&amp;ROW()),
  unit_details[Detected Unit Amenities], "*"&amp;$AD$3&amp;"*",
  unit_details[Leased Date], "&gt;=" &amp; ($U$2 - $AF$3)
),0)</f>
        <v>0</v>
      </c>
      <c r="AF343" s="528" cm="1">
        <f t="array" aca="1" ref="AF343" ca="1">IFERROR(AVERAGEIFS(
  unit_details[Sqft],
  unit_details[Property Name], INDIRECT("B"&amp;ROW()),
  unit_details[Floorplan Name], INDIRECT("C"&amp;ROW()),
  unit_details[Beds], INDIRECT("D"&amp;ROW()),
  unit_details[Detected Unit Amenities], "&lt;&gt;*"&amp;$AD$3&amp;"*",
  unit_details[Leased Date], "&gt;=" &amp; ($U$2 - $AF$3)
),0)</f>
        <v>0</v>
      </c>
      <c r="AG343" s="527" cm="1">
        <f t="array" aca="1" ref="AG3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3" s="526" cm="1">
        <f t="array" aca="1" ref="AH343" ca="1">IFERROR(COUNTIFS(
  unit_details[Property Name], INDIRECT("B"&amp;ROW()),
  unit_details[Floorplan Name], INDIRECT("C"&amp;ROW()),
  unit_details[Beds], INDIRECT("D"&amp;ROW()),
  unit_details[Detected Unit Amenities], "&lt;&gt;*"&amp;$AD$3&amp;"*",
  unit_details[Leased Date], "&gt;=" &amp; ($U$2 - $AF$3)
),0)</f>
        <v>0</v>
      </c>
      <c r="AI343" s="528"/>
      <c r="AJ343" s="531">
        <f t="shared" ca="1" si="16"/>
        <v>0</v>
      </c>
      <c r="AK343" s="532">
        <f t="shared" ca="1" si="17"/>
        <v>0</v>
      </c>
    </row>
    <row r="344" spans="10:37" x14ac:dyDescent="0.2">
      <c r="J344" s="293"/>
      <c r="N344" s="531" t="str" cm="1">
        <f t="array" aca="1" ref="N34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4" s="552" t="str" cm="1">
        <f t="array" aca="1" ref="O34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4" s="526" cm="1">
        <f t="array" aca="1" ref="P344" ca="1">COUNTIFS(unit_details[Leased Date], "&gt;=" &amp; ($U$2 - N$5),
          unit_details[Leased Date], "&lt;" &amp; $U$2,
          unit_details[Floorplan Name], INDIRECT("C"&amp;ROW()),
          unit_details[Property Name], INDIRECT("B"&amp;ROW()))</f>
        <v>0</v>
      </c>
      <c r="Q344" s="531" t="str" cm="1">
        <f t="array" aca="1" ref="Q34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4" s="552" t="str" cm="1">
        <f t="array" aca="1" ref="R34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4" s="526" cm="1">
        <f t="array" aca="1" ref="S344" ca="1">COUNTIFS(unit_details[Leased Date], "&gt;=" &amp; ($U$2 - Q$5),
          unit_details[Leased Date], "&lt;" &amp; $U$2,
          unit_details[Floorplan Name], INDIRECT("C"&amp;ROW()),
          unit_details[Property Name], INDIRECT("B"&amp;ROW()))</f>
        <v>0</v>
      </c>
      <c r="T344" s="531" t="str" cm="1">
        <f t="array" aca="1" ref="T34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4" s="552" t="str" cm="1">
        <f t="array" aca="1" ref="U34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4" s="526" cm="1">
        <f t="array" aca="1" ref="V344" ca="1">COUNTIFS(unit_details[Leased Date], "&gt;=" &amp; ($U$2 - T$5),
          unit_details[Leased Date], "&lt;" &amp; $U$2,
          unit_details[Floorplan Name], INDIRECT("C"&amp;ROW()),
          unit_details[Property Name], INDIRECT("B"&amp;ROW()))</f>
        <v>0</v>
      </c>
      <c r="W344" s="531" t="str" cm="1">
        <f t="array" aca="1" ref="W34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4" s="552" t="str" cm="1">
        <f t="array" aca="1" ref="X34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4" s="27" t="str">
        <f t="shared" ca="1" si="15"/>
        <v/>
      </c>
      <c r="Z344" s="4" t="str">
        <f>IFERROR($U$2-AVERAGEIFS(unit_details[First Listed],
          unit_details[Active Listing?],TRUE,
          unit_details[Property Name], $B344,
          unit_details[Beds], $D344,
          unit_details[Baths], $E344,
          unit_details[Partial Baths], IF(ISNUMBER($F344),$F344,""),
          unit_details[Floorplan Name],$C344
),"")</f>
        <v/>
      </c>
      <c r="AA344" s="262" cm="1">
        <f t="array" aca="1" ref="AA344" ca="1">COUNTIFS(unit_details[Active Listing?],TRUE,
          unit_details[Floorplan Name], INDIRECT("C"&amp;ROW()),
          unit_details[Property Name], INDIRECT("B"&amp;ROW()))</f>
        <v>0</v>
      </c>
      <c r="AB344" s="553"/>
      <c r="AC344" s="528" cm="1">
        <f t="array" aca="1" ref="AC344" ca="1">IFERROR(AVERAGEIFS(
  unit_details[Sqft],
  unit_details[Property Name], INDIRECT("B"&amp;ROW()),
  unit_details[Floorplan Name], INDIRECT("C"&amp;ROW()),
  unit_details[Beds], INDIRECT("D"&amp;ROW()),
  unit_details[Detected Unit Amenities], "*"&amp;$AD$3&amp;"*",
  unit_details[Leased Date], "&gt;=" &amp; ($U$2 - $AF$3)
),0)</f>
        <v>0</v>
      </c>
      <c r="AD344" s="527" cm="1">
        <f t="array" aca="1" ref="AD3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4" s="526" cm="1">
        <f t="array" aca="1" ref="AE344" ca="1">IFERROR(COUNTIFS(
  unit_details[Property Name], INDIRECT("B"&amp;ROW()),
  unit_details[Floorplan Name], INDIRECT("C"&amp;ROW()),
  unit_details[Beds], INDIRECT("D"&amp;ROW()),
  unit_details[Detected Unit Amenities], "*"&amp;$AD$3&amp;"*",
  unit_details[Leased Date], "&gt;=" &amp; ($U$2 - $AF$3)
),0)</f>
        <v>0</v>
      </c>
      <c r="AF344" s="528" cm="1">
        <f t="array" aca="1" ref="AF344" ca="1">IFERROR(AVERAGEIFS(
  unit_details[Sqft],
  unit_details[Property Name], INDIRECT("B"&amp;ROW()),
  unit_details[Floorplan Name], INDIRECT("C"&amp;ROW()),
  unit_details[Beds], INDIRECT("D"&amp;ROW()),
  unit_details[Detected Unit Amenities], "&lt;&gt;*"&amp;$AD$3&amp;"*",
  unit_details[Leased Date], "&gt;=" &amp; ($U$2 - $AF$3)
),0)</f>
        <v>0</v>
      </c>
      <c r="AG344" s="527" cm="1">
        <f t="array" aca="1" ref="AG3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4" s="526" cm="1">
        <f t="array" aca="1" ref="AH344" ca="1">IFERROR(COUNTIFS(
  unit_details[Property Name], INDIRECT("B"&amp;ROW()),
  unit_details[Floorplan Name], INDIRECT("C"&amp;ROW()),
  unit_details[Beds], INDIRECT("D"&amp;ROW()),
  unit_details[Detected Unit Amenities], "&lt;&gt;*"&amp;$AD$3&amp;"*",
  unit_details[Leased Date], "&gt;=" &amp; ($U$2 - $AF$3)
),0)</f>
        <v>0</v>
      </c>
      <c r="AI344" s="528"/>
      <c r="AJ344" s="531">
        <f t="shared" ca="1" si="16"/>
        <v>0</v>
      </c>
      <c r="AK344" s="532">
        <f t="shared" ca="1" si="17"/>
        <v>0</v>
      </c>
    </row>
    <row r="345" spans="10:37" x14ac:dyDescent="0.2">
      <c r="J345" s="293"/>
      <c r="N345" s="531" t="str" cm="1">
        <f t="array" aca="1" ref="N34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5" s="552" t="str" cm="1">
        <f t="array" aca="1" ref="O34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5" s="526" cm="1">
        <f t="array" aca="1" ref="P345" ca="1">COUNTIFS(unit_details[Leased Date], "&gt;=" &amp; ($U$2 - N$5),
          unit_details[Leased Date], "&lt;" &amp; $U$2,
          unit_details[Floorplan Name], INDIRECT("C"&amp;ROW()),
          unit_details[Property Name], INDIRECT("B"&amp;ROW()))</f>
        <v>0</v>
      </c>
      <c r="Q345" s="531" t="str" cm="1">
        <f t="array" aca="1" ref="Q34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5" s="552" t="str" cm="1">
        <f t="array" aca="1" ref="R34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5" s="526" cm="1">
        <f t="array" aca="1" ref="S345" ca="1">COUNTIFS(unit_details[Leased Date], "&gt;=" &amp; ($U$2 - Q$5),
          unit_details[Leased Date], "&lt;" &amp; $U$2,
          unit_details[Floorplan Name], INDIRECT("C"&amp;ROW()),
          unit_details[Property Name], INDIRECT("B"&amp;ROW()))</f>
        <v>0</v>
      </c>
      <c r="T345" s="531" t="str" cm="1">
        <f t="array" aca="1" ref="T34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5" s="552" t="str" cm="1">
        <f t="array" aca="1" ref="U34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5" s="526" cm="1">
        <f t="array" aca="1" ref="V345" ca="1">COUNTIFS(unit_details[Leased Date], "&gt;=" &amp; ($U$2 - T$5),
          unit_details[Leased Date], "&lt;" &amp; $U$2,
          unit_details[Floorplan Name], INDIRECT("C"&amp;ROW()),
          unit_details[Property Name], INDIRECT("B"&amp;ROW()))</f>
        <v>0</v>
      </c>
      <c r="W345" s="531" t="str" cm="1">
        <f t="array" aca="1" ref="W34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5" s="552" t="str" cm="1">
        <f t="array" aca="1" ref="X34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5" s="27" t="str">
        <f t="shared" ca="1" si="15"/>
        <v/>
      </c>
      <c r="Z345" s="4" t="str">
        <f>IFERROR($U$2-AVERAGEIFS(unit_details[First Listed],
          unit_details[Active Listing?],TRUE,
          unit_details[Property Name], $B345,
          unit_details[Beds], $D345,
          unit_details[Baths], $E345,
          unit_details[Partial Baths], IF(ISNUMBER($F345),$F345,""),
          unit_details[Floorplan Name],$C345
),"")</f>
        <v/>
      </c>
      <c r="AA345" s="262" cm="1">
        <f t="array" aca="1" ref="AA345" ca="1">COUNTIFS(unit_details[Active Listing?],TRUE,
          unit_details[Floorplan Name], INDIRECT("C"&amp;ROW()),
          unit_details[Property Name], INDIRECT("B"&amp;ROW()))</f>
        <v>0</v>
      </c>
      <c r="AB345" s="553"/>
      <c r="AC345" s="528" cm="1">
        <f t="array" aca="1" ref="AC345" ca="1">IFERROR(AVERAGEIFS(
  unit_details[Sqft],
  unit_details[Property Name], INDIRECT("B"&amp;ROW()),
  unit_details[Floorplan Name], INDIRECT("C"&amp;ROW()),
  unit_details[Beds], INDIRECT("D"&amp;ROW()),
  unit_details[Detected Unit Amenities], "*"&amp;$AD$3&amp;"*",
  unit_details[Leased Date], "&gt;=" &amp; ($U$2 - $AF$3)
),0)</f>
        <v>0</v>
      </c>
      <c r="AD345" s="527" cm="1">
        <f t="array" aca="1" ref="AD3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5" s="526" cm="1">
        <f t="array" aca="1" ref="AE345" ca="1">IFERROR(COUNTIFS(
  unit_details[Property Name], INDIRECT("B"&amp;ROW()),
  unit_details[Floorplan Name], INDIRECT("C"&amp;ROW()),
  unit_details[Beds], INDIRECT("D"&amp;ROW()),
  unit_details[Detected Unit Amenities], "*"&amp;$AD$3&amp;"*",
  unit_details[Leased Date], "&gt;=" &amp; ($U$2 - $AF$3)
),0)</f>
        <v>0</v>
      </c>
      <c r="AF345" s="528" cm="1">
        <f t="array" aca="1" ref="AF345" ca="1">IFERROR(AVERAGEIFS(
  unit_details[Sqft],
  unit_details[Property Name], INDIRECT("B"&amp;ROW()),
  unit_details[Floorplan Name], INDIRECT("C"&amp;ROW()),
  unit_details[Beds], INDIRECT("D"&amp;ROW()),
  unit_details[Detected Unit Amenities], "&lt;&gt;*"&amp;$AD$3&amp;"*",
  unit_details[Leased Date], "&gt;=" &amp; ($U$2 - $AF$3)
),0)</f>
        <v>0</v>
      </c>
      <c r="AG345" s="527" cm="1">
        <f t="array" aca="1" ref="AG3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5" s="526" cm="1">
        <f t="array" aca="1" ref="AH345" ca="1">IFERROR(COUNTIFS(
  unit_details[Property Name], INDIRECT("B"&amp;ROW()),
  unit_details[Floorplan Name], INDIRECT("C"&amp;ROW()),
  unit_details[Beds], INDIRECT("D"&amp;ROW()),
  unit_details[Detected Unit Amenities], "&lt;&gt;*"&amp;$AD$3&amp;"*",
  unit_details[Leased Date], "&gt;=" &amp; ($U$2 - $AF$3)
),0)</f>
        <v>0</v>
      </c>
      <c r="AI345" s="528"/>
      <c r="AJ345" s="531">
        <f t="shared" ca="1" si="16"/>
        <v>0</v>
      </c>
      <c r="AK345" s="532">
        <f t="shared" ca="1" si="17"/>
        <v>0</v>
      </c>
    </row>
    <row r="346" spans="10:37" x14ac:dyDescent="0.2">
      <c r="J346" s="293"/>
      <c r="N346" s="531" t="str" cm="1">
        <f t="array" aca="1" ref="N34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6" s="552" t="str" cm="1">
        <f t="array" aca="1" ref="O34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6" s="526" cm="1">
        <f t="array" aca="1" ref="P346" ca="1">COUNTIFS(unit_details[Leased Date], "&gt;=" &amp; ($U$2 - N$5),
          unit_details[Leased Date], "&lt;" &amp; $U$2,
          unit_details[Floorplan Name], INDIRECT("C"&amp;ROW()),
          unit_details[Property Name], INDIRECT("B"&amp;ROW()))</f>
        <v>0</v>
      </c>
      <c r="Q346" s="531" t="str" cm="1">
        <f t="array" aca="1" ref="Q34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6" s="552" t="str" cm="1">
        <f t="array" aca="1" ref="R34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6" s="526" cm="1">
        <f t="array" aca="1" ref="S346" ca="1">COUNTIFS(unit_details[Leased Date], "&gt;=" &amp; ($U$2 - Q$5),
          unit_details[Leased Date], "&lt;" &amp; $U$2,
          unit_details[Floorplan Name], INDIRECT("C"&amp;ROW()),
          unit_details[Property Name], INDIRECT("B"&amp;ROW()))</f>
        <v>0</v>
      </c>
      <c r="T346" s="531" t="str" cm="1">
        <f t="array" aca="1" ref="T34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6" s="552" t="str" cm="1">
        <f t="array" aca="1" ref="U34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6" s="526" cm="1">
        <f t="array" aca="1" ref="V346" ca="1">COUNTIFS(unit_details[Leased Date], "&gt;=" &amp; ($U$2 - T$5),
          unit_details[Leased Date], "&lt;" &amp; $U$2,
          unit_details[Floorplan Name], INDIRECT("C"&amp;ROW()),
          unit_details[Property Name], INDIRECT("B"&amp;ROW()))</f>
        <v>0</v>
      </c>
      <c r="W346" s="531" t="str" cm="1">
        <f t="array" aca="1" ref="W34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6" s="552" t="str" cm="1">
        <f t="array" aca="1" ref="X34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6" s="27" t="str">
        <f t="shared" ca="1" si="15"/>
        <v/>
      </c>
      <c r="Z346" s="4" t="str">
        <f>IFERROR($U$2-AVERAGEIFS(unit_details[First Listed],
          unit_details[Active Listing?],TRUE,
          unit_details[Property Name], $B346,
          unit_details[Beds], $D346,
          unit_details[Baths], $E346,
          unit_details[Partial Baths], IF(ISNUMBER($F346),$F346,""),
          unit_details[Floorplan Name],$C346
),"")</f>
        <v/>
      </c>
      <c r="AA346" s="262" cm="1">
        <f t="array" aca="1" ref="AA346" ca="1">COUNTIFS(unit_details[Active Listing?],TRUE,
          unit_details[Floorplan Name], INDIRECT("C"&amp;ROW()),
          unit_details[Property Name], INDIRECT("B"&amp;ROW()))</f>
        <v>0</v>
      </c>
      <c r="AB346" s="553"/>
      <c r="AC346" s="528" cm="1">
        <f t="array" aca="1" ref="AC346" ca="1">IFERROR(AVERAGEIFS(
  unit_details[Sqft],
  unit_details[Property Name], INDIRECT("B"&amp;ROW()),
  unit_details[Floorplan Name], INDIRECT("C"&amp;ROW()),
  unit_details[Beds], INDIRECT("D"&amp;ROW()),
  unit_details[Detected Unit Amenities], "*"&amp;$AD$3&amp;"*",
  unit_details[Leased Date], "&gt;=" &amp; ($U$2 - $AF$3)
),0)</f>
        <v>0</v>
      </c>
      <c r="AD346" s="527" cm="1">
        <f t="array" aca="1" ref="AD3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6" s="526" cm="1">
        <f t="array" aca="1" ref="AE346" ca="1">IFERROR(COUNTIFS(
  unit_details[Property Name], INDIRECT("B"&amp;ROW()),
  unit_details[Floorplan Name], INDIRECT("C"&amp;ROW()),
  unit_details[Beds], INDIRECT("D"&amp;ROW()),
  unit_details[Detected Unit Amenities], "*"&amp;$AD$3&amp;"*",
  unit_details[Leased Date], "&gt;=" &amp; ($U$2 - $AF$3)
),0)</f>
        <v>0</v>
      </c>
      <c r="AF346" s="528" cm="1">
        <f t="array" aca="1" ref="AF346" ca="1">IFERROR(AVERAGEIFS(
  unit_details[Sqft],
  unit_details[Property Name], INDIRECT("B"&amp;ROW()),
  unit_details[Floorplan Name], INDIRECT("C"&amp;ROW()),
  unit_details[Beds], INDIRECT("D"&amp;ROW()),
  unit_details[Detected Unit Amenities], "&lt;&gt;*"&amp;$AD$3&amp;"*",
  unit_details[Leased Date], "&gt;=" &amp; ($U$2 - $AF$3)
),0)</f>
        <v>0</v>
      </c>
      <c r="AG346" s="527" cm="1">
        <f t="array" aca="1" ref="AG3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6" s="526" cm="1">
        <f t="array" aca="1" ref="AH346" ca="1">IFERROR(COUNTIFS(
  unit_details[Property Name], INDIRECT("B"&amp;ROW()),
  unit_details[Floorplan Name], INDIRECT("C"&amp;ROW()),
  unit_details[Beds], INDIRECT("D"&amp;ROW()),
  unit_details[Detected Unit Amenities], "&lt;&gt;*"&amp;$AD$3&amp;"*",
  unit_details[Leased Date], "&gt;=" &amp; ($U$2 - $AF$3)
),0)</f>
        <v>0</v>
      </c>
      <c r="AI346" s="528"/>
      <c r="AJ346" s="531">
        <f t="shared" ca="1" si="16"/>
        <v>0</v>
      </c>
      <c r="AK346" s="532">
        <f t="shared" ca="1" si="17"/>
        <v>0</v>
      </c>
    </row>
    <row r="347" spans="10:37" x14ac:dyDescent="0.2">
      <c r="J347" s="293"/>
      <c r="N347" s="531" t="str" cm="1">
        <f t="array" aca="1" ref="N34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7" s="552" t="str" cm="1">
        <f t="array" aca="1" ref="O34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7" s="526" cm="1">
        <f t="array" aca="1" ref="P347" ca="1">COUNTIFS(unit_details[Leased Date], "&gt;=" &amp; ($U$2 - N$5),
          unit_details[Leased Date], "&lt;" &amp; $U$2,
          unit_details[Floorplan Name], INDIRECT("C"&amp;ROW()),
          unit_details[Property Name], INDIRECT("B"&amp;ROW()))</f>
        <v>0</v>
      </c>
      <c r="Q347" s="531" t="str" cm="1">
        <f t="array" aca="1" ref="Q34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7" s="552" t="str" cm="1">
        <f t="array" aca="1" ref="R34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7" s="526" cm="1">
        <f t="array" aca="1" ref="S347" ca="1">COUNTIFS(unit_details[Leased Date], "&gt;=" &amp; ($U$2 - Q$5),
          unit_details[Leased Date], "&lt;" &amp; $U$2,
          unit_details[Floorplan Name], INDIRECT("C"&amp;ROW()),
          unit_details[Property Name], INDIRECT("B"&amp;ROW()))</f>
        <v>0</v>
      </c>
      <c r="T347" s="531" t="str" cm="1">
        <f t="array" aca="1" ref="T34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7" s="552" t="str" cm="1">
        <f t="array" aca="1" ref="U34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7" s="526" cm="1">
        <f t="array" aca="1" ref="V347" ca="1">COUNTIFS(unit_details[Leased Date], "&gt;=" &amp; ($U$2 - T$5),
          unit_details[Leased Date], "&lt;" &amp; $U$2,
          unit_details[Floorplan Name], INDIRECT("C"&amp;ROW()),
          unit_details[Property Name], INDIRECT("B"&amp;ROW()))</f>
        <v>0</v>
      </c>
      <c r="W347" s="531" t="str" cm="1">
        <f t="array" aca="1" ref="W34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7" s="552" t="str" cm="1">
        <f t="array" aca="1" ref="X34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7" s="27" t="str">
        <f t="shared" ca="1" si="15"/>
        <v/>
      </c>
      <c r="Z347" s="4" t="str">
        <f>IFERROR($U$2-AVERAGEIFS(unit_details[First Listed],
          unit_details[Active Listing?],TRUE,
          unit_details[Property Name], $B347,
          unit_details[Beds], $D347,
          unit_details[Baths], $E347,
          unit_details[Partial Baths], IF(ISNUMBER($F347),$F347,""),
          unit_details[Floorplan Name],$C347
),"")</f>
        <v/>
      </c>
      <c r="AA347" s="262" cm="1">
        <f t="array" aca="1" ref="AA347" ca="1">COUNTIFS(unit_details[Active Listing?],TRUE,
          unit_details[Floorplan Name], INDIRECT("C"&amp;ROW()),
          unit_details[Property Name], INDIRECT("B"&amp;ROW()))</f>
        <v>0</v>
      </c>
      <c r="AB347" s="553"/>
      <c r="AC347" s="528" cm="1">
        <f t="array" aca="1" ref="AC347" ca="1">IFERROR(AVERAGEIFS(
  unit_details[Sqft],
  unit_details[Property Name], INDIRECT("B"&amp;ROW()),
  unit_details[Floorplan Name], INDIRECT("C"&amp;ROW()),
  unit_details[Beds], INDIRECT("D"&amp;ROW()),
  unit_details[Detected Unit Amenities], "*"&amp;$AD$3&amp;"*",
  unit_details[Leased Date], "&gt;=" &amp; ($U$2 - $AF$3)
),0)</f>
        <v>0</v>
      </c>
      <c r="AD347" s="527" cm="1">
        <f t="array" aca="1" ref="AD3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7" s="526" cm="1">
        <f t="array" aca="1" ref="AE347" ca="1">IFERROR(COUNTIFS(
  unit_details[Property Name], INDIRECT("B"&amp;ROW()),
  unit_details[Floorplan Name], INDIRECT("C"&amp;ROW()),
  unit_details[Beds], INDIRECT("D"&amp;ROW()),
  unit_details[Detected Unit Amenities], "*"&amp;$AD$3&amp;"*",
  unit_details[Leased Date], "&gt;=" &amp; ($U$2 - $AF$3)
),0)</f>
        <v>0</v>
      </c>
      <c r="AF347" s="528" cm="1">
        <f t="array" aca="1" ref="AF347" ca="1">IFERROR(AVERAGEIFS(
  unit_details[Sqft],
  unit_details[Property Name], INDIRECT("B"&amp;ROW()),
  unit_details[Floorplan Name], INDIRECT("C"&amp;ROW()),
  unit_details[Beds], INDIRECT("D"&amp;ROW()),
  unit_details[Detected Unit Amenities], "&lt;&gt;*"&amp;$AD$3&amp;"*",
  unit_details[Leased Date], "&gt;=" &amp; ($U$2 - $AF$3)
),0)</f>
        <v>0</v>
      </c>
      <c r="AG347" s="527" cm="1">
        <f t="array" aca="1" ref="AG3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7" s="526" cm="1">
        <f t="array" aca="1" ref="AH347" ca="1">IFERROR(COUNTIFS(
  unit_details[Property Name], INDIRECT("B"&amp;ROW()),
  unit_details[Floorplan Name], INDIRECT("C"&amp;ROW()),
  unit_details[Beds], INDIRECT("D"&amp;ROW()),
  unit_details[Detected Unit Amenities], "&lt;&gt;*"&amp;$AD$3&amp;"*",
  unit_details[Leased Date], "&gt;=" &amp; ($U$2 - $AF$3)
),0)</f>
        <v>0</v>
      </c>
      <c r="AI347" s="528"/>
      <c r="AJ347" s="531">
        <f t="shared" ca="1" si="16"/>
        <v>0</v>
      </c>
      <c r="AK347" s="532">
        <f t="shared" ca="1" si="17"/>
        <v>0</v>
      </c>
    </row>
    <row r="348" spans="10:37" x14ac:dyDescent="0.2">
      <c r="J348" s="293"/>
      <c r="N348" s="531" t="str" cm="1">
        <f t="array" aca="1" ref="N34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8" s="552" t="str" cm="1">
        <f t="array" aca="1" ref="O34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8" s="526" cm="1">
        <f t="array" aca="1" ref="P348" ca="1">COUNTIFS(unit_details[Leased Date], "&gt;=" &amp; ($U$2 - N$5),
          unit_details[Leased Date], "&lt;" &amp; $U$2,
          unit_details[Floorplan Name], INDIRECT("C"&amp;ROW()),
          unit_details[Property Name], INDIRECT("B"&amp;ROW()))</f>
        <v>0</v>
      </c>
      <c r="Q348" s="531" t="str" cm="1">
        <f t="array" aca="1" ref="Q34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8" s="552" t="str" cm="1">
        <f t="array" aca="1" ref="R34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8" s="526" cm="1">
        <f t="array" aca="1" ref="S348" ca="1">COUNTIFS(unit_details[Leased Date], "&gt;=" &amp; ($U$2 - Q$5),
          unit_details[Leased Date], "&lt;" &amp; $U$2,
          unit_details[Floorplan Name], INDIRECT("C"&amp;ROW()),
          unit_details[Property Name], INDIRECT("B"&amp;ROW()))</f>
        <v>0</v>
      </c>
      <c r="T348" s="531" t="str" cm="1">
        <f t="array" aca="1" ref="T34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8" s="552" t="str" cm="1">
        <f t="array" aca="1" ref="U34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8" s="526" cm="1">
        <f t="array" aca="1" ref="V348" ca="1">COUNTIFS(unit_details[Leased Date], "&gt;=" &amp; ($U$2 - T$5),
          unit_details[Leased Date], "&lt;" &amp; $U$2,
          unit_details[Floorplan Name], INDIRECT("C"&amp;ROW()),
          unit_details[Property Name], INDIRECT("B"&amp;ROW()))</f>
        <v>0</v>
      </c>
      <c r="W348" s="531" t="str" cm="1">
        <f t="array" aca="1" ref="W34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8" s="552" t="str" cm="1">
        <f t="array" aca="1" ref="X34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8" s="27" t="str">
        <f t="shared" ca="1" si="15"/>
        <v/>
      </c>
      <c r="Z348" s="4" t="str">
        <f>IFERROR($U$2-AVERAGEIFS(unit_details[First Listed],
          unit_details[Active Listing?],TRUE,
          unit_details[Property Name], $B348,
          unit_details[Beds], $D348,
          unit_details[Baths], $E348,
          unit_details[Partial Baths], IF(ISNUMBER($F348),$F348,""),
          unit_details[Floorplan Name],$C348
),"")</f>
        <v/>
      </c>
      <c r="AA348" s="262" cm="1">
        <f t="array" aca="1" ref="AA348" ca="1">COUNTIFS(unit_details[Active Listing?],TRUE,
          unit_details[Floorplan Name], INDIRECT("C"&amp;ROW()),
          unit_details[Property Name], INDIRECT("B"&amp;ROW()))</f>
        <v>0</v>
      </c>
      <c r="AB348" s="553"/>
      <c r="AC348" s="528" cm="1">
        <f t="array" aca="1" ref="AC348" ca="1">IFERROR(AVERAGEIFS(
  unit_details[Sqft],
  unit_details[Property Name], INDIRECT("B"&amp;ROW()),
  unit_details[Floorplan Name], INDIRECT("C"&amp;ROW()),
  unit_details[Beds], INDIRECT("D"&amp;ROW()),
  unit_details[Detected Unit Amenities], "*"&amp;$AD$3&amp;"*",
  unit_details[Leased Date], "&gt;=" &amp; ($U$2 - $AF$3)
),0)</f>
        <v>0</v>
      </c>
      <c r="AD348" s="527" cm="1">
        <f t="array" aca="1" ref="AD3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8" s="526" cm="1">
        <f t="array" aca="1" ref="AE348" ca="1">IFERROR(COUNTIFS(
  unit_details[Property Name], INDIRECT("B"&amp;ROW()),
  unit_details[Floorplan Name], INDIRECT("C"&amp;ROW()),
  unit_details[Beds], INDIRECT("D"&amp;ROW()),
  unit_details[Detected Unit Amenities], "*"&amp;$AD$3&amp;"*",
  unit_details[Leased Date], "&gt;=" &amp; ($U$2 - $AF$3)
),0)</f>
        <v>0</v>
      </c>
      <c r="AF348" s="528" cm="1">
        <f t="array" aca="1" ref="AF348" ca="1">IFERROR(AVERAGEIFS(
  unit_details[Sqft],
  unit_details[Property Name], INDIRECT("B"&amp;ROW()),
  unit_details[Floorplan Name], INDIRECT("C"&amp;ROW()),
  unit_details[Beds], INDIRECT("D"&amp;ROW()),
  unit_details[Detected Unit Amenities], "&lt;&gt;*"&amp;$AD$3&amp;"*",
  unit_details[Leased Date], "&gt;=" &amp; ($U$2 - $AF$3)
),0)</f>
        <v>0</v>
      </c>
      <c r="AG348" s="527" cm="1">
        <f t="array" aca="1" ref="AG3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8" s="526" cm="1">
        <f t="array" aca="1" ref="AH348" ca="1">IFERROR(COUNTIFS(
  unit_details[Property Name], INDIRECT("B"&amp;ROW()),
  unit_details[Floorplan Name], INDIRECT("C"&amp;ROW()),
  unit_details[Beds], INDIRECT("D"&amp;ROW()),
  unit_details[Detected Unit Amenities], "&lt;&gt;*"&amp;$AD$3&amp;"*",
  unit_details[Leased Date], "&gt;=" &amp; ($U$2 - $AF$3)
),0)</f>
        <v>0</v>
      </c>
      <c r="AI348" s="528"/>
      <c r="AJ348" s="531">
        <f t="shared" ca="1" si="16"/>
        <v>0</v>
      </c>
      <c r="AK348" s="532">
        <f t="shared" ca="1" si="17"/>
        <v>0</v>
      </c>
    </row>
    <row r="349" spans="10:37" x14ac:dyDescent="0.2">
      <c r="J349" s="293"/>
      <c r="N349" s="531" t="str" cm="1">
        <f t="array" aca="1" ref="N34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49" s="552" t="str" cm="1">
        <f t="array" aca="1" ref="O34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49" s="526" cm="1">
        <f t="array" aca="1" ref="P349" ca="1">COUNTIFS(unit_details[Leased Date], "&gt;=" &amp; ($U$2 - N$5),
          unit_details[Leased Date], "&lt;" &amp; $U$2,
          unit_details[Floorplan Name], INDIRECT("C"&amp;ROW()),
          unit_details[Property Name], INDIRECT("B"&amp;ROW()))</f>
        <v>0</v>
      </c>
      <c r="Q349" s="531" t="str" cm="1">
        <f t="array" aca="1" ref="Q34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49" s="552" t="str" cm="1">
        <f t="array" aca="1" ref="R34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49" s="526" cm="1">
        <f t="array" aca="1" ref="S349" ca="1">COUNTIFS(unit_details[Leased Date], "&gt;=" &amp; ($U$2 - Q$5),
          unit_details[Leased Date], "&lt;" &amp; $U$2,
          unit_details[Floorplan Name], INDIRECT("C"&amp;ROW()),
          unit_details[Property Name], INDIRECT("B"&amp;ROW()))</f>
        <v>0</v>
      </c>
      <c r="T349" s="531" t="str" cm="1">
        <f t="array" aca="1" ref="T34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49" s="552" t="str" cm="1">
        <f t="array" aca="1" ref="U34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49" s="526" cm="1">
        <f t="array" aca="1" ref="V349" ca="1">COUNTIFS(unit_details[Leased Date], "&gt;=" &amp; ($U$2 - T$5),
          unit_details[Leased Date], "&lt;" &amp; $U$2,
          unit_details[Floorplan Name], INDIRECT("C"&amp;ROW()),
          unit_details[Property Name], INDIRECT("B"&amp;ROW()))</f>
        <v>0</v>
      </c>
      <c r="W349" s="531" t="str" cm="1">
        <f t="array" aca="1" ref="W34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49" s="552" t="str" cm="1">
        <f t="array" aca="1" ref="X34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49" s="27" t="str">
        <f t="shared" ca="1" si="15"/>
        <v/>
      </c>
      <c r="Z349" s="4" t="str">
        <f>IFERROR($U$2-AVERAGEIFS(unit_details[First Listed],
          unit_details[Active Listing?],TRUE,
          unit_details[Property Name], $B349,
          unit_details[Beds], $D349,
          unit_details[Baths], $E349,
          unit_details[Partial Baths], IF(ISNUMBER($F349),$F349,""),
          unit_details[Floorplan Name],$C349
),"")</f>
        <v/>
      </c>
      <c r="AA349" s="262" cm="1">
        <f t="array" aca="1" ref="AA349" ca="1">COUNTIFS(unit_details[Active Listing?],TRUE,
          unit_details[Floorplan Name], INDIRECT("C"&amp;ROW()),
          unit_details[Property Name], INDIRECT("B"&amp;ROW()))</f>
        <v>0</v>
      </c>
      <c r="AB349" s="553"/>
      <c r="AC349" s="528" cm="1">
        <f t="array" aca="1" ref="AC349" ca="1">IFERROR(AVERAGEIFS(
  unit_details[Sqft],
  unit_details[Property Name], INDIRECT("B"&amp;ROW()),
  unit_details[Floorplan Name], INDIRECT("C"&amp;ROW()),
  unit_details[Beds], INDIRECT("D"&amp;ROW()),
  unit_details[Detected Unit Amenities], "*"&amp;$AD$3&amp;"*",
  unit_details[Leased Date], "&gt;=" &amp; ($U$2 - $AF$3)
),0)</f>
        <v>0</v>
      </c>
      <c r="AD349" s="527" cm="1">
        <f t="array" aca="1" ref="AD3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49" s="526" cm="1">
        <f t="array" aca="1" ref="AE349" ca="1">IFERROR(COUNTIFS(
  unit_details[Property Name], INDIRECT("B"&amp;ROW()),
  unit_details[Floorplan Name], INDIRECT("C"&amp;ROW()),
  unit_details[Beds], INDIRECT("D"&amp;ROW()),
  unit_details[Detected Unit Amenities], "*"&amp;$AD$3&amp;"*",
  unit_details[Leased Date], "&gt;=" &amp; ($U$2 - $AF$3)
),0)</f>
        <v>0</v>
      </c>
      <c r="AF349" s="528" cm="1">
        <f t="array" aca="1" ref="AF349" ca="1">IFERROR(AVERAGEIFS(
  unit_details[Sqft],
  unit_details[Property Name], INDIRECT("B"&amp;ROW()),
  unit_details[Floorplan Name], INDIRECT("C"&amp;ROW()),
  unit_details[Beds], INDIRECT("D"&amp;ROW()),
  unit_details[Detected Unit Amenities], "&lt;&gt;*"&amp;$AD$3&amp;"*",
  unit_details[Leased Date], "&gt;=" &amp; ($U$2 - $AF$3)
),0)</f>
        <v>0</v>
      </c>
      <c r="AG349" s="527" cm="1">
        <f t="array" aca="1" ref="AG3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49" s="526" cm="1">
        <f t="array" aca="1" ref="AH349" ca="1">IFERROR(COUNTIFS(
  unit_details[Property Name], INDIRECT("B"&amp;ROW()),
  unit_details[Floorplan Name], INDIRECT("C"&amp;ROW()),
  unit_details[Beds], INDIRECT("D"&amp;ROW()),
  unit_details[Detected Unit Amenities], "&lt;&gt;*"&amp;$AD$3&amp;"*",
  unit_details[Leased Date], "&gt;=" &amp; ($U$2 - $AF$3)
),0)</f>
        <v>0</v>
      </c>
      <c r="AI349" s="528"/>
      <c r="AJ349" s="531">
        <f t="shared" ca="1" si="16"/>
        <v>0</v>
      </c>
      <c r="AK349" s="532">
        <f t="shared" ca="1" si="17"/>
        <v>0</v>
      </c>
    </row>
    <row r="350" spans="10:37" x14ac:dyDescent="0.2">
      <c r="J350" s="293"/>
      <c r="N350" s="531" t="str" cm="1">
        <f t="array" aca="1" ref="N35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0" s="552" t="str" cm="1">
        <f t="array" aca="1" ref="O35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0" s="526" cm="1">
        <f t="array" aca="1" ref="P350" ca="1">COUNTIFS(unit_details[Leased Date], "&gt;=" &amp; ($U$2 - N$5),
          unit_details[Leased Date], "&lt;" &amp; $U$2,
          unit_details[Floorplan Name], INDIRECT("C"&amp;ROW()),
          unit_details[Property Name], INDIRECT("B"&amp;ROW()))</f>
        <v>0</v>
      </c>
      <c r="Q350" s="531" t="str" cm="1">
        <f t="array" aca="1" ref="Q35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0" s="552" t="str" cm="1">
        <f t="array" aca="1" ref="R35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0" s="526" cm="1">
        <f t="array" aca="1" ref="S350" ca="1">COUNTIFS(unit_details[Leased Date], "&gt;=" &amp; ($U$2 - Q$5),
          unit_details[Leased Date], "&lt;" &amp; $U$2,
          unit_details[Floorplan Name], INDIRECT("C"&amp;ROW()),
          unit_details[Property Name], INDIRECT("B"&amp;ROW()))</f>
        <v>0</v>
      </c>
      <c r="T350" s="531" t="str" cm="1">
        <f t="array" aca="1" ref="T35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0" s="552" t="str" cm="1">
        <f t="array" aca="1" ref="U35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0" s="526" cm="1">
        <f t="array" aca="1" ref="V350" ca="1">COUNTIFS(unit_details[Leased Date], "&gt;=" &amp; ($U$2 - T$5),
          unit_details[Leased Date], "&lt;" &amp; $U$2,
          unit_details[Floorplan Name], INDIRECT("C"&amp;ROW()),
          unit_details[Property Name], INDIRECT("B"&amp;ROW()))</f>
        <v>0</v>
      </c>
      <c r="W350" s="531" t="str" cm="1">
        <f t="array" aca="1" ref="W35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0" s="552" t="str" cm="1">
        <f t="array" aca="1" ref="X35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0" s="27" t="str">
        <f t="shared" ca="1" si="15"/>
        <v/>
      </c>
      <c r="Z350" s="4" t="str">
        <f>IFERROR($U$2-AVERAGEIFS(unit_details[First Listed],
          unit_details[Active Listing?],TRUE,
          unit_details[Property Name], $B350,
          unit_details[Beds], $D350,
          unit_details[Baths], $E350,
          unit_details[Partial Baths], IF(ISNUMBER($F350),$F350,""),
          unit_details[Floorplan Name],$C350
),"")</f>
        <v/>
      </c>
      <c r="AA350" s="262" cm="1">
        <f t="array" aca="1" ref="AA350" ca="1">COUNTIFS(unit_details[Active Listing?],TRUE,
          unit_details[Floorplan Name], INDIRECT("C"&amp;ROW()),
          unit_details[Property Name], INDIRECT("B"&amp;ROW()))</f>
        <v>0</v>
      </c>
      <c r="AB350" s="553"/>
      <c r="AC350" s="528" cm="1">
        <f t="array" aca="1" ref="AC350" ca="1">IFERROR(AVERAGEIFS(
  unit_details[Sqft],
  unit_details[Property Name], INDIRECT("B"&amp;ROW()),
  unit_details[Floorplan Name], INDIRECT("C"&amp;ROW()),
  unit_details[Beds], INDIRECT("D"&amp;ROW()),
  unit_details[Detected Unit Amenities], "*"&amp;$AD$3&amp;"*",
  unit_details[Leased Date], "&gt;=" &amp; ($U$2 - $AF$3)
),0)</f>
        <v>0</v>
      </c>
      <c r="AD350" s="527" cm="1">
        <f t="array" aca="1" ref="AD3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0" s="526" cm="1">
        <f t="array" aca="1" ref="AE350" ca="1">IFERROR(COUNTIFS(
  unit_details[Property Name], INDIRECT("B"&amp;ROW()),
  unit_details[Floorplan Name], INDIRECT("C"&amp;ROW()),
  unit_details[Beds], INDIRECT("D"&amp;ROW()),
  unit_details[Detected Unit Amenities], "*"&amp;$AD$3&amp;"*",
  unit_details[Leased Date], "&gt;=" &amp; ($U$2 - $AF$3)
),0)</f>
        <v>0</v>
      </c>
      <c r="AF350" s="528" cm="1">
        <f t="array" aca="1" ref="AF350" ca="1">IFERROR(AVERAGEIFS(
  unit_details[Sqft],
  unit_details[Property Name], INDIRECT("B"&amp;ROW()),
  unit_details[Floorplan Name], INDIRECT("C"&amp;ROW()),
  unit_details[Beds], INDIRECT("D"&amp;ROW()),
  unit_details[Detected Unit Amenities], "&lt;&gt;*"&amp;$AD$3&amp;"*",
  unit_details[Leased Date], "&gt;=" &amp; ($U$2 - $AF$3)
),0)</f>
        <v>0</v>
      </c>
      <c r="AG350" s="527" cm="1">
        <f t="array" aca="1" ref="AG3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0" s="526" cm="1">
        <f t="array" aca="1" ref="AH350" ca="1">IFERROR(COUNTIFS(
  unit_details[Property Name], INDIRECT("B"&amp;ROW()),
  unit_details[Floorplan Name], INDIRECT("C"&amp;ROW()),
  unit_details[Beds], INDIRECT("D"&amp;ROW()),
  unit_details[Detected Unit Amenities], "&lt;&gt;*"&amp;$AD$3&amp;"*",
  unit_details[Leased Date], "&gt;=" &amp; ($U$2 - $AF$3)
),0)</f>
        <v>0</v>
      </c>
      <c r="AI350" s="528"/>
      <c r="AJ350" s="531">
        <f t="shared" ca="1" si="16"/>
        <v>0</v>
      </c>
      <c r="AK350" s="532">
        <f t="shared" ca="1" si="17"/>
        <v>0</v>
      </c>
    </row>
    <row r="351" spans="10:37" x14ac:dyDescent="0.2">
      <c r="J351" s="293"/>
      <c r="N351" s="531" t="str" cm="1">
        <f t="array" aca="1" ref="N35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1" s="552" t="str" cm="1">
        <f t="array" aca="1" ref="O35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1" s="526" cm="1">
        <f t="array" aca="1" ref="P351" ca="1">COUNTIFS(unit_details[Leased Date], "&gt;=" &amp; ($U$2 - N$5),
          unit_details[Leased Date], "&lt;" &amp; $U$2,
          unit_details[Floorplan Name], INDIRECT("C"&amp;ROW()),
          unit_details[Property Name], INDIRECT("B"&amp;ROW()))</f>
        <v>0</v>
      </c>
      <c r="Q351" s="531" t="str" cm="1">
        <f t="array" aca="1" ref="Q35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1" s="552" t="str" cm="1">
        <f t="array" aca="1" ref="R35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1" s="526" cm="1">
        <f t="array" aca="1" ref="S351" ca="1">COUNTIFS(unit_details[Leased Date], "&gt;=" &amp; ($U$2 - Q$5),
          unit_details[Leased Date], "&lt;" &amp; $U$2,
          unit_details[Floorplan Name], INDIRECT("C"&amp;ROW()),
          unit_details[Property Name], INDIRECT("B"&amp;ROW()))</f>
        <v>0</v>
      </c>
      <c r="T351" s="531" t="str" cm="1">
        <f t="array" aca="1" ref="T35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1" s="552" t="str" cm="1">
        <f t="array" aca="1" ref="U35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1" s="526" cm="1">
        <f t="array" aca="1" ref="V351" ca="1">COUNTIFS(unit_details[Leased Date], "&gt;=" &amp; ($U$2 - T$5),
          unit_details[Leased Date], "&lt;" &amp; $U$2,
          unit_details[Floorplan Name], INDIRECT("C"&amp;ROW()),
          unit_details[Property Name], INDIRECT("B"&amp;ROW()))</f>
        <v>0</v>
      </c>
      <c r="W351" s="531" t="str" cm="1">
        <f t="array" aca="1" ref="W35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1" s="552" t="str" cm="1">
        <f t="array" aca="1" ref="X35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1" s="27" t="str">
        <f t="shared" ca="1" si="15"/>
        <v/>
      </c>
      <c r="Z351" s="4" t="str">
        <f>IFERROR($U$2-AVERAGEIFS(unit_details[First Listed],
          unit_details[Active Listing?],TRUE,
          unit_details[Property Name], $B351,
          unit_details[Beds], $D351,
          unit_details[Baths], $E351,
          unit_details[Partial Baths], IF(ISNUMBER($F351),$F351,""),
          unit_details[Floorplan Name],$C351
),"")</f>
        <v/>
      </c>
      <c r="AA351" s="262" cm="1">
        <f t="array" aca="1" ref="AA351" ca="1">COUNTIFS(unit_details[Active Listing?],TRUE,
          unit_details[Floorplan Name], INDIRECT("C"&amp;ROW()),
          unit_details[Property Name], INDIRECT("B"&amp;ROW()))</f>
        <v>0</v>
      </c>
      <c r="AB351" s="553"/>
      <c r="AC351" s="528" cm="1">
        <f t="array" aca="1" ref="AC351" ca="1">IFERROR(AVERAGEIFS(
  unit_details[Sqft],
  unit_details[Property Name], INDIRECT("B"&amp;ROW()),
  unit_details[Floorplan Name], INDIRECT("C"&amp;ROW()),
  unit_details[Beds], INDIRECT("D"&amp;ROW()),
  unit_details[Detected Unit Amenities], "*"&amp;$AD$3&amp;"*",
  unit_details[Leased Date], "&gt;=" &amp; ($U$2 - $AF$3)
),0)</f>
        <v>0</v>
      </c>
      <c r="AD351" s="527" cm="1">
        <f t="array" aca="1" ref="AD3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1" s="526" cm="1">
        <f t="array" aca="1" ref="AE351" ca="1">IFERROR(COUNTIFS(
  unit_details[Property Name], INDIRECT("B"&amp;ROW()),
  unit_details[Floorplan Name], INDIRECT("C"&amp;ROW()),
  unit_details[Beds], INDIRECT("D"&amp;ROW()),
  unit_details[Detected Unit Amenities], "*"&amp;$AD$3&amp;"*",
  unit_details[Leased Date], "&gt;=" &amp; ($U$2 - $AF$3)
),0)</f>
        <v>0</v>
      </c>
      <c r="AF351" s="528" cm="1">
        <f t="array" aca="1" ref="AF351" ca="1">IFERROR(AVERAGEIFS(
  unit_details[Sqft],
  unit_details[Property Name], INDIRECT("B"&amp;ROW()),
  unit_details[Floorplan Name], INDIRECT("C"&amp;ROW()),
  unit_details[Beds], INDIRECT("D"&amp;ROW()),
  unit_details[Detected Unit Amenities], "&lt;&gt;*"&amp;$AD$3&amp;"*",
  unit_details[Leased Date], "&gt;=" &amp; ($U$2 - $AF$3)
),0)</f>
        <v>0</v>
      </c>
      <c r="AG351" s="527" cm="1">
        <f t="array" aca="1" ref="AG3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1" s="526" cm="1">
        <f t="array" aca="1" ref="AH351" ca="1">IFERROR(COUNTIFS(
  unit_details[Property Name], INDIRECT("B"&amp;ROW()),
  unit_details[Floorplan Name], INDIRECT("C"&amp;ROW()),
  unit_details[Beds], INDIRECT("D"&amp;ROW()),
  unit_details[Detected Unit Amenities], "&lt;&gt;*"&amp;$AD$3&amp;"*",
  unit_details[Leased Date], "&gt;=" &amp; ($U$2 - $AF$3)
),0)</f>
        <v>0</v>
      </c>
      <c r="AI351" s="528"/>
      <c r="AJ351" s="531">
        <f t="shared" ca="1" si="16"/>
        <v>0</v>
      </c>
      <c r="AK351" s="532">
        <f t="shared" ca="1" si="17"/>
        <v>0</v>
      </c>
    </row>
    <row r="352" spans="10:37" x14ac:dyDescent="0.2">
      <c r="J352" s="293"/>
      <c r="N352" s="531" t="str" cm="1">
        <f t="array" aca="1" ref="N35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2" s="552" t="str" cm="1">
        <f t="array" aca="1" ref="O35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2" s="526" cm="1">
        <f t="array" aca="1" ref="P352" ca="1">COUNTIFS(unit_details[Leased Date], "&gt;=" &amp; ($U$2 - N$5),
          unit_details[Leased Date], "&lt;" &amp; $U$2,
          unit_details[Floorplan Name], INDIRECT("C"&amp;ROW()),
          unit_details[Property Name], INDIRECT("B"&amp;ROW()))</f>
        <v>0</v>
      </c>
      <c r="Q352" s="531" t="str" cm="1">
        <f t="array" aca="1" ref="Q35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2" s="552" t="str" cm="1">
        <f t="array" aca="1" ref="R35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2" s="526" cm="1">
        <f t="array" aca="1" ref="S352" ca="1">COUNTIFS(unit_details[Leased Date], "&gt;=" &amp; ($U$2 - Q$5),
          unit_details[Leased Date], "&lt;" &amp; $U$2,
          unit_details[Floorplan Name], INDIRECT("C"&amp;ROW()),
          unit_details[Property Name], INDIRECT("B"&amp;ROW()))</f>
        <v>0</v>
      </c>
      <c r="T352" s="531" t="str" cm="1">
        <f t="array" aca="1" ref="T35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2" s="552" t="str" cm="1">
        <f t="array" aca="1" ref="U35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2" s="526" cm="1">
        <f t="array" aca="1" ref="V352" ca="1">COUNTIFS(unit_details[Leased Date], "&gt;=" &amp; ($U$2 - T$5),
          unit_details[Leased Date], "&lt;" &amp; $U$2,
          unit_details[Floorplan Name], INDIRECT("C"&amp;ROW()),
          unit_details[Property Name], INDIRECT("B"&amp;ROW()))</f>
        <v>0</v>
      </c>
      <c r="W352" s="531" t="str" cm="1">
        <f t="array" aca="1" ref="W35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2" s="552" t="str" cm="1">
        <f t="array" aca="1" ref="X35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2" s="27" t="str">
        <f t="shared" ca="1" si="15"/>
        <v/>
      </c>
      <c r="Z352" s="4" t="str">
        <f>IFERROR($U$2-AVERAGEIFS(unit_details[First Listed],
          unit_details[Active Listing?],TRUE,
          unit_details[Property Name], $B352,
          unit_details[Beds], $D352,
          unit_details[Baths], $E352,
          unit_details[Partial Baths], IF(ISNUMBER($F352),$F352,""),
          unit_details[Floorplan Name],$C352
),"")</f>
        <v/>
      </c>
      <c r="AA352" s="262" cm="1">
        <f t="array" aca="1" ref="AA352" ca="1">COUNTIFS(unit_details[Active Listing?],TRUE,
          unit_details[Floorplan Name], INDIRECT("C"&amp;ROW()),
          unit_details[Property Name], INDIRECT("B"&amp;ROW()))</f>
        <v>0</v>
      </c>
      <c r="AB352" s="553"/>
      <c r="AC352" s="528" cm="1">
        <f t="array" aca="1" ref="AC352" ca="1">IFERROR(AVERAGEIFS(
  unit_details[Sqft],
  unit_details[Property Name], INDIRECT("B"&amp;ROW()),
  unit_details[Floorplan Name], INDIRECT("C"&amp;ROW()),
  unit_details[Beds], INDIRECT("D"&amp;ROW()),
  unit_details[Detected Unit Amenities], "*"&amp;$AD$3&amp;"*",
  unit_details[Leased Date], "&gt;=" &amp; ($U$2 - $AF$3)
),0)</f>
        <v>0</v>
      </c>
      <c r="AD352" s="527" cm="1">
        <f t="array" aca="1" ref="AD3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2" s="526" cm="1">
        <f t="array" aca="1" ref="AE352" ca="1">IFERROR(COUNTIFS(
  unit_details[Property Name], INDIRECT("B"&amp;ROW()),
  unit_details[Floorplan Name], INDIRECT("C"&amp;ROW()),
  unit_details[Beds], INDIRECT("D"&amp;ROW()),
  unit_details[Detected Unit Amenities], "*"&amp;$AD$3&amp;"*",
  unit_details[Leased Date], "&gt;=" &amp; ($U$2 - $AF$3)
),0)</f>
        <v>0</v>
      </c>
      <c r="AF352" s="528" cm="1">
        <f t="array" aca="1" ref="AF352" ca="1">IFERROR(AVERAGEIFS(
  unit_details[Sqft],
  unit_details[Property Name], INDIRECT("B"&amp;ROW()),
  unit_details[Floorplan Name], INDIRECT("C"&amp;ROW()),
  unit_details[Beds], INDIRECT("D"&amp;ROW()),
  unit_details[Detected Unit Amenities], "&lt;&gt;*"&amp;$AD$3&amp;"*",
  unit_details[Leased Date], "&gt;=" &amp; ($U$2 - $AF$3)
),0)</f>
        <v>0</v>
      </c>
      <c r="AG352" s="527" cm="1">
        <f t="array" aca="1" ref="AG3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2" s="526" cm="1">
        <f t="array" aca="1" ref="AH352" ca="1">IFERROR(COUNTIFS(
  unit_details[Property Name], INDIRECT("B"&amp;ROW()),
  unit_details[Floorplan Name], INDIRECT("C"&amp;ROW()),
  unit_details[Beds], INDIRECT("D"&amp;ROW()),
  unit_details[Detected Unit Amenities], "&lt;&gt;*"&amp;$AD$3&amp;"*",
  unit_details[Leased Date], "&gt;=" &amp; ($U$2 - $AF$3)
),0)</f>
        <v>0</v>
      </c>
      <c r="AI352" s="528"/>
      <c r="AJ352" s="531">
        <f t="shared" ca="1" si="16"/>
        <v>0</v>
      </c>
      <c r="AK352" s="532">
        <f t="shared" ca="1" si="17"/>
        <v>0</v>
      </c>
    </row>
    <row r="353" spans="10:37" x14ac:dyDescent="0.2">
      <c r="J353" s="293"/>
      <c r="N353" s="531" t="str" cm="1">
        <f t="array" aca="1" ref="N35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3" s="552" t="str" cm="1">
        <f t="array" aca="1" ref="O35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3" s="526" cm="1">
        <f t="array" aca="1" ref="P353" ca="1">COUNTIFS(unit_details[Leased Date], "&gt;=" &amp; ($U$2 - N$5),
          unit_details[Leased Date], "&lt;" &amp; $U$2,
          unit_details[Floorplan Name], INDIRECT("C"&amp;ROW()),
          unit_details[Property Name], INDIRECT("B"&amp;ROW()))</f>
        <v>0</v>
      </c>
      <c r="Q353" s="531" t="str" cm="1">
        <f t="array" aca="1" ref="Q35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3" s="552" t="str" cm="1">
        <f t="array" aca="1" ref="R35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3" s="526" cm="1">
        <f t="array" aca="1" ref="S353" ca="1">COUNTIFS(unit_details[Leased Date], "&gt;=" &amp; ($U$2 - Q$5),
          unit_details[Leased Date], "&lt;" &amp; $U$2,
          unit_details[Floorplan Name], INDIRECT("C"&amp;ROW()),
          unit_details[Property Name], INDIRECT("B"&amp;ROW()))</f>
        <v>0</v>
      </c>
      <c r="T353" s="531" t="str" cm="1">
        <f t="array" aca="1" ref="T35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3" s="552" t="str" cm="1">
        <f t="array" aca="1" ref="U35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3" s="526" cm="1">
        <f t="array" aca="1" ref="V353" ca="1">COUNTIFS(unit_details[Leased Date], "&gt;=" &amp; ($U$2 - T$5),
          unit_details[Leased Date], "&lt;" &amp; $U$2,
          unit_details[Floorplan Name], INDIRECT("C"&amp;ROW()),
          unit_details[Property Name], INDIRECT("B"&amp;ROW()))</f>
        <v>0</v>
      </c>
      <c r="W353" s="531" t="str" cm="1">
        <f t="array" aca="1" ref="W35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3" s="552" t="str" cm="1">
        <f t="array" aca="1" ref="X35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3" s="27" t="str">
        <f t="shared" ca="1" si="15"/>
        <v/>
      </c>
      <c r="Z353" s="4" t="str">
        <f>IFERROR($U$2-AVERAGEIFS(unit_details[First Listed],
          unit_details[Active Listing?],TRUE,
          unit_details[Property Name], $B353,
          unit_details[Beds], $D353,
          unit_details[Baths], $E353,
          unit_details[Partial Baths], IF(ISNUMBER($F353),$F353,""),
          unit_details[Floorplan Name],$C353
),"")</f>
        <v/>
      </c>
      <c r="AA353" s="262" cm="1">
        <f t="array" aca="1" ref="AA353" ca="1">COUNTIFS(unit_details[Active Listing?],TRUE,
          unit_details[Floorplan Name], INDIRECT("C"&amp;ROW()),
          unit_details[Property Name], INDIRECT("B"&amp;ROW()))</f>
        <v>0</v>
      </c>
      <c r="AB353" s="553"/>
      <c r="AC353" s="528" cm="1">
        <f t="array" aca="1" ref="AC353" ca="1">IFERROR(AVERAGEIFS(
  unit_details[Sqft],
  unit_details[Property Name], INDIRECT("B"&amp;ROW()),
  unit_details[Floorplan Name], INDIRECT("C"&amp;ROW()),
  unit_details[Beds], INDIRECT("D"&amp;ROW()),
  unit_details[Detected Unit Amenities], "*"&amp;$AD$3&amp;"*",
  unit_details[Leased Date], "&gt;=" &amp; ($U$2 - $AF$3)
),0)</f>
        <v>0</v>
      </c>
      <c r="AD353" s="527" cm="1">
        <f t="array" aca="1" ref="AD3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3" s="526" cm="1">
        <f t="array" aca="1" ref="AE353" ca="1">IFERROR(COUNTIFS(
  unit_details[Property Name], INDIRECT("B"&amp;ROW()),
  unit_details[Floorplan Name], INDIRECT("C"&amp;ROW()),
  unit_details[Beds], INDIRECT("D"&amp;ROW()),
  unit_details[Detected Unit Amenities], "*"&amp;$AD$3&amp;"*",
  unit_details[Leased Date], "&gt;=" &amp; ($U$2 - $AF$3)
),0)</f>
        <v>0</v>
      </c>
      <c r="AF353" s="528" cm="1">
        <f t="array" aca="1" ref="AF353" ca="1">IFERROR(AVERAGEIFS(
  unit_details[Sqft],
  unit_details[Property Name], INDIRECT("B"&amp;ROW()),
  unit_details[Floorplan Name], INDIRECT("C"&amp;ROW()),
  unit_details[Beds], INDIRECT("D"&amp;ROW()),
  unit_details[Detected Unit Amenities], "&lt;&gt;*"&amp;$AD$3&amp;"*",
  unit_details[Leased Date], "&gt;=" &amp; ($U$2 - $AF$3)
),0)</f>
        <v>0</v>
      </c>
      <c r="AG353" s="527" cm="1">
        <f t="array" aca="1" ref="AG3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3" s="526" cm="1">
        <f t="array" aca="1" ref="AH353" ca="1">IFERROR(COUNTIFS(
  unit_details[Property Name], INDIRECT("B"&amp;ROW()),
  unit_details[Floorplan Name], INDIRECT("C"&amp;ROW()),
  unit_details[Beds], INDIRECT("D"&amp;ROW()),
  unit_details[Detected Unit Amenities], "&lt;&gt;*"&amp;$AD$3&amp;"*",
  unit_details[Leased Date], "&gt;=" &amp; ($U$2 - $AF$3)
),0)</f>
        <v>0</v>
      </c>
      <c r="AI353" s="528"/>
      <c r="AJ353" s="531">
        <f t="shared" ca="1" si="16"/>
        <v>0</v>
      </c>
      <c r="AK353" s="532">
        <f t="shared" ca="1" si="17"/>
        <v>0</v>
      </c>
    </row>
    <row r="354" spans="10:37" x14ac:dyDescent="0.2">
      <c r="J354" s="293"/>
      <c r="N354" s="531" t="str" cm="1">
        <f t="array" aca="1" ref="N35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4" s="552" t="str" cm="1">
        <f t="array" aca="1" ref="O35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4" s="526" cm="1">
        <f t="array" aca="1" ref="P354" ca="1">COUNTIFS(unit_details[Leased Date], "&gt;=" &amp; ($U$2 - N$5),
          unit_details[Leased Date], "&lt;" &amp; $U$2,
          unit_details[Floorplan Name], INDIRECT("C"&amp;ROW()),
          unit_details[Property Name], INDIRECT("B"&amp;ROW()))</f>
        <v>0</v>
      </c>
      <c r="Q354" s="531" t="str" cm="1">
        <f t="array" aca="1" ref="Q35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4" s="552" t="str" cm="1">
        <f t="array" aca="1" ref="R35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4" s="526" cm="1">
        <f t="array" aca="1" ref="S354" ca="1">COUNTIFS(unit_details[Leased Date], "&gt;=" &amp; ($U$2 - Q$5),
          unit_details[Leased Date], "&lt;" &amp; $U$2,
          unit_details[Floorplan Name], INDIRECT("C"&amp;ROW()),
          unit_details[Property Name], INDIRECT("B"&amp;ROW()))</f>
        <v>0</v>
      </c>
      <c r="T354" s="531" t="str" cm="1">
        <f t="array" aca="1" ref="T35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4" s="552" t="str" cm="1">
        <f t="array" aca="1" ref="U35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4" s="526" cm="1">
        <f t="array" aca="1" ref="V354" ca="1">COUNTIFS(unit_details[Leased Date], "&gt;=" &amp; ($U$2 - T$5),
          unit_details[Leased Date], "&lt;" &amp; $U$2,
          unit_details[Floorplan Name], INDIRECT("C"&amp;ROW()),
          unit_details[Property Name], INDIRECT("B"&amp;ROW()))</f>
        <v>0</v>
      </c>
      <c r="W354" s="531" t="str" cm="1">
        <f t="array" aca="1" ref="W35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4" s="552" t="str" cm="1">
        <f t="array" aca="1" ref="X35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4" s="27" t="str">
        <f t="shared" ca="1" si="15"/>
        <v/>
      </c>
      <c r="Z354" s="4" t="str">
        <f>IFERROR($U$2-AVERAGEIFS(unit_details[First Listed],
          unit_details[Active Listing?],TRUE,
          unit_details[Property Name], $B354,
          unit_details[Beds], $D354,
          unit_details[Baths], $E354,
          unit_details[Partial Baths], IF(ISNUMBER($F354),$F354,""),
          unit_details[Floorplan Name],$C354
),"")</f>
        <v/>
      </c>
      <c r="AA354" s="262" cm="1">
        <f t="array" aca="1" ref="AA354" ca="1">COUNTIFS(unit_details[Active Listing?],TRUE,
          unit_details[Floorplan Name], INDIRECT("C"&amp;ROW()),
          unit_details[Property Name], INDIRECT("B"&amp;ROW()))</f>
        <v>0</v>
      </c>
      <c r="AB354" s="553"/>
      <c r="AC354" s="528" cm="1">
        <f t="array" aca="1" ref="AC354" ca="1">IFERROR(AVERAGEIFS(
  unit_details[Sqft],
  unit_details[Property Name], INDIRECT("B"&amp;ROW()),
  unit_details[Floorplan Name], INDIRECT("C"&amp;ROW()),
  unit_details[Beds], INDIRECT("D"&amp;ROW()),
  unit_details[Detected Unit Amenities], "*"&amp;$AD$3&amp;"*",
  unit_details[Leased Date], "&gt;=" &amp; ($U$2 - $AF$3)
),0)</f>
        <v>0</v>
      </c>
      <c r="AD354" s="527" cm="1">
        <f t="array" aca="1" ref="AD3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4" s="526" cm="1">
        <f t="array" aca="1" ref="AE354" ca="1">IFERROR(COUNTIFS(
  unit_details[Property Name], INDIRECT("B"&amp;ROW()),
  unit_details[Floorplan Name], INDIRECT("C"&amp;ROW()),
  unit_details[Beds], INDIRECT("D"&amp;ROW()),
  unit_details[Detected Unit Amenities], "*"&amp;$AD$3&amp;"*",
  unit_details[Leased Date], "&gt;=" &amp; ($U$2 - $AF$3)
),0)</f>
        <v>0</v>
      </c>
      <c r="AF354" s="528" cm="1">
        <f t="array" aca="1" ref="AF354" ca="1">IFERROR(AVERAGEIFS(
  unit_details[Sqft],
  unit_details[Property Name], INDIRECT("B"&amp;ROW()),
  unit_details[Floorplan Name], INDIRECT("C"&amp;ROW()),
  unit_details[Beds], INDIRECT("D"&amp;ROW()),
  unit_details[Detected Unit Amenities], "&lt;&gt;*"&amp;$AD$3&amp;"*",
  unit_details[Leased Date], "&gt;=" &amp; ($U$2 - $AF$3)
),0)</f>
        <v>0</v>
      </c>
      <c r="AG354" s="527" cm="1">
        <f t="array" aca="1" ref="AG3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4" s="526" cm="1">
        <f t="array" aca="1" ref="AH354" ca="1">IFERROR(COUNTIFS(
  unit_details[Property Name], INDIRECT("B"&amp;ROW()),
  unit_details[Floorplan Name], INDIRECT("C"&amp;ROW()),
  unit_details[Beds], INDIRECT("D"&amp;ROW()),
  unit_details[Detected Unit Amenities], "&lt;&gt;*"&amp;$AD$3&amp;"*",
  unit_details[Leased Date], "&gt;=" &amp; ($U$2 - $AF$3)
),0)</f>
        <v>0</v>
      </c>
      <c r="AI354" s="528"/>
      <c r="AJ354" s="531">
        <f t="shared" ca="1" si="16"/>
        <v>0</v>
      </c>
      <c r="AK354" s="532">
        <f t="shared" ca="1" si="17"/>
        <v>0</v>
      </c>
    </row>
    <row r="355" spans="10:37" x14ac:dyDescent="0.2">
      <c r="J355" s="293"/>
      <c r="N355" s="531" t="str" cm="1">
        <f t="array" aca="1" ref="N35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5" s="552" t="str" cm="1">
        <f t="array" aca="1" ref="O35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5" s="526" cm="1">
        <f t="array" aca="1" ref="P355" ca="1">COUNTIFS(unit_details[Leased Date], "&gt;=" &amp; ($U$2 - N$5),
          unit_details[Leased Date], "&lt;" &amp; $U$2,
          unit_details[Floorplan Name], INDIRECT("C"&amp;ROW()),
          unit_details[Property Name], INDIRECT("B"&amp;ROW()))</f>
        <v>0</v>
      </c>
      <c r="Q355" s="531" t="str" cm="1">
        <f t="array" aca="1" ref="Q35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5" s="552" t="str" cm="1">
        <f t="array" aca="1" ref="R35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5" s="526" cm="1">
        <f t="array" aca="1" ref="S355" ca="1">COUNTIFS(unit_details[Leased Date], "&gt;=" &amp; ($U$2 - Q$5),
          unit_details[Leased Date], "&lt;" &amp; $U$2,
          unit_details[Floorplan Name], INDIRECT("C"&amp;ROW()),
          unit_details[Property Name], INDIRECT("B"&amp;ROW()))</f>
        <v>0</v>
      </c>
      <c r="T355" s="531" t="str" cm="1">
        <f t="array" aca="1" ref="T35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5" s="552" t="str" cm="1">
        <f t="array" aca="1" ref="U35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5" s="526" cm="1">
        <f t="array" aca="1" ref="V355" ca="1">COUNTIFS(unit_details[Leased Date], "&gt;=" &amp; ($U$2 - T$5),
          unit_details[Leased Date], "&lt;" &amp; $U$2,
          unit_details[Floorplan Name], INDIRECT("C"&amp;ROW()),
          unit_details[Property Name], INDIRECT("B"&amp;ROW()))</f>
        <v>0</v>
      </c>
      <c r="W355" s="531" t="str" cm="1">
        <f t="array" aca="1" ref="W35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5" s="552" t="str" cm="1">
        <f t="array" aca="1" ref="X35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5" s="27" t="str">
        <f t="shared" ca="1" si="15"/>
        <v/>
      </c>
      <c r="Z355" s="4" t="str">
        <f>IFERROR($U$2-AVERAGEIFS(unit_details[First Listed],
          unit_details[Active Listing?],TRUE,
          unit_details[Property Name], $B355,
          unit_details[Beds], $D355,
          unit_details[Baths], $E355,
          unit_details[Partial Baths], IF(ISNUMBER($F355),$F355,""),
          unit_details[Floorplan Name],$C355
),"")</f>
        <v/>
      </c>
      <c r="AA355" s="262" cm="1">
        <f t="array" aca="1" ref="AA355" ca="1">COUNTIFS(unit_details[Active Listing?],TRUE,
          unit_details[Floorplan Name], INDIRECT("C"&amp;ROW()),
          unit_details[Property Name], INDIRECT("B"&amp;ROW()))</f>
        <v>0</v>
      </c>
      <c r="AB355" s="553"/>
      <c r="AC355" s="528" cm="1">
        <f t="array" aca="1" ref="AC355" ca="1">IFERROR(AVERAGEIFS(
  unit_details[Sqft],
  unit_details[Property Name], INDIRECT("B"&amp;ROW()),
  unit_details[Floorplan Name], INDIRECT("C"&amp;ROW()),
  unit_details[Beds], INDIRECT("D"&amp;ROW()),
  unit_details[Detected Unit Amenities], "*"&amp;$AD$3&amp;"*",
  unit_details[Leased Date], "&gt;=" &amp; ($U$2 - $AF$3)
),0)</f>
        <v>0</v>
      </c>
      <c r="AD355" s="527" cm="1">
        <f t="array" aca="1" ref="AD3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5" s="526" cm="1">
        <f t="array" aca="1" ref="AE355" ca="1">IFERROR(COUNTIFS(
  unit_details[Property Name], INDIRECT("B"&amp;ROW()),
  unit_details[Floorplan Name], INDIRECT("C"&amp;ROW()),
  unit_details[Beds], INDIRECT("D"&amp;ROW()),
  unit_details[Detected Unit Amenities], "*"&amp;$AD$3&amp;"*",
  unit_details[Leased Date], "&gt;=" &amp; ($U$2 - $AF$3)
),0)</f>
        <v>0</v>
      </c>
      <c r="AF355" s="528" cm="1">
        <f t="array" aca="1" ref="AF355" ca="1">IFERROR(AVERAGEIFS(
  unit_details[Sqft],
  unit_details[Property Name], INDIRECT("B"&amp;ROW()),
  unit_details[Floorplan Name], INDIRECT("C"&amp;ROW()),
  unit_details[Beds], INDIRECT("D"&amp;ROW()),
  unit_details[Detected Unit Amenities], "&lt;&gt;*"&amp;$AD$3&amp;"*",
  unit_details[Leased Date], "&gt;=" &amp; ($U$2 - $AF$3)
),0)</f>
        <v>0</v>
      </c>
      <c r="AG355" s="527" cm="1">
        <f t="array" aca="1" ref="AG3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5" s="526" cm="1">
        <f t="array" aca="1" ref="AH355" ca="1">IFERROR(COUNTIFS(
  unit_details[Property Name], INDIRECT("B"&amp;ROW()),
  unit_details[Floorplan Name], INDIRECT("C"&amp;ROW()),
  unit_details[Beds], INDIRECT("D"&amp;ROW()),
  unit_details[Detected Unit Amenities], "&lt;&gt;*"&amp;$AD$3&amp;"*",
  unit_details[Leased Date], "&gt;=" &amp; ($U$2 - $AF$3)
),0)</f>
        <v>0</v>
      </c>
      <c r="AI355" s="528"/>
      <c r="AJ355" s="531">
        <f t="shared" ca="1" si="16"/>
        <v>0</v>
      </c>
      <c r="AK355" s="532">
        <f t="shared" ca="1" si="17"/>
        <v>0</v>
      </c>
    </row>
    <row r="356" spans="10:37" x14ac:dyDescent="0.2">
      <c r="J356" s="293"/>
      <c r="N356" s="531" t="str" cm="1">
        <f t="array" aca="1" ref="N35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6" s="552" t="str" cm="1">
        <f t="array" aca="1" ref="O35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6" s="526" cm="1">
        <f t="array" aca="1" ref="P356" ca="1">COUNTIFS(unit_details[Leased Date], "&gt;=" &amp; ($U$2 - N$5),
          unit_details[Leased Date], "&lt;" &amp; $U$2,
          unit_details[Floorplan Name], INDIRECT("C"&amp;ROW()),
          unit_details[Property Name], INDIRECT("B"&amp;ROW()))</f>
        <v>0</v>
      </c>
      <c r="Q356" s="531" t="str" cm="1">
        <f t="array" aca="1" ref="Q35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6" s="552" t="str" cm="1">
        <f t="array" aca="1" ref="R35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6" s="526" cm="1">
        <f t="array" aca="1" ref="S356" ca="1">COUNTIFS(unit_details[Leased Date], "&gt;=" &amp; ($U$2 - Q$5),
          unit_details[Leased Date], "&lt;" &amp; $U$2,
          unit_details[Floorplan Name], INDIRECT("C"&amp;ROW()),
          unit_details[Property Name], INDIRECT("B"&amp;ROW()))</f>
        <v>0</v>
      </c>
      <c r="T356" s="531" t="str" cm="1">
        <f t="array" aca="1" ref="T35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6" s="552" t="str" cm="1">
        <f t="array" aca="1" ref="U35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6" s="526" cm="1">
        <f t="array" aca="1" ref="V356" ca="1">COUNTIFS(unit_details[Leased Date], "&gt;=" &amp; ($U$2 - T$5),
          unit_details[Leased Date], "&lt;" &amp; $U$2,
          unit_details[Floorplan Name], INDIRECT("C"&amp;ROW()),
          unit_details[Property Name], INDIRECT("B"&amp;ROW()))</f>
        <v>0</v>
      </c>
      <c r="W356" s="531" t="str" cm="1">
        <f t="array" aca="1" ref="W35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6" s="552" t="str" cm="1">
        <f t="array" aca="1" ref="X35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6" s="27" t="str">
        <f t="shared" ca="1" si="15"/>
        <v/>
      </c>
      <c r="Z356" s="4" t="str">
        <f>IFERROR($U$2-AVERAGEIFS(unit_details[First Listed],
          unit_details[Active Listing?],TRUE,
          unit_details[Property Name], $B356,
          unit_details[Beds], $D356,
          unit_details[Baths], $E356,
          unit_details[Partial Baths], IF(ISNUMBER($F356),$F356,""),
          unit_details[Floorplan Name],$C356
),"")</f>
        <v/>
      </c>
      <c r="AA356" s="262" cm="1">
        <f t="array" aca="1" ref="AA356" ca="1">COUNTIFS(unit_details[Active Listing?],TRUE,
          unit_details[Floorplan Name], INDIRECT("C"&amp;ROW()),
          unit_details[Property Name], INDIRECT("B"&amp;ROW()))</f>
        <v>0</v>
      </c>
      <c r="AB356" s="553"/>
      <c r="AC356" s="528" cm="1">
        <f t="array" aca="1" ref="AC356" ca="1">IFERROR(AVERAGEIFS(
  unit_details[Sqft],
  unit_details[Property Name], INDIRECT("B"&amp;ROW()),
  unit_details[Floorplan Name], INDIRECT("C"&amp;ROW()),
  unit_details[Beds], INDIRECT("D"&amp;ROW()),
  unit_details[Detected Unit Amenities], "*"&amp;$AD$3&amp;"*",
  unit_details[Leased Date], "&gt;=" &amp; ($U$2 - $AF$3)
),0)</f>
        <v>0</v>
      </c>
      <c r="AD356" s="527" cm="1">
        <f t="array" aca="1" ref="AD3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6" s="526" cm="1">
        <f t="array" aca="1" ref="AE356" ca="1">IFERROR(COUNTIFS(
  unit_details[Property Name], INDIRECT("B"&amp;ROW()),
  unit_details[Floorplan Name], INDIRECT("C"&amp;ROW()),
  unit_details[Beds], INDIRECT("D"&amp;ROW()),
  unit_details[Detected Unit Amenities], "*"&amp;$AD$3&amp;"*",
  unit_details[Leased Date], "&gt;=" &amp; ($U$2 - $AF$3)
),0)</f>
        <v>0</v>
      </c>
      <c r="AF356" s="528" cm="1">
        <f t="array" aca="1" ref="AF356" ca="1">IFERROR(AVERAGEIFS(
  unit_details[Sqft],
  unit_details[Property Name], INDIRECT("B"&amp;ROW()),
  unit_details[Floorplan Name], INDIRECT("C"&amp;ROW()),
  unit_details[Beds], INDIRECT("D"&amp;ROW()),
  unit_details[Detected Unit Amenities], "&lt;&gt;*"&amp;$AD$3&amp;"*",
  unit_details[Leased Date], "&gt;=" &amp; ($U$2 - $AF$3)
),0)</f>
        <v>0</v>
      </c>
      <c r="AG356" s="527" cm="1">
        <f t="array" aca="1" ref="AG3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6" s="526" cm="1">
        <f t="array" aca="1" ref="AH356" ca="1">IFERROR(COUNTIFS(
  unit_details[Property Name], INDIRECT("B"&amp;ROW()),
  unit_details[Floorplan Name], INDIRECT("C"&amp;ROW()),
  unit_details[Beds], INDIRECT("D"&amp;ROW()),
  unit_details[Detected Unit Amenities], "&lt;&gt;*"&amp;$AD$3&amp;"*",
  unit_details[Leased Date], "&gt;=" &amp; ($U$2 - $AF$3)
),0)</f>
        <v>0</v>
      </c>
      <c r="AI356" s="528"/>
      <c r="AJ356" s="531">
        <f t="shared" ca="1" si="16"/>
        <v>0</v>
      </c>
      <c r="AK356" s="532">
        <f t="shared" ca="1" si="17"/>
        <v>0</v>
      </c>
    </row>
    <row r="357" spans="10:37" x14ac:dyDescent="0.2">
      <c r="J357" s="293"/>
      <c r="N357" s="531" t="str" cm="1">
        <f t="array" aca="1" ref="N35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7" s="552" t="str" cm="1">
        <f t="array" aca="1" ref="O35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7" s="526" cm="1">
        <f t="array" aca="1" ref="P357" ca="1">COUNTIFS(unit_details[Leased Date], "&gt;=" &amp; ($U$2 - N$5),
          unit_details[Leased Date], "&lt;" &amp; $U$2,
          unit_details[Floorplan Name], INDIRECT("C"&amp;ROW()),
          unit_details[Property Name], INDIRECT("B"&amp;ROW()))</f>
        <v>0</v>
      </c>
      <c r="Q357" s="531" t="str" cm="1">
        <f t="array" aca="1" ref="Q35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7" s="552" t="str" cm="1">
        <f t="array" aca="1" ref="R35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7" s="526" cm="1">
        <f t="array" aca="1" ref="S357" ca="1">COUNTIFS(unit_details[Leased Date], "&gt;=" &amp; ($U$2 - Q$5),
          unit_details[Leased Date], "&lt;" &amp; $U$2,
          unit_details[Floorplan Name], INDIRECT("C"&amp;ROW()),
          unit_details[Property Name], INDIRECT("B"&amp;ROW()))</f>
        <v>0</v>
      </c>
      <c r="T357" s="531" t="str" cm="1">
        <f t="array" aca="1" ref="T35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7" s="552" t="str" cm="1">
        <f t="array" aca="1" ref="U35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7" s="526" cm="1">
        <f t="array" aca="1" ref="V357" ca="1">COUNTIFS(unit_details[Leased Date], "&gt;=" &amp; ($U$2 - T$5),
          unit_details[Leased Date], "&lt;" &amp; $U$2,
          unit_details[Floorplan Name], INDIRECT("C"&amp;ROW()),
          unit_details[Property Name], INDIRECT("B"&amp;ROW()))</f>
        <v>0</v>
      </c>
      <c r="W357" s="531" t="str" cm="1">
        <f t="array" aca="1" ref="W35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7" s="552" t="str" cm="1">
        <f t="array" aca="1" ref="X35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7" s="27" t="str">
        <f t="shared" ca="1" si="15"/>
        <v/>
      </c>
      <c r="Z357" s="4" t="str">
        <f>IFERROR($U$2-AVERAGEIFS(unit_details[First Listed],
          unit_details[Active Listing?],TRUE,
          unit_details[Property Name], $B357,
          unit_details[Beds], $D357,
          unit_details[Baths], $E357,
          unit_details[Partial Baths], IF(ISNUMBER($F357),$F357,""),
          unit_details[Floorplan Name],$C357
),"")</f>
        <v/>
      </c>
      <c r="AA357" s="262" cm="1">
        <f t="array" aca="1" ref="AA357" ca="1">COUNTIFS(unit_details[Active Listing?],TRUE,
          unit_details[Floorplan Name], INDIRECT("C"&amp;ROW()),
          unit_details[Property Name], INDIRECT("B"&amp;ROW()))</f>
        <v>0</v>
      </c>
      <c r="AB357" s="553"/>
      <c r="AC357" s="528" cm="1">
        <f t="array" aca="1" ref="AC357" ca="1">IFERROR(AVERAGEIFS(
  unit_details[Sqft],
  unit_details[Property Name], INDIRECT("B"&amp;ROW()),
  unit_details[Floorplan Name], INDIRECT("C"&amp;ROW()),
  unit_details[Beds], INDIRECT("D"&amp;ROW()),
  unit_details[Detected Unit Amenities], "*"&amp;$AD$3&amp;"*",
  unit_details[Leased Date], "&gt;=" &amp; ($U$2 - $AF$3)
),0)</f>
        <v>0</v>
      </c>
      <c r="AD357" s="527" cm="1">
        <f t="array" aca="1" ref="AD3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7" s="526" cm="1">
        <f t="array" aca="1" ref="AE357" ca="1">IFERROR(COUNTIFS(
  unit_details[Property Name], INDIRECT("B"&amp;ROW()),
  unit_details[Floorplan Name], INDIRECT("C"&amp;ROW()),
  unit_details[Beds], INDIRECT("D"&amp;ROW()),
  unit_details[Detected Unit Amenities], "*"&amp;$AD$3&amp;"*",
  unit_details[Leased Date], "&gt;=" &amp; ($U$2 - $AF$3)
),0)</f>
        <v>0</v>
      </c>
      <c r="AF357" s="528" cm="1">
        <f t="array" aca="1" ref="AF357" ca="1">IFERROR(AVERAGEIFS(
  unit_details[Sqft],
  unit_details[Property Name], INDIRECT("B"&amp;ROW()),
  unit_details[Floorplan Name], INDIRECT("C"&amp;ROW()),
  unit_details[Beds], INDIRECT("D"&amp;ROW()),
  unit_details[Detected Unit Amenities], "&lt;&gt;*"&amp;$AD$3&amp;"*",
  unit_details[Leased Date], "&gt;=" &amp; ($U$2 - $AF$3)
),0)</f>
        <v>0</v>
      </c>
      <c r="AG357" s="527" cm="1">
        <f t="array" aca="1" ref="AG3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7" s="526" cm="1">
        <f t="array" aca="1" ref="AH357" ca="1">IFERROR(COUNTIFS(
  unit_details[Property Name], INDIRECT("B"&amp;ROW()),
  unit_details[Floorplan Name], INDIRECT("C"&amp;ROW()),
  unit_details[Beds], INDIRECT("D"&amp;ROW()),
  unit_details[Detected Unit Amenities], "&lt;&gt;*"&amp;$AD$3&amp;"*",
  unit_details[Leased Date], "&gt;=" &amp; ($U$2 - $AF$3)
),0)</f>
        <v>0</v>
      </c>
      <c r="AI357" s="528"/>
      <c r="AJ357" s="531">
        <f t="shared" ca="1" si="16"/>
        <v>0</v>
      </c>
      <c r="AK357" s="532">
        <f t="shared" ca="1" si="17"/>
        <v>0</v>
      </c>
    </row>
    <row r="358" spans="10:37" x14ac:dyDescent="0.2">
      <c r="J358" s="293"/>
      <c r="N358" s="531" t="str" cm="1">
        <f t="array" aca="1" ref="N35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8" s="552" t="str" cm="1">
        <f t="array" aca="1" ref="O35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8" s="526" cm="1">
        <f t="array" aca="1" ref="P358" ca="1">COUNTIFS(unit_details[Leased Date], "&gt;=" &amp; ($U$2 - N$5),
          unit_details[Leased Date], "&lt;" &amp; $U$2,
          unit_details[Floorplan Name], INDIRECT("C"&amp;ROW()),
          unit_details[Property Name], INDIRECT("B"&amp;ROW()))</f>
        <v>0</v>
      </c>
      <c r="Q358" s="531" t="str" cm="1">
        <f t="array" aca="1" ref="Q35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8" s="552" t="str" cm="1">
        <f t="array" aca="1" ref="R35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8" s="526" cm="1">
        <f t="array" aca="1" ref="S358" ca="1">COUNTIFS(unit_details[Leased Date], "&gt;=" &amp; ($U$2 - Q$5),
          unit_details[Leased Date], "&lt;" &amp; $U$2,
          unit_details[Floorplan Name], INDIRECT("C"&amp;ROW()),
          unit_details[Property Name], INDIRECT("B"&amp;ROW()))</f>
        <v>0</v>
      </c>
      <c r="T358" s="531" t="str" cm="1">
        <f t="array" aca="1" ref="T35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8" s="552" t="str" cm="1">
        <f t="array" aca="1" ref="U35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8" s="526" cm="1">
        <f t="array" aca="1" ref="V358" ca="1">COUNTIFS(unit_details[Leased Date], "&gt;=" &amp; ($U$2 - T$5),
          unit_details[Leased Date], "&lt;" &amp; $U$2,
          unit_details[Floorplan Name], INDIRECT("C"&amp;ROW()),
          unit_details[Property Name], INDIRECT("B"&amp;ROW()))</f>
        <v>0</v>
      </c>
      <c r="W358" s="531" t="str" cm="1">
        <f t="array" aca="1" ref="W35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8" s="552" t="str" cm="1">
        <f t="array" aca="1" ref="X35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8" s="27" t="str">
        <f t="shared" ca="1" si="15"/>
        <v/>
      </c>
      <c r="Z358" s="4" t="str">
        <f>IFERROR($U$2-AVERAGEIFS(unit_details[First Listed],
          unit_details[Active Listing?],TRUE,
          unit_details[Property Name], $B358,
          unit_details[Beds], $D358,
          unit_details[Baths], $E358,
          unit_details[Partial Baths], IF(ISNUMBER($F358),$F358,""),
          unit_details[Floorplan Name],$C358
),"")</f>
        <v/>
      </c>
      <c r="AA358" s="262" cm="1">
        <f t="array" aca="1" ref="AA358" ca="1">COUNTIFS(unit_details[Active Listing?],TRUE,
          unit_details[Floorplan Name], INDIRECT("C"&amp;ROW()),
          unit_details[Property Name], INDIRECT("B"&amp;ROW()))</f>
        <v>0</v>
      </c>
      <c r="AB358" s="553"/>
      <c r="AC358" s="528" cm="1">
        <f t="array" aca="1" ref="AC358" ca="1">IFERROR(AVERAGEIFS(
  unit_details[Sqft],
  unit_details[Property Name], INDIRECT("B"&amp;ROW()),
  unit_details[Floorplan Name], INDIRECT("C"&amp;ROW()),
  unit_details[Beds], INDIRECT("D"&amp;ROW()),
  unit_details[Detected Unit Amenities], "*"&amp;$AD$3&amp;"*",
  unit_details[Leased Date], "&gt;=" &amp; ($U$2 - $AF$3)
),0)</f>
        <v>0</v>
      </c>
      <c r="AD358" s="527" cm="1">
        <f t="array" aca="1" ref="AD3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8" s="526" cm="1">
        <f t="array" aca="1" ref="AE358" ca="1">IFERROR(COUNTIFS(
  unit_details[Property Name], INDIRECT("B"&amp;ROW()),
  unit_details[Floorplan Name], INDIRECT("C"&amp;ROW()),
  unit_details[Beds], INDIRECT("D"&amp;ROW()),
  unit_details[Detected Unit Amenities], "*"&amp;$AD$3&amp;"*",
  unit_details[Leased Date], "&gt;=" &amp; ($U$2 - $AF$3)
),0)</f>
        <v>0</v>
      </c>
      <c r="AF358" s="528" cm="1">
        <f t="array" aca="1" ref="AF358" ca="1">IFERROR(AVERAGEIFS(
  unit_details[Sqft],
  unit_details[Property Name], INDIRECT("B"&amp;ROW()),
  unit_details[Floorplan Name], INDIRECT("C"&amp;ROW()),
  unit_details[Beds], INDIRECT("D"&amp;ROW()),
  unit_details[Detected Unit Amenities], "&lt;&gt;*"&amp;$AD$3&amp;"*",
  unit_details[Leased Date], "&gt;=" &amp; ($U$2 - $AF$3)
),0)</f>
        <v>0</v>
      </c>
      <c r="AG358" s="527" cm="1">
        <f t="array" aca="1" ref="AG3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8" s="526" cm="1">
        <f t="array" aca="1" ref="AH358" ca="1">IFERROR(COUNTIFS(
  unit_details[Property Name], INDIRECT("B"&amp;ROW()),
  unit_details[Floorplan Name], INDIRECT("C"&amp;ROW()),
  unit_details[Beds], INDIRECT("D"&amp;ROW()),
  unit_details[Detected Unit Amenities], "&lt;&gt;*"&amp;$AD$3&amp;"*",
  unit_details[Leased Date], "&gt;=" &amp; ($U$2 - $AF$3)
),0)</f>
        <v>0</v>
      </c>
      <c r="AI358" s="528"/>
      <c r="AJ358" s="531">
        <f t="shared" ca="1" si="16"/>
        <v>0</v>
      </c>
      <c r="AK358" s="532">
        <f t="shared" ca="1" si="17"/>
        <v>0</v>
      </c>
    </row>
    <row r="359" spans="10:37" x14ac:dyDescent="0.2">
      <c r="J359" s="293"/>
      <c r="N359" s="531" t="str" cm="1">
        <f t="array" aca="1" ref="N35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59" s="552" t="str" cm="1">
        <f t="array" aca="1" ref="O35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59" s="526" cm="1">
        <f t="array" aca="1" ref="P359" ca="1">COUNTIFS(unit_details[Leased Date], "&gt;=" &amp; ($U$2 - N$5),
          unit_details[Leased Date], "&lt;" &amp; $U$2,
          unit_details[Floorplan Name], INDIRECT("C"&amp;ROW()),
          unit_details[Property Name], INDIRECT("B"&amp;ROW()))</f>
        <v>0</v>
      </c>
      <c r="Q359" s="531" t="str" cm="1">
        <f t="array" aca="1" ref="Q35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59" s="552" t="str" cm="1">
        <f t="array" aca="1" ref="R35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59" s="526" cm="1">
        <f t="array" aca="1" ref="S359" ca="1">COUNTIFS(unit_details[Leased Date], "&gt;=" &amp; ($U$2 - Q$5),
          unit_details[Leased Date], "&lt;" &amp; $U$2,
          unit_details[Floorplan Name], INDIRECT("C"&amp;ROW()),
          unit_details[Property Name], INDIRECT("B"&amp;ROW()))</f>
        <v>0</v>
      </c>
      <c r="T359" s="531" t="str" cm="1">
        <f t="array" aca="1" ref="T35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59" s="552" t="str" cm="1">
        <f t="array" aca="1" ref="U35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59" s="526" cm="1">
        <f t="array" aca="1" ref="V359" ca="1">COUNTIFS(unit_details[Leased Date], "&gt;=" &amp; ($U$2 - T$5),
          unit_details[Leased Date], "&lt;" &amp; $U$2,
          unit_details[Floorplan Name], INDIRECT("C"&amp;ROW()),
          unit_details[Property Name], INDIRECT("B"&amp;ROW()))</f>
        <v>0</v>
      </c>
      <c r="W359" s="531" t="str" cm="1">
        <f t="array" aca="1" ref="W35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59" s="552" t="str" cm="1">
        <f t="array" aca="1" ref="X35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59" s="27" t="str">
        <f t="shared" ca="1" si="15"/>
        <v/>
      </c>
      <c r="Z359" s="4" t="str">
        <f>IFERROR($U$2-AVERAGEIFS(unit_details[First Listed],
          unit_details[Active Listing?],TRUE,
          unit_details[Property Name], $B359,
          unit_details[Beds], $D359,
          unit_details[Baths], $E359,
          unit_details[Partial Baths], IF(ISNUMBER($F359),$F359,""),
          unit_details[Floorplan Name],$C359
),"")</f>
        <v/>
      </c>
      <c r="AA359" s="262" cm="1">
        <f t="array" aca="1" ref="AA359" ca="1">COUNTIFS(unit_details[Active Listing?],TRUE,
          unit_details[Floorplan Name], INDIRECT("C"&amp;ROW()),
          unit_details[Property Name], INDIRECT("B"&amp;ROW()))</f>
        <v>0</v>
      </c>
      <c r="AB359" s="553"/>
      <c r="AC359" s="528" cm="1">
        <f t="array" aca="1" ref="AC359" ca="1">IFERROR(AVERAGEIFS(
  unit_details[Sqft],
  unit_details[Property Name], INDIRECT("B"&amp;ROW()),
  unit_details[Floorplan Name], INDIRECT("C"&amp;ROW()),
  unit_details[Beds], INDIRECT("D"&amp;ROW()),
  unit_details[Detected Unit Amenities], "*"&amp;$AD$3&amp;"*",
  unit_details[Leased Date], "&gt;=" &amp; ($U$2 - $AF$3)
),0)</f>
        <v>0</v>
      </c>
      <c r="AD359" s="527" cm="1">
        <f t="array" aca="1" ref="AD3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59" s="526" cm="1">
        <f t="array" aca="1" ref="AE359" ca="1">IFERROR(COUNTIFS(
  unit_details[Property Name], INDIRECT("B"&amp;ROW()),
  unit_details[Floorplan Name], INDIRECT("C"&amp;ROW()),
  unit_details[Beds], INDIRECT("D"&amp;ROW()),
  unit_details[Detected Unit Amenities], "*"&amp;$AD$3&amp;"*",
  unit_details[Leased Date], "&gt;=" &amp; ($U$2 - $AF$3)
),0)</f>
        <v>0</v>
      </c>
      <c r="AF359" s="528" cm="1">
        <f t="array" aca="1" ref="AF359" ca="1">IFERROR(AVERAGEIFS(
  unit_details[Sqft],
  unit_details[Property Name], INDIRECT("B"&amp;ROW()),
  unit_details[Floorplan Name], INDIRECT("C"&amp;ROW()),
  unit_details[Beds], INDIRECT("D"&amp;ROW()),
  unit_details[Detected Unit Amenities], "&lt;&gt;*"&amp;$AD$3&amp;"*",
  unit_details[Leased Date], "&gt;=" &amp; ($U$2 - $AF$3)
),0)</f>
        <v>0</v>
      </c>
      <c r="AG359" s="527" cm="1">
        <f t="array" aca="1" ref="AG3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59" s="526" cm="1">
        <f t="array" aca="1" ref="AH359" ca="1">IFERROR(COUNTIFS(
  unit_details[Property Name], INDIRECT("B"&amp;ROW()),
  unit_details[Floorplan Name], INDIRECT("C"&amp;ROW()),
  unit_details[Beds], INDIRECT("D"&amp;ROW()),
  unit_details[Detected Unit Amenities], "&lt;&gt;*"&amp;$AD$3&amp;"*",
  unit_details[Leased Date], "&gt;=" &amp; ($U$2 - $AF$3)
),0)</f>
        <v>0</v>
      </c>
      <c r="AI359" s="528"/>
      <c r="AJ359" s="531">
        <f t="shared" ca="1" si="16"/>
        <v>0</v>
      </c>
      <c r="AK359" s="532">
        <f t="shared" ca="1" si="17"/>
        <v>0</v>
      </c>
    </row>
    <row r="360" spans="10:37" x14ac:dyDescent="0.2">
      <c r="J360" s="293"/>
      <c r="N360" s="531" t="str" cm="1">
        <f t="array" aca="1" ref="N36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0" s="552" t="str" cm="1">
        <f t="array" aca="1" ref="O36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0" s="526" cm="1">
        <f t="array" aca="1" ref="P360" ca="1">COUNTIFS(unit_details[Leased Date], "&gt;=" &amp; ($U$2 - N$5),
          unit_details[Leased Date], "&lt;" &amp; $U$2,
          unit_details[Floorplan Name], INDIRECT("C"&amp;ROW()),
          unit_details[Property Name], INDIRECT("B"&amp;ROW()))</f>
        <v>0</v>
      </c>
      <c r="Q360" s="531" t="str" cm="1">
        <f t="array" aca="1" ref="Q36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0" s="552" t="str" cm="1">
        <f t="array" aca="1" ref="R36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0" s="526" cm="1">
        <f t="array" aca="1" ref="S360" ca="1">COUNTIFS(unit_details[Leased Date], "&gt;=" &amp; ($U$2 - Q$5),
          unit_details[Leased Date], "&lt;" &amp; $U$2,
          unit_details[Floorplan Name], INDIRECT("C"&amp;ROW()),
          unit_details[Property Name], INDIRECT("B"&amp;ROW()))</f>
        <v>0</v>
      </c>
      <c r="T360" s="531" t="str" cm="1">
        <f t="array" aca="1" ref="T36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0" s="552" t="str" cm="1">
        <f t="array" aca="1" ref="U36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0" s="526" cm="1">
        <f t="array" aca="1" ref="V360" ca="1">COUNTIFS(unit_details[Leased Date], "&gt;=" &amp; ($U$2 - T$5),
          unit_details[Leased Date], "&lt;" &amp; $U$2,
          unit_details[Floorplan Name], INDIRECT("C"&amp;ROW()),
          unit_details[Property Name], INDIRECT("B"&amp;ROW()))</f>
        <v>0</v>
      </c>
      <c r="W360" s="531" t="str" cm="1">
        <f t="array" aca="1" ref="W36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0" s="552" t="str" cm="1">
        <f t="array" aca="1" ref="X36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0" s="27" t="str">
        <f t="shared" ca="1" si="15"/>
        <v/>
      </c>
      <c r="Z360" s="4" t="str">
        <f>IFERROR($U$2-AVERAGEIFS(unit_details[First Listed],
          unit_details[Active Listing?],TRUE,
          unit_details[Property Name], $B360,
          unit_details[Beds], $D360,
          unit_details[Baths], $E360,
          unit_details[Partial Baths], IF(ISNUMBER($F360),$F360,""),
          unit_details[Floorplan Name],$C360
),"")</f>
        <v/>
      </c>
      <c r="AA360" s="262" cm="1">
        <f t="array" aca="1" ref="AA360" ca="1">COUNTIFS(unit_details[Active Listing?],TRUE,
          unit_details[Floorplan Name], INDIRECT("C"&amp;ROW()),
          unit_details[Property Name], INDIRECT("B"&amp;ROW()))</f>
        <v>0</v>
      </c>
      <c r="AB360" s="553"/>
      <c r="AC360" s="528" cm="1">
        <f t="array" aca="1" ref="AC360" ca="1">IFERROR(AVERAGEIFS(
  unit_details[Sqft],
  unit_details[Property Name], INDIRECT("B"&amp;ROW()),
  unit_details[Floorplan Name], INDIRECT("C"&amp;ROW()),
  unit_details[Beds], INDIRECT("D"&amp;ROW()),
  unit_details[Detected Unit Amenities], "*"&amp;$AD$3&amp;"*",
  unit_details[Leased Date], "&gt;=" &amp; ($U$2 - $AF$3)
),0)</f>
        <v>0</v>
      </c>
      <c r="AD360" s="527" cm="1">
        <f t="array" aca="1" ref="AD3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0" s="526" cm="1">
        <f t="array" aca="1" ref="AE360" ca="1">IFERROR(COUNTIFS(
  unit_details[Property Name], INDIRECT("B"&amp;ROW()),
  unit_details[Floorplan Name], INDIRECT("C"&amp;ROW()),
  unit_details[Beds], INDIRECT("D"&amp;ROW()),
  unit_details[Detected Unit Amenities], "*"&amp;$AD$3&amp;"*",
  unit_details[Leased Date], "&gt;=" &amp; ($U$2 - $AF$3)
),0)</f>
        <v>0</v>
      </c>
      <c r="AF360" s="528" cm="1">
        <f t="array" aca="1" ref="AF360" ca="1">IFERROR(AVERAGEIFS(
  unit_details[Sqft],
  unit_details[Property Name], INDIRECT("B"&amp;ROW()),
  unit_details[Floorplan Name], INDIRECT("C"&amp;ROW()),
  unit_details[Beds], INDIRECT("D"&amp;ROW()),
  unit_details[Detected Unit Amenities], "&lt;&gt;*"&amp;$AD$3&amp;"*",
  unit_details[Leased Date], "&gt;=" &amp; ($U$2 - $AF$3)
),0)</f>
        <v>0</v>
      </c>
      <c r="AG360" s="527" cm="1">
        <f t="array" aca="1" ref="AG3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0" s="526" cm="1">
        <f t="array" aca="1" ref="AH360" ca="1">IFERROR(COUNTIFS(
  unit_details[Property Name], INDIRECT("B"&amp;ROW()),
  unit_details[Floorplan Name], INDIRECT("C"&amp;ROW()),
  unit_details[Beds], INDIRECT("D"&amp;ROW()),
  unit_details[Detected Unit Amenities], "&lt;&gt;*"&amp;$AD$3&amp;"*",
  unit_details[Leased Date], "&gt;=" &amp; ($U$2 - $AF$3)
),0)</f>
        <v>0</v>
      </c>
      <c r="AI360" s="528"/>
      <c r="AJ360" s="531">
        <f t="shared" ca="1" si="16"/>
        <v>0</v>
      </c>
      <c r="AK360" s="532">
        <f t="shared" ca="1" si="17"/>
        <v>0</v>
      </c>
    </row>
    <row r="361" spans="10:37" x14ac:dyDescent="0.2">
      <c r="J361" s="293"/>
      <c r="N361" s="531" t="str" cm="1">
        <f t="array" aca="1" ref="N36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1" s="552" t="str" cm="1">
        <f t="array" aca="1" ref="O36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1" s="526" cm="1">
        <f t="array" aca="1" ref="P361" ca="1">COUNTIFS(unit_details[Leased Date], "&gt;=" &amp; ($U$2 - N$5),
          unit_details[Leased Date], "&lt;" &amp; $U$2,
          unit_details[Floorplan Name], INDIRECT("C"&amp;ROW()),
          unit_details[Property Name], INDIRECT("B"&amp;ROW()))</f>
        <v>0</v>
      </c>
      <c r="Q361" s="531" t="str" cm="1">
        <f t="array" aca="1" ref="Q36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1" s="552" t="str" cm="1">
        <f t="array" aca="1" ref="R36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1" s="526" cm="1">
        <f t="array" aca="1" ref="S361" ca="1">COUNTIFS(unit_details[Leased Date], "&gt;=" &amp; ($U$2 - Q$5),
          unit_details[Leased Date], "&lt;" &amp; $U$2,
          unit_details[Floorplan Name], INDIRECT("C"&amp;ROW()),
          unit_details[Property Name], INDIRECT("B"&amp;ROW()))</f>
        <v>0</v>
      </c>
      <c r="T361" s="531" t="str" cm="1">
        <f t="array" aca="1" ref="T36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1" s="552" t="str" cm="1">
        <f t="array" aca="1" ref="U36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1" s="526" cm="1">
        <f t="array" aca="1" ref="V361" ca="1">COUNTIFS(unit_details[Leased Date], "&gt;=" &amp; ($U$2 - T$5),
          unit_details[Leased Date], "&lt;" &amp; $U$2,
          unit_details[Floorplan Name], INDIRECT("C"&amp;ROW()),
          unit_details[Property Name], INDIRECT("B"&amp;ROW()))</f>
        <v>0</v>
      </c>
      <c r="W361" s="531" t="str" cm="1">
        <f t="array" aca="1" ref="W36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1" s="552" t="str" cm="1">
        <f t="array" aca="1" ref="X36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1" s="27" t="str">
        <f t="shared" ca="1" si="15"/>
        <v/>
      </c>
      <c r="Z361" s="4" t="str">
        <f>IFERROR($U$2-AVERAGEIFS(unit_details[First Listed],
          unit_details[Active Listing?],TRUE,
          unit_details[Property Name], $B361,
          unit_details[Beds], $D361,
          unit_details[Baths], $E361,
          unit_details[Partial Baths], IF(ISNUMBER($F361),$F361,""),
          unit_details[Floorplan Name],$C361
),"")</f>
        <v/>
      </c>
      <c r="AA361" s="262" cm="1">
        <f t="array" aca="1" ref="AA361" ca="1">COUNTIFS(unit_details[Active Listing?],TRUE,
          unit_details[Floorplan Name], INDIRECT("C"&amp;ROW()),
          unit_details[Property Name], INDIRECT("B"&amp;ROW()))</f>
        <v>0</v>
      </c>
      <c r="AB361" s="553"/>
      <c r="AC361" s="528" cm="1">
        <f t="array" aca="1" ref="AC361" ca="1">IFERROR(AVERAGEIFS(
  unit_details[Sqft],
  unit_details[Property Name], INDIRECT("B"&amp;ROW()),
  unit_details[Floorplan Name], INDIRECT("C"&amp;ROW()),
  unit_details[Beds], INDIRECT("D"&amp;ROW()),
  unit_details[Detected Unit Amenities], "*"&amp;$AD$3&amp;"*",
  unit_details[Leased Date], "&gt;=" &amp; ($U$2 - $AF$3)
),0)</f>
        <v>0</v>
      </c>
      <c r="AD361" s="527" cm="1">
        <f t="array" aca="1" ref="AD3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1" s="526" cm="1">
        <f t="array" aca="1" ref="AE361" ca="1">IFERROR(COUNTIFS(
  unit_details[Property Name], INDIRECT("B"&amp;ROW()),
  unit_details[Floorplan Name], INDIRECT("C"&amp;ROW()),
  unit_details[Beds], INDIRECT("D"&amp;ROW()),
  unit_details[Detected Unit Amenities], "*"&amp;$AD$3&amp;"*",
  unit_details[Leased Date], "&gt;=" &amp; ($U$2 - $AF$3)
),0)</f>
        <v>0</v>
      </c>
      <c r="AF361" s="528" cm="1">
        <f t="array" aca="1" ref="AF361" ca="1">IFERROR(AVERAGEIFS(
  unit_details[Sqft],
  unit_details[Property Name], INDIRECT("B"&amp;ROW()),
  unit_details[Floorplan Name], INDIRECT("C"&amp;ROW()),
  unit_details[Beds], INDIRECT("D"&amp;ROW()),
  unit_details[Detected Unit Amenities], "&lt;&gt;*"&amp;$AD$3&amp;"*",
  unit_details[Leased Date], "&gt;=" &amp; ($U$2 - $AF$3)
),0)</f>
        <v>0</v>
      </c>
      <c r="AG361" s="527" cm="1">
        <f t="array" aca="1" ref="AG3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1" s="526" cm="1">
        <f t="array" aca="1" ref="AH361" ca="1">IFERROR(COUNTIFS(
  unit_details[Property Name], INDIRECT("B"&amp;ROW()),
  unit_details[Floorplan Name], INDIRECT("C"&amp;ROW()),
  unit_details[Beds], INDIRECT("D"&amp;ROW()),
  unit_details[Detected Unit Amenities], "&lt;&gt;*"&amp;$AD$3&amp;"*",
  unit_details[Leased Date], "&gt;=" &amp; ($U$2 - $AF$3)
),0)</f>
        <v>0</v>
      </c>
      <c r="AI361" s="528"/>
      <c r="AJ361" s="531">
        <f t="shared" ca="1" si="16"/>
        <v>0</v>
      </c>
      <c r="AK361" s="532">
        <f t="shared" ca="1" si="17"/>
        <v>0</v>
      </c>
    </row>
    <row r="362" spans="10:37" x14ac:dyDescent="0.2">
      <c r="J362" s="293"/>
      <c r="N362" s="531" t="str" cm="1">
        <f t="array" aca="1" ref="N36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2" s="552" t="str" cm="1">
        <f t="array" aca="1" ref="O36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2" s="526" cm="1">
        <f t="array" aca="1" ref="P362" ca="1">COUNTIFS(unit_details[Leased Date], "&gt;=" &amp; ($U$2 - N$5),
          unit_details[Leased Date], "&lt;" &amp; $U$2,
          unit_details[Floorplan Name], INDIRECT("C"&amp;ROW()),
          unit_details[Property Name], INDIRECT("B"&amp;ROW()))</f>
        <v>0</v>
      </c>
      <c r="Q362" s="531" t="str" cm="1">
        <f t="array" aca="1" ref="Q36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2" s="552" t="str" cm="1">
        <f t="array" aca="1" ref="R36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2" s="526" cm="1">
        <f t="array" aca="1" ref="S362" ca="1">COUNTIFS(unit_details[Leased Date], "&gt;=" &amp; ($U$2 - Q$5),
          unit_details[Leased Date], "&lt;" &amp; $U$2,
          unit_details[Floorplan Name], INDIRECT("C"&amp;ROW()),
          unit_details[Property Name], INDIRECT("B"&amp;ROW()))</f>
        <v>0</v>
      </c>
      <c r="T362" s="531" t="str" cm="1">
        <f t="array" aca="1" ref="T36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2" s="552" t="str" cm="1">
        <f t="array" aca="1" ref="U36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2" s="526" cm="1">
        <f t="array" aca="1" ref="V362" ca="1">COUNTIFS(unit_details[Leased Date], "&gt;=" &amp; ($U$2 - T$5),
          unit_details[Leased Date], "&lt;" &amp; $U$2,
          unit_details[Floorplan Name], INDIRECT("C"&amp;ROW()),
          unit_details[Property Name], INDIRECT("B"&amp;ROW()))</f>
        <v>0</v>
      </c>
      <c r="W362" s="531" t="str" cm="1">
        <f t="array" aca="1" ref="W36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2" s="552" t="str" cm="1">
        <f t="array" aca="1" ref="X36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2" s="27" t="str">
        <f t="shared" ca="1" si="15"/>
        <v/>
      </c>
      <c r="Z362" s="4" t="str">
        <f>IFERROR($U$2-AVERAGEIFS(unit_details[First Listed],
          unit_details[Active Listing?],TRUE,
          unit_details[Property Name], $B362,
          unit_details[Beds], $D362,
          unit_details[Baths], $E362,
          unit_details[Partial Baths], IF(ISNUMBER($F362),$F362,""),
          unit_details[Floorplan Name],$C362
),"")</f>
        <v/>
      </c>
      <c r="AA362" s="262" cm="1">
        <f t="array" aca="1" ref="AA362" ca="1">COUNTIFS(unit_details[Active Listing?],TRUE,
          unit_details[Floorplan Name], INDIRECT("C"&amp;ROW()),
          unit_details[Property Name], INDIRECT("B"&amp;ROW()))</f>
        <v>0</v>
      </c>
      <c r="AB362" s="553"/>
      <c r="AC362" s="528" cm="1">
        <f t="array" aca="1" ref="AC362" ca="1">IFERROR(AVERAGEIFS(
  unit_details[Sqft],
  unit_details[Property Name], INDIRECT("B"&amp;ROW()),
  unit_details[Floorplan Name], INDIRECT("C"&amp;ROW()),
  unit_details[Beds], INDIRECT("D"&amp;ROW()),
  unit_details[Detected Unit Amenities], "*"&amp;$AD$3&amp;"*",
  unit_details[Leased Date], "&gt;=" &amp; ($U$2 - $AF$3)
),0)</f>
        <v>0</v>
      </c>
      <c r="AD362" s="527" cm="1">
        <f t="array" aca="1" ref="AD3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2" s="526" cm="1">
        <f t="array" aca="1" ref="AE362" ca="1">IFERROR(COUNTIFS(
  unit_details[Property Name], INDIRECT("B"&amp;ROW()),
  unit_details[Floorplan Name], INDIRECT("C"&amp;ROW()),
  unit_details[Beds], INDIRECT("D"&amp;ROW()),
  unit_details[Detected Unit Amenities], "*"&amp;$AD$3&amp;"*",
  unit_details[Leased Date], "&gt;=" &amp; ($U$2 - $AF$3)
),0)</f>
        <v>0</v>
      </c>
      <c r="AF362" s="528" cm="1">
        <f t="array" aca="1" ref="AF362" ca="1">IFERROR(AVERAGEIFS(
  unit_details[Sqft],
  unit_details[Property Name], INDIRECT("B"&amp;ROW()),
  unit_details[Floorplan Name], INDIRECT("C"&amp;ROW()),
  unit_details[Beds], INDIRECT("D"&amp;ROW()),
  unit_details[Detected Unit Amenities], "&lt;&gt;*"&amp;$AD$3&amp;"*",
  unit_details[Leased Date], "&gt;=" &amp; ($U$2 - $AF$3)
),0)</f>
        <v>0</v>
      </c>
      <c r="AG362" s="527" cm="1">
        <f t="array" aca="1" ref="AG3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2" s="526" cm="1">
        <f t="array" aca="1" ref="AH362" ca="1">IFERROR(COUNTIFS(
  unit_details[Property Name], INDIRECT("B"&amp;ROW()),
  unit_details[Floorplan Name], INDIRECT("C"&amp;ROW()),
  unit_details[Beds], INDIRECT("D"&amp;ROW()),
  unit_details[Detected Unit Amenities], "&lt;&gt;*"&amp;$AD$3&amp;"*",
  unit_details[Leased Date], "&gt;=" &amp; ($U$2 - $AF$3)
),0)</f>
        <v>0</v>
      </c>
      <c r="AI362" s="528"/>
      <c r="AJ362" s="531">
        <f t="shared" ca="1" si="16"/>
        <v>0</v>
      </c>
      <c r="AK362" s="532">
        <f t="shared" ca="1" si="17"/>
        <v>0</v>
      </c>
    </row>
    <row r="363" spans="10:37" x14ac:dyDescent="0.2">
      <c r="J363" s="293"/>
      <c r="N363" s="531" t="str" cm="1">
        <f t="array" aca="1" ref="N36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3" s="552" t="str" cm="1">
        <f t="array" aca="1" ref="O36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3" s="526" cm="1">
        <f t="array" aca="1" ref="P363" ca="1">COUNTIFS(unit_details[Leased Date], "&gt;=" &amp; ($U$2 - N$5),
          unit_details[Leased Date], "&lt;" &amp; $U$2,
          unit_details[Floorplan Name], INDIRECT("C"&amp;ROW()),
          unit_details[Property Name], INDIRECT("B"&amp;ROW()))</f>
        <v>0</v>
      </c>
      <c r="Q363" s="531" t="str" cm="1">
        <f t="array" aca="1" ref="Q36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3" s="552" t="str" cm="1">
        <f t="array" aca="1" ref="R36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3" s="526" cm="1">
        <f t="array" aca="1" ref="S363" ca="1">COUNTIFS(unit_details[Leased Date], "&gt;=" &amp; ($U$2 - Q$5),
          unit_details[Leased Date], "&lt;" &amp; $U$2,
          unit_details[Floorplan Name], INDIRECT("C"&amp;ROW()),
          unit_details[Property Name], INDIRECT("B"&amp;ROW()))</f>
        <v>0</v>
      </c>
      <c r="T363" s="531" t="str" cm="1">
        <f t="array" aca="1" ref="T36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3" s="552" t="str" cm="1">
        <f t="array" aca="1" ref="U36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3" s="526" cm="1">
        <f t="array" aca="1" ref="V363" ca="1">COUNTIFS(unit_details[Leased Date], "&gt;=" &amp; ($U$2 - T$5),
          unit_details[Leased Date], "&lt;" &amp; $U$2,
          unit_details[Floorplan Name], INDIRECT("C"&amp;ROW()),
          unit_details[Property Name], INDIRECT("B"&amp;ROW()))</f>
        <v>0</v>
      </c>
      <c r="W363" s="531" t="str" cm="1">
        <f t="array" aca="1" ref="W36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3" s="552" t="str" cm="1">
        <f t="array" aca="1" ref="X36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3" s="27" t="str">
        <f t="shared" ca="1" si="15"/>
        <v/>
      </c>
      <c r="Z363" s="4" t="str">
        <f>IFERROR($U$2-AVERAGEIFS(unit_details[First Listed],
          unit_details[Active Listing?],TRUE,
          unit_details[Property Name], $B363,
          unit_details[Beds], $D363,
          unit_details[Baths], $E363,
          unit_details[Partial Baths], IF(ISNUMBER($F363),$F363,""),
          unit_details[Floorplan Name],$C363
),"")</f>
        <v/>
      </c>
      <c r="AA363" s="262" cm="1">
        <f t="array" aca="1" ref="AA363" ca="1">COUNTIFS(unit_details[Active Listing?],TRUE,
          unit_details[Floorplan Name], INDIRECT("C"&amp;ROW()),
          unit_details[Property Name], INDIRECT("B"&amp;ROW()))</f>
        <v>0</v>
      </c>
      <c r="AB363" s="553"/>
      <c r="AC363" s="528" cm="1">
        <f t="array" aca="1" ref="AC363" ca="1">IFERROR(AVERAGEIFS(
  unit_details[Sqft],
  unit_details[Property Name], INDIRECT("B"&amp;ROW()),
  unit_details[Floorplan Name], INDIRECT("C"&amp;ROW()),
  unit_details[Beds], INDIRECT("D"&amp;ROW()),
  unit_details[Detected Unit Amenities], "*"&amp;$AD$3&amp;"*",
  unit_details[Leased Date], "&gt;=" &amp; ($U$2 - $AF$3)
),0)</f>
        <v>0</v>
      </c>
      <c r="AD363" s="527" cm="1">
        <f t="array" aca="1" ref="AD3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3" s="526" cm="1">
        <f t="array" aca="1" ref="AE363" ca="1">IFERROR(COUNTIFS(
  unit_details[Property Name], INDIRECT("B"&amp;ROW()),
  unit_details[Floorplan Name], INDIRECT("C"&amp;ROW()),
  unit_details[Beds], INDIRECT("D"&amp;ROW()),
  unit_details[Detected Unit Amenities], "*"&amp;$AD$3&amp;"*",
  unit_details[Leased Date], "&gt;=" &amp; ($U$2 - $AF$3)
),0)</f>
        <v>0</v>
      </c>
      <c r="AF363" s="528" cm="1">
        <f t="array" aca="1" ref="AF363" ca="1">IFERROR(AVERAGEIFS(
  unit_details[Sqft],
  unit_details[Property Name], INDIRECT("B"&amp;ROW()),
  unit_details[Floorplan Name], INDIRECT("C"&amp;ROW()),
  unit_details[Beds], INDIRECT("D"&amp;ROW()),
  unit_details[Detected Unit Amenities], "&lt;&gt;*"&amp;$AD$3&amp;"*",
  unit_details[Leased Date], "&gt;=" &amp; ($U$2 - $AF$3)
),0)</f>
        <v>0</v>
      </c>
      <c r="AG363" s="527" cm="1">
        <f t="array" aca="1" ref="AG3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3" s="526" cm="1">
        <f t="array" aca="1" ref="AH363" ca="1">IFERROR(COUNTIFS(
  unit_details[Property Name], INDIRECT("B"&amp;ROW()),
  unit_details[Floorplan Name], INDIRECT("C"&amp;ROW()),
  unit_details[Beds], INDIRECT("D"&amp;ROW()),
  unit_details[Detected Unit Amenities], "&lt;&gt;*"&amp;$AD$3&amp;"*",
  unit_details[Leased Date], "&gt;=" &amp; ($U$2 - $AF$3)
),0)</f>
        <v>0</v>
      </c>
      <c r="AI363" s="528"/>
      <c r="AJ363" s="531">
        <f t="shared" ca="1" si="16"/>
        <v>0</v>
      </c>
      <c r="AK363" s="532">
        <f t="shared" ca="1" si="17"/>
        <v>0</v>
      </c>
    </row>
    <row r="364" spans="10:37" x14ac:dyDescent="0.2">
      <c r="J364" s="293"/>
      <c r="N364" s="531" t="str" cm="1">
        <f t="array" aca="1" ref="N36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4" s="552" t="str" cm="1">
        <f t="array" aca="1" ref="O36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4" s="526" cm="1">
        <f t="array" aca="1" ref="P364" ca="1">COUNTIFS(unit_details[Leased Date], "&gt;=" &amp; ($U$2 - N$5),
          unit_details[Leased Date], "&lt;" &amp; $U$2,
          unit_details[Floorplan Name], INDIRECT("C"&amp;ROW()),
          unit_details[Property Name], INDIRECT("B"&amp;ROW()))</f>
        <v>0</v>
      </c>
      <c r="Q364" s="531" t="str" cm="1">
        <f t="array" aca="1" ref="Q36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4" s="552" t="str" cm="1">
        <f t="array" aca="1" ref="R36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4" s="526" cm="1">
        <f t="array" aca="1" ref="S364" ca="1">COUNTIFS(unit_details[Leased Date], "&gt;=" &amp; ($U$2 - Q$5),
          unit_details[Leased Date], "&lt;" &amp; $U$2,
          unit_details[Floorplan Name], INDIRECT("C"&amp;ROW()),
          unit_details[Property Name], INDIRECT("B"&amp;ROW()))</f>
        <v>0</v>
      </c>
      <c r="T364" s="531" t="str" cm="1">
        <f t="array" aca="1" ref="T36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4" s="552" t="str" cm="1">
        <f t="array" aca="1" ref="U36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4" s="526" cm="1">
        <f t="array" aca="1" ref="V364" ca="1">COUNTIFS(unit_details[Leased Date], "&gt;=" &amp; ($U$2 - T$5),
          unit_details[Leased Date], "&lt;" &amp; $U$2,
          unit_details[Floorplan Name], INDIRECT("C"&amp;ROW()),
          unit_details[Property Name], INDIRECT("B"&amp;ROW()))</f>
        <v>0</v>
      </c>
      <c r="W364" s="531" t="str" cm="1">
        <f t="array" aca="1" ref="W36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4" s="552" t="str" cm="1">
        <f t="array" aca="1" ref="X36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4" s="27" t="str">
        <f t="shared" ca="1" si="15"/>
        <v/>
      </c>
      <c r="Z364" s="4" t="str">
        <f>IFERROR($U$2-AVERAGEIFS(unit_details[First Listed],
          unit_details[Active Listing?],TRUE,
          unit_details[Property Name], $B364,
          unit_details[Beds], $D364,
          unit_details[Baths], $E364,
          unit_details[Partial Baths], IF(ISNUMBER($F364),$F364,""),
          unit_details[Floorplan Name],$C364
),"")</f>
        <v/>
      </c>
      <c r="AA364" s="262" cm="1">
        <f t="array" aca="1" ref="AA364" ca="1">COUNTIFS(unit_details[Active Listing?],TRUE,
          unit_details[Floorplan Name], INDIRECT("C"&amp;ROW()),
          unit_details[Property Name], INDIRECT("B"&amp;ROW()))</f>
        <v>0</v>
      </c>
      <c r="AB364" s="553"/>
      <c r="AC364" s="528" cm="1">
        <f t="array" aca="1" ref="AC364" ca="1">IFERROR(AVERAGEIFS(
  unit_details[Sqft],
  unit_details[Property Name], INDIRECT("B"&amp;ROW()),
  unit_details[Floorplan Name], INDIRECT("C"&amp;ROW()),
  unit_details[Beds], INDIRECT("D"&amp;ROW()),
  unit_details[Detected Unit Amenities], "*"&amp;$AD$3&amp;"*",
  unit_details[Leased Date], "&gt;=" &amp; ($U$2 - $AF$3)
),0)</f>
        <v>0</v>
      </c>
      <c r="AD364" s="527" cm="1">
        <f t="array" aca="1" ref="AD3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4" s="526" cm="1">
        <f t="array" aca="1" ref="AE364" ca="1">IFERROR(COUNTIFS(
  unit_details[Property Name], INDIRECT("B"&amp;ROW()),
  unit_details[Floorplan Name], INDIRECT("C"&amp;ROW()),
  unit_details[Beds], INDIRECT("D"&amp;ROW()),
  unit_details[Detected Unit Amenities], "*"&amp;$AD$3&amp;"*",
  unit_details[Leased Date], "&gt;=" &amp; ($U$2 - $AF$3)
),0)</f>
        <v>0</v>
      </c>
      <c r="AF364" s="528" cm="1">
        <f t="array" aca="1" ref="AF364" ca="1">IFERROR(AVERAGEIFS(
  unit_details[Sqft],
  unit_details[Property Name], INDIRECT("B"&amp;ROW()),
  unit_details[Floorplan Name], INDIRECT("C"&amp;ROW()),
  unit_details[Beds], INDIRECT("D"&amp;ROW()),
  unit_details[Detected Unit Amenities], "&lt;&gt;*"&amp;$AD$3&amp;"*",
  unit_details[Leased Date], "&gt;=" &amp; ($U$2 - $AF$3)
),0)</f>
        <v>0</v>
      </c>
      <c r="AG364" s="527" cm="1">
        <f t="array" aca="1" ref="AG3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4" s="526" cm="1">
        <f t="array" aca="1" ref="AH364" ca="1">IFERROR(COUNTIFS(
  unit_details[Property Name], INDIRECT("B"&amp;ROW()),
  unit_details[Floorplan Name], INDIRECT("C"&amp;ROW()),
  unit_details[Beds], INDIRECT("D"&amp;ROW()),
  unit_details[Detected Unit Amenities], "&lt;&gt;*"&amp;$AD$3&amp;"*",
  unit_details[Leased Date], "&gt;=" &amp; ($U$2 - $AF$3)
),0)</f>
        <v>0</v>
      </c>
      <c r="AI364" s="528"/>
      <c r="AJ364" s="531">
        <f t="shared" ca="1" si="16"/>
        <v>0</v>
      </c>
      <c r="AK364" s="532">
        <f t="shared" ca="1" si="17"/>
        <v>0</v>
      </c>
    </row>
    <row r="365" spans="10:37" x14ac:dyDescent="0.2">
      <c r="J365" s="293"/>
      <c r="N365" s="531" t="str" cm="1">
        <f t="array" aca="1" ref="N36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5" s="552" t="str" cm="1">
        <f t="array" aca="1" ref="O36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5" s="526" cm="1">
        <f t="array" aca="1" ref="P365" ca="1">COUNTIFS(unit_details[Leased Date], "&gt;=" &amp; ($U$2 - N$5),
          unit_details[Leased Date], "&lt;" &amp; $U$2,
          unit_details[Floorplan Name], INDIRECT("C"&amp;ROW()),
          unit_details[Property Name], INDIRECT("B"&amp;ROW()))</f>
        <v>0</v>
      </c>
      <c r="Q365" s="531" t="str" cm="1">
        <f t="array" aca="1" ref="Q36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5" s="552" t="str" cm="1">
        <f t="array" aca="1" ref="R36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5" s="526" cm="1">
        <f t="array" aca="1" ref="S365" ca="1">COUNTIFS(unit_details[Leased Date], "&gt;=" &amp; ($U$2 - Q$5),
          unit_details[Leased Date], "&lt;" &amp; $U$2,
          unit_details[Floorplan Name], INDIRECT("C"&amp;ROW()),
          unit_details[Property Name], INDIRECT("B"&amp;ROW()))</f>
        <v>0</v>
      </c>
      <c r="T365" s="531" t="str" cm="1">
        <f t="array" aca="1" ref="T36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5" s="552" t="str" cm="1">
        <f t="array" aca="1" ref="U36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5" s="526" cm="1">
        <f t="array" aca="1" ref="V365" ca="1">COUNTIFS(unit_details[Leased Date], "&gt;=" &amp; ($U$2 - T$5),
          unit_details[Leased Date], "&lt;" &amp; $U$2,
          unit_details[Floorplan Name], INDIRECT("C"&amp;ROW()),
          unit_details[Property Name], INDIRECT("B"&amp;ROW()))</f>
        <v>0</v>
      </c>
      <c r="W365" s="531" t="str" cm="1">
        <f t="array" aca="1" ref="W36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5" s="552" t="str" cm="1">
        <f t="array" aca="1" ref="X36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5" s="27" t="str">
        <f t="shared" ca="1" si="15"/>
        <v/>
      </c>
      <c r="Z365" s="4" t="str">
        <f>IFERROR($U$2-AVERAGEIFS(unit_details[First Listed],
          unit_details[Active Listing?],TRUE,
          unit_details[Property Name], $B365,
          unit_details[Beds], $D365,
          unit_details[Baths], $E365,
          unit_details[Partial Baths], IF(ISNUMBER($F365),$F365,""),
          unit_details[Floorplan Name],$C365
),"")</f>
        <v/>
      </c>
      <c r="AA365" s="262" cm="1">
        <f t="array" aca="1" ref="AA365" ca="1">COUNTIFS(unit_details[Active Listing?],TRUE,
          unit_details[Floorplan Name], INDIRECT("C"&amp;ROW()),
          unit_details[Property Name], INDIRECT("B"&amp;ROW()))</f>
        <v>0</v>
      </c>
      <c r="AB365" s="553"/>
      <c r="AC365" s="528" cm="1">
        <f t="array" aca="1" ref="AC365" ca="1">IFERROR(AVERAGEIFS(
  unit_details[Sqft],
  unit_details[Property Name], INDIRECT("B"&amp;ROW()),
  unit_details[Floorplan Name], INDIRECT("C"&amp;ROW()),
  unit_details[Beds], INDIRECT("D"&amp;ROW()),
  unit_details[Detected Unit Amenities], "*"&amp;$AD$3&amp;"*",
  unit_details[Leased Date], "&gt;=" &amp; ($U$2 - $AF$3)
),0)</f>
        <v>0</v>
      </c>
      <c r="AD365" s="527" cm="1">
        <f t="array" aca="1" ref="AD3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5" s="526" cm="1">
        <f t="array" aca="1" ref="AE365" ca="1">IFERROR(COUNTIFS(
  unit_details[Property Name], INDIRECT("B"&amp;ROW()),
  unit_details[Floorplan Name], INDIRECT("C"&amp;ROW()),
  unit_details[Beds], INDIRECT("D"&amp;ROW()),
  unit_details[Detected Unit Amenities], "*"&amp;$AD$3&amp;"*",
  unit_details[Leased Date], "&gt;=" &amp; ($U$2 - $AF$3)
),0)</f>
        <v>0</v>
      </c>
      <c r="AF365" s="528" cm="1">
        <f t="array" aca="1" ref="AF365" ca="1">IFERROR(AVERAGEIFS(
  unit_details[Sqft],
  unit_details[Property Name], INDIRECT("B"&amp;ROW()),
  unit_details[Floorplan Name], INDIRECT("C"&amp;ROW()),
  unit_details[Beds], INDIRECT("D"&amp;ROW()),
  unit_details[Detected Unit Amenities], "&lt;&gt;*"&amp;$AD$3&amp;"*",
  unit_details[Leased Date], "&gt;=" &amp; ($U$2 - $AF$3)
),0)</f>
        <v>0</v>
      </c>
      <c r="AG365" s="527" cm="1">
        <f t="array" aca="1" ref="AG3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5" s="526" cm="1">
        <f t="array" aca="1" ref="AH365" ca="1">IFERROR(COUNTIFS(
  unit_details[Property Name], INDIRECT("B"&amp;ROW()),
  unit_details[Floorplan Name], INDIRECT("C"&amp;ROW()),
  unit_details[Beds], INDIRECT("D"&amp;ROW()),
  unit_details[Detected Unit Amenities], "&lt;&gt;*"&amp;$AD$3&amp;"*",
  unit_details[Leased Date], "&gt;=" &amp; ($U$2 - $AF$3)
),0)</f>
        <v>0</v>
      </c>
      <c r="AI365" s="528"/>
      <c r="AJ365" s="531">
        <f t="shared" ca="1" si="16"/>
        <v>0</v>
      </c>
      <c r="AK365" s="532">
        <f t="shared" ca="1" si="17"/>
        <v>0</v>
      </c>
    </row>
    <row r="366" spans="10:37" x14ac:dyDescent="0.2">
      <c r="J366" s="293"/>
      <c r="N366" s="531" t="str" cm="1">
        <f t="array" aca="1" ref="N36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6" s="552" t="str" cm="1">
        <f t="array" aca="1" ref="O36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6" s="526" cm="1">
        <f t="array" aca="1" ref="P366" ca="1">COUNTIFS(unit_details[Leased Date], "&gt;=" &amp; ($U$2 - N$5),
          unit_details[Leased Date], "&lt;" &amp; $U$2,
          unit_details[Floorplan Name], INDIRECT("C"&amp;ROW()),
          unit_details[Property Name], INDIRECT("B"&amp;ROW()))</f>
        <v>0</v>
      </c>
      <c r="Q366" s="531" t="str" cm="1">
        <f t="array" aca="1" ref="Q36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6" s="552" t="str" cm="1">
        <f t="array" aca="1" ref="R36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6" s="526" cm="1">
        <f t="array" aca="1" ref="S366" ca="1">COUNTIFS(unit_details[Leased Date], "&gt;=" &amp; ($U$2 - Q$5),
          unit_details[Leased Date], "&lt;" &amp; $U$2,
          unit_details[Floorplan Name], INDIRECT("C"&amp;ROW()),
          unit_details[Property Name], INDIRECT("B"&amp;ROW()))</f>
        <v>0</v>
      </c>
      <c r="T366" s="531" t="str" cm="1">
        <f t="array" aca="1" ref="T36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6" s="552" t="str" cm="1">
        <f t="array" aca="1" ref="U36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6" s="526" cm="1">
        <f t="array" aca="1" ref="V366" ca="1">COUNTIFS(unit_details[Leased Date], "&gt;=" &amp; ($U$2 - T$5),
          unit_details[Leased Date], "&lt;" &amp; $U$2,
          unit_details[Floorplan Name], INDIRECT("C"&amp;ROW()),
          unit_details[Property Name], INDIRECT("B"&amp;ROW()))</f>
        <v>0</v>
      </c>
      <c r="W366" s="531" t="str" cm="1">
        <f t="array" aca="1" ref="W36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6" s="552" t="str" cm="1">
        <f t="array" aca="1" ref="X36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6" s="27" t="str">
        <f t="shared" ca="1" si="15"/>
        <v/>
      </c>
      <c r="Z366" s="4" t="str">
        <f>IFERROR($U$2-AVERAGEIFS(unit_details[First Listed],
          unit_details[Active Listing?],TRUE,
          unit_details[Property Name], $B366,
          unit_details[Beds], $D366,
          unit_details[Baths], $E366,
          unit_details[Partial Baths], IF(ISNUMBER($F366),$F366,""),
          unit_details[Floorplan Name],$C366
),"")</f>
        <v/>
      </c>
      <c r="AA366" s="262" cm="1">
        <f t="array" aca="1" ref="AA366" ca="1">COUNTIFS(unit_details[Active Listing?],TRUE,
          unit_details[Floorplan Name], INDIRECT("C"&amp;ROW()),
          unit_details[Property Name], INDIRECT("B"&amp;ROW()))</f>
        <v>0</v>
      </c>
      <c r="AB366" s="553"/>
      <c r="AC366" s="528" cm="1">
        <f t="array" aca="1" ref="AC366" ca="1">IFERROR(AVERAGEIFS(
  unit_details[Sqft],
  unit_details[Property Name], INDIRECT("B"&amp;ROW()),
  unit_details[Floorplan Name], INDIRECT("C"&amp;ROW()),
  unit_details[Beds], INDIRECT("D"&amp;ROW()),
  unit_details[Detected Unit Amenities], "*"&amp;$AD$3&amp;"*",
  unit_details[Leased Date], "&gt;=" &amp; ($U$2 - $AF$3)
),0)</f>
        <v>0</v>
      </c>
      <c r="AD366" s="527" cm="1">
        <f t="array" aca="1" ref="AD3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6" s="526" cm="1">
        <f t="array" aca="1" ref="AE366" ca="1">IFERROR(COUNTIFS(
  unit_details[Property Name], INDIRECT("B"&amp;ROW()),
  unit_details[Floorplan Name], INDIRECT("C"&amp;ROW()),
  unit_details[Beds], INDIRECT("D"&amp;ROW()),
  unit_details[Detected Unit Amenities], "*"&amp;$AD$3&amp;"*",
  unit_details[Leased Date], "&gt;=" &amp; ($U$2 - $AF$3)
),0)</f>
        <v>0</v>
      </c>
      <c r="AF366" s="528" cm="1">
        <f t="array" aca="1" ref="AF366" ca="1">IFERROR(AVERAGEIFS(
  unit_details[Sqft],
  unit_details[Property Name], INDIRECT("B"&amp;ROW()),
  unit_details[Floorplan Name], INDIRECT("C"&amp;ROW()),
  unit_details[Beds], INDIRECT("D"&amp;ROW()),
  unit_details[Detected Unit Amenities], "&lt;&gt;*"&amp;$AD$3&amp;"*",
  unit_details[Leased Date], "&gt;=" &amp; ($U$2 - $AF$3)
),0)</f>
        <v>0</v>
      </c>
      <c r="AG366" s="527" cm="1">
        <f t="array" aca="1" ref="AG3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6" s="526" cm="1">
        <f t="array" aca="1" ref="AH366" ca="1">IFERROR(COUNTIFS(
  unit_details[Property Name], INDIRECT("B"&amp;ROW()),
  unit_details[Floorplan Name], INDIRECT("C"&amp;ROW()),
  unit_details[Beds], INDIRECT("D"&amp;ROW()),
  unit_details[Detected Unit Amenities], "&lt;&gt;*"&amp;$AD$3&amp;"*",
  unit_details[Leased Date], "&gt;=" &amp; ($U$2 - $AF$3)
),0)</f>
        <v>0</v>
      </c>
      <c r="AI366" s="528"/>
      <c r="AJ366" s="531">
        <f t="shared" ca="1" si="16"/>
        <v>0</v>
      </c>
      <c r="AK366" s="532">
        <f t="shared" ca="1" si="17"/>
        <v>0</v>
      </c>
    </row>
    <row r="367" spans="10:37" x14ac:dyDescent="0.2">
      <c r="J367" s="293"/>
      <c r="N367" s="531" t="str" cm="1">
        <f t="array" aca="1" ref="N36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7" s="552" t="str" cm="1">
        <f t="array" aca="1" ref="O36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7" s="526" cm="1">
        <f t="array" aca="1" ref="P367" ca="1">COUNTIFS(unit_details[Leased Date], "&gt;=" &amp; ($U$2 - N$5),
          unit_details[Leased Date], "&lt;" &amp; $U$2,
          unit_details[Floorplan Name], INDIRECT("C"&amp;ROW()),
          unit_details[Property Name], INDIRECT("B"&amp;ROW()))</f>
        <v>0</v>
      </c>
      <c r="Q367" s="531" t="str" cm="1">
        <f t="array" aca="1" ref="Q36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7" s="552" t="str" cm="1">
        <f t="array" aca="1" ref="R36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7" s="526" cm="1">
        <f t="array" aca="1" ref="S367" ca="1">COUNTIFS(unit_details[Leased Date], "&gt;=" &amp; ($U$2 - Q$5),
          unit_details[Leased Date], "&lt;" &amp; $U$2,
          unit_details[Floorplan Name], INDIRECT("C"&amp;ROW()),
          unit_details[Property Name], INDIRECT("B"&amp;ROW()))</f>
        <v>0</v>
      </c>
      <c r="T367" s="531" t="str" cm="1">
        <f t="array" aca="1" ref="T36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7" s="552" t="str" cm="1">
        <f t="array" aca="1" ref="U36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7" s="526" cm="1">
        <f t="array" aca="1" ref="V367" ca="1">COUNTIFS(unit_details[Leased Date], "&gt;=" &amp; ($U$2 - T$5),
          unit_details[Leased Date], "&lt;" &amp; $U$2,
          unit_details[Floorplan Name], INDIRECT("C"&amp;ROW()),
          unit_details[Property Name], INDIRECT("B"&amp;ROW()))</f>
        <v>0</v>
      </c>
      <c r="W367" s="531" t="str" cm="1">
        <f t="array" aca="1" ref="W36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7" s="552" t="str" cm="1">
        <f t="array" aca="1" ref="X36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7" s="27" t="str">
        <f t="shared" ca="1" si="15"/>
        <v/>
      </c>
      <c r="Z367" s="4" t="str">
        <f>IFERROR($U$2-AVERAGEIFS(unit_details[First Listed],
          unit_details[Active Listing?],TRUE,
          unit_details[Property Name], $B367,
          unit_details[Beds], $D367,
          unit_details[Baths], $E367,
          unit_details[Partial Baths], IF(ISNUMBER($F367),$F367,""),
          unit_details[Floorplan Name],$C367
),"")</f>
        <v/>
      </c>
      <c r="AA367" s="262" cm="1">
        <f t="array" aca="1" ref="AA367" ca="1">COUNTIFS(unit_details[Active Listing?],TRUE,
          unit_details[Floorplan Name], INDIRECT("C"&amp;ROW()),
          unit_details[Property Name], INDIRECT("B"&amp;ROW()))</f>
        <v>0</v>
      </c>
      <c r="AB367" s="553"/>
      <c r="AC367" s="528" cm="1">
        <f t="array" aca="1" ref="AC367" ca="1">IFERROR(AVERAGEIFS(
  unit_details[Sqft],
  unit_details[Property Name], INDIRECT("B"&amp;ROW()),
  unit_details[Floorplan Name], INDIRECT("C"&amp;ROW()),
  unit_details[Beds], INDIRECT("D"&amp;ROW()),
  unit_details[Detected Unit Amenities], "*"&amp;$AD$3&amp;"*",
  unit_details[Leased Date], "&gt;=" &amp; ($U$2 - $AF$3)
),0)</f>
        <v>0</v>
      </c>
      <c r="AD367" s="527" cm="1">
        <f t="array" aca="1" ref="AD3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7" s="526" cm="1">
        <f t="array" aca="1" ref="AE367" ca="1">IFERROR(COUNTIFS(
  unit_details[Property Name], INDIRECT("B"&amp;ROW()),
  unit_details[Floorplan Name], INDIRECT("C"&amp;ROW()),
  unit_details[Beds], INDIRECT("D"&amp;ROW()),
  unit_details[Detected Unit Amenities], "*"&amp;$AD$3&amp;"*",
  unit_details[Leased Date], "&gt;=" &amp; ($U$2 - $AF$3)
),0)</f>
        <v>0</v>
      </c>
      <c r="AF367" s="528" cm="1">
        <f t="array" aca="1" ref="AF367" ca="1">IFERROR(AVERAGEIFS(
  unit_details[Sqft],
  unit_details[Property Name], INDIRECT("B"&amp;ROW()),
  unit_details[Floorplan Name], INDIRECT("C"&amp;ROW()),
  unit_details[Beds], INDIRECT("D"&amp;ROW()),
  unit_details[Detected Unit Amenities], "&lt;&gt;*"&amp;$AD$3&amp;"*",
  unit_details[Leased Date], "&gt;=" &amp; ($U$2 - $AF$3)
),0)</f>
        <v>0</v>
      </c>
      <c r="AG367" s="527" cm="1">
        <f t="array" aca="1" ref="AG3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7" s="526" cm="1">
        <f t="array" aca="1" ref="AH367" ca="1">IFERROR(COUNTIFS(
  unit_details[Property Name], INDIRECT("B"&amp;ROW()),
  unit_details[Floorplan Name], INDIRECT("C"&amp;ROW()),
  unit_details[Beds], INDIRECT("D"&amp;ROW()),
  unit_details[Detected Unit Amenities], "&lt;&gt;*"&amp;$AD$3&amp;"*",
  unit_details[Leased Date], "&gt;=" &amp; ($U$2 - $AF$3)
),0)</f>
        <v>0</v>
      </c>
      <c r="AI367" s="528"/>
      <c r="AJ367" s="531">
        <f t="shared" ca="1" si="16"/>
        <v>0</v>
      </c>
      <c r="AK367" s="532">
        <f t="shared" ca="1" si="17"/>
        <v>0</v>
      </c>
    </row>
    <row r="368" spans="10:37" x14ac:dyDescent="0.2">
      <c r="J368" s="293"/>
      <c r="N368" s="531" t="str" cm="1">
        <f t="array" aca="1" ref="N36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8" s="552" t="str" cm="1">
        <f t="array" aca="1" ref="O36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8" s="526" cm="1">
        <f t="array" aca="1" ref="P368" ca="1">COUNTIFS(unit_details[Leased Date], "&gt;=" &amp; ($U$2 - N$5),
          unit_details[Leased Date], "&lt;" &amp; $U$2,
          unit_details[Floorplan Name], INDIRECT("C"&amp;ROW()),
          unit_details[Property Name], INDIRECT("B"&amp;ROW()))</f>
        <v>0</v>
      </c>
      <c r="Q368" s="531" t="str" cm="1">
        <f t="array" aca="1" ref="Q36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8" s="552" t="str" cm="1">
        <f t="array" aca="1" ref="R36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8" s="526" cm="1">
        <f t="array" aca="1" ref="S368" ca="1">COUNTIFS(unit_details[Leased Date], "&gt;=" &amp; ($U$2 - Q$5),
          unit_details[Leased Date], "&lt;" &amp; $U$2,
          unit_details[Floorplan Name], INDIRECT("C"&amp;ROW()),
          unit_details[Property Name], INDIRECT("B"&amp;ROW()))</f>
        <v>0</v>
      </c>
      <c r="T368" s="531" t="str" cm="1">
        <f t="array" aca="1" ref="T36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8" s="552" t="str" cm="1">
        <f t="array" aca="1" ref="U36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8" s="526" cm="1">
        <f t="array" aca="1" ref="V368" ca="1">COUNTIFS(unit_details[Leased Date], "&gt;=" &amp; ($U$2 - T$5),
          unit_details[Leased Date], "&lt;" &amp; $U$2,
          unit_details[Floorplan Name], INDIRECT("C"&amp;ROW()),
          unit_details[Property Name], INDIRECT("B"&amp;ROW()))</f>
        <v>0</v>
      </c>
      <c r="W368" s="531" t="str" cm="1">
        <f t="array" aca="1" ref="W36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8" s="552" t="str" cm="1">
        <f t="array" aca="1" ref="X36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8" s="27" t="str">
        <f t="shared" ca="1" si="15"/>
        <v/>
      </c>
      <c r="Z368" s="4" t="str">
        <f>IFERROR($U$2-AVERAGEIFS(unit_details[First Listed],
          unit_details[Active Listing?],TRUE,
          unit_details[Property Name], $B368,
          unit_details[Beds], $D368,
          unit_details[Baths], $E368,
          unit_details[Partial Baths], IF(ISNUMBER($F368),$F368,""),
          unit_details[Floorplan Name],$C368
),"")</f>
        <v/>
      </c>
      <c r="AA368" s="262" cm="1">
        <f t="array" aca="1" ref="AA368" ca="1">COUNTIFS(unit_details[Active Listing?],TRUE,
          unit_details[Floorplan Name], INDIRECT("C"&amp;ROW()),
          unit_details[Property Name], INDIRECT("B"&amp;ROW()))</f>
        <v>0</v>
      </c>
      <c r="AB368" s="553"/>
      <c r="AC368" s="528" cm="1">
        <f t="array" aca="1" ref="AC368" ca="1">IFERROR(AVERAGEIFS(
  unit_details[Sqft],
  unit_details[Property Name], INDIRECT("B"&amp;ROW()),
  unit_details[Floorplan Name], INDIRECT("C"&amp;ROW()),
  unit_details[Beds], INDIRECT("D"&amp;ROW()),
  unit_details[Detected Unit Amenities], "*"&amp;$AD$3&amp;"*",
  unit_details[Leased Date], "&gt;=" &amp; ($U$2 - $AF$3)
),0)</f>
        <v>0</v>
      </c>
      <c r="AD368" s="527" cm="1">
        <f t="array" aca="1" ref="AD3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8" s="526" cm="1">
        <f t="array" aca="1" ref="AE368" ca="1">IFERROR(COUNTIFS(
  unit_details[Property Name], INDIRECT("B"&amp;ROW()),
  unit_details[Floorplan Name], INDIRECT("C"&amp;ROW()),
  unit_details[Beds], INDIRECT("D"&amp;ROW()),
  unit_details[Detected Unit Amenities], "*"&amp;$AD$3&amp;"*",
  unit_details[Leased Date], "&gt;=" &amp; ($U$2 - $AF$3)
),0)</f>
        <v>0</v>
      </c>
      <c r="AF368" s="528" cm="1">
        <f t="array" aca="1" ref="AF368" ca="1">IFERROR(AVERAGEIFS(
  unit_details[Sqft],
  unit_details[Property Name], INDIRECT("B"&amp;ROW()),
  unit_details[Floorplan Name], INDIRECT("C"&amp;ROW()),
  unit_details[Beds], INDIRECT("D"&amp;ROW()),
  unit_details[Detected Unit Amenities], "&lt;&gt;*"&amp;$AD$3&amp;"*",
  unit_details[Leased Date], "&gt;=" &amp; ($U$2 - $AF$3)
),0)</f>
        <v>0</v>
      </c>
      <c r="AG368" s="527" cm="1">
        <f t="array" aca="1" ref="AG3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8" s="526" cm="1">
        <f t="array" aca="1" ref="AH368" ca="1">IFERROR(COUNTIFS(
  unit_details[Property Name], INDIRECT("B"&amp;ROW()),
  unit_details[Floorplan Name], INDIRECT("C"&amp;ROW()),
  unit_details[Beds], INDIRECT("D"&amp;ROW()),
  unit_details[Detected Unit Amenities], "&lt;&gt;*"&amp;$AD$3&amp;"*",
  unit_details[Leased Date], "&gt;=" &amp; ($U$2 - $AF$3)
),0)</f>
        <v>0</v>
      </c>
      <c r="AI368" s="528"/>
      <c r="AJ368" s="531">
        <f t="shared" ca="1" si="16"/>
        <v>0</v>
      </c>
      <c r="AK368" s="532">
        <f t="shared" ca="1" si="17"/>
        <v>0</v>
      </c>
    </row>
    <row r="369" spans="10:37" x14ac:dyDescent="0.2">
      <c r="J369" s="293"/>
      <c r="N369" s="531" t="str" cm="1">
        <f t="array" aca="1" ref="N36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69" s="552" t="str" cm="1">
        <f t="array" aca="1" ref="O36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69" s="526" cm="1">
        <f t="array" aca="1" ref="P369" ca="1">COUNTIFS(unit_details[Leased Date], "&gt;=" &amp; ($U$2 - N$5),
          unit_details[Leased Date], "&lt;" &amp; $U$2,
          unit_details[Floorplan Name], INDIRECT("C"&amp;ROW()),
          unit_details[Property Name], INDIRECT("B"&amp;ROW()))</f>
        <v>0</v>
      </c>
      <c r="Q369" s="531" t="str" cm="1">
        <f t="array" aca="1" ref="Q36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69" s="552" t="str" cm="1">
        <f t="array" aca="1" ref="R36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69" s="526" cm="1">
        <f t="array" aca="1" ref="S369" ca="1">COUNTIFS(unit_details[Leased Date], "&gt;=" &amp; ($U$2 - Q$5),
          unit_details[Leased Date], "&lt;" &amp; $U$2,
          unit_details[Floorplan Name], INDIRECT("C"&amp;ROW()),
          unit_details[Property Name], INDIRECT("B"&amp;ROW()))</f>
        <v>0</v>
      </c>
      <c r="T369" s="531" t="str" cm="1">
        <f t="array" aca="1" ref="T36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69" s="552" t="str" cm="1">
        <f t="array" aca="1" ref="U36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69" s="526" cm="1">
        <f t="array" aca="1" ref="V369" ca="1">COUNTIFS(unit_details[Leased Date], "&gt;=" &amp; ($U$2 - T$5),
          unit_details[Leased Date], "&lt;" &amp; $U$2,
          unit_details[Floorplan Name], INDIRECT("C"&amp;ROW()),
          unit_details[Property Name], INDIRECT("B"&amp;ROW()))</f>
        <v>0</v>
      </c>
      <c r="W369" s="531" t="str" cm="1">
        <f t="array" aca="1" ref="W36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69" s="552" t="str" cm="1">
        <f t="array" aca="1" ref="X36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69" s="27" t="str">
        <f t="shared" ca="1" si="15"/>
        <v/>
      </c>
      <c r="Z369" s="4" t="str">
        <f>IFERROR($U$2-AVERAGEIFS(unit_details[First Listed],
          unit_details[Active Listing?],TRUE,
          unit_details[Property Name], $B369,
          unit_details[Beds], $D369,
          unit_details[Baths], $E369,
          unit_details[Partial Baths], IF(ISNUMBER($F369),$F369,""),
          unit_details[Floorplan Name],$C369
),"")</f>
        <v/>
      </c>
      <c r="AA369" s="262" cm="1">
        <f t="array" aca="1" ref="AA369" ca="1">COUNTIFS(unit_details[Active Listing?],TRUE,
          unit_details[Floorplan Name], INDIRECT("C"&amp;ROW()),
          unit_details[Property Name], INDIRECT("B"&amp;ROW()))</f>
        <v>0</v>
      </c>
      <c r="AB369" s="553"/>
      <c r="AC369" s="528" cm="1">
        <f t="array" aca="1" ref="AC369" ca="1">IFERROR(AVERAGEIFS(
  unit_details[Sqft],
  unit_details[Property Name], INDIRECT("B"&amp;ROW()),
  unit_details[Floorplan Name], INDIRECT("C"&amp;ROW()),
  unit_details[Beds], INDIRECT("D"&amp;ROW()),
  unit_details[Detected Unit Amenities], "*"&amp;$AD$3&amp;"*",
  unit_details[Leased Date], "&gt;=" &amp; ($U$2 - $AF$3)
),0)</f>
        <v>0</v>
      </c>
      <c r="AD369" s="527" cm="1">
        <f t="array" aca="1" ref="AD3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69" s="526" cm="1">
        <f t="array" aca="1" ref="AE369" ca="1">IFERROR(COUNTIFS(
  unit_details[Property Name], INDIRECT("B"&amp;ROW()),
  unit_details[Floorplan Name], INDIRECT("C"&amp;ROW()),
  unit_details[Beds], INDIRECT("D"&amp;ROW()),
  unit_details[Detected Unit Amenities], "*"&amp;$AD$3&amp;"*",
  unit_details[Leased Date], "&gt;=" &amp; ($U$2 - $AF$3)
),0)</f>
        <v>0</v>
      </c>
      <c r="AF369" s="528" cm="1">
        <f t="array" aca="1" ref="AF369" ca="1">IFERROR(AVERAGEIFS(
  unit_details[Sqft],
  unit_details[Property Name], INDIRECT("B"&amp;ROW()),
  unit_details[Floorplan Name], INDIRECT("C"&amp;ROW()),
  unit_details[Beds], INDIRECT("D"&amp;ROW()),
  unit_details[Detected Unit Amenities], "&lt;&gt;*"&amp;$AD$3&amp;"*",
  unit_details[Leased Date], "&gt;=" &amp; ($U$2 - $AF$3)
),0)</f>
        <v>0</v>
      </c>
      <c r="AG369" s="527" cm="1">
        <f t="array" aca="1" ref="AG3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69" s="526" cm="1">
        <f t="array" aca="1" ref="AH369" ca="1">IFERROR(COUNTIFS(
  unit_details[Property Name], INDIRECT("B"&amp;ROW()),
  unit_details[Floorplan Name], INDIRECT("C"&amp;ROW()),
  unit_details[Beds], INDIRECT("D"&amp;ROW()),
  unit_details[Detected Unit Amenities], "&lt;&gt;*"&amp;$AD$3&amp;"*",
  unit_details[Leased Date], "&gt;=" &amp; ($U$2 - $AF$3)
),0)</f>
        <v>0</v>
      </c>
      <c r="AI369" s="528"/>
      <c r="AJ369" s="531">
        <f t="shared" ca="1" si="16"/>
        <v>0</v>
      </c>
      <c r="AK369" s="532">
        <f t="shared" ca="1" si="17"/>
        <v>0</v>
      </c>
    </row>
    <row r="370" spans="10:37" x14ac:dyDescent="0.2">
      <c r="J370" s="293"/>
      <c r="N370" s="531" t="str" cm="1">
        <f t="array" aca="1" ref="N37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0" s="552" t="str" cm="1">
        <f t="array" aca="1" ref="O37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0" s="526" cm="1">
        <f t="array" aca="1" ref="P370" ca="1">COUNTIFS(unit_details[Leased Date], "&gt;=" &amp; ($U$2 - N$5),
          unit_details[Leased Date], "&lt;" &amp; $U$2,
          unit_details[Floorplan Name], INDIRECT("C"&amp;ROW()),
          unit_details[Property Name], INDIRECT("B"&amp;ROW()))</f>
        <v>0</v>
      </c>
      <c r="Q370" s="531" t="str" cm="1">
        <f t="array" aca="1" ref="Q37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0" s="552" t="str" cm="1">
        <f t="array" aca="1" ref="R37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0" s="526" cm="1">
        <f t="array" aca="1" ref="S370" ca="1">COUNTIFS(unit_details[Leased Date], "&gt;=" &amp; ($U$2 - Q$5),
          unit_details[Leased Date], "&lt;" &amp; $U$2,
          unit_details[Floorplan Name], INDIRECT("C"&amp;ROW()),
          unit_details[Property Name], INDIRECT("B"&amp;ROW()))</f>
        <v>0</v>
      </c>
      <c r="T370" s="531" t="str" cm="1">
        <f t="array" aca="1" ref="T37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0" s="552" t="str" cm="1">
        <f t="array" aca="1" ref="U37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0" s="526" cm="1">
        <f t="array" aca="1" ref="V370" ca="1">COUNTIFS(unit_details[Leased Date], "&gt;=" &amp; ($U$2 - T$5),
          unit_details[Leased Date], "&lt;" &amp; $U$2,
          unit_details[Floorplan Name], INDIRECT("C"&amp;ROW()),
          unit_details[Property Name], INDIRECT("B"&amp;ROW()))</f>
        <v>0</v>
      </c>
      <c r="W370" s="531" t="str" cm="1">
        <f t="array" aca="1" ref="W37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0" s="552" t="str" cm="1">
        <f t="array" aca="1" ref="X37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0" s="27" t="str">
        <f t="shared" ca="1" si="15"/>
        <v/>
      </c>
      <c r="Z370" s="4" t="str">
        <f>IFERROR($U$2-AVERAGEIFS(unit_details[First Listed],
          unit_details[Active Listing?],TRUE,
          unit_details[Property Name], $B370,
          unit_details[Beds], $D370,
          unit_details[Baths], $E370,
          unit_details[Partial Baths], IF(ISNUMBER($F370),$F370,""),
          unit_details[Floorplan Name],$C370
),"")</f>
        <v/>
      </c>
      <c r="AA370" s="262" cm="1">
        <f t="array" aca="1" ref="AA370" ca="1">COUNTIFS(unit_details[Active Listing?],TRUE,
          unit_details[Floorplan Name], INDIRECT("C"&amp;ROW()),
          unit_details[Property Name], INDIRECT("B"&amp;ROW()))</f>
        <v>0</v>
      </c>
      <c r="AB370" s="553"/>
      <c r="AC370" s="528" cm="1">
        <f t="array" aca="1" ref="AC370" ca="1">IFERROR(AVERAGEIFS(
  unit_details[Sqft],
  unit_details[Property Name], INDIRECT("B"&amp;ROW()),
  unit_details[Floorplan Name], INDIRECT("C"&amp;ROW()),
  unit_details[Beds], INDIRECT("D"&amp;ROW()),
  unit_details[Detected Unit Amenities], "*"&amp;$AD$3&amp;"*",
  unit_details[Leased Date], "&gt;=" &amp; ($U$2 - $AF$3)
),0)</f>
        <v>0</v>
      </c>
      <c r="AD370" s="527" cm="1">
        <f t="array" aca="1" ref="AD3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0" s="526" cm="1">
        <f t="array" aca="1" ref="AE370" ca="1">IFERROR(COUNTIFS(
  unit_details[Property Name], INDIRECT("B"&amp;ROW()),
  unit_details[Floorplan Name], INDIRECT("C"&amp;ROW()),
  unit_details[Beds], INDIRECT("D"&amp;ROW()),
  unit_details[Detected Unit Amenities], "*"&amp;$AD$3&amp;"*",
  unit_details[Leased Date], "&gt;=" &amp; ($U$2 - $AF$3)
),0)</f>
        <v>0</v>
      </c>
      <c r="AF370" s="528" cm="1">
        <f t="array" aca="1" ref="AF370" ca="1">IFERROR(AVERAGEIFS(
  unit_details[Sqft],
  unit_details[Property Name], INDIRECT("B"&amp;ROW()),
  unit_details[Floorplan Name], INDIRECT("C"&amp;ROW()),
  unit_details[Beds], INDIRECT("D"&amp;ROW()),
  unit_details[Detected Unit Amenities], "&lt;&gt;*"&amp;$AD$3&amp;"*",
  unit_details[Leased Date], "&gt;=" &amp; ($U$2 - $AF$3)
),0)</f>
        <v>0</v>
      </c>
      <c r="AG370" s="527" cm="1">
        <f t="array" aca="1" ref="AG3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0" s="526" cm="1">
        <f t="array" aca="1" ref="AH370" ca="1">IFERROR(COUNTIFS(
  unit_details[Property Name], INDIRECT("B"&amp;ROW()),
  unit_details[Floorplan Name], INDIRECT("C"&amp;ROW()),
  unit_details[Beds], INDIRECT("D"&amp;ROW()),
  unit_details[Detected Unit Amenities], "&lt;&gt;*"&amp;$AD$3&amp;"*",
  unit_details[Leased Date], "&gt;=" &amp; ($U$2 - $AF$3)
),0)</f>
        <v>0</v>
      </c>
      <c r="AI370" s="528"/>
      <c r="AJ370" s="531">
        <f t="shared" ca="1" si="16"/>
        <v>0</v>
      </c>
      <c r="AK370" s="532">
        <f t="shared" ca="1" si="17"/>
        <v>0</v>
      </c>
    </row>
    <row r="371" spans="10:37" x14ac:dyDescent="0.2">
      <c r="J371" s="293"/>
      <c r="N371" s="531" t="str" cm="1">
        <f t="array" aca="1" ref="N37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1" s="552" t="str" cm="1">
        <f t="array" aca="1" ref="O37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1" s="526" cm="1">
        <f t="array" aca="1" ref="P371" ca="1">COUNTIFS(unit_details[Leased Date], "&gt;=" &amp; ($U$2 - N$5),
          unit_details[Leased Date], "&lt;" &amp; $U$2,
          unit_details[Floorplan Name], INDIRECT("C"&amp;ROW()),
          unit_details[Property Name], INDIRECT("B"&amp;ROW()))</f>
        <v>0</v>
      </c>
      <c r="Q371" s="531" t="str" cm="1">
        <f t="array" aca="1" ref="Q37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1" s="552" t="str" cm="1">
        <f t="array" aca="1" ref="R37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1" s="526" cm="1">
        <f t="array" aca="1" ref="S371" ca="1">COUNTIFS(unit_details[Leased Date], "&gt;=" &amp; ($U$2 - Q$5),
          unit_details[Leased Date], "&lt;" &amp; $U$2,
          unit_details[Floorplan Name], INDIRECT("C"&amp;ROW()),
          unit_details[Property Name], INDIRECT("B"&amp;ROW()))</f>
        <v>0</v>
      </c>
      <c r="T371" s="531" t="str" cm="1">
        <f t="array" aca="1" ref="T37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1" s="552" t="str" cm="1">
        <f t="array" aca="1" ref="U37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1" s="526" cm="1">
        <f t="array" aca="1" ref="V371" ca="1">COUNTIFS(unit_details[Leased Date], "&gt;=" &amp; ($U$2 - T$5),
          unit_details[Leased Date], "&lt;" &amp; $U$2,
          unit_details[Floorplan Name], INDIRECT("C"&amp;ROW()),
          unit_details[Property Name], INDIRECT("B"&amp;ROW()))</f>
        <v>0</v>
      </c>
      <c r="W371" s="531" t="str" cm="1">
        <f t="array" aca="1" ref="W37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1" s="552" t="str" cm="1">
        <f t="array" aca="1" ref="X37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1" s="27" t="str">
        <f t="shared" ca="1" si="15"/>
        <v/>
      </c>
      <c r="Z371" s="4" t="str">
        <f>IFERROR($U$2-AVERAGEIFS(unit_details[First Listed],
          unit_details[Active Listing?],TRUE,
          unit_details[Property Name], $B371,
          unit_details[Beds], $D371,
          unit_details[Baths], $E371,
          unit_details[Partial Baths], IF(ISNUMBER($F371),$F371,""),
          unit_details[Floorplan Name],$C371
),"")</f>
        <v/>
      </c>
      <c r="AA371" s="262" cm="1">
        <f t="array" aca="1" ref="AA371" ca="1">COUNTIFS(unit_details[Active Listing?],TRUE,
          unit_details[Floorplan Name], INDIRECT("C"&amp;ROW()),
          unit_details[Property Name], INDIRECT("B"&amp;ROW()))</f>
        <v>0</v>
      </c>
      <c r="AB371" s="553"/>
      <c r="AC371" s="528" cm="1">
        <f t="array" aca="1" ref="AC371" ca="1">IFERROR(AVERAGEIFS(
  unit_details[Sqft],
  unit_details[Property Name], INDIRECT("B"&amp;ROW()),
  unit_details[Floorplan Name], INDIRECT("C"&amp;ROW()),
  unit_details[Beds], INDIRECT("D"&amp;ROW()),
  unit_details[Detected Unit Amenities], "*"&amp;$AD$3&amp;"*",
  unit_details[Leased Date], "&gt;=" &amp; ($U$2 - $AF$3)
),0)</f>
        <v>0</v>
      </c>
      <c r="AD371" s="527" cm="1">
        <f t="array" aca="1" ref="AD3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1" s="526" cm="1">
        <f t="array" aca="1" ref="AE371" ca="1">IFERROR(COUNTIFS(
  unit_details[Property Name], INDIRECT("B"&amp;ROW()),
  unit_details[Floorplan Name], INDIRECT("C"&amp;ROW()),
  unit_details[Beds], INDIRECT("D"&amp;ROW()),
  unit_details[Detected Unit Amenities], "*"&amp;$AD$3&amp;"*",
  unit_details[Leased Date], "&gt;=" &amp; ($U$2 - $AF$3)
),0)</f>
        <v>0</v>
      </c>
      <c r="AF371" s="528" cm="1">
        <f t="array" aca="1" ref="AF371" ca="1">IFERROR(AVERAGEIFS(
  unit_details[Sqft],
  unit_details[Property Name], INDIRECT("B"&amp;ROW()),
  unit_details[Floorplan Name], INDIRECT("C"&amp;ROW()),
  unit_details[Beds], INDIRECT("D"&amp;ROW()),
  unit_details[Detected Unit Amenities], "&lt;&gt;*"&amp;$AD$3&amp;"*",
  unit_details[Leased Date], "&gt;=" &amp; ($U$2 - $AF$3)
),0)</f>
        <v>0</v>
      </c>
      <c r="AG371" s="527" cm="1">
        <f t="array" aca="1" ref="AG3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1" s="526" cm="1">
        <f t="array" aca="1" ref="AH371" ca="1">IFERROR(COUNTIFS(
  unit_details[Property Name], INDIRECT("B"&amp;ROW()),
  unit_details[Floorplan Name], INDIRECT("C"&amp;ROW()),
  unit_details[Beds], INDIRECT("D"&amp;ROW()),
  unit_details[Detected Unit Amenities], "&lt;&gt;*"&amp;$AD$3&amp;"*",
  unit_details[Leased Date], "&gt;=" &amp; ($U$2 - $AF$3)
),0)</f>
        <v>0</v>
      </c>
      <c r="AI371" s="528"/>
      <c r="AJ371" s="531">
        <f t="shared" ca="1" si="16"/>
        <v>0</v>
      </c>
      <c r="AK371" s="532">
        <f t="shared" ca="1" si="17"/>
        <v>0</v>
      </c>
    </row>
    <row r="372" spans="10:37" x14ac:dyDescent="0.2">
      <c r="J372" s="293"/>
      <c r="N372" s="531" t="str" cm="1">
        <f t="array" aca="1" ref="N37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2" s="552" t="str" cm="1">
        <f t="array" aca="1" ref="O37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2" s="526" cm="1">
        <f t="array" aca="1" ref="P372" ca="1">COUNTIFS(unit_details[Leased Date], "&gt;=" &amp; ($U$2 - N$5),
          unit_details[Leased Date], "&lt;" &amp; $U$2,
          unit_details[Floorplan Name], INDIRECT("C"&amp;ROW()),
          unit_details[Property Name], INDIRECT("B"&amp;ROW()))</f>
        <v>0</v>
      </c>
      <c r="Q372" s="531" t="str" cm="1">
        <f t="array" aca="1" ref="Q37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2" s="552" t="str" cm="1">
        <f t="array" aca="1" ref="R37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2" s="526" cm="1">
        <f t="array" aca="1" ref="S372" ca="1">COUNTIFS(unit_details[Leased Date], "&gt;=" &amp; ($U$2 - Q$5),
          unit_details[Leased Date], "&lt;" &amp; $U$2,
          unit_details[Floorplan Name], INDIRECT("C"&amp;ROW()),
          unit_details[Property Name], INDIRECT("B"&amp;ROW()))</f>
        <v>0</v>
      </c>
      <c r="T372" s="531" t="str" cm="1">
        <f t="array" aca="1" ref="T37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2" s="552" t="str" cm="1">
        <f t="array" aca="1" ref="U37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2" s="526" cm="1">
        <f t="array" aca="1" ref="V372" ca="1">COUNTIFS(unit_details[Leased Date], "&gt;=" &amp; ($U$2 - T$5),
          unit_details[Leased Date], "&lt;" &amp; $U$2,
          unit_details[Floorplan Name], INDIRECT("C"&amp;ROW()),
          unit_details[Property Name], INDIRECT("B"&amp;ROW()))</f>
        <v>0</v>
      </c>
      <c r="W372" s="531" t="str" cm="1">
        <f t="array" aca="1" ref="W37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2" s="552" t="str" cm="1">
        <f t="array" aca="1" ref="X37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2" s="27" t="str">
        <f t="shared" ca="1" si="15"/>
        <v/>
      </c>
      <c r="Z372" s="4" t="str">
        <f>IFERROR($U$2-AVERAGEIFS(unit_details[First Listed],
          unit_details[Active Listing?],TRUE,
          unit_details[Property Name], $B372,
          unit_details[Beds], $D372,
          unit_details[Baths], $E372,
          unit_details[Partial Baths], IF(ISNUMBER($F372),$F372,""),
          unit_details[Floorplan Name],$C372
),"")</f>
        <v/>
      </c>
      <c r="AA372" s="262" cm="1">
        <f t="array" aca="1" ref="AA372" ca="1">COUNTIFS(unit_details[Active Listing?],TRUE,
          unit_details[Floorplan Name], INDIRECT("C"&amp;ROW()),
          unit_details[Property Name], INDIRECT("B"&amp;ROW()))</f>
        <v>0</v>
      </c>
      <c r="AB372" s="553"/>
      <c r="AC372" s="528" cm="1">
        <f t="array" aca="1" ref="AC372" ca="1">IFERROR(AVERAGEIFS(
  unit_details[Sqft],
  unit_details[Property Name], INDIRECT("B"&amp;ROW()),
  unit_details[Floorplan Name], INDIRECT("C"&amp;ROW()),
  unit_details[Beds], INDIRECT("D"&amp;ROW()),
  unit_details[Detected Unit Amenities], "*"&amp;$AD$3&amp;"*",
  unit_details[Leased Date], "&gt;=" &amp; ($U$2 - $AF$3)
),0)</f>
        <v>0</v>
      </c>
      <c r="AD372" s="527" cm="1">
        <f t="array" aca="1" ref="AD3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2" s="526" cm="1">
        <f t="array" aca="1" ref="AE372" ca="1">IFERROR(COUNTIFS(
  unit_details[Property Name], INDIRECT("B"&amp;ROW()),
  unit_details[Floorplan Name], INDIRECT("C"&amp;ROW()),
  unit_details[Beds], INDIRECT("D"&amp;ROW()),
  unit_details[Detected Unit Amenities], "*"&amp;$AD$3&amp;"*",
  unit_details[Leased Date], "&gt;=" &amp; ($U$2 - $AF$3)
),0)</f>
        <v>0</v>
      </c>
      <c r="AF372" s="528" cm="1">
        <f t="array" aca="1" ref="AF372" ca="1">IFERROR(AVERAGEIFS(
  unit_details[Sqft],
  unit_details[Property Name], INDIRECT("B"&amp;ROW()),
  unit_details[Floorplan Name], INDIRECT("C"&amp;ROW()),
  unit_details[Beds], INDIRECT("D"&amp;ROW()),
  unit_details[Detected Unit Amenities], "&lt;&gt;*"&amp;$AD$3&amp;"*",
  unit_details[Leased Date], "&gt;=" &amp; ($U$2 - $AF$3)
),0)</f>
        <v>0</v>
      </c>
      <c r="AG372" s="527" cm="1">
        <f t="array" aca="1" ref="AG3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2" s="526" cm="1">
        <f t="array" aca="1" ref="AH372" ca="1">IFERROR(COUNTIFS(
  unit_details[Property Name], INDIRECT("B"&amp;ROW()),
  unit_details[Floorplan Name], INDIRECT("C"&amp;ROW()),
  unit_details[Beds], INDIRECT("D"&amp;ROW()),
  unit_details[Detected Unit Amenities], "&lt;&gt;*"&amp;$AD$3&amp;"*",
  unit_details[Leased Date], "&gt;=" &amp; ($U$2 - $AF$3)
),0)</f>
        <v>0</v>
      </c>
      <c r="AI372" s="528"/>
      <c r="AJ372" s="531">
        <f t="shared" ca="1" si="16"/>
        <v>0</v>
      </c>
      <c r="AK372" s="532">
        <f t="shared" ca="1" si="17"/>
        <v>0</v>
      </c>
    </row>
    <row r="373" spans="10:37" x14ac:dyDescent="0.2">
      <c r="J373" s="293"/>
      <c r="N373" s="531" t="str" cm="1">
        <f t="array" aca="1" ref="N37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3" s="552" t="str" cm="1">
        <f t="array" aca="1" ref="O37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3" s="526" cm="1">
        <f t="array" aca="1" ref="P373" ca="1">COUNTIFS(unit_details[Leased Date], "&gt;=" &amp; ($U$2 - N$5),
          unit_details[Leased Date], "&lt;" &amp; $U$2,
          unit_details[Floorplan Name], INDIRECT("C"&amp;ROW()),
          unit_details[Property Name], INDIRECT("B"&amp;ROW()))</f>
        <v>0</v>
      </c>
      <c r="Q373" s="531" t="str" cm="1">
        <f t="array" aca="1" ref="Q37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3" s="552" t="str" cm="1">
        <f t="array" aca="1" ref="R37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3" s="526" cm="1">
        <f t="array" aca="1" ref="S373" ca="1">COUNTIFS(unit_details[Leased Date], "&gt;=" &amp; ($U$2 - Q$5),
          unit_details[Leased Date], "&lt;" &amp; $U$2,
          unit_details[Floorplan Name], INDIRECT("C"&amp;ROW()),
          unit_details[Property Name], INDIRECT("B"&amp;ROW()))</f>
        <v>0</v>
      </c>
      <c r="T373" s="531" t="str" cm="1">
        <f t="array" aca="1" ref="T37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3" s="552" t="str" cm="1">
        <f t="array" aca="1" ref="U37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3" s="526" cm="1">
        <f t="array" aca="1" ref="V373" ca="1">COUNTIFS(unit_details[Leased Date], "&gt;=" &amp; ($U$2 - T$5),
          unit_details[Leased Date], "&lt;" &amp; $U$2,
          unit_details[Floorplan Name], INDIRECT("C"&amp;ROW()),
          unit_details[Property Name], INDIRECT("B"&amp;ROW()))</f>
        <v>0</v>
      </c>
      <c r="W373" s="531" t="str" cm="1">
        <f t="array" aca="1" ref="W37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3" s="552" t="str" cm="1">
        <f t="array" aca="1" ref="X37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3" s="27" t="str">
        <f t="shared" ca="1" si="15"/>
        <v/>
      </c>
      <c r="Z373" s="4" t="str">
        <f>IFERROR($U$2-AVERAGEIFS(unit_details[First Listed],
          unit_details[Active Listing?],TRUE,
          unit_details[Property Name], $B373,
          unit_details[Beds], $D373,
          unit_details[Baths], $E373,
          unit_details[Partial Baths], IF(ISNUMBER($F373),$F373,""),
          unit_details[Floorplan Name],$C373
),"")</f>
        <v/>
      </c>
      <c r="AA373" s="262" cm="1">
        <f t="array" aca="1" ref="AA373" ca="1">COUNTIFS(unit_details[Active Listing?],TRUE,
          unit_details[Floorplan Name], INDIRECT("C"&amp;ROW()),
          unit_details[Property Name], INDIRECT("B"&amp;ROW()))</f>
        <v>0</v>
      </c>
      <c r="AB373" s="553"/>
      <c r="AC373" s="528" cm="1">
        <f t="array" aca="1" ref="AC373" ca="1">IFERROR(AVERAGEIFS(
  unit_details[Sqft],
  unit_details[Property Name], INDIRECT("B"&amp;ROW()),
  unit_details[Floorplan Name], INDIRECT("C"&amp;ROW()),
  unit_details[Beds], INDIRECT("D"&amp;ROW()),
  unit_details[Detected Unit Amenities], "*"&amp;$AD$3&amp;"*",
  unit_details[Leased Date], "&gt;=" &amp; ($U$2 - $AF$3)
),0)</f>
        <v>0</v>
      </c>
      <c r="AD373" s="527" cm="1">
        <f t="array" aca="1" ref="AD3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3" s="526" cm="1">
        <f t="array" aca="1" ref="AE373" ca="1">IFERROR(COUNTIFS(
  unit_details[Property Name], INDIRECT("B"&amp;ROW()),
  unit_details[Floorplan Name], INDIRECT("C"&amp;ROW()),
  unit_details[Beds], INDIRECT("D"&amp;ROW()),
  unit_details[Detected Unit Amenities], "*"&amp;$AD$3&amp;"*",
  unit_details[Leased Date], "&gt;=" &amp; ($U$2 - $AF$3)
),0)</f>
        <v>0</v>
      </c>
      <c r="AF373" s="528" cm="1">
        <f t="array" aca="1" ref="AF373" ca="1">IFERROR(AVERAGEIFS(
  unit_details[Sqft],
  unit_details[Property Name], INDIRECT("B"&amp;ROW()),
  unit_details[Floorplan Name], INDIRECT("C"&amp;ROW()),
  unit_details[Beds], INDIRECT("D"&amp;ROW()),
  unit_details[Detected Unit Amenities], "&lt;&gt;*"&amp;$AD$3&amp;"*",
  unit_details[Leased Date], "&gt;=" &amp; ($U$2 - $AF$3)
),0)</f>
        <v>0</v>
      </c>
      <c r="AG373" s="527" cm="1">
        <f t="array" aca="1" ref="AG3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3" s="526" cm="1">
        <f t="array" aca="1" ref="AH373" ca="1">IFERROR(COUNTIFS(
  unit_details[Property Name], INDIRECT("B"&amp;ROW()),
  unit_details[Floorplan Name], INDIRECT("C"&amp;ROW()),
  unit_details[Beds], INDIRECT("D"&amp;ROW()),
  unit_details[Detected Unit Amenities], "&lt;&gt;*"&amp;$AD$3&amp;"*",
  unit_details[Leased Date], "&gt;=" &amp; ($U$2 - $AF$3)
),0)</f>
        <v>0</v>
      </c>
      <c r="AI373" s="528"/>
      <c r="AJ373" s="531">
        <f t="shared" ca="1" si="16"/>
        <v>0</v>
      </c>
      <c r="AK373" s="532">
        <f t="shared" ca="1" si="17"/>
        <v>0</v>
      </c>
    </row>
    <row r="374" spans="10:37" x14ac:dyDescent="0.2">
      <c r="J374" s="293"/>
      <c r="N374" s="531" t="str" cm="1">
        <f t="array" aca="1" ref="N37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4" s="552" t="str" cm="1">
        <f t="array" aca="1" ref="O37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4" s="526" cm="1">
        <f t="array" aca="1" ref="P374" ca="1">COUNTIFS(unit_details[Leased Date], "&gt;=" &amp; ($U$2 - N$5),
          unit_details[Leased Date], "&lt;" &amp; $U$2,
          unit_details[Floorplan Name], INDIRECT("C"&amp;ROW()),
          unit_details[Property Name], INDIRECT("B"&amp;ROW()))</f>
        <v>0</v>
      </c>
      <c r="Q374" s="531" t="str" cm="1">
        <f t="array" aca="1" ref="Q37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4" s="552" t="str" cm="1">
        <f t="array" aca="1" ref="R37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4" s="526" cm="1">
        <f t="array" aca="1" ref="S374" ca="1">COUNTIFS(unit_details[Leased Date], "&gt;=" &amp; ($U$2 - Q$5),
          unit_details[Leased Date], "&lt;" &amp; $U$2,
          unit_details[Floorplan Name], INDIRECT("C"&amp;ROW()),
          unit_details[Property Name], INDIRECT("B"&amp;ROW()))</f>
        <v>0</v>
      </c>
      <c r="T374" s="531" t="str" cm="1">
        <f t="array" aca="1" ref="T37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4" s="552" t="str" cm="1">
        <f t="array" aca="1" ref="U37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4" s="526" cm="1">
        <f t="array" aca="1" ref="V374" ca="1">COUNTIFS(unit_details[Leased Date], "&gt;=" &amp; ($U$2 - T$5),
          unit_details[Leased Date], "&lt;" &amp; $U$2,
          unit_details[Floorplan Name], INDIRECT("C"&amp;ROW()),
          unit_details[Property Name], INDIRECT("B"&amp;ROW()))</f>
        <v>0</v>
      </c>
      <c r="W374" s="531" t="str" cm="1">
        <f t="array" aca="1" ref="W37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4" s="552" t="str" cm="1">
        <f t="array" aca="1" ref="X37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4" s="27" t="str">
        <f t="shared" ca="1" si="15"/>
        <v/>
      </c>
      <c r="Z374" s="4" t="str">
        <f>IFERROR($U$2-AVERAGEIFS(unit_details[First Listed],
          unit_details[Active Listing?],TRUE,
          unit_details[Property Name], $B374,
          unit_details[Beds], $D374,
          unit_details[Baths], $E374,
          unit_details[Partial Baths], IF(ISNUMBER($F374),$F374,""),
          unit_details[Floorplan Name],$C374
),"")</f>
        <v/>
      </c>
      <c r="AA374" s="262" cm="1">
        <f t="array" aca="1" ref="AA374" ca="1">COUNTIFS(unit_details[Active Listing?],TRUE,
          unit_details[Floorplan Name], INDIRECT("C"&amp;ROW()),
          unit_details[Property Name], INDIRECT("B"&amp;ROW()))</f>
        <v>0</v>
      </c>
      <c r="AB374" s="553"/>
      <c r="AC374" s="528" cm="1">
        <f t="array" aca="1" ref="AC374" ca="1">IFERROR(AVERAGEIFS(
  unit_details[Sqft],
  unit_details[Property Name], INDIRECT("B"&amp;ROW()),
  unit_details[Floorplan Name], INDIRECT("C"&amp;ROW()),
  unit_details[Beds], INDIRECT("D"&amp;ROW()),
  unit_details[Detected Unit Amenities], "*"&amp;$AD$3&amp;"*",
  unit_details[Leased Date], "&gt;=" &amp; ($U$2 - $AF$3)
),0)</f>
        <v>0</v>
      </c>
      <c r="AD374" s="527" cm="1">
        <f t="array" aca="1" ref="AD3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4" s="526" cm="1">
        <f t="array" aca="1" ref="AE374" ca="1">IFERROR(COUNTIFS(
  unit_details[Property Name], INDIRECT("B"&amp;ROW()),
  unit_details[Floorplan Name], INDIRECT("C"&amp;ROW()),
  unit_details[Beds], INDIRECT("D"&amp;ROW()),
  unit_details[Detected Unit Amenities], "*"&amp;$AD$3&amp;"*",
  unit_details[Leased Date], "&gt;=" &amp; ($U$2 - $AF$3)
),0)</f>
        <v>0</v>
      </c>
      <c r="AF374" s="528" cm="1">
        <f t="array" aca="1" ref="AF374" ca="1">IFERROR(AVERAGEIFS(
  unit_details[Sqft],
  unit_details[Property Name], INDIRECT("B"&amp;ROW()),
  unit_details[Floorplan Name], INDIRECT("C"&amp;ROW()),
  unit_details[Beds], INDIRECT("D"&amp;ROW()),
  unit_details[Detected Unit Amenities], "&lt;&gt;*"&amp;$AD$3&amp;"*",
  unit_details[Leased Date], "&gt;=" &amp; ($U$2 - $AF$3)
),0)</f>
        <v>0</v>
      </c>
      <c r="AG374" s="527" cm="1">
        <f t="array" aca="1" ref="AG3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4" s="526" cm="1">
        <f t="array" aca="1" ref="AH374" ca="1">IFERROR(COUNTIFS(
  unit_details[Property Name], INDIRECT("B"&amp;ROW()),
  unit_details[Floorplan Name], INDIRECT("C"&amp;ROW()),
  unit_details[Beds], INDIRECT("D"&amp;ROW()),
  unit_details[Detected Unit Amenities], "&lt;&gt;*"&amp;$AD$3&amp;"*",
  unit_details[Leased Date], "&gt;=" &amp; ($U$2 - $AF$3)
),0)</f>
        <v>0</v>
      </c>
      <c r="AI374" s="528"/>
      <c r="AJ374" s="531">
        <f t="shared" ca="1" si="16"/>
        <v>0</v>
      </c>
      <c r="AK374" s="532">
        <f t="shared" ca="1" si="17"/>
        <v>0</v>
      </c>
    </row>
    <row r="375" spans="10:37" x14ac:dyDescent="0.2">
      <c r="J375" s="293"/>
      <c r="N375" s="531" t="str" cm="1">
        <f t="array" aca="1" ref="N37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5" s="552" t="str" cm="1">
        <f t="array" aca="1" ref="O37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5" s="526" cm="1">
        <f t="array" aca="1" ref="P375" ca="1">COUNTIFS(unit_details[Leased Date], "&gt;=" &amp; ($U$2 - N$5),
          unit_details[Leased Date], "&lt;" &amp; $U$2,
          unit_details[Floorplan Name], INDIRECT("C"&amp;ROW()),
          unit_details[Property Name], INDIRECT("B"&amp;ROW()))</f>
        <v>0</v>
      </c>
      <c r="Q375" s="531" t="str" cm="1">
        <f t="array" aca="1" ref="Q37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5" s="552" t="str" cm="1">
        <f t="array" aca="1" ref="R37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5" s="526" cm="1">
        <f t="array" aca="1" ref="S375" ca="1">COUNTIFS(unit_details[Leased Date], "&gt;=" &amp; ($U$2 - Q$5),
          unit_details[Leased Date], "&lt;" &amp; $U$2,
          unit_details[Floorplan Name], INDIRECT("C"&amp;ROW()),
          unit_details[Property Name], INDIRECT("B"&amp;ROW()))</f>
        <v>0</v>
      </c>
      <c r="T375" s="531" t="str" cm="1">
        <f t="array" aca="1" ref="T37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5" s="552" t="str" cm="1">
        <f t="array" aca="1" ref="U37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5" s="526" cm="1">
        <f t="array" aca="1" ref="V375" ca="1">COUNTIFS(unit_details[Leased Date], "&gt;=" &amp; ($U$2 - T$5),
          unit_details[Leased Date], "&lt;" &amp; $U$2,
          unit_details[Floorplan Name], INDIRECT("C"&amp;ROW()),
          unit_details[Property Name], INDIRECT("B"&amp;ROW()))</f>
        <v>0</v>
      </c>
      <c r="W375" s="531" t="str" cm="1">
        <f t="array" aca="1" ref="W37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5" s="552" t="str" cm="1">
        <f t="array" aca="1" ref="X37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5" s="27" t="str">
        <f t="shared" ca="1" si="15"/>
        <v/>
      </c>
      <c r="Z375" s="4" t="str">
        <f>IFERROR($U$2-AVERAGEIFS(unit_details[First Listed],
          unit_details[Active Listing?],TRUE,
          unit_details[Property Name], $B375,
          unit_details[Beds], $D375,
          unit_details[Baths], $E375,
          unit_details[Partial Baths], IF(ISNUMBER($F375),$F375,""),
          unit_details[Floorplan Name],$C375
),"")</f>
        <v/>
      </c>
      <c r="AA375" s="262" cm="1">
        <f t="array" aca="1" ref="AA375" ca="1">COUNTIFS(unit_details[Active Listing?],TRUE,
          unit_details[Floorplan Name], INDIRECT("C"&amp;ROW()),
          unit_details[Property Name], INDIRECT("B"&amp;ROW()))</f>
        <v>0</v>
      </c>
      <c r="AB375" s="553"/>
      <c r="AC375" s="528" cm="1">
        <f t="array" aca="1" ref="AC375" ca="1">IFERROR(AVERAGEIFS(
  unit_details[Sqft],
  unit_details[Property Name], INDIRECT("B"&amp;ROW()),
  unit_details[Floorplan Name], INDIRECT("C"&amp;ROW()),
  unit_details[Beds], INDIRECT("D"&amp;ROW()),
  unit_details[Detected Unit Amenities], "*"&amp;$AD$3&amp;"*",
  unit_details[Leased Date], "&gt;=" &amp; ($U$2 - $AF$3)
),0)</f>
        <v>0</v>
      </c>
      <c r="AD375" s="527" cm="1">
        <f t="array" aca="1" ref="AD3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5" s="526" cm="1">
        <f t="array" aca="1" ref="AE375" ca="1">IFERROR(COUNTIFS(
  unit_details[Property Name], INDIRECT("B"&amp;ROW()),
  unit_details[Floorplan Name], INDIRECT("C"&amp;ROW()),
  unit_details[Beds], INDIRECT("D"&amp;ROW()),
  unit_details[Detected Unit Amenities], "*"&amp;$AD$3&amp;"*",
  unit_details[Leased Date], "&gt;=" &amp; ($U$2 - $AF$3)
),0)</f>
        <v>0</v>
      </c>
      <c r="AF375" s="528" cm="1">
        <f t="array" aca="1" ref="AF375" ca="1">IFERROR(AVERAGEIFS(
  unit_details[Sqft],
  unit_details[Property Name], INDIRECT("B"&amp;ROW()),
  unit_details[Floorplan Name], INDIRECT("C"&amp;ROW()),
  unit_details[Beds], INDIRECT("D"&amp;ROW()),
  unit_details[Detected Unit Amenities], "&lt;&gt;*"&amp;$AD$3&amp;"*",
  unit_details[Leased Date], "&gt;=" &amp; ($U$2 - $AF$3)
),0)</f>
        <v>0</v>
      </c>
      <c r="AG375" s="527" cm="1">
        <f t="array" aca="1" ref="AG3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5" s="526" cm="1">
        <f t="array" aca="1" ref="AH375" ca="1">IFERROR(COUNTIFS(
  unit_details[Property Name], INDIRECT("B"&amp;ROW()),
  unit_details[Floorplan Name], INDIRECT("C"&amp;ROW()),
  unit_details[Beds], INDIRECT("D"&amp;ROW()),
  unit_details[Detected Unit Amenities], "&lt;&gt;*"&amp;$AD$3&amp;"*",
  unit_details[Leased Date], "&gt;=" &amp; ($U$2 - $AF$3)
),0)</f>
        <v>0</v>
      </c>
      <c r="AI375" s="528"/>
      <c r="AJ375" s="531">
        <f t="shared" ca="1" si="16"/>
        <v>0</v>
      </c>
      <c r="AK375" s="532">
        <f t="shared" ca="1" si="17"/>
        <v>0</v>
      </c>
    </row>
    <row r="376" spans="10:37" x14ac:dyDescent="0.2">
      <c r="J376" s="293"/>
      <c r="N376" s="531" t="str" cm="1">
        <f t="array" aca="1" ref="N37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6" s="552" t="str" cm="1">
        <f t="array" aca="1" ref="O37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6" s="526" cm="1">
        <f t="array" aca="1" ref="P376" ca="1">COUNTIFS(unit_details[Leased Date], "&gt;=" &amp; ($U$2 - N$5),
          unit_details[Leased Date], "&lt;" &amp; $U$2,
          unit_details[Floorplan Name], INDIRECT("C"&amp;ROW()),
          unit_details[Property Name], INDIRECT("B"&amp;ROW()))</f>
        <v>0</v>
      </c>
      <c r="Q376" s="531" t="str" cm="1">
        <f t="array" aca="1" ref="Q37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6" s="552" t="str" cm="1">
        <f t="array" aca="1" ref="R37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6" s="526" cm="1">
        <f t="array" aca="1" ref="S376" ca="1">COUNTIFS(unit_details[Leased Date], "&gt;=" &amp; ($U$2 - Q$5),
          unit_details[Leased Date], "&lt;" &amp; $U$2,
          unit_details[Floorplan Name], INDIRECT("C"&amp;ROW()),
          unit_details[Property Name], INDIRECT("B"&amp;ROW()))</f>
        <v>0</v>
      </c>
      <c r="T376" s="531" t="str" cm="1">
        <f t="array" aca="1" ref="T37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6" s="552" t="str" cm="1">
        <f t="array" aca="1" ref="U37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6" s="526" cm="1">
        <f t="array" aca="1" ref="V376" ca="1">COUNTIFS(unit_details[Leased Date], "&gt;=" &amp; ($U$2 - T$5),
          unit_details[Leased Date], "&lt;" &amp; $U$2,
          unit_details[Floorplan Name], INDIRECT("C"&amp;ROW()),
          unit_details[Property Name], INDIRECT("B"&amp;ROW()))</f>
        <v>0</v>
      </c>
      <c r="W376" s="531" t="str" cm="1">
        <f t="array" aca="1" ref="W37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6" s="552" t="str" cm="1">
        <f t="array" aca="1" ref="X37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6" s="27" t="str">
        <f t="shared" ca="1" si="15"/>
        <v/>
      </c>
      <c r="Z376" s="4" t="str">
        <f>IFERROR($U$2-AVERAGEIFS(unit_details[First Listed],
          unit_details[Active Listing?],TRUE,
          unit_details[Property Name], $B376,
          unit_details[Beds], $D376,
          unit_details[Baths], $E376,
          unit_details[Partial Baths], IF(ISNUMBER($F376),$F376,""),
          unit_details[Floorplan Name],$C376
),"")</f>
        <v/>
      </c>
      <c r="AA376" s="262" cm="1">
        <f t="array" aca="1" ref="AA376" ca="1">COUNTIFS(unit_details[Active Listing?],TRUE,
          unit_details[Floorplan Name], INDIRECT("C"&amp;ROW()),
          unit_details[Property Name], INDIRECT("B"&amp;ROW()))</f>
        <v>0</v>
      </c>
      <c r="AB376" s="553"/>
      <c r="AC376" s="528" cm="1">
        <f t="array" aca="1" ref="AC376" ca="1">IFERROR(AVERAGEIFS(
  unit_details[Sqft],
  unit_details[Property Name], INDIRECT("B"&amp;ROW()),
  unit_details[Floorplan Name], INDIRECT("C"&amp;ROW()),
  unit_details[Beds], INDIRECT("D"&amp;ROW()),
  unit_details[Detected Unit Amenities], "*"&amp;$AD$3&amp;"*",
  unit_details[Leased Date], "&gt;=" &amp; ($U$2 - $AF$3)
),0)</f>
        <v>0</v>
      </c>
      <c r="AD376" s="527" cm="1">
        <f t="array" aca="1" ref="AD3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6" s="526" cm="1">
        <f t="array" aca="1" ref="AE376" ca="1">IFERROR(COUNTIFS(
  unit_details[Property Name], INDIRECT("B"&amp;ROW()),
  unit_details[Floorplan Name], INDIRECT("C"&amp;ROW()),
  unit_details[Beds], INDIRECT("D"&amp;ROW()),
  unit_details[Detected Unit Amenities], "*"&amp;$AD$3&amp;"*",
  unit_details[Leased Date], "&gt;=" &amp; ($U$2 - $AF$3)
),0)</f>
        <v>0</v>
      </c>
      <c r="AF376" s="528" cm="1">
        <f t="array" aca="1" ref="AF376" ca="1">IFERROR(AVERAGEIFS(
  unit_details[Sqft],
  unit_details[Property Name], INDIRECT("B"&amp;ROW()),
  unit_details[Floorplan Name], INDIRECT("C"&amp;ROW()),
  unit_details[Beds], INDIRECT("D"&amp;ROW()),
  unit_details[Detected Unit Amenities], "&lt;&gt;*"&amp;$AD$3&amp;"*",
  unit_details[Leased Date], "&gt;=" &amp; ($U$2 - $AF$3)
),0)</f>
        <v>0</v>
      </c>
      <c r="AG376" s="527" cm="1">
        <f t="array" aca="1" ref="AG3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6" s="526" cm="1">
        <f t="array" aca="1" ref="AH376" ca="1">IFERROR(COUNTIFS(
  unit_details[Property Name], INDIRECT("B"&amp;ROW()),
  unit_details[Floorplan Name], INDIRECT("C"&amp;ROW()),
  unit_details[Beds], INDIRECT("D"&amp;ROW()),
  unit_details[Detected Unit Amenities], "&lt;&gt;*"&amp;$AD$3&amp;"*",
  unit_details[Leased Date], "&gt;=" &amp; ($U$2 - $AF$3)
),0)</f>
        <v>0</v>
      </c>
      <c r="AI376" s="528"/>
      <c r="AJ376" s="531">
        <f t="shared" ca="1" si="16"/>
        <v>0</v>
      </c>
      <c r="AK376" s="532">
        <f t="shared" ca="1" si="17"/>
        <v>0</v>
      </c>
    </row>
    <row r="377" spans="10:37" x14ac:dyDescent="0.2">
      <c r="J377" s="293"/>
      <c r="N377" s="531" t="str" cm="1">
        <f t="array" aca="1" ref="N37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7" s="552" t="str" cm="1">
        <f t="array" aca="1" ref="O37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7" s="526" cm="1">
        <f t="array" aca="1" ref="P377" ca="1">COUNTIFS(unit_details[Leased Date], "&gt;=" &amp; ($U$2 - N$5),
          unit_details[Leased Date], "&lt;" &amp; $U$2,
          unit_details[Floorplan Name], INDIRECT("C"&amp;ROW()),
          unit_details[Property Name], INDIRECT("B"&amp;ROW()))</f>
        <v>0</v>
      </c>
      <c r="Q377" s="531" t="str" cm="1">
        <f t="array" aca="1" ref="Q37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7" s="552" t="str" cm="1">
        <f t="array" aca="1" ref="R37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7" s="526" cm="1">
        <f t="array" aca="1" ref="S377" ca="1">COUNTIFS(unit_details[Leased Date], "&gt;=" &amp; ($U$2 - Q$5),
          unit_details[Leased Date], "&lt;" &amp; $U$2,
          unit_details[Floorplan Name], INDIRECT("C"&amp;ROW()),
          unit_details[Property Name], INDIRECT("B"&amp;ROW()))</f>
        <v>0</v>
      </c>
      <c r="T377" s="531" t="str" cm="1">
        <f t="array" aca="1" ref="T37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7" s="552" t="str" cm="1">
        <f t="array" aca="1" ref="U37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7" s="526" cm="1">
        <f t="array" aca="1" ref="V377" ca="1">COUNTIFS(unit_details[Leased Date], "&gt;=" &amp; ($U$2 - T$5),
          unit_details[Leased Date], "&lt;" &amp; $U$2,
          unit_details[Floorplan Name], INDIRECT("C"&amp;ROW()),
          unit_details[Property Name], INDIRECT("B"&amp;ROW()))</f>
        <v>0</v>
      </c>
      <c r="W377" s="531" t="str" cm="1">
        <f t="array" aca="1" ref="W37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7" s="552" t="str" cm="1">
        <f t="array" aca="1" ref="X37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7" s="27" t="str">
        <f t="shared" ca="1" si="15"/>
        <v/>
      </c>
      <c r="Z377" s="4" t="str">
        <f>IFERROR($U$2-AVERAGEIFS(unit_details[First Listed],
          unit_details[Active Listing?],TRUE,
          unit_details[Property Name], $B377,
          unit_details[Beds], $D377,
          unit_details[Baths], $E377,
          unit_details[Partial Baths], IF(ISNUMBER($F377),$F377,""),
          unit_details[Floorplan Name],$C377
),"")</f>
        <v/>
      </c>
      <c r="AA377" s="262" cm="1">
        <f t="array" aca="1" ref="AA377" ca="1">COUNTIFS(unit_details[Active Listing?],TRUE,
          unit_details[Floorplan Name], INDIRECT("C"&amp;ROW()),
          unit_details[Property Name], INDIRECT("B"&amp;ROW()))</f>
        <v>0</v>
      </c>
      <c r="AB377" s="553"/>
      <c r="AC377" s="528" cm="1">
        <f t="array" aca="1" ref="AC377" ca="1">IFERROR(AVERAGEIFS(
  unit_details[Sqft],
  unit_details[Property Name], INDIRECT("B"&amp;ROW()),
  unit_details[Floorplan Name], INDIRECT("C"&amp;ROW()),
  unit_details[Beds], INDIRECT("D"&amp;ROW()),
  unit_details[Detected Unit Amenities], "*"&amp;$AD$3&amp;"*",
  unit_details[Leased Date], "&gt;=" &amp; ($U$2 - $AF$3)
),0)</f>
        <v>0</v>
      </c>
      <c r="AD377" s="527" cm="1">
        <f t="array" aca="1" ref="AD3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7" s="526" cm="1">
        <f t="array" aca="1" ref="AE377" ca="1">IFERROR(COUNTIFS(
  unit_details[Property Name], INDIRECT("B"&amp;ROW()),
  unit_details[Floorplan Name], INDIRECT("C"&amp;ROW()),
  unit_details[Beds], INDIRECT("D"&amp;ROW()),
  unit_details[Detected Unit Amenities], "*"&amp;$AD$3&amp;"*",
  unit_details[Leased Date], "&gt;=" &amp; ($U$2 - $AF$3)
),0)</f>
        <v>0</v>
      </c>
      <c r="AF377" s="528" cm="1">
        <f t="array" aca="1" ref="AF377" ca="1">IFERROR(AVERAGEIFS(
  unit_details[Sqft],
  unit_details[Property Name], INDIRECT("B"&amp;ROW()),
  unit_details[Floorplan Name], INDIRECT("C"&amp;ROW()),
  unit_details[Beds], INDIRECT("D"&amp;ROW()),
  unit_details[Detected Unit Amenities], "&lt;&gt;*"&amp;$AD$3&amp;"*",
  unit_details[Leased Date], "&gt;=" &amp; ($U$2 - $AF$3)
),0)</f>
        <v>0</v>
      </c>
      <c r="AG377" s="527" cm="1">
        <f t="array" aca="1" ref="AG3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7" s="526" cm="1">
        <f t="array" aca="1" ref="AH377" ca="1">IFERROR(COUNTIFS(
  unit_details[Property Name], INDIRECT("B"&amp;ROW()),
  unit_details[Floorplan Name], INDIRECT("C"&amp;ROW()),
  unit_details[Beds], INDIRECT("D"&amp;ROW()),
  unit_details[Detected Unit Amenities], "&lt;&gt;*"&amp;$AD$3&amp;"*",
  unit_details[Leased Date], "&gt;=" &amp; ($U$2 - $AF$3)
),0)</f>
        <v>0</v>
      </c>
      <c r="AI377" s="528"/>
      <c r="AJ377" s="531">
        <f t="shared" ca="1" si="16"/>
        <v>0</v>
      </c>
      <c r="AK377" s="532">
        <f t="shared" ca="1" si="17"/>
        <v>0</v>
      </c>
    </row>
    <row r="378" spans="10:37" x14ac:dyDescent="0.2">
      <c r="J378" s="293"/>
      <c r="N378" s="531" t="str" cm="1">
        <f t="array" aca="1" ref="N37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8" s="552" t="str" cm="1">
        <f t="array" aca="1" ref="O37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8" s="526" cm="1">
        <f t="array" aca="1" ref="P378" ca="1">COUNTIFS(unit_details[Leased Date], "&gt;=" &amp; ($U$2 - N$5),
          unit_details[Leased Date], "&lt;" &amp; $U$2,
          unit_details[Floorplan Name], INDIRECT("C"&amp;ROW()),
          unit_details[Property Name], INDIRECT("B"&amp;ROW()))</f>
        <v>0</v>
      </c>
      <c r="Q378" s="531" t="str" cm="1">
        <f t="array" aca="1" ref="Q37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8" s="552" t="str" cm="1">
        <f t="array" aca="1" ref="R37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8" s="526" cm="1">
        <f t="array" aca="1" ref="S378" ca="1">COUNTIFS(unit_details[Leased Date], "&gt;=" &amp; ($U$2 - Q$5),
          unit_details[Leased Date], "&lt;" &amp; $U$2,
          unit_details[Floorplan Name], INDIRECT("C"&amp;ROW()),
          unit_details[Property Name], INDIRECT("B"&amp;ROW()))</f>
        <v>0</v>
      </c>
      <c r="T378" s="531" t="str" cm="1">
        <f t="array" aca="1" ref="T37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8" s="552" t="str" cm="1">
        <f t="array" aca="1" ref="U37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8" s="526" cm="1">
        <f t="array" aca="1" ref="V378" ca="1">COUNTIFS(unit_details[Leased Date], "&gt;=" &amp; ($U$2 - T$5),
          unit_details[Leased Date], "&lt;" &amp; $U$2,
          unit_details[Floorplan Name], INDIRECT("C"&amp;ROW()),
          unit_details[Property Name], INDIRECT("B"&amp;ROW()))</f>
        <v>0</v>
      </c>
      <c r="W378" s="531" t="str" cm="1">
        <f t="array" aca="1" ref="W37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8" s="552" t="str" cm="1">
        <f t="array" aca="1" ref="X37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8" s="27" t="str">
        <f t="shared" ca="1" si="15"/>
        <v/>
      </c>
      <c r="Z378" s="4" t="str">
        <f>IFERROR($U$2-AVERAGEIFS(unit_details[First Listed],
          unit_details[Active Listing?],TRUE,
          unit_details[Property Name], $B378,
          unit_details[Beds], $D378,
          unit_details[Baths], $E378,
          unit_details[Partial Baths], IF(ISNUMBER($F378),$F378,""),
          unit_details[Floorplan Name],$C378
),"")</f>
        <v/>
      </c>
      <c r="AA378" s="262" cm="1">
        <f t="array" aca="1" ref="AA378" ca="1">COUNTIFS(unit_details[Active Listing?],TRUE,
          unit_details[Floorplan Name], INDIRECT("C"&amp;ROW()),
          unit_details[Property Name], INDIRECT("B"&amp;ROW()))</f>
        <v>0</v>
      </c>
      <c r="AB378" s="553"/>
      <c r="AC378" s="528" cm="1">
        <f t="array" aca="1" ref="AC378" ca="1">IFERROR(AVERAGEIFS(
  unit_details[Sqft],
  unit_details[Property Name], INDIRECT("B"&amp;ROW()),
  unit_details[Floorplan Name], INDIRECT("C"&amp;ROW()),
  unit_details[Beds], INDIRECT("D"&amp;ROW()),
  unit_details[Detected Unit Amenities], "*"&amp;$AD$3&amp;"*",
  unit_details[Leased Date], "&gt;=" &amp; ($U$2 - $AF$3)
),0)</f>
        <v>0</v>
      </c>
      <c r="AD378" s="527" cm="1">
        <f t="array" aca="1" ref="AD3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8" s="526" cm="1">
        <f t="array" aca="1" ref="AE378" ca="1">IFERROR(COUNTIFS(
  unit_details[Property Name], INDIRECT("B"&amp;ROW()),
  unit_details[Floorplan Name], INDIRECT("C"&amp;ROW()),
  unit_details[Beds], INDIRECT("D"&amp;ROW()),
  unit_details[Detected Unit Amenities], "*"&amp;$AD$3&amp;"*",
  unit_details[Leased Date], "&gt;=" &amp; ($U$2 - $AF$3)
),0)</f>
        <v>0</v>
      </c>
      <c r="AF378" s="528" cm="1">
        <f t="array" aca="1" ref="AF378" ca="1">IFERROR(AVERAGEIFS(
  unit_details[Sqft],
  unit_details[Property Name], INDIRECT("B"&amp;ROW()),
  unit_details[Floorplan Name], INDIRECT("C"&amp;ROW()),
  unit_details[Beds], INDIRECT("D"&amp;ROW()),
  unit_details[Detected Unit Amenities], "&lt;&gt;*"&amp;$AD$3&amp;"*",
  unit_details[Leased Date], "&gt;=" &amp; ($U$2 - $AF$3)
),0)</f>
        <v>0</v>
      </c>
      <c r="AG378" s="527" cm="1">
        <f t="array" aca="1" ref="AG3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8" s="526" cm="1">
        <f t="array" aca="1" ref="AH378" ca="1">IFERROR(COUNTIFS(
  unit_details[Property Name], INDIRECT("B"&amp;ROW()),
  unit_details[Floorplan Name], INDIRECT("C"&amp;ROW()),
  unit_details[Beds], INDIRECT("D"&amp;ROW()),
  unit_details[Detected Unit Amenities], "&lt;&gt;*"&amp;$AD$3&amp;"*",
  unit_details[Leased Date], "&gt;=" &amp; ($U$2 - $AF$3)
),0)</f>
        <v>0</v>
      </c>
      <c r="AI378" s="528"/>
      <c r="AJ378" s="531">
        <f t="shared" ca="1" si="16"/>
        <v>0</v>
      </c>
      <c r="AK378" s="532">
        <f t="shared" ca="1" si="17"/>
        <v>0</v>
      </c>
    </row>
    <row r="379" spans="10:37" x14ac:dyDescent="0.2">
      <c r="J379" s="293"/>
      <c r="N379" s="531" t="str" cm="1">
        <f t="array" aca="1" ref="N37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79" s="552" t="str" cm="1">
        <f t="array" aca="1" ref="O37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79" s="526" cm="1">
        <f t="array" aca="1" ref="P379" ca="1">COUNTIFS(unit_details[Leased Date], "&gt;=" &amp; ($U$2 - N$5),
          unit_details[Leased Date], "&lt;" &amp; $U$2,
          unit_details[Floorplan Name], INDIRECT("C"&amp;ROW()),
          unit_details[Property Name], INDIRECT("B"&amp;ROW()))</f>
        <v>0</v>
      </c>
      <c r="Q379" s="531" t="str" cm="1">
        <f t="array" aca="1" ref="Q37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79" s="552" t="str" cm="1">
        <f t="array" aca="1" ref="R37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79" s="526" cm="1">
        <f t="array" aca="1" ref="S379" ca="1">COUNTIFS(unit_details[Leased Date], "&gt;=" &amp; ($U$2 - Q$5),
          unit_details[Leased Date], "&lt;" &amp; $U$2,
          unit_details[Floorplan Name], INDIRECT("C"&amp;ROW()),
          unit_details[Property Name], INDIRECT("B"&amp;ROW()))</f>
        <v>0</v>
      </c>
      <c r="T379" s="531" t="str" cm="1">
        <f t="array" aca="1" ref="T37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79" s="552" t="str" cm="1">
        <f t="array" aca="1" ref="U37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79" s="526" cm="1">
        <f t="array" aca="1" ref="V379" ca="1">COUNTIFS(unit_details[Leased Date], "&gt;=" &amp; ($U$2 - T$5),
          unit_details[Leased Date], "&lt;" &amp; $U$2,
          unit_details[Floorplan Name], INDIRECT("C"&amp;ROW()),
          unit_details[Property Name], INDIRECT("B"&amp;ROW()))</f>
        <v>0</v>
      </c>
      <c r="W379" s="531" t="str" cm="1">
        <f t="array" aca="1" ref="W37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79" s="552" t="str" cm="1">
        <f t="array" aca="1" ref="X37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79" s="27" t="str">
        <f t="shared" ca="1" si="15"/>
        <v/>
      </c>
      <c r="Z379" s="4" t="str">
        <f>IFERROR($U$2-AVERAGEIFS(unit_details[First Listed],
          unit_details[Active Listing?],TRUE,
          unit_details[Property Name], $B379,
          unit_details[Beds], $D379,
          unit_details[Baths], $E379,
          unit_details[Partial Baths], IF(ISNUMBER($F379),$F379,""),
          unit_details[Floorplan Name],$C379
),"")</f>
        <v/>
      </c>
      <c r="AA379" s="262" cm="1">
        <f t="array" aca="1" ref="AA379" ca="1">COUNTIFS(unit_details[Active Listing?],TRUE,
          unit_details[Floorplan Name], INDIRECT("C"&amp;ROW()),
          unit_details[Property Name], INDIRECT("B"&amp;ROW()))</f>
        <v>0</v>
      </c>
      <c r="AB379" s="553"/>
      <c r="AC379" s="528" cm="1">
        <f t="array" aca="1" ref="AC379" ca="1">IFERROR(AVERAGEIFS(
  unit_details[Sqft],
  unit_details[Property Name], INDIRECT("B"&amp;ROW()),
  unit_details[Floorplan Name], INDIRECT("C"&amp;ROW()),
  unit_details[Beds], INDIRECT("D"&amp;ROW()),
  unit_details[Detected Unit Amenities], "*"&amp;$AD$3&amp;"*",
  unit_details[Leased Date], "&gt;=" &amp; ($U$2 - $AF$3)
),0)</f>
        <v>0</v>
      </c>
      <c r="AD379" s="527" cm="1">
        <f t="array" aca="1" ref="AD3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79" s="526" cm="1">
        <f t="array" aca="1" ref="AE379" ca="1">IFERROR(COUNTIFS(
  unit_details[Property Name], INDIRECT("B"&amp;ROW()),
  unit_details[Floorplan Name], INDIRECT("C"&amp;ROW()),
  unit_details[Beds], INDIRECT("D"&amp;ROW()),
  unit_details[Detected Unit Amenities], "*"&amp;$AD$3&amp;"*",
  unit_details[Leased Date], "&gt;=" &amp; ($U$2 - $AF$3)
),0)</f>
        <v>0</v>
      </c>
      <c r="AF379" s="528" cm="1">
        <f t="array" aca="1" ref="AF379" ca="1">IFERROR(AVERAGEIFS(
  unit_details[Sqft],
  unit_details[Property Name], INDIRECT("B"&amp;ROW()),
  unit_details[Floorplan Name], INDIRECT("C"&amp;ROW()),
  unit_details[Beds], INDIRECT("D"&amp;ROW()),
  unit_details[Detected Unit Amenities], "&lt;&gt;*"&amp;$AD$3&amp;"*",
  unit_details[Leased Date], "&gt;=" &amp; ($U$2 - $AF$3)
),0)</f>
        <v>0</v>
      </c>
      <c r="AG379" s="527" cm="1">
        <f t="array" aca="1" ref="AG3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79" s="526" cm="1">
        <f t="array" aca="1" ref="AH379" ca="1">IFERROR(COUNTIFS(
  unit_details[Property Name], INDIRECT("B"&amp;ROW()),
  unit_details[Floorplan Name], INDIRECT("C"&amp;ROW()),
  unit_details[Beds], INDIRECT("D"&amp;ROW()),
  unit_details[Detected Unit Amenities], "&lt;&gt;*"&amp;$AD$3&amp;"*",
  unit_details[Leased Date], "&gt;=" &amp; ($U$2 - $AF$3)
),0)</f>
        <v>0</v>
      </c>
      <c r="AI379" s="528"/>
      <c r="AJ379" s="531">
        <f t="shared" ca="1" si="16"/>
        <v>0</v>
      </c>
      <c r="AK379" s="532">
        <f t="shared" ca="1" si="17"/>
        <v>0</v>
      </c>
    </row>
    <row r="380" spans="10:37" x14ac:dyDescent="0.2">
      <c r="J380" s="293"/>
      <c r="N380" s="531" t="str" cm="1">
        <f t="array" aca="1" ref="N38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0" s="552" t="str" cm="1">
        <f t="array" aca="1" ref="O38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0" s="526" cm="1">
        <f t="array" aca="1" ref="P380" ca="1">COUNTIFS(unit_details[Leased Date], "&gt;=" &amp; ($U$2 - N$5),
          unit_details[Leased Date], "&lt;" &amp; $U$2,
          unit_details[Floorplan Name], INDIRECT("C"&amp;ROW()),
          unit_details[Property Name], INDIRECT("B"&amp;ROW()))</f>
        <v>0</v>
      </c>
      <c r="Q380" s="531" t="str" cm="1">
        <f t="array" aca="1" ref="Q38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0" s="552" t="str" cm="1">
        <f t="array" aca="1" ref="R38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0" s="526" cm="1">
        <f t="array" aca="1" ref="S380" ca="1">COUNTIFS(unit_details[Leased Date], "&gt;=" &amp; ($U$2 - Q$5),
          unit_details[Leased Date], "&lt;" &amp; $U$2,
          unit_details[Floorplan Name], INDIRECT("C"&amp;ROW()),
          unit_details[Property Name], INDIRECT("B"&amp;ROW()))</f>
        <v>0</v>
      </c>
      <c r="T380" s="531" t="str" cm="1">
        <f t="array" aca="1" ref="T38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0" s="552" t="str" cm="1">
        <f t="array" aca="1" ref="U38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0" s="526" cm="1">
        <f t="array" aca="1" ref="V380" ca="1">COUNTIFS(unit_details[Leased Date], "&gt;=" &amp; ($U$2 - T$5),
          unit_details[Leased Date], "&lt;" &amp; $U$2,
          unit_details[Floorplan Name], INDIRECT("C"&amp;ROW()),
          unit_details[Property Name], INDIRECT("B"&amp;ROW()))</f>
        <v>0</v>
      </c>
      <c r="W380" s="531" t="str" cm="1">
        <f t="array" aca="1" ref="W38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0" s="552" t="str" cm="1">
        <f t="array" aca="1" ref="X38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0" s="27" t="str">
        <f t="shared" ca="1" si="15"/>
        <v/>
      </c>
      <c r="Z380" s="4" t="str">
        <f>IFERROR($U$2-AVERAGEIFS(unit_details[First Listed],
          unit_details[Active Listing?],TRUE,
          unit_details[Property Name], $B380,
          unit_details[Beds], $D380,
          unit_details[Baths], $E380,
          unit_details[Partial Baths], IF(ISNUMBER($F380),$F380,""),
          unit_details[Floorplan Name],$C380
),"")</f>
        <v/>
      </c>
      <c r="AA380" s="262" cm="1">
        <f t="array" aca="1" ref="AA380" ca="1">COUNTIFS(unit_details[Active Listing?],TRUE,
          unit_details[Floorplan Name], INDIRECT("C"&amp;ROW()),
          unit_details[Property Name], INDIRECT("B"&amp;ROW()))</f>
        <v>0</v>
      </c>
      <c r="AB380" s="553"/>
      <c r="AC380" s="528" cm="1">
        <f t="array" aca="1" ref="AC380" ca="1">IFERROR(AVERAGEIFS(
  unit_details[Sqft],
  unit_details[Property Name], INDIRECT("B"&amp;ROW()),
  unit_details[Floorplan Name], INDIRECT("C"&amp;ROW()),
  unit_details[Beds], INDIRECT("D"&amp;ROW()),
  unit_details[Detected Unit Amenities], "*"&amp;$AD$3&amp;"*",
  unit_details[Leased Date], "&gt;=" &amp; ($U$2 - $AF$3)
),0)</f>
        <v>0</v>
      </c>
      <c r="AD380" s="527" cm="1">
        <f t="array" aca="1" ref="AD3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0" s="526" cm="1">
        <f t="array" aca="1" ref="AE380" ca="1">IFERROR(COUNTIFS(
  unit_details[Property Name], INDIRECT("B"&amp;ROW()),
  unit_details[Floorplan Name], INDIRECT("C"&amp;ROW()),
  unit_details[Beds], INDIRECT("D"&amp;ROW()),
  unit_details[Detected Unit Amenities], "*"&amp;$AD$3&amp;"*",
  unit_details[Leased Date], "&gt;=" &amp; ($U$2 - $AF$3)
),0)</f>
        <v>0</v>
      </c>
      <c r="AF380" s="528" cm="1">
        <f t="array" aca="1" ref="AF380" ca="1">IFERROR(AVERAGEIFS(
  unit_details[Sqft],
  unit_details[Property Name], INDIRECT("B"&amp;ROW()),
  unit_details[Floorplan Name], INDIRECT("C"&amp;ROW()),
  unit_details[Beds], INDIRECT("D"&amp;ROW()),
  unit_details[Detected Unit Amenities], "&lt;&gt;*"&amp;$AD$3&amp;"*",
  unit_details[Leased Date], "&gt;=" &amp; ($U$2 - $AF$3)
),0)</f>
        <v>0</v>
      </c>
      <c r="AG380" s="527" cm="1">
        <f t="array" aca="1" ref="AG3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0" s="526" cm="1">
        <f t="array" aca="1" ref="AH380" ca="1">IFERROR(COUNTIFS(
  unit_details[Property Name], INDIRECT("B"&amp;ROW()),
  unit_details[Floorplan Name], INDIRECT("C"&amp;ROW()),
  unit_details[Beds], INDIRECT("D"&amp;ROW()),
  unit_details[Detected Unit Amenities], "&lt;&gt;*"&amp;$AD$3&amp;"*",
  unit_details[Leased Date], "&gt;=" &amp; ($U$2 - $AF$3)
),0)</f>
        <v>0</v>
      </c>
      <c r="AI380" s="528"/>
      <c r="AJ380" s="531">
        <f t="shared" ca="1" si="16"/>
        <v>0</v>
      </c>
      <c r="AK380" s="532">
        <f t="shared" ca="1" si="17"/>
        <v>0</v>
      </c>
    </row>
    <row r="381" spans="10:37" x14ac:dyDescent="0.2">
      <c r="J381" s="293"/>
      <c r="N381" s="531" t="str" cm="1">
        <f t="array" aca="1" ref="N38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1" s="552" t="str" cm="1">
        <f t="array" aca="1" ref="O38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1" s="526" cm="1">
        <f t="array" aca="1" ref="P381" ca="1">COUNTIFS(unit_details[Leased Date], "&gt;=" &amp; ($U$2 - N$5),
          unit_details[Leased Date], "&lt;" &amp; $U$2,
          unit_details[Floorplan Name], INDIRECT("C"&amp;ROW()),
          unit_details[Property Name], INDIRECT("B"&amp;ROW()))</f>
        <v>0</v>
      </c>
      <c r="Q381" s="531" t="str" cm="1">
        <f t="array" aca="1" ref="Q38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1" s="552" t="str" cm="1">
        <f t="array" aca="1" ref="R38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1" s="526" cm="1">
        <f t="array" aca="1" ref="S381" ca="1">COUNTIFS(unit_details[Leased Date], "&gt;=" &amp; ($U$2 - Q$5),
          unit_details[Leased Date], "&lt;" &amp; $U$2,
          unit_details[Floorplan Name], INDIRECT("C"&amp;ROW()),
          unit_details[Property Name], INDIRECT("B"&amp;ROW()))</f>
        <v>0</v>
      </c>
      <c r="T381" s="531" t="str" cm="1">
        <f t="array" aca="1" ref="T38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1" s="552" t="str" cm="1">
        <f t="array" aca="1" ref="U38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1" s="526" cm="1">
        <f t="array" aca="1" ref="V381" ca="1">COUNTIFS(unit_details[Leased Date], "&gt;=" &amp; ($U$2 - T$5),
          unit_details[Leased Date], "&lt;" &amp; $U$2,
          unit_details[Floorplan Name], INDIRECT("C"&amp;ROW()),
          unit_details[Property Name], INDIRECT("B"&amp;ROW()))</f>
        <v>0</v>
      </c>
      <c r="W381" s="531" t="str" cm="1">
        <f t="array" aca="1" ref="W38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1" s="552" t="str" cm="1">
        <f t="array" aca="1" ref="X38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1" s="27" t="str">
        <f t="shared" ca="1" si="15"/>
        <v/>
      </c>
      <c r="Z381" s="4" t="str">
        <f>IFERROR($U$2-AVERAGEIFS(unit_details[First Listed],
          unit_details[Active Listing?],TRUE,
          unit_details[Property Name], $B381,
          unit_details[Beds], $D381,
          unit_details[Baths], $E381,
          unit_details[Partial Baths], IF(ISNUMBER($F381),$F381,""),
          unit_details[Floorplan Name],$C381
),"")</f>
        <v/>
      </c>
      <c r="AA381" s="262" cm="1">
        <f t="array" aca="1" ref="AA381" ca="1">COUNTIFS(unit_details[Active Listing?],TRUE,
          unit_details[Floorplan Name], INDIRECT("C"&amp;ROW()),
          unit_details[Property Name], INDIRECT("B"&amp;ROW()))</f>
        <v>0</v>
      </c>
      <c r="AB381" s="553"/>
      <c r="AC381" s="528" cm="1">
        <f t="array" aca="1" ref="AC381" ca="1">IFERROR(AVERAGEIFS(
  unit_details[Sqft],
  unit_details[Property Name], INDIRECT("B"&amp;ROW()),
  unit_details[Floorplan Name], INDIRECT("C"&amp;ROW()),
  unit_details[Beds], INDIRECT("D"&amp;ROW()),
  unit_details[Detected Unit Amenities], "*"&amp;$AD$3&amp;"*",
  unit_details[Leased Date], "&gt;=" &amp; ($U$2 - $AF$3)
),0)</f>
        <v>0</v>
      </c>
      <c r="AD381" s="527" cm="1">
        <f t="array" aca="1" ref="AD3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1" s="526" cm="1">
        <f t="array" aca="1" ref="AE381" ca="1">IFERROR(COUNTIFS(
  unit_details[Property Name], INDIRECT("B"&amp;ROW()),
  unit_details[Floorplan Name], INDIRECT("C"&amp;ROW()),
  unit_details[Beds], INDIRECT("D"&amp;ROW()),
  unit_details[Detected Unit Amenities], "*"&amp;$AD$3&amp;"*",
  unit_details[Leased Date], "&gt;=" &amp; ($U$2 - $AF$3)
),0)</f>
        <v>0</v>
      </c>
      <c r="AF381" s="528" cm="1">
        <f t="array" aca="1" ref="AF381" ca="1">IFERROR(AVERAGEIFS(
  unit_details[Sqft],
  unit_details[Property Name], INDIRECT("B"&amp;ROW()),
  unit_details[Floorplan Name], INDIRECT("C"&amp;ROW()),
  unit_details[Beds], INDIRECT("D"&amp;ROW()),
  unit_details[Detected Unit Amenities], "&lt;&gt;*"&amp;$AD$3&amp;"*",
  unit_details[Leased Date], "&gt;=" &amp; ($U$2 - $AF$3)
),0)</f>
        <v>0</v>
      </c>
      <c r="AG381" s="527" cm="1">
        <f t="array" aca="1" ref="AG3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1" s="526" cm="1">
        <f t="array" aca="1" ref="AH381" ca="1">IFERROR(COUNTIFS(
  unit_details[Property Name], INDIRECT("B"&amp;ROW()),
  unit_details[Floorplan Name], INDIRECT("C"&amp;ROW()),
  unit_details[Beds], INDIRECT("D"&amp;ROW()),
  unit_details[Detected Unit Amenities], "&lt;&gt;*"&amp;$AD$3&amp;"*",
  unit_details[Leased Date], "&gt;=" &amp; ($U$2 - $AF$3)
),0)</f>
        <v>0</v>
      </c>
      <c r="AI381" s="528"/>
      <c r="AJ381" s="531">
        <f t="shared" ca="1" si="16"/>
        <v>0</v>
      </c>
      <c r="AK381" s="532">
        <f t="shared" ca="1" si="17"/>
        <v>0</v>
      </c>
    </row>
    <row r="382" spans="10:37" x14ac:dyDescent="0.2">
      <c r="J382" s="293"/>
      <c r="N382" s="531" t="str" cm="1">
        <f t="array" aca="1" ref="N38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2" s="552" t="str" cm="1">
        <f t="array" aca="1" ref="O38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2" s="526" cm="1">
        <f t="array" aca="1" ref="P382" ca="1">COUNTIFS(unit_details[Leased Date], "&gt;=" &amp; ($U$2 - N$5),
          unit_details[Leased Date], "&lt;" &amp; $U$2,
          unit_details[Floorplan Name], INDIRECT("C"&amp;ROW()),
          unit_details[Property Name], INDIRECT("B"&amp;ROW()))</f>
        <v>0</v>
      </c>
      <c r="Q382" s="531" t="str" cm="1">
        <f t="array" aca="1" ref="Q38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2" s="552" t="str" cm="1">
        <f t="array" aca="1" ref="R38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2" s="526" cm="1">
        <f t="array" aca="1" ref="S382" ca="1">COUNTIFS(unit_details[Leased Date], "&gt;=" &amp; ($U$2 - Q$5),
          unit_details[Leased Date], "&lt;" &amp; $U$2,
          unit_details[Floorplan Name], INDIRECT("C"&amp;ROW()),
          unit_details[Property Name], INDIRECT("B"&amp;ROW()))</f>
        <v>0</v>
      </c>
      <c r="T382" s="531" t="str" cm="1">
        <f t="array" aca="1" ref="T38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2" s="552" t="str" cm="1">
        <f t="array" aca="1" ref="U38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2" s="526" cm="1">
        <f t="array" aca="1" ref="V382" ca="1">COUNTIFS(unit_details[Leased Date], "&gt;=" &amp; ($U$2 - T$5),
          unit_details[Leased Date], "&lt;" &amp; $U$2,
          unit_details[Floorplan Name], INDIRECT("C"&amp;ROW()),
          unit_details[Property Name], INDIRECT("B"&amp;ROW()))</f>
        <v>0</v>
      </c>
      <c r="W382" s="531" t="str" cm="1">
        <f t="array" aca="1" ref="W38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2" s="552" t="str" cm="1">
        <f t="array" aca="1" ref="X38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2" s="27" t="str">
        <f t="shared" ca="1" si="15"/>
        <v/>
      </c>
      <c r="Z382" s="4" t="str">
        <f>IFERROR($U$2-AVERAGEIFS(unit_details[First Listed],
          unit_details[Active Listing?],TRUE,
          unit_details[Property Name], $B382,
          unit_details[Beds], $D382,
          unit_details[Baths], $E382,
          unit_details[Partial Baths], IF(ISNUMBER($F382),$F382,""),
          unit_details[Floorplan Name],$C382
),"")</f>
        <v/>
      </c>
      <c r="AA382" s="262" cm="1">
        <f t="array" aca="1" ref="AA382" ca="1">COUNTIFS(unit_details[Active Listing?],TRUE,
          unit_details[Floorplan Name], INDIRECT("C"&amp;ROW()),
          unit_details[Property Name], INDIRECT("B"&amp;ROW()))</f>
        <v>0</v>
      </c>
      <c r="AB382" s="553"/>
      <c r="AC382" s="528" cm="1">
        <f t="array" aca="1" ref="AC382" ca="1">IFERROR(AVERAGEIFS(
  unit_details[Sqft],
  unit_details[Property Name], INDIRECT("B"&amp;ROW()),
  unit_details[Floorplan Name], INDIRECT("C"&amp;ROW()),
  unit_details[Beds], INDIRECT("D"&amp;ROW()),
  unit_details[Detected Unit Amenities], "*"&amp;$AD$3&amp;"*",
  unit_details[Leased Date], "&gt;=" &amp; ($U$2 - $AF$3)
),0)</f>
        <v>0</v>
      </c>
      <c r="AD382" s="527" cm="1">
        <f t="array" aca="1" ref="AD3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2" s="526" cm="1">
        <f t="array" aca="1" ref="AE382" ca="1">IFERROR(COUNTIFS(
  unit_details[Property Name], INDIRECT("B"&amp;ROW()),
  unit_details[Floorplan Name], INDIRECT("C"&amp;ROW()),
  unit_details[Beds], INDIRECT("D"&amp;ROW()),
  unit_details[Detected Unit Amenities], "*"&amp;$AD$3&amp;"*",
  unit_details[Leased Date], "&gt;=" &amp; ($U$2 - $AF$3)
),0)</f>
        <v>0</v>
      </c>
      <c r="AF382" s="528" cm="1">
        <f t="array" aca="1" ref="AF382" ca="1">IFERROR(AVERAGEIFS(
  unit_details[Sqft],
  unit_details[Property Name], INDIRECT("B"&amp;ROW()),
  unit_details[Floorplan Name], INDIRECT("C"&amp;ROW()),
  unit_details[Beds], INDIRECT("D"&amp;ROW()),
  unit_details[Detected Unit Amenities], "&lt;&gt;*"&amp;$AD$3&amp;"*",
  unit_details[Leased Date], "&gt;=" &amp; ($U$2 - $AF$3)
),0)</f>
        <v>0</v>
      </c>
      <c r="AG382" s="527" cm="1">
        <f t="array" aca="1" ref="AG3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2" s="526" cm="1">
        <f t="array" aca="1" ref="AH382" ca="1">IFERROR(COUNTIFS(
  unit_details[Property Name], INDIRECT("B"&amp;ROW()),
  unit_details[Floorplan Name], INDIRECT("C"&amp;ROW()),
  unit_details[Beds], INDIRECT("D"&amp;ROW()),
  unit_details[Detected Unit Amenities], "&lt;&gt;*"&amp;$AD$3&amp;"*",
  unit_details[Leased Date], "&gt;=" &amp; ($U$2 - $AF$3)
),0)</f>
        <v>0</v>
      </c>
      <c r="AI382" s="528"/>
      <c r="AJ382" s="531">
        <f t="shared" ca="1" si="16"/>
        <v>0</v>
      </c>
      <c r="AK382" s="532">
        <f t="shared" ca="1" si="17"/>
        <v>0</v>
      </c>
    </row>
    <row r="383" spans="10:37" x14ac:dyDescent="0.2">
      <c r="J383" s="293"/>
      <c r="N383" s="531" t="str" cm="1">
        <f t="array" aca="1" ref="N38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3" s="552" t="str" cm="1">
        <f t="array" aca="1" ref="O38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3" s="526" cm="1">
        <f t="array" aca="1" ref="P383" ca="1">COUNTIFS(unit_details[Leased Date], "&gt;=" &amp; ($U$2 - N$5),
          unit_details[Leased Date], "&lt;" &amp; $U$2,
          unit_details[Floorplan Name], INDIRECT("C"&amp;ROW()),
          unit_details[Property Name], INDIRECT("B"&amp;ROW()))</f>
        <v>0</v>
      </c>
      <c r="Q383" s="531" t="str" cm="1">
        <f t="array" aca="1" ref="Q38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3" s="552" t="str" cm="1">
        <f t="array" aca="1" ref="R38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3" s="526" cm="1">
        <f t="array" aca="1" ref="S383" ca="1">COUNTIFS(unit_details[Leased Date], "&gt;=" &amp; ($U$2 - Q$5),
          unit_details[Leased Date], "&lt;" &amp; $U$2,
          unit_details[Floorplan Name], INDIRECT("C"&amp;ROW()),
          unit_details[Property Name], INDIRECT("B"&amp;ROW()))</f>
        <v>0</v>
      </c>
      <c r="T383" s="531" t="str" cm="1">
        <f t="array" aca="1" ref="T38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3" s="552" t="str" cm="1">
        <f t="array" aca="1" ref="U38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3" s="526" cm="1">
        <f t="array" aca="1" ref="V383" ca="1">COUNTIFS(unit_details[Leased Date], "&gt;=" &amp; ($U$2 - T$5),
          unit_details[Leased Date], "&lt;" &amp; $U$2,
          unit_details[Floorplan Name], INDIRECT("C"&amp;ROW()),
          unit_details[Property Name], INDIRECT("B"&amp;ROW()))</f>
        <v>0</v>
      </c>
      <c r="W383" s="531" t="str" cm="1">
        <f t="array" aca="1" ref="W38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3" s="552" t="str" cm="1">
        <f t="array" aca="1" ref="X38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3" s="27" t="str">
        <f t="shared" ca="1" si="15"/>
        <v/>
      </c>
      <c r="Z383" s="4" t="str">
        <f>IFERROR($U$2-AVERAGEIFS(unit_details[First Listed],
          unit_details[Active Listing?],TRUE,
          unit_details[Property Name], $B383,
          unit_details[Beds], $D383,
          unit_details[Baths], $E383,
          unit_details[Partial Baths], IF(ISNUMBER($F383),$F383,""),
          unit_details[Floorplan Name],$C383
),"")</f>
        <v/>
      </c>
      <c r="AA383" s="262" cm="1">
        <f t="array" aca="1" ref="AA383" ca="1">COUNTIFS(unit_details[Active Listing?],TRUE,
          unit_details[Floorplan Name], INDIRECT("C"&amp;ROW()),
          unit_details[Property Name], INDIRECT("B"&amp;ROW()))</f>
        <v>0</v>
      </c>
      <c r="AB383" s="553"/>
      <c r="AC383" s="528" cm="1">
        <f t="array" aca="1" ref="AC383" ca="1">IFERROR(AVERAGEIFS(
  unit_details[Sqft],
  unit_details[Property Name], INDIRECT("B"&amp;ROW()),
  unit_details[Floorplan Name], INDIRECT("C"&amp;ROW()),
  unit_details[Beds], INDIRECT("D"&amp;ROW()),
  unit_details[Detected Unit Amenities], "*"&amp;$AD$3&amp;"*",
  unit_details[Leased Date], "&gt;=" &amp; ($U$2 - $AF$3)
),0)</f>
        <v>0</v>
      </c>
      <c r="AD383" s="527" cm="1">
        <f t="array" aca="1" ref="AD3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3" s="526" cm="1">
        <f t="array" aca="1" ref="AE383" ca="1">IFERROR(COUNTIFS(
  unit_details[Property Name], INDIRECT("B"&amp;ROW()),
  unit_details[Floorplan Name], INDIRECT("C"&amp;ROW()),
  unit_details[Beds], INDIRECT("D"&amp;ROW()),
  unit_details[Detected Unit Amenities], "*"&amp;$AD$3&amp;"*",
  unit_details[Leased Date], "&gt;=" &amp; ($U$2 - $AF$3)
),0)</f>
        <v>0</v>
      </c>
      <c r="AF383" s="528" cm="1">
        <f t="array" aca="1" ref="AF383" ca="1">IFERROR(AVERAGEIFS(
  unit_details[Sqft],
  unit_details[Property Name], INDIRECT("B"&amp;ROW()),
  unit_details[Floorplan Name], INDIRECT("C"&amp;ROW()),
  unit_details[Beds], INDIRECT("D"&amp;ROW()),
  unit_details[Detected Unit Amenities], "&lt;&gt;*"&amp;$AD$3&amp;"*",
  unit_details[Leased Date], "&gt;=" &amp; ($U$2 - $AF$3)
),0)</f>
        <v>0</v>
      </c>
      <c r="AG383" s="527" cm="1">
        <f t="array" aca="1" ref="AG3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3" s="526" cm="1">
        <f t="array" aca="1" ref="AH383" ca="1">IFERROR(COUNTIFS(
  unit_details[Property Name], INDIRECT("B"&amp;ROW()),
  unit_details[Floorplan Name], INDIRECT("C"&amp;ROW()),
  unit_details[Beds], INDIRECT("D"&amp;ROW()),
  unit_details[Detected Unit Amenities], "&lt;&gt;*"&amp;$AD$3&amp;"*",
  unit_details[Leased Date], "&gt;=" &amp; ($U$2 - $AF$3)
),0)</f>
        <v>0</v>
      </c>
      <c r="AI383" s="528"/>
      <c r="AJ383" s="531">
        <f t="shared" ca="1" si="16"/>
        <v>0</v>
      </c>
      <c r="AK383" s="532">
        <f t="shared" ca="1" si="17"/>
        <v>0</v>
      </c>
    </row>
    <row r="384" spans="10:37" x14ac:dyDescent="0.2">
      <c r="J384" s="293"/>
      <c r="N384" s="531" t="str" cm="1">
        <f t="array" aca="1" ref="N38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4" s="552" t="str" cm="1">
        <f t="array" aca="1" ref="O38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4" s="526" cm="1">
        <f t="array" aca="1" ref="P384" ca="1">COUNTIFS(unit_details[Leased Date], "&gt;=" &amp; ($U$2 - N$5),
          unit_details[Leased Date], "&lt;" &amp; $U$2,
          unit_details[Floorplan Name], INDIRECT("C"&amp;ROW()),
          unit_details[Property Name], INDIRECT("B"&amp;ROW()))</f>
        <v>0</v>
      </c>
      <c r="Q384" s="531" t="str" cm="1">
        <f t="array" aca="1" ref="Q38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4" s="552" t="str" cm="1">
        <f t="array" aca="1" ref="R38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4" s="526" cm="1">
        <f t="array" aca="1" ref="S384" ca="1">COUNTIFS(unit_details[Leased Date], "&gt;=" &amp; ($U$2 - Q$5),
          unit_details[Leased Date], "&lt;" &amp; $U$2,
          unit_details[Floorplan Name], INDIRECT("C"&amp;ROW()),
          unit_details[Property Name], INDIRECT("B"&amp;ROW()))</f>
        <v>0</v>
      </c>
      <c r="T384" s="531" t="str" cm="1">
        <f t="array" aca="1" ref="T38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4" s="552" t="str" cm="1">
        <f t="array" aca="1" ref="U38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4" s="526" cm="1">
        <f t="array" aca="1" ref="V384" ca="1">COUNTIFS(unit_details[Leased Date], "&gt;=" &amp; ($U$2 - T$5),
          unit_details[Leased Date], "&lt;" &amp; $U$2,
          unit_details[Floorplan Name], INDIRECT("C"&amp;ROW()),
          unit_details[Property Name], INDIRECT("B"&amp;ROW()))</f>
        <v>0</v>
      </c>
      <c r="W384" s="531" t="str" cm="1">
        <f t="array" aca="1" ref="W38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4" s="552" t="str" cm="1">
        <f t="array" aca="1" ref="X38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4" s="27" t="str">
        <f t="shared" ca="1" si="15"/>
        <v/>
      </c>
      <c r="Z384" s="4" t="str">
        <f>IFERROR($U$2-AVERAGEIFS(unit_details[First Listed],
          unit_details[Active Listing?],TRUE,
          unit_details[Property Name], $B384,
          unit_details[Beds], $D384,
          unit_details[Baths], $E384,
          unit_details[Partial Baths], IF(ISNUMBER($F384),$F384,""),
          unit_details[Floorplan Name],$C384
),"")</f>
        <v/>
      </c>
      <c r="AA384" s="262" cm="1">
        <f t="array" aca="1" ref="AA384" ca="1">COUNTIFS(unit_details[Active Listing?],TRUE,
          unit_details[Floorplan Name], INDIRECT("C"&amp;ROW()),
          unit_details[Property Name], INDIRECT("B"&amp;ROW()))</f>
        <v>0</v>
      </c>
      <c r="AB384" s="553"/>
      <c r="AC384" s="528" cm="1">
        <f t="array" aca="1" ref="AC384" ca="1">IFERROR(AVERAGEIFS(
  unit_details[Sqft],
  unit_details[Property Name], INDIRECT("B"&amp;ROW()),
  unit_details[Floorplan Name], INDIRECT("C"&amp;ROW()),
  unit_details[Beds], INDIRECT("D"&amp;ROW()),
  unit_details[Detected Unit Amenities], "*"&amp;$AD$3&amp;"*",
  unit_details[Leased Date], "&gt;=" &amp; ($U$2 - $AF$3)
),0)</f>
        <v>0</v>
      </c>
      <c r="AD384" s="527" cm="1">
        <f t="array" aca="1" ref="AD3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4" s="526" cm="1">
        <f t="array" aca="1" ref="AE384" ca="1">IFERROR(COUNTIFS(
  unit_details[Property Name], INDIRECT("B"&amp;ROW()),
  unit_details[Floorplan Name], INDIRECT("C"&amp;ROW()),
  unit_details[Beds], INDIRECT("D"&amp;ROW()),
  unit_details[Detected Unit Amenities], "*"&amp;$AD$3&amp;"*",
  unit_details[Leased Date], "&gt;=" &amp; ($U$2 - $AF$3)
),0)</f>
        <v>0</v>
      </c>
      <c r="AF384" s="528" cm="1">
        <f t="array" aca="1" ref="AF384" ca="1">IFERROR(AVERAGEIFS(
  unit_details[Sqft],
  unit_details[Property Name], INDIRECT("B"&amp;ROW()),
  unit_details[Floorplan Name], INDIRECT("C"&amp;ROW()),
  unit_details[Beds], INDIRECT("D"&amp;ROW()),
  unit_details[Detected Unit Amenities], "&lt;&gt;*"&amp;$AD$3&amp;"*",
  unit_details[Leased Date], "&gt;=" &amp; ($U$2 - $AF$3)
),0)</f>
        <v>0</v>
      </c>
      <c r="AG384" s="527" cm="1">
        <f t="array" aca="1" ref="AG3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4" s="526" cm="1">
        <f t="array" aca="1" ref="AH384" ca="1">IFERROR(COUNTIFS(
  unit_details[Property Name], INDIRECT("B"&amp;ROW()),
  unit_details[Floorplan Name], INDIRECT("C"&amp;ROW()),
  unit_details[Beds], INDIRECT("D"&amp;ROW()),
  unit_details[Detected Unit Amenities], "&lt;&gt;*"&amp;$AD$3&amp;"*",
  unit_details[Leased Date], "&gt;=" &amp; ($U$2 - $AF$3)
),0)</f>
        <v>0</v>
      </c>
      <c r="AI384" s="528"/>
      <c r="AJ384" s="531">
        <f t="shared" ca="1" si="16"/>
        <v>0</v>
      </c>
      <c r="AK384" s="532">
        <f t="shared" ca="1" si="17"/>
        <v>0</v>
      </c>
    </row>
    <row r="385" spans="10:37" x14ac:dyDescent="0.2">
      <c r="J385" s="293"/>
      <c r="N385" s="531" t="str" cm="1">
        <f t="array" aca="1" ref="N38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5" s="552" t="str" cm="1">
        <f t="array" aca="1" ref="O38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5" s="526" cm="1">
        <f t="array" aca="1" ref="P385" ca="1">COUNTIFS(unit_details[Leased Date], "&gt;=" &amp; ($U$2 - N$5),
          unit_details[Leased Date], "&lt;" &amp; $U$2,
          unit_details[Floorplan Name], INDIRECT("C"&amp;ROW()),
          unit_details[Property Name], INDIRECT("B"&amp;ROW()))</f>
        <v>0</v>
      </c>
      <c r="Q385" s="531" t="str" cm="1">
        <f t="array" aca="1" ref="Q38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5" s="552" t="str" cm="1">
        <f t="array" aca="1" ref="R38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5" s="526" cm="1">
        <f t="array" aca="1" ref="S385" ca="1">COUNTIFS(unit_details[Leased Date], "&gt;=" &amp; ($U$2 - Q$5),
          unit_details[Leased Date], "&lt;" &amp; $U$2,
          unit_details[Floorplan Name], INDIRECT("C"&amp;ROW()),
          unit_details[Property Name], INDIRECT("B"&amp;ROW()))</f>
        <v>0</v>
      </c>
      <c r="T385" s="531" t="str" cm="1">
        <f t="array" aca="1" ref="T38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5" s="552" t="str" cm="1">
        <f t="array" aca="1" ref="U38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5" s="526" cm="1">
        <f t="array" aca="1" ref="V385" ca="1">COUNTIFS(unit_details[Leased Date], "&gt;=" &amp; ($U$2 - T$5),
          unit_details[Leased Date], "&lt;" &amp; $U$2,
          unit_details[Floorplan Name], INDIRECT("C"&amp;ROW()),
          unit_details[Property Name], INDIRECT("B"&amp;ROW()))</f>
        <v>0</v>
      </c>
      <c r="W385" s="531" t="str" cm="1">
        <f t="array" aca="1" ref="W38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5" s="552" t="str" cm="1">
        <f t="array" aca="1" ref="X38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5" s="27" t="str">
        <f t="shared" ca="1" si="15"/>
        <v/>
      </c>
      <c r="Z385" s="4" t="str">
        <f>IFERROR($U$2-AVERAGEIFS(unit_details[First Listed],
          unit_details[Active Listing?],TRUE,
          unit_details[Property Name], $B385,
          unit_details[Beds], $D385,
          unit_details[Baths], $E385,
          unit_details[Partial Baths], IF(ISNUMBER($F385),$F385,""),
          unit_details[Floorplan Name],$C385
),"")</f>
        <v/>
      </c>
      <c r="AA385" s="262" cm="1">
        <f t="array" aca="1" ref="AA385" ca="1">COUNTIFS(unit_details[Active Listing?],TRUE,
          unit_details[Floorplan Name], INDIRECT("C"&amp;ROW()),
          unit_details[Property Name], INDIRECT("B"&amp;ROW()))</f>
        <v>0</v>
      </c>
      <c r="AB385" s="553"/>
      <c r="AC385" s="528" cm="1">
        <f t="array" aca="1" ref="AC385" ca="1">IFERROR(AVERAGEIFS(
  unit_details[Sqft],
  unit_details[Property Name], INDIRECT("B"&amp;ROW()),
  unit_details[Floorplan Name], INDIRECT("C"&amp;ROW()),
  unit_details[Beds], INDIRECT("D"&amp;ROW()),
  unit_details[Detected Unit Amenities], "*"&amp;$AD$3&amp;"*",
  unit_details[Leased Date], "&gt;=" &amp; ($U$2 - $AF$3)
),0)</f>
        <v>0</v>
      </c>
      <c r="AD385" s="527" cm="1">
        <f t="array" aca="1" ref="AD3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5" s="526" cm="1">
        <f t="array" aca="1" ref="AE385" ca="1">IFERROR(COUNTIFS(
  unit_details[Property Name], INDIRECT("B"&amp;ROW()),
  unit_details[Floorplan Name], INDIRECT("C"&amp;ROW()),
  unit_details[Beds], INDIRECT("D"&amp;ROW()),
  unit_details[Detected Unit Amenities], "*"&amp;$AD$3&amp;"*",
  unit_details[Leased Date], "&gt;=" &amp; ($U$2 - $AF$3)
),0)</f>
        <v>0</v>
      </c>
      <c r="AF385" s="528" cm="1">
        <f t="array" aca="1" ref="AF385" ca="1">IFERROR(AVERAGEIFS(
  unit_details[Sqft],
  unit_details[Property Name], INDIRECT("B"&amp;ROW()),
  unit_details[Floorplan Name], INDIRECT("C"&amp;ROW()),
  unit_details[Beds], INDIRECT("D"&amp;ROW()),
  unit_details[Detected Unit Amenities], "&lt;&gt;*"&amp;$AD$3&amp;"*",
  unit_details[Leased Date], "&gt;=" &amp; ($U$2 - $AF$3)
),0)</f>
        <v>0</v>
      </c>
      <c r="AG385" s="527" cm="1">
        <f t="array" aca="1" ref="AG3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5" s="526" cm="1">
        <f t="array" aca="1" ref="AH385" ca="1">IFERROR(COUNTIFS(
  unit_details[Property Name], INDIRECT("B"&amp;ROW()),
  unit_details[Floorplan Name], INDIRECT("C"&amp;ROW()),
  unit_details[Beds], INDIRECT("D"&amp;ROW()),
  unit_details[Detected Unit Amenities], "&lt;&gt;*"&amp;$AD$3&amp;"*",
  unit_details[Leased Date], "&gt;=" &amp; ($U$2 - $AF$3)
),0)</f>
        <v>0</v>
      </c>
      <c r="AI385" s="528"/>
      <c r="AJ385" s="531">
        <f t="shared" ca="1" si="16"/>
        <v>0</v>
      </c>
      <c r="AK385" s="532">
        <f t="shared" ca="1" si="17"/>
        <v>0</v>
      </c>
    </row>
    <row r="386" spans="10:37" x14ac:dyDescent="0.2">
      <c r="J386" s="293"/>
      <c r="N386" s="531" t="str" cm="1">
        <f t="array" aca="1" ref="N38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6" s="552" t="str" cm="1">
        <f t="array" aca="1" ref="O38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6" s="526" cm="1">
        <f t="array" aca="1" ref="P386" ca="1">COUNTIFS(unit_details[Leased Date], "&gt;=" &amp; ($U$2 - N$5),
          unit_details[Leased Date], "&lt;" &amp; $U$2,
          unit_details[Floorplan Name], INDIRECT("C"&amp;ROW()),
          unit_details[Property Name], INDIRECT("B"&amp;ROW()))</f>
        <v>0</v>
      </c>
      <c r="Q386" s="531" t="str" cm="1">
        <f t="array" aca="1" ref="Q38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6" s="552" t="str" cm="1">
        <f t="array" aca="1" ref="R38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6" s="526" cm="1">
        <f t="array" aca="1" ref="S386" ca="1">COUNTIFS(unit_details[Leased Date], "&gt;=" &amp; ($U$2 - Q$5),
          unit_details[Leased Date], "&lt;" &amp; $U$2,
          unit_details[Floorplan Name], INDIRECT("C"&amp;ROW()),
          unit_details[Property Name], INDIRECT("B"&amp;ROW()))</f>
        <v>0</v>
      </c>
      <c r="T386" s="531" t="str" cm="1">
        <f t="array" aca="1" ref="T38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6" s="552" t="str" cm="1">
        <f t="array" aca="1" ref="U38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6" s="526" cm="1">
        <f t="array" aca="1" ref="V386" ca="1">COUNTIFS(unit_details[Leased Date], "&gt;=" &amp; ($U$2 - T$5),
          unit_details[Leased Date], "&lt;" &amp; $U$2,
          unit_details[Floorplan Name], INDIRECT("C"&amp;ROW()),
          unit_details[Property Name], INDIRECT("B"&amp;ROW()))</f>
        <v>0</v>
      </c>
      <c r="W386" s="531" t="str" cm="1">
        <f t="array" aca="1" ref="W38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6" s="552" t="str" cm="1">
        <f t="array" aca="1" ref="X38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6" s="27" t="str">
        <f t="shared" ca="1" si="15"/>
        <v/>
      </c>
      <c r="Z386" s="4" t="str">
        <f>IFERROR($U$2-AVERAGEIFS(unit_details[First Listed],
          unit_details[Active Listing?],TRUE,
          unit_details[Property Name], $B386,
          unit_details[Beds], $D386,
          unit_details[Baths], $E386,
          unit_details[Partial Baths], IF(ISNUMBER($F386),$F386,""),
          unit_details[Floorplan Name],$C386
),"")</f>
        <v/>
      </c>
      <c r="AA386" s="262" cm="1">
        <f t="array" aca="1" ref="AA386" ca="1">COUNTIFS(unit_details[Active Listing?],TRUE,
          unit_details[Floorplan Name], INDIRECT("C"&amp;ROW()),
          unit_details[Property Name], INDIRECT("B"&amp;ROW()))</f>
        <v>0</v>
      </c>
      <c r="AB386" s="553"/>
      <c r="AC386" s="528" cm="1">
        <f t="array" aca="1" ref="AC386" ca="1">IFERROR(AVERAGEIFS(
  unit_details[Sqft],
  unit_details[Property Name], INDIRECT("B"&amp;ROW()),
  unit_details[Floorplan Name], INDIRECT("C"&amp;ROW()),
  unit_details[Beds], INDIRECT("D"&amp;ROW()),
  unit_details[Detected Unit Amenities], "*"&amp;$AD$3&amp;"*",
  unit_details[Leased Date], "&gt;=" &amp; ($U$2 - $AF$3)
),0)</f>
        <v>0</v>
      </c>
      <c r="AD386" s="527" cm="1">
        <f t="array" aca="1" ref="AD3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6" s="526" cm="1">
        <f t="array" aca="1" ref="AE386" ca="1">IFERROR(COUNTIFS(
  unit_details[Property Name], INDIRECT("B"&amp;ROW()),
  unit_details[Floorplan Name], INDIRECT("C"&amp;ROW()),
  unit_details[Beds], INDIRECT("D"&amp;ROW()),
  unit_details[Detected Unit Amenities], "*"&amp;$AD$3&amp;"*",
  unit_details[Leased Date], "&gt;=" &amp; ($U$2 - $AF$3)
),0)</f>
        <v>0</v>
      </c>
      <c r="AF386" s="528" cm="1">
        <f t="array" aca="1" ref="AF386" ca="1">IFERROR(AVERAGEIFS(
  unit_details[Sqft],
  unit_details[Property Name], INDIRECT("B"&amp;ROW()),
  unit_details[Floorplan Name], INDIRECT("C"&amp;ROW()),
  unit_details[Beds], INDIRECT("D"&amp;ROW()),
  unit_details[Detected Unit Amenities], "&lt;&gt;*"&amp;$AD$3&amp;"*",
  unit_details[Leased Date], "&gt;=" &amp; ($U$2 - $AF$3)
),0)</f>
        <v>0</v>
      </c>
      <c r="AG386" s="527" cm="1">
        <f t="array" aca="1" ref="AG3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6" s="526" cm="1">
        <f t="array" aca="1" ref="AH386" ca="1">IFERROR(COUNTIFS(
  unit_details[Property Name], INDIRECT("B"&amp;ROW()),
  unit_details[Floorplan Name], INDIRECT("C"&amp;ROW()),
  unit_details[Beds], INDIRECT("D"&amp;ROW()),
  unit_details[Detected Unit Amenities], "&lt;&gt;*"&amp;$AD$3&amp;"*",
  unit_details[Leased Date], "&gt;=" &amp; ($U$2 - $AF$3)
),0)</f>
        <v>0</v>
      </c>
      <c r="AI386" s="528"/>
      <c r="AJ386" s="531">
        <f t="shared" ca="1" si="16"/>
        <v>0</v>
      </c>
      <c r="AK386" s="532">
        <f t="shared" ca="1" si="17"/>
        <v>0</v>
      </c>
    </row>
    <row r="387" spans="10:37" x14ac:dyDescent="0.2">
      <c r="J387" s="293"/>
      <c r="N387" s="531" t="str" cm="1">
        <f t="array" aca="1" ref="N38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7" s="552" t="str" cm="1">
        <f t="array" aca="1" ref="O38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7" s="526" cm="1">
        <f t="array" aca="1" ref="P387" ca="1">COUNTIFS(unit_details[Leased Date], "&gt;=" &amp; ($U$2 - N$5),
          unit_details[Leased Date], "&lt;" &amp; $U$2,
          unit_details[Floorplan Name], INDIRECT("C"&amp;ROW()),
          unit_details[Property Name], INDIRECT("B"&amp;ROW()))</f>
        <v>0</v>
      </c>
      <c r="Q387" s="531" t="str" cm="1">
        <f t="array" aca="1" ref="Q38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7" s="552" t="str" cm="1">
        <f t="array" aca="1" ref="R38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7" s="526" cm="1">
        <f t="array" aca="1" ref="S387" ca="1">COUNTIFS(unit_details[Leased Date], "&gt;=" &amp; ($U$2 - Q$5),
          unit_details[Leased Date], "&lt;" &amp; $U$2,
          unit_details[Floorplan Name], INDIRECT("C"&amp;ROW()),
          unit_details[Property Name], INDIRECT("B"&amp;ROW()))</f>
        <v>0</v>
      </c>
      <c r="T387" s="531" t="str" cm="1">
        <f t="array" aca="1" ref="T38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7" s="552" t="str" cm="1">
        <f t="array" aca="1" ref="U38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7" s="526" cm="1">
        <f t="array" aca="1" ref="V387" ca="1">COUNTIFS(unit_details[Leased Date], "&gt;=" &amp; ($U$2 - T$5),
          unit_details[Leased Date], "&lt;" &amp; $U$2,
          unit_details[Floorplan Name], INDIRECT("C"&amp;ROW()),
          unit_details[Property Name], INDIRECT("B"&amp;ROW()))</f>
        <v>0</v>
      </c>
      <c r="W387" s="531" t="str" cm="1">
        <f t="array" aca="1" ref="W38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7" s="552" t="str" cm="1">
        <f t="array" aca="1" ref="X38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7" s="27" t="str">
        <f t="shared" ca="1" si="15"/>
        <v/>
      </c>
      <c r="Z387" s="4" t="str">
        <f>IFERROR($U$2-AVERAGEIFS(unit_details[First Listed],
          unit_details[Active Listing?],TRUE,
          unit_details[Property Name], $B387,
          unit_details[Beds], $D387,
          unit_details[Baths], $E387,
          unit_details[Partial Baths], IF(ISNUMBER($F387),$F387,""),
          unit_details[Floorplan Name],$C387
),"")</f>
        <v/>
      </c>
      <c r="AA387" s="262" cm="1">
        <f t="array" aca="1" ref="AA387" ca="1">COUNTIFS(unit_details[Active Listing?],TRUE,
          unit_details[Floorplan Name], INDIRECT("C"&amp;ROW()),
          unit_details[Property Name], INDIRECT("B"&amp;ROW()))</f>
        <v>0</v>
      </c>
      <c r="AB387" s="553"/>
      <c r="AC387" s="528" cm="1">
        <f t="array" aca="1" ref="AC387" ca="1">IFERROR(AVERAGEIFS(
  unit_details[Sqft],
  unit_details[Property Name], INDIRECT("B"&amp;ROW()),
  unit_details[Floorplan Name], INDIRECT("C"&amp;ROW()),
  unit_details[Beds], INDIRECT("D"&amp;ROW()),
  unit_details[Detected Unit Amenities], "*"&amp;$AD$3&amp;"*",
  unit_details[Leased Date], "&gt;=" &amp; ($U$2 - $AF$3)
),0)</f>
        <v>0</v>
      </c>
      <c r="AD387" s="527" cm="1">
        <f t="array" aca="1" ref="AD3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7" s="526" cm="1">
        <f t="array" aca="1" ref="AE387" ca="1">IFERROR(COUNTIFS(
  unit_details[Property Name], INDIRECT("B"&amp;ROW()),
  unit_details[Floorplan Name], INDIRECT("C"&amp;ROW()),
  unit_details[Beds], INDIRECT("D"&amp;ROW()),
  unit_details[Detected Unit Amenities], "*"&amp;$AD$3&amp;"*",
  unit_details[Leased Date], "&gt;=" &amp; ($U$2 - $AF$3)
),0)</f>
        <v>0</v>
      </c>
      <c r="AF387" s="528" cm="1">
        <f t="array" aca="1" ref="AF387" ca="1">IFERROR(AVERAGEIFS(
  unit_details[Sqft],
  unit_details[Property Name], INDIRECT("B"&amp;ROW()),
  unit_details[Floorplan Name], INDIRECT("C"&amp;ROW()),
  unit_details[Beds], INDIRECT("D"&amp;ROW()),
  unit_details[Detected Unit Amenities], "&lt;&gt;*"&amp;$AD$3&amp;"*",
  unit_details[Leased Date], "&gt;=" &amp; ($U$2 - $AF$3)
),0)</f>
        <v>0</v>
      </c>
      <c r="AG387" s="527" cm="1">
        <f t="array" aca="1" ref="AG3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7" s="526" cm="1">
        <f t="array" aca="1" ref="AH387" ca="1">IFERROR(COUNTIFS(
  unit_details[Property Name], INDIRECT("B"&amp;ROW()),
  unit_details[Floorplan Name], INDIRECT("C"&amp;ROW()),
  unit_details[Beds], INDIRECT("D"&amp;ROW()),
  unit_details[Detected Unit Amenities], "&lt;&gt;*"&amp;$AD$3&amp;"*",
  unit_details[Leased Date], "&gt;=" &amp; ($U$2 - $AF$3)
),0)</f>
        <v>0</v>
      </c>
      <c r="AI387" s="528"/>
      <c r="AJ387" s="531">
        <f t="shared" ca="1" si="16"/>
        <v>0</v>
      </c>
      <c r="AK387" s="532">
        <f t="shared" ca="1" si="17"/>
        <v>0</v>
      </c>
    </row>
    <row r="388" spans="10:37" x14ac:dyDescent="0.2">
      <c r="J388" s="293"/>
      <c r="N388" s="531" t="str" cm="1">
        <f t="array" aca="1" ref="N38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8" s="552" t="str" cm="1">
        <f t="array" aca="1" ref="O38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8" s="526" cm="1">
        <f t="array" aca="1" ref="P388" ca="1">COUNTIFS(unit_details[Leased Date], "&gt;=" &amp; ($U$2 - N$5),
          unit_details[Leased Date], "&lt;" &amp; $U$2,
          unit_details[Floorplan Name], INDIRECT("C"&amp;ROW()),
          unit_details[Property Name], INDIRECT("B"&amp;ROW()))</f>
        <v>0</v>
      </c>
      <c r="Q388" s="531" t="str" cm="1">
        <f t="array" aca="1" ref="Q38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8" s="552" t="str" cm="1">
        <f t="array" aca="1" ref="R38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8" s="526" cm="1">
        <f t="array" aca="1" ref="S388" ca="1">COUNTIFS(unit_details[Leased Date], "&gt;=" &amp; ($U$2 - Q$5),
          unit_details[Leased Date], "&lt;" &amp; $U$2,
          unit_details[Floorplan Name], INDIRECT("C"&amp;ROW()),
          unit_details[Property Name], INDIRECT("B"&amp;ROW()))</f>
        <v>0</v>
      </c>
      <c r="T388" s="531" t="str" cm="1">
        <f t="array" aca="1" ref="T38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8" s="552" t="str" cm="1">
        <f t="array" aca="1" ref="U38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8" s="526" cm="1">
        <f t="array" aca="1" ref="V388" ca="1">COUNTIFS(unit_details[Leased Date], "&gt;=" &amp; ($U$2 - T$5),
          unit_details[Leased Date], "&lt;" &amp; $U$2,
          unit_details[Floorplan Name], INDIRECT("C"&amp;ROW()),
          unit_details[Property Name], INDIRECT("B"&amp;ROW()))</f>
        <v>0</v>
      </c>
      <c r="W388" s="531" t="str" cm="1">
        <f t="array" aca="1" ref="W38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8" s="552" t="str" cm="1">
        <f t="array" aca="1" ref="X38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8" s="27" t="str">
        <f t="shared" ca="1" si="15"/>
        <v/>
      </c>
      <c r="Z388" s="4" t="str">
        <f>IFERROR($U$2-AVERAGEIFS(unit_details[First Listed],
          unit_details[Active Listing?],TRUE,
          unit_details[Property Name], $B388,
          unit_details[Beds], $D388,
          unit_details[Baths], $E388,
          unit_details[Partial Baths], IF(ISNUMBER($F388),$F388,""),
          unit_details[Floorplan Name],$C388
),"")</f>
        <v/>
      </c>
      <c r="AA388" s="262" cm="1">
        <f t="array" aca="1" ref="AA388" ca="1">COUNTIFS(unit_details[Active Listing?],TRUE,
          unit_details[Floorplan Name], INDIRECT("C"&amp;ROW()),
          unit_details[Property Name], INDIRECT("B"&amp;ROW()))</f>
        <v>0</v>
      </c>
      <c r="AB388" s="553"/>
      <c r="AC388" s="528" cm="1">
        <f t="array" aca="1" ref="AC388" ca="1">IFERROR(AVERAGEIFS(
  unit_details[Sqft],
  unit_details[Property Name], INDIRECT("B"&amp;ROW()),
  unit_details[Floorplan Name], INDIRECT("C"&amp;ROW()),
  unit_details[Beds], INDIRECT("D"&amp;ROW()),
  unit_details[Detected Unit Amenities], "*"&amp;$AD$3&amp;"*",
  unit_details[Leased Date], "&gt;=" &amp; ($U$2 - $AF$3)
),0)</f>
        <v>0</v>
      </c>
      <c r="AD388" s="527" cm="1">
        <f t="array" aca="1" ref="AD3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8" s="526" cm="1">
        <f t="array" aca="1" ref="AE388" ca="1">IFERROR(COUNTIFS(
  unit_details[Property Name], INDIRECT("B"&amp;ROW()),
  unit_details[Floorplan Name], INDIRECT("C"&amp;ROW()),
  unit_details[Beds], INDIRECT("D"&amp;ROW()),
  unit_details[Detected Unit Amenities], "*"&amp;$AD$3&amp;"*",
  unit_details[Leased Date], "&gt;=" &amp; ($U$2 - $AF$3)
),0)</f>
        <v>0</v>
      </c>
      <c r="AF388" s="528" cm="1">
        <f t="array" aca="1" ref="AF388" ca="1">IFERROR(AVERAGEIFS(
  unit_details[Sqft],
  unit_details[Property Name], INDIRECT("B"&amp;ROW()),
  unit_details[Floorplan Name], INDIRECT("C"&amp;ROW()),
  unit_details[Beds], INDIRECT("D"&amp;ROW()),
  unit_details[Detected Unit Amenities], "&lt;&gt;*"&amp;$AD$3&amp;"*",
  unit_details[Leased Date], "&gt;=" &amp; ($U$2 - $AF$3)
),0)</f>
        <v>0</v>
      </c>
      <c r="AG388" s="527" cm="1">
        <f t="array" aca="1" ref="AG3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8" s="526" cm="1">
        <f t="array" aca="1" ref="AH388" ca="1">IFERROR(COUNTIFS(
  unit_details[Property Name], INDIRECT("B"&amp;ROW()),
  unit_details[Floorplan Name], INDIRECT("C"&amp;ROW()),
  unit_details[Beds], INDIRECT("D"&amp;ROW()),
  unit_details[Detected Unit Amenities], "&lt;&gt;*"&amp;$AD$3&amp;"*",
  unit_details[Leased Date], "&gt;=" &amp; ($U$2 - $AF$3)
),0)</f>
        <v>0</v>
      </c>
      <c r="AI388" s="528"/>
      <c r="AJ388" s="531">
        <f t="shared" ca="1" si="16"/>
        <v>0</v>
      </c>
      <c r="AK388" s="532">
        <f t="shared" ca="1" si="17"/>
        <v>0</v>
      </c>
    </row>
    <row r="389" spans="10:37" x14ac:dyDescent="0.2">
      <c r="J389" s="293"/>
      <c r="N389" s="531" t="str" cm="1">
        <f t="array" aca="1" ref="N38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89" s="552" t="str" cm="1">
        <f t="array" aca="1" ref="O38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89" s="526" cm="1">
        <f t="array" aca="1" ref="P389" ca="1">COUNTIFS(unit_details[Leased Date], "&gt;=" &amp; ($U$2 - N$5),
          unit_details[Leased Date], "&lt;" &amp; $U$2,
          unit_details[Floorplan Name], INDIRECT("C"&amp;ROW()),
          unit_details[Property Name], INDIRECT("B"&amp;ROW()))</f>
        <v>0</v>
      </c>
      <c r="Q389" s="531" t="str" cm="1">
        <f t="array" aca="1" ref="Q38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89" s="552" t="str" cm="1">
        <f t="array" aca="1" ref="R38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89" s="526" cm="1">
        <f t="array" aca="1" ref="S389" ca="1">COUNTIFS(unit_details[Leased Date], "&gt;=" &amp; ($U$2 - Q$5),
          unit_details[Leased Date], "&lt;" &amp; $U$2,
          unit_details[Floorplan Name], INDIRECT("C"&amp;ROW()),
          unit_details[Property Name], INDIRECT("B"&amp;ROW()))</f>
        <v>0</v>
      </c>
      <c r="T389" s="531" t="str" cm="1">
        <f t="array" aca="1" ref="T38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89" s="552" t="str" cm="1">
        <f t="array" aca="1" ref="U38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89" s="526" cm="1">
        <f t="array" aca="1" ref="V389" ca="1">COUNTIFS(unit_details[Leased Date], "&gt;=" &amp; ($U$2 - T$5),
          unit_details[Leased Date], "&lt;" &amp; $U$2,
          unit_details[Floorplan Name], INDIRECT("C"&amp;ROW()),
          unit_details[Property Name], INDIRECT("B"&amp;ROW()))</f>
        <v>0</v>
      </c>
      <c r="W389" s="531" t="str" cm="1">
        <f t="array" aca="1" ref="W38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89" s="552" t="str" cm="1">
        <f t="array" aca="1" ref="X38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89" s="27" t="str">
        <f t="shared" ca="1" si="15"/>
        <v/>
      </c>
      <c r="Z389" s="4" t="str">
        <f>IFERROR($U$2-AVERAGEIFS(unit_details[First Listed],
          unit_details[Active Listing?],TRUE,
          unit_details[Property Name], $B389,
          unit_details[Beds], $D389,
          unit_details[Baths], $E389,
          unit_details[Partial Baths], IF(ISNUMBER($F389),$F389,""),
          unit_details[Floorplan Name],$C389
),"")</f>
        <v/>
      </c>
      <c r="AA389" s="262" cm="1">
        <f t="array" aca="1" ref="AA389" ca="1">COUNTIFS(unit_details[Active Listing?],TRUE,
          unit_details[Floorplan Name], INDIRECT("C"&amp;ROW()),
          unit_details[Property Name], INDIRECT("B"&amp;ROW()))</f>
        <v>0</v>
      </c>
      <c r="AB389" s="553"/>
      <c r="AC389" s="528" cm="1">
        <f t="array" aca="1" ref="AC389" ca="1">IFERROR(AVERAGEIFS(
  unit_details[Sqft],
  unit_details[Property Name], INDIRECT("B"&amp;ROW()),
  unit_details[Floorplan Name], INDIRECT("C"&amp;ROW()),
  unit_details[Beds], INDIRECT("D"&amp;ROW()),
  unit_details[Detected Unit Amenities], "*"&amp;$AD$3&amp;"*",
  unit_details[Leased Date], "&gt;=" &amp; ($U$2 - $AF$3)
),0)</f>
        <v>0</v>
      </c>
      <c r="AD389" s="527" cm="1">
        <f t="array" aca="1" ref="AD3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89" s="526" cm="1">
        <f t="array" aca="1" ref="AE389" ca="1">IFERROR(COUNTIFS(
  unit_details[Property Name], INDIRECT("B"&amp;ROW()),
  unit_details[Floorplan Name], INDIRECT("C"&amp;ROW()),
  unit_details[Beds], INDIRECT("D"&amp;ROW()),
  unit_details[Detected Unit Amenities], "*"&amp;$AD$3&amp;"*",
  unit_details[Leased Date], "&gt;=" &amp; ($U$2 - $AF$3)
),0)</f>
        <v>0</v>
      </c>
      <c r="AF389" s="528" cm="1">
        <f t="array" aca="1" ref="AF389" ca="1">IFERROR(AVERAGEIFS(
  unit_details[Sqft],
  unit_details[Property Name], INDIRECT("B"&amp;ROW()),
  unit_details[Floorplan Name], INDIRECT("C"&amp;ROW()),
  unit_details[Beds], INDIRECT("D"&amp;ROW()),
  unit_details[Detected Unit Amenities], "&lt;&gt;*"&amp;$AD$3&amp;"*",
  unit_details[Leased Date], "&gt;=" &amp; ($U$2 - $AF$3)
),0)</f>
        <v>0</v>
      </c>
      <c r="AG389" s="527" cm="1">
        <f t="array" aca="1" ref="AG3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89" s="526" cm="1">
        <f t="array" aca="1" ref="AH389" ca="1">IFERROR(COUNTIFS(
  unit_details[Property Name], INDIRECT("B"&amp;ROW()),
  unit_details[Floorplan Name], INDIRECT("C"&amp;ROW()),
  unit_details[Beds], INDIRECT("D"&amp;ROW()),
  unit_details[Detected Unit Amenities], "&lt;&gt;*"&amp;$AD$3&amp;"*",
  unit_details[Leased Date], "&gt;=" &amp; ($U$2 - $AF$3)
),0)</f>
        <v>0</v>
      </c>
      <c r="AI389" s="528"/>
      <c r="AJ389" s="531">
        <f t="shared" ca="1" si="16"/>
        <v>0</v>
      </c>
      <c r="AK389" s="532">
        <f t="shared" ca="1" si="17"/>
        <v>0</v>
      </c>
    </row>
    <row r="390" spans="10:37" x14ac:dyDescent="0.2">
      <c r="J390" s="293"/>
      <c r="N390" s="531" t="str" cm="1">
        <f t="array" aca="1" ref="N39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0" s="552" t="str" cm="1">
        <f t="array" aca="1" ref="O39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0" s="526" cm="1">
        <f t="array" aca="1" ref="P390" ca="1">COUNTIFS(unit_details[Leased Date], "&gt;=" &amp; ($U$2 - N$5),
          unit_details[Leased Date], "&lt;" &amp; $U$2,
          unit_details[Floorplan Name], INDIRECT("C"&amp;ROW()),
          unit_details[Property Name], INDIRECT("B"&amp;ROW()))</f>
        <v>0</v>
      </c>
      <c r="Q390" s="531" t="str" cm="1">
        <f t="array" aca="1" ref="Q39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0" s="552" t="str" cm="1">
        <f t="array" aca="1" ref="R39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0" s="526" cm="1">
        <f t="array" aca="1" ref="S390" ca="1">COUNTIFS(unit_details[Leased Date], "&gt;=" &amp; ($U$2 - Q$5),
          unit_details[Leased Date], "&lt;" &amp; $U$2,
          unit_details[Floorplan Name], INDIRECT("C"&amp;ROW()),
          unit_details[Property Name], INDIRECT("B"&amp;ROW()))</f>
        <v>0</v>
      </c>
      <c r="T390" s="531" t="str" cm="1">
        <f t="array" aca="1" ref="T39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0" s="552" t="str" cm="1">
        <f t="array" aca="1" ref="U39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0" s="526" cm="1">
        <f t="array" aca="1" ref="V390" ca="1">COUNTIFS(unit_details[Leased Date], "&gt;=" &amp; ($U$2 - T$5),
          unit_details[Leased Date], "&lt;" &amp; $U$2,
          unit_details[Floorplan Name], INDIRECT("C"&amp;ROW()),
          unit_details[Property Name], INDIRECT("B"&amp;ROW()))</f>
        <v>0</v>
      </c>
      <c r="W390" s="531" t="str" cm="1">
        <f t="array" aca="1" ref="W39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0" s="552" t="str" cm="1">
        <f t="array" aca="1" ref="X39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0" s="27" t="str">
        <f t="shared" ca="1" si="15"/>
        <v/>
      </c>
      <c r="Z390" s="4" t="str">
        <f>IFERROR($U$2-AVERAGEIFS(unit_details[First Listed],
          unit_details[Active Listing?],TRUE,
          unit_details[Property Name], $B390,
          unit_details[Beds], $D390,
          unit_details[Baths], $E390,
          unit_details[Partial Baths], IF(ISNUMBER($F390),$F390,""),
          unit_details[Floorplan Name],$C390
),"")</f>
        <v/>
      </c>
      <c r="AA390" s="262" cm="1">
        <f t="array" aca="1" ref="AA390" ca="1">COUNTIFS(unit_details[Active Listing?],TRUE,
          unit_details[Floorplan Name], INDIRECT("C"&amp;ROW()),
          unit_details[Property Name], INDIRECT("B"&amp;ROW()))</f>
        <v>0</v>
      </c>
      <c r="AB390" s="553"/>
      <c r="AC390" s="528" cm="1">
        <f t="array" aca="1" ref="AC390" ca="1">IFERROR(AVERAGEIFS(
  unit_details[Sqft],
  unit_details[Property Name], INDIRECT("B"&amp;ROW()),
  unit_details[Floorplan Name], INDIRECT("C"&amp;ROW()),
  unit_details[Beds], INDIRECT("D"&amp;ROW()),
  unit_details[Detected Unit Amenities], "*"&amp;$AD$3&amp;"*",
  unit_details[Leased Date], "&gt;=" &amp; ($U$2 - $AF$3)
),0)</f>
        <v>0</v>
      </c>
      <c r="AD390" s="527" cm="1">
        <f t="array" aca="1" ref="AD3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0" s="526" cm="1">
        <f t="array" aca="1" ref="AE390" ca="1">IFERROR(COUNTIFS(
  unit_details[Property Name], INDIRECT("B"&amp;ROW()),
  unit_details[Floorplan Name], INDIRECT("C"&amp;ROW()),
  unit_details[Beds], INDIRECT("D"&amp;ROW()),
  unit_details[Detected Unit Amenities], "*"&amp;$AD$3&amp;"*",
  unit_details[Leased Date], "&gt;=" &amp; ($U$2 - $AF$3)
),0)</f>
        <v>0</v>
      </c>
      <c r="AF390" s="528" cm="1">
        <f t="array" aca="1" ref="AF390" ca="1">IFERROR(AVERAGEIFS(
  unit_details[Sqft],
  unit_details[Property Name], INDIRECT("B"&amp;ROW()),
  unit_details[Floorplan Name], INDIRECT("C"&amp;ROW()),
  unit_details[Beds], INDIRECT("D"&amp;ROW()),
  unit_details[Detected Unit Amenities], "&lt;&gt;*"&amp;$AD$3&amp;"*",
  unit_details[Leased Date], "&gt;=" &amp; ($U$2 - $AF$3)
),0)</f>
        <v>0</v>
      </c>
      <c r="AG390" s="527" cm="1">
        <f t="array" aca="1" ref="AG3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0" s="526" cm="1">
        <f t="array" aca="1" ref="AH390" ca="1">IFERROR(COUNTIFS(
  unit_details[Property Name], INDIRECT("B"&amp;ROW()),
  unit_details[Floorplan Name], INDIRECT("C"&amp;ROW()),
  unit_details[Beds], INDIRECT("D"&amp;ROW()),
  unit_details[Detected Unit Amenities], "&lt;&gt;*"&amp;$AD$3&amp;"*",
  unit_details[Leased Date], "&gt;=" &amp; ($U$2 - $AF$3)
),0)</f>
        <v>0</v>
      </c>
      <c r="AI390" s="528"/>
      <c r="AJ390" s="531">
        <f t="shared" ca="1" si="16"/>
        <v>0</v>
      </c>
      <c r="AK390" s="532">
        <f t="shared" ca="1" si="17"/>
        <v>0</v>
      </c>
    </row>
    <row r="391" spans="10:37" x14ac:dyDescent="0.2">
      <c r="J391" s="293"/>
      <c r="N391" s="531" t="str" cm="1">
        <f t="array" aca="1" ref="N39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1" s="552" t="str" cm="1">
        <f t="array" aca="1" ref="O39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1" s="526" cm="1">
        <f t="array" aca="1" ref="P391" ca="1">COUNTIFS(unit_details[Leased Date], "&gt;=" &amp; ($U$2 - N$5),
          unit_details[Leased Date], "&lt;" &amp; $U$2,
          unit_details[Floorplan Name], INDIRECT("C"&amp;ROW()),
          unit_details[Property Name], INDIRECT("B"&amp;ROW()))</f>
        <v>0</v>
      </c>
      <c r="Q391" s="531" t="str" cm="1">
        <f t="array" aca="1" ref="Q39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1" s="552" t="str" cm="1">
        <f t="array" aca="1" ref="R39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1" s="526" cm="1">
        <f t="array" aca="1" ref="S391" ca="1">COUNTIFS(unit_details[Leased Date], "&gt;=" &amp; ($U$2 - Q$5),
          unit_details[Leased Date], "&lt;" &amp; $U$2,
          unit_details[Floorplan Name], INDIRECT("C"&amp;ROW()),
          unit_details[Property Name], INDIRECT("B"&amp;ROW()))</f>
        <v>0</v>
      </c>
      <c r="T391" s="531" t="str" cm="1">
        <f t="array" aca="1" ref="T39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1" s="552" t="str" cm="1">
        <f t="array" aca="1" ref="U39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1" s="526" cm="1">
        <f t="array" aca="1" ref="V391" ca="1">COUNTIFS(unit_details[Leased Date], "&gt;=" &amp; ($U$2 - T$5),
          unit_details[Leased Date], "&lt;" &amp; $U$2,
          unit_details[Floorplan Name], INDIRECT("C"&amp;ROW()),
          unit_details[Property Name], INDIRECT("B"&amp;ROW()))</f>
        <v>0</v>
      </c>
      <c r="W391" s="531" t="str" cm="1">
        <f t="array" aca="1" ref="W39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1" s="552" t="str" cm="1">
        <f t="array" aca="1" ref="X39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1" s="27" t="str">
        <f t="shared" ca="1" si="15"/>
        <v/>
      </c>
      <c r="Z391" s="4" t="str">
        <f>IFERROR($U$2-AVERAGEIFS(unit_details[First Listed],
          unit_details[Active Listing?],TRUE,
          unit_details[Property Name], $B391,
          unit_details[Beds], $D391,
          unit_details[Baths], $E391,
          unit_details[Partial Baths], IF(ISNUMBER($F391),$F391,""),
          unit_details[Floorplan Name],$C391
),"")</f>
        <v/>
      </c>
      <c r="AA391" s="262" cm="1">
        <f t="array" aca="1" ref="AA391" ca="1">COUNTIFS(unit_details[Active Listing?],TRUE,
          unit_details[Floorplan Name], INDIRECT("C"&amp;ROW()),
          unit_details[Property Name], INDIRECT("B"&amp;ROW()))</f>
        <v>0</v>
      </c>
      <c r="AB391" s="553"/>
      <c r="AC391" s="528" cm="1">
        <f t="array" aca="1" ref="AC391" ca="1">IFERROR(AVERAGEIFS(
  unit_details[Sqft],
  unit_details[Property Name], INDIRECT("B"&amp;ROW()),
  unit_details[Floorplan Name], INDIRECT("C"&amp;ROW()),
  unit_details[Beds], INDIRECT("D"&amp;ROW()),
  unit_details[Detected Unit Amenities], "*"&amp;$AD$3&amp;"*",
  unit_details[Leased Date], "&gt;=" &amp; ($U$2 - $AF$3)
),0)</f>
        <v>0</v>
      </c>
      <c r="AD391" s="527" cm="1">
        <f t="array" aca="1" ref="AD3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1" s="526" cm="1">
        <f t="array" aca="1" ref="AE391" ca="1">IFERROR(COUNTIFS(
  unit_details[Property Name], INDIRECT("B"&amp;ROW()),
  unit_details[Floorplan Name], INDIRECT("C"&amp;ROW()),
  unit_details[Beds], INDIRECT("D"&amp;ROW()),
  unit_details[Detected Unit Amenities], "*"&amp;$AD$3&amp;"*",
  unit_details[Leased Date], "&gt;=" &amp; ($U$2 - $AF$3)
),0)</f>
        <v>0</v>
      </c>
      <c r="AF391" s="528" cm="1">
        <f t="array" aca="1" ref="AF391" ca="1">IFERROR(AVERAGEIFS(
  unit_details[Sqft],
  unit_details[Property Name], INDIRECT("B"&amp;ROW()),
  unit_details[Floorplan Name], INDIRECT("C"&amp;ROW()),
  unit_details[Beds], INDIRECT("D"&amp;ROW()),
  unit_details[Detected Unit Amenities], "&lt;&gt;*"&amp;$AD$3&amp;"*",
  unit_details[Leased Date], "&gt;=" &amp; ($U$2 - $AF$3)
),0)</f>
        <v>0</v>
      </c>
      <c r="AG391" s="527" cm="1">
        <f t="array" aca="1" ref="AG3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1" s="526" cm="1">
        <f t="array" aca="1" ref="AH391" ca="1">IFERROR(COUNTIFS(
  unit_details[Property Name], INDIRECT("B"&amp;ROW()),
  unit_details[Floorplan Name], INDIRECT("C"&amp;ROW()),
  unit_details[Beds], INDIRECT("D"&amp;ROW()),
  unit_details[Detected Unit Amenities], "&lt;&gt;*"&amp;$AD$3&amp;"*",
  unit_details[Leased Date], "&gt;=" &amp; ($U$2 - $AF$3)
),0)</f>
        <v>0</v>
      </c>
      <c r="AI391" s="528"/>
      <c r="AJ391" s="531">
        <f t="shared" ca="1" si="16"/>
        <v>0</v>
      </c>
      <c r="AK391" s="532">
        <f t="shared" ca="1" si="17"/>
        <v>0</v>
      </c>
    </row>
    <row r="392" spans="10:37" x14ac:dyDescent="0.2">
      <c r="J392" s="293"/>
      <c r="N392" s="531" t="str" cm="1">
        <f t="array" aca="1" ref="N39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2" s="552" t="str" cm="1">
        <f t="array" aca="1" ref="O39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2" s="526" cm="1">
        <f t="array" aca="1" ref="P392" ca="1">COUNTIFS(unit_details[Leased Date], "&gt;=" &amp; ($U$2 - N$5),
          unit_details[Leased Date], "&lt;" &amp; $U$2,
          unit_details[Floorplan Name], INDIRECT("C"&amp;ROW()),
          unit_details[Property Name], INDIRECT("B"&amp;ROW()))</f>
        <v>0</v>
      </c>
      <c r="Q392" s="531" t="str" cm="1">
        <f t="array" aca="1" ref="Q39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2" s="552" t="str" cm="1">
        <f t="array" aca="1" ref="R39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2" s="526" cm="1">
        <f t="array" aca="1" ref="S392" ca="1">COUNTIFS(unit_details[Leased Date], "&gt;=" &amp; ($U$2 - Q$5),
          unit_details[Leased Date], "&lt;" &amp; $U$2,
          unit_details[Floorplan Name], INDIRECT("C"&amp;ROW()),
          unit_details[Property Name], INDIRECT("B"&amp;ROW()))</f>
        <v>0</v>
      </c>
      <c r="T392" s="531" t="str" cm="1">
        <f t="array" aca="1" ref="T39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2" s="552" t="str" cm="1">
        <f t="array" aca="1" ref="U39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2" s="526" cm="1">
        <f t="array" aca="1" ref="V392" ca="1">COUNTIFS(unit_details[Leased Date], "&gt;=" &amp; ($U$2 - T$5),
          unit_details[Leased Date], "&lt;" &amp; $U$2,
          unit_details[Floorplan Name], INDIRECT("C"&amp;ROW()),
          unit_details[Property Name], INDIRECT("B"&amp;ROW()))</f>
        <v>0</v>
      </c>
      <c r="W392" s="531" t="str" cm="1">
        <f t="array" aca="1" ref="W39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2" s="552" t="str" cm="1">
        <f t="array" aca="1" ref="X39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2" s="27" t="str">
        <f t="shared" ref="Y392:Y455" ca="1" si="18">IFERROR((W392-X392)/W392,"")</f>
        <v/>
      </c>
      <c r="Z392" s="4" t="str">
        <f>IFERROR($U$2-AVERAGEIFS(unit_details[First Listed],
          unit_details[Active Listing?],TRUE,
          unit_details[Property Name], $B392,
          unit_details[Beds], $D392,
          unit_details[Baths], $E392,
          unit_details[Partial Baths], IF(ISNUMBER($F392),$F392,""),
          unit_details[Floorplan Name],$C392
),"")</f>
        <v/>
      </c>
      <c r="AA392" s="262" cm="1">
        <f t="array" aca="1" ref="AA392" ca="1">COUNTIFS(unit_details[Active Listing?],TRUE,
          unit_details[Floorplan Name], INDIRECT("C"&amp;ROW()),
          unit_details[Property Name], INDIRECT("B"&amp;ROW()))</f>
        <v>0</v>
      </c>
      <c r="AB392" s="553"/>
      <c r="AC392" s="528" cm="1">
        <f t="array" aca="1" ref="AC392" ca="1">IFERROR(AVERAGEIFS(
  unit_details[Sqft],
  unit_details[Property Name], INDIRECT("B"&amp;ROW()),
  unit_details[Floorplan Name], INDIRECT("C"&amp;ROW()),
  unit_details[Beds], INDIRECT("D"&amp;ROW()),
  unit_details[Detected Unit Amenities], "*"&amp;$AD$3&amp;"*",
  unit_details[Leased Date], "&gt;=" &amp; ($U$2 - $AF$3)
),0)</f>
        <v>0</v>
      </c>
      <c r="AD392" s="527" cm="1">
        <f t="array" aca="1" ref="AD3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2" s="526" cm="1">
        <f t="array" aca="1" ref="AE392" ca="1">IFERROR(COUNTIFS(
  unit_details[Property Name], INDIRECT("B"&amp;ROW()),
  unit_details[Floorplan Name], INDIRECT("C"&amp;ROW()),
  unit_details[Beds], INDIRECT("D"&amp;ROW()),
  unit_details[Detected Unit Amenities], "*"&amp;$AD$3&amp;"*",
  unit_details[Leased Date], "&gt;=" &amp; ($U$2 - $AF$3)
),0)</f>
        <v>0</v>
      </c>
      <c r="AF392" s="528" cm="1">
        <f t="array" aca="1" ref="AF392" ca="1">IFERROR(AVERAGEIFS(
  unit_details[Sqft],
  unit_details[Property Name], INDIRECT("B"&amp;ROW()),
  unit_details[Floorplan Name], INDIRECT("C"&amp;ROW()),
  unit_details[Beds], INDIRECT("D"&amp;ROW()),
  unit_details[Detected Unit Amenities], "&lt;&gt;*"&amp;$AD$3&amp;"*",
  unit_details[Leased Date], "&gt;=" &amp; ($U$2 - $AF$3)
),0)</f>
        <v>0</v>
      </c>
      <c r="AG392" s="527" cm="1">
        <f t="array" aca="1" ref="AG3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2" s="526" cm="1">
        <f t="array" aca="1" ref="AH392" ca="1">IFERROR(COUNTIFS(
  unit_details[Property Name], INDIRECT("B"&amp;ROW()),
  unit_details[Floorplan Name], INDIRECT("C"&amp;ROW()),
  unit_details[Beds], INDIRECT("D"&amp;ROW()),
  unit_details[Detected Unit Amenities], "&lt;&gt;*"&amp;$AD$3&amp;"*",
  unit_details[Leased Date], "&gt;=" &amp; ($U$2 - $AF$3)
),0)</f>
        <v>0</v>
      </c>
      <c r="AI392" s="528"/>
      <c r="AJ392" s="531">
        <f t="shared" ca="1" si="16"/>
        <v>0</v>
      </c>
      <c r="AK392" s="532">
        <f t="shared" ca="1" si="17"/>
        <v>0</v>
      </c>
    </row>
    <row r="393" spans="10:37" x14ac:dyDescent="0.2">
      <c r="J393" s="293"/>
      <c r="N393" s="531" t="str" cm="1">
        <f t="array" aca="1" ref="N39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3" s="552" t="str" cm="1">
        <f t="array" aca="1" ref="O39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3" s="526" cm="1">
        <f t="array" aca="1" ref="P393" ca="1">COUNTIFS(unit_details[Leased Date], "&gt;=" &amp; ($U$2 - N$5),
          unit_details[Leased Date], "&lt;" &amp; $U$2,
          unit_details[Floorplan Name], INDIRECT("C"&amp;ROW()),
          unit_details[Property Name], INDIRECT("B"&amp;ROW()))</f>
        <v>0</v>
      </c>
      <c r="Q393" s="531" t="str" cm="1">
        <f t="array" aca="1" ref="Q39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3" s="552" t="str" cm="1">
        <f t="array" aca="1" ref="R39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3" s="526" cm="1">
        <f t="array" aca="1" ref="S393" ca="1">COUNTIFS(unit_details[Leased Date], "&gt;=" &amp; ($U$2 - Q$5),
          unit_details[Leased Date], "&lt;" &amp; $U$2,
          unit_details[Floorplan Name], INDIRECT("C"&amp;ROW()),
          unit_details[Property Name], INDIRECT("B"&amp;ROW()))</f>
        <v>0</v>
      </c>
      <c r="T393" s="531" t="str" cm="1">
        <f t="array" aca="1" ref="T39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3" s="552" t="str" cm="1">
        <f t="array" aca="1" ref="U39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3" s="526" cm="1">
        <f t="array" aca="1" ref="V393" ca="1">COUNTIFS(unit_details[Leased Date], "&gt;=" &amp; ($U$2 - T$5),
          unit_details[Leased Date], "&lt;" &amp; $U$2,
          unit_details[Floorplan Name], INDIRECT("C"&amp;ROW()),
          unit_details[Property Name], INDIRECT("B"&amp;ROW()))</f>
        <v>0</v>
      </c>
      <c r="W393" s="531" t="str" cm="1">
        <f t="array" aca="1" ref="W39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3" s="552" t="str" cm="1">
        <f t="array" aca="1" ref="X39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3" s="27" t="str">
        <f t="shared" ca="1" si="18"/>
        <v/>
      </c>
      <c r="Z393" s="4" t="str">
        <f>IFERROR($U$2-AVERAGEIFS(unit_details[First Listed],
          unit_details[Active Listing?],TRUE,
          unit_details[Property Name], $B393,
          unit_details[Beds], $D393,
          unit_details[Baths], $E393,
          unit_details[Partial Baths], IF(ISNUMBER($F393),$F393,""),
          unit_details[Floorplan Name],$C393
),"")</f>
        <v/>
      </c>
      <c r="AA393" s="262" cm="1">
        <f t="array" aca="1" ref="AA393" ca="1">COUNTIFS(unit_details[Active Listing?],TRUE,
          unit_details[Floorplan Name], INDIRECT("C"&amp;ROW()),
          unit_details[Property Name], INDIRECT("B"&amp;ROW()))</f>
        <v>0</v>
      </c>
      <c r="AB393" s="553"/>
      <c r="AC393" s="528" cm="1">
        <f t="array" aca="1" ref="AC393" ca="1">IFERROR(AVERAGEIFS(
  unit_details[Sqft],
  unit_details[Property Name], INDIRECT("B"&amp;ROW()),
  unit_details[Floorplan Name], INDIRECT("C"&amp;ROW()),
  unit_details[Beds], INDIRECT("D"&amp;ROW()),
  unit_details[Detected Unit Amenities], "*"&amp;$AD$3&amp;"*",
  unit_details[Leased Date], "&gt;=" &amp; ($U$2 - $AF$3)
),0)</f>
        <v>0</v>
      </c>
      <c r="AD393" s="527" cm="1">
        <f t="array" aca="1" ref="AD3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3" s="526" cm="1">
        <f t="array" aca="1" ref="AE393" ca="1">IFERROR(COUNTIFS(
  unit_details[Property Name], INDIRECT("B"&amp;ROW()),
  unit_details[Floorplan Name], INDIRECT("C"&amp;ROW()),
  unit_details[Beds], INDIRECT("D"&amp;ROW()),
  unit_details[Detected Unit Amenities], "*"&amp;$AD$3&amp;"*",
  unit_details[Leased Date], "&gt;=" &amp; ($U$2 - $AF$3)
),0)</f>
        <v>0</v>
      </c>
      <c r="AF393" s="528" cm="1">
        <f t="array" aca="1" ref="AF393" ca="1">IFERROR(AVERAGEIFS(
  unit_details[Sqft],
  unit_details[Property Name], INDIRECT("B"&amp;ROW()),
  unit_details[Floorplan Name], INDIRECT("C"&amp;ROW()),
  unit_details[Beds], INDIRECT("D"&amp;ROW()),
  unit_details[Detected Unit Amenities], "&lt;&gt;*"&amp;$AD$3&amp;"*",
  unit_details[Leased Date], "&gt;=" &amp; ($U$2 - $AF$3)
),0)</f>
        <v>0</v>
      </c>
      <c r="AG393" s="527" cm="1">
        <f t="array" aca="1" ref="AG3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3" s="526" cm="1">
        <f t="array" aca="1" ref="AH393" ca="1">IFERROR(COUNTIFS(
  unit_details[Property Name], INDIRECT("B"&amp;ROW()),
  unit_details[Floorplan Name], INDIRECT("C"&amp;ROW()),
  unit_details[Beds], INDIRECT("D"&amp;ROW()),
  unit_details[Detected Unit Amenities], "&lt;&gt;*"&amp;$AD$3&amp;"*",
  unit_details[Leased Date], "&gt;=" &amp; ($U$2 - $AF$3)
),0)</f>
        <v>0</v>
      </c>
      <c r="AI393" s="528"/>
      <c r="AJ393" s="531">
        <f t="shared" ref="AJ393:AJ456" ca="1" si="19">IF(OR(AD393=0,AG393=0),0,IFERROR(AD393-AG393,0))</f>
        <v>0</v>
      </c>
      <c r="AK393" s="532">
        <f t="shared" ref="AK393:AK456" ca="1" si="20">IFERROR(AJ393/AG393,0)</f>
        <v>0</v>
      </c>
    </row>
    <row r="394" spans="10:37" x14ac:dyDescent="0.2">
      <c r="J394" s="293"/>
      <c r="N394" s="531" t="str" cm="1">
        <f t="array" aca="1" ref="N39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4" s="552" t="str" cm="1">
        <f t="array" aca="1" ref="O39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4" s="526" cm="1">
        <f t="array" aca="1" ref="P394" ca="1">COUNTIFS(unit_details[Leased Date], "&gt;=" &amp; ($U$2 - N$5),
          unit_details[Leased Date], "&lt;" &amp; $U$2,
          unit_details[Floorplan Name], INDIRECT("C"&amp;ROW()),
          unit_details[Property Name], INDIRECT("B"&amp;ROW()))</f>
        <v>0</v>
      </c>
      <c r="Q394" s="531" t="str" cm="1">
        <f t="array" aca="1" ref="Q39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4" s="552" t="str" cm="1">
        <f t="array" aca="1" ref="R39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4" s="526" cm="1">
        <f t="array" aca="1" ref="S394" ca="1">COUNTIFS(unit_details[Leased Date], "&gt;=" &amp; ($U$2 - Q$5),
          unit_details[Leased Date], "&lt;" &amp; $U$2,
          unit_details[Floorplan Name], INDIRECT("C"&amp;ROW()),
          unit_details[Property Name], INDIRECT("B"&amp;ROW()))</f>
        <v>0</v>
      </c>
      <c r="T394" s="531" t="str" cm="1">
        <f t="array" aca="1" ref="T39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4" s="552" t="str" cm="1">
        <f t="array" aca="1" ref="U39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4" s="526" cm="1">
        <f t="array" aca="1" ref="V394" ca="1">COUNTIFS(unit_details[Leased Date], "&gt;=" &amp; ($U$2 - T$5),
          unit_details[Leased Date], "&lt;" &amp; $U$2,
          unit_details[Floorplan Name], INDIRECT("C"&amp;ROW()),
          unit_details[Property Name], INDIRECT("B"&amp;ROW()))</f>
        <v>0</v>
      </c>
      <c r="W394" s="531" t="str" cm="1">
        <f t="array" aca="1" ref="W39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4" s="552" t="str" cm="1">
        <f t="array" aca="1" ref="X39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4" s="27" t="str">
        <f t="shared" ca="1" si="18"/>
        <v/>
      </c>
      <c r="Z394" s="4" t="str">
        <f>IFERROR($U$2-AVERAGEIFS(unit_details[First Listed],
          unit_details[Active Listing?],TRUE,
          unit_details[Property Name], $B394,
          unit_details[Beds], $D394,
          unit_details[Baths], $E394,
          unit_details[Partial Baths], IF(ISNUMBER($F394),$F394,""),
          unit_details[Floorplan Name],$C394
),"")</f>
        <v/>
      </c>
      <c r="AA394" s="262" cm="1">
        <f t="array" aca="1" ref="AA394" ca="1">COUNTIFS(unit_details[Active Listing?],TRUE,
          unit_details[Floorplan Name], INDIRECT("C"&amp;ROW()),
          unit_details[Property Name], INDIRECT("B"&amp;ROW()))</f>
        <v>0</v>
      </c>
      <c r="AB394" s="553"/>
      <c r="AC394" s="528" cm="1">
        <f t="array" aca="1" ref="AC394" ca="1">IFERROR(AVERAGEIFS(
  unit_details[Sqft],
  unit_details[Property Name], INDIRECT("B"&amp;ROW()),
  unit_details[Floorplan Name], INDIRECT("C"&amp;ROW()),
  unit_details[Beds], INDIRECT("D"&amp;ROW()),
  unit_details[Detected Unit Amenities], "*"&amp;$AD$3&amp;"*",
  unit_details[Leased Date], "&gt;=" &amp; ($U$2 - $AF$3)
),0)</f>
        <v>0</v>
      </c>
      <c r="AD394" s="527" cm="1">
        <f t="array" aca="1" ref="AD3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4" s="526" cm="1">
        <f t="array" aca="1" ref="AE394" ca="1">IFERROR(COUNTIFS(
  unit_details[Property Name], INDIRECT("B"&amp;ROW()),
  unit_details[Floorplan Name], INDIRECT("C"&amp;ROW()),
  unit_details[Beds], INDIRECT("D"&amp;ROW()),
  unit_details[Detected Unit Amenities], "*"&amp;$AD$3&amp;"*",
  unit_details[Leased Date], "&gt;=" &amp; ($U$2 - $AF$3)
),0)</f>
        <v>0</v>
      </c>
      <c r="AF394" s="528" cm="1">
        <f t="array" aca="1" ref="AF394" ca="1">IFERROR(AVERAGEIFS(
  unit_details[Sqft],
  unit_details[Property Name], INDIRECT("B"&amp;ROW()),
  unit_details[Floorplan Name], INDIRECT("C"&amp;ROW()),
  unit_details[Beds], INDIRECT("D"&amp;ROW()),
  unit_details[Detected Unit Amenities], "&lt;&gt;*"&amp;$AD$3&amp;"*",
  unit_details[Leased Date], "&gt;=" &amp; ($U$2 - $AF$3)
),0)</f>
        <v>0</v>
      </c>
      <c r="AG394" s="527" cm="1">
        <f t="array" aca="1" ref="AG3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4" s="526" cm="1">
        <f t="array" aca="1" ref="AH394" ca="1">IFERROR(COUNTIFS(
  unit_details[Property Name], INDIRECT("B"&amp;ROW()),
  unit_details[Floorplan Name], INDIRECT("C"&amp;ROW()),
  unit_details[Beds], INDIRECT("D"&amp;ROW()),
  unit_details[Detected Unit Amenities], "&lt;&gt;*"&amp;$AD$3&amp;"*",
  unit_details[Leased Date], "&gt;=" &amp; ($U$2 - $AF$3)
),0)</f>
        <v>0</v>
      </c>
      <c r="AI394" s="528"/>
      <c r="AJ394" s="531">
        <f t="shared" ca="1" si="19"/>
        <v>0</v>
      </c>
      <c r="AK394" s="532">
        <f t="shared" ca="1" si="20"/>
        <v>0</v>
      </c>
    </row>
    <row r="395" spans="10:37" x14ac:dyDescent="0.2">
      <c r="J395" s="293"/>
      <c r="N395" s="531" t="str" cm="1">
        <f t="array" aca="1" ref="N39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5" s="552" t="str" cm="1">
        <f t="array" aca="1" ref="O39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5" s="526" cm="1">
        <f t="array" aca="1" ref="P395" ca="1">COUNTIFS(unit_details[Leased Date], "&gt;=" &amp; ($U$2 - N$5),
          unit_details[Leased Date], "&lt;" &amp; $U$2,
          unit_details[Floorplan Name], INDIRECT("C"&amp;ROW()),
          unit_details[Property Name], INDIRECT("B"&amp;ROW()))</f>
        <v>0</v>
      </c>
      <c r="Q395" s="531" t="str" cm="1">
        <f t="array" aca="1" ref="Q39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5" s="552" t="str" cm="1">
        <f t="array" aca="1" ref="R39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5" s="526" cm="1">
        <f t="array" aca="1" ref="S395" ca="1">COUNTIFS(unit_details[Leased Date], "&gt;=" &amp; ($U$2 - Q$5),
          unit_details[Leased Date], "&lt;" &amp; $U$2,
          unit_details[Floorplan Name], INDIRECT("C"&amp;ROW()),
          unit_details[Property Name], INDIRECT("B"&amp;ROW()))</f>
        <v>0</v>
      </c>
      <c r="T395" s="531" t="str" cm="1">
        <f t="array" aca="1" ref="T39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5" s="552" t="str" cm="1">
        <f t="array" aca="1" ref="U39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5" s="526" cm="1">
        <f t="array" aca="1" ref="V395" ca="1">COUNTIFS(unit_details[Leased Date], "&gt;=" &amp; ($U$2 - T$5),
          unit_details[Leased Date], "&lt;" &amp; $U$2,
          unit_details[Floorplan Name], INDIRECT("C"&amp;ROW()),
          unit_details[Property Name], INDIRECT("B"&amp;ROW()))</f>
        <v>0</v>
      </c>
      <c r="W395" s="531" t="str" cm="1">
        <f t="array" aca="1" ref="W39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5" s="552" t="str" cm="1">
        <f t="array" aca="1" ref="X39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5" s="27" t="str">
        <f t="shared" ca="1" si="18"/>
        <v/>
      </c>
      <c r="Z395" s="4" t="str">
        <f>IFERROR($U$2-AVERAGEIFS(unit_details[First Listed],
          unit_details[Active Listing?],TRUE,
          unit_details[Property Name], $B395,
          unit_details[Beds], $D395,
          unit_details[Baths], $E395,
          unit_details[Partial Baths], IF(ISNUMBER($F395),$F395,""),
          unit_details[Floorplan Name],$C395
),"")</f>
        <v/>
      </c>
      <c r="AA395" s="262" cm="1">
        <f t="array" aca="1" ref="AA395" ca="1">COUNTIFS(unit_details[Active Listing?],TRUE,
          unit_details[Floorplan Name], INDIRECT("C"&amp;ROW()),
          unit_details[Property Name], INDIRECT("B"&amp;ROW()))</f>
        <v>0</v>
      </c>
      <c r="AB395" s="553"/>
      <c r="AC395" s="528" cm="1">
        <f t="array" aca="1" ref="AC395" ca="1">IFERROR(AVERAGEIFS(
  unit_details[Sqft],
  unit_details[Property Name], INDIRECT("B"&amp;ROW()),
  unit_details[Floorplan Name], INDIRECT("C"&amp;ROW()),
  unit_details[Beds], INDIRECT("D"&amp;ROW()),
  unit_details[Detected Unit Amenities], "*"&amp;$AD$3&amp;"*",
  unit_details[Leased Date], "&gt;=" &amp; ($U$2 - $AF$3)
),0)</f>
        <v>0</v>
      </c>
      <c r="AD395" s="527" cm="1">
        <f t="array" aca="1" ref="AD3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5" s="526" cm="1">
        <f t="array" aca="1" ref="AE395" ca="1">IFERROR(COUNTIFS(
  unit_details[Property Name], INDIRECT("B"&amp;ROW()),
  unit_details[Floorplan Name], INDIRECT("C"&amp;ROW()),
  unit_details[Beds], INDIRECT("D"&amp;ROW()),
  unit_details[Detected Unit Amenities], "*"&amp;$AD$3&amp;"*",
  unit_details[Leased Date], "&gt;=" &amp; ($U$2 - $AF$3)
),0)</f>
        <v>0</v>
      </c>
      <c r="AF395" s="528" cm="1">
        <f t="array" aca="1" ref="AF395" ca="1">IFERROR(AVERAGEIFS(
  unit_details[Sqft],
  unit_details[Property Name], INDIRECT("B"&amp;ROW()),
  unit_details[Floorplan Name], INDIRECT("C"&amp;ROW()),
  unit_details[Beds], INDIRECT("D"&amp;ROW()),
  unit_details[Detected Unit Amenities], "&lt;&gt;*"&amp;$AD$3&amp;"*",
  unit_details[Leased Date], "&gt;=" &amp; ($U$2 - $AF$3)
),0)</f>
        <v>0</v>
      </c>
      <c r="AG395" s="527" cm="1">
        <f t="array" aca="1" ref="AG3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5" s="526" cm="1">
        <f t="array" aca="1" ref="AH395" ca="1">IFERROR(COUNTIFS(
  unit_details[Property Name], INDIRECT("B"&amp;ROW()),
  unit_details[Floorplan Name], INDIRECT("C"&amp;ROW()),
  unit_details[Beds], INDIRECT("D"&amp;ROW()),
  unit_details[Detected Unit Amenities], "&lt;&gt;*"&amp;$AD$3&amp;"*",
  unit_details[Leased Date], "&gt;=" &amp; ($U$2 - $AF$3)
),0)</f>
        <v>0</v>
      </c>
      <c r="AI395" s="528"/>
      <c r="AJ395" s="531">
        <f t="shared" ca="1" si="19"/>
        <v>0</v>
      </c>
      <c r="AK395" s="532">
        <f t="shared" ca="1" si="20"/>
        <v>0</v>
      </c>
    </row>
    <row r="396" spans="10:37" x14ac:dyDescent="0.2">
      <c r="J396" s="293"/>
      <c r="N396" s="531" t="str" cm="1">
        <f t="array" aca="1" ref="N39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6" s="552" t="str" cm="1">
        <f t="array" aca="1" ref="O39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6" s="526" cm="1">
        <f t="array" aca="1" ref="P396" ca="1">COUNTIFS(unit_details[Leased Date], "&gt;=" &amp; ($U$2 - N$5),
          unit_details[Leased Date], "&lt;" &amp; $U$2,
          unit_details[Floorplan Name], INDIRECT("C"&amp;ROW()),
          unit_details[Property Name], INDIRECT("B"&amp;ROW()))</f>
        <v>0</v>
      </c>
      <c r="Q396" s="531" t="str" cm="1">
        <f t="array" aca="1" ref="Q39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6" s="552" t="str" cm="1">
        <f t="array" aca="1" ref="R39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6" s="526" cm="1">
        <f t="array" aca="1" ref="S396" ca="1">COUNTIFS(unit_details[Leased Date], "&gt;=" &amp; ($U$2 - Q$5),
          unit_details[Leased Date], "&lt;" &amp; $U$2,
          unit_details[Floorplan Name], INDIRECT("C"&amp;ROW()),
          unit_details[Property Name], INDIRECT("B"&amp;ROW()))</f>
        <v>0</v>
      </c>
      <c r="T396" s="531" t="str" cm="1">
        <f t="array" aca="1" ref="T39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6" s="552" t="str" cm="1">
        <f t="array" aca="1" ref="U39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6" s="526" cm="1">
        <f t="array" aca="1" ref="V396" ca="1">COUNTIFS(unit_details[Leased Date], "&gt;=" &amp; ($U$2 - T$5),
          unit_details[Leased Date], "&lt;" &amp; $U$2,
          unit_details[Floorplan Name], INDIRECT("C"&amp;ROW()),
          unit_details[Property Name], INDIRECT("B"&amp;ROW()))</f>
        <v>0</v>
      </c>
      <c r="W396" s="531" t="str" cm="1">
        <f t="array" aca="1" ref="W39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6" s="552" t="str" cm="1">
        <f t="array" aca="1" ref="X39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6" s="27" t="str">
        <f t="shared" ca="1" si="18"/>
        <v/>
      </c>
      <c r="Z396" s="4" t="str">
        <f>IFERROR($U$2-AVERAGEIFS(unit_details[First Listed],
          unit_details[Active Listing?],TRUE,
          unit_details[Property Name], $B396,
          unit_details[Beds], $D396,
          unit_details[Baths], $E396,
          unit_details[Partial Baths], IF(ISNUMBER($F396),$F396,""),
          unit_details[Floorplan Name],$C396
),"")</f>
        <v/>
      </c>
      <c r="AA396" s="262" cm="1">
        <f t="array" aca="1" ref="AA396" ca="1">COUNTIFS(unit_details[Active Listing?],TRUE,
          unit_details[Floorplan Name], INDIRECT("C"&amp;ROW()),
          unit_details[Property Name], INDIRECT("B"&amp;ROW()))</f>
        <v>0</v>
      </c>
      <c r="AB396" s="553"/>
      <c r="AC396" s="528" cm="1">
        <f t="array" aca="1" ref="AC396" ca="1">IFERROR(AVERAGEIFS(
  unit_details[Sqft],
  unit_details[Property Name], INDIRECT("B"&amp;ROW()),
  unit_details[Floorplan Name], INDIRECT("C"&amp;ROW()),
  unit_details[Beds], INDIRECT("D"&amp;ROW()),
  unit_details[Detected Unit Amenities], "*"&amp;$AD$3&amp;"*",
  unit_details[Leased Date], "&gt;=" &amp; ($U$2 - $AF$3)
),0)</f>
        <v>0</v>
      </c>
      <c r="AD396" s="527" cm="1">
        <f t="array" aca="1" ref="AD3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6" s="526" cm="1">
        <f t="array" aca="1" ref="AE396" ca="1">IFERROR(COUNTIFS(
  unit_details[Property Name], INDIRECT("B"&amp;ROW()),
  unit_details[Floorplan Name], INDIRECT("C"&amp;ROW()),
  unit_details[Beds], INDIRECT("D"&amp;ROW()),
  unit_details[Detected Unit Amenities], "*"&amp;$AD$3&amp;"*",
  unit_details[Leased Date], "&gt;=" &amp; ($U$2 - $AF$3)
),0)</f>
        <v>0</v>
      </c>
      <c r="AF396" s="528" cm="1">
        <f t="array" aca="1" ref="AF396" ca="1">IFERROR(AVERAGEIFS(
  unit_details[Sqft],
  unit_details[Property Name], INDIRECT("B"&amp;ROW()),
  unit_details[Floorplan Name], INDIRECT("C"&amp;ROW()),
  unit_details[Beds], INDIRECT("D"&amp;ROW()),
  unit_details[Detected Unit Amenities], "&lt;&gt;*"&amp;$AD$3&amp;"*",
  unit_details[Leased Date], "&gt;=" &amp; ($U$2 - $AF$3)
),0)</f>
        <v>0</v>
      </c>
      <c r="AG396" s="527" cm="1">
        <f t="array" aca="1" ref="AG3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6" s="526" cm="1">
        <f t="array" aca="1" ref="AH396" ca="1">IFERROR(COUNTIFS(
  unit_details[Property Name], INDIRECT("B"&amp;ROW()),
  unit_details[Floorplan Name], INDIRECT("C"&amp;ROW()),
  unit_details[Beds], INDIRECT("D"&amp;ROW()),
  unit_details[Detected Unit Amenities], "&lt;&gt;*"&amp;$AD$3&amp;"*",
  unit_details[Leased Date], "&gt;=" &amp; ($U$2 - $AF$3)
),0)</f>
        <v>0</v>
      </c>
      <c r="AI396" s="528"/>
      <c r="AJ396" s="531">
        <f t="shared" ca="1" si="19"/>
        <v>0</v>
      </c>
      <c r="AK396" s="532">
        <f t="shared" ca="1" si="20"/>
        <v>0</v>
      </c>
    </row>
    <row r="397" spans="10:37" x14ac:dyDescent="0.2">
      <c r="J397" s="293"/>
      <c r="N397" s="531" t="str" cm="1">
        <f t="array" aca="1" ref="N39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7" s="552" t="str" cm="1">
        <f t="array" aca="1" ref="O39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7" s="526" cm="1">
        <f t="array" aca="1" ref="P397" ca="1">COUNTIFS(unit_details[Leased Date], "&gt;=" &amp; ($U$2 - N$5),
          unit_details[Leased Date], "&lt;" &amp; $U$2,
          unit_details[Floorplan Name], INDIRECT("C"&amp;ROW()),
          unit_details[Property Name], INDIRECT("B"&amp;ROW()))</f>
        <v>0</v>
      </c>
      <c r="Q397" s="531" t="str" cm="1">
        <f t="array" aca="1" ref="Q39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7" s="552" t="str" cm="1">
        <f t="array" aca="1" ref="R39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7" s="526" cm="1">
        <f t="array" aca="1" ref="S397" ca="1">COUNTIFS(unit_details[Leased Date], "&gt;=" &amp; ($U$2 - Q$5),
          unit_details[Leased Date], "&lt;" &amp; $U$2,
          unit_details[Floorplan Name], INDIRECT("C"&amp;ROW()),
          unit_details[Property Name], INDIRECT("B"&amp;ROW()))</f>
        <v>0</v>
      </c>
      <c r="T397" s="531" t="str" cm="1">
        <f t="array" aca="1" ref="T39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7" s="552" t="str" cm="1">
        <f t="array" aca="1" ref="U39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7" s="526" cm="1">
        <f t="array" aca="1" ref="V397" ca="1">COUNTIFS(unit_details[Leased Date], "&gt;=" &amp; ($U$2 - T$5),
          unit_details[Leased Date], "&lt;" &amp; $U$2,
          unit_details[Floorplan Name], INDIRECT("C"&amp;ROW()),
          unit_details[Property Name], INDIRECT("B"&amp;ROW()))</f>
        <v>0</v>
      </c>
      <c r="W397" s="531" t="str" cm="1">
        <f t="array" aca="1" ref="W39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7" s="552" t="str" cm="1">
        <f t="array" aca="1" ref="X39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7" s="27" t="str">
        <f t="shared" ca="1" si="18"/>
        <v/>
      </c>
      <c r="Z397" s="4" t="str">
        <f>IFERROR($U$2-AVERAGEIFS(unit_details[First Listed],
          unit_details[Active Listing?],TRUE,
          unit_details[Property Name], $B397,
          unit_details[Beds], $D397,
          unit_details[Baths], $E397,
          unit_details[Partial Baths], IF(ISNUMBER($F397),$F397,""),
          unit_details[Floorplan Name],$C397
),"")</f>
        <v/>
      </c>
      <c r="AA397" s="262" cm="1">
        <f t="array" aca="1" ref="AA397" ca="1">COUNTIFS(unit_details[Active Listing?],TRUE,
          unit_details[Floorplan Name], INDIRECT("C"&amp;ROW()),
          unit_details[Property Name], INDIRECT("B"&amp;ROW()))</f>
        <v>0</v>
      </c>
      <c r="AB397" s="553"/>
      <c r="AC397" s="528" cm="1">
        <f t="array" aca="1" ref="AC397" ca="1">IFERROR(AVERAGEIFS(
  unit_details[Sqft],
  unit_details[Property Name], INDIRECT("B"&amp;ROW()),
  unit_details[Floorplan Name], INDIRECT("C"&amp;ROW()),
  unit_details[Beds], INDIRECT("D"&amp;ROW()),
  unit_details[Detected Unit Amenities], "*"&amp;$AD$3&amp;"*",
  unit_details[Leased Date], "&gt;=" &amp; ($U$2 - $AF$3)
),0)</f>
        <v>0</v>
      </c>
      <c r="AD397" s="527" cm="1">
        <f t="array" aca="1" ref="AD3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7" s="526" cm="1">
        <f t="array" aca="1" ref="AE397" ca="1">IFERROR(COUNTIFS(
  unit_details[Property Name], INDIRECT("B"&amp;ROW()),
  unit_details[Floorplan Name], INDIRECT("C"&amp;ROW()),
  unit_details[Beds], INDIRECT("D"&amp;ROW()),
  unit_details[Detected Unit Amenities], "*"&amp;$AD$3&amp;"*",
  unit_details[Leased Date], "&gt;=" &amp; ($U$2 - $AF$3)
),0)</f>
        <v>0</v>
      </c>
      <c r="AF397" s="528" cm="1">
        <f t="array" aca="1" ref="AF397" ca="1">IFERROR(AVERAGEIFS(
  unit_details[Sqft],
  unit_details[Property Name], INDIRECT("B"&amp;ROW()),
  unit_details[Floorplan Name], INDIRECT("C"&amp;ROW()),
  unit_details[Beds], INDIRECT("D"&amp;ROW()),
  unit_details[Detected Unit Amenities], "&lt;&gt;*"&amp;$AD$3&amp;"*",
  unit_details[Leased Date], "&gt;=" &amp; ($U$2 - $AF$3)
),0)</f>
        <v>0</v>
      </c>
      <c r="AG397" s="527" cm="1">
        <f t="array" aca="1" ref="AG3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7" s="526" cm="1">
        <f t="array" aca="1" ref="AH397" ca="1">IFERROR(COUNTIFS(
  unit_details[Property Name], INDIRECT("B"&amp;ROW()),
  unit_details[Floorplan Name], INDIRECT("C"&amp;ROW()),
  unit_details[Beds], INDIRECT("D"&amp;ROW()),
  unit_details[Detected Unit Amenities], "&lt;&gt;*"&amp;$AD$3&amp;"*",
  unit_details[Leased Date], "&gt;=" &amp; ($U$2 - $AF$3)
),0)</f>
        <v>0</v>
      </c>
      <c r="AI397" s="528"/>
      <c r="AJ397" s="531">
        <f t="shared" ca="1" si="19"/>
        <v>0</v>
      </c>
      <c r="AK397" s="532">
        <f t="shared" ca="1" si="20"/>
        <v>0</v>
      </c>
    </row>
    <row r="398" spans="10:37" x14ac:dyDescent="0.2">
      <c r="J398" s="293"/>
      <c r="N398" s="531" t="str" cm="1">
        <f t="array" aca="1" ref="N39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8" s="552" t="str" cm="1">
        <f t="array" aca="1" ref="O39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8" s="526" cm="1">
        <f t="array" aca="1" ref="P398" ca="1">COUNTIFS(unit_details[Leased Date], "&gt;=" &amp; ($U$2 - N$5),
          unit_details[Leased Date], "&lt;" &amp; $U$2,
          unit_details[Floorplan Name], INDIRECT("C"&amp;ROW()),
          unit_details[Property Name], INDIRECT("B"&amp;ROW()))</f>
        <v>0</v>
      </c>
      <c r="Q398" s="531" t="str" cm="1">
        <f t="array" aca="1" ref="Q39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8" s="552" t="str" cm="1">
        <f t="array" aca="1" ref="R39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8" s="526" cm="1">
        <f t="array" aca="1" ref="S398" ca="1">COUNTIFS(unit_details[Leased Date], "&gt;=" &amp; ($U$2 - Q$5),
          unit_details[Leased Date], "&lt;" &amp; $U$2,
          unit_details[Floorplan Name], INDIRECT("C"&amp;ROW()),
          unit_details[Property Name], INDIRECT("B"&amp;ROW()))</f>
        <v>0</v>
      </c>
      <c r="T398" s="531" t="str" cm="1">
        <f t="array" aca="1" ref="T39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8" s="552" t="str" cm="1">
        <f t="array" aca="1" ref="U39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8" s="526" cm="1">
        <f t="array" aca="1" ref="V398" ca="1">COUNTIFS(unit_details[Leased Date], "&gt;=" &amp; ($U$2 - T$5),
          unit_details[Leased Date], "&lt;" &amp; $U$2,
          unit_details[Floorplan Name], INDIRECT("C"&amp;ROW()),
          unit_details[Property Name], INDIRECT("B"&amp;ROW()))</f>
        <v>0</v>
      </c>
      <c r="W398" s="531" t="str" cm="1">
        <f t="array" aca="1" ref="W39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8" s="552" t="str" cm="1">
        <f t="array" aca="1" ref="X39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8" s="27" t="str">
        <f t="shared" ca="1" si="18"/>
        <v/>
      </c>
      <c r="Z398" s="4" t="str">
        <f>IFERROR($U$2-AVERAGEIFS(unit_details[First Listed],
          unit_details[Active Listing?],TRUE,
          unit_details[Property Name], $B398,
          unit_details[Beds], $D398,
          unit_details[Baths], $E398,
          unit_details[Partial Baths], IF(ISNUMBER($F398),$F398,""),
          unit_details[Floorplan Name],$C398
),"")</f>
        <v/>
      </c>
      <c r="AA398" s="262" cm="1">
        <f t="array" aca="1" ref="AA398" ca="1">COUNTIFS(unit_details[Active Listing?],TRUE,
          unit_details[Floorplan Name], INDIRECT("C"&amp;ROW()),
          unit_details[Property Name], INDIRECT("B"&amp;ROW()))</f>
        <v>0</v>
      </c>
      <c r="AB398" s="553"/>
      <c r="AC398" s="528" cm="1">
        <f t="array" aca="1" ref="AC398" ca="1">IFERROR(AVERAGEIFS(
  unit_details[Sqft],
  unit_details[Property Name], INDIRECT("B"&amp;ROW()),
  unit_details[Floorplan Name], INDIRECT("C"&amp;ROW()),
  unit_details[Beds], INDIRECT("D"&amp;ROW()),
  unit_details[Detected Unit Amenities], "*"&amp;$AD$3&amp;"*",
  unit_details[Leased Date], "&gt;=" &amp; ($U$2 - $AF$3)
),0)</f>
        <v>0</v>
      </c>
      <c r="AD398" s="527" cm="1">
        <f t="array" aca="1" ref="AD3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8" s="526" cm="1">
        <f t="array" aca="1" ref="AE398" ca="1">IFERROR(COUNTIFS(
  unit_details[Property Name], INDIRECT("B"&amp;ROW()),
  unit_details[Floorplan Name], INDIRECT("C"&amp;ROW()),
  unit_details[Beds], INDIRECT("D"&amp;ROW()),
  unit_details[Detected Unit Amenities], "*"&amp;$AD$3&amp;"*",
  unit_details[Leased Date], "&gt;=" &amp; ($U$2 - $AF$3)
),0)</f>
        <v>0</v>
      </c>
      <c r="AF398" s="528" cm="1">
        <f t="array" aca="1" ref="AF398" ca="1">IFERROR(AVERAGEIFS(
  unit_details[Sqft],
  unit_details[Property Name], INDIRECT("B"&amp;ROW()),
  unit_details[Floorplan Name], INDIRECT("C"&amp;ROW()),
  unit_details[Beds], INDIRECT("D"&amp;ROW()),
  unit_details[Detected Unit Amenities], "&lt;&gt;*"&amp;$AD$3&amp;"*",
  unit_details[Leased Date], "&gt;=" &amp; ($U$2 - $AF$3)
),0)</f>
        <v>0</v>
      </c>
      <c r="AG398" s="527" cm="1">
        <f t="array" aca="1" ref="AG3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8" s="526" cm="1">
        <f t="array" aca="1" ref="AH398" ca="1">IFERROR(COUNTIFS(
  unit_details[Property Name], INDIRECT("B"&amp;ROW()),
  unit_details[Floorplan Name], INDIRECT("C"&amp;ROW()),
  unit_details[Beds], INDIRECT("D"&amp;ROW()),
  unit_details[Detected Unit Amenities], "&lt;&gt;*"&amp;$AD$3&amp;"*",
  unit_details[Leased Date], "&gt;=" &amp; ($U$2 - $AF$3)
),0)</f>
        <v>0</v>
      </c>
      <c r="AI398" s="528"/>
      <c r="AJ398" s="531">
        <f t="shared" ca="1" si="19"/>
        <v>0</v>
      </c>
      <c r="AK398" s="532">
        <f t="shared" ca="1" si="20"/>
        <v>0</v>
      </c>
    </row>
    <row r="399" spans="10:37" x14ac:dyDescent="0.2">
      <c r="J399" s="293"/>
      <c r="N399" s="531" t="str" cm="1">
        <f t="array" aca="1" ref="N39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399" s="552" t="str" cm="1">
        <f t="array" aca="1" ref="O39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399" s="526" cm="1">
        <f t="array" aca="1" ref="P399" ca="1">COUNTIFS(unit_details[Leased Date], "&gt;=" &amp; ($U$2 - N$5),
          unit_details[Leased Date], "&lt;" &amp; $U$2,
          unit_details[Floorplan Name], INDIRECT("C"&amp;ROW()),
          unit_details[Property Name], INDIRECT("B"&amp;ROW()))</f>
        <v>0</v>
      </c>
      <c r="Q399" s="531" t="str" cm="1">
        <f t="array" aca="1" ref="Q39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399" s="552" t="str" cm="1">
        <f t="array" aca="1" ref="R39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399" s="526" cm="1">
        <f t="array" aca="1" ref="S399" ca="1">COUNTIFS(unit_details[Leased Date], "&gt;=" &amp; ($U$2 - Q$5),
          unit_details[Leased Date], "&lt;" &amp; $U$2,
          unit_details[Floorplan Name], INDIRECT("C"&amp;ROW()),
          unit_details[Property Name], INDIRECT("B"&amp;ROW()))</f>
        <v>0</v>
      </c>
      <c r="T399" s="531" t="str" cm="1">
        <f t="array" aca="1" ref="T39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399" s="552" t="str" cm="1">
        <f t="array" aca="1" ref="U39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399" s="526" cm="1">
        <f t="array" aca="1" ref="V399" ca="1">COUNTIFS(unit_details[Leased Date], "&gt;=" &amp; ($U$2 - T$5),
          unit_details[Leased Date], "&lt;" &amp; $U$2,
          unit_details[Floorplan Name], INDIRECT("C"&amp;ROW()),
          unit_details[Property Name], INDIRECT("B"&amp;ROW()))</f>
        <v>0</v>
      </c>
      <c r="W399" s="531" t="str" cm="1">
        <f t="array" aca="1" ref="W39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399" s="552" t="str" cm="1">
        <f t="array" aca="1" ref="X39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399" s="27" t="str">
        <f t="shared" ca="1" si="18"/>
        <v/>
      </c>
      <c r="Z399" s="4" t="str">
        <f>IFERROR($U$2-AVERAGEIFS(unit_details[First Listed],
          unit_details[Active Listing?],TRUE,
          unit_details[Property Name], $B399,
          unit_details[Beds], $D399,
          unit_details[Baths], $E399,
          unit_details[Partial Baths], IF(ISNUMBER($F399),$F399,""),
          unit_details[Floorplan Name],$C399
),"")</f>
        <v/>
      </c>
      <c r="AA399" s="262" cm="1">
        <f t="array" aca="1" ref="AA399" ca="1">COUNTIFS(unit_details[Active Listing?],TRUE,
          unit_details[Floorplan Name], INDIRECT("C"&amp;ROW()),
          unit_details[Property Name], INDIRECT("B"&amp;ROW()))</f>
        <v>0</v>
      </c>
      <c r="AB399" s="553"/>
      <c r="AC399" s="528" cm="1">
        <f t="array" aca="1" ref="AC399" ca="1">IFERROR(AVERAGEIFS(
  unit_details[Sqft],
  unit_details[Property Name], INDIRECT("B"&amp;ROW()),
  unit_details[Floorplan Name], INDIRECT("C"&amp;ROW()),
  unit_details[Beds], INDIRECT("D"&amp;ROW()),
  unit_details[Detected Unit Amenities], "*"&amp;$AD$3&amp;"*",
  unit_details[Leased Date], "&gt;=" &amp; ($U$2 - $AF$3)
),0)</f>
        <v>0</v>
      </c>
      <c r="AD399" s="527" cm="1">
        <f t="array" aca="1" ref="AD3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399" s="526" cm="1">
        <f t="array" aca="1" ref="AE399" ca="1">IFERROR(COUNTIFS(
  unit_details[Property Name], INDIRECT("B"&amp;ROW()),
  unit_details[Floorplan Name], INDIRECT("C"&amp;ROW()),
  unit_details[Beds], INDIRECT("D"&amp;ROW()),
  unit_details[Detected Unit Amenities], "*"&amp;$AD$3&amp;"*",
  unit_details[Leased Date], "&gt;=" &amp; ($U$2 - $AF$3)
),0)</f>
        <v>0</v>
      </c>
      <c r="AF399" s="528" cm="1">
        <f t="array" aca="1" ref="AF399" ca="1">IFERROR(AVERAGEIFS(
  unit_details[Sqft],
  unit_details[Property Name], INDIRECT("B"&amp;ROW()),
  unit_details[Floorplan Name], INDIRECT("C"&amp;ROW()),
  unit_details[Beds], INDIRECT("D"&amp;ROW()),
  unit_details[Detected Unit Amenities], "&lt;&gt;*"&amp;$AD$3&amp;"*",
  unit_details[Leased Date], "&gt;=" &amp; ($U$2 - $AF$3)
),0)</f>
        <v>0</v>
      </c>
      <c r="AG399" s="527" cm="1">
        <f t="array" aca="1" ref="AG3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399" s="526" cm="1">
        <f t="array" aca="1" ref="AH399" ca="1">IFERROR(COUNTIFS(
  unit_details[Property Name], INDIRECT("B"&amp;ROW()),
  unit_details[Floorplan Name], INDIRECT("C"&amp;ROW()),
  unit_details[Beds], INDIRECT("D"&amp;ROW()),
  unit_details[Detected Unit Amenities], "&lt;&gt;*"&amp;$AD$3&amp;"*",
  unit_details[Leased Date], "&gt;=" &amp; ($U$2 - $AF$3)
),0)</f>
        <v>0</v>
      </c>
      <c r="AI399" s="528"/>
      <c r="AJ399" s="531">
        <f t="shared" ca="1" si="19"/>
        <v>0</v>
      </c>
      <c r="AK399" s="532">
        <f t="shared" ca="1" si="20"/>
        <v>0</v>
      </c>
    </row>
    <row r="400" spans="10:37" x14ac:dyDescent="0.2">
      <c r="J400" s="293"/>
      <c r="N400" s="531" t="str" cm="1">
        <f t="array" aca="1" ref="N40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0" s="552" t="str" cm="1">
        <f t="array" aca="1" ref="O40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0" s="526" cm="1">
        <f t="array" aca="1" ref="P400" ca="1">COUNTIFS(unit_details[Leased Date], "&gt;=" &amp; ($U$2 - N$5),
          unit_details[Leased Date], "&lt;" &amp; $U$2,
          unit_details[Floorplan Name], INDIRECT("C"&amp;ROW()),
          unit_details[Property Name], INDIRECT("B"&amp;ROW()))</f>
        <v>0</v>
      </c>
      <c r="Q400" s="531" t="str" cm="1">
        <f t="array" aca="1" ref="Q40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0" s="552" t="str" cm="1">
        <f t="array" aca="1" ref="R40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0" s="526" cm="1">
        <f t="array" aca="1" ref="S400" ca="1">COUNTIFS(unit_details[Leased Date], "&gt;=" &amp; ($U$2 - Q$5),
          unit_details[Leased Date], "&lt;" &amp; $U$2,
          unit_details[Floorplan Name], INDIRECT("C"&amp;ROW()),
          unit_details[Property Name], INDIRECT("B"&amp;ROW()))</f>
        <v>0</v>
      </c>
      <c r="T400" s="531" t="str" cm="1">
        <f t="array" aca="1" ref="T40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0" s="552" t="str" cm="1">
        <f t="array" aca="1" ref="U40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0" s="526" cm="1">
        <f t="array" aca="1" ref="V400" ca="1">COUNTIFS(unit_details[Leased Date], "&gt;=" &amp; ($U$2 - T$5),
          unit_details[Leased Date], "&lt;" &amp; $U$2,
          unit_details[Floorplan Name], INDIRECT("C"&amp;ROW()),
          unit_details[Property Name], INDIRECT("B"&amp;ROW()))</f>
        <v>0</v>
      </c>
      <c r="W400" s="531" t="str" cm="1">
        <f t="array" aca="1" ref="W40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0" s="552" t="str" cm="1">
        <f t="array" aca="1" ref="X40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0" s="27" t="str">
        <f t="shared" ca="1" si="18"/>
        <v/>
      </c>
      <c r="Z400" s="4" t="str">
        <f>IFERROR($U$2-AVERAGEIFS(unit_details[First Listed],
          unit_details[Active Listing?],TRUE,
          unit_details[Property Name], $B400,
          unit_details[Beds], $D400,
          unit_details[Baths], $E400,
          unit_details[Partial Baths], IF(ISNUMBER($F400),$F400,""),
          unit_details[Floorplan Name],$C400
),"")</f>
        <v/>
      </c>
      <c r="AA400" s="262" cm="1">
        <f t="array" aca="1" ref="AA400" ca="1">COUNTIFS(unit_details[Active Listing?],TRUE,
          unit_details[Floorplan Name], INDIRECT("C"&amp;ROW()),
          unit_details[Property Name], INDIRECT("B"&amp;ROW()))</f>
        <v>0</v>
      </c>
      <c r="AB400" s="553"/>
      <c r="AC400" s="528" cm="1">
        <f t="array" aca="1" ref="AC400" ca="1">IFERROR(AVERAGEIFS(
  unit_details[Sqft],
  unit_details[Property Name], INDIRECT("B"&amp;ROW()),
  unit_details[Floorplan Name], INDIRECT("C"&amp;ROW()),
  unit_details[Beds], INDIRECT("D"&amp;ROW()),
  unit_details[Detected Unit Amenities], "*"&amp;$AD$3&amp;"*",
  unit_details[Leased Date], "&gt;=" &amp; ($U$2 - $AF$3)
),0)</f>
        <v>0</v>
      </c>
      <c r="AD400" s="527" cm="1">
        <f t="array" aca="1" ref="AD4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0" s="526" cm="1">
        <f t="array" aca="1" ref="AE400" ca="1">IFERROR(COUNTIFS(
  unit_details[Property Name], INDIRECT("B"&amp;ROW()),
  unit_details[Floorplan Name], INDIRECT("C"&amp;ROW()),
  unit_details[Beds], INDIRECT("D"&amp;ROW()),
  unit_details[Detected Unit Amenities], "*"&amp;$AD$3&amp;"*",
  unit_details[Leased Date], "&gt;=" &amp; ($U$2 - $AF$3)
),0)</f>
        <v>0</v>
      </c>
      <c r="AF400" s="528" cm="1">
        <f t="array" aca="1" ref="AF400" ca="1">IFERROR(AVERAGEIFS(
  unit_details[Sqft],
  unit_details[Property Name], INDIRECT("B"&amp;ROW()),
  unit_details[Floorplan Name], INDIRECT("C"&amp;ROW()),
  unit_details[Beds], INDIRECT("D"&amp;ROW()),
  unit_details[Detected Unit Amenities], "&lt;&gt;*"&amp;$AD$3&amp;"*",
  unit_details[Leased Date], "&gt;=" &amp; ($U$2 - $AF$3)
),0)</f>
        <v>0</v>
      </c>
      <c r="AG400" s="527" cm="1">
        <f t="array" aca="1" ref="AG4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0" s="526" cm="1">
        <f t="array" aca="1" ref="AH400" ca="1">IFERROR(COUNTIFS(
  unit_details[Property Name], INDIRECT("B"&amp;ROW()),
  unit_details[Floorplan Name], INDIRECT("C"&amp;ROW()),
  unit_details[Beds], INDIRECT("D"&amp;ROW()),
  unit_details[Detected Unit Amenities], "&lt;&gt;*"&amp;$AD$3&amp;"*",
  unit_details[Leased Date], "&gt;=" &amp; ($U$2 - $AF$3)
),0)</f>
        <v>0</v>
      </c>
      <c r="AI400" s="528"/>
      <c r="AJ400" s="531">
        <f t="shared" ca="1" si="19"/>
        <v>0</v>
      </c>
      <c r="AK400" s="532">
        <f t="shared" ca="1" si="20"/>
        <v>0</v>
      </c>
    </row>
    <row r="401" spans="10:37" x14ac:dyDescent="0.2">
      <c r="J401" s="293"/>
      <c r="N401" s="531" t="str" cm="1">
        <f t="array" aca="1" ref="N40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1" s="552" t="str" cm="1">
        <f t="array" aca="1" ref="O40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1" s="526" cm="1">
        <f t="array" aca="1" ref="P401" ca="1">COUNTIFS(unit_details[Leased Date], "&gt;=" &amp; ($U$2 - N$5),
          unit_details[Leased Date], "&lt;" &amp; $U$2,
          unit_details[Floorplan Name], INDIRECT("C"&amp;ROW()),
          unit_details[Property Name], INDIRECT("B"&amp;ROW()))</f>
        <v>0</v>
      </c>
      <c r="Q401" s="531" t="str" cm="1">
        <f t="array" aca="1" ref="Q40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1" s="552" t="str" cm="1">
        <f t="array" aca="1" ref="R40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1" s="526" cm="1">
        <f t="array" aca="1" ref="S401" ca="1">COUNTIFS(unit_details[Leased Date], "&gt;=" &amp; ($U$2 - Q$5),
          unit_details[Leased Date], "&lt;" &amp; $U$2,
          unit_details[Floorplan Name], INDIRECT("C"&amp;ROW()),
          unit_details[Property Name], INDIRECT("B"&amp;ROW()))</f>
        <v>0</v>
      </c>
      <c r="T401" s="531" t="str" cm="1">
        <f t="array" aca="1" ref="T40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1" s="552" t="str" cm="1">
        <f t="array" aca="1" ref="U40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1" s="526" cm="1">
        <f t="array" aca="1" ref="V401" ca="1">COUNTIFS(unit_details[Leased Date], "&gt;=" &amp; ($U$2 - T$5),
          unit_details[Leased Date], "&lt;" &amp; $U$2,
          unit_details[Floorplan Name], INDIRECT("C"&amp;ROW()),
          unit_details[Property Name], INDIRECT("B"&amp;ROW()))</f>
        <v>0</v>
      </c>
      <c r="W401" s="531" t="str" cm="1">
        <f t="array" aca="1" ref="W40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1" s="552" t="str" cm="1">
        <f t="array" aca="1" ref="X40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1" s="27" t="str">
        <f t="shared" ca="1" si="18"/>
        <v/>
      </c>
      <c r="Z401" s="4" t="str">
        <f>IFERROR($U$2-AVERAGEIFS(unit_details[First Listed],
          unit_details[Active Listing?],TRUE,
          unit_details[Property Name], $B401,
          unit_details[Beds], $D401,
          unit_details[Baths], $E401,
          unit_details[Partial Baths], IF(ISNUMBER($F401),$F401,""),
          unit_details[Floorplan Name],$C401
),"")</f>
        <v/>
      </c>
      <c r="AA401" s="262" cm="1">
        <f t="array" aca="1" ref="AA401" ca="1">COUNTIFS(unit_details[Active Listing?],TRUE,
          unit_details[Floorplan Name], INDIRECT("C"&amp;ROW()),
          unit_details[Property Name], INDIRECT("B"&amp;ROW()))</f>
        <v>0</v>
      </c>
      <c r="AB401" s="553"/>
      <c r="AC401" s="528" cm="1">
        <f t="array" aca="1" ref="AC401" ca="1">IFERROR(AVERAGEIFS(
  unit_details[Sqft],
  unit_details[Property Name], INDIRECT("B"&amp;ROW()),
  unit_details[Floorplan Name], INDIRECT("C"&amp;ROW()),
  unit_details[Beds], INDIRECT("D"&amp;ROW()),
  unit_details[Detected Unit Amenities], "*"&amp;$AD$3&amp;"*",
  unit_details[Leased Date], "&gt;=" &amp; ($U$2 - $AF$3)
),0)</f>
        <v>0</v>
      </c>
      <c r="AD401" s="527" cm="1">
        <f t="array" aca="1" ref="AD4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1" s="526" cm="1">
        <f t="array" aca="1" ref="AE401" ca="1">IFERROR(COUNTIFS(
  unit_details[Property Name], INDIRECT("B"&amp;ROW()),
  unit_details[Floorplan Name], INDIRECT("C"&amp;ROW()),
  unit_details[Beds], INDIRECT("D"&amp;ROW()),
  unit_details[Detected Unit Amenities], "*"&amp;$AD$3&amp;"*",
  unit_details[Leased Date], "&gt;=" &amp; ($U$2 - $AF$3)
),0)</f>
        <v>0</v>
      </c>
      <c r="AF401" s="528" cm="1">
        <f t="array" aca="1" ref="AF401" ca="1">IFERROR(AVERAGEIFS(
  unit_details[Sqft],
  unit_details[Property Name], INDIRECT("B"&amp;ROW()),
  unit_details[Floorplan Name], INDIRECT("C"&amp;ROW()),
  unit_details[Beds], INDIRECT("D"&amp;ROW()),
  unit_details[Detected Unit Amenities], "&lt;&gt;*"&amp;$AD$3&amp;"*",
  unit_details[Leased Date], "&gt;=" &amp; ($U$2 - $AF$3)
),0)</f>
        <v>0</v>
      </c>
      <c r="AG401" s="527" cm="1">
        <f t="array" aca="1" ref="AG4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1" s="526" cm="1">
        <f t="array" aca="1" ref="AH401" ca="1">IFERROR(COUNTIFS(
  unit_details[Property Name], INDIRECT("B"&amp;ROW()),
  unit_details[Floorplan Name], INDIRECT("C"&amp;ROW()),
  unit_details[Beds], INDIRECT("D"&amp;ROW()),
  unit_details[Detected Unit Amenities], "&lt;&gt;*"&amp;$AD$3&amp;"*",
  unit_details[Leased Date], "&gt;=" &amp; ($U$2 - $AF$3)
),0)</f>
        <v>0</v>
      </c>
      <c r="AI401" s="528"/>
      <c r="AJ401" s="531">
        <f t="shared" ca="1" si="19"/>
        <v>0</v>
      </c>
      <c r="AK401" s="532">
        <f t="shared" ca="1" si="20"/>
        <v>0</v>
      </c>
    </row>
    <row r="402" spans="10:37" x14ac:dyDescent="0.2">
      <c r="J402" s="293"/>
      <c r="N402" s="531" t="str" cm="1">
        <f t="array" aca="1" ref="N40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2" s="552" t="str" cm="1">
        <f t="array" aca="1" ref="O40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2" s="526" cm="1">
        <f t="array" aca="1" ref="P402" ca="1">COUNTIFS(unit_details[Leased Date], "&gt;=" &amp; ($U$2 - N$5),
          unit_details[Leased Date], "&lt;" &amp; $U$2,
          unit_details[Floorplan Name], INDIRECT("C"&amp;ROW()),
          unit_details[Property Name], INDIRECT("B"&amp;ROW()))</f>
        <v>0</v>
      </c>
      <c r="Q402" s="531" t="str" cm="1">
        <f t="array" aca="1" ref="Q40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2" s="552" t="str" cm="1">
        <f t="array" aca="1" ref="R40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2" s="526" cm="1">
        <f t="array" aca="1" ref="S402" ca="1">COUNTIFS(unit_details[Leased Date], "&gt;=" &amp; ($U$2 - Q$5),
          unit_details[Leased Date], "&lt;" &amp; $U$2,
          unit_details[Floorplan Name], INDIRECT("C"&amp;ROW()),
          unit_details[Property Name], INDIRECT("B"&amp;ROW()))</f>
        <v>0</v>
      </c>
      <c r="T402" s="531" t="str" cm="1">
        <f t="array" aca="1" ref="T40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2" s="552" t="str" cm="1">
        <f t="array" aca="1" ref="U40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2" s="526" cm="1">
        <f t="array" aca="1" ref="V402" ca="1">COUNTIFS(unit_details[Leased Date], "&gt;=" &amp; ($U$2 - T$5),
          unit_details[Leased Date], "&lt;" &amp; $U$2,
          unit_details[Floorplan Name], INDIRECT("C"&amp;ROW()),
          unit_details[Property Name], INDIRECT("B"&amp;ROW()))</f>
        <v>0</v>
      </c>
      <c r="W402" s="531" t="str" cm="1">
        <f t="array" aca="1" ref="W40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2" s="552" t="str" cm="1">
        <f t="array" aca="1" ref="X40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2" s="27" t="str">
        <f t="shared" ca="1" si="18"/>
        <v/>
      </c>
      <c r="Z402" s="4" t="str">
        <f>IFERROR($U$2-AVERAGEIFS(unit_details[First Listed],
          unit_details[Active Listing?],TRUE,
          unit_details[Property Name], $B402,
          unit_details[Beds], $D402,
          unit_details[Baths], $E402,
          unit_details[Partial Baths], IF(ISNUMBER($F402),$F402,""),
          unit_details[Floorplan Name],$C402
),"")</f>
        <v/>
      </c>
      <c r="AA402" s="262" cm="1">
        <f t="array" aca="1" ref="AA402" ca="1">COUNTIFS(unit_details[Active Listing?],TRUE,
          unit_details[Floorplan Name], INDIRECT("C"&amp;ROW()),
          unit_details[Property Name], INDIRECT("B"&amp;ROW()))</f>
        <v>0</v>
      </c>
      <c r="AB402" s="553"/>
      <c r="AC402" s="528" cm="1">
        <f t="array" aca="1" ref="AC402" ca="1">IFERROR(AVERAGEIFS(
  unit_details[Sqft],
  unit_details[Property Name], INDIRECT("B"&amp;ROW()),
  unit_details[Floorplan Name], INDIRECT("C"&amp;ROW()),
  unit_details[Beds], INDIRECT("D"&amp;ROW()),
  unit_details[Detected Unit Amenities], "*"&amp;$AD$3&amp;"*",
  unit_details[Leased Date], "&gt;=" &amp; ($U$2 - $AF$3)
),0)</f>
        <v>0</v>
      </c>
      <c r="AD402" s="527" cm="1">
        <f t="array" aca="1" ref="AD4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2" s="526" cm="1">
        <f t="array" aca="1" ref="AE402" ca="1">IFERROR(COUNTIFS(
  unit_details[Property Name], INDIRECT("B"&amp;ROW()),
  unit_details[Floorplan Name], INDIRECT("C"&amp;ROW()),
  unit_details[Beds], INDIRECT("D"&amp;ROW()),
  unit_details[Detected Unit Amenities], "*"&amp;$AD$3&amp;"*",
  unit_details[Leased Date], "&gt;=" &amp; ($U$2 - $AF$3)
),0)</f>
        <v>0</v>
      </c>
      <c r="AF402" s="528" cm="1">
        <f t="array" aca="1" ref="AF402" ca="1">IFERROR(AVERAGEIFS(
  unit_details[Sqft],
  unit_details[Property Name], INDIRECT("B"&amp;ROW()),
  unit_details[Floorplan Name], INDIRECT("C"&amp;ROW()),
  unit_details[Beds], INDIRECT("D"&amp;ROW()),
  unit_details[Detected Unit Amenities], "&lt;&gt;*"&amp;$AD$3&amp;"*",
  unit_details[Leased Date], "&gt;=" &amp; ($U$2 - $AF$3)
),0)</f>
        <v>0</v>
      </c>
      <c r="AG402" s="527" cm="1">
        <f t="array" aca="1" ref="AG4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2" s="526" cm="1">
        <f t="array" aca="1" ref="AH402" ca="1">IFERROR(COUNTIFS(
  unit_details[Property Name], INDIRECT("B"&amp;ROW()),
  unit_details[Floorplan Name], INDIRECT("C"&amp;ROW()),
  unit_details[Beds], INDIRECT("D"&amp;ROW()),
  unit_details[Detected Unit Amenities], "&lt;&gt;*"&amp;$AD$3&amp;"*",
  unit_details[Leased Date], "&gt;=" &amp; ($U$2 - $AF$3)
),0)</f>
        <v>0</v>
      </c>
      <c r="AI402" s="528"/>
      <c r="AJ402" s="531">
        <f t="shared" ca="1" si="19"/>
        <v>0</v>
      </c>
      <c r="AK402" s="532">
        <f t="shared" ca="1" si="20"/>
        <v>0</v>
      </c>
    </row>
    <row r="403" spans="10:37" x14ac:dyDescent="0.2">
      <c r="J403" s="293"/>
      <c r="N403" s="531" t="str" cm="1">
        <f t="array" aca="1" ref="N40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3" s="552" t="str" cm="1">
        <f t="array" aca="1" ref="O40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3" s="526" cm="1">
        <f t="array" aca="1" ref="P403" ca="1">COUNTIFS(unit_details[Leased Date], "&gt;=" &amp; ($U$2 - N$5),
          unit_details[Leased Date], "&lt;" &amp; $U$2,
          unit_details[Floorplan Name], INDIRECT("C"&amp;ROW()),
          unit_details[Property Name], INDIRECT("B"&amp;ROW()))</f>
        <v>0</v>
      </c>
      <c r="Q403" s="531" t="str" cm="1">
        <f t="array" aca="1" ref="Q40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3" s="552" t="str" cm="1">
        <f t="array" aca="1" ref="R40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3" s="526" cm="1">
        <f t="array" aca="1" ref="S403" ca="1">COUNTIFS(unit_details[Leased Date], "&gt;=" &amp; ($U$2 - Q$5),
          unit_details[Leased Date], "&lt;" &amp; $U$2,
          unit_details[Floorplan Name], INDIRECT("C"&amp;ROW()),
          unit_details[Property Name], INDIRECT("B"&amp;ROW()))</f>
        <v>0</v>
      </c>
      <c r="T403" s="531" t="str" cm="1">
        <f t="array" aca="1" ref="T40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3" s="552" t="str" cm="1">
        <f t="array" aca="1" ref="U40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3" s="526" cm="1">
        <f t="array" aca="1" ref="V403" ca="1">COUNTIFS(unit_details[Leased Date], "&gt;=" &amp; ($U$2 - T$5),
          unit_details[Leased Date], "&lt;" &amp; $U$2,
          unit_details[Floorplan Name], INDIRECT("C"&amp;ROW()),
          unit_details[Property Name], INDIRECT("B"&amp;ROW()))</f>
        <v>0</v>
      </c>
      <c r="W403" s="531" t="str" cm="1">
        <f t="array" aca="1" ref="W40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3" s="552" t="str" cm="1">
        <f t="array" aca="1" ref="X40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3" s="27" t="str">
        <f t="shared" ca="1" si="18"/>
        <v/>
      </c>
      <c r="Z403" s="4" t="str">
        <f>IFERROR($U$2-AVERAGEIFS(unit_details[First Listed],
          unit_details[Active Listing?],TRUE,
          unit_details[Property Name], $B403,
          unit_details[Beds], $D403,
          unit_details[Baths], $E403,
          unit_details[Partial Baths], IF(ISNUMBER($F403),$F403,""),
          unit_details[Floorplan Name],$C403
),"")</f>
        <v/>
      </c>
      <c r="AA403" s="262" cm="1">
        <f t="array" aca="1" ref="AA403" ca="1">COUNTIFS(unit_details[Active Listing?],TRUE,
          unit_details[Floorplan Name], INDIRECT("C"&amp;ROW()),
          unit_details[Property Name], INDIRECT("B"&amp;ROW()))</f>
        <v>0</v>
      </c>
      <c r="AB403" s="553"/>
      <c r="AC403" s="528" cm="1">
        <f t="array" aca="1" ref="AC403" ca="1">IFERROR(AVERAGEIFS(
  unit_details[Sqft],
  unit_details[Property Name], INDIRECT("B"&amp;ROW()),
  unit_details[Floorplan Name], INDIRECT("C"&amp;ROW()),
  unit_details[Beds], INDIRECT("D"&amp;ROW()),
  unit_details[Detected Unit Amenities], "*"&amp;$AD$3&amp;"*",
  unit_details[Leased Date], "&gt;=" &amp; ($U$2 - $AF$3)
),0)</f>
        <v>0</v>
      </c>
      <c r="AD403" s="527" cm="1">
        <f t="array" aca="1" ref="AD4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3" s="526" cm="1">
        <f t="array" aca="1" ref="AE403" ca="1">IFERROR(COUNTIFS(
  unit_details[Property Name], INDIRECT("B"&amp;ROW()),
  unit_details[Floorplan Name], INDIRECT("C"&amp;ROW()),
  unit_details[Beds], INDIRECT("D"&amp;ROW()),
  unit_details[Detected Unit Amenities], "*"&amp;$AD$3&amp;"*",
  unit_details[Leased Date], "&gt;=" &amp; ($U$2 - $AF$3)
),0)</f>
        <v>0</v>
      </c>
      <c r="AF403" s="528" cm="1">
        <f t="array" aca="1" ref="AF403" ca="1">IFERROR(AVERAGEIFS(
  unit_details[Sqft],
  unit_details[Property Name], INDIRECT("B"&amp;ROW()),
  unit_details[Floorplan Name], INDIRECT("C"&amp;ROW()),
  unit_details[Beds], INDIRECT("D"&amp;ROW()),
  unit_details[Detected Unit Amenities], "&lt;&gt;*"&amp;$AD$3&amp;"*",
  unit_details[Leased Date], "&gt;=" &amp; ($U$2 - $AF$3)
),0)</f>
        <v>0</v>
      </c>
      <c r="AG403" s="527" cm="1">
        <f t="array" aca="1" ref="AG4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3" s="526" cm="1">
        <f t="array" aca="1" ref="AH403" ca="1">IFERROR(COUNTIFS(
  unit_details[Property Name], INDIRECT("B"&amp;ROW()),
  unit_details[Floorplan Name], INDIRECT("C"&amp;ROW()),
  unit_details[Beds], INDIRECT("D"&amp;ROW()),
  unit_details[Detected Unit Amenities], "&lt;&gt;*"&amp;$AD$3&amp;"*",
  unit_details[Leased Date], "&gt;=" &amp; ($U$2 - $AF$3)
),0)</f>
        <v>0</v>
      </c>
      <c r="AI403" s="528"/>
      <c r="AJ403" s="531">
        <f t="shared" ca="1" si="19"/>
        <v>0</v>
      </c>
      <c r="AK403" s="532">
        <f t="shared" ca="1" si="20"/>
        <v>0</v>
      </c>
    </row>
    <row r="404" spans="10:37" x14ac:dyDescent="0.2">
      <c r="J404" s="293"/>
      <c r="N404" s="531" t="str" cm="1">
        <f t="array" aca="1" ref="N40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4" s="552" t="str" cm="1">
        <f t="array" aca="1" ref="O40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4" s="526" cm="1">
        <f t="array" aca="1" ref="P404" ca="1">COUNTIFS(unit_details[Leased Date], "&gt;=" &amp; ($U$2 - N$5),
          unit_details[Leased Date], "&lt;" &amp; $U$2,
          unit_details[Floorplan Name], INDIRECT("C"&amp;ROW()),
          unit_details[Property Name], INDIRECT("B"&amp;ROW()))</f>
        <v>0</v>
      </c>
      <c r="Q404" s="531" t="str" cm="1">
        <f t="array" aca="1" ref="Q40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4" s="552" t="str" cm="1">
        <f t="array" aca="1" ref="R40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4" s="526" cm="1">
        <f t="array" aca="1" ref="S404" ca="1">COUNTIFS(unit_details[Leased Date], "&gt;=" &amp; ($U$2 - Q$5),
          unit_details[Leased Date], "&lt;" &amp; $U$2,
          unit_details[Floorplan Name], INDIRECT("C"&amp;ROW()),
          unit_details[Property Name], INDIRECT("B"&amp;ROW()))</f>
        <v>0</v>
      </c>
      <c r="T404" s="531" t="str" cm="1">
        <f t="array" aca="1" ref="T40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4" s="552" t="str" cm="1">
        <f t="array" aca="1" ref="U40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4" s="526" cm="1">
        <f t="array" aca="1" ref="V404" ca="1">COUNTIFS(unit_details[Leased Date], "&gt;=" &amp; ($U$2 - T$5),
          unit_details[Leased Date], "&lt;" &amp; $U$2,
          unit_details[Floorplan Name], INDIRECT("C"&amp;ROW()),
          unit_details[Property Name], INDIRECT("B"&amp;ROW()))</f>
        <v>0</v>
      </c>
      <c r="W404" s="531" t="str" cm="1">
        <f t="array" aca="1" ref="W40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4" s="552" t="str" cm="1">
        <f t="array" aca="1" ref="X40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4" s="27" t="str">
        <f t="shared" ca="1" si="18"/>
        <v/>
      </c>
      <c r="Z404" s="4" t="str">
        <f>IFERROR($U$2-AVERAGEIFS(unit_details[First Listed],
          unit_details[Active Listing?],TRUE,
          unit_details[Property Name], $B404,
          unit_details[Beds], $D404,
          unit_details[Baths], $E404,
          unit_details[Partial Baths], IF(ISNUMBER($F404),$F404,""),
          unit_details[Floorplan Name],$C404
),"")</f>
        <v/>
      </c>
      <c r="AA404" s="262" cm="1">
        <f t="array" aca="1" ref="AA404" ca="1">COUNTIFS(unit_details[Active Listing?],TRUE,
          unit_details[Floorplan Name], INDIRECT("C"&amp;ROW()),
          unit_details[Property Name], INDIRECT("B"&amp;ROW()))</f>
        <v>0</v>
      </c>
      <c r="AB404" s="553"/>
      <c r="AC404" s="528" cm="1">
        <f t="array" aca="1" ref="AC404" ca="1">IFERROR(AVERAGEIFS(
  unit_details[Sqft],
  unit_details[Property Name], INDIRECT("B"&amp;ROW()),
  unit_details[Floorplan Name], INDIRECT("C"&amp;ROW()),
  unit_details[Beds], INDIRECT("D"&amp;ROW()),
  unit_details[Detected Unit Amenities], "*"&amp;$AD$3&amp;"*",
  unit_details[Leased Date], "&gt;=" &amp; ($U$2 - $AF$3)
),0)</f>
        <v>0</v>
      </c>
      <c r="AD404" s="527" cm="1">
        <f t="array" aca="1" ref="AD4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4" s="526" cm="1">
        <f t="array" aca="1" ref="AE404" ca="1">IFERROR(COUNTIFS(
  unit_details[Property Name], INDIRECT("B"&amp;ROW()),
  unit_details[Floorplan Name], INDIRECT("C"&amp;ROW()),
  unit_details[Beds], INDIRECT("D"&amp;ROW()),
  unit_details[Detected Unit Amenities], "*"&amp;$AD$3&amp;"*",
  unit_details[Leased Date], "&gt;=" &amp; ($U$2 - $AF$3)
),0)</f>
        <v>0</v>
      </c>
      <c r="AF404" s="528" cm="1">
        <f t="array" aca="1" ref="AF404" ca="1">IFERROR(AVERAGEIFS(
  unit_details[Sqft],
  unit_details[Property Name], INDIRECT("B"&amp;ROW()),
  unit_details[Floorplan Name], INDIRECT("C"&amp;ROW()),
  unit_details[Beds], INDIRECT("D"&amp;ROW()),
  unit_details[Detected Unit Amenities], "&lt;&gt;*"&amp;$AD$3&amp;"*",
  unit_details[Leased Date], "&gt;=" &amp; ($U$2 - $AF$3)
),0)</f>
        <v>0</v>
      </c>
      <c r="AG404" s="527" cm="1">
        <f t="array" aca="1" ref="AG4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4" s="526" cm="1">
        <f t="array" aca="1" ref="AH404" ca="1">IFERROR(COUNTIFS(
  unit_details[Property Name], INDIRECT("B"&amp;ROW()),
  unit_details[Floorplan Name], INDIRECT("C"&amp;ROW()),
  unit_details[Beds], INDIRECT("D"&amp;ROW()),
  unit_details[Detected Unit Amenities], "&lt;&gt;*"&amp;$AD$3&amp;"*",
  unit_details[Leased Date], "&gt;=" &amp; ($U$2 - $AF$3)
),0)</f>
        <v>0</v>
      </c>
      <c r="AI404" s="528"/>
      <c r="AJ404" s="531">
        <f t="shared" ca="1" si="19"/>
        <v>0</v>
      </c>
      <c r="AK404" s="532">
        <f t="shared" ca="1" si="20"/>
        <v>0</v>
      </c>
    </row>
    <row r="405" spans="10:37" x14ac:dyDescent="0.2">
      <c r="J405" s="293"/>
      <c r="N405" s="531" t="str" cm="1">
        <f t="array" aca="1" ref="N40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5" s="552" t="str" cm="1">
        <f t="array" aca="1" ref="O40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5" s="526" cm="1">
        <f t="array" aca="1" ref="P405" ca="1">COUNTIFS(unit_details[Leased Date], "&gt;=" &amp; ($U$2 - N$5),
          unit_details[Leased Date], "&lt;" &amp; $U$2,
          unit_details[Floorplan Name], INDIRECT("C"&amp;ROW()),
          unit_details[Property Name], INDIRECT("B"&amp;ROW()))</f>
        <v>0</v>
      </c>
      <c r="Q405" s="531" t="str" cm="1">
        <f t="array" aca="1" ref="Q40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5" s="552" t="str" cm="1">
        <f t="array" aca="1" ref="R40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5" s="526" cm="1">
        <f t="array" aca="1" ref="S405" ca="1">COUNTIFS(unit_details[Leased Date], "&gt;=" &amp; ($U$2 - Q$5),
          unit_details[Leased Date], "&lt;" &amp; $U$2,
          unit_details[Floorplan Name], INDIRECT("C"&amp;ROW()),
          unit_details[Property Name], INDIRECT("B"&amp;ROW()))</f>
        <v>0</v>
      </c>
      <c r="T405" s="531" t="str" cm="1">
        <f t="array" aca="1" ref="T40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5" s="552" t="str" cm="1">
        <f t="array" aca="1" ref="U40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5" s="526" cm="1">
        <f t="array" aca="1" ref="V405" ca="1">COUNTIFS(unit_details[Leased Date], "&gt;=" &amp; ($U$2 - T$5),
          unit_details[Leased Date], "&lt;" &amp; $U$2,
          unit_details[Floorplan Name], INDIRECT("C"&amp;ROW()),
          unit_details[Property Name], INDIRECT("B"&amp;ROW()))</f>
        <v>0</v>
      </c>
      <c r="W405" s="531" t="str" cm="1">
        <f t="array" aca="1" ref="W40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5" s="552" t="str" cm="1">
        <f t="array" aca="1" ref="X40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5" s="27" t="str">
        <f t="shared" ca="1" si="18"/>
        <v/>
      </c>
      <c r="Z405" s="4" t="str">
        <f>IFERROR($U$2-AVERAGEIFS(unit_details[First Listed],
          unit_details[Active Listing?],TRUE,
          unit_details[Property Name], $B405,
          unit_details[Beds], $D405,
          unit_details[Baths], $E405,
          unit_details[Partial Baths], IF(ISNUMBER($F405),$F405,""),
          unit_details[Floorplan Name],$C405
),"")</f>
        <v/>
      </c>
      <c r="AA405" s="262" cm="1">
        <f t="array" aca="1" ref="AA405" ca="1">COUNTIFS(unit_details[Active Listing?],TRUE,
          unit_details[Floorplan Name], INDIRECT("C"&amp;ROW()),
          unit_details[Property Name], INDIRECT("B"&amp;ROW()))</f>
        <v>0</v>
      </c>
      <c r="AB405" s="553"/>
      <c r="AC405" s="528" cm="1">
        <f t="array" aca="1" ref="AC405" ca="1">IFERROR(AVERAGEIFS(
  unit_details[Sqft],
  unit_details[Property Name], INDIRECT("B"&amp;ROW()),
  unit_details[Floorplan Name], INDIRECT("C"&amp;ROW()),
  unit_details[Beds], INDIRECT("D"&amp;ROW()),
  unit_details[Detected Unit Amenities], "*"&amp;$AD$3&amp;"*",
  unit_details[Leased Date], "&gt;=" &amp; ($U$2 - $AF$3)
),0)</f>
        <v>0</v>
      </c>
      <c r="AD405" s="527" cm="1">
        <f t="array" aca="1" ref="AD4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5" s="526" cm="1">
        <f t="array" aca="1" ref="AE405" ca="1">IFERROR(COUNTIFS(
  unit_details[Property Name], INDIRECT("B"&amp;ROW()),
  unit_details[Floorplan Name], INDIRECT("C"&amp;ROW()),
  unit_details[Beds], INDIRECT("D"&amp;ROW()),
  unit_details[Detected Unit Amenities], "*"&amp;$AD$3&amp;"*",
  unit_details[Leased Date], "&gt;=" &amp; ($U$2 - $AF$3)
),0)</f>
        <v>0</v>
      </c>
      <c r="AF405" s="528" cm="1">
        <f t="array" aca="1" ref="AF405" ca="1">IFERROR(AVERAGEIFS(
  unit_details[Sqft],
  unit_details[Property Name], INDIRECT("B"&amp;ROW()),
  unit_details[Floorplan Name], INDIRECT("C"&amp;ROW()),
  unit_details[Beds], INDIRECT("D"&amp;ROW()),
  unit_details[Detected Unit Amenities], "&lt;&gt;*"&amp;$AD$3&amp;"*",
  unit_details[Leased Date], "&gt;=" &amp; ($U$2 - $AF$3)
),0)</f>
        <v>0</v>
      </c>
      <c r="AG405" s="527" cm="1">
        <f t="array" aca="1" ref="AG4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5" s="526" cm="1">
        <f t="array" aca="1" ref="AH405" ca="1">IFERROR(COUNTIFS(
  unit_details[Property Name], INDIRECT("B"&amp;ROW()),
  unit_details[Floorplan Name], INDIRECT("C"&amp;ROW()),
  unit_details[Beds], INDIRECT("D"&amp;ROW()),
  unit_details[Detected Unit Amenities], "&lt;&gt;*"&amp;$AD$3&amp;"*",
  unit_details[Leased Date], "&gt;=" &amp; ($U$2 - $AF$3)
),0)</f>
        <v>0</v>
      </c>
      <c r="AI405" s="528"/>
      <c r="AJ405" s="531">
        <f t="shared" ca="1" si="19"/>
        <v>0</v>
      </c>
      <c r="AK405" s="532">
        <f t="shared" ca="1" si="20"/>
        <v>0</v>
      </c>
    </row>
    <row r="406" spans="10:37" x14ac:dyDescent="0.2">
      <c r="J406" s="293"/>
      <c r="N406" s="531" t="str" cm="1">
        <f t="array" aca="1" ref="N40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6" s="552" t="str" cm="1">
        <f t="array" aca="1" ref="O40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6" s="526" cm="1">
        <f t="array" aca="1" ref="P406" ca="1">COUNTIFS(unit_details[Leased Date], "&gt;=" &amp; ($U$2 - N$5),
          unit_details[Leased Date], "&lt;" &amp; $U$2,
          unit_details[Floorplan Name], INDIRECT("C"&amp;ROW()),
          unit_details[Property Name], INDIRECT("B"&amp;ROW()))</f>
        <v>0</v>
      </c>
      <c r="Q406" s="531" t="str" cm="1">
        <f t="array" aca="1" ref="Q40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6" s="552" t="str" cm="1">
        <f t="array" aca="1" ref="R40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6" s="526" cm="1">
        <f t="array" aca="1" ref="S406" ca="1">COUNTIFS(unit_details[Leased Date], "&gt;=" &amp; ($U$2 - Q$5),
          unit_details[Leased Date], "&lt;" &amp; $U$2,
          unit_details[Floorplan Name], INDIRECT("C"&amp;ROW()),
          unit_details[Property Name], INDIRECT("B"&amp;ROW()))</f>
        <v>0</v>
      </c>
      <c r="T406" s="531" t="str" cm="1">
        <f t="array" aca="1" ref="T40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6" s="552" t="str" cm="1">
        <f t="array" aca="1" ref="U40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6" s="526" cm="1">
        <f t="array" aca="1" ref="V406" ca="1">COUNTIFS(unit_details[Leased Date], "&gt;=" &amp; ($U$2 - T$5),
          unit_details[Leased Date], "&lt;" &amp; $U$2,
          unit_details[Floorplan Name], INDIRECT("C"&amp;ROW()),
          unit_details[Property Name], INDIRECT("B"&amp;ROW()))</f>
        <v>0</v>
      </c>
      <c r="W406" s="531" t="str" cm="1">
        <f t="array" aca="1" ref="W40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6" s="552" t="str" cm="1">
        <f t="array" aca="1" ref="X40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6" s="27" t="str">
        <f t="shared" ca="1" si="18"/>
        <v/>
      </c>
      <c r="Z406" s="4" t="str">
        <f>IFERROR($U$2-AVERAGEIFS(unit_details[First Listed],
          unit_details[Active Listing?],TRUE,
          unit_details[Property Name], $B406,
          unit_details[Beds], $D406,
          unit_details[Baths], $E406,
          unit_details[Partial Baths], IF(ISNUMBER($F406),$F406,""),
          unit_details[Floorplan Name],$C406
),"")</f>
        <v/>
      </c>
      <c r="AA406" s="262" cm="1">
        <f t="array" aca="1" ref="AA406" ca="1">COUNTIFS(unit_details[Active Listing?],TRUE,
          unit_details[Floorplan Name], INDIRECT("C"&amp;ROW()),
          unit_details[Property Name], INDIRECT("B"&amp;ROW()))</f>
        <v>0</v>
      </c>
      <c r="AB406" s="553"/>
      <c r="AC406" s="528" cm="1">
        <f t="array" aca="1" ref="AC406" ca="1">IFERROR(AVERAGEIFS(
  unit_details[Sqft],
  unit_details[Property Name], INDIRECT("B"&amp;ROW()),
  unit_details[Floorplan Name], INDIRECT("C"&amp;ROW()),
  unit_details[Beds], INDIRECT("D"&amp;ROW()),
  unit_details[Detected Unit Amenities], "*"&amp;$AD$3&amp;"*",
  unit_details[Leased Date], "&gt;=" &amp; ($U$2 - $AF$3)
),0)</f>
        <v>0</v>
      </c>
      <c r="AD406" s="527" cm="1">
        <f t="array" aca="1" ref="AD4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6" s="526" cm="1">
        <f t="array" aca="1" ref="AE406" ca="1">IFERROR(COUNTIFS(
  unit_details[Property Name], INDIRECT("B"&amp;ROW()),
  unit_details[Floorplan Name], INDIRECT("C"&amp;ROW()),
  unit_details[Beds], INDIRECT("D"&amp;ROW()),
  unit_details[Detected Unit Amenities], "*"&amp;$AD$3&amp;"*",
  unit_details[Leased Date], "&gt;=" &amp; ($U$2 - $AF$3)
),0)</f>
        <v>0</v>
      </c>
      <c r="AF406" s="528" cm="1">
        <f t="array" aca="1" ref="AF406" ca="1">IFERROR(AVERAGEIFS(
  unit_details[Sqft],
  unit_details[Property Name], INDIRECT("B"&amp;ROW()),
  unit_details[Floorplan Name], INDIRECT("C"&amp;ROW()),
  unit_details[Beds], INDIRECT("D"&amp;ROW()),
  unit_details[Detected Unit Amenities], "&lt;&gt;*"&amp;$AD$3&amp;"*",
  unit_details[Leased Date], "&gt;=" &amp; ($U$2 - $AF$3)
),0)</f>
        <v>0</v>
      </c>
      <c r="AG406" s="527" cm="1">
        <f t="array" aca="1" ref="AG4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6" s="526" cm="1">
        <f t="array" aca="1" ref="AH406" ca="1">IFERROR(COUNTIFS(
  unit_details[Property Name], INDIRECT("B"&amp;ROW()),
  unit_details[Floorplan Name], INDIRECT("C"&amp;ROW()),
  unit_details[Beds], INDIRECT("D"&amp;ROW()),
  unit_details[Detected Unit Amenities], "&lt;&gt;*"&amp;$AD$3&amp;"*",
  unit_details[Leased Date], "&gt;=" &amp; ($U$2 - $AF$3)
),0)</f>
        <v>0</v>
      </c>
      <c r="AI406" s="528"/>
      <c r="AJ406" s="531">
        <f t="shared" ca="1" si="19"/>
        <v>0</v>
      </c>
      <c r="AK406" s="532">
        <f t="shared" ca="1" si="20"/>
        <v>0</v>
      </c>
    </row>
    <row r="407" spans="10:37" x14ac:dyDescent="0.2">
      <c r="J407" s="293"/>
      <c r="N407" s="531" t="str" cm="1">
        <f t="array" aca="1" ref="N40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7" s="552" t="str" cm="1">
        <f t="array" aca="1" ref="O40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7" s="526" cm="1">
        <f t="array" aca="1" ref="P407" ca="1">COUNTIFS(unit_details[Leased Date], "&gt;=" &amp; ($U$2 - N$5),
          unit_details[Leased Date], "&lt;" &amp; $U$2,
          unit_details[Floorplan Name], INDIRECT("C"&amp;ROW()),
          unit_details[Property Name], INDIRECT("B"&amp;ROW()))</f>
        <v>0</v>
      </c>
      <c r="Q407" s="531" t="str" cm="1">
        <f t="array" aca="1" ref="Q40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7" s="552" t="str" cm="1">
        <f t="array" aca="1" ref="R40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7" s="526" cm="1">
        <f t="array" aca="1" ref="S407" ca="1">COUNTIFS(unit_details[Leased Date], "&gt;=" &amp; ($U$2 - Q$5),
          unit_details[Leased Date], "&lt;" &amp; $U$2,
          unit_details[Floorplan Name], INDIRECT("C"&amp;ROW()),
          unit_details[Property Name], INDIRECT("B"&amp;ROW()))</f>
        <v>0</v>
      </c>
      <c r="T407" s="531" t="str" cm="1">
        <f t="array" aca="1" ref="T40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7" s="552" t="str" cm="1">
        <f t="array" aca="1" ref="U40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7" s="526" cm="1">
        <f t="array" aca="1" ref="V407" ca="1">COUNTIFS(unit_details[Leased Date], "&gt;=" &amp; ($U$2 - T$5),
          unit_details[Leased Date], "&lt;" &amp; $U$2,
          unit_details[Floorplan Name], INDIRECT("C"&amp;ROW()),
          unit_details[Property Name], INDIRECT("B"&amp;ROW()))</f>
        <v>0</v>
      </c>
      <c r="W407" s="531" t="str" cm="1">
        <f t="array" aca="1" ref="W40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7" s="552" t="str" cm="1">
        <f t="array" aca="1" ref="X40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7" s="27" t="str">
        <f t="shared" ca="1" si="18"/>
        <v/>
      </c>
      <c r="Z407" s="4" t="str">
        <f>IFERROR($U$2-AVERAGEIFS(unit_details[First Listed],
          unit_details[Active Listing?],TRUE,
          unit_details[Property Name], $B407,
          unit_details[Beds], $D407,
          unit_details[Baths], $E407,
          unit_details[Partial Baths], IF(ISNUMBER($F407),$F407,""),
          unit_details[Floorplan Name],$C407
),"")</f>
        <v/>
      </c>
      <c r="AA407" s="262" cm="1">
        <f t="array" aca="1" ref="AA407" ca="1">COUNTIFS(unit_details[Active Listing?],TRUE,
          unit_details[Floorplan Name], INDIRECT("C"&amp;ROW()),
          unit_details[Property Name], INDIRECT("B"&amp;ROW()))</f>
        <v>0</v>
      </c>
      <c r="AB407" s="553"/>
      <c r="AC407" s="528" cm="1">
        <f t="array" aca="1" ref="AC407" ca="1">IFERROR(AVERAGEIFS(
  unit_details[Sqft],
  unit_details[Property Name], INDIRECT("B"&amp;ROW()),
  unit_details[Floorplan Name], INDIRECT("C"&amp;ROW()),
  unit_details[Beds], INDIRECT("D"&amp;ROW()),
  unit_details[Detected Unit Amenities], "*"&amp;$AD$3&amp;"*",
  unit_details[Leased Date], "&gt;=" &amp; ($U$2 - $AF$3)
),0)</f>
        <v>0</v>
      </c>
      <c r="AD407" s="527" cm="1">
        <f t="array" aca="1" ref="AD4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7" s="526" cm="1">
        <f t="array" aca="1" ref="AE407" ca="1">IFERROR(COUNTIFS(
  unit_details[Property Name], INDIRECT("B"&amp;ROW()),
  unit_details[Floorplan Name], INDIRECT("C"&amp;ROW()),
  unit_details[Beds], INDIRECT("D"&amp;ROW()),
  unit_details[Detected Unit Amenities], "*"&amp;$AD$3&amp;"*",
  unit_details[Leased Date], "&gt;=" &amp; ($U$2 - $AF$3)
),0)</f>
        <v>0</v>
      </c>
      <c r="AF407" s="528" cm="1">
        <f t="array" aca="1" ref="AF407" ca="1">IFERROR(AVERAGEIFS(
  unit_details[Sqft],
  unit_details[Property Name], INDIRECT("B"&amp;ROW()),
  unit_details[Floorplan Name], INDIRECT("C"&amp;ROW()),
  unit_details[Beds], INDIRECT("D"&amp;ROW()),
  unit_details[Detected Unit Amenities], "&lt;&gt;*"&amp;$AD$3&amp;"*",
  unit_details[Leased Date], "&gt;=" &amp; ($U$2 - $AF$3)
),0)</f>
        <v>0</v>
      </c>
      <c r="AG407" s="527" cm="1">
        <f t="array" aca="1" ref="AG40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7" s="526" cm="1">
        <f t="array" aca="1" ref="AH407" ca="1">IFERROR(COUNTIFS(
  unit_details[Property Name], INDIRECT("B"&amp;ROW()),
  unit_details[Floorplan Name], INDIRECT("C"&amp;ROW()),
  unit_details[Beds], INDIRECT("D"&amp;ROW()),
  unit_details[Detected Unit Amenities], "&lt;&gt;*"&amp;$AD$3&amp;"*",
  unit_details[Leased Date], "&gt;=" &amp; ($U$2 - $AF$3)
),0)</f>
        <v>0</v>
      </c>
      <c r="AI407" s="528"/>
      <c r="AJ407" s="531">
        <f t="shared" ca="1" si="19"/>
        <v>0</v>
      </c>
      <c r="AK407" s="532">
        <f t="shared" ca="1" si="20"/>
        <v>0</v>
      </c>
    </row>
    <row r="408" spans="10:37" x14ac:dyDescent="0.2">
      <c r="J408" s="293"/>
      <c r="N408" s="531" t="str" cm="1">
        <f t="array" aca="1" ref="N40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8" s="552" t="str" cm="1">
        <f t="array" aca="1" ref="O40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8" s="526" cm="1">
        <f t="array" aca="1" ref="P408" ca="1">COUNTIFS(unit_details[Leased Date], "&gt;=" &amp; ($U$2 - N$5),
          unit_details[Leased Date], "&lt;" &amp; $U$2,
          unit_details[Floorplan Name], INDIRECT("C"&amp;ROW()),
          unit_details[Property Name], INDIRECT("B"&amp;ROW()))</f>
        <v>0</v>
      </c>
      <c r="Q408" s="531" t="str" cm="1">
        <f t="array" aca="1" ref="Q40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8" s="552" t="str" cm="1">
        <f t="array" aca="1" ref="R40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8" s="526" cm="1">
        <f t="array" aca="1" ref="S408" ca="1">COUNTIFS(unit_details[Leased Date], "&gt;=" &amp; ($U$2 - Q$5),
          unit_details[Leased Date], "&lt;" &amp; $U$2,
          unit_details[Floorplan Name], INDIRECT("C"&amp;ROW()),
          unit_details[Property Name], INDIRECT("B"&amp;ROW()))</f>
        <v>0</v>
      </c>
      <c r="T408" s="531" t="str" cm="1">
        <f t="array" aca="1" ref="T40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8" s="552" t="str" cm="1">
        <f t="array" aca="1" ref="U40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8" s="526" cm="1">
        <f t="array" aca="1" ref="V408" ca="1">COUNTIFS(unit_details[Leased Date], "&gt;=" &amp; ($U$2 - T$5),
          unit_details[Leased Date], "&lt;" &amp; $U$2,
          unit_details[Floorplan Name], INDIRECT("C"&amp;ROW()),
          unit_details[Property Name], INDIRECT("B"&amp;ROW()))</f>
        <v>0</v>
      </c>
      <c r="W408" s="531" t="str" cm="1">
        <f t="array" aca="1" ref="W40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8" s="552" t="str" cm="1">
        <f t="array" aca="1" ref="X40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8" s="27" t="str">
        <f t="shared" ca="1" si="18"/>
        <v/>
      </c>
      <c r="Z408" s="4" t="str">
        <f>IFERROR($U$2-AVERAGEIFS(unit_details[First Listed],
          unit_details[Active Listing?],TRUE,
          unit_details[Property Name], $B408,
          unit_details[Beds], $D408,
          unit_details[Baths], $E408,
          unit_details[Partial Baths], IF(ISNUMBER($F408),$F408,""),
          unit_details[Floorplan Name],$C408
),"")</f>
        <v/>
      </c>
      <c r="AA408" s="262" cm="1">
        <f t="array" aca="1" ref="AA408" ca="1">COUNTIFS(unit_details[Active Listing?],TRUE,
          unit_details[Floorplan Name], INDIRECT("C"&amp;ROW()),
          unit_details[Property Name], INDIRECT("B"&amp;ROW()))</f>
        <v>0</v>
      </c>
      <c r="AB408" s="553"/>
      <c r="AC408" s="528" cm="1">
        <f t="array" aca="1" ref="AC408" ca="1">IFERROR(AVERAGEIFS(
  unit_details[Sqft],
  unit_details[Property Name], INDIRECT("B"&amp;ROW()),
  unit_details[Floorplan Name], INDIRECT("C"&amp;ROW()),
  unit_details[Beds], INDIRECT("D"&amp;ROW()),
  unit_details[Detected Unit Amenities], "*"&amp;$AD$3&amp;"*",
  unit_details[Leased Date], "&gt;=" &amp; ($U$2 - $AF$3)
),0)</f>
        <v>0</v>
      </c>
      <c r="AD408" s="527" cm="1">
        <f t="array" aca="1" ref="AD4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8" s="526" cm="1">
        <f t="array" aca="1" ref="AE408" ca="1">IFERROR(COUNTIFS(
  unit_details[Property Name], INDIRECT("B"&amp;ROW()),
  unit_details[Floorplan Name], INDIRECT("C"&amp;ROW()),
  unit_details[Beds], INDIRECT("D"&amp;ROW()),
  unit_details[Detected Unit Amenities], "*"&amp;$AD$3&amp;"*",
  unit_details[Leased Date], "&gt;=" &amp; ($U$2 - $AF$3)
),0)</f>
        <v>0</v>
      </c>
      <c r="AF408" s="528" cm="1">
        <f t="array" aca="1" ref="AF408" ca="1">IFERROR(AVERAGEIFS(
  unit_details[Sqft],
  unit_details[Property Name], INDIRECT("B"&amp;ROW()),
  unit_details[Floorplan Name], INDIRECT("C"&amp;ROW()),
  unit_details[Beds], INDIRECT("D"&amp;ROW()),
  unit_details[Detected Unit Amenities], "&lt;&gt;*"&amp;$AD$3&amp;"*",
  unit_details[Leased Date], "&gt;=" &amp; ($U$2 - $AF$3)
),0)</f>
        <v>0</v>
      </c>
      <c r="AG408" s="527" cm="1">
        <f t="array" aca="1" ref="AG40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8" s="526" cm="1">
        <f t="array" aca="1" ref="AH408" ca="1">IFERROR(COUNTIFS(
  unit_details[Property Name], INDIRECT("B"&amp;ROW()),
  unit_details[Floorplan Name], INDIRECT("C"&amp;ROW()),
  unit_details[Beds], INDIRECT("D"&amp;ROW()),
  unit_details[Detected Unit Amenities], "&lt;&gt;*"&amp;$AD$3&amp;"*",
  unit_details[Leased Date], "&gt;=" &amp; ($U$2 - $AF$3)
),0)</f>
        <v>0</v>
      </c>
      <c r="AI408" s="528"/>
      <c r="AJ408" s="531">
        <f t="shared" ca="1" si="19"/>
        <v>0</v>
      </c>
      <c r="AK408" s="532">
        <f t="shared" ca="1" si="20"/>
        <v>0</v>
      </c>
    </row>
    <row r="409" spans="10:37" x14ac:dyDescent="0.2">
      <c r="J409" s="293"/>
      <c r="N409" s="531" t="str" cm="1">
        <f t="array" aca="1" ref="N40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09" s="552" t="str" cm="1">
        <f t="array" aca="1" ref="O40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09" s="526" cm="1">
        <f t="array" aca="1" ref="P409" ca="1">COUNTIFS(unit_details[Leased Date], "&gt;=" &amp; ($U$2 - N$5),
          unit_details[Leased Date], "&lt;" &amp; $U$2,
          unit_details[Floorplan Name], INDIRECT("C"&amp;ROW()),
          unit_details[Property Name], INDIRECT("B"&amp;ROW()))</f>
        <v>0</v>
      </c>
      <c r="Q409" s="531" t="str" cm="1">
        <f t="array" aca="1" ref="Q40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09" s="552" t="str" cm="1">
        <f t="array" aca="1" ref="R40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09" s="526" cm="1">
        <f t="array" aca="1" ref="S409" ca="1">COUNTIFS(unit_details[Leased Date], "&gt;=" &amp; ($U$2 - Q$5),
          unit_details[Leased Date], "&lt;" &amp; $U$2,
          unit_details[Floorplan Name], INDIRECT("C"&amp;ROW()),
          unit_details[Property Name], INDIRECT("B"&amp;ROW()))</f>
        <v>0</v>
      </c>
      <c r="T409" s="531" t="str" cm="1">
        <f t="array" aca="1" ref="T40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09" s="552" t="str" cm="1">
        <f t="array" aca="1" ref="U40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09" s="526" cm="1">
        <f t="array" aca="1" ref="V409" ca="1">COUNTIFS(unit_details[Leased Date], "&gt;=" &amp; ($U$2 - T$5),
          unit_details[Leased Date], "&lt;" &amp; $U$2,
          unit_details[Floorplan Name], INDIRECT("C"&amp;ROW()),
          unit_details[Property Name], INDIRECT("B"&amp;ROW()))</f>
        <v>0</v>
      </c>
      <c r="W409" s="531" t="str" cm="1">
        <f t="array" aca="1" ref="W40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09" s="552" t="str" cm="1">
        <f t="array" aca="1" ref="X40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09" s="27" t="str">
        <f t="shared" ca="1" si="18"/>
        <v/>
      </c>
      <c r="Z409" s="4" t="str">
        <f>IFERROR($U$2-AVERAGEIFS(unit_details[First Listed],
          unit_details[Active Listing?],TRUE,
          unit_details[Property Name], $B409,
          unit_details[Beds], $D409,
          unit_details[Baths], $E409,
          unit_details[Partial Baths], IF(ISNUMBER($F409),$F409,""),
          unit_details[Floorplan Name],$C409
),"")</f>
        <v/>
      </c>
      <c r="AA409" s="262" cm="1">
        <f t="array" aca="1" ref="AA409" ca="1">COUNTIFS(unit_details[Active Listing?],TRUE,
          unit_details[Floorplan Name], INDIRECT("C"&amp;ROW()),
          unit_details[Property Name], INDIRECT("B"&amp;ROW()))</f>
        <v>0</v>
      </c>
      <c r="AB409" s="553"/>
      <c r="AC409" s="528" cm="1">
        <f t="array" aca="1" ref="AC409" ca="1">IFERROR(AVERAGEIFS(
  unit_details[Sqft],
  unit_details[Property Name], INDIRECT("B"&amp;ROW()),
  unit_details[Floorplan Name], INDIRECT("C"&amp;ROW()),
  unit_details[Beds], INDIRECT("D"&amp;ROW()),
  unit_details[Detected Unit Amenities], "*"&amp;$AD$3&amp;"*",
  unit_details[Leased Date], "&gt;=" &amp; ($U$2 - $AF$3)
),0)</f>
        <v>0</v>
      </c>
      <c r="AD409" s="527" cm="1">
        <f t="array" aca="1" ref="AD4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09" s="526" cm="1">
        <f t="array" aca="1" ref="AE409" ca="1">IFERROR(COUNTIFS(
  unit_details[Property Name], INDIRECT("B"&amp;ROW()),
  unit_details[Floorplan Name], INDIRECT("C"&amp;ROW()),
  unit_details[Beds], INDIRECT("D"&amp;ROW()),
  unit_details[Detected Unit Amenities], "*"&amp;$AD$3&amp;"*",
  unit_details[Leased Date], "&gt;=" &amp; ($U$2 - $AF$3)
),0)</f>
        <v>0</v>
      </c>
      <c r="AF409" s="528" cm="1">
        <f t="array" aca="1" ref="AF409" ca="1">IFERROR(AVERAGEIFS(
  unit_details[Sqft],
  unit_details[Property Name], INDIRECT("B"&amp;ROW()),
  unit_details[Floorplan Name], INDIRECT("C"&amp;ROW()),
  unit_details[Beds], INDIRECT("D"&amp;ROW()),
  unit_details[Detected Unit Amenities], "&lt;&gt;*"&amp;$AD$3&amp;"*",
  unit_details[Leased Date], "&gt;=" &amp; ($U$2 - $AF$3)
),0)</f>
        <v>0</v>
      </c>
      <c r="AG409" s="527" cm="1">
        <f t="array" aca="1" ref="AG40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09" s="526" cm="1">
        <f t="array" aca="1" ref="AH409" ca="1">IFERROR(COUNTIFS(
  unit_details[Property Name], INDIRECT("B"&amp;ROW()),
  unit_details[Floorplan Name], INDIRECT("C"&amp;ROW()),
  unit_details[Beds], INDIRECT("D"&amp;ROW()),
  unit_details[Detected Unit Amenities], "&lt;&gt;*"&amp;$AD$3&amp;"*",
  unit_details[Leased Date], "&gt;=" &amp; ($U$2 - $AF$3)
),0)</f>
        <v>0</v>
      </c>
      <c r="AI409" s="528"/>
      <c r="AJ409" s="531">
        <f t="shared" ca="1" si="19"/>
        <v>0</v>
      </c>
      <c r="AK409" s="532">
        <f t="shared" ca="1" si="20"/>
        <v>0</v>
      </c>
    </row>
    <row r="410" spans="10:37" x14ac:dyDescent="0.2">
      <c r="J410" s="293"/>
      <c r="N410" s="531" t="str" cm="1">
        <f t="array" aca="1" ref="N41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0" s="552" t="str" cm="1">
        <f t="array" aca="1" ref="O41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0" s="526" cm="1">
        <f t="array" aca="1" ref="P410" ca="1">COUNTIFS(unit_details[Leased Date], "&gt;=" &amp; ($U$2 - N$5),
          unit_details[Leased Date], "&lt;" &amp; $U$2,
          unit_details[Floorplan Name], INDIRECT("C"&amp;ROW()),
          unit_details[Property Name], INDIRECT("B"&amp;ROW()))</f>
        <v>0</v>
      </c>
      <c r="Q410" s="531" t="str" cm="1">
        <f t="array" aca="1" ref="Q41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0" s="552" t="str" cm="1">
        <f t="array" aca="1" ref="R41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0" s="526" cm="1">
        <f t="array" aca="1" ref="S410" ca="1">COUNTIFS(unit_details[Leased Date], "&gt;=" &amp; ($U$2 - Q$5),
          unit_details[Leased Date], "&lt;" &amp; $U$2,
          unit_details[Floorplan Name], INDIRECT("C"&amp;ROW()),
          unit_details[Property Name], INDIRECT("B"&amp;ROW()))</f>
        <v>0</v>
      </c>
      <c r="T410" s="531" t="str" cm="1">
        <f t="array" aca="1" ref="T41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0" s="552" t="str" cm="1">
        <f t="array" aca="1" ref="U41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0" s="526" cm="1">
        <f t="array" aca="1" ref="V410" ca="1">COUNTIFS(unit_details[Leased Date], "&gt;=" &amp; ($U$2 - T$5),
          unit_details[Leased Date], "&lt;" &amp; $U$2,
          unit_details[Floorplan Name], INDIRECT("C"&amp;ROW()),
          unit_details[Property Name], INDIRECT("B"&amp;ROW()))</f>
        <v>0</v>
      </c>
      <c r="W410" s="531" t="str" cm="1">
        <f t="array" aca="1" ref="W41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0" s="552" t="str" cm="1">
        <f t="array" aca="1" ref="X41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0" s="27" t="str">
        <f t="shared" ca="1" si="18"/>
        <v/>
      </c>
      <c r="Z410" s="4" t="str">
        <f>IFERROR($U$2-AVERAGEIFS(unit_details[First Listed],
          unit_details[Active Listing?],TRUE,
          unit_details[Property Name], $B410,
          unit_details[Beds], $D410,
          unit_details[Baths], $E410,
          unit_details[Partial Baths], IF(ISNUMBER($F410),$F410,""),
          unit_details[Floorplan Name],$C410
),"")</f>
        <v/>
      </c>
      <c r="AA410" s="262" cm="1">
        <f t="array" aca="1" ref="AA410" ca="1">COUNTIFS(unit_details[Active Listing?],TRUE,
          unit_details[Floorplan Name], INDIRECT("C"&amp;ROW()),
          unit_details[Property Name], INDIRECT("B"&amp;ROW()))</f>
        <v>0</v>
      </c>
      <c r="AB410" s="553"/>
      <c r="AC410" s="528" cm="1">
        <f t="array" aca="1" ref="AC410" ca="1">IFERROR(AVERAGEIFS(
  unit_details[Sqft],
  unit_details[Property Name], INDIRECT("B"&amp;ROW()),
  unit_details[Floorplan Name], INDIRECT("C"&amp;ROW()),
  unit_details[Beds], INDIRECT("D"&amp;ROW()),
  unit_details[Detected Unit Amenities], "*"&amp;$AD$3&amp;"*",
  unit_details[Leased Date], "&gt;=" &amp; ($U$2 - $AF$3)
),0)</f>
        <v>0</v>
      </c>
      <c r="AD410" s="527" cm="1">
        <f t="array" aca="1" ref="AD4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0" s="526" cm="1">
        <f t="array" aca="1" ref="AE410" ca="1">IFERROR(COUNTIFS(
  unit_details[Property Name], INDIRECT("B"&amp;ROW()),
  unit_details[Floorplan Name], INDIRECT("C"&amp;ROW()),
  unit_details[Beds], INDIRECT("D"&amp;ROW()),
  unit_details[Detected Unit Amenities], "*"&amp;$AD$3&amp;"*",
  unit_details[Leased Date], "&gt;=" &amp; ($U$2 - $AF$3)
),0)</f>
        <v>0</v>
      </c>
      <c r="AF410" s="528" cm="1">
        <f t="array" aca="1" ref="AF410" ca="1">IFERROR(AVERAGEIFS(
  unit_details[Sqft],
  unit_details[Property Name], INDIRECT("B"&amp;ROW()),
  unit_details[Floorplan Name], INDIRECT("C"&amp;ROW()),
  unit_details[Beds], INDIRECT("D"&amp;ROW()),
  unit_details[Detected Unit Amenities], "&lt;&gt;*"&amp;$AD$3&amp;"*",
  unit_details[Leased Date], "&gt;=" &amp; ($U$2 - $AF$3)
),0)</f>
        <v>0</v>
      </c>
      <c r="AG410" s="527" cm="1">
        <f t="array" aca="1" ref="AG41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0" s="526" cm="1">
        <f t="array" aca="1" ref="AH410" ca="1">IFERROR(COUNTIFS(
  unit_details[Property Name], INDIRECT("B"&amp;ROW()),
  unit_details[Floorplan Name], INDIRECT("C"&amp;ROW()),
  unit_details[Beds], INDIRECT("D"&amp;ROW()),
  unit_details[Detected Unit Amenities], "&lt;&gt;*"&amp;$AD$3&amp;"*",
  unit_details[Leased Date], "&gt;=" &amp; ($U$2 - $AF$3)
),0)</f>
        <v>0</v>
      </c>
      <c r="AI410" s="528"/>
      <c r="AJ410" s="531">
        <f t="shared" ca="1" si="19"/>
        <v>0</v>
      </c>
      <c r="AK410" s="532">
        <f t="shared" ca="1" si="20"/>
        <v>0</v>
      </c>
    </row>
    <row r="411" spans="10:37" x14ac:dyDescent="0.2">
      <c r="J411" s="293"/>
      <c r="N411" s="531" t="str" cm="1">
        <f t="array" aca="1" ref="N41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1" s="552" t="str" cm="1">
        <f t="array" aca="1" ref="O41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1" s="526" cm="1">
        <f t="array" aca="1" ref="P411" ca="1">COUNTIFS(unit_details[Leased Date], "&gt;=" &amp; ($U$2 - N$5),
          unit_details[Leased Date], "&lt;" &amp; $U$2,
          unit_details[Floorplan Name], INDIRECT("C"&amp;ROW()),
          unit_details[Property Name], INDIRECT("B"&amp;ROW()))</f>
        <v>0</v>
      </c>
      <c r="Q411" s="531" t="str" cm="1">
        <f t="array" aca="1" ref="Q41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1" s="552" t="str" cm="1">
        <f t="array" aca="1" ref="R41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1" s="526" cm="1">
        <f t="array" aca="1" ref="S411" ca="1">COUNTIFS(unit_details[Leased Date], "&gt;=" &amp; ($U$2 - Q$5),
          unit_details[Leased Date], "&lt;" &amp; $U$2,
          unit_details[Floorplan Name], INDIRECT("C"&amp;ROW()),
          unit_details[Property Name], INDIRECT("B"&amp;ROW()))</f>
        <v>0</v>
      </c>
      <c r="T411" s="531" t="str" cm="1">
        <f t="array" aca="1" ref="T41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1" s="552" t="str" cm="1">
        <f t="array" aca="1" ref="U41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1" s="526" cm="1">
        <f t="array" aca="1" ref="V411" ca="1">COUNTIFS(unit_details[Leased Date], "&gt;=" &amp; ($U$2 - T$5),
          unit_details[Leased Date], "&lt;" &amp; $U$2,
          unit_details[Floorplan Name], INDIRECT("C"&amp;ROW()),
          unit_details[Property Name], INDIRECT("B"&amp;ROW()))</f>
        <v>0</v>
      </c>
      <c r="W411" s="531" t="str" cm="1">
        <f t="array" aca="1" ref="W41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1" s="552" t="str" cm="1">
        <f t="array" aca="1" ref="X41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1" s="27" t="str">
        <f t="shared" ca="1" si="18"/>
        <v/>
      </c>
      <c r="Z411" s="4" t="str">
        <f>IFERROR($U$2-AVERAGEIFS(unit_details[First Listed],
          unit_details[Active Listing?],TRUE,
          unit_details[Property Name], $B411,
          unit_details[Beds], $D411,
          unit_details[Baths], $E411,
          unit_details[Partial Baths], IF(ISNUMBER($F411),$F411,""),
          unit_details[Floorplan Name],$C411
),"")</f>
        <v/>
      </c>
      <c r="AA411" s="262" cm="1">
        <f t="array" aca="1" ref="AA411" ca="1">COUNTIFS(unit_details[Active Listing?],TRUE,
          unit_details[Floorplan Name], INDIRECT("C"&amp;ROW()),
          unit_details[Property Name], INDIRECT("B"&amp;ROW()))</f>
        <v>0</v>
      </c>
      <c r="AB411" s="553"/>
      <c r="AC411" s="528" cm="1">
        <f t="array" aca="1" ref="AC411" ca="1">IFERROR(AVERAGEIFS(
  unit_details[Sqft],
  unit_details[Property Name], INDIRECT("B"&amp;ROW()),
  unit_details[Floorplan Name], INDIRECT("C"&amp;ROW()),
  unit_details[Beds], INDIRECT("D"&amp;ROW()),
  unit_details[Detected Unit Amenities], "*"&amp;$AD$3&amp;"*",
  unit_details[Leased Date], "&gt;=" &amp; ($U$2 - $AF$3)
),0)</f>
        <v>0</v>
      </c>
      <c r="AD411" s="527" cm="1">
        <f t="array" aca="1" ref="AD4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1" s="526" cm="1">
        <f t="array" aca="1" ref="AE411" ca="1">IFERROR(COUNTIFS(
  unit_details[Property Name], INDIRECT("B"&amp;ROW()),
  unit_details[Floorplan Name], INDIRECT("C"&amp;ROW()),
  unit_details[Beds], INDIRECT("D"&amp;ROW()),
  unit_details[Detected Unit Amenities], "*"&amp;$AD$3&amp;"*",
  unit_details[Leased Date], "&gt;=" &amp; ($U$2 - $AF$3)
),0)</f>
        <v>0</v>
      </c>
      <c r="AF411" s="528" cm="1">
        <f t="array" aca="1" ref="AF411" ca="1">IFERROR(AVERAGEIFS(
  unit_details[Sqft],
  unit_details[Property Name], INDIRECT("B"&amp;ROW()),
  unit_details[Floorplan Name], INDIRECT("C"&amp;ROW()),
  unit_details[Beds], INDIRECT("D"&amp;ROW()),
  unit_details[Detected Unit Amenities], "&lt;&gt;*"&amp;$AD$3&amp;"*",
  unit_details[Leased Date], "&gt;=" &amp; ($U$2 - $AF$3)
),0)</f>
        <v>0</v>
      </c>
      <c r="AG411" s="527" cm="1">
        <f t="array" aca="1" ref="AG41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1" s="526" cm="1">
        <f t="array" aca="1" ref="AH411" ca="1">IFERROR(COUNTIFS(
  unit_details[Property Name], INDIRECT("B"&amp;ROW()),
  unit_details[Floorplan Name], INDIRECT("C"&amp;ROW()),
  unit_details[Beds], INDIRECT("D"&amp;ROW()),
  unit_details[Detected Unit Amenities], "&lt;&gt;*"&amp;$AD$3&amp;"*",
  unit_details[Leased Date], "&gt;=" &amp; ($U$2 - $AF$3)
),0)</f>
        <v>0</v>
      </c>
      <c r="AI411" s="528"/>
      <c r="AJ411" s="531">
        <f t="shared" ca="1" si="19"/>
        <v>0</v>
      </c>
      <c r="AK411" s="532">
        <f t="shared" ca="1" si="20"/>
        <v>0</v>
      </c>
    </row>
    <row r="412" spans="10:37" x14ac:dyDescent="0.2">
      <c r="J412" s="293"/>
      <c r="N412" s="531" t="str" cm="1">
        <f t="array" aca="1" ref="N41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2" s="552" t="str" cm="1">
        <f t="array" aca="1" ref="O41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2" s="526" cm="1">
        <f t="array" aca="1" ref="P412" ca="1">COUNTIFS(unit_details[Leased Date], "&gt;=" &amp; ($U$2 - N$5),
          unit_details[Leased Date], "&lt;" &amp; $U$2,
          unit_details[Floorplan Name], INDIRECT("C"&amp;ROW()),
          unit_details[Property Name], INDIRECT("B"&amp;ROW()))</f>
        <v>0</v>
      </c>
      <c r="Q412" s="531" t="str" cm="1">
        <f t="array" aca="1" ref="Q41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2" s="552" t="str" cm="1">
        <f t="array" aca="1" ref="R41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2" s="526" cm="1">
        <f t="array" aca="1" ref="S412" ca="1">COUNTIFS(unit_details[Leased Date], "&gt;=" &amp; ($U$2 - Q$5),
          unit_details[Leased Date], "&lt;" &amp; $U$2,
          unit_details[Floorplan Name], INDIRECT("C"&amp;ROW()),
          unit_details[Property Name], INDIRECT("B"&amp;ROW()))</f>
        <v>0</v>
      </c>
      <c r="T412" s="531" t="str" cm="1">
        <f t="array" aca="1" ref="T41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2" s="552" t="str" cm="1">
        <f t="array" aca="1" ref="U41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2" s="526" cm="1">
        <f t="array" aca="1" ref="V412" ca="1">COUNTIFS(unit_details[Leased Date], "&gt;=" &amp; ($U$2 - T$5),
          unit_details[Leased Date], "&lt;" &amp; $U$2,
          unit_details[Floorplan Name], INDIRECT("C"&amp;ROW()),
          unit_details[Property Name], INDIRECT("B"&amp;ROW()))</f>
        <v>0</v>
      </c>
      <c r="W412" s="531" t="str" cm="1">
        <f t="array" aca="1" ref="W41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2" s="552" t="str" cm="1">
        <f t="array" aca="1" ref="X41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2" s="27" t="str">
        <f t="shared" ca="1" si="18"/>
        <v/>
      </c>
      <c r="Z412" s="4" t="str">
        <f>IFERROR($U$2-AVERAGEIFS(unit_details[First Listed],
          unit_details[Active Listing?],TRUE,
          unit_details[Property Name], $B412,
          unit_details[Beds], $D412,
          unit_details[Baths], $E412,
          unit_details[Partial Baths], IF(ISNUMBER($F412),$F412,""),
          unit_details[Floorplan Name],$C412
),"")</f>
        <v/>
      </c>
      <c r="AA412" s="262" cm="1">
        <f t="array" aca="1" ref="AA412" ca="1">COUNTIFS(unit_details[Active Listing?],TRUE,
          unit_details[Floorplan Name], INDIRECT("C"&amp;ROW()),
          unit_details[Property Name], INDIRECT("B"&amp;ROW()))</f>
        <v>0</v>
      </c>
      <c r="AB412" s="553"/>
      <c r="AC412" s="528" cm="1">
        <f t="array" aca="1" ref="AC412" ca="1">IFERROR(AVERAGEIFS(
  unit_details[Sqft],
  unit_details[Property Name], INDIRECT("B"&amp;ROW()),
  unit_details[Floorplan Name], INDIRECT("C"&amp;ROW()),
  unit_details[Beds], INDIRECT("D"&amp;ROW()),
  unit_details[Detected Unit Amenities], "*"&amp;$AD$3&amp;"*",
  unit_details[Leased Date], "&gt;=" &amp; ($U$2 - $AF$3)
),0)</f>
        <v>0</v>
      </c>
      <c r="AD412" s="527" cm="1">
        <f t="array" aca="1" ref="AD4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2" s="526" cm="1">
        <f t="array" aca="1" ref="AE412" ca="1">IFERROR(COUNTIFS(
  unit_details[Property Name], INDIRECT("B"&amp;ROW()),
  unit_details[Floorplan Name], INDIRECT("C"&amp;ROW()),
  unit_details[Beds], INDIRECT("D"&amp;ROW()),
  unit_details[Detected Unit Amenities], "*"&amp;$AD$3&amp;"*",
  unit_details[Leased Date], "&gt;=" &amp; ($U$2 - $AF$3)
),0)</f>
        <v>0</v>
      </c>
      <c r="AF412" s="528" cm="1">
        <f t="array" aca="1" ref="AF412" ca="1">IFERROR(AVERAGEIFS(
  unit_details[Sqft],
  unit_details[Property Name], INDIRECT("B"&amp;ROW()),
  unit_details[Floorplan Name], INDIRECT("C"&amp;ROW()),
  unit_details[Beds], INDIRECT("D"&amp;ROW()),
  unit_details[Detected Unit Amenities], "&lt;&gt;*"&amp;$AD$3&amp;"*",
  unit_details[Leased Date], "&gt;=" &amp; ($U$2 - $AF$3)
),0)</f>
        <v>0</v>
      </c>
      <c r="AG412" s="527" cm="1">
        <f t="array" aca="1" ref="AG41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2" s="526" cm="1">
        <f t="array" aca="1" ref="AH412" ca="1">IFERROR(COUNTIFS(
  unit_details[Property Name], INDIRECT("B"&amp;ROW()),
  unit_details[Floorplan Name], INDIRECT("C"&amp;ROW()),
  unit_details[Beds], INDIRECT("D"&amp;ROW()),
  unit_details[Detected Unit Amenities], "&lt;&gt;*"&amp;$AD$3&amp;"*",
  unit_details[Leased Date], "&gt;=" &amp; ($U$2 - $AF$3)
),0)</f>
        <v>0</v>
      </c>
      <c r="AI412" s="528"/>
      <c r="AJ412" s="531">
        <f t="shared" ca="1" si="19"/>
        <v>0</v>
      </c>
      <c r="AK412" s="532">
        <f t="shared" ca="1" si="20"/>
        <v>0</v>
      </c>
    </row>
    <row r="413" spans="10:37" x14ac:dyDescent="0.2">
      <c r="J413" s="293"/>
      <c r="N413" s="531" t="str" cm="1">
        <f t="array" aca="1" ref="N41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3" s="552" t="str" cm="1">
        <f t="array" aca="1" ref="O41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3" s="526" cm="1">
        <f t="array" aca="1" ref="P413" ca="1">COUNTIFS(unit_details[Leased Date], "&gt;=" &amp; ($U$2 - N$5),
          unit_details[Leased Date], "&lt;" &amp; $U$2,
          unit_details[Floorplan Name], INDIRECT("C"&amp;ROW()),
          unit_details[Property Name], INDIRECT("B"&amp;ROW()))</f>
        <v>0</v>
      </c>
      <c r="Q413" s="531" t="str" cm="1">
        <f t="array" aca="1" ref="Q41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3" s="552" t="str" cm="1">
        <f t="array" aca="1" ref="R41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3" s="526" cm="1">
        <f t="array" aca="1" ref="S413" ca="1">COUNTIFS(unit_details[Leased Date], "&gt;=" &amp; ($U$2 - Q$5),
          unit_details[Leased Date], "&lt;" &amp; $U$2,
          unit_details[Floorplan Name], INDIRECT("C"&amp;ROW()),
          unit_details[Property Name], INDIRECT("B"&amp;ROW()))</f>
        <v>0</v>
      </c>
      <c r="T413" s="531" t="str" cm="1">
        <f t="array" aca="1" ref="T41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3" s="552" t="str" cm="1">
        <f t="array" aca="1" ref="U41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3" s="526" cm="1">
        <f t="array" aca="1" ref="V413" ca="1">COUNTIFS(unit_details[Leased Date], "&gt;=" &amp; ($U$2 - T$5),
          unit_details[Leased Date], "&lt;" &amp; $U$2,
          unit_details[Floorplan Name], INDIRECT("C"&amp;ROW()),
          unit_details[Property Name], INDIRECT("B"&amp;ROW()))</f>
        <v>0</v>
      </c>
      <c r="W413" s="531" t="str" cm="1">
        <f t="array" aca="1" ref="W41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3" s="552" t="str" cm="1">
        <f t="array" aca="1" ref="X41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3" s="27" t="str">
        <f t="shared" ca="1" si="18"/>
        <v/>
      </c>
      <c r="Z413" s="4" t="str">
        <f>IFERROR($U$2-AVERAGEIFS(unit_details[First Listed],
          unit_details[Active Listing?],TRUE,
          unit_details[Property Name], $B413,
          unit_details[Beds], $D413,
          unit_details[Baths], $E413,
          unit_details[Partial Baths], IF(ISNUMBER($F413),$F413,""),
          unit_details[Floorplan Name],$C413
),"")</f>
        <v/>
      </c>
      <c r="AA413" s="262" cm="1">
        <f t="array" aca="1" ref="AA413" ca="1">COUNTIFS(unit_details[Active Listing?],TRUE,
          unit_details[Floorplan Name], INDIRECT("C"&amp;ROW()),
          unit_details[Property Name], INDIRECT("B"&amp;ROW()))</f>
        <v>0</v>
      </c>
      <c r="AB413" s="553"/>
      <c r="AC413" s="528" cm="1">
        <f t="array" aca="1" ref="AC413" ca="1">IFERROR(AVERAGEIFS(
  unit_details[Sqft],
  unit_details[Property Name], INDIRECT("B"&amp;ROW()),
  unit_details[Floorplan Name], INDIRECT("C"&amp;ROW()),
  unit_details[Beds], INDIRECT("D"&amp;ROW()),
  unit_details[Detected Unit Amenities], "*"&amp;$AD$3&amp;"*",
  unit_details[Leased Date], "&gt;=" &amp; ($U$2 - $AF$3)
),0)</f>
        <v>0</v>
      </c>
      <c r="AD413" s="527" cm="1">
        <f t="array" aca="1" ref="AD4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3" s="526" cm="1">
        <f t="array" aca="1" ref="AE413" ca="1">IFERROR(COUNTIFS(
  unit_details[Property Name], INDIRECT("B"&amp;ROW()),
  unit_details[Floorplan Name], INDIRECT("C"&amp;ROW()),
  unit_details[Beds], INDIRECT("D"&amp;ROW()),
  unit_details[Detected Unit Amenities], "*"&amp;$AD$3&amp;"*",
  unit_details[Leased Date], "&gt;=" &amp; ($U$2 - $AF$3)
),0)</f>
        <v>0</v>
      </c>
      <c r="AF413" s="528" cm="1">
        <f t="array" aca="1" ref="AF413" ca="1">IFERROR(AVERAGEIFS(
  unit_details[Sqft],
  unit_details[Property Name], INDIRECT("B"&amp;ROW()),
  unit_details[Floorplan Name], INDIRECT("C"&amp;ROW()),
  unit_details[Beds], INDIRECT("D"&amp;ROW()),
  unit_details[Detected Unit Amenities], "&lt;&gt;*"&amp;$AD$3&amp;"*",
  unit_details[Leased Date], "&gt;=" &amp; ($U$2 - $AF$3)
),0)</f>
        <v>0</v>
      </c>
      <c r="AG413" s="527" cm="1">
        <f t="array" aca="1" ref="AG41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3" s="526" cm="1">
        <f t="array" aca="1" ref="AH413" ca="1">IFERROR(COUNTIFS(
  unit_details[Property Name], INDIRECT("B"&amp;ROW()),
  unit_details[Floorplan Name], INDIRECT("C"&amp;ROW()),
  unit_details[Beds], INDIRECT("D"&amp;ROW()),
  unit_details[Detected Unit Amenities], "&lt;&gt;*"&amp;$AD$3&amp;"*",
  unit_details[Leased Date], "&gt;=" &amp; ($U$2 - $AF$3)
),0)</f>
        <v>0</v>
      </c>
      <c r="AI413" s="528"/>
      <c r="AJ413" s="531">
        <f t="shared" ca="1" si="19"/>
        <v>0</v>
      </c>
      <c r="AK413" s="532">
        <f t="shared" ca="1" si="20"/>
        <v>0</v>
      </c>
    </row>
    <row r="414" spans="10:37" x14ac:dyDescent="0.2">
      <c r="J414" s="293"/>
      <c r="N414" s="531" t="str" cm="1">
        <f t="array" aca="1" ref="N41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4" s="552" t="str" cm="1">
        <f t="array" aca="1" ref="O41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4" s="526" cm="1">
        <f t="array" aca="1" ref="P414" ca="1">COUNTIFS(unit_details[Leased Date], "&gt;=" &amp; ($U$2 - N$5),
          unit_details[Leased Date], "&lt;" &amp; $U$2,
          unit_details[Floorplan Name], INDIRECT("C"&amp;ROW()),
          unit_details[Property Name], INDIRECT("B"&amp;ROW()))</f>
        <v>0</v>
      </c>
      <c r="Q414" s="531" t="str" cm="1">
        <f t="array" aca="1" ref="Q41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4" s="552" t="str" cm="1">
        <f t="array" aca="1" ref="R41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4" s="526" cm="1">
        <f t="array" aca="1" ref="S414" ca="1">COUNTIFS(unit_details[Leased Date], "&gt;=" &amp; ($U$2 - Q$5),
          unit_details[Leased Date], "&lt;" &amp; $U$2,
          unit_details[Floorplan Name], INDIRECT("C"&amp;ROW()),
          unit_details[Property Name], INDIRECT("B"&amp;ROW()))</f>
        <v>0</v>
      </c>
      <c r="T414" s="531" t="str" cm="1">
        <f t="array" aca="1" ref="T41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4" s="552" t="str" cm="1">
        <f t="array" aca="1" ref="U41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4" s="526" cm="1">
        <f t="array" aca="1" ref="V414" ca="1">COUNTIFS(unit_details[Leased Date], "&gt;=" &amp; ($U$2 - T$5),
          unit_details[Leased Date], "&lt;" &amp; $U$2,
          unit_details[Floorplan Name], INDIRECT("C"&amp;ROW()),
          unit_details[Property Name], INDIRECT("B"&amp;ROW()))</f>
        <v>0</v>
      </c>
      <c r="W414" s="531" t="str" cm="1">
        <f t="array" aca="1" ref="W41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4" s="552" t="str" cm="1">
        <f t="array" aca="1" ref="X41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4" s="27" t="str">
        <f t="shared" ca="1" si="18"/>
        <v/>
      </c>
      <c r="Z414" s="4" t="str">
        <f>IFERROR($U$2-AVERAGEIFS(unit_details[First Listed],
          unit_details[Active Listing?],TRUE,
          unit_details[Property Name], $B414,
          unit_details[Beds], $D414,
          unit_details[Baths], $E414,
          unit_details[Partial Baths], IF(ISNUMBER($F414),$F414,""),
          unit_details[Floorplan Name],$C414
),"")</f>
        <v/>
      </c>
      <c r="AA414" s="262" cm="1">
        <f t="array" aca="1" ref="AA414" ca="1">COUNTIFS(unit_details[Active Listing?],TRUE,
          unit_details[Floorplan Name], INDIRECT("C"&amp;ROW()),
          unit_details[Property Name], INDIRECT("B"&amp;ROW()))</f>
        <v>0</v>
      </c>
      <c r="AB414" s="553"/>
      <c r="AC414" s="528" cm="1">
        <f t="array" aca="1" ref="AC414" ca="1">IFERROR(AVERAGEIFS(
  unit_details[Sqft],
  unit_details[Property Name], INDIRECT("B"&amp;ROW()),
  unit_details[Floorplan Name], INDIRECT("C"&amp;ROW()),
  unit_details[Beds], INDIRECT("D"&amp;ROW()),
  unit_details[Detected Unit Amenities], "*"&amp;$AD$3&amp;"*",
  unit_details[Leased Date], "&gt;=" &amp; ($U$2 - $AF$3)
),0)</f>
        <v>0</v>
      </c>
      <c r="AD414" s="527" cm="1">
        <f t="array" aca="1" ref="AD4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4" s="526" cm="1">
        <f t="array" aca="1" ref="AE414" ca="1">IFERROR(COUNTIFS(
  unit_details[Property Name], INDIRECT("B"&amp;ROW()),
  unit_details[Floorplan Name], INDIRECT("C"&amp;ROW()),
  unit_details[Beds], INDIRECT("D"&amp;ROW()),
  unit_details[Detected Unit Amenities], "*"&amp;$AD$3&amp;"*",
  unit_details[Leased Date], "&gt;=" &amp; ($U$2 - $AF$3)
),0)</f>
        <v>0</v>
      </c>
      <c r="AF414" s="528" cm="1">
        <f t="array" aca="1" ref="AF414" ca="1">IFERROR(AVERAGEIFS(
  unit_details[Sqft],
  unit_details[Property Name], INDIRECT("B"&amp;ROW()),
  unit_details[Floorplan Name], INDIRECT("C"&amp;ROW()),
  unit_details[Beds], INDIRECT("D"&amp;ROW()),
  unit_details[Detected Unit Amenities], "&lt;&gt;*"&amp;$AD$3&amp;"*",
  unit_details[Leased Date], "&gt;=" &amp; ($U$2 - $AF$3)
),0)</f>
        <v>0</v>
      </c>
      <c r="AG414" s="527" cm="1">
        <f t="array" aca="1" ref="AG41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4" s="526" cm="1">
        <f t="array" aca="1" ref="AH414" ca="1">IFERROR(COUNTIFS(
  unit_details[Property Name], INDIRECT("B"&amp;ROW()),
  unit_details[Floorplan Name], INDIRECT("C"&amp;ROW()),
  unit_details[Beds], INDIRECT("D"&amp;ROW()),
  unit_details[Detected Unit Amenities], "&lt;&gt;*"&amp;$AD$3&amp;"*",
  unit_details[Leased Date], "&gt;=" &amp; ($U$2 - $AF$3)
),0)</f>
        <v>0</v>
      </c>
      <c r="AI414" s="528"/>
      <c r="AJ414" s="531">
        <f t="shared" ca="1" si="19"/>
        <v>0</v>
      </c>
      <c r="AK414" s="532">
        <f t="shared" ca="1" si="20"/>
        <v>0</v>
      </c>
    </row>
    <row r="415" spans="10:37" x14ac:dyDescent="0.2">
      <c r="J415" s="293"/>
      <c r="N415" s="531" t="str" cm="1">
        <f t="array" aca="1" ref="N41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5" s="552" t="str" cm="1">
        <f t="array" aca="1" ref="O41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5" s="526" cm="1">
        <f t="array" aca="1" ref="P415" ca="1">COUNTIFS(unit_details[Leased Date], "&gt;=" &amp; ($U$2 - N$5),
          unit_details[Leased Date], "&lt;" &amp; $U$2,
          unit_details[Floorplan Name], INDIRECT("C"&amp;ROW()),
          unit_details[Property Name], INDIRECT("B"&amp;ROW()))</f>
        <v>0</v>
      </c>
      <c r="Q415" s="531" t="str" cm="1">
        <f t="array" aca="1" ref="Q41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5" s="552" t="str" cm="1">
        <f t="array" aca="1" ref="R41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5" s="526" cm="1">
        <f t="array" aca="1" ref="S415" ca="1">COUNTIFS(unit_details[Leased Date], "&gt;=" &amp; ($U$2 - Q$5),
          unit_details[Leased Date], "&lt;" &amp; $U$2,
          unit_details[Floorplan Name], INDIRECT("C"&amp;ROW()),
          unit_details[Property Name], INDIRECT("B"&amp;ROW()))</f>
        <v>0</v>
      </c>
      <c r="T415" s="531" t="str" cm="1">
        <f t="array" aca="1" ref="T41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5" s="552" t="str" cm="1">
        <f t="array" aca="1" ref="U41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5" s="526" cm="1">
        <f t="array" aca="1" ref="V415" ca="1">COUNTIFS(unit_details[Leased Date], "&gt;=" &amp; ($U$2 - T$5),
          unit_details[Leased Date], "&lt;" &amp; $U$2,
          unit_details[Floorplan Name], INDIRECT("C"&amp;ROW()),
          unit_details[Property Name], INDIRECT("B"&amp;ROW()))</f>
        <v>0</v>
      </c>
      <c r="W415" s="531" t="str" cm="1">
        <f t="array" aca="1" ref="W41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5" s="552" t="str" cm="1">
        <f t="array" aca="1" ref="X41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5" s="27" t="str">
        <f t="shared" ca="1" si="18"/>
        <v/>
      </c>
      <c r="Z415" s="4" t="str">
        <f>IFERROR($U$2-AVERAGEIFS(unit_details[First Listed],
          unit_details[Active Listing?],TRUE,
          unit_details[Property Name], $B415,
          unit_details[Beds], $D415,
          unit_details[Baths], $E415,
          unit_details[Partial Baths], IF(ISNUMBER($F415),$F415,""),
          unit_details[Floorplan Name],$C415
),"")</f>
        <v/>
      </c>
      <c r="AA415" s="262" cm="1">
        <f t="array" aca="1" ref="AA415" ca="1">COUNTIFS(unit_details[Active Listing?],TRUE,
          unit_details[Floorplan Name], INDIRECT("C"&amp;ROW()),
          unit_details[Property Name], INDIRECT("B"&amp;ROW()))</f>
        <v>0</v>
      </c>
      <c r="AB415" s="553"/>
      <c r="AC415" s="528" cm="1">
        <f t="array" aca="1" ref="AC415" ca="1">IFERROR(AVERAGEIFS(
  unit_details[Sqft],
  unit_details[Property Name], INDIRECT("B"&amp;ROW()),
  unit_details[Floorplan Name], INDIRECT("C"&amp;ROW()),
  unit_details[Beds], INDIRECT("D"&amp;ROW()),
  unit_details[Detected Unit Amenities], "*"&amp;$AD$3&amp;"*",
  unit_details[Leased Date], "&gt;=" &amp; ($U$2 - $AF$3)
),0)</f>
        <v>0</v>
      </c>
      <c r="AD415" s="527" cm="1">
        <f t="array" aca="1" ref="AD4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5" s="526" cm="1">
        <f t="array" aca="1" ref="AE415" ca="1">IFERROR(COUNTIFS(
  unit_details[Property Name], INDIRECT("B"&amp;ROW()),
  unit_details[Floorplan Name], INDIRECT("C"&amp;ROW()),
  unit_details[Beds], INDIRECT("D"&amp;ROW()),
  unit_details[Detected Unit Amenities], "*"&amp;$AD$3&amp;"*",
  unit_details[Leased Date], "&gt;=" &amp; ($U$2 - $AF$3)
),0)</f>
        <v>0</v>
      </c>
      <c r="AF415" s="528" cm="1">
        <f t="array" aca="1" ref="AF415" ca="1">IFERROR(AVERAGEIFS(
  unit_details[Sqft],
  unit_details[Property Name], INDIRECT("B"&amp;ROW()),
  unit_details[Floorplan Name], INDIRECT("C"&amp;ROW()),
  unit_details[Beds], INDIRECT("D"&amp;ROW()),
  unit_details[Detected Unit Amenities], "&lt;&gt;*"&amp;$AD$3&amp;"*",
  unit_details[Leased Date], "&gt;=" &amp; ($U$2 - $AF$3)
),0)</f>
        <v>0</v>
      </c>
      <c r="AG415" s="527" cm="1">
        <f t="array" aca="1" ref="AG41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5" s="526" cm="1">
        <f t="array" aca="1" ref="AH415" ca="1">IFERROR(COUNTIFS(
  unit_details[Property Name], INDIRECT("B"&amp;ROW()),
  unit_details[Floorplan Name], INDIRECT("C"&amp;ROW()),
  unit_details[Beds], INDIRECT("D"&amp;ROW()),
  unit_details[Detected Unit Amenities], "&lt;&gt;*"&amp;$AD$3&amp;"*",
  unit_details[Leased Date], "&gt;=" &amp; ($U$2 - $AF$3)
),0)</f>
        <v>0</v>
      </c>
      <c r="AI415" s="528"/>
      <c r="AJ415" s="531">
        <f t="shared" ca="1" si="19"/>
        <v>0</v>
      </c>
      <c r="AK415" s="532">
        <f t="shared" ca="1" si="20"/>
        <v>0</v>
      </c>
    </row>
    <row r="416" spans="10:37" x14ac:dyDescent="0.2">
      <c r="J416" s="293"/>
      <c r="N416" s="531" t="str" cm="1">
        <f t="array" aca="1" ref="N41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6" s="552" t="str" cm="1">
        <f t="array" aca="1" ref="O41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6" s="526" cm="1">
        <f t="array" aca="1" ref="P416" ca="1">COUNTIFS(unit_details[Leased Date], "&gt;=" &amp; ($U$2 - N$5),
          unit_details[Leased Date], "&lt;" &amp; $U$2,
          unit_details[Floorplan Name], INDIRECT("C"&amp;ROW()),
          unit_details[Property Name], INDIRECT("B"&amp;ROW()))</f>
        <v>0</v>
      </c>
      <c r="Q416" s="531" t="str" cm="1">
        <f t="array" aca="1" ref="Q41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6" s="552" t="str" cm="1">
        <f t="array" aca="1" ref="R41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6" s="526" cm="1">
        <f t="array" aca="1" ref="S416" ca="1">COUNTIFS(unit_details[Leased Date], "&gt;=" &amp; ($U$2 - Q$5),
          unit_details[Leased Date], "&lt;" &amp; $U$2,
          unit_details[Floorplan Name], INDIRECT("C"&amp;ROW()),
          unit_details[Property Name], INDIRECT("B"&amp;ROW()))</f>
        <v>0</v>
      </c>
      <c r="T416" s="531" t="str" cm="1">
        <f t="array" aca="1" ref="T41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6" s="552" t="str" cm="1">
        <f t="array" aca="1" ref="U41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6" s="526" cm="1">
        <f t="array" aca="1" ref="V416" ca="1">COUNTIFS(unit_details[Leased Date], "&gt;=" &amp; ($U$2 - T$5),
          unit_details[Leased Date], "&lt;" &amp; $U$2,
          unit_details[Floorplan Name], INDIRECT("C"&amp;ROW()),
          unit_details[Property Name], INDIRECT("B"&amp;ROW()))</f>
        <v>0</v>
      </c>
      <c r="W416" s="531" t="str" cm="1">
        <f t="array" aca="1" ref="W41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6" s="552" t="str" cm="1">
        <f t="array" aca="1" ref="X41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6" s="27" t="str">
        <f t="shared" ca="1" si="18"/>
        <v/>
      </c>
      <c r="Z416" s="4" t="str">
        <f>IFERROR($U$2-AVERAGEIFS(unit_details[First Listed],
          unit_details[Active Listing?],TRUE,
          unit_details[Property Name], $B416,
          unit_details[Beds], $D416,
          unit_details[Baths], $E416,
          unit_details[Partial Baths], IF(ISNUMBER($F416),$F416,""),
          unit_details[Floorplan Name],$C416
),"")</f>
        <v/>
      </c>
      <c r="AA416" s="262" cm="1">
        <f t="array" aca="1" ref="AA416" ca="1">COUNTIFS(unit_details[Active Listing?],TRUE,
          unit_details[Floorplan Name], INDIRECT("C"&amp;ROW()),
          unit_details[Property Name], INDIRECT("B"&amp;ROW()))</f>
        <v>0</v>
      </c>
      <c r="AB416" s="553"/>
      <c r="AC416" s="528" cm="1">
        <f t="array" aca="1" ref="AC416" ca="1">IFERROR(AVERAGEIFS(
  unit_details[Sqft],
  unit_details[Property Name], INDIRECT("B"&amp;ROW()),
  unit_details[Floorplan Name], INDIRECT("C"&amp;ROW()),
  unit_details[Beds], INDIRECT("D"&amp;ROW()),
  unit_details[Detected Unit Amenities], "*"&amp;$AD$3&amp;"*",
  unit_details[Leased Date], "&gt;=" &amp; ($U$2 - $AF$3)
),0)</f>
        <v>0</v>
      </c>
      <c r="AD416" s="527" cm="1">
        <f t="array" aca="1" ref="AD4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6" s="526" cm="1">
        <f t="array" aca="1" ref="AE416" ca="1">IFERROR(COUNTIFS(
  unit_details[Property Name], INDIRECT("B"&amp;ROW()),
  unit_details[Floorplan Name], INDIRECT("C"&amp;ROW()),
  unit_details[Beds], INDIRECT("D"&amp;ROW()),
  unit_details[Detected Unit Amenities], "*"&amp;$AD$3&amp;"*",
  unit_details[Leased Date], "&gt;=" &amp; ($U$2 - $AF$3)
),0)</f>
        <v>0</v>
      </c>
      <c r="AF416" s="528" cm="1">
        <f t="array" aca="1" ref="AF416" ca="1">IFERROR(AVERAGEIFS(
  unit_details[Sqft],
  unit_details[Property Name], INDIRECT("B"&amp;ROW()),
  unit_details[Floorplan Name], INDIRECT("C"&amp;ROW()),
  unit_details[Beds], INDIRECT("D"&amp;ROW()),
  unit_details[Detected Unit Amenities], "&lt;&gt;*"&amp;$AD$3&amp;"*",
  unit_details[Leased Date], "&gt;=" &amp; ($U$2 - $AF$3)
),0)</f>
        <v>0</v>
      </c>
      <c r="AG416" s="527" cm="1">
        <f t="array" aca="1" ref="AG41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6" s="526" cm="1">
        <f t="array" aca="1" ref="AH416" ca="1">IFERROR(COUNTIFS(
  unit_details[Property Name], INDIRECT("B"&amp;ROW()),
  unit_details[Floorplan Name], INDIRECT("C"&amp;ROW()),
  unit_details[Beds], INDIRECT("D"&amp;ROW()),
  unit_details[Detected Unit Amenities], "&lt;&gt;*"&amp;$AD$3&amp;"*",
  unit_details[Leased Date], "&gt;=" &amp; ($U$2 - $AF$3)
),0)</f>
        <v>0</v>
      </c>
      <c r="AI416" s="528"/>
      <c r="AJ416" s="531">
        <f t="shared" ca="1" si="19"/>
        <v>0</v>
      </c>
      <c r="AK416" s="532">
        <f t="shared" ca="1" si="20"/>
        <v>0</v>
      </c>
    </row>
    <row r="417" spans="10:37" x14ac:dyDescent="0.2">
      <c r="J417" s="293"/>
      <c r="N417" s="531" t="str" cm="1">
        <f t="array" aca="1" ref="N41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7" s="552" t="str" cm="1">
        <f t="array" aca="1" ref="O41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7" s="526" cm="1">
        <f t="array" aca="1" ref="P417" ca="1">COUNTIFS(unit_details[Leased Date], "&gt;=" &amp; ($U$2 - N$5),
          unit_details[Leased Date], "&lt;" &amp; $U$2,
          unit_details[Floorplan Name], INDIRECT("C"&amp;ROW()),
          unit_details[Property Name], INDIRECT("B"&amp;ROW()))</f>
        <v>0</v>
      </c>
      <c r="Q417" s="531" t="str" cm="1">
        <f t="array" aca="1" ref="Q41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7" s="552" t="str" cm="1">
        <f t="array" aca="1" ref="R41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7" s="526" cm="1">
        <f t="array" aca="1" ref="S417" ca="1">COUNTIFS(unit_details[Leased Date], "&gt;=" &amp; ($U$2 - Q$5),
          unit_details[Leased Date], "&lt;" &amp; $U$2,
          unit_details[Floorplan Name], INDIRECT("C"&amp;ROW()),
          unit_details[Property Name], INDIRECT("B"&amp;ROW()))</f>
        <v>0</v>
      </c>
      <c r="T417" s="531" t="str" cm="1">
        <f t="array" aca="1" ref="T41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7" s="552" t="str" cm="1">
        <f t="array" aca="1" ref="U41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7" s="526" cm="1">
        <f t="array" aca="1" ref="V417" ca="1">COUNTIFS(unit_details[Leased Date], "&gt;=" &amp; ($U$2 - T$5),
          unit_details[Leased Date], "&lt;" &amp; $U$2,
          unit_details[Floorplan Name], INDIRECT("C"&amp;ROW()),
          unit_details[Property Name], INDIRECT("B"&amp;ROW()))</f>
        <v>0</v>
      </c>
      <c r="W417" s="531" t="str" cm="1">
        <f t="array" aca="1" ref="W41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7" s="552" t="str" cm="1">
        <f t="array" aca="1" ref="X41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7" s="27" t="str">
        <f t="shared" ca="1" si="18"/>
        <v/>
      </c>
      <c r="Z417" s="4" t="str">
        <f>IFERROR($U$2-AVERAGEIFS(unit_details[First Listed],
          unit_details[Active Listing?],TRUE,
          unit_details[Property Name], $B417,
          unit_details[Beds], $D417,
          unit_details[Baths], $E417,
          unit_details[Partial Baths], IF(ISNUMBER($F417),$F417,""),
          unit_details[Floorplan Name],$C417
),"")</f>
        <v/>
      </c>
      <c r="AA417" s="262" cm="1">
        <f t="array" aca="1" ref="AA417" ca="1">COUNTIFS(unit_details[Active Listing?],TRUE,
          unit_details[Floorplan Name], INDIRECT("C"&amp;ROW()),
          unit_details[Property Name], INDIRECT("B"&amp;ROW()))</f>
        <v>0</v>
      </c>
      <c r="AB417" s="553"/>
      <c r="AC417" s="528" cm="1">
        <f t="array" aca="1" ref="AC417" ca="1">IFERROR(AVERAGEIFS(
  unit_details[Sqft],
  unit_details[Property Name], INDIRECT("B"&amp;ROW()),
  unit_details[Floorplan Name], INDIRECT("C"&amp;ROW()),
  unit_details[Beds], INDIRECT("D"&amp;ROW()),
  unit_details[Detected Unit Amenities], "*"&amp;$AD$3&amp;"*",
  unit_details[Leased Date], "&gt;=" &amp; ($U$2 - $AF$3)
),0)</f>
        <v>0</v>
      </c>
      <c r="AD417" s="527" cm="1">
        <f t="array" aca="1" ref="AD4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7" s="526" cm="1">
        <f t="array" aca="1" ref="AE417" ca="1">IFERROR(COUNTIFS(
  unit_details[Property Name], INDIRECT("B"&amp;ROW()),
  unit_details[Floorplan Name], INDIRECT("C"&amp;ROW()),
  unit_details[Beds], INDIRECT("D"&amp;ROW()),
  unit_details[Detected Unit Amenities], "*"&amp;$AD$3&amp;"*",
  unit_details[Leased Date], "&gt;=" &amp; ($U$2 - $AF$3)
),0)</f>
        <v>0</v>
      </c>
      <c r="AF417" s="528" cm="1">
        <f t="array" aca="1" ref="AF417" ca="1">IFERROR(AVERAGEIFS(
  unit_details[Sqft],
  unit_details[Property Name], INDIRECT("B"&amp;ROW()),
  unit_details[Floorplan Name], INDIRECT("C"&amp;ROW()),
  unit_details[Beds], INDIRECT("D"&amp;ROW()),
  unit_details[Detected Unit Amenities], "&lt;&gt;*"&amp;$AD$3&amp;"*",
  unit_details[Leased Date], "&gt;=" &amp; ($U$2 - $AF$3)
),0)</f>
        <v>0</v>
      </c>
      <c r="AG417" s="527" cm="1">
        <f t="array" aca="1" ref="AG41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7" s="526" cm="1">
        <f t="array" aca="1" ref="AH417" ca="1">IFERROR(COUNTIFS(
  unit_details[Property Name], INDIRECT("B"&amp;ROW()),
  unit_details[Floorplan Name], INDIRECT("C"&amp;ROW()),
  unit_details[Beds], INDIRECT("D"&amp;ROW()),
  unit_details[Detected Unit Amenities], "&lt;&gt;*"&amp;$AD$3&amp;"*",
  unit_details[Leased Date], "&gt;=" &amp; ($U$2 - $AF$3)
),0)</f>
        <v>0</v>
      </c>
      <c r="AI417" s="528"/>
      <c r="AJ417" s="531">
        <f t="shared" ca="1" si="19"/>
        <v>0</v>
      </c>
      <c r="AK417" s="532">
        <f t="shared" ca="1" si="20"/>
        <v>0</v>
      </c>
    </row>
    <row r="418" spans="10:37" x14ac:dyDescent="0.2">
      <c r="J418" s="293"/>
      <c r="N418" s="531" t="str" cm="1">
        <f t="array" aca="1" ref="N41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8" s="552" t="str" cm="1">
        <f t="array" aca="1" ref="O41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8" s="526" cm="1">
        <f t="array" aca="1" ref="P418" ca="1">COUNTIFS(unit_details[Leased Date], "&gt;=" &amp; ($U$2 - N$5),
          unit_details[Leased Date], "&lt;" &amp; $U$2,
          unit_details[Floorplan Name], INDIRECT("C"&amp;ROW()),
          unit_details[Property Name], INDIRECT("B"&amp;ROW()))</f>
        <v>0</v>
      </c>
      <c r="Q418" s="531" t="str" cm="1">
        <f t="array" aca="1" ref="Q41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8" s="552" t="str" cm="1">
        <f t="array" aca="1" ref="R41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8" s="526" cm="1">
        <f t="array" aca="1" ref="S418" ca="1">COUNTIFS(unit_details[Leased Date], "&gt;=" &amp; ($U$2 - Q$5),
          unit_details[Leased Date], "&lt;" &amp; $U$2,
          unit_details[Floorplan Name], INDIRECT("C"&amp;ROW()),
          unit_details[Property Name], INDIRECT("B"&amp;ROW()))</f>
        <v>0</v>
      </c>
      <c r="T418" s="531" t="str" cm="1">
        <f t="array" aca="1" ref="T41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8" s="552" t="str" cm="1">
        <f t="array" aca="1" ref="U41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8" s="526" cm="1">
        <f t="array" aca="1" ref="V418" ca="1">COUNTIFS(unit_details[Leased Date], "&gt;=" &amp; ($U$2 - T$5),
          unit_details[Leased Date], "&lt;" &amp; $U$2,
          unit_details[Floorplan Name], INDIRECT("C"&amp;ROW()),
          unit_details[Property Name], INDIRECT("B"&amp;ROW()))</f>
        <v>0</v>
      </c>
      <c r="W418" s="531" t="str" cm="1">
        <f t="array" aca="1" ref="W41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8" s="552" t="str" cm="1">
        <f t="array" aca="1" ref="X41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8" s="27" t="str">
        <f t="shared" ca="1" si="18"/>
        <v/>
      </c>
      <c r="Z418" s="4" t="str">
        <f>IFERROR($U$2-AVERAGEIFS(unit_details[First Listed],
          unit_details[Active Listing?],TRUE,
          unit_details[Property Name], $B418,
          unit_details[Beds], $D418,
          unit_details[Baths], $E418,
          unit_details[Partial Baths], IF(ISNUMBER($F418),$F418,""),
          unit_details[Floorplan Name],$C418
),"")</f>
        <v/>
      </c>
      <c r="AA418" s="262" cm="1">
        <f t="array" aca="1" ref="AA418" ca="1">COUNTIFS(unit_details[Active Listing?],TRUE,
          unit_details[Floorplan Name], INDIRECT("C"&amp;ROW()),
          unit_details[Property Name], INDIRECT("B"&amp;ROW()))</f>
        <v>0</v>
      </c>
      <c r="AB418" s="553"/>
      <c r="AC418" s="528" cm="1">
        <f t="array" aca="1" ref="AC418" ca="1">IFERROR(AVERAGEIFS(
  unit_details[Sqft],
  unit_details[Property Name], INDIRECT("B"&amp;ROW()),
  unit_details[Floorplan Name], INDIRECT("C"&amp;ROW()),
  unit_details[Beds], INDIRECT("D"&amp;ROW()),
  unit_details[Detected Unit Amenities], "*"&amp;$AD$3&amp;"*",
  unit_details[Leased Date], "&gt;=" &amp; ($U$2 - $AF$3)
),0)</f>
        <v>0</v>
      </c>
      <c r="AD418" s="527" cm="1">
        <f t="array" aca="1" ref="AD4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8" s="526" cm="1">
        <f t="array" aca="1" ref="AE418" ca="1">IFERROR(COUNTIFS(
  unit_details[Property Name], INDIRECT("B"&amp;ROW()),
  unit_details[Floorplan Name], INDIRECT("C"&amp;ROW()),
  unit_details[Beds], INDIRECT("D"&amp;ROW()),
  unit_details[Detected Unit Amenities], "*"&amp;$AD$3&amp;"*",
  unit_details[Leased Date], "&gt;=" &amp; ($U$2 - $AF$3)
),0)</f>
        <v>0</v>
      </c>
      <c r="AF418" s="528" cm="1">
        <f t="array" aca="1" ref="AF418" ca="1">IFERROR(AVERAGEIFS(
  unit_details[Sqft],
  unit_details[Property Name], INDIRECT("B"&amp;ROW()),
  unit_details[Floorplan Name], INDIRECT("C"&amp;ROW()),
  unit_details[Beds], INDIRECT("D"&amp;ROW()),
  unit_details[Detected Unit Amenities], "&lt;&gt;*"&amp;$AD$3&amp;"*",
  unit_details[Leased Date], "&gt;=" &amp; ($U$2 - $AF$3)
),0)</f>
        <v>0</v>
      </c>
      <c r="AG418" s="527" cm="1">
        <f t="array" aca="1" ref="AG41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8" s="526" cm="1">
        <f t="array" aca="1" ref="AH418" ca="1">IFERROR(COUNTIFS(
  unit_details[Property Name], INDIRECT("B"&amp;ROW()),
  unit_details[Floorplan Name], INDIRECT("C"&amp;ROW()),
  unit_details[Beds], INDIRECT("D"&amp;ROW()),
  unit_details[Detected Unit Amenities], "&lt;&gt;*"&amp;$AD$3&amp;"*",
  unit_details[Leased Date], "&gt;=" &amp; ($U$2 - $AF$3)
),0)</f>
        <v>0</v>
      </c>
      <c r="AI418" s="528"/>
      <c r="AJ418" s="531">
        <f t="shared" ca="1" si="19"/>
        <v>0</v>
      </c>
      <c r="AK418" s="532">
        <f t="shared" ca="1" si="20"/>
        <v>0</v>
      </c>
    </row>
    <row r="419" spans="10:37" x14ac:dyDescent="0.2">
      <c r="J419" s="293"/>
      <c r="N419" s="531" t="str" cm="1">
        <f t="array" aca="1" ref="N41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19" s="552" t="str" cm="1">
        <f t="array" aca="1" ref="O41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19" s="526" cm="1">
        <f t="array" aca="1" ref="P419" ca="1">COUNTIFS(unit_details[Leased Date], "&gt;=" &amp; ($U$2 - N$5),
          unit_details[Leased Date], "&lt;" &amp; $U$2,
          unit_details[Floorplan Name], INDIRECT("C"&amp;ROW()),
          unit_details[Property Name], INDIRECT("B"&amp;ROW()))</f>
        <v>0</v>
      </c>
      <c r="Q419" s="531" t="str" cm="1">
        <f t="array" aca="1" ref="Q41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19" s="552" t="str" cm="1">
        <f t="array" aca="1" ref="R41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19" s="526" cm="1">
        <f t="array" aca="1" ref="S419" ca="1">COUNTIFS(unit_details[Leased Date], "&gt;=" &amp; ($U$2 - Q$5),
          unit_details[Leased Date], "&lt;" &amp; $U$2,
          unit_details[Floorplan Name], INDIRECT("C"&amp;ROW()),
          unit_details[Property Name], INDIRECT("B"&amp;ROW()))</f>
        <v>0</v>
      </c>
      <c r="T419" s="531" t="str" cm="1">
        <f t="array" aca="1" ref="T41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19" s="552" t="str" cm="1">
        <f t="array" aca="1" ref="U41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19" s="526" cm="1">
        <f t="array" aca="1" ref="V419" ca="1">COUNTIFS(unit_details[Leased Date], "&gt;=" &amp; ($U$2 - T$5),
          unit_details[Leased Date], "&lt;" &amp; $U$2,
          unit_details[Floorplan Name], INDIRECT("C"&amp;ROW()),
          unit_details[Property Name], INDIRECT("B"&amp;ROW()))</f>
        <v>0</v>
      </c>
      <c r="W419" s="531" t="str" cm="1">
        <f t="array" aca="1" ref="W41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19" s="552" t="str" cm="1">
        <f t="array" aca="1" ref="X41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19" s="27" t="str">
        <f t="shared" ca="1" si="18"/>
        <v/>
      </c>
      <c r="Z419" s="4" t="str">
        <f>IFERROR($U$2-AVERAGEIFS(unit_details[First Listed],
          unit_details[Active Listing?],TRUE,
          unit_details[Property Name], $B419,
          unit_details[Beds], $D419,
          unit_details[Baths], $E419,
          unit_details[Partial Baths], IF(ISNUMBER($F419),$F419,""),
          unit_details[Floorplan Name],$C419
),"")</f>
        <v/>
      </c>
      <c r="AA419" s="262" cm="1">
        <f t="array" aca="1" ref="AA419" ca="1">COUNTIFS(unit_details[Active Listing?],TRUE,
          unit_details[Floorplan Name], INDIRECT("C"&amp;ROW()),
          unit_details[Property Name], INDIRECT("B"&amp;ROW()))</f>
        <v>0</v>
      </c>
      <c r="AB419" s="553"/>
      <c r="AC419" s="528" cm="1">
        <f t="array" aca="1" ref="AC419" ca="1">IFERROR(AVERAGEIFS(
  unit_details[Sqft],
  unit_details[Property Name], INDIRECT("B"&amp;ROW()),
  unit_details[Floorplan Name], INDIRECT("C"&amp;ROW()),
  unit_details[Beds], INDIRECT("D"&amp;ROW()),
  unit_details[Detected Unit Amenities], "*"&amp;$AD$3&amp;"*",
  unit_details[Leased Date], "&gt;=" &amp; ($U$2 - $AF$3)
),0)</f>
        <v>0</v>
      </c>
      <c r="AD419" s="527" cm="1">
        <f t="array" aca="1" ref="AD4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19" s="526" cm="1">
        <f t="array" aca="1" ref="AE419" ca="1">IFERROR(COUNTIFS(
  unit_details[Property Name], INDIRECT("B"&amp;ROW()),
  unit_details[Floorplan Name], INDIRECT("C"&amp;ROW()),
  unit_details[Beds], INDIRECT("D"&amp;ROW()),
  unit_details[Detected Unit Amenities], "*"&amp;$AD$3&amp;"*",
  unit_details[Leased Date], "&gt;=" &amp; ($U$2 - $AF$3)
),0)</f>
        <v>0</v>
      </c>
      <c r="AF419" s="528" cm="1">
        <f t="array" aca="1" ref="AF419" ca="1">IFERROR(AVERAGEIFS(
  unit_details[Sqft],
  unit_details[Property Name], INDIRECT("B"&amp;ROW()),
  unit_details[Floorplan Name], INDIRECT("C"&amp;ROW()),
  unit_details[Beds], INDIRECT("D"&amp;ROW()),
  unit_details[Detected Unit Amenities], "&lt;&gt;*"&amp;$AD$3&amp;"*",
  unit_details[Leased Date], "&gt;=" &amp; ($U$2 - $AF$3)
),0)</f>
        <v>0</v>
      </c>
      <c r="AG419" s="527" cm="1">
        <f t="array" aca="1" ref="AG41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19" s="526" cm="1">
        <f t="array" aca="1" ref="AH419" ca="1">IFERROR(COUNTIFS(
  unit_details[Property Name], INDIRECT("B"&amp;ROW()),
  unit_details[Floorplan Name], INDIRECT("C"&amp;ROW()),
  unit_details[Beds], INDIRECT("D"&amp;ROW()),
  unit_details[Detected Unit Amenities], "&lt;&gt;*"&amp;$AD$3&amp;"*",
  unit_details[Leased Date], "&gt;=" &amp; ($U$2 - $AF$3)
),0)</f>
        <v>0</v>
      </c>
      <c r="AI419" s="528"/>
      <c r="AJ419" s="531">
        <f t="shared" ca="1" si="19"/>
        <v>0</v>
      </c>
      <c r="AK419" s="532">
        <f t="shared" ca="1" si="20"/>
        <v>0</v>
      </c>
    </row>
    <row r="420" spans="10:37" x14ac:dyDescent="0.2">
      <c r="J420" s="293"/>
      <c r="N420" s="531" t="str" cm="1">
        <f t="array" aca="1" ref="N42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0" s="552" t="str" cm="1">
        <f t="array" aca="1" ref="O42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0" s="526" cm="1">
        <f t="array" aca="1" ref="P420" ca="1">COUNTIFS(unit_details[Leased Date], "&gt;=" &amp; ($U$2 - N$5),
          unit_details[Leased Date], "&lt;" &amp; $U$2,
          unit_details[Floorplan Name], INDIRECT("C"&amp;ROW()),
          unit_details[Property Name], INDIRECT("B"&amp;ROW()))</f>
        <v>0</v>
      </c>
      <c r="Q420" s="531" t="str" cm="1">
        <f t="array" aca="1" ref="Q42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0" s="552" t="str" cm="1">
        <f t="array" aca="1" ref="R42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0" s="526" cm="1">
        <f t="array" aca="1" ref="S420" ca="1">COUNTIFS(unit_details[Leased Date], "&gt;=" &amp; ($U$2 - Q$5),
          unit_details[Leased Date], "&lt;" &amp; $U$2,
          unit_details[Floorplan Name], INDIRECT("C"&amp;ROW()),
          unit_details[Property Name], INDIRECT("B"&amp;ROW()))</f>
        <v>0</v>
      </c>
      <c r="T420" s="531" t="str" cm="1">
        <f t="array" aca="1" ref="T42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0" s="552" t="str" cm="1">
        <f t="array" aca="1" ref="U42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0" s="526" cm="1">
        <f t="array" aca="1" ref="V420" ca="1">COUNTIFS(unit_details[Leased Date], "&gt;=" &amp; ($U$2 - T$5),
          unit_details[Leased Date], "&lt;" &amp; $U$2,
          unit_details[Floorplan Name], INDIRECT("C"&amp;ROW()),
          unit_details[Property Name], INDIRECT("B"&amp;ROW()))</f>
        <v>0</v>
      </c>
      <c r="W420" s="531" t="str" cm="1">
        <f t="array" aca="1" ref="W42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0" s="552" t="str" cm="1">
        <f t="array" aca="1" ref="X42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0" s="27" t="str">
        <f t="shared" ca="1" si="18"/>
        <v/>
      </c>
      <c r="Z420" s="4" t="str">
        <f>IFERROR($U$2-AVERAGEIFS(unit_details[First Listed],
          unit_details[Active Listing?],TRUE,
          unit_details[Property Name], $B420,
          unit_details[Beds], $D420,
          unit_details[Baths], $E420,
          unit_details[Partial Baths], IF(ISNUMBER($F420),$F420,""),
          unit_details[Floorplan Name],$C420
),"")</f>
        <v/>
      </c>
      <c r="AA420" s="262" cm="1">
        <f t="array" aca="1" ref="AA420" ca="1">COUNTIFS(unit_details[Active Listing?],TRUE,
          unit_details[Floorplan Name], INDIRECT("C"&amp;ROW()),
          unit_details[Property Name], INDIRECT("B"&amp;ROW()))</f>
        <v>0</v>
      </c>
      <c r="AB420" s="553"/>
      <c r="AC420" s="528" cm="1">
        <f t="array" aca="1" ref="AC420" ca="1">IFERROR(AVERAGEIFS(
  unit_details[Sqft],
  unit_details[Property Name], INDIRECT("B"&amp;ROW()),
  unit_details[Floorplan Name], INDIRECT("C"&amp;ROW()),
  unit_details[Beds], INDIRECT("D"&amp;ROW()),
  unit_details[Detected Unit Amenities], "*"&amp;$AD$3&amp;"*",
  unit_details[Leased Date], "&gt;=" &amp; ($U$2 - $AF$3)
),0)</f>
        <v>0</v>
      </c>
      <c r="AD420" s="527" cm="1">
        <f t="array" aca="1" ref="AD4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0" s="526" cm="1">
        <f t="array" aca="1" ref="AE420" ca="1">IFERROR(COUNTIFS(
  unit_details[Property Name], INDIRECT("B"&amp;ROW()),
  unit_details[Floorplan Name], INDIRECT("C"&amp;ROW()),
  unit_details[Beds], INDIRECT("D"&amp;ROW()),
  unit_details[Detected Unit Amenities], "*"&amp;$AD$3&amp;"*",
  unit_details[Leased Date], "&gt;=" &amp; ($U$2 - $AF$3)
),0)</f>
        <v>0</v>
      </c>
      <c r="AF420" s="528" cm="1">
        <f t="array" aca="1" ref="AF420" ca="1">IFERROR(AVERAGEIFS(
  unit_details[Sqft],
  unit_details[Property Name], INDIRECT("B"&amp;ROW()),
  unit_details[Floorplan Name], INDIRECT("C"&amp;ROW()),
  unit_details[Beds], INDIRECT("D"&amp;ROW()),
  unit_details[Detected Unit Amenities], "&lt;&gt;*"&amp;$AD$3&amp;"*",
  unit_details[Leased Date], "&gt;=" &amp; ($U$2 - $AF$3)
),0)</f>
        <v>0</v>
      </c>
      <c r="AG420" s="527" cm="1">
        <f t="array" aca="1" ref="AG42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0" s="526" cm="1">
        <f t="array" aca="1" ref="AH420" ca="1">IFERROR(COUNTIFS(
  unit_details[Property Name], INDIRECT("B"&amp;ROW()),
  unit_details[Floorplan Name], INDIRECT("C"&amp;ROW()),
  unit_details[Beds], INDIRECT("D"&amp;ROW()),
  unit_details[Detected Unit Amenities], "&lt;&gt;*"&amp;$AD$3&amp;"*",
  unit_details[Leased Date], "&gt;=" &amp; ($U$2 - $AF$3)
),0)</f>
        <v>0</v>
      </c>
      <c r="AI420" s="528"/>
      <c r="AJ420" s="531">
        <f t="shared" ca="1" si="19"/>
        <v>0</v>
      </c>
      <c r="AK420" s="532">
        <f t="shared" ca="1" si="20"/>
        <v>0</v>
      </c>
    </row>
    <row r="421" spans="10:37" x14ac:dyDescent="0.2">
      <c r="J421" s="293"/>
      <c r="N421" s="531" t="str" cm="1">
        <f t="array" aca="1" ref="N42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1" s="552" t="str" cm="1">
        <f t="array" aca="1" ref="O42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1" s="526" cm="1">
        <f t="array" aca="1" ref="P421" ca="1">COUNTIFS(unit_details[Leased Date], "&gt;=" &amp; ($U$2 - N$5),
          unit_details[Leased Date], "&lt;" &amp; $U$2,
          unit_details[Floorplan Name], INDIRECT("C"&amp;ROW()),
          unit_details[Property Name], INDIRECT("B"&amp;ROW()))</f>
        <v>0</v>
      </c>
      <c r="Q421" s="531" t="str" cm="1">
        <f t="array" aca="1" ref="Q42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1" s="552" t="str" cm="1">
        <f t="array" aca="1" ref="R42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1" s="526" cm="1">
        <f t="array" aca="1" ref="S421" ca="1">COUNTIFS(unit_details[Leased Date], "&gt;=" &amp; ($U$2 - Q$5),
          unit_details[Leased Date], "&lt;" &amp; $U$2,
          unit_details[Floorplan Name], INDIRECT("C"&amp;ROW()),
          unit_details[Property Name], INDIRECT("B"&amp;ROW()))</f>
        <v>0</v>
      </c>
      <c r="T421" s="531" t="str" cm="1">
        <f t="array" aca="1" ref="T42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1" s="552" t="str" cm="1">
        <f t="array" aca="1" ref="U42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1" s="526" cm="1">
        <f t="array" aca="1" ref="V421" ca="1">COUNTIFS(unit_details[Leased Date], "&gt;=" &amp; ($U$2 - T$5),
          unit_details[Leased Date], "&lt;" &amp; $U$2,
          unit_details[Floorplan Name], INDIRECT("C"&amp;ROW()),
          unit_details[Property Name], INDIRECT("B"&amp;ROW()))</f>
        <v>0</v>
      </c>
      <c r="W421" s="531" t="str" cm="1">
        <f t="array" aca="1" ref="W42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1" s="552" t="str" cm="1">
        <f t="array" aca="1" ref="X42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1" s="27" t="str">
        <f t="shared" ca="1" si="18"/>
        <v/>
      </c>
      <c r="Z421" s="4" t="str">
        <f>IFERROR($U$2-AVERAGEIFS(unit_details[First Listed],
          unit_details[Active Listing?],TRUE,
          unit_details[Property Name], $B421,
          unit_details[Beds], $D421,
          unit_details[Baths], $E421,
          unit_details[Partial Baths], IF(ISNUMBER($F421),$F421,""),
          unit_details[Floorplan Name],$C421
),"")</f>
        <v/>
      </c>
      <c r="AA421" s="262" cm="1">
        <f t="array" aca="1" ref="AA421" ca="1">COUNTIFS(unit_details[Active Listing?],TRUE,
          unit_details[Floorplan Name], INDIRECT("C"&amp;ROW()),
          unit_details[Property Name], INDIRECT("B"&amp;ROW()))</f>
        <v>0</v>
      </c>
      <c r="AB421" s="553"/>
      <c r="AC421" s="528" cm="1">
        <f t="array" aca="1" ref="AC421" ca="1">IFERROR(AVERAGEIFS(
  unit_details[Sqft],
  unit_details[Property Name], INDIRECT("B"&amp;ROW()),
  unit_details[Floorplan Name], INDIRECT("C"&amp;ROW()),
  unit_details[Beds], INDIRECT("D"&amp;ROW()),
  unit_details[Detected Unit Amenities], "*"&amp;$AD$3&amp;"*",
  unit_details[Leased Date], "&gt;=" &amp; ($U$2 - $AF$3)
),0)</f>
        <v>0</v>
      </c>
      <c r="AD421" s="527" cm="1">
        <f t="array" aca="1" ref="AD4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1" s="526" cm="1">
        <f t="array" aca="1" ref="AE421" ca="1">IFERROR(COUNTIFS(
  unit_details[Property Name], INDIRECT("B"&amp;ROW()),
  unit_details[Floorplan Name], INDIRECT("C"&amp;ROW()),
  unit_details[Beds], INDIRECT("D"&amp;ROW()),
  unit_details[Detected Unit Amenities], "*"&amp;$AD$3&amp;"*",
  unit_details[Leased Date], "&gt;=" &amp; ($U$2 - $AF$3)
),0)</f>
        <v>0</v>
      </c>
      <c r="AF421" s="528" cm="1">
        <f t="array" aca="1" ref="AF421" ca="1">IFERROR(AVERAGEIFS(
  unit_details[Sqft],
  unit_details[Property Name], INDIRECT("B"&amp;ROW()),
  unit_details[Floorplan Name], INDIRECT("C"&amp;ROW()),
  unit_details[Beds], INDIRECT("D"&amp;ROW()),
  unit_details[Detected Unit Amenities], "&lt;&gt;*"&amp;$AD$3&amp;"*",
  unit_details[Leased Date], "&gt;=" &amp; ($U$2 - $AF$3)
),0)</f>
        <v>0</v>
      </c>
      <c r="AG421" s="527" cm="1">
        <f t="array" aca="1" ref="AG42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1" s="526" cm="1">
        <f t="array" aca="1" ref="AH421" ca="1">IFERROR(COUNTIFS(
  unit_details[Property Name], INDIRECT("B"&amp;ROW()),
  unit_details[Floorplan Name], INDIRECT("C"&amp;ROW()),
  unit_details[Beds], INDIRECT("D"&amp;ROW()),
  unit_details[Detected Unit Amenities], "&lt;&gt;*"&amp;$AD$3&amp;"*",
  unit_details[Leased Date], "&gt;=" &amp; ($U$2 - $AF$3)
),0)</f>
        <v>0</v>
      </c>
      <c r="AI421" s="528"/>
      <c r="AJ421" s="531">
        <f t="shared" ca="1" si="19"/>
        <v>0</v>
      </c>
      <c r="AK421" s="532">
        <f t="shared" ca="1" si="20"/>
        <v>0</v>
      </c>
    </row>
    <row r="422" spans="10:37" x14ac:dyDescent="0.2">
      <c r="J422" s="293"/>
      <c r="N422" s="531" t="str" cm="1">
        <f t="array" aca="1" ref="N42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2" s="552" t="str" cm="1">
        <f t="array" aca="1" ref="O42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2" s="526" cm="1">
        <f t="array" aca="1" ref="P422" ca="1">COUNTIFS(unit_details[Leased Date], "&gt;=" &amp; ($U$2 - N$5),
          unit_details[Leased Date], "&lt;" &amp; $U$2,
          unit_details[Floorplan Name], INDIRECT("C"&amp;ROW()),
          unit_details[Property Name], INDIRECT("B"&amp;ROW()))</f>
        <v>0</v>
      </c>
      <c r="Q422" s="531" t="str" cm="1">
        <f t="array" aca="1" ref="Q42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2" s="552" t="str" cm="1">
        <f t="array" aca="1" ref="R42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2" s="526" cm="1">
        <f t="array" aca="1" ref="S422" ca="1">COUNTIFS(unit_details[Leased Date], "&gt;=" &amp; ($U$2 - Q$5),
          unit_details[Leased Date], "&lt;" &amp; $U$2,
          unit_details[Floorplan Name], INDIRECT("C"&amp;ROW()),
          unit_details[Property Name], INDIRECT("B"&amp;ROW()))</f>
        <v>0</v>
      </c>
      <c r="T422" s="531" t="str" cm="1">
        <f t="array" aca="1" ref="T42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2" s="552" t="str" cm="1">
        <f t="array" aca="1" ref="U42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2" s="526" cm="1">
        <f t="array" aca="1" ref="V422" ca="1">COUNTIFS(unit_details[Leased Date], "&gt;=" &amp; ($U$2 - T$5),
          unit_details[Leased Date], "&lt;" &amp; $U$2,
          unit_details[Floorplan Name], INDIRECT("C"&amp;ROW()),
          unit_details[Property Name], INDIRECT("B"&amp;ROW()))</f>
        <v>0</v>
      </c>
      <c r="W422" s="531" t="str" cm="1">
        <f t="array" aca="1" ref="W42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2" s="552" t="str" cm="1">
        <f t="array" aca="1" ref="X42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2" s="27" t="str">
        <f t="shared" ca="1" si="18"/>
        <v/>
      </c>
      <c r="Z422" s="4" t="str">
        <f>IFERROR($U$2-AVERAGEIFS(unit_details[First Listed],
          unit_details[Active Listing?],TRUE,
          unit_details[Property Name], $B422,
          unit_details[Beds], $D422,
          unit_details[Baths], $E422,
          unit_details[Partial Baths], IF(ISNUMBER($F422),$F422,""),
          unit_details[Floorplan Name],$C422
),"")</f>
        <v/>
      </c>
      <c r="AA422" s="262" cm="1">
        <f t="array" aca="1" ref="AA422" ca="1">COUNTIFS(unit_details[Active Listing?],TRUE,
          unit_details[Floorplan Name], INDIRECT("C"&amp;ROW()),
          unit_details[Property Name], INDIRECT("B"&amp;ROW()))</f>
        <v>0</v>
      </c>
      <c r="AB422" s="553"/>
      <c r="AC422" s="528" cm="1">
        <f t="array" aca="1" ref="AC422" ca="1">IFERROR(AVERAGEIFS(
  unit_details[Sqft],
  unit_details[Property Name], INDIRECT("B"&amp;ROW()),
  unit_details[Floorplan Name], INDIRECT("C"&amp;ROW()),
  unit_details[Beds], INDIRECT("D"&amp;ROW()),
  unit_details[Detected Unit Amenities], "*"&amp;$AD$3&amp;"*",
  unit_details[Leased Date], "&gt;=" &amp; ($U$2 - $AF$3)
),0)</f>
        <v>0</v>
      </c>
      <c r="AD422" s="527" cm="1">
        <f t="array" aca="1" ref="AD4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2" s="526" cm="1">
        <f t="array" aca="1" ref="AE422" ca="1">IFERROR(COUNTIFS(
  unit_details[Property Name], INDIRECT("B"&amp;ROW()),
  unit_details[Floorplan Name], INDIRECT("C"&amp;ROW()),
  unit_details[Beds], INDIRECT("D"&amp;ROW()),
  unit_details[Detected Unit Amenities], "*"&amp;$AD$3&amp;"*",
  unit_details[Leased Date], "&gt;=" &amp; ($U$2 - $AF$3)
),0)</f>
        <v>0</v>
      </c>
      <c r="AF422" s="528" cm="1">
        <f t="array" aca="1" ref="AF422" ca="1">IFERROR(AVERAGEIFS(
  unit_details[Sqft],
  unit_details[Property Name], INDIRECT("B"&amp;ROW()),
  unit_details[Floorplan Name], INDIRECT("C"&amp;ROW()),
  unit_details[Beds], INDIRECT("D"&amp;ROW()),
  unit_details[Detected Unit Amenities], "&lt;&gt;*"&amp;$AD$3&amp;"*",
  unit_details[Leased Date], "&gt;=" &amp; ($U$2 - $AF$3)
),0)</f>
        <v>0</v>
      </c>
      <c r="AG422" s="527" cm="1">
        <f t="array" aca="1" ref="AG42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2" s="526" cm="1">
        <f t="array" aca="1" ref="AH422" ca="1">IFERROR(COUNTIFS(
  unit_details[Property Name], INDIRECT("B"&amp;ROW()),
  unit_details[Floorplan Name], INDIRECT("C"&amp;ROW()),
  unit_details[Beds], INDIRECT("D"&amp;ROW()),
  unit_details[Detected Unit Amenities], "&lt;&gt;*"&amp;$AD$3&amp;"*",
  unit_details[Leased Date], "&gt;=" &amp; ($U$2 - $AF$3)
),0)</f>
        <v>0</v>
      </c>
      <c r="AI422" s="528"/>
      <c r="AJ422" s="531">
        <f t="shared" ca="1" si="19"/>
        <v>0</v>
      </c>
      <c r="AK422" s="532">
        <f t="shared" ca="1" si="20"/>
        <v>0</v>
      </c>
    </row>
    <row r="423" spans="10:37" x14ac:dyDescent="0.2">
      <c r="J423" s="293"/>
      <c r="N423" s="531" t="str" cm="1">
        <f t="array" aca="1" ref="N42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3" s="552" t="str" cm="1">
        <f t="array" aca="1" ref="O42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3" s="526" cm="1">
        <f t="array" aca="1" ref="P423" ca="1">COUNTIFS(unit_details[Leased Date], "&gt;=" &amp; ($U$2 - N$5),
          unit_details[Leased Date], "&lt;" &amp; $U$2,
          unit_details[Floorplan Name], INDIRECT("C"&amp;ROW()),
          unit_details[Property Name], INDIRECT("B"&amp;ROW()))</f>
        <v>0</v>
      </c>
      <c r="Q423" s="531" t="str" cm="1">
        <f t="array" aca="1" ref="Q42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3" s="552" t="str" cm="1">
        <f t="array" aca="1" ref="R42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3" s="526" cm="1">
        <f t="array" aca="1" ref="S423" ca="1">COUNTIFS(unit_details[Leased Date], "&gt;=" &amp; ($U$2 - Q$5),
          unit_details[Leased Date], "&lt;" &amp; $U$2,
          unit_details[Floorplan Name], INDIRECT("C"&amp;ROW()),
          unit_details[Property Name], INDIRECT("B"&amp;ROW()))</f>
        <v>0</v>
      </c>
      <c r="T423" s="531" t="str" cm="1">
        <f t="array" aca="1" ref="T42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3" s="552" t="str" cm="1">
        <f t="array" aca="1" ref="U42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3" s="526" cm="1">
        <f t="array" aca="1" ref="V423" ca="1">COUNTIFS(unit_details[Leased Date], "&gt;=" &amp; ($U$2 - T$5),
          unit_details[Leased Date], "&lt;" &amp; $U$2,
          unit_details[Floorplan Name], INDIRECT("C"&amp;ROW()),
          unit_details[Property Name], INDIRECT("B"&amp;ROW()))</f>
        <v>0</v>
      </c>
      <c r="W423" s="531" t="str" cm="1">
        <f t="array" aca="1" ref="W42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3" s="552" t="str" cm="1">
        <f t="array" aca="1" ref="X42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3" s="27" t="str">
        <f t="shared" ca="1" si="18"/>
        <v/>
      </c>
      <c r="Z423" s="4" t="str">
        <f>IFERROR($U$2-AVERAGEIFS(unit_details[First Listed],
          unit_details[Active Listing?],TRUE,
          unit_details[Property Name], $B423,
          unit_details[Beds], $D423,
          unit_details[Baths], $E423,
          unit_details[Partial Baths], IF(ISNUMBER($F423),$F423,""),
          unit_details[Floorplan Name],$C423
),"")</f>
        <v/>
      </c>
      <c r="AA423" s="262" cm="1">
        <f t="array" aca="1" ref="AA423" ca="1">COUNTIFS(unit_details[Active Listing?],TRUE,
          unit_details[Floorplan Name], INDIRECT("C"&amp;ROW()),
          unit_details[Property Name], INDIRECT("B"&amp;ROW()))</f>
        <v>0</v>
      </c>
      <c r="AB423" s="553"/>
      <c r="AC423" s="528" cm="1">
        <f t="array" aca="1" ref="AC423" ca="1">IFERROR(AVERAGEIFS(
  unit_details[Sqft],
  unit_details[Property Name], INDIRECT("B"&amp;ROW()),
  unit_details[Floorplan Name], INDIRECT("C"&amp;ROW()),
  unit_details[Beds], INDIRECT("D"&amp;ROW()),
  unit_details[Detected Unit Amenities], "*"&amp;$AD$3&amp;"*",
  unit_details[Leased Date], "&gt;=" &amp; ($U$2 - $AF$3)
),0)</f>
        <v>0</v>
      </c>
      <c r="AD423" s="527" cm="1">
        <f t="array" aca="1" ref="AD4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3" s="526" cm="1">
        <f t="array" aca="1" ref="AE423" ca="1">IFERROR(COUNTIFS(
  unit_details[Property Name], INDIRECT("B"&amp;ROW()),
  unit_details[Floorplan Name], INDIRECT("C"&amp;ROW()),
  unit_details[Beds], INDIRECT("D"&amp;ROW()),
  unit_details[Detected Unit Amenities], "*"&amp;$AD$3&amp;"*",
  unit_details[Leased Date], "&gt;=" &amp; ($U$2 - $AF$3)
),0)</f>
        <v>0</v>
      </c>
      <c r="AF423" s="528" cm="1">
        <f t="array" aca="1" ref="AF423" ca="1">IFERROR(AVERAGEIFS(
  unit_details[Sqft],
  unit_details[Property Name], INDIRECT("B"&amp;ROW()),
  unit_details[Floorplan Name], INDIRECT("C"&amp;ROW()),
  unit_details[Beds], INDIRECT("D"&amp;ROW()),
  unit_details[Detected Unit Amenities], "&lt;&gt;*"&amp;$AD$3&amp;"*",
  unit_details[Leased Date], "&gt;=" &amp; ($U$2 - $AF$3)
),0)</f>
        <v>0</v>
      </c>
      <c r="AG423" s="527" cm="1">
        <f t="array" aca="1" ref="AG42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3" s="526" cm="1">
        <f t="array" aca="1" ref="AH423" ca="1">IFERROR(COUNTIFS(
  unit_details[Property Name], INDIRECT("B"&amp;ROW()),
  unit_details[Floorplan Name], INDIRECT("C"&amp;ROW()),
  unit_details[Beds], INDIRECT("D"&amp;ROW()),
  unit_details[Detected Unit Amenities], "&lt;&gt;*"&amp;$AD$3&amp;"*",
  unit_details[Leased Date], "&gt;=" &amp; ($U$2 - $AF$3)
),0)</f>
        <v>0</v>
      </c>
      <c r="AI423" s="528"/>
      <c r="AJ423" s="531">
        <f t="shared" ca="1" si="19"/>
        <v>0</v>
      </c>
      <c r="AK423" s="532">
        <f t="shared" ca="1" si="20"/>
        <v>0</v>
      </c>
    </row>
    <row r="424" spans="10:37" x14ac:dyDescent="0.2">
      <c r="J424" s="293"/>
      <c r="N424" s="531" t="str" cm="1">
        <f t="array" aca="1" ref="N42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4" s="552" t="str" cm="1">
        <f t="array" aca="1" ref="O42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4" s="526" cm="1">
        <f t="array" aca="1" ref="P424" ca="1">COUNTIFS(unit_details[Leased Date], "&gt;=" &amp; ($U$2 - N$5),
          unit_details[Leased Date], "&lt;" &amp; $U$2,
          unit_details[Floorplan Name], INDIRECT("C"&amp;ROW()),
          unit_details[Property Name], INDIRECT("B"&amp;ROW()))</f>
        <v>0</v>
      </c>
      <c r="Q424" s="531" t="str" cm="1">
        <f t="array" aca="1" ref="Q42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4" s="552" t="str" cm="1">
        <f t="array" aca="1" ref="R42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4" s="526" cm="1">
        <f t="array" aca="1" ref="S424" ca="1">COUNTIFS(unit_details[Leased Date], "&gt;=" &amp; ($U$2 - Q$5),
          unit_details[Leased Date], "&lt;" &amp; $U$2,
          unit_details[Floorplan Name], INDIRECT("C"&amp;ROW()),
          unit_details[Property Name], INDIRECT("B"&amp;ROW()))</f>
        <v>0</v>
      </c>
      <c r="T424" s="531" t="str" cm="1">
        <f t="array" aca="1" ref="T42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4" s="552" t="str" cm="1">
        <f t="array" aca="1" ref="U42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4" s="526" cm="1">
        <f t="array" aca="1" ref="V424" ca="1">COUNTIFS(unit_details[Leased Date], "&gt;=" &amp; ($U$2 - T$5),
          unit_details[Leased Date], "&lt;" &amp; $U$2,
          unit_details[Floorplan Name], INDIRECT("C"&amp;ROW()),
          unit_details[Property Name], INDIRECT("B"&amp;ROW()))</f>
        <v>0</v>
      </c>
      <c r="W424" s="531" t="str" cm="1">
        <f t="array" aca="1" ref="W42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4" s="552" t="str" cm="1">
        <f t="array" aca="1" ref="X42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4" s="27" t="str">
        <f t="shared" ca="1" si="18"/>
        <v/>
      </c>
      <c r="Z424" s="4" t="str">
        <f>IFERROR($U$2-AVERAGEIFS(unit_details[First Listed],
          unit_details[Active Listing?],TRUE,
          unit_details[Property Name], $B424,
          unit_details[Beds], $D424,
          unit_details[Baths], $E424,
          unit_details[Partial Baths], IF(ISNUMBER($F424),$F424,""),
          unit_details[Floorplan Name],$C424
),"")</f>
        <v/>
      </c>
      <c r="AA424" s="262" cm="1">
        <f t="array" aca="1" ref="AA424" ca="1">COUNTIFS(unit_details[Active Listing?],TRUE,
          unit_details[Floorplan Name], INDIRECT("C"&amp;ROW()),
          unit_details[Property Name], INDIRECT("B"&amp;ROW()))</f>
        <v>0</v>
      </c>
      <c r="AB424" s="553"/>
      <c r="AC424" s="528" cm="1">
        <f t="array" aca="1" ref="AC424" ca="1">IFERROR(AVERAGEIFS(
  unit_details[Sqft],
  unit_details[Property Name], INDIRECT("B"&amp;ROW()),
  unit_details[Floorplan Name], INDIRECT("C"&amp;ROW()),
  unit_details[Beds], INDIRECT("D"&amp;ROW()),
  unit_details[Detected Unit Amenities], "*"&amp;$AD$3&amp;"*",
  unit_details[Leased Date], "&gt;=" &amp; ($U$2 - $AF$3)
),0)</f>
        <v>0</v>
      </c>
      <c r="AD424" s="527" cm="1">
        <f t="array" aca="1" ref="AD4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4" s="526" cm="1">
        <f t="array" aca="1" ref="AE424" ca="1">IFERROR(COUNTIFS(
  unit_details[Property Name], INDIRECT("B"&amp;ROW()),
  unit_details[Floorplan Name], INDIRECT("C"&amp;ROW()),
  unit_details[Beds], INDIRECT("D"&amp;ROW()),
  unit_details[Detected Unit Amenities], "*"&amp;$AD$3&amp;"*",
  unit_details[Leased Date], "&gt;=" &amp; ($U$2 - $AF$3)
),0)</f>
        <v>0</v>
      </c>
      <c r="AF424" s="528" cm="1">
        <f t="array" aca="1" ref="AF424" ca="1">IFERROR(AVERAGEIFS(
  unit_details[Sqft],
  unit_details[Property Name], INDIRECT("B"&amp;ROW()),
  unit_details[Floorplan Name], INDIRECT("C"&amp;ROW()),
  unit_details[Beds], INDIRECT("D"&amp;ROW()),
  unit_details[Detected Unit Amenities], "&lt;&gt;*"&amp;$AD$3&amp;"*",
  unit_details[Leased Date], "&gt;=" &amp; ($U$2 - $AF$3)
),0)</f>
        <v>0</v>
      </c>
      <c r="AG424" s="527" cm="1">
        <f t="array" aca="1" ref="AG42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4" s="526" cm="1">
        <f t="array" aca="1" ref="AH424" ca="1">IFERROR(COUNTIFS(
  unit_details[Property Name], INDIRECT("B"&amp;ROW()),
  unit_details[Floorplan Name], INDIRECT("C"&amp;ROW()),
  unit_details[Beds], INDIRECT("D"&amp;ROW()),
  unit_details[Detected Unit Amenities], "&lt;&gt;*"&amp;$AD$3&amp;"*",
  unit_details[Leased Date], "&gt;=" &amp; ($U$2 - $AF$3)
),0)</f>
        <v>0</v>
      </c>
      <c r="AI424" s="528"/>
      <c r="AJ424" s="531">
        <f t="shared" ca="1" si="19"/>
        <v>0</v>
      </c>
      <c r="AK424" s="532">
        <f t="shared" ca="1" si="20"/>
        <v>0</v>
      </c>
    </row>
    <row r="425" spans="10:37" x14ac:dyDescent="0.2">
      <c r="J425" s="293"/>
      <c r="N425" s="531" t="str" cm="1">
        <f t="array" aca="1" ref="N42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5" s="552" t="str" cm="1">
        <f t="array" aca="1" ref="O42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5" s="526" cm="1">
        <f t="array" aca="1" ref="P425" ca="1">COUNTIFS(unit_details[Leased Date], "&gt;=" &amp; ($U$2 - N$5),
          unit_details[Leased Date], "&lt;" &amp; $U$2,
          unit_details[Floorplan Name], INDIRECT("C"&amp;ROW()),
          unit_details[Property Name], INDIRECT("B"&amp;ROW()))</f>
        <v>0</v>
      </c>
      <c r="Q425" s="531" t="str" cm="1">
        <f t="array" aca="1" ref="Q42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5" s="552" t="str" cm="1">
        <f t="array" aca="1" ref="R42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5" s="526" cm="1">
        <f t="array" aca="1" ref="S425" ca="1">COUNTIFS(unit_details[Leased Date], "&gt;=" &amp; ($U$2 - Q$5),
          unit_details[Leased Date], "&lt;" &amp; $U$2,
          unit_details[Floorplan Name], INDIRECT("C"&amp;ROW()),
          unit_details[Property Name], INDIRECT("B"&amp;ROW()))</f>
        <v>0</v>
      </c>
      <c r="T425" s="531" t="str" cm="1">
        <f t="array" aca="1" ref="T42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5" s="552" t="str" cm="1">
        <f t="array" aca="1" ref="U42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5" s="526" cm="1">
        <f t="array" aca="1" ref="V425" ca="1">COUNTIFS(unit_details[Leased Date], "&gt;=" &amp; ($U$2 - T$5),
          unit_details[Leased Date], "&lt;" &amp; $U$2,
          unit_details[Floorplan Name], INDIRECT("C"&amp;ROW()),
          unit_details[Property Name], INDIRECT("B"&amp;ROW()))</f>
        <v>0</v>
      </c>
      <c r="W425" s="531" t="str" cm="1">
        <f t="array" aca="1" ref="W42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5" s="552" t="str" cm="1">
        <f t="array" aca="1" ref="X42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5" s="27" t="str">
        <f t="shared" ca="1" si="18"/>
        <v/>
      </c>
      <c r="Z425" s="4" t="str">
        <f>IFERROR($U$2-AVERAGEIFS(unit_details[First Listed],
          unit_details[Active Listing?],TRUE,
          unit_details[Property Name], $B425,
          unit_details[Beds], $D425,
          unit_details[Baths], $E425,
          unit_details[Partial Baths], IF(ISNUMBER($F425),$F425,""),
          unit_details[Floorplan Name],$C425
),"")</f>
        <v/>
      </c>
      <c r="AA425" s="262" cm="1">
        <f t="array" aca="1" ref="AA425" ca="1">COUNTIFS(unit_details[Active Listing?],TRUE,
          unit_details[Floorplan Name], INDIRECT("C"&amp;ROW()),
          unit_details[Property Name], INDIRECT("B"&amp;ROW()))</f>
        <v>0</v>
      </c>
      <c r="AB425" s="553"/>
      <c r="AC425" s="528" cm="1">
        <f t="array" aca="1" ref="AC425" ca="1">IFERROR(AVERAGEIFS(
  unit_details[Sqft],
  unit_details[Property Name], INDIRECT("B"&amp;ROW()),
  unit_details[Floorplan Name], INDIRECT("C"&amp;ROW()),
  unit_details[Beds], INDIRECT("D"&amp;ROW()),
  unit_details[Detected Unit Amenities], "*"&amp;$AD$3&amp;"*",
  unit_details[Leased Date], "&gt;=" &amp; ($U$2 - $AF$3)
),0)</f>
        <v>0</v>
      </c>
      <c r="AD425" s="527" cm="1">
        <f t="array" aca="1" ref="AD4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5" s="526" cm="1">
        <f t="array" aca="1" ref="AE425" ca="1">IFERROR(COUNTIFS(
  unit_details[Property Name], INDIRECT("B"&amp;ROW()),
  unit_details[Floorplan Name], INDIRECT("C"&amp;ROW()),
  unit_details[Beds], INDIRECT("D"&amp;ROW()),
  unit_details[Detected Unit Amenities], "*"&amp;$AD$3&amp;"*",
  unit_details[Leased Date], "&gt;=" &amp; ($U$2 - $AF$3)
),0)</f>
        <v>0</v>
      </c>
      <c r="AF425" s="528" cm="1">
        <f t="array" aca="1" ref="AF425" ca="1">IFERROR(AVERAGEIFS(
  unit_details[Sqft],
  unit_details[Property Name], INDIRECT("B"&amp;ROW()),
  unit_details[Floorplan Name], INDIRECT("C"&amp;ROW()),
  unit_details[Beds], INDIRECT("D"&amp;ROW()),
  unit_details[Detected Unit Amenities], "&lt;&gt;*"&amp;$AD$3&amp;"*",
  unit_details[Leased Date], "&gt;=" &amp; ($U$2 - $AF$3)
),0)</f>
        <v>0</v>
      </c>
      <c r="AG425" s="527" cm="1">
        <f t="array" aca="1" ref="AG42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5" s="526" cm="1">
        <f t="array" aca="1" ref="AH425" ca="1">IFERROR(COUNTIFS(
  unit_details[Property Name], INDIRECT("B"&amp;ROW()),
  unit_details[Floorplan Name], INDIRECT("C"&amp;ROW()),
  unit_details[Beds], INDIRECT("D"&amp;ROW()),
  unit_details[Detected Unit Amenities], "&lt;&gt;*"&amp;$AD$3&amp;"*",
  unit_details[Leased Date], "&gt;=" &amp; ($U$2 - $AF$3)
),0)</f>
        <v>0</v>
      </c>
      <c r="AI425" s="528"/>
      <c r="AJ425" s="531">
        <f t="shared" ca="1" si="19"/>
        <v>0</v>
      </c>
      <c r="AK425" s="532">
        <f t="shared" ca="1" si="20"/>
        <v>0</v>
      </c>
    </row>
    <row r="426" spans="10:37" x14ac:dyDescent="0.2">
      <c r="J426" s="293"/>
      <c r="N426" s="531" t="str" cm="1">
        <f t="array" aca="1" ref="N42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6" s="552" t="str" cm="1">
        <f t="array" aca="1" ref="O42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6" s="526" cm="1">
        <f t="array" aca="1" ref="P426" ca="1">COUNTIFS(unit_details[Leased Date], "&gt;=" &amp; ($U$2 - N$5),
          unit_details[Leased Date], "&lt;" &amp; $U$2,
          unit_details[Floorplan Name], INDIRECT("C"&amp;ROW()),
          unit_details[Property Name], INDIRECT("B"&amp;ROW()))</f>
        <v>0</v>
      </c>
      <c r="Q426" s="531" t="str" cm="1">
        <f t="array" aca="1" ref="Q42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6" s="552" t="str" cm="1">
        <f t="array" aca="1" ref="R42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6" s="526" cm="1">
        <f t="array" aca="1" ref="S426" ca="1">COUNTIFS(unit_details[Leased Date], "&gt;=" &amp; ($U$2 - Q$5),
          unit_details[Leased Date], "&lt;" &amp; $U$2,
          unit_details[Floorplan Name], INDIRECT("C"&amp;ROW()),
          unit_details[Property Name], INDIRECT("B"&amp;ROW()))</f>
        <v>0</v>
      </c>
      <c r="T426" s="531" t="str" cm="1">
        <f t="array" aca="1" ref="T42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6" s="552" t="str" cm="1">
        <f t="array" aca="1" ref="U42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6" s="526" cm="1">
        <f t="array" aca="1" ref="V426" ca="1">COUNTIFS(unit_details[Leased Date], "&gt;=" &amp; ($U$2 - T$5),
          unit_details[Leased Date], "&lt;" &amp; $U$2,
          unit_details[Floorplan Name], INDIRECT("C"&amp;ROW()),
          unit_details[Property Name], INDIRECT("B"&amp;ROW()))</f>
        <v>0</v>
      </c>
      <c r="W426" s="531" t="str" cm="1">
        <f t="array" aca="1" ref="W42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6" s="552" t="str" cm="1">
        <f t="array" aca="1" ref="X42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6" s="27" t="str">
        <f t="shared" ca="1" si="18"/>
        <v/>
      </c>
      <c r="Z426" s="4" t="str">
        <f>IFERROR($U$2-AVERAGEIFS(unit_details[First Listed],
          unit_details[Active Listing?],TRUE,
          unit_details[Property Name], $B426,
          unit_details[Beds], $D426,
          unit_details[Baths], $E426,
          unit_details[Partial Baths], IF(ISNUMBER($F426),$F426,""),
          unit_details[Floorplan Name],$C426
),"")</f>
        <v/>
      </c>
      <c r="AA426" s="262" cm="1">
        <f t="array" aca="1" ref="AA426" ca="1">COUNTIFS(unit_details[Active Listing?],TRUE,
          unit_details[Floorplan Name], INDIRECT("C"&amp;ROW()),
          unit_details[Property Name], INDIRECT("B"&amp;ROW()))</f>
        <v>0</v>
      </c>
      <c r="AB426" s="553"/>
      <c r="AC426" s="528" cm="1">
        <f t="array" aca="1" ref="AC426" ca="1">IFERROR(AVERAGEIFS(
  unit_details[Sqft],
  unit_details[Property Name], INDIRECT("B"&amp;ROW()),
  unit_details[Floorplan Name], INDIRECT("C"&amp;ROW()),
  unit_details[Beds], INDIRECT("D"&amp;ROW()),
  unit_details[Detected Unit Amenities], "*"&amp;$AD$3&amp;"*",
  unit_details[Leased Date], "&gt;=" &amp; ($U$2 - $AF$3)
),0)</f>
        <v>0</v>
      </c>
      <c r="AD426" s="527" cm="1">
        <f t="array" aca="1" ref="AD4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6" s="526" cm="1">
        <f t="array" aca="1" ref="AE426" ca="1">IFERROR(COUNTIFS(
  unit_details[Property Name], INDIRECT("B"&amp;ROW()),
  unit_details[Floorplan Name], INDIRECT("C"&amp;ROW()),
  unit_details[Beds], INDIRECT("D"&amp;ROW()),
  unit_details[Detected Unit Amenities], "*"&amp;$AD$3&amp;"*",
  unit_details[Leased Date], "&gt;=" &amp; ($U$2 - $AF$3)
),0)</f>
        <v>0</v>
      </c>
      <c r="AF426" s="528" cm="1">
        <f t="array" aca="1" ref="AF426" ca="1">IFERROR(AVERAGEIFS(
  unit_details[Sqft],
  unit_details[Property Name], INDIRECT("B"&amp;ROW()),
  unit_details[Floorplan Name], INDIRECT("C"&amp;ROW()),
  unit_details[Beds], INDIRECT("D"&amp;ROW()),
  unit_details[Detected Unit Amenities], "&lt;&gt;*"&amp;$AD$3&amp;"*",
  unit_details[Leased Date], "&gt;=" &amp; ($U$2 - $AF$3)
),0)</f>
        <v>0</v>
      </c>
      <c r="AG426" s="527" cm="1">
        <f t="array" aca="1" ref="AG42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6" s="526" cm="1">
        <f t="array" aca="1" ref="AH426" ca="1">IFERROR(COUNTIFS(
  unit_details[Property Name], INDIRECT("B"&amp;ROW()),
  unit_details[Floorplan Name], INDIRECT("C"&amp;ROW()),
  unit_details[Beds], INDIRECT("D"&amp;ROW()),
  unit_details[Detected Unit Amenities], "&lt;&gt;*"&amp;$AD$3&amp;"*",
  unit_details[Leased Date], "&gt;=" &amp; ($U$2 - $AF$3)
),0)</f>
        <v>0</v>
      </c>
      <c r="AI426" s="528"/>
      <c r="AJ426" s="531">
        <f t="shared" ca="1" si="19"/>
        <v>0</v>
      </c>
      <c r="AK426" s="532">
        <f t="shared" ca="1" si="20"/>
        <v>0</v>
      </c>
    </row>
    <row r="427" spans="10:37" x14ac:dyDescent="0.2">
      <c r="J427" s="293"/>
      <c r="N427" s="531" t="str" cm="1">
        <f t="array" aca="1" ref="N42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7" s="552" t="str" cm="1">
        <f t="array" aca="1" ref="O42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7" s="526" cm="1">
        <f t="array" aca="1" ref="P427" ca="1">COUNTIFS(unit_details[Leased Date], "&gt;=" &amp; ($U$2 - N$5),
          unit_details[Leased Date], "&lt;" &amp; $U$2,
          unit_details[Floorplan Name], INDIRECT("C"&amp;ROW()),
          unit_details[Property Name], INDIRECT("B"&amp;ROW()))</f>
        <v>0</v>
      </c>
      <c r="Q427" s="531" t="str" cm="1">
        <f t="array" aca="1" ref="Q42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7" s="552" t="str" cm="1">
        <f t="array" aca="1" ref="R42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7" s="526" cm="1">
        <f t="array" aca="1" ref="S427" ca="1">COUNTIFS(unit_details[Leased Date], "&gt;=" &amp; ($U$2 - Q$5),
          unit_details[Leased Date], "&lt;" &amp; $U$2,
          unit_details[Floorplan Name], INDIRECT("C"&amp;ROW()),
          unit_details[Property Name], INDIRECT("B"&amp;ROW()))</f>
        <v>0</v>
      </c>
      <c r="T427" s="531" t="str" cm="1">
        <f t="array" aca="1" ref="T42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7" s="552" t="str" cm="1">
        <f t="array" aca="1" ref="U42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7" s="526" cm="1">
        <f t="array" aca="1" ref="V427" ca="1">COUNTIFS(unit_details[Leased Date], "&gt;=" &amp; ($U$2 - T$5),
          unit_details[Leased Date], "&lt;" &amp; $U$2,
          unit_details[Floorplan Name], INDIRECT("C"&amp;ROW()),
          unit_details[Property Name], INDIRECT("B"&amp;ROW()))</f>
        <v>0</v>
      </c>
      <c r="W427" s="531" t="str" cm="1">
        <f t="array" aca="1" ref="W42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7" s="552" t="str" cm="1">
        <f t="array" aca="1" ref="X42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7" s="27" t="str">
        <f t="shared" ca="1" si="18"/>
        <v/>
      </c>
      <c r="Z427" s="4" t="str">
        <f>IFERROR($U$2-AVERAGEIFS(unit_details[First Listed],
          unit_details[Active Listing?],TRUE,
          unit_details[Property Name], $B427,
          unit_details[Beds], $D427,
          unit_details[Baths], $E427,
          unit_details[Partial Baths], IF(ISNUMBER($F427),$F427,""),
          unit_details[Floorplan Name],$C427
),"")</f>
        <v/>
      </c>
      <c r="AA427" s="262" cm="1">
        <f t="array" aca="1" ref="AA427" ca="1">COUNTIFS(unit_details[Active Listing?],TRUE,
          unit_details[Floorplan Name], INDIRECT("C"&amp;ROW()),
          unit_details[Property Name], INDIRECT("B"&amp;ROW()))</f>
        <v>0</v>
      </c>
      <c r="AB427" s="553"/>
      <c r="AC427" s="528" cm="1">
        <f t="array" aca="1" ref="AC427" ca="1">IFERROR(AVERAGEIFS(
  unit_details[Sqft],
  unit_details[Property Name], INDIRECT("B"&amp;ROW()),
  unit_details[Floorplan Name], INDIRECT("C"&amp;ROW()),
  unit_details[Beds], INDIRECT("D"&amp;ROW()),
  unit_details[Detected Unit Amenities], "*"&amp;$AD$3&amp;"*",
  unit_details[Leased Date], "&gt;=" &amp; ($U$2 - $AF$3)
),0)</f>
        <v>0</v>
      </c>
      <c r="AD427" s="527" cm="1">
        <f t="array" aca="1" ref="AD4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7" s="526" cm="1">
        <f t="array" aca="1" ref="AE427" ca="1">IFERROR(COUNTIFS(
  unit_details[Property Name], INDIRECT("B"&amp;ROW()),
  unit_details[Floorplan Name], INDIRECT("C"&amp;ROW()),
  unit_details[Beds], INDIRECT("D"&amp;ROW()),
  unit_details[Detected Unit Amenities], "*"&amp;$AD$3&amp;"*",
  unit_details[Leased Date], "&gt;=" &amp; ($U$2 - $AF$3)
),0)</f>
        <v>0</v>
      </c>
      <c r="AF427" s="528" cm="1">
        <f t="array" aca="1" ref="AF427" ca="1">IFERROR(AVERAGEIFS(
  unit_details[Sqft],
  unit_details[Property Name], INDIRECT("B"&amp;ROW()),
  unit_details[Floorplan Name], INDIRECT("C"&amp;ROW()),
  unit_details[Beds], INDIRECT("D"&amp;ROW()),
  unit_details[Detected Unit Amenities], "&lt;&gt;*"&amp;$AD$3&amp;"*",
  unit_details[Leased Date], "&gt;=" &amp; ($U$2 - $AF$3)
),0)</f>
        <v>0</v>
      </c>
      <c r="AG427" s="527" cm="1">
        <f t="array" aca="1" ref="AG42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7" s="526" cm="1">
        <f t="array" aca="1" ref="AH427" ca="1">IFERROR(COUNTIFS(
  unit_details[Property Name], INDIRECT("B"&amp;ROW()),
  unit_details[Floorplan Name], INDIRECT("C"&amp;ROW()),
  unit_details[Beds], INDIRECT("D"&amp;ROW()),
  unit_details[Detected Unit Amenities], "&lt;&gt;*"&amp;$AD$3&amp;"*",
  unit_details[Leased Date], "&gt;=" &amp; ($U$2 - $AF$3)
),0)</f>
        <v>0</v>
      </c>
      <c r="AI427" s="528"/>
      <c r="AJ427" s="531">
        <f t="shared" ca="1" si="19"/>
        <v>0</v>
      </c>
      <c r="AK427" s="532">
        <f t="shared" ca="1" si="20"/>
        <v>0</v>
      </c>
    </row>
    <row r="428" spans="10:37" x14ac:dyDescent="0.2">
      <c r="J428" s="293"/>
      <c r="N428" s="531" t="str" cm="1">
        <f t="array" aca="1" ref="N42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8" s="552" t="str" cm="1">
        <f t="array" aca="1" ref="O42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8" s="526" cm="1">
        <f t="array" aca="1" ref="P428" ca="1">COUNTIFS(unit_details[Leased Date], "&gt;=" &amp; ($U$2 - N$5),
          unit_details[Leased Date], "&lt;" &amp; $U$2,
          unit_details[Floorplan Name], INDIRECT("C"&amp;ROW()),
          unit_details[Property Name], INDIRECT("B"&amp;ROW()))</f>
        <v>0</v>
      </c>
      <c r="Q428" s="531" t="str" cm="1">
        <f t="array" aca="1" ref="Q42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8" s="552" t="str" cm="1">
        <f t="array" aca="1" ref="R42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8" s="526" cm="1">
        <f t="array" aca="1" ref="S428" ca="1">COUNTIFS(unit_details[Leased Date], "&gt;=" &amp; ($U$2 - Q$5),
          unit_details[Leased Date], "&lt;" &amp; $U$2,
          unit_details[Floorplan Name], INDIRECT("C"&amp;ROW()),
          unit_details[Property Name], INDIRECT("B"&amp;ROW()))</f>
        <v>0</v>
      </c>
      <c r="T428" s="531" t="str" cm="1">
        <f t="array" aca="1" ref="T42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8" s="552" t="str" cm="1">
        <f t="array" aca="1" ref="U42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8" s="526" cm="1">
        <f t="array" aca="1" ref="V428" ca="1">COUNTIFS(unit_details[Leased Date], "&gt;=" &amp; ($U$2 - T$5),
          unit_details[Leased Date], "&lt;" &amp; $U$2,
          unit_details[Floorplan Name], INDIRECT("C"&amp;ROW()),
          unit_details[Property Name], INDIRECT("B"&amp;ROW()))</f>
        <v>0</v>
      </c>
      <c r="W428" s="531" t="str" cm="1">
        <f t="array" aca="1" ref="W42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8" s="552" t="str" cm="1">
        <f t="array" aca="1" ref="X42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8" s="27" t="str">
        <f t="shared" ca="1" si="18"/>
        <v/>
      </c>
      <c r="Z428" s="4" t="str">
        <f>IFERROR($U$2-AVERAGEIFS(unit_details[First Listed],
          unit_details[Active Listing?],TRUE,
          unit_details[Property Name], $B428,
          unit_details[Beds], $D428,
          unit_details[Baths], $E428,
          unit_details[Partial Baths], IF(ISNUMBER($F428),$F428,""),
          unit_details[Floorplan Name],$C428
),"")</f>
        <v/>
      </c>
      <c r="AA428" s="262" cm="1">
        <f t="array" aca="1" ref="AA428" ca="1">COUNTIFS(unit_details[Active Listing?],TRUE,
          unit_details[Floorplan Name], INDIRECT("C"&amp;ROW()),
          unit_details[Property Name], INDIRECT("B"&amp;ROW()))</f>
        <v>0</v>
      </c>
      <c r="AB428" s="553"/>
      <c r="AC428" s="528" cm="1">
        <f t="array" aca="1" ref="AC428" ca="1">IFERROR(AVERAGEIFS(
  unit_details[Sqft],
  unit_details[Property Name], INDIRECT("B"&amp;ROW()),
  unit_details[Floorplan Name], INDIRECT("C"&amp;ROW()),
  unit_details[Beds], INDIRECT("D"&amp;ROW()),
  unit_details[Detected Unit Amenities], "*"&amp;$AD$3&amp;"*",
  unit_details[Leased Date], "&gt;=" &amp; ($U$2 - $AF$3)
),0)</f>
        <v>0</v>
      </c>
      <c r="AD428" s="527" cm="1">
        <f t="array" aca="1" ref="AD4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8" s="526" cm="1">
        <f t="array" aca="1" ref="AE428" ca="1">IFERROR(COUNTIFS(
  unit_details[Property Name], INDIRECT("B"&amp;ROW()),
  unit_details[Floorplan Name], INDIRECT("C"&amp;ROW()),
  unit_details[Beds], INDIRECT("D"&amp;ROW()),
  unit_details[Detected Unit Amenities], "*"&amp;$AD$3&amp;"*",
  unit_details[Leased Date], "&gt;=" &amp; ($U$2 - $AF$3)
),0)</f>
        <v>0</v>
      </c>
      <c r="AF428" s="528" cm="1">
        <f t="array" aca="1" ref="AF428" ca="1">IFERROR(AVERAGEIFS(
  unit_details[Sqft],
  unit_details[Property Name], INDIRECT("B"&amp;ROW()),
  unit_details[Floorplan Name], INDIRECT("C"&amp;ROW()),
  unit_details[Beds], INDIRECT("D"&amp;ROW()),
  unit_details[Detected Unit Amenities], "&lt;&gt;*"&amp;$AD$3&amp;"*",
  unit_details[Leased Date], "&gt;=" &amp; ($U$2 - $AF$3)
),0)</f>
        <v>0</v>
      </c>
      <c r="AG428" s="527" cm="1">
        <f t="array" aca="1" ref="AG42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8" s="526" cm="1">
        <f t="array" aca="1" ref="AH428" ca="1">IFERROR(COUNTIFS(
  unit_details[Property Name], INDIRECT("B"&amp;ROW()),
  unit_details[Floorplan Name], INDIRECT("C"&amp;ROW()),
  unit_details[Beds], INDIRECT("D"&amp;ROW()),
  unit_details[Detected Unit Amenities], "&lt;&gt;*"&amp;$AD$3&amp;"*",
  unit_details[Leased Date], "&gt;=" &amp; ($U$2 - $AF$3)
),0)</f>
        <v>0</v>
      </c>
      <c r="AI428" s="528"/>
      <c r="AJ428" s="531">
        <f t="shared" ca="1" si="19"/>
        <v>0</v>
      </c>
      <c r="AK428" s="532">
        <f t="shared" ca="1" si="20"/>
        <v>0</v>
      </c>
    </row>
    <row r="429" spans="10:37" x14ac:dyDescent="0.2">
      <c r="J429" s="293"/>
      <c r="N429" s="531" t="str" cm="1">
        <f t="array" aca="1" ref="N42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29" s="552" t="str" cm="1">
        <f t="array" aca="1" ref="O42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29" s="526" cm="1">
        <f t="array" aca="1" ref="P429" ca="1">COUNTIFS(unit_details[Leased Date], "&gt;=" &amp; ($U$2 - N$5),
          unit_details[Leased Date], "&lt;" &amp; $U$2,
          unit_details[Floorplan Name], INDIRECT("C"&amp;ROW()),
          unit_details[Property Name], INDIRECT("B"&amp;ROW()))</f>
        <v>0</v>
      </c>
      <c r="Q429" s="531" t="str" cm="1">
        <f t="array" aca="1" ref="Q42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29" s="552" t="str" cm="1">
        <f t="array" aca="1" ref="R42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29" s="526" cm="1">
        <f t="array" aca="1" ref="S429" ca="1">COUNTIFS(unit_details[Leased Date], "&gt;=" &amp; ($U$2 - Q$5),
          unit_details[Leased Date], "&lt;" &amp; $U$2,
          unit_details[Floorplan Name], INDIRECT("C"&amp;ROW()),
          unit_details[Property Name], INDIRECT("B"&amp;ROW()))</f>
        <v>0</v>
      </c>
      <c r="T429" s="531" t="str" cm="1">
        <f t="array" aca="1" ref="T42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29" s="552" t="str" cm="1">
        <f t="array" aca="1" ref="U42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29" s="526" cm="1">
        <f t="array" aca="1" ref="V429" ca="1">COUNTIFS(unit_details[Leased Date], "&gt;=" &amp; ($U$2 - T$5),
          unit_details[Leased Date], "&lt;" &amp; $U$2,
          unit_details[Floorplan Name], INDIRECT("C"&amp;ROW()),
          unit_details[Property Name], INDIRECT("B"&amp;ROW()))</f>
        <v>0</v>
      </c>
      <c r="W429" s="531" t="str" cm="1">
        <f t="array" aca="1" ref="W42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29" s="552" t="str" cm="1">
        <f t="array" aca="1" ref="X42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29" s="27" t="str">
        <f t="shared" ca="1" si="18"/>
        <v/>
      </c>
      <c r="Z429" s="4" t="str">
        <f>IFERROR($U$2-AVERAGEIFS(unit_details[First Listed],
          unit_details[Active Listing?],TRUE,
          unit_details[Property Name], $B429,
          unit_details[Beds], $D429,
          unit_details[Baths], $E429,
          unit_details[Partial Baths], IF(ISNUMBER($F429),$F429,""),
          unit_details[Floorplan Name],$C429
),"")</f>
        <v/>
      </c>
      <c r="AA429" s="262" cm="1">
        <f t="array" aca="1" ref="AA429" ca="1">COUNTIFS(unit_details[Active Listing?],TRUE,
          unit_details[Floorplan Name], INDIRECT("C"&amp;ROW()),
          unit_details[Property Name], INDIRECT("B"&amp;ROW()))</f>
        <v>0</v>
      </c>
      <c r="AB429" s="553"/>
      <c r="AC429" s="528" cm="1">
        <f t="array" aca="1" ref="AC429" ca="1">IFERROR(AVERAGEIFS(
  unit_details[Sqft],
  unit_details[Property Name], INDIRECT("B"&amp;ROW()),
  unit_details[Floorplan Name], INDIRECT("C"&amp;ROW()),
  unit_details[Beds], INDIRECT("D"&amp;ROW()),
  unit_details[Detected Unit Amenities], "*"&amp;$AD$3&amp;"*",
  unit_details[Leased Date], "&gt;=" &amp; ($U$2 - $AF$3)
),0)</f>
        <v>0</v>
      </c>
      <c r="AD429" s="527" cm="1">
        <f t="array" aca="1" ref="AD4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29" s="526" cm="1">
        <f t="array" aca="1" ref="AE429" ca="1">IFERROR(COUNTIFS(
  unit_details[Property Name], INDIRECT("B"&amp;ROW()),
  unit_details[Floorplan Name], INDIRECT("C"&amp;ROW()),
  unit_details[Beds], INDIRECT("D"&amp;ROW()),
  unit_details[Detected Unit Amenities], "*"&amp;$AD$3&amp;"*",
  unit_details[Leased Date], "&gt;=" &amp; ($U$2 - $AF$3)
),0)</f>
        <v>0</v>
      </c>
      <c r="AF429" s="528" cm="1">
        <f t="array" aca="1" ref="AF429" ca="1">IFERROR(AVERAGEIFS(
  unit_details[Sqft],
  unit_details[Property Name], INDIRECT("B"&amp;ROW()),
  unit_details[Floorplan Name], INDIRECT("C"&amp;ROW()),
  unit_details[Beds], INDIRECT("D"&amp;ROW()),
  unit_details[Detected Unit Amenities], "&lt;&gt;*"&amp;$AD$3&amp;"*",
  unit_details[Leased Date], "&gt;=" &amp; ($U$2 - $AF$3)
),0)</f>
        <v>0</v>
      </c>
      <c r="AG429" s="527" cm="1">
        <f t="array" aca="1" ref="AG42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29" s="526" cm="1">
        <f t="array" aca="1" ref="AH429" ca="1">IFERROR(COUNTIFS(
  unit_details[Property Name], INDIRECT("B"&amp;ROW()),
  unit_details[Floorplan Name], INDIRECT("C"&amp;ROW()),
  unit_details[Beds], INDIRECT("D"&amp;ROW()),
  unit_details[Detected Unit Amenities], "&lt;&gt;*"&amp;$AD$3&amp;"*",
  unit_details[Leased Date], "&gt;=" &amp; ($U$2 - $AF$3)
),0)</f>
        <v>0</v>
      </c>
      <c r="AI429" s="528"/>
      <c r="AJ429" s="531">
        <f t="shared" ca="1" si="19"/>
        <v>0</v>
      </c>
      <c r="AK429" s="532">
        <f t="shared" ca="1" si="20"/>
        <v>0</v>
      </c>
    </row>
    <row r="430" spans="10:37" x14ac:dyDescent="0.2">
      <c r="J430" s="293"/>
      <c r="N430" s="531" t="str" cm="1">
        <f t="array" aca="1" ref="N43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0" s="552" t="str" cm="1">
        <f t="array" aca="1" ref="O43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0" s="526" cm="1">
        <f t="array" aca="1" ref="P430" ca="1">COUNTIFS(unit_details[Leased Date], "&gt;=" &amp; ($U$2 - N$5),
          unit_details[Leased Date], "&lt;" &amp; $U$2,
          unit_details[Floorplan Name], INDIRECT("C"&amp;ROW()),
          unit_details[Property Name], INDIRECT("B"&amp;ROW()))</f>
        <v>0</v>
      </c>
      <c r="Q430" s="531" t="str" cm="1">
        <f t="array" aca="1" ref="Q43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0" s="552" t="str" cm="1">
        <f t="array" aca="1" ref="R43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0" s="526" cm="1">
        <f t="array" aca="1" ref="S430" ca="1">COUNTIFS(unit_details[Leased Date], "&gt;=" &amp; ($U$2 - Q$5),
          unit_details[Leased Date], "&lt;" &amp; $U$2,
          unit_details[Floorplan Name], INDIRECT("C"&amp;ROW()),
          unit_details[Property Name], INDIRECT("B"&amp;ROW()))</f>
        <v>0</v>
      </c>
      <c r="T430" s="531" t="str" cm="1">
        <f t="array" aca="1" ref="T43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0" s="552" t="str" cm="1">
        <f t="array" aca="1" ref="U43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0" s="526" cm="1">
        <f t="array" aca="1" ref="V430" ca="1">COUNTIFS(unit_details[Leased Date], "&gt;=" &amp; ($U$2 - T$5),
          unit_details[Leased Date], "&lt;" &amp; $U$2,
          unit_details[Floorplan Name], INDIRECT("C"&amp;ROW()),
          unit_details[Property Name], INDIRECT("B"&amp;ROW()))</f>
        <v>0</v>
      </c>
      <c r="W430" s="531" t="str" cm="1">
        <f t="array" aca="1" ref="W43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0" s="552" t="str" cm="1">
        <f t="array" aca="1" ref="X43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0" s="27" t="str">
        <f t="shared" ca="1" si="18"/>
        <v/>
      </c>
      <c r="Z430" s="4" t="str">
        <f>IFERROR($U$2-AVERAGEIFS(unit_details[First Listed],
          unit_details[Active Listing?],TRUE,
          unit_details[Property Name], $B430,
          unit_details[Beds], $D430,
          unit_details[Baths], $E430,
          unit_details[Partial Baths], IF(ISNUMBER($F430),$F430,""),
          unit_details[Floorplan Name],$C430
),"")</f>
        <v/>
      </c>
      <c r="AA430" s="262" cm="1">
        <f t="array" aca="1" ref="AA430" ca="1">COUNTIFS(unit_details[Active Listing?],TRUE,
          unit_details[Floorplan Name], INDIRECT("C"&amp;ROW()),
          unit_details[Property Name], INDIRECT("B"&amp;ROW()))</f>
        <v>0</v>
      </c>
      <c r="AB430" s="553"/>
      <c r="AC430" s="528" cm="1">
        <f t="array" aca="1" ref="AC430" ca="1">IFERROR(AVERAGEIFS(
  unit_details[Sqft],
  unit_details[Property Name], INDIRECT("B"&amp;ROW()),
  unit_details[Floorplan Name], INDIRECT("C"&amp;ROW()),
  unit_details[Beds], INDIRECT("D"&amp;ROW()),
  unit_details[Detected Unit Amenities], "*"&amp;$AD$3&amp;"*",
  unit_details[Leased Date], "&gt;=" &amp; ($U$2 - $AF$3)
),0)</f>
        <v>0</v>
      </c>
      <c r="AD430" s="527" cm="1">
        <f t="array" aca="1" ref="AD4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0" s="526" cm="1">
        <f t="array" aca="1" ref="AE430" ca="1">IFERROR(COUNTIFS(
  unit_details[Property Name], INDIRECT("B"&amp;ROW()),
  unit_details[Floorplan Name], INDIRECT("C"&amp;ROW()),
  unit_details[Beds], INDIRECT("D"&amp;ROW()),
  unit_details[Detected Unit Amenities], "*"&amp;$AD$3&amp;"*",
  unit_details[Leased Date], "&gt;=" &amp; ($U$2 - $AF$3)
),0)</f>
        <v>0</v>
      </c>
      <c r="AF430" s="528" cm="1">
        <f t="array" aca="1" ref="AF430" ca="1">IFERROR(AVERAGEIFS(
  unit_details[Sqft],
  unit_details[Property Name], INDIRECT("B"&amp;ROW()),
  unit_details[Floorplan Name], INDIRECT("C"&amp;ROW()),
  unit_details[Beds], INDIRECT("D"&amp;ROW()),
  unit_details[Detected Unit Amenities], "&lt;&gt;*"&amp;$AD$3&amp;"*",
  unit_details[Leased Date], "&gt;=" &amp; ($U$2 - $AF$3)
),0)</f>
        <v>0</v>
      </c>
      <c r="AG430" s="527" cm="1">
        <f t="array" aca="1" ref="AG43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0" s="526" cm="1">
        <f t="array" aca="1" ref="AH430" ca="1">IFERROR(COUNTIFS(
  unit_details[Property Name], INDIRECT("B"&amp;ROW()),
  unit_details[Floorplan Name], INDIRECT("C"&amp;ROW()),
  unit_details[Beds], INDIRECT("D"&amp;ROW()),
  unit_details[Detected Unit Amenities], "&lt;&gt;*"&amp;$AD$3&amp;"*",
  unit_details[Leased Date], "&gt;=" &amp; ($U$2 - $AF$3)
),0)</f>
        <v>0</v>
      </c>
      <c r="AI430" s="528"/>
      <c r="AJ430" s="531">
        <f t="shared" ca="1" si="19"/>
        <v>0</v>
      </c>
      <c r="AK430" s="532">
        <f t="shared" ca="1" si="20"/>
        <v>0</v>
      </c>
    </row>
    <row r="431" spans="10:37" x14ac:dyDescent="0.2">
      <c r="J431" s="293"/>
      <c r="N431" s="531" t="str" cm="1">
        <f t="array" aca="1" ref="N43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1" s="552" t="str" cm="1">
        <f t="array" aca="1" ref="O43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1" s="526" cm="1">
        <f t="array" aca="1" ref="P431" ca="1">COUNTIFS(unit_details[Leased Date], "&gt;=" &amp; ($U$2 - N$5),
          unit_details[Leased Date], "&lt;" &amp; $U$2,
          unit_details[Floorplan Name], INDIRECT("C"&amp;ROW()),
          unit_details[Property Name], INDIRECT("B"&amp;ROW()))</f>
        <v>0</v>
      </c>
      <c r="Q431" s="531" t="str" cm="1">
        <f t="array" aca="1" ref="Q43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1" s="552" t="str" cm="1">
        <f t="array" aca="1" ref="R43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1" s="526" cm="1">
        <f t="array" aca="1" ref="S431" ca="1">COUNTIFS(unit_details[Leased Date], "&gt;=" &amp; ($U$2 - Q$5),
          unit_details[Leased Date], "&lt;" &amp; $U$2,
          unit_details[Floorplan Name], INDIRECT("C"&amp;ROW()),
          unit_details[Property Name], INDIRECT("B"&amp;ROW()))</f>
        <v>0</v>
      </c>
      <c r="T431" s="531" t="str" cm="1">
        <f t="array" aca="1" ref="T43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1" s="552" t="str" cm="1">
        <f t="array" aca="1" ref="U43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1" s="526" cm="1">
        <f t="array" aca="1" ref="V431" ca="1">COUNTIFS(unit_details[Leased Date], "&gt;=" &amp; ($U$2 - T$5),
          unit_details[Leased Date], "&lt;" &amp; $U$2,
          unit_details[Floorplan Name], INDIRECT("C"&amp;ROW()),
          unit_details[Property Name], INDIRECT("B"&amp;ROW()))</f>
        <v>0</v>
      </c>
      <c r="W431" s="531" t="str" cm="1">
        <f t="array" aca="1" ref="W43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1" s="552" t="str" cm="1">
        <f t="array" aca="1" ref="X43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1" s="27" t="str">
        <f t="shared" ca="1" si="18"/>
        <v/>
      </c>
      <c r="Z431" s="4" t="str">
        <f>IFERROR($U$2-AVERAGEIFS(unit_details[First Listed],
          unit_details[Active Listing?],TRUE,
          unit_details[Property Name], $B431,
          unit_details[Beds], $D431,
          unit_details[Baths], $E431,
          unit_details[Partial Baths], IF(ISNUMBER($F431),$F431,""),
          unit_details[Floorplan Name],$C431
),"")</f>
        <v/>
      </c>
      <c r="AA431" s="262" cm="1">
        <f t="array" aca="1" ref="AA431" ca="1">COUNTIFS(unit_details[Active Listing?],TRUE,
          unit_details[Floorplan Name], INDIRECT("C"&amp;ROW()),
          unit_details[Property Name], INDIRECT("B"&amp;ROW()))</f>
        <v>0</v>
      </c>
      <c r="AB431" s="553"/>
      <c r="AC431" s="528" cm="1">
        <f t="array" aca="1" ref="AC431" ca="1">IFERROR(AVERAGEIFS(
  unit_details[Sqft],
  unit_details[Property Name], INDIRECT("B"&amp;ROW()),
  unit_details[Floorplan Name], INDIRECT("C"&amp;ROW()),
  unit_details[Beds], INDIRECT("D"&amp;ROW()),
  unit_details[Detected Unit Amenities], "*"&amp;$AD$3&amp;"*",
  unit_details[Leased Date], "&gt;=" &amp; ($U$2 - $AF$3)
),0)</f>
        <v>0</v>
      </c>
      <c r="AD431" s="527" cm="1">
        <f t="array" aca="1" ref="AD4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1" s="526" cm="1">
        <f t="array" aca="1" ref="AE431" ca="1">IFERROR(COUNTIFS(
  unit_details[Property Name], INDIRECT("B"&amp;ROW()),
  unit_details[Floorplan Name], INDIRECT("C"&amp;ROW()),
  unit_details[Beds], INDIRECT("D"&amp;ROW()),
  unit_details[Detected Unit Amenities], "*"&amp;$AD$3&amp;"*",
  unit_details[Leased Date], "&gt;=" &amp; ($U$2 - $AF$3)
),0)</f>
        <v>0</v>
      </c>
      <c r="AF431" s="528" cm="1">
        <f t="array" aca="1" ref="AF431" ca="1">IFERROR(AVERAGEIFS(
  unit_details[Sqft],
  unit_details[Property Name], INDIRECT("B"&amp;ROW()),
  unit_details[Floorplan Name], INDIRECT("C"&amp;ROW()),
  unit_details[Beds], INDIRECT("D"&amp;ROW()),
  unit_details[Detected Unit Amenities], "&lt;&gt;*"&amp;$AD$3&amp;"*",
  unit_details[Leased Date], "&gt;=" &amp; ($U$2 - $AF$3)
),0)</f>
        <v>0</v>
      </c>
      <c r="AG431" s="527" cm="1">
        <f t="array" aca="1" ref="AG43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1" s="526" cm="1">
        <f t="array" aca="1" ref="AH431" ca="1">IFERROR(COUNTIFS(
  unit_details[Property Name], INDIRECT("B"&amp;ROW()),
  unit_details[Floorplan Name], INDIRECT("C"&amp;ROW()),
  unit_details[Beds], INDIRECT("D"&amp;ROW()),
  unit_details[Detected Unit Amenities], "&lt;&gt;*"&amp;$AD$3&amp;"*",
  unit_details[Leased Date], "&gt;=" &amp; ($U$2 - $AF$3)
),0)</f>
        <v>0</v>
      </c>
      <c r="AI431" s="528"/>
      <c r="AJ431" s="531">
        <f t="shared" ca="1" si="19"/>
        <v>0</v>
      </c>
      <c r="AK431" s="532">
        <f t="shared" ca="1" si="20"/>
        <v>0</v>
      </c>
    </row>
    <row r="432" spans="10:37" x14ac:dyDescent="0.2">
      <c r="J432" s="293"/>
      <c r="N432" s="531" t="str" cm="1">
        <f t="array" aca="1" ref="N43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2" s="552" t="str" cm="1">
        <f t="array" aca="1" ref="O43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2" s="526" cm="1">
        <f t="array" aca="1" ref="P432" ca="1">COUNTIFS(unit_details[Leased Date], "&gt;=" &amp; ($U$2 - N$5),
          unit_details[Leased Date], "&lt;" &amp; $U$2,
          unit_details[Floorplan Name], INDIRECT("C"&amp;ROW()),
          unit_details[Property Name], INDIRECT("B"&amp;ROW()))</f>
        <v>0</v>
      </c>
      <c r="Q432" s="531" t="str" cm="1">
        <f t="array" aca="1" ref="Q43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2" s="552" t="str" cm="1">
        <f t="array" aca="1" ref="R43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2" s="526" cm="1">
        <f t="array" aca="1" ref="S432" ca="1">COUNTIFS(unit_details[Leased Date], "&gt;=" &amp; ($U$2 - Q$5),
          unit_details[Leased Date], "&lt;" &amp; $U$2,
          unit_details[Floorplan Name], INDIRECT("C"&amp;ROW()),
          unit_details[Property Name], INDIRECT("B"&amp;ROW()))</f>
        <v>0</v>
      </c>
      <c r="T432" s="531" t="str" cm="1">
        <f t="array" aca="1" ref="T43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2" s="552" t="str" cm="1">
        <f t="array" aca="1" ref="U43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2" s="526" cm="1">
        <f t="array" aca="1" ref="V432" ca="1">COUNTIFS(unit_details[Leased Date], "&gt;=" &amp; ($U$2 - T$5),
          unit_details[Leased Date], "&lt;" &amp; $U$2,
          unit_details[Floorplan Name], INDIRECT("C"&amp;ROW()),
          unit_details[Property Name], INDIRECT("B"&amp;ROW()))</f>
        <v>0</v>
      </c>
      <c r="W432" s="531" t="str" cm="1">
        <f t="array" aca="1" ref="W43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2" s="552" t="str" cm="1">
        <f t="array" aca="1" ref="X43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2" s="27" t="str">
        <f t="shared" ca="1" si="18"/>
        <v/>
      </c>
      <c r="Z432" s="4" t="str">
        <f>IFERROR($U$2-AVERAGEIFS(unit_details[First Listed],
          unit_details[Active Listing?],TRUE,
          unit_details[Property Name], $B432,
          unit_details[Beds], $D432,
          unit_details[Baths], $E432,
          unit_details[Partial Baths], IF(ISNUMBER($F432),$F432,""),
          unit_details[Floorplan Name],$C432
),"")</f>
        <v/>
      </c>
      <c r="AA432" s="262" cm="1">
        <f t="array" aca="1" ref="AA432" ca="1">COUNTIFS(unit_details[Active Listing?],TRUE,
          unit_details[Floorplan Name], INDIRECT("C"&amp;ROW()),
          unit_details[Property Name], INDIRECT("B"&amp;ROW()))</f>
        <v>0</v>
      </c>
      <c r="AB432" s="553"/>
      <c r="AC432" s="528" cm="1">
        <f t="array" aca="1" ref="AC432" ca="1">IFERROR(AVERAGEIFS(
  unit_details[Sqft],
  unit_details[Property Name], INDIRECT("B"&amp;ROW()),
  unit_details[Floorplan Name], INDIRECT("C"&amp;ROW()),
  unit_details[Beds], INDIRECT("D"&amp;ROW()),
  unit_details[Detected Unit Amenities], "*"&amp;$AD$3&amp;"*",
  unit_details[Leased Date], "&gt;=" &amp; ($U$2 - $AF$3)
),0)</f>
        <v>0</v>
      </c>
      <c r="AD432" s="527" cm="1">
        <f t="array" aca="1" ref="AD4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2" s="526" cm="1">
        <f t="array" aca="1" ref="AE432" ca="1">IFERROR(COUNTIFS(
  unit_details[Property Name], INDIRECT("B"&amp;ROW()),
  unit_details[Floorplan Name], INDIRECT("C"&amp;ROW()),
  unit_details[Beds], INDIRECT("D"&amp;ROW()),
  unit_details[Detected Unit Amenities], "*"&amp;$AD$3&amp;"*",
  unit_details[Leased Date], "&gt;=" &amp; ($U$2 - $AF$3)
),0)</f>
        <v>0</v>
      </c>
      <c r="AF432" s="528" cm="1">
        <f t="array" aca="1" ref="AF432" ca="1">IFERROR(AVERAGEIFS(
  unit_details[Sqft],
  unit_details[Property Name], INDIRECT("B"&amp;ROW()),
  unit_details[Floorplan Name], INDIRECT("C"&amp;ROW()),
  unit_details[Beds], INDIRECT("D"&amp;ROW()),
  unit_details[Detected Unit Amenities], "&lt;&gt;*"&amp;$AD$3&amp;"*",
  unit_details[Leased Date], "&gt;=" &amp; ($U$2 - $AF$3)
),0)</f>
        <v>0</v>
      </c>
      <c r="AG432" s="527" cm="1">
        <f t="array" aca="1" ref="AG43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2" s="526" cm="1">
        <f t="array" aca="1" ref="AH432" ca="1">IFERROR(COUNTIFS(
  unit_details[Property Name], INDIRECT("B"&amp;ROW()),
  unit_details[Floorplan Name], INDIRECT("C"&amp;ROW()),
  unit_details[Beds], INDIRECT("D"&amp;ROW()),
  unit_details[Detected Unit Amenities], "&lt;&gt;*"&amp;$AD$3&amp;"*",
  unit_details[Leased Date], "&gt;=" &amp; ($U$2 - $AF$3)
),0)</f>
        <v>0</v>
      </c>
      <c r="AI432" s="528"/>
      <c r="AJ432" s="531">
        <f t="shared" ca="1" si="19"/>
        <v>0</v>
      </c>
      <c r="AK432" s="532">
        <f t="shared" ca="1" si="20"/>
        <v>0</v>
      </c>
    </row>
    <row r="433" spans="10:37" x14ac:dyDescent="0.2">
      <c r="J433" s="293"/>
      <c r="N433" s="531" t="str" cm="1">
        <f t="array" aca="1" ref="N43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3" s="552" t="str" cm="1">
        <f t="array" aca="1" ref="O43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3" s="526" cm="1">
        <f t="array" aca="1" ref="P433" ca="1">COUNTIFS(unit_details[Leased Date], "&gt;=" &amp; ($U$2 - N$5),
          unit_details[Leased Date], "&lt;" &amp; $U$2,
          unit_details[Floorplan Name], INDIRECT("C"&amp;ROW()),
          unit_details[Property Name], INDIRECT("B"&amp;ROW()))</f>
        <v>0</v>
      </c>
      <c r="Q433" s="531" t="str" cm="1">
        <f t="array" aca="1" ref="Q43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3" s="552" t="str" cm="1">
        <f t="array" aca="1" ref="R43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3" s="526" cm="1">
        <f t="array" aca="1" ref="S433" ca="1">COUNTIFS(unit_details[Leased Date], "&gt;=" &amp; ($U$2 - Q$5),
          unit_details[Leased Date], "&lt;" &amp; $U$2,
          unit_details[Floorplan Name], INDIRECT("C"&amp;ROW()),
          unit_details[Property Name], INDIRECT("B"&amp;ROW()))</f>
        <v>0</v>
      </c>
      <c r="T433" s="531" t="str" cm="1">
        <f t="array" aca="1" ref="T43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3" s="552" t="str" cm="1">
        <f t="array" aca="1" ref="U43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3" s="526" cm="1">
        <f t="array" aca="1" ref="V433" ca="1">COUNTIFS(unit_details[Leased Date], "&gt;=" &amp; ($U$2 - T$5),
          unit_details[Leased Date], "&lt;" &amp; $U$2,
          unit_details[Floorplan Name], INDIRECT("C"&amp;ROW()),
          unit_details[Property Name], INDIRECT("B"&amp;ROW()))</f>
        <v>0</v>
      </c>
      <c r="W433" s="531" t="str" cm="1">
        <f t="array" aca="1" ref="W43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3" s="552" t="str" cm="1">
        <f t="array" aca="1" ref="X43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3" s="27" t="str">
        <f t="shared" ca="1" si="18"/>
        <v/>
      </c>
      <c r="Z433" s="4" t="str">
        <f>IFERROR($U$2-AVERAGEIFS(unit_details[First Listed],
          unit_details[Active Listing?],TRUE,
          unit_details[Property Name], $B433,
          unit_details[Beds], $D433,
          unit_details[Baths], $E433,
          unit_details[Partial Baths], IF(ISNUMBER($F433),$F433,""),
          unit_details[Floorplan Name],$C433
),"")</f>
        <v/>
      </c>
      <c r="AA433" s="262" cm="1">
        <f t="array" aca="1" ref="AA433" ca="1">COUNTIFS(unit_details[Active Listing?],TRUE,
          unit_details[Floorplan Name], INDIRECT("C"&amp;ROW()),
          unit_details[Property Name], INDIRECT("B"&amp;ROW()))</f>
        <v>0</v>
      </c>
      <c r="AB433" s="553"/>
      <c r="AC433" s="528" cm="1">
        <f t="array" aca="1" ref="AC433" ca="1">IFERROR(AVERAGEIFS(
  unit_details[Sqft],
  unit_details[Property Name], INDIRECT("B"&amp;ROW()),
  unit_details[Floorplan Name], INDIRECT("C"&amp;ROW()),
  unit_details[Beds], INDIRECT("D"&amp;ROW()),
  unit_details[Detected Unit Amenities], "*"&amp;$AD$3&amp;"*",
  unit_details[Leased Date], "&gt;=" &amp; ($U$2 - $AF$3)
),0)</f>
        <v>0</v>
      </c>
      <c r="AD433" s="527" cm="1">
        <f t="array" aca="1" ref="AD4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3" s="526" cm="1">
        <f t="array" aca="1" ref="AE433" ca="1">IFERROR(COUNTIFS(
  unit_details[Property Name], INDIRECT("B"&amp;ROW()),
  unit_details[Floorplan Name], INDIRECT("C"&amp;ROW()),
  unit_details[Beds], INDIRECT("D"&amp;ROW()),
  unit_details[Detected Unit Amenities], "*"&amp;$AD$3&amp;"*",
  unit_details[Leased Date], "&gt;=" &amp; ($U$2 - $AF$3)
),0)</f>
        <v>0</v>
      </c>
      <c r="AF433" s="528" cm="1">
        <f t="array" aca="1" ref="AF433" ca="1">IFERROR(AVERAGEIFS(
  unit_details[Sqft],
  unit_details[Property Name], INDIRECT("B"&amp;ROW()),
  unit_details[Floorplan Name], INDIRECT("C"&amp;ROW()),
  unit_details[Beds], INDIRECT("D"&amp;ROW()),
  unit_details[Detected Unit Amenities], "&lt;&gt;*"&amp;$AD$3&amp;"*",
  unit_details[Leased Date], "&gt;=" &amp; ($U$2 - $AF$3)
),0)</f>
        <v>0</v>
      </c>
      <c r="AG433" s="527" cm="1">
        <f t="array" aca="1" ref="AG43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3" s="526" cm="1">
        <f t="array" aca="1" ref="AH433" ca="1">IFERROR(COUNTIFS(
  unit_details[Property Name], INDIRECT("B"&amp;ROW()),
  unit_details[Floorplan Name], INDIRECT("C"&amp;ROW()),
  unit_details[Beds], INDIRECT("D"&amp;ROW()),
  unit_details[Detected Unit Amenities], "&lt;&gt;*"&amp;$AD$3&amp;"*",
  unit_details[Leased Date], "&gt;=" &amp; ($U$2 - $AF$3)
),0)</f>
        <v>0</v>
      </c>
      <c r="AI433" s="528"/>
      <c r="AJ433" s="531">
        <f t="shared" ca="1" si="19"/>
        <v>0</v>
      </c>
      <c r="AK433" s="532">
        <f t="shared" ca="1" si="20"/>
        <v>0</v>
      </c>
    </row>
    <row r="434" spans="10:37" x14ac:dyDescent="0.2">
      <c r="J434" s="293"/>
      <c r="N434" s="531" t="str" cm="1">
        <f t="array" aca="1" ref="N43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4" s="552" t="str" cm="1">
        <f t="array" aca="1" ref="O43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4" s="526" cm="1">
        <f t="array" aca="1" ref="P434" ca="1">COUNTIFS(unit_details[Leased Date], "&gt;=" &amp; ($U$2 - N$5),
          unit_details[Leased Date], "&lt;" &amp; $U$2,
          unit_details[Floorplan Name], INDIRECT("C"&amp;ROW()),
          unit_details[Property Name], INDIRECT("B"&amp;ROW()))</f>
        <v>0</v>
      </c>
      <c r="Q434" s="531" t="str" cm="1">
        <f t="array" aca="1" ref="Q43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4" s="552" t="str" cm="1">
        <f t="array" aca="1" ref="R43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4" s="526" cm="1">
        <f t="array" aca="1" ref="S434" ca="1">COUNTIFS(unit_details[Leased Date], "&gt;=" &amp; ($U$2 - Q$5),
          unit_details[Leased Date], "&lt;" &amp; $U$2,
          unit_details[Floorplan Name], INDIRECT("C"&amp;ROW()),
          unit_details[Property Name], INDIRECT("B"&amp;ROW()))</f>
        <v>0</v>
      </c>
      <c r="T434" s="531" t="str" cm="1">
        <f t="array" aca="1" ref="T43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4" s="552" t="str" cm="1">
        <f t="array" aca="1" ref="U43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4" s="526" cm="1">
        <f t="array" aca="1" ref="V434" ca="1">COUNTIFS(unit_details[Leased Date], "&gt;=" &amp; ($U$2 - T$5),
          unit_details[Leased Date], "&lt;" &amp; $U$2,
          unit_details[Floorplan Name], INDIRECT("C"&amp;ROW()),
          unit_details[Property Name], INDIRECT("B"&amp;ROW()))</f>
        <v>0</v>
      </c>
      <c r="W434" s="531" t="str" cm="1">
        <f t="array" aca="1" ref="W43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4" s="552" t="str" cm="1">
        <f t="array" aca="1" ref="X43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4" s="27" t="str">
        <f t="shared" ca="1" si="18"/>
        <v/>
      </c>
      <c r="Z434" s="4" t="str">
        <f>IFERROR($U$2-AVERAGEIFS(unit_details[First Listed],
          unit_details[Active Listing?],TRUE,
          unit_details[Property Name], $B434,
          unit_details[Beds], $D434,
          unit_details[Baths], $E434,
          unit_details[Partial Baths], IF(ISNUMBER($F434),$F434,""),
          unit_details[Floorplan Name],$C434
),"")</f>
        <v/>
      </c>
      <c r="AA434" s="262" cm="1">
        <f t="array" aca="1" ref="AA434" ca="1">COUNTIFS(unit_details[Active Listing?],TRUE,
          unit_details[Floorplan Name], INDIRECT("C"&amp;ROW()),
          unit_details[Property Name], INDIRECT("B"&amp;ROW()))</f>
        <v>0</v>
      </c>
      <c r="AB434" s="553"/>
      <c r="AC434" s="528" cm="1">
        <f t="array" aca="1" ref="AC434" ca="1">IFERROR(AVERAGEIFS(
  unit_details[Sqft],
  unit_details[Property Name], INDIRECT("B"&amp;ROW()),
  unit_details[Floorplan Name], INDIRECT("C"&amp;ROW()),
  unit_details[Beds], INDIRECT("D"&amp;ROW()),
  unit_details[Detected Unit Amenities], "*"&amp;$AD$3&amp;"*",
  unit_details[Leased Date], "&gt;=" &amp; ($U$2 - $AF$3)
),0)</f>
        <v>0</v>
      </c>
      <c r="AD434" s="527" cm="1">
        <f t="array" aca="1" ref="AD4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4" s="526" cm="1">
        <f t="array" aca="1" ref="AE434" ca="1">IFERROR(COUNTIFS(
  unit_details[Property Name], INDIRECT("B"&amp;ROW()),
  unit_details[Floorplan Name], INDIRECT("C"&amp;ROW()),
  unit_details[Beds], INDIRECT("D"&amp;ROW()),
  unit_details[Detected Unit Amenities], "*"&amp;$AD$3&amp;"*",
  unit_details[Leased Date], "&gt;=" &amp; ($U$2 - $AF$3)
),0)</f>
        <v>0</v>
      </c>
      <c r="AF434" s="528" cm="1">
        <f t="array" aca="1" ref="AF434" ca="1">IFERROR(AVERAGEIFS(
  unit_details[Sqft],
  unit_details[Property Name], INDIRECT("B"&amp;ROW()),
  unit_details[Floorplan Name], INDIRECT("C"&amp;ROW()),
  unit_details[Beds], INDIRECT("D"&amp;ROW()),
  unit_details[Detected Unit Amenities], "&lt;&gt;*"&amp;$AD$3&amp;"*",
  unit_details[Leased Date], "&gt;=" &amp; ($U$2 - $AF$3)
),0)</f>
        <v>0</v>
      </c>
      <c r="AG434" s="527" cm="1">
        <f t="array" aca="1" ref="AG43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4" s="526" cm="1">
        <f t="array" aca="1" ref="AH434" ca="1">IFERROR(COUNTIFS(
  unit_details[Property Name], INDIRECT("B"&amp;ROW()),
  unit_details[Floorplan Name], INDIRECT("C"&amp;ROW()),
  unit_details[Beds], INDIRECT("D"&amp;ROW()),
  unit_details[Detected Unit Amenities], "&lt;&gt;*"&amp;$AD$3&amp;"*",
  unit_details[Leased Date], "&gt;=" &amp; ($U$2 - $AF$3)
),0)</f>
        <v>0</v>
      </c>
      <c r="AI434" s="528"/>
      <c r="AJ434" s="531">
        <f t="shared" ca="1" si="19"/>
        <v>0</v>
      </c>
      <c r="AK434" s="532">
        <f t="shared" ca="1" si="20"/>
        <v>0</v>
      </c>
    </row>
    <row r="435" spans="10:37" x14ac:dyDescent="0.2">
      <c r="J435" s="293"/>
      <c r="N435" s="531" t="str" cm="1">
        <f t="array" aca="1" ref="N43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5" s="552" t="str" cm="1">
        <f t="array" aca="1" ref="O43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5" s="526" cm="1">
        <f t="array" aca="1" ref="P435" ca="1">COUNTIFS(unit_details[Leased Date], "&gt;=" &amp; ($U$2 - N$5),
          unit_details[Leased Date], "&lt;" &amp; $U$2,
          unit_details[Floorplan Name], INDIRECT("C"&amp;ROW()),
          unit_details[Property Name], INDIRECT("B"&amp;ROW()))</f>
        <v>0</v>
      </c>
      <c r="Q435" s="531" t="str" cm="1">
        <f t="array" aca="1" ref="Q43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5" s="552" t="str" cm="1">
        <f t="array" aca="1" ref="R43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5" s="526" cm="1">
        <f t="array" aca="1" ref="S435" ca="1">COUNTIFS(unit_details[Leased Date], "&gt;=" &amp; ($U$2 - Q$5),
          unit_details[Leased Date], "&lt;" &amp; $U$2,
          unit_details[Floorplan Name], INDIRECT("C"&amp;ROW()),
          unit_details[Property Name], INDIRECT("B"&amp;ROW()))</f>
        <v>0</v>
      </c>
      <c r="T435" s="531" t="str" cm="1">
        <f t="array" aca="1" ref="T43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5" s="552" t="str" cm="1">
        <f t="array" aca="1" ref="U43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5" s="526" cm="1">
        <f t="array" aca="1" ref="V435" ca="1">COUNTIFS(unit_details[Leased Date], "&gt;=" &amp; ($U$2 - T$5),
          unit_details[Leased Date], "&lt;" &amp; $U$2,
          unit_details[Floorplan Name], INDIRECT("C"&amp;ROW()),
          unit_details[Property Name], INDIRECT("B"&amp;ROW()))</f>
        <v>0</v>
      </c>
      <c r="W435" s="531" t="str" cm="1">
        <f t="array" aca="1" ref="W43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5" s="552" t="str" cm="1">
        <f t="array" aca="1" ref="X43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5" s="27" t="str">
        <f t="shared" ca="1" si="18"/>
        <v/>
      </c>
      <c r="Z435" s="4" t="str">
        <f>IFERROR($U$2-AVERAGEIFS(unit_details[First Listed],
          unit_details[Active Listing?],TRUE,
          unit_details[Property Name], $B435,
          unit_details[Beds], $D435,
          unit_details[Baths], $E435,
          unit_details[Partial Baths], IF(ISNUMBER($F435),$F435,""),
          unit_details[Floorplan Name],$C435
),"")</f>
        <v/>
      </c>
      <c r="AA435" s="262" cm="1">
        <f t="array" aca="1" ref="AA435" ca="1">COUNTIFS(unit_details[Active Listing?],TRUE,
          unit_details[Floorplan Name], INDIRECT("C"&amp;ROW()),
          unit_details[Property Name], INDIRECT("B"&amp;ROW()))</f>
        <v>0</v>
      </c>
      <c r="AB435" s="553"/>
      <c r="AC435" s="528" cm="1">
        <f t="array" aca="1" ref="AC435" ca="1">IFERROR(AVERAGEIFS(
  unit_details[Sqft],
  unit_details[Property Name], INDIRECT("B"&amp;ROW()),
  unit_details[Floorplan Name], INDIRECT("C"&amp;ROW()),
  unit_details[Beds], INDIRECT("D"&amp;ROW()),
  unit_details[Detected Unit Amenities], "*"&amp;$AD$3&amp;"*",
  unit_details[Leased Date], "&gt;=" &amp; ($U$2 - $AF$3)
),0)</f>
        <v>0</v>
      </c>
      <c r="AD435" s="527" cm="1">
        <f t="array" aca="1" ref="AD4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5" s="526" cm="1">
        <f t="array" aca="1" ref="AE435" ca="1">IFERROR(COUNTIFS(
  unit_details[Property Name], INDIRECT("B"&amp;ROW()),
  unit_details[Floorplan Name], INDIRECT("C"&amp;ROW()),
  unit_details[Beds], INDIRECT("D"&amp;ROW()),
  unit_details[Detected Unit Amenities], "*"&amp;$AD$3&amp;"*",
  unit_details[Leased Date], "&gt;=" &amp; ($U$2 - $AF$3)
),0)</f>
        <v>0</v>
      </c>
      <c r="AF435" s="528" cm="1">
        <f t="array" aca="1" ref="AF435" ca="1">IFERROR(AVERAGEIFS(
  unit_details[Sqft],
  unit_details[Property Name], INDIRECT("B"&amp;ROW()),
  unit_details[Floorplan Name], INDIRECT("C"&amp;ROW()),
  unit_details[Beds], INDIRECT("D"&amp;ROW()),
  unit_details[Detected Unit Amenities], "&lt;&gt;*"&amp;$AD$3&amp;"*",
  unit_details[Leased Date], "&gt;=" &amp; ($U$2 - $AF$3)
),0)</f>
        <v>0</v>
      </c>
      <c r="AG435" s="527" cm="1">
        <f t="array" aca="1" ref="AG43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5" s="526" cm="1">
        <f t="array" aca="1" ref="AH435" ca="1">IFERROR(COUNTIFS(
  unit_details[Property Name], INDIRECT("B"&amp;ROW()),
  unit_details[Floorplan Name], INDIRECT("C"&amp;ROW()),
  unit_details[Beds], INDIRECT("D"&amp;ROW()),
  unit_details[Detected Unit Amenities], "&lt;&gt;*"&amp;$AD$3&amp;"*",
  unit_details[Leased Date], "&gt;=" &amp; ($U$2 - $AF$3)
),0)</f>
        <v>0</v>
      </c>
      <c r="AI435" s="528"/>
      <c r="AJ435" s="531">
        <f t="shared" ca="1" si="19"/>
        <v>0</v>
      </c>
      <c r="AK435" s="532">
        <f t="shared" ca="1" si="20"/>
        <v>0</v>
      </c>
    </row>
    <row r="436" spans="10:37" x14ac:dyDescent="0.2">
      <c r="J436" s="293"/>
      <c r="N436" s="531" t="str" cm="1">
        <f t="array" aca="1" ref="N43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6" s="552" t="str" cm="1">
        <f t="array" aca="1" ref="O43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6" s="526" cm="1">
        <f t="array" aca="1" ref="P436" ca="1">COUNTIFS(unit_details[Leased Date], "&gt;=" &amp; ($U$2 - N$5),
          unit_details[Leased Date], "&lt;" &amp; $U$2,
          unit_details[Floorplan Name], INDIRECT("C"&amp;ROW()),
          unit_details[Property Name], INDIRECT("B"&amp;ROW()))</f>
        <v>0</v>
      </c>
      <c r="Q436" s="531" t="str" cm="1">
        <f t="array" aca="1" ref="Q43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6" s="552" t="str" cm="1">
        <f t="array" aca="1" ref="R43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6" s="526" cm="1">
        <f t="array" aca="1" ref="S436" ca="1">COUNTIFS(unit_details[Leased Date], "&gt;=" &amp; ($U$2 - Q$5),
          unit_details[Leased Date], "&lt;" &amp; $U$2,
          unit_details[Floorplan Name], INDIRECT("C"&amp;ROW()),
          unit_details[Property Name], INDIRECT("B"&amp;ROW()))</f>
        <v>0</v>
      </c>
      <c r="T436" s="531" t="str" cm="1">
        <f t="array" aca="1" ref="T43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6" s="552" t="str" cm="1">
        <f t="array" aca="1" ref="U43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6" s="526" cm="1">
        <f t="array" aca="1" ref="V436" ca="1">COUNTIFS(unit_details[Leased Date], "&gt;=" &amp; ($U$2 - T$5),
          unit_details[Leased Date], "&lt;" &amp; $U$2,
          unit_details[Floorplan Name], INDIRECT("C"&amp;ROW()),
          unit_details[Property Name], INDIRECT("B"&amp;ROW()))</f>
        <v>0</v>
      </c>
      <c r="W436" s="531" t="str" cm="1">
        <f t="array" aca="1" ref="W43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6" s="552" t="str" cm="1">
        <f t="array" aca="1" ref="X43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6" s="27" t="str">
        <f t="shared" ca="1" si="18"/>
        <v/>
      </c>
      <c r="Z436" s="4" t="str">
        <f>IFERROR($U$2-AVERAGEIFS(unit_details[First Listed],
          unit_details[Active Listing?],TRUE,
          unit_details[Property Name], $B436,
          unit_details[Beds], $D436,
          unit_details[Baths], $E436,
          unit_details[Partial Baths], IF(ISNUMBER($F436),$F436,""),
          unit_details[Floorplan Name],$C436
),"")</f>
        <v/>
      </c>
      <c r="AA436" s="262" cm="1">
        <f t="array" aca="1" ref="AA436" ca="1">COUNTIFS(unit_details[Active Listing?],TRUE,
          unit_details[Floorplan Name], INDIRECT("C"&amp;ROW()),
          unit_details[Property Name], INDIRECT("B"&amp;ROW()))</f>
        <v>0</v>
      </c>
      <c r="AB436" s="553"/>
      <c r="AC436" s="528" cm="1">
        <f t="array" aca="1" ref="AC436" ca="1">IFERROR(AVERAGEIFS(
  unit_details[Sqft],
  unit_details[Property Name], INDIRECT("B"&amp;ROW()),
  unit_details[Floorplan Name], INDIRECT("C"&amp;ROW()),
  unit_details[Beds], INDIRECT("D"&amp;ROW()),
  unit_details[Detected Unit Amenities], "*"&amp;$AD$3&amp;"*",
  unit_details[Leased Date], "&gt;=" &amp; ($U$2 - $AF$3)
),0)</f>
        <v>0</v>
      </c>
      <c r="AD436" s="527" cm="1">
        <f t="array" aca="1" ref="AD4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6" s="526" cm="1">
        <f t="array" aca="1" ref="AE436" ca="1">IFERROR(COUNTIFS(
  unit_details[Property Name], INDIRECT("B"&amp;ROW()),
  unit_details[Floorplan Name], INDIRECT("C"&amp;ROW()),
  unit_details[Beds], INDIRECT("D"&amp;ROW()),
  unit_details[Detected Unit Amenities], "*"&amp;$AD$3&amp;"*",
  unit_details[Leased Date], "&gt;=" &amp; ($U$2 - $AF$3)
),0)</f>
        <v>0</v>
      </c>
      <c r="AF436" s="528" cm="1">
        <f t="array" aca="1" ref="AF436" ca="1">IFERROR(AVERAGEIFS(
  unit_details[Sqft],
  unit_details[Property Name], INDIRECT("B"&amp;ROW()),
  unit_details[Floorplan Name], INDIRECT("C"&amp;ROW()),
  unit_details[Beds], INDIRECT("D"&amp;ROW()),
  unit_details[Detected Unit Amenities], "&lt;&gt;*"&amp;$AD$3&amp;"*",
  unit_details[Leased Date], "&gt;=" &amp; ($U$2 - $AF$3)
),0)</f>
        <v>0</v>
      </c>
      <c r="AG436" s="527" cm="1">
        <f t="array" aca="1" ref="AG43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6" s="526" cm="1">
        <f t="array" aca="1" ref="AH436" ca="1">IFERROR(COUNTIFS(
  unit_details[Property Name], INDIRECT("B"&amp;ROW()),
  unit_details[Floorplan Name], INDIRECT("C"&amp;ROW()),
  unit_details[Beds], INDIRECT("D"&amp;ROW()),
  unit_details[Detected Unit Amenities], "&lt;&gt;*"&amp;$AD$3&amp;"*",
  unit_details[Leased Date], "&gt;=" &amp; ($U$2 - $AF$3)
),0)</f>
        <v>0</v>
      </c>
      <c r="AI436" s="528"/>
      <c r="AJ436" s="531">
        <f t="shared" ca="1" si="19"/>
        <v>0</v>
      </c>
      <c r="AK436" s="532">
        <f t="shared" ca="1" si="20"/>
        <v>0</v>
      </c>
    </row>
    <row r="437" spans="10:37" x14ac:dyDescent="0.2">
      <c r="J437" s="293"/>
      <c r="N437" s="531" t="str" cm="1">
        <f t="array" aca="1" ref="N43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7" s="552" t="str" cm="1">
        <f t="array" aca="1" ref="O43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7" s="526" cm="1">
        <f t="array" aca="1" ref="P437" ca="1">COUNTIFS(unit_details[Leased Date], "&gt;=" &amp; ($U$2 - N$5),
          unit_details[Leased Date], "&lt;" &amp; $U$2,
          unit_details[Floorplan Name], INDIRECT("C"&amp;ROW()),
          unit_details[Property Name], INDIRECT("B"&amp;ROW()))</f>
        <v>0</v>
      </c>
      <c r="Q437" s="531" t="str" cm="1">
        <f t="array" aca="1" ref="Q43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7" s="552" t="str" cm="1">
        <f t="array" aca="1" ref="R43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7" s="526" cm="1">
        <f t="array" aca="1" ref="S437" ca="1">COUNTIFS(unit_details[Leased Date], "&gt;=" &amp; ($U$2 - Q$5),
          unit_details[Leased Date], "&lt;" &amp; $U$2,
          unit_details[Floorplan Name], INDIRECT("C"&amp;ROW()),
          unit_details[Property Name], INDIRECT("B"&amp;ROW()))</f>
        <v>0</v>
      </c>
      <c r="T437" s="531" t="str" cm="1">
        <f t="array" aca="1" ref="T43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7" s="552" t="str" cm="1">
        <f t="array" aca="1" ref="U43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7" s="526" cm="1">
        <f t="array" aca="1" ref="V437" ca="1">COUNTIFS(unit_details[Leased Date], "&gt;=" &amp; ($U$2 - T$5),
          unit_details[Leased Date], "&lt;" &amp; $U$2,
          unit_details[Floorplan Name], INDIRECT("C"&amp;ROW()),
          unit_details[Property Name], INDIRECT("B"&amp;ROW()))</f>
        <v>0</v>
      </c>
      <c r="W437" s="531" t="str" cm="1">
        <f t="array" aca="1" ref="W43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7" s="552" t="str" cm="1">
        <f t="array" aca="1" ref="X43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7" s="27" t="str">
        <f t="shared" ca="1" si="18"/>
        <v/>
      </c>
      <c r="Z437" s="4" t="str">
        <f>IFERROR($U$2-AVERAGEIFS(unit_details[First Listed],
          unit_details[Active Listing?],TRUE,
          unit_details[Property Name], $B437,
          unit_details[Beds], $D437,
          unit_details[Baths], $E437,
          unit_details[Partial Baths], IF(ISNUMBER($F437),$F437,""),
          unit_details[Floorplan Name],$C437
),"")</f>
        <v/>
      </c>
      <c r="AA437" s="262" cm="1">
        <f t="array" aca="1" ref="AA437" ca="1">COUNTIFS(unit_details[Active Listing?],TRUE,
          unit_details[Floorplan Name], INDIRECT("C"&amp;ROW()),
          unit_details[Property Name], INDIRECT("B"&amp;ROW()))</f>
        <v>0</v>
      </c>
      <c r="AB437" s="553"/>
      <c r="AC437" s="528" cm="1">
        <f t="array" aca="1" ref="AC437" ca="1">IFERROR(AVERAGEIFS(
  unit_details[Sqft],
  unit_details[Property Name], INDIRECT("B"&amp;ROW()),
  unit_details[Floorplan Name], INDIRECT("C"&amp;ROW()),
  unit_details[Beds], INDIRECT("D"&amp;ROW()),
  unit_details[Detected Unit Amenities], "*"&amp;$AD$3&amp;"*",
  unit_details[Leased Date], "&gt;=" &amp; ($U$2 - $AF$3)
),0)</f>
        <v>0</v>
      </c>
      <c r="AD437" s="527" cm="1">
        <f t="array" aca="1" ref="AD4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7" s="526" cm="1">
        <f t="array" aca="1" ref="AE437" ca="1">IFERROR(COUNTIFS(
  unit_details[Property Name], INDIRECT("B"&amp;ROW()),
  unit_details[Floorplan Name], INDIRECT("C"&amp;ROW()),
  unit_details[Beds], INDIRECT("D"&amp;ROW()),
  unit_details[Detected Unit Amenities], "*"&amp;$AD$3&amp;"*",
  unit_details[Leased Date], "&gt;=" &amp; ($U$2 - $AF$3)
),0)</f>
        <v>0</v>
      </c>
      <c r="AF437" s="528" cm="1">
        <f t="array" aca="1" ref="AF437" ca="1">IFERROR(AVERAGEIFS(
  unit_details[Sqft],
  unit_details[Property Name], INDIRECT("B"&amp;ROW()),
  unit_details[Floorplan Name], INDIRECT("C"&amp;ROW()),
  unit_details[Beds], INDIRECT("D"&amp;ROW()),
  unit_details[Detected Unit Amenities], "&lt;&gt;*"&amp;$AD$3&amp;"*",
  unit_details[Leased Date], "&gt;=" &amp; ($U$2 - $AF$3)
),0)</f>
        <v>0</v>
      </c>
      <c r="AG437" s="527" cm="1">
        <f t="array" aca="1" ref="AG43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7" s="526" cm="1">
        <f t="array" aca="1" ref="AH437" ca="1">IFERROR(COUNTIFS(
  unit_details[Property Name], INDIRECT("B"&amp;ROW()),
  unit_details[Floorplan Name], INDIRECT("C"&amp;ROW()),
  unit_details[Beds], INDIRECT("D"&amp;ROW()),
  unit_details[Detected Unit Amenities], "&lt;&gt;*"&amp;$AD$3&amp;"*",
  unit_details[Leased Date], "&gt;=" &amp; ($U$2 - $AF$3)
),0)</f>
        <v>0</v>
      </c>
      <c r="AI437" s="528"/>
      <c r="AJ437" s="531">
        <f t="shared" ca="1" si="19"/>
        <v>0</v>
      </c>
      <c r="AK437" s="532">
        <f t="shared" ca="1" si="20"/>
        <v>0</v>
      </c>
    </row>
    <row r="438" spans="10:37" x14ac:dyDescent="0.2">
      <c r="J438" s="293"/>
      <c r="N438" s="531" t="str" cm="1">
        <f t="array" aca="1" ref="N43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8" s="552" t="str" cm="1">
        <f t="array" aca="1" ref="O43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8" s="526" cm="1">
        <f t="array" aca="1" ref="P438" ca="1">COUNTIFS(unit_details[Leased Date], "&gt;=" &amp; ($U$2 - N$5),
          unit_details[Leased Date], "&lt;" &amp; $U$2,
          unit_details[Floorplan Name], INDIRECT("C"&amp;ROW()),
          unit_details[Property Name], INDIRECT("B"&amp;ROW()))</f>
        <v>0</v>
      </c>
      <c r="Q438" s="531" t="str" cm="1">
        <f t="array" aca="1" ref="Q43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8" s="552" t="str" cm="1">
        <f t="array" aca="1" ref="R43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8" s="526" cm="1">
        <f t="array" aca="1" ref="S438" ca="1">COUNTIFS(unit_details[Leased Date], "&gt;=" &amp; ($U$2 - Q$5),
          unit_details[Leased Date], "&lt;" &amp; $U$2,
          unit_details[Floorplan Name], INDIRECT("C"&amp;ROW()),
          unit_details[Property Name], INDIRECT("B"&amp;ROW()))</f>
        <v>0</v>
      </c>
      <c r="T438" s="531" t="str" cm="1">
        <f t="array" aca="1" ref="T43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8" s="552" t="str" cm="1">
        <f t="array" aca="1" ref="U43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8" s="526" cm="1">
        <f t="array" aca="1" ref="V438" ca="1">COUNTIFS(unit_details[Leased Date], "&gt;=" &amp; ($U$2 - T$5),
          unit_details[Leased Date], "&lt;" &amp; $U$2,
          unit_details[Floorplan Name], INDIRECT("C"&amp;ROW()),
          unit_details[Property Name], INDIRECT("B"&amp;ROW()))</f>
        <v>0</v>
      </c>
      <c r="W438" s="531" t="str" cm="1">
        <f t="array" aca="1" ref="W43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8" s="552" t="str" cm="1">
        <f t="array" aca="1" ref="X43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8" s="27" t="str">
        <f t="shared" ca="1" si="18"/>
        <v/>
      </c>
      <c r="Z438" s="4" t="str">
        <f>IFERROR($U$2-AVERAGEIFS(unit_details[First Listed],
          unit_details[Active Listing?],TRUE,
          unit_details[Property Name], $B438,
          unit_details[Beds], $D438,
          unit_details[Baths], $E438,
          unit_details[Partial Baths], IF(ISNUMBER($F438),$F438,""),
          unit_details[Floorplan Name],$C438
),"")</f>
        <v/>
      </c>
      <c r="AA438" s="262" cm="1">
        <f t="array" aca="1" ref="AA438" ca="1">COUNTIFS(unit_details[Active Listing?],TRUE,
          unit_details[Floorplan Name], INDIRECT("C"&amp;ROW()),
          unit_details[Property Name], INDIRECT("B"&amp;ROW()))</f>
        <v>0</v>
      </c>
      <c r="AB438" s="553"/>
      <c r="AC438" s="528" cm="1">
        <f t="array" aca="1" ref="AC438" ca="1">IFERROR(AVERAGEIFS(
  unit_details[Sqft],
  unit_details[Property Name], INDIRECT("B"&amp;ROW()),
  unit_details[Floorplan Name], INDIRECT("C"&amp;ROW()),
  unit_details[Beds], INDIRECT("D"&amp;ROW()),
  unit_details[Detected Unit Amenities], "*"&amp;$AD$3&amp;"*",
  unit_details[Leased Date], "&gt;=" &amp; ($U$2 - $AF$3)
),0)</f>
        <v>0</v>
      </c>
      <c r="AD438" s="527" cm="1">
        <f t="array" aca="1" ref="AD4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8" s="526" cm="1">
        <f t="array" aca="1" ref="AE438" ca="1">IFERROR(COUNTIFS(
  unit_details[Property Name], INDIRECT("B"&amp;ROW()),
  unit_details[Floorplan Name], INDIRECT("C"&amp;ROW()),
  unit_details[Beds], INDIRECT("D"&amp;ROW()),
  unit_details[Detected Unit Amenities], "*"&amp;$AD$3&amp;"*",
  unit_details[Leased Date], "&gt;=" &amp; ($U$2 - $AF$3)
),0)</f>
        <v>0</v>
      </c>
      <c r="AF438" s="528" cm="1">
        <f t="array" aca="1" ref="AF438" ca="1">IFERROR(AVERAGEIFS(
  unit_details[Sqft],
  unit_details[Property Name], INDIRECT("B"&amp;ROW()),
  unit_details[Floorplan Name], INDIRECT("C"&amp;ROW()),
  unit_details[Beds], INDIRECT("D"&amp;ROW()),
  unit_details[Detected Unit Amenities], "&lt;&gt;*"&amp;$AD$3&amp;"*",
  unit_details[Leased Date], "&gt;=" &amp; ($U$2 - $AF$3)
),0)</f>
        <v>0</v>
      </c>
      <c r="AG438" s="527" cm="1">
        <f t="array" aca="1" ref="AG43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8" s="526" cm="1">
        <f t="array" aca="1" ref="AH438" ca="1">IFERROR(COUNTIFS(
  unit_details[Property Name], INDIRECT("B"&amp;ROW()),
  unit_details[Floorplan Name], INDIRECT("C"&amp;ROW()),
  unit_details[Beds], INDIRECT("D"&amp;ROW()),
  unit_details[Detected Unit Amenities], "&lt;&gt;*"&amp;$AD$3&amp;"*",
  unit_details[Leased Date], "&gt;=" &amp; ($U$2 - $AF$3)
),0)</f>
        <v>0</v>
      </c>
      <c r="AI438" s="528"/>
      <c r="AJ438" s="531">
        <f t="shared" ca="1" si="19"/>
        <v>0</v>
      </c>
      <c r="AK438" s="532">
        <f t="shared" ca="1" si="20"/>
        <v>0</v>
      </c>
    </row>
    <row r="439" spans="10:37" x14ac:dyDescent="0.2">
      <c r="J439" s="293"/>
      <c r="N439" s="531" t="str" cm="1">
        <f t="array" aca="1" ref="N43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39" s="552" t="str" cm="1">
        <f t="array" aca="1" ref="O43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39" s="526" cm="1">
        <f t="array" aca="1" ref="P439" ca="1">COUNTIFS(unit_details[Leased Date], "&gt;=" &amp; ($U$2 - N$5),
          unit_details[Leased Date], "&lt;" &amp; $U$2,
          unit_details[Floorplan Name], INDIRECT("C"&amp;ROW()),
          unit_details[Property Name], INDIRECT("B"&amp;ROW()))</f>
        <v>0</v>
      </c>
      <c r="Q439" s="531" t="str" cm="1">
        <f t="array" aca="1" ref="Q43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39" s="552" t="str" cm="1">
        <f t="array" aca="1" ref="R43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39" s="526" cm="1">
        <f t="array" aca="1" ref="S439" ca="1">COUNTIFS(unit_details[Leased Date], "&gt;=" &amp; ($U$2 - Q$5),
          unit_details[Leased Date], "&lt;" &amp; $U$2,
          unit_details[Floorplan Name], INDIRECT("C"&amp;ROW()),
          unit_details[Property Name], INDIRECT("B"&amp;ROW()))</f>
        <v>0</v>
      </c>
      <c r="T439" s="531" t="str" cm="1">
        <f t="array" aca="1" ref="T43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39" s="552" t="str" cm="1">
        <f t="array" aca="1" ref="U43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39" s="526" cm="1">
        <f t="array" aca="1" ref="V439" ca="1">COUNTIFS(unit_details[Leased Date], "&gt;=" &amp; ($U$2 - T$5),
          unit_details[Leased Date], "&lt;" &amp; $U$2,
          unit_details[Floorplan Name], INDIRECT("C"&amp;ROW()),
          unit_details[Property Name], INDIRECT("B"&amp;ROW()))</f>
        <v>0</v>
      </c>
      <c r="W439" s="531" t="str" cm="1">
        <f t="array" aca="1" ref="W43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39" s="552" t="str" cm="1">
        <f t="array" aca="1" ref="X43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39" s="27" t="str">
        <f t="shared" ca="1" si="18"/>
        <v/>
      </c>
      <c r="Z439" s="4" t="str">
        <f>IFERROR($U$2-AVERAGEIFS(unit_details[First Listed],
          unit_details[Active Listing?],TRUE,
          unit_details[Property Name], $B439,
          unit_details[Beds], $D439,
          unit_details[Baths], $E439,
          unit_details[Partial Baths], IF(ISNUMBER($F439),$F439,""),
          unit_details[Floorplan Name],$C439
),"")</f>
        <v/>
      </c>
      <c r="AA439" s="262" cm="1">
        <f t="array" aca="1" ref="AA439" ca="1">COUNTIFS(unit_details[Active Listing?],TRUE,
          unit_details[Floorplan Name], INDIRECT("C"&amp;ROW()),
          unit_details[Property Name], INDIRECT("B"&amp;ROW()))</f>
        <v>0</v>
      </c>
      <c r="AB439" s="553"/>
      <c r="AC439" s="528" cm="1">
        <f t="array" aca="1" ref="AC439" ca="1">IFERROR(AVERAGEIFS(
  unit_details[Sqft],
  unit_details[Property Name], INDIRECT("B"&amp;ROW()),
  unit_details[Floorplan Name], INDIRECT("C"&amp;ROW()),
  unit_details[Beds], INDIRECT("D"&amp;ROW()),
  unit_details[Detected Unit Amenities], "*"&amp;$AD$3&amp;"*",
  unit_details[Leased Date], "&gt;=" &amp; ($U$2 - $AF$3)
),0)</f>
        <v>0</v>
      </c>
      <c r="AD439" s="527" cm="1">
        <f t="array" aca="1" ref="AD4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39" s="526" cm="1">
        <f t="array" aca="1" ref="AE439" ca="1">IFERROR(COUNTIFS(
  unit_details[Property Name], INDIRECT("B"&amp;ROW()),
  unit_details[Floorplan Name], INDIRECT("C"&amp;ROW()),
  unit_details[Beds], INDIRECT("D"&amp;ROW()),
  unit_details[Detected Unit Amenities], "*"&amp;$AD$3&amp;"*",
  unit_details[Leased Date], "&gt;=" &amp; ($U$2 - $AF$3)
),0)</f>
        <v>0</v>
      </c>
      <c r="AF439" s="528" cm="1">
        <f t="array" aca="1" ref="AF439" ca="1">IFERROR(AVERAGEIFS(
  unit_details[Sqft],
  unit_details[Property Name], INDIRECT("B"&amp;ROW()),
  unit_details[Floorplan Name], INDIRECT("C"&amp;ROW()),
  unit_details[Beds], INDIRECT("D"&amp;ROW()),
  unit_details[Detected Unit Amenities], "&lt;&gt;*"&amp;$AD$3&amp;"*",
  unit_details[Leased Date], "&gt;=" &amp; ($U$2 - $AF$3)
),0)</f>
        <v>0</v>
      </c>
      <c r="AG439" s="527" cm="1">
        <f t="array" aca="1" ref="AG43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39" s="526" cm="1">
        <f t="array" aca="1" ref="AH439" ca="1">IFERROR(COUNTIFS(
  unit_details[Property Name], INDIRECT("B"&amp;ROW()),
  unit_details[Floorplan Name], INDIRECT("C"&amp;ROW()),
  unit_details[Beds], INDIRECT("D"&amp;ROW()),
  unit_details[Detected Unit Amenities], "&lt;&gt;*"&amp;$AD$3&amp;"*",
  unit_details[Leased Date], "&gt;=" &amp; ($U$2 - $AF$3)
),0)</f>
        <v>0</v>
      </c>
      <c r="AI439" s="528"/>
      <c r="AJ439" s="531">
        <f t="shared" ca="1" si="19"/>
        <v>0</v>
      </c>
      <c r="AK439" s="532">
        <f t="shared" ca="1" si="20"/>
        <v>0</v>
      </c>
    </row>
    <row r="440" spans="10:37" x14ac:dyDescent="0.2">
      <c r="J440" s="293"/>
      <c r="N440" s="531" t="str" cm="1">
        <f t="array" aca="1" ref="N44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0" s="552" t="str" cm="1">
        <f t="array" aca="1" ref="O44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0" s="526" cm="1">
        <f t="array" aca="1" ref="P440" ca="1">COUNTIFS(unit_details[Leased Date], "&gt;=" &amp; ($U$2 - N$5),
          unit_details[Leased Date], "&lt;" &amp; $U$2,
          unit_details[Floorplan Name], INDIRECT("C"&amp;ROW()),
          unit_details[Property Name], INDIRECT("B"&amp;ROW()))</f>
        <v>0</v>
      </c>
      <c r="Q440" s="531" t="str" cm="1">
        <f t="array" aca="1" ref="Q44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0" s="552" t="str" cm="1">
        <f t="array" aca="1" ref="R44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0" s="526" cm="1">
        <f t="array" aca="1" ref="S440" ca="1">COUNTIFS(unit_details[Leased Date], "&gt;=" &amp; ($U$2 - Q$5),
          unit_details[Leased Date], "&lt;" &amp; $U$2,
          unit_details[Floorplan Name], INDIRECT("C"&amp;ROW()),
          unit_details[Property Name], INDIRECT("B"&amp;ROW()))</f>
        <v>0</v>
      </c>
      <c r="T440" s="531" t="str" cm="1">
        <f t="array" aca="1" ref="T44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0" s="552" t="str" cm="1">
        <f t="array" aca="1" ref="U44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0" s="526" cm="1">
        <f t="array" aca="1" ref="V440" ca="1">COUNTIFS(unit_details[Leased Date], "&gt;=" &amp; ($U$2 - T$5),
          unit_details[Leased Date], "&lt;" &amp; $U$2,
          unit_details[Floorplan Name], INDIRECT("C"&amp;ROW()),
          unit_details[Property Name], INDIRECT("B"&amp;ROW()))</f>
        <v>0</v>
      </c>
      <c r="W440" s="531" t="str" cm="1">
        <f t="array" aca="1" ref="W44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0" s="552" t="str" cm="1">
        <f t="array" aca="1" ref="X44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0" s="27" t="str">
        <f t="shared" ca="1" si="18"/>
        <v/>
      </c>
      <c r="Z440" s="4" t="str">
        <f>IFERROR($U$2-AVERAGEIFS(unit_details[First Listed],
          unit_details[Active Listing?],TRUE,
          unit_details[Property Name], $B440,
          unit_details[Beds], $D440,
          unit_details[Baths], $E440,
          unit_details[Partial Baths], IF(ISNUMBER($F440),$F440,""),
          unit_details[Floorplan Name],$C440
),"")</f>
        <v/>
      </c>
      <c r="AA440" s="262" cm="1">
        <f t="array" aca="1" ref="AA440" ca="1">COUNTIFS(unit_details[Active Listing?],TRUE,
          unit_details[Floorplan Name], INDIRECT("C"&amp;ROW()),
          unit_details[Property Name], INDIRECT("B"&amp;ROW()))</f>
        <v>0</v>
      </c>
      <c r="AB440" s="553"/>
      <c r="AC440" s="528" cm="1">
        <f t="array" aca="1" ref="AC440" ca="1">IFERROR(AVERAGEIFS(
  unit_details[Sqft],
  unit_details[Property Name], INDIRECT("B"&amp;ROW()),
  unit_details[Floorplan Name], INDIRECT("C"&amp;ROW()),
  unit_details[Beds], INDIRECT("D"&amp;ROW()),
  unit_details[Detected Unit Amenities], "*"&amp;$AD$3&amp;"*",
  unit_details[Leased Date], "&gt;=" &amp; ($U$2 - $AF$3)
),0)</f>
        <v>0</v>
      </c>
      <c r="AD440" s="527" cm="1">
        <f t="array" aca="1" ref="AD4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0" s="526" cm="1">
        <f t="array" aca="1" ref="AE440" ca="1">IFERROR(COUNTIFS(
  unit_details[Property Name], INDIRECT("B"&amp;ROW()),
  unit_details[Floorplan Name], INDIRECT("C"&amp;ROW()),
  unit_details[Beds], INDIRECT("D"&amp;ROW()),
  unit_details[Detected Unit Amenities], "*"&amp;$AD$3&amp;"*",
  unit_details[Leased Date], "&gt;=" &amp; ($U$2 - $AF$3)
),0)</f>
        <v>0</v>
      </c>
      <c r="AF440" s="528" cm="1">
        <f t="array" aca="1" ref="AF440" ca="1">IFERROR(AVERAGEIFS(
  unit_details[Sqft],
  unit_details[Property Name], INDIRECT("B"&amp;ROW()),
  unit_details[Floorplan Name], INDIRECT("C"&amp;ROW()),
  unit_details[Beds], INDIRECT("D"&amp;ROW()),
  unit_details[Detected Unit Amenities], "&lt;&gt;*"&amp;$AD$3&amp;"*",
  unit_details[Leased Date], "&gt;=" &amp; ($U$2 - $AF$3)
),0)</f>
        <v>0</v>
      </c>
      <c r="AG440" s="527" cm="1">
        <f t="array" aca="1" ref="AG44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0" s="526" cm="1">
        <f t="array" aca="1" ref="AH440" ca="1">IFERROR(COUNTIFS(
  unit_details[Property Name], INDIRECT("B"&amp;ROW()),
  unit_details[Floorplan Name], INDIRECT("C"&amp;ROW()),
  unit_details[Beds], INDIRECT("D"&amp;ROW()),
  unit_details[Detected Unit Amenities], "&lt;&gt;*"&amp;$AD$3&amp;"*",
  unit_details[Leased Date], "&gt;=" &amp; ($U$2 - $AF$3)
),0)</f>
        <v>0</v>
      </c>
      <c r="AI440" s="528"/>
      <c r="AJ440" s="531">
        <f t="shared" ca="1" si="19"/>
        <v>0</v>
      </c>
      <c r="AK440" s="532">
        <f t="shared" ca="1" si="20"/>
        <v>0</v>
      </c>
    </row>
    <row r="441" spans="10:37" x14ac:dyDescent="0.2">
      <c r="J441" s="293"/>
      <c r="N441" s="531" t="str" cm="1">
        <f t="array" aca="1" ref="N44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1" s="552" t="str" cm="1">
        <f t="array" aca="1" ref="O44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1" s="526" cm="1">
        <f t="array" aca="1" ref="P441" ca="1">COUNTIFS(unit_details[Leased Date], "&gt;=" &amp; ($U$2 - N$5),
          unit_details[Leased Date], "&lt;" &amp; $U$2,
          unit_details[Floorplan Name], INDIRECT("C"&amp;ROW()),
          unit_details[Property Name], INDIRECT("B"&amp;ROW()))</f>
        <v>0</v>
      </c>
      <c r="Q441" s="531" t="str" cm="1">
        <f t="array" aca="1" ref="Q44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1" s="552" t="str" cm="1">
        <f t="array" aca="1" ref="R44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1" s="526" cm="1">
        <f t="array" aca="1" ref="S441" ca="1">COUNTIFS(unit_details[Leased Date], "&gt;=" &amp; ($U$2 - Q$5),
          unit_details[Leased Date], "&lt;" &amp; $U$2,
          unit_details[Floorplan Name], INDIRECT("C"&amp;ROW()),
          unit_details[Property Name], INDIRECT("B"&amp;ROW()))</f>
        <v>0</v>
      </c>
      <c r="T441" s="531" t="str" cm="1">
        <f t="array" aca="1" ref="T44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1" s="552" t="str" cm="1">
        <f t="array" aca="1" ref="U44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1" s="526" cm="1">
        <f t="array" aca="1" ref="V441" ca="1">COUNTIFS(unit_details[Leased Date], "&gt;=" &amp; ($U$2 - T$5),
          unit_details[Leased Date], "&lt;" &amp; $U$2,
          unit_details[Floorplan Name], INDIRECT("C"&amp;ROW()),
          unit_details[Property Name], INDIRECT("B"&amp;ROW()))</f>
        <v>0</v>
      </c>
      <c r="W441" s="531" t="str" cm="1">
        <f t="array" aca="1" ref="W44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1" s="552" t="str" cm="1">
        <f t="array" aca="1" ref="X44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1" s="27" t="str">
        <f t="shared" ca="1" si="18"/>
        <v/>
      </c>
      <c r="Z441" s="4" t="str">
        <f>IFERROR($U$2-AVERAGEIFS(unit_details[First Listed],
          unit_details[Active Listing?],TRUE,
          unit_details[Property Name], $B441,
          unit_details[Beds], $D441,
          unit_details[Baths], $E441,
          unit_details[Partial Baths], IF(ISNUMBER($F441),$F441,""),
          unit_details[Floorplan Name],$C441
),"")</f>
        <v/>
      </c>
      <c r="AA441" s="262" cm="1">
        <f t="array" aca="1" ref="AA441" ca="1">COUNTIFS(unit_details[Active Listing?],TRUE,
          unit_details[Floorplan Name], INDIRECT("C"&amp;ROW()),
          unit_details[Property Name], INDIRECT("B"&amp;ROW()))</f>
        <v>0</v>
      </c>
      <c r="AB441" s="553"/>
      <c r="AC441" s="528" cm="1">
        <f t="array" aca="1" ref="AC441" ca="1">IFERROR(AVERAGEIFS(
  unit_details[Sqft],
  unit_details[Property Name], INDIRECT("B"&amp;ROW()),
  unit_details[Floorplan Name], INDIRECT("C"&amp;ROW()),
  unit_details[Beds], INDIRECT("D"&amp;ROW()),
  unit_details[Detected Unit Amenities], "*"&amp;$AD$3&amp;"*",
  unit_details[Leased Date], "&gt;=" &amp; ($U$2 - $AF$3)
),0)</f>
        <v>0</v>
      </c>
      <c r="AD441" s="527" cm="1">
        <f t="array" aca="1" ref="AD4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1" s="526" cm="1">
        <f t="array" aca="1" ref="AE441" ca="1">IFERROR(COUNTIFS(
  unit_details[Property Name], INDIRECT("B"&amp;ROW()),
  unit_details[Floorplan Name], INDIRECT("C"&amp;ROW()),
  unit_details[Beds], INDIRECT("D"&amp;ROW()),
  unit_details[Detected Unit Amenities], "*"&amp;$AD$3&amp;"*",
  unit_details[Leased Date], "&gt;=" &amp; ($U$2 - $AF$3)
),0)</f>
        <v>0</v>
      </c>
      <c r="AF441" s="528" cm="1">
        <f t="array" aca="1" ref="AF441" ca="1">IFERROR(AVERAGEIFS(
  unit_details[Sqft],
  unit_details[Property Name], INDIRECT("B"&amp;ROW()),
  unit_details[Floorplan Name], INDIRECT("C"&amp;ROW()),
  unit_details[Beds], INDIRECT("D"&amp;ROW()),
  unit_details[Detected Unit Amenities], "&lt;&gt;*"&amp;$AD$3&amp;"*",
  unit_details[Leased Date], "&gt;=" &amp; ($U$2 - $AF$3)
),0)</f>
        <v>0</v>
      </c>
      <c r="AG441" s="527" cm="1">
        <f t="array" aca="1" ref="AG44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1" s="526" cm="1">
        <f t="array" aca="1" ref="AH441" ca="1">IFERROR(COUNTIFS(
  unit_details[Property Name], INDIRECT("B"&amp;ROW()),
  unit_details[Floorplan Name], INDIRECT("C"&amp;ROW()),
  unit_details[Beds], INDIRECT("D"&amp;ROW()),
  unit_details[Detected Unit Amenities], "&lt;&gt;*"&amp;$AD$3&amp;"*",
  unit_details[Leased Date], "&gt;=" &amp; ($U$2 - $AF$3)
),0)</f>
        <v>0</v>
      </c>
      <c r="AI441" s="528"/>
      <c r="AJ441" s="531">
        <f t="shared" ca="1" si="19"/>
        <v>0</v>
      </c>
      <c r="AK441" s="532">
        <f t="shared" ca="1" si="20"/>
        <v>0</v>
      </c>
    </row>
    <row r="442" spans="10:37" x14ac:dyDescent="0.2">
      <c r="J442" s="293"/>
      <c r="N442" s="531" t="str" cm="1">
        <f t="array" aca="1" ref="N44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2" s="552" t="str" cm="1">
        <f t="array" aca="1" ref="O44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2" s="526" cm="1">
        <f t="array" aca="1" ref="P442" ca="1">COUNTIFS(unit_details[Leased Date], "&gt;=" &amp; ($U$2 - N$5),
          unit_details[Leased Date], "&lt;" &amp; $U$2,
          unit_details[Floorplan Name], INDIRECT("C"&amp;ROW()),
          unit_details[Property Name], INDIRECT("B"&amp;ROW()))</f>
        <v>0</v>
      </c>
      <c r="Q442" s="531" t="str" cm="1">
        <f t="array" aca="1" ref="Q44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2" s="552" t="str" cm="1">
        <f t="array" aca="1" ref="R44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2" s="526" cm="1">
        <f t="array" aca="1" ref="S442" ca="1">COUNTIFS(unit_details[Leased Date], "&gt;=" &amp; ($U$2 - Q$5),
          unit_details[Leased Date], "&lt;" &amp; $U$2,
          unit_details[Floorplan Name], INDIRECT("C"&amp;ROW()),
          unit_details[Property Name], INDIRECT("B"&amp;ROW()))</f>
        <v>0</v>
      </c>
      <c r="T442" s="531" t="str" cm="1">
        <f t="array" aca="1" ref="T44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2" s="552" t="str" cm="1">
        <f t="array" aca="1" ref="U44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2" s="526" cm="1">
        <f t="array" aca="1" ref="V442" ca="1">COUNTIFS(unit_details[Leased Date], "&gt;=" &amp; ($U$2 - T$5),
          unit_details[Leased Date], "&lt;" &amp; $U$2,
          unit_details[Floorplan Name], INDIRECT("C"&amp;ROW()),
          unit_details[Property Name], INDIRECT("B"&amp;ROW()))</f>
        <v>0</v>
      </c>
      <c r="W442" s="531" t="str" cm="1">
        <f t="array" aca="1" ref="W44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2" s="552" t="str" cm="1">
        <f t="array" aca="1" ref="X44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2" s="27" t="str">
        <f t="shared" ca="1" si="18"/>
        <v/>
      </c>
      <c r="Z442" s="4" t="str">
        <f>IFERROR($U$2-AVERAGEIFS(unit_details[First Listed],
          unit_details[Active Listing?],TRUE,
          unit_details[Property Name], $B442,
          unit_details[Beds], $D442,
          unit_details[Baths], $E442,
          unit_details[Partial Baths], IF(ISNUMBER($F442),$F442,""),
          unit_details[Floorplan Name],$C442
),"")</f>
        <v/>
      </c>
      <c r="AA442" s="262" cm="1">
        <f t="array" aca="1" ref="AA442" ca="1">COUNTIFS(unit_details[Active Listing?],TRUE,
          unit_details[Floorplan Name], INDIRECT("C"&amp;ROW()),
          unit_details[Property Name], INDIRECT("B"&amp;ROW()))</f>
        <v>0</v>
      </c>
      <c r="AB442" s="553"/>
      <c r="AC442" s="528" cm="1">
        <f t="array" aca="1" ref="AC442" ca="1">IFERROR(AVERAGEIFS(
  unit_details[Sqft],
  unit_details[Property Name], INDIRECT("B"&amp;ROW()),
  unit_details[Floorplan Name], INDIRECT("C"&amp;ROW()),
  unit_details[Beds], INDIRECT("D"&amp;ROW()),
  unit_details[Detected Unit Amenities], "*"&amp;$AD$3&amp;"*",
  unit_details[Leased Date], "&gt;=" &amp; ($U$2 - $AF$3)
),0)</f>
        <v>0</v>
      </c>
      <c r="AD442" s="527" cm="1">
        <f t="array" aca="1" ref="AD4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2" s="526" cm="1">
        <f t="array" aca="1" ref="AE442" ca="1">IFERROR(COUNTIFS(
  unit_details[Property Name], INDIRECT("B"&amp;ROW()),
  unit_details[Floorplan Name], INDIRECT("C"&amp;ROW()),
  unit_details[Beds], INDIRECT("D"&amp;ROW()),
  unit_details[Detected Unit Amenities], "*"&amp;$AD$3&amp;"*",
  unit_details[Leased Date], "&gt;=" &amp; ($U$2 - $AF$3)
),0)</f>
        <v>0</v>
      </c>
      <c r="AF442" s="528" cm="1">
        <f t="array" aca="1" ref="AF442" ca="1">IFERROR(AVERAGEIFS(
  unit_details[Sqft],
  unit_details[Property Name], INDIRECT("B"&amp;ROW()),
  unit_details[Floorplan Name], INDIRECT("C"&amp;ROW()),
  unit_details[Beds], INDIRECT("D"&amp;ROW()),
  unit_details[Detected Unit Amenities], "&lt;&gt;*"&amp;$AD$3&amp;"*",
  unit_details[Leased Date], "&gt;=" &amp; ($U$2 - $AF$3)
),0)</f>
        <v>0</v>
      </c>
      <c r="AG442" s="527" cm="1">
        <f t="array" aca="1" ref="AG44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2" s="526" cm="1">
        <f t="array" aca="1" ref="AH442" ca="1">IFERROR(COUNTIFS(
  unit_details[Property Name], INDIRECT("B"&amp;ROW()),
  unit_details[Floorplan Name], INDIRECT("C"&amp;ROW()),
  unit_details[Beds], INDIRECT("D"&amp;ROW()),
  unit_details[Detected Unit Amenities], "&lt;&gt;*"&amp;$AD$3&amp;"*",
  unit_details[Leased Date], "&gt;=" &amp; ($U$2 - $AF$3)
),0)</f>
        <v>0</v>
      </c>
      <c r="AI442" s="528"/>
      <c r="AJ442" s="531">
        <f t="shared" ca="1" si="19"/>
        <v>0</v>
      </c>
      <c r="AK442" s="532">
        <f t="shared" ca="1" si="20"/>
        <v>0</v>
      </c>
    </row>
    <row r="443" spans="10:37" x14ac:dyDescent="0.2">
      <c r="J443" s="293"/>
      <c r="N443" s="531" t="str" cm="1">
        <f t="array" aca="1" ref="N44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3" s="552" t="str" cm="1">
        <f t="array" aca="1" ref="O44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3" s="526" cm="1">
        <f t="array" aca="1" ref="P443" ca="1">COUNTIFS(unit_details[Leased Date], "&gt;=" &amp; ($U$2 - N$5),
          unit_details[Leased Date], "&lt;" &amp; $U$2,
          unit_details[Floorplan Name], INDIRECT("C"&amp;ROW()),
          unit_details[Property Name], INDIRECT("B"&amp;ROW()))</f>
        <v>0</v>
      </c>
      <c r="Q443" s="531" t="str" cm="1">
        <f t="array" aca="1" ref="Q44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3" s="552" t="str" cm="1">
        <f t="array" aca="1" ref="R44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3" s="526" cm="1">
        <f t="array" aca="1" ref="S443" ca="1">COUNTIFS(unit_details[Leased Date], "&gt;=" &amp; ($U$2 - Q$5),
          unit_details[Leased Date], "&lt;" &amp; $U$2,
          unit_details[Floorplan Name], INDIRECT("C"&amp;ROW()),
          unit_details[Property Name], INDIRECT("B"&amp;ROW()))</f>
        <v>0</v>
      </c>
      <c r="T443" s="531" t="str" cm="1">
        <f t="array" aca="1" ref="T44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3" s="552" t="str" cm="1">
        <f t="array" aca="1" ref="U44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3" s="526" cm="1">
        <f t="array" aca="1" ref="V443" ca="1">COUNTIFS(unit_details[Leased Date], "&gt;=" &amp; ($U$2 - T$5),
          unit_details[Leased Date], "&lt;" &amp; $U$2,
          unit_details[Floorplan Name], INDIRECT("C"&amp;ROW()),
          unit_details[Property Name], INDIRECT("B"&amp;ROW()))</f>
        <v>0</v>
      </c>
      <c r="W443" s="531" t="str" cm="1">
        <f t="array" aca="1" ref="W44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3" s="552" t="str" cm="1">
        <f t="array" aca="1" ref="X44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3" s="27" t="str">
        <f t="shared" ca="1" si="18"/>
        <v/>
      </c>
      <c r="Z443" s="4" t="str">
        <f>IFERROR($U$2-AVERAGEIFS(unit_details[First Listed],
          unit_details[Active Listing?],TRUE,
          unit_details[Property Name], $B443,
          unit_details[Beds], $D443,
          unit_details[Baths], $E443,
          unit_details[Partial Baths], IF(ISNUMBER($F443),$F443,""),
          unit_details[Floorplan Name],$C443
),"")</f>
        <v/>
      </c>
      <c r="AA443" s="262" cm="1">
        <f t="array" aca="1" ref="AA443" ca="1">COUNTIFS(unit_details[Active Listing?],TRUE,
          unit_details[Floorplan Name], INDIRECT("C"&amp;ROW()),
          unit_details[Property Name], INDIRECT("B"&amp;ROW()))</f>
        <v>0</v>
      </c>
      <c r="AB443" s="553"/>
      <c r="AC443" s="528" cm="1">
        <f t="array" aca="1" ref="AC443" ca="1">IFERROR(AVERAGEIFS(
  unit_details[Sqft],
  unit_details[Property Name], INDIRECT("B"&amp;ROW()),
  unit_details[Floorplan Name], INDIRECT("C"&amp;ROW()),
  unit_details[Beds], INDIRECT("D"&amp;ROW()),
  unit_details[Detected Unit Amenities], "*"&amp;$AD$3&amp;"*",
  unit_details[Leased Date], "&gt;=" &amp; ($U$2 - $AF$3)
),0)</f>
        <v>0</v>
      </c>
      <c r="AD443" s="527" cm="1">
        <f t="array" aca="1" ref="AD4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3" s="526" cm="1">
        <f t="array" aca="1" ref="AE443" ca="1">IFERROR(COUNTIFS(
  unit_details[Property Name], INDIRECT("B"&amp;ROW()),
  unit_details[Floorplan Name], INDIRECT("C"&amp;ROW()),
  unit_details[Beds], INDIRECT("D"&amp;ROW()),
  unit_details[Detected Unit Amenities], "*"&amp;$AD$3&amp;"*",
  unit_details[Leased Date], "&gt;=" &amp; ($U$2 - $AF$3)
),0)</f>
        <v>0</v>
      </c>
      <c r="AF443" s="528" cm="1">
        <f t="array" aca="1" ref="AF443" ca="1">IFERROR(AVERAGEIFS(
  unit_details[Sqft],
  unit_details[Property Name], INDIRECT("B"&amp;ROW()),
  unit_details[Floorplan Name], INDIRECT("C"&amp;ROW()),
  unit_details[Beds], INDIRECT("D"&amp;ROW()),
  unit_details[Detected Unit Amenities], "&lt;&gt;*"&amp;$AD$3&amp;"*",
  unit_details[Leased Date], "&gt;=" &amp; ($U$2 - $AF$3)
),0)</f>
        <v>0</v>
      </c>
      <c r="AG443" s="527" cm="1">
        <f t="array" aca="1" ref="AG44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3" s="526" cm="1">
        <f t="array" aca="1" ref="AH443" ca="1">IFERROR(COUNTIFS(
  unit_details[Property Name], INDIRECT("B"&amp;ROW()),
  unit_details[Floorplan Name], INDIRECT("C"&amp;ROW()),
  unit_details[Beds], INDIRECT("D"&amp;ROW()),
  unit_details[Detected Unit Amenities], "&lt;&gt;*"&amp;$AD$3&amp;"*",
  unit_details[Leased Date], "&gt;=" &amp; ($U$2 - $AF$3)
),0)</f>
        <v>0</v>
      </c>
      <c r="AI443" s="528"/>
      <c r="AJ443" s="531">
        <f t="shared" ca="1" si="19"/>
        <v>0</v>
      </c>
      <c r="AK443" s="532">
        <f t="shared" ca="1" si="20"/>
        <v>0</v>
      </c>
    </row>
    <row r="444" spans="10:37" x14ac:dyDescent="0.2">
      <c r="J444" s="293"/>
      <c r="N444" s="531" t="str" cm="1">
        <f t="array" aca="1" ref="N44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4" s="552" t="str" cm="1">
        <f t="array" aca="1" ref="O44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4" s="526" cm="1">
        <f t="array" aca="1" ref="P444" ca="1">COUNTIFS(unit_details[Leased Date], "&gt;=" &amp; ($U$2 - N$5),
          unit_details[Leased Date], "&lt;" &amp; $U$2,
          unit_details[Floorplan Name], INDIRECT("C"&amp;ROW()),
          unit_details[Property Name], INDIRECT("B"&amp;ROW()))</f>
        <v>0</v>
      </c>
      <c r="Q444" s="531" t="str" cm="1">
        <f t="array" aca="1" ref="Q44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4" s="552" t="str" cm="1">
        <f t="array" aca="1" ref="R44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4" s="526" cm="1">
        <f t="array" aca="1" ref="S444" ca="1">COUNTIFS(unit_details[Leased Date], "&gt;=" &amp; ($U$2 - Q$5),
          unit_details[Leased Date], "&lt;" &amp; $U$2,
          unit_details[Floorplan Name], INDIRECT("C"&amp;ROW()),
          unit_details[Property Name], INDIRECT("B"&amp;ROW()))</f>
        <v>0</v>
      </c>
      <c r="T444" s="531" t="str" cm="1">
        <f t="array" aca="1" ref="T44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4" s="552" t="str" cm="1">
        <f t="array" aca="1" ref="U44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4" s="526" cm="1">
        <f t="array" aca="1" ref="V444" ca="1">COUNTIFS(unit_details[Leased Date], "&gt;=" &amp; ($U$2 - T$5),
          unit_details[Leased Date], "&lt;" &amp; $U$2,
          unit_details[Floorplan Name], INDIRECT("C"&amp;ROW()),
          unit_details[Property Name], INDIRECT("B"&amp;ROW()))</f>
        <v>0</v>
      </c>
      <c r="W444" s="531" t="str" cm="1">
        <f t="array" aca="1" ref="W44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4" s="552" t="str" cm="1">
        <f t="array" aca="1" ref="X44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4" s="27" t="str">
        <f t="shared" ca="1" si="18"/>
        <v/>
      </c>
      <c r="Z444" s="4" t="str">
        <f>IFERROR($U$2-AVERAGEIFS(unit_details[First Listed],
          unit_details[Active Listing?],TRUE,
          unit_details[Property Name], $B444,
          unit_details[Beds], $D444,
          unit_details[Baths], $E444,
          unit_details[Partial Baths], IF(ISNUMBER($F444),$F444,""),
          unit_details[Floorplan Name],$C444
),"")</f>
        <v/>
      </c>
      <c r="AA444" s="262" cm="1">
        <f t="array" aca="1" ref="AA444" ca="1">COUNTIFS(unit_details[Active Listing?],TRUE,
          unit_details[Floorplan Name], INDIRECT("C"&amp;ROW()),
          unit_details[Property Name], INDIRECT("B"&amp;ROW()))</f>
        <v>0</v>
      </c>
      <c r="AB444" s="553"/>
      <c r="AC444" s="528" cm="1">
        <f t="array" aca="1" ref="AC444" ca="1">IFERROR(AVERAGEIFS(
  unit_details[Sqft],
  unit_details[Property Name], INDIRECT("B"&amp;ROW()),
  unit_details[Floorplan Name], INDIRECT("C"&amp;ROW()),
  unit_details[Beds], INDIRECT("D"&amp;ROW()),
  unit_details[Detected Unit Amenities], "*"&amp;$AD$3&amp;"*",
  unit_details[Leased Date], "&gt;=" &amp; ($U$2 - $AF$3)
),0)</f>
        <v>0</v>
      </c>
      <c r="AD444" s="527" cm="1">
        <f t="array" aca="1" ref="AD4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4" s="526" cm="1">
        <f t="array" aca="1" ref="AE444" ca="1">IFERROR(COUNTIFS(
  unit_details[Property Name], INDIRECT("B"&amp;ROW()),
  unit_details[Floorplan Name], INDIRECT("C"&amp;ROW()),
  unit_details[Beds], INDIRECT("D"&amp;ROW()),
  unit_details[Detected Unit Amenities], "*"&amp;$AD$3&amp;"*",
  unit_details[Leased Date], "&gt;=" &amp; ($U$2 - $AF$3)
),0)</f>
        <v>0</v>
      </c>
      <c r="AF444" s="528" cm="1">
        <f t="array" aca="1" ref="AF444" ca="1">IFERROR(AVERAGEIFS(
  unit_details[Sqft],
  unit_details[Property Name], INDIRECT("B"&amp;ROW()),
  unit_details[Floorplan Name], INDIRECT("C"&amp;ROW()),
  unit_details[Beds], INDIRECT("D"&amp;ROW()),
  unit_details[Detected Unit Amenities], "&lt;&gt;*"&amp;$AD$3&amp;"*",
  unit_details[Leased Date], "&gt;=" &amp; ($U$2 - $AF$3)
),0)</f>
        <v>0</v>
      </c>
      <c r="AG444" s="527" cm="1">
        <f t="array" aca="1" ref="AG44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4" s="526" cm="1">
        <f t="array" aca="1" ref="AH444" ca="1">IFERROR(COUNTIFS(
  unit_details[Property Name], INDIRECT("B"&amp;ROW()),
  unit_details[Floorplan Name], INDIRECT("C"&amp;ROW()),
  unit_details[Beds], INDIRECT("D"&amp;ROW()),
  unit_details[Detected Unit Amenities], "&lt;&gt;*"&amp;$AD$3&amp;"*",
  unit_details[Leased Date], "&gt;=" &amp; ($U$2 - $AF$3)
),0)</f>
        <v>0</v>
      </c>
      <c r="AI444" s="528"/>
      <c r="AJ444" s="531">
        <f t="shared" ca="1" si="19"/>
        <v>0</v>
      </c>
      <c r="AK444" s="532">
        <f t="shared" ca="1" si="20"/>
        <v>0</v>
      </c>
    </row>
    <row r="445" spans="10:37" x14ac:dyDescent="0.2">
      <c r="J445" s="293"/>
      <c r="N445" s="531" t="str" cm="1">
        <f t="array" aca="1" ref="N44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5" s="552" t="str" cm="1">
        <f t="array" aca="1" ref="O44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5" s="526" cm="1">
        <f t="array" aca="1" ref="P445" ca="1">COUNTIFS(unit_details[Leased Date], "&gt;=" &amp; ($U$2 - N$5),
          unit_details[Leased Date], "&lt;" &amp; $U$2,
          unit_details[Floorplan Name], INDIRECT("C"&amp;ROW()),
          unit_details[Property Name], INDIRECT("B"&amp;ROW()))</f>
        <v>0</v>
      </c>
      <c r="Q445" s="531" t="str" cm="1">
        <f t="array" aca="1" ref="Q44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5" s="552" t="str" cm="1">
        <f t="array" aca="1" ref="R44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5" s="526" cm="1">
        <f t="array" aca="1" ref="S445" ca="1">COUNTIFS(unit_details[Leased Date], "&gt;=" &amp; ($U$2 - Q$5),
          unit_details[Leased Date], "&lt;" &amp; $U$2,
          unit_details[Floorplan Name], INDIRECT("C"&amp;ROW()),
          unit_details[Property Name], INDIRECT("B"&amp;ROW()))</f>
        <v>0</v>
      </c>
      <c r="T445" s="531" t="str" cm="1">
        <f t="array" aca="1" ref="T44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5" s="552" t="str" cm="1">
        <f t="array" aca="1" ref="U44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5" s="526" cm="1">
        <f t="array" aca="1" ref="V445" ca="1">COUNTIFS(unit_details[Leased Date], "&gt;=" &amp; ($U$2 - T$5),
          unit_details[Leased Date], "&lt;" &amp; $U$2,
          unit_details[Floorplan Name], INDIRECT("C"&amp;ROW()),
          unit_details[Property Name], INDIRECT("B"&amp;ROW()))</f>
        <v>0</v>
      </c>
      <c r="W445" s="531" t="str" cm="1">
        <f t="array" aca="1" ref="W44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5" s="552" t="str" cm="1">
        <f t="array" aca="1" ref="X44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5" s="27" t="str">
        <f t="shared" ca="1" si="18"/>
        <v/>
      </c>
      <c r="Z445" s="4" t="str">
        <f>IFERROR($U$2-AVERAGEIFS(unit_details[First Listed],
          unit_details[Active Listing?],TRUE,
          unit_details[Property Name], $B445,
          unit_details[Beds], $D445,
          unit_details[Baths], $E445,
          unit_details[Partial Baths], IF(ISNUMBER($F445),$F445,""),
          unit_details[Floorplan Name],$C445
),"")</f>
        <v/>
      </c>
      <c r="AA445" s="262" cm="1">
        <f t="array" aca="1" ref="AA445" ca="1">COUNTIFS(unit_details[Active Listing?],TRUE,
          unit_details[Floorplan Name], INDIRECT("C"&amp;ROW()),
          unit_details[Property Name], INDIRECT("B"&amp;ROW()))</f>
        <v>0</v>
      </c>
      <c r="AB445" s="553"/>
      <c r="AC445" s="528" cm="1">
        <f t="array" aca="1" ref="AC445" ca="1">IFERROR(AVERAGEIFS(
  unit_details[Sqft],
  unit_details[Property Name], INDIRECT("B"&amp;ROW()),
  unit_details[Floorplan Name], INDIRECT("C"&amp;ROW()),
  unit_details[Beds], INDIRECT("D"&amp;ROW()),
  unit_details[Detected Unit Amenities], "*"&amp;$AD$3&amp;"*",
  unit_details[Leased Date], "&gt;=" &amp; ($U$2 - $AF$3)
),0)</f>
        <v>0</v>
      </c>
      <c r="AD445" s="527" cm="1">
        <f t="array" aca="1" ref="AD4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5" s="526" cm="1">
        <f t="array" aca="1" ref="AE445" ca="1">IFERROR(COUNTIFS(
  unit_details[Property Name], INDIRECT("B"&amp;ROW()),
  unit_details[Floorplan Name], INDIRECT("C"&amp;ROW()),
  unit_details[Beds], INDIRECT("D"&amp;ROW()),
  unit_details[Detected Unit Amenities], "*"&amp;$AD$3&amp;"*",
  unit_details[Leased Date], "&gt;=" &amp; ($U$2 - $AF$3)
),0)</f>
        <v>0</v>
      </c>
      <c r="AF445" s="528" cm="1">
        <f t="array" aca="1" ref="AF445" ca="1">IFERROR(AVERAGEIFS(
  unit_details[Sqft],
  unit_details[Property Name], INDIRECT("B"&amp;ROW()),
  unit_details[Floorplan Name], INDIRECT("C"&amp;ROW()),
  unit_details[Beds], INDIRECT("D"&amp;ROW()),
  unit_details[Detected Unit Amenities], "&lt;&gt;*"&amp;$AD$3&amp;"*",
  unit_details[Leased Date], "&gt;=" &amp; ($U$2 - $AF$3)
),0)</f>
        <v>0</v>
      </c>
      <c r="AG445" s="527" cm="1">
        <f t="array" aca="1" ref="AG44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5" s="526" cm="1">
        <f t="array" aca="1" ref="AH445" ca="1">IFERROR(COUNTIFS(
  unit_details[Property Name], INDIRECT("B"&amp;ROW()),
  unit_details[Floorplan Name], INDIRECT("C"&amp;ROW()),
  unit_details[Beds], INDIRECT("D"&amp;ROW()),
  unit_details[Detected Unit Amenities], "&lt;&gt;*"&amp;$AD$3&amp;"*",
  unit_details[Leased Date], "&gt;=" &amp; ($U$2 - $AF$3)
),0)</f>
        <v>0</v>
      </c>
      <c r="AI445" s="528"/>
      <c r="AJ445" s="531">
        <f t="shared" ca="1" si="19"/>
        <v>0</v>
      </c>
      <c r="AK445" s="532">
        <f t="shared" ca="1" si="20"/>
        <v>0</v>
      </c>
    </row>
    <row r="446" spans="10:37" x14ac:dyDescent="0.2">
      <c r="J446" s="293"/>
      <c r="N446" s="531" t="str" cm="1">
        <f t="array" aca="1" ref="N44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6" s="552" t="str" cm="1">
        <f t="array" aca="1" ref="O44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6" s="526" cm="1">
        <f t="array" aca="1" ref="P446" ca="1">COUNTIFS(unit_details[Leased Date], "&gt;=" &amp; ($U$2 - N$5),
          unit_details[Leased Date], "&lt;" &amp; $U$2,
          unit_details[Floorplan Name], INDIRECT("C"&amp;ROW()),
          unit_details[Property Name], INDIRECT("B"&amp;ROW()))</f>
        <v>0</v>
      </c>
      <c r="Q446" s="531" t="str" cm="1">
        <f t="array" aca="1" ref="Q44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6" s="552" t="str" cm="1">
        <f t="array" aca="1" ref="R44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6" s="526" cm="1">
        <f t="array" aca="1" ref="S446" ca="1">COUNTIFS(unit_details[Leased Date], "&gt;=" &amp; ($U$2 - Q$5),
          unit_details[Leased Date], "&lt;" &amp; $U$2,
          unit_details[Floorplan Name], INDIRECT("C"&amp;ROW()),
          unit_details[Property Name], INDIRECT("B"&amp;ROW()))</f>
        <v>0</v>
      </c>
      <c r="T446" s="531" t="str" cm="1">
        <f t="array" aca="1" ref="T44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6" s="552" t="str" cm="1">
        <f t="array" aca="1" ref="U44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6" s="526" cm="1">
        <f t="array" aca="1" ref="V446" ca="1">COUNTIFS(unit_details[Leased Date], "&gt;=" &amp; ($U$2 - T$5),
          unit_details[Leased Date], "&lt;" &amp; $U$2,
          unit_details[Floorplan Name], INDIRECT("C"&amp;ROW()),
          unit_details[Property Name], INDIRECT("B"&amp;ROW()))</f>
        <v>0</v>
      </c>
      <c r="W446" s="531" t="str" cm="1">
        <f t="array" aca="1" ref="W44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6" s="552" t="str" cm="1">
        <f t="array" aca="1" ref="X44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6" s="27" t="str">
        <f t="shared" ca="1" si="18"/>
        <v/>
      </c>
      <c r="Z446" s="4" t="str">
        <f>IFERROR($U$2-AVERAGEIFS(unit_details[First Listed],
          unit_details[Active Listing?],TRUE,
          unit_details[Property Name], $B446,
          unit_details[Beds], $D446,
          unit_details[Baths], $E446,
          unit_details[Partial Baths], IF(ISNUMBER($F446),$F446,""),
          unit_details[Floorplan Name],$C446
),"")</f>
        <v/>
      </c>
      <c r="AA446" s="262" cm="1">
        <f t="array" aca="1" ref="AA446" ca="1">COUNTIFS(unit_details[Active Listing?],TRUE,
          unit_details[Floorplan Name], INDIRECT("C"&amp;ROW()),
          unit_details[Property Name], INDIRECT("B"&amp;ROW()))</f>
        <v>0</v>
      </c>
      <c r="AB446" s="553"/>
      <c r="AC446" s="528" cm="1">
        <f t="array" aca="1" ref="AC446" ca="1">IFERROR(AVERAGEIFS(
  unit_details[Sqft],
  unit_details[Property Name], INDIRECT("B"&amp;ROW()),
  unit_details[Floorplan Name], INDIRECT("C"&amp;ROW()),
  unit_details[Beds], INDIRECT("D"&amp;ROW()),
  unit_details[Detected Unit Amenities], "*"&amp;$AD$3&amp;"*",
  unit_details[Leased Date], "&gt;=" &amp; ($U$2 - $AF$3)
),0)</f>
        <v>0</v>
      </c>
      <c r="AD446" s="527" cm="1">
        <f t="array" aca="1" ref="AD4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6" s="526" cm="1">
        <f t="array" aca="1" ref="AE446" ca="1">IFERROR(COUNTIFS(
  unit_details[Property Name], INDIRECT("B"&amp;ROW()),
  unit_details[Floorplan Name], INDIRECT("C"&amp;ROW()),
  unit_details[Beds], INDIRECT("D"&amp;ROW()),
  unit_details[Detected Unit Amenities], "*"&amp;$AD$3&amp;"*",
  unit_details[Leased Date], "&gt;=" &amp; ($U$2 - $AF$3)
),0)</f>
        <v>0</v>
      </c>
      <c r="AF446" s="528" cm="1">
        <f t="array" aca="1" ref="AF446" ca="1">IFERROR(AVERAGEIFS(
  unit_details[Sqft],
  unit_details[Property Name], INDIRECT("B"&amp;ROW()),
  unit_details[Floorplan Name], INDIRECT("C"&amp;ROW()),
  unit_details[Beds], INDIRECT("D"&amp;ROW()),
  unit_details[Detected Unit Amenities], "&lt;&gt;*"&amp;$AD$3&amp;"*",
  unit_details[Leased Date], "&gt;=" &amp; ($U$2 - $AF$3)
),0)</f>
        <v>0</v>
      </c>
      <c r="AG446" s="527" cm="1">
        <f t="array" aca="1" ref="AG44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6" s="526" cm="1">
        <f t="array" aca="1" ref="AH446" ca="1">IFERROR(COUNTIFS(
  unit_details[Property Name], INDIRECT("B"&amp;ROW()),
  unit_details[Floorplan Name], INDIRECT("C"&amp;ROW()),
  unit_details[Beds], INDIRECT("D"&amp;ROW()),
  unit_details[Detected Unit Amenities], "&lt;&gt;*"&amp;$AD$3&amp;"*",
  unit_details[Leased Date], "&gt;=" &amp; ($U$2 - $AF$3)
),0)</f>
        <v>0</v>
      </c>
      <c r="AI446" s="528"/>
      <c r="AJ446" s="531">
        <f t="shared" ca="1" si="19"/>
        <v>0</v>
      </c>
      <c r="AK446" s="532">
        <f t="shared" ca="1" si="20"/>
        <v>0</v>
      </c>
    </row>
    <row r="447" spans="10:37" x14ac:dyDescent="0.2">
      <c r="J447" s="293"/>
      <c r="N447" s="531" t="str" cm="1">
        <f t="array" aca="1" ref="N44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7" s="552" t="str" cm="1">
        <f t="array" aca="1" ref="O44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7" s="526" cm="1">
        <f t="array" aca="1" ref="P447" ca="1">COUNTIFS(unit_details[Leased Date], "&gt;=" &amp; ($U$2 - N$5),
          unit_details[Leased Date], "&lt;" &amp; $U$2,
          unit_details[Floorplan Name], INDIRECT("C"&amp;ROW()),
          unit_details[Property Name], INDIRECT("B"&amp;ROW()))</f>
        <v>0</v>
      </c>
      <c r="Q447" s="531" t="str" cm="1">
        <f t="array" aca="1" ref="Q44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7" s="552" t="str" cm="1">
        <f t="array" aca="1" ref="R44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7" s="526" cm="1">
        <f t="array" aca="1" ref="S447" ca="1">COUNTIFS(unit_details[Leased Date], "&gt;=" &amp; ($U$2 - Q$5),
          unit_details[Leased Date], "&lt;" &amp; $U$2,
          unit_details[Floorplan Name], INDIRECT("C"&amp;ROW()),
          unit_details[Property Name], INDIRECT("B"&amp;ROW()))</f>
        <v>0</v>
      </c>
      <c r="T447" s="531" t="str" cm="1">
        <f t="array" aca="1" ref="T44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7" s="552" t="str" cm="1">
        <f t="array" aca="1" ref="U44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7" s="526" cm="1">
        <f t="array" aca="1" ref="V447" ca="1">COUNTIFS(unit_details[Leased Date], "&gt;=" &amp; ($U$2 - T$5),
          unit_details[Leased Date], "&lt;" &amp; $U$2,
          unit_details[Floorplan Name], INDIRECT("C"&amp;ROW()),
          unit_details[Property Name], INDIRECT("B"&amp;ROW()))</f>
        <v>0</v>
      </c>
      <c r="W447" s="531" t="str" cm="1">
        <f t="array" aca="1" ref="W44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7" s="552" t="str" cm="1">
        <f t="array" aca="1" ref="X44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7" s="27" t="str">
        <f t="shared" ca="1" si="18"/>
        <v/>
      </c>
      <c r="Z447" s="4" t="str">
        <f>IFERROR($U$2-AVERAGEIFS(unit_details[First Listed],
          unit_details[Active Listing?],TRUE,
          unit_details[Property Name], $B447,
          unit_details[Beds], $D447,
          unit_details[Baths], $E447,
          unit_details[Partial Baths], IF(ISNUMBER($F447),$F447,""),
          unit_details[Floorplan Name],$C447
),"")</f>
        <v/>
      </c>
      <c r="AA447" s="262" cm="1">
        <f t="array" aca="1" ref="AA447" ca="1">COUNTIFS(unit_details[Active Listing?],TRUE,
          unit_details[Floorplan Name], INDIRECT("C"&amp;ROW()),
          unit_details[Property Name], INDIRECT("B"&amp;ROW()))</f>
        <v>0</v>
      </c>
      <c r="AB447" s="553"/>
      <c r="AC447" s="528" cm="1">
        <f t="array" aca="1" ref="AC447" ca="1">IFERROR(AVERAGEIFS(
  unit_details[Sqft],
  unit_details[Property Name], INDIRECT("B"&amp;ROW()),
  unit_details[Floorplan Name], INDIRECT("C"&amp;ROW()),
  unit_details[Beds], INDIRECT("D"&amp;ROW()),
  unit_details[Detected Unit Amenities], "*"&amp;$AD$3&amp;"*",
  unit_details[Leased Date], "&gt;=" &amp; ($U$2 - $AF$3)
),0)</f>
        <v>0</v>
      </c>
      <c r="AD447" s="527" cm="1">
        <f t="array" aca="1" ref="AD4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7" s="526" cm="1">
        <f t="array" aca="1" ref="AE447" ca="1">IFERROR(COUNTIFS(
  unit_details[Property Name], INDIRECT("B"&amp;ROW()),
  unit_details[Floorplan Name], INDIRECT("C"&amp;ROW()),
  unit_details[Beds], INDIRECT("D"&amp;ROW()),
  unit_details[Detected Unit Amenities], "*"&amp;$AD$3&amp;"*",
  unit_details[Leased Date], "&gt;=" &amp; ($U$2 - $AF$3)
),0)</f>
        <v>0</v>
      </c>
      <c r="AF447" s="528" cm="1">
        <f t="array" aca="1" ref="AF447" ca="1">IFERROR(AVERAGEIFS(
  unit_details[Sqft],
  unit_details[Property Name], INDIRECT("B"&amp;ROW()),
  unit_details[Floorplan Name], INDIRECT("C"&amp;ROW()),
  unit_details[Beds], INDIRECT("D"&amp;ROW()),
  unit_details[Detected Unit Amenities], "&lt;&gt;*"&amp;$AD$3&amp;"*",
  unit_details[Leased Date], "&gt;=" &amp; ($U$2 - $AF$3)
),0)</f>
        <v>0</v>
      </c>
      <c r="AG447" s="527" cm="1">
        <f t="array" aca="1" ref="AG44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7" s="526" cm="1">
        <f t="array" aca="1" ref="AH447" ca="1">IFERROR(COUNTIFS(
  unit_details[Property Name], INDIRECT("B"&amp;ROW()),
  unit_details[Floorplan Name], INDIRECT("C"&amp;ROW()),
  unit_details[Beds], INDIRECT("D"&amp;ROW()),
  unit_details[Detected Unit Amenities], "&lt;&gt;*"&amp;$AD$3&amp;"*",
  unit_details[Leased Date], "&gt;=" &amp; ($U$2 - $AF$3)
),0)</f>
        <v>0</v>
      </c>
      <c r="AI447" s="528"/>
      <c r="AJ447" s="531">
        <f t="shared" ca="1" si="19"/>
        <v>0</v>
      </c>
      <c r="AK447" s="532">
        <f t="shared" ca="1" si="20"/>
        <v>0</v>
      </c>
    </row>
    <row r="448" spans="10:37" x14ac:dyDescent="0.2">
      <c r="J448" s="293"/>
      <c r="N448" s="531" t="str" cm="1">
        <f t="array" aca="1" ref="N44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8" s="552" t="str" cm="1">
        <f t="array" aca="1" ref="O44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8" s="526" cm="1">
        <f t="array" aca="1" ref="P448" ca="1">COUNTIFS(unit_details[Leased Date], "&gt;=" &amp; ($U$2 - N$5),
          unit_details[Leased Date], "&lt;" &amp; $U$2,
          unit_details[Floorplan Name], INDIRECT("C"&amp;ROW()),
          unit_details[Property Name], INDIRECT("B"&amp;ROW()))</f>
        <v>0</v>
      </c>
      <c r="Q448" s="531" t="str" cm="1">
        <f t="array" aca="1" ref="Q44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8" s="552" t="str" cm="1">
        <f t="array" aca="1" ref="R44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8" s="526" cm="1">
        <f t="array" aca="1" ref="S448" ca="1">COUNTIFS(unit_details[Leased Date], "&gt;=" &amp; ($U$2 - Q$5),
          unit_details[Leased Date], "&lt;" &amp; $U$2,
          unit_details[Floorplan Name], INDIRECT("C"&amp;ROW()),
          unit_details[Property Name], INDIRECT("B"&amp;ROW()))</f>
        <v>0</v>
      </c>
      <c r="T448" s="531" t="str" cm="1">
        <f t="array" aca="1" ref="T44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8" s="552" t="str" cm="1">
        <f t="array" aca="1" ref="U44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8" s="526" cm="1">
        <f t="array" aca="1" ref="V448" ca="1">COUNTIFS(unit_details[Leased Date], "&gt;=" &amp; ($U$2 - T$5),
          unit_details[Leased Date], "&lt;" &amp; $U$2,
          unit_details[Floorplan Name], INDIRECT("C"&amp;ROW()),
          unit_details[Property Name], INDIRECT("B"&amp;ROW()))</f>
        <v>0</v>
      </c>
      <c r="W448" s="531" t="str" cm="1">
        <f t="array" aca="1" ref="W44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8" s="552" t="str" cm="1">
        <f t="array" aca="1" ref="X44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8" s="27" t="str">
        <f t="shared" ca="1" si="18"/>
        <v/>
      </c>
      <c r="Z448" s="4" t="str">
        <f>IFERROR($U$2-AVERAGEIFS(unit_details[First Listed],
          unit_details[Active Listing?],TRUE,
          unit_details[Property Name], $B448,
          unit_details[Beds], $D448,
          unit_details[Baths], $E448,
          unit_details[Partial Baths], IF(ISNUMBER($F448),$F448,""),
          unit_details[Floorplan Name],$C448
),"")</f>
        <v/>
      </c>
      <c r="AA448" s="262" cm="1">
        <f t="array" aca="1" ref="AA448" ca="1">COUNTIFS(unit_details[Active Listing?],TRUE,
          unit_details[Floorplan Name], INDIRECT("C"&amp;ROW()),
          unit_details[Property Name], INDIRECT("B"&amp;ROW()))</f>
        <v>0</v>
      </c>
      <c r="AB448" s="553"/>
      <c r="AC448" s="528" cm="1">
        <f t="array" aca="1" ref="AC448" ca="1">IFERROR(AVERAGEIFS(
  unit_details[Sqft],
  unit_details[Property Name], INDIRECT("B"&amp;ROW()),
  unit_details[Floorplan Name], INDIRECT("C"&amp;ROW()),
  unit_details[Beds], INDIRECT("D"&amp;ROW()),
  unit_details[Detected Unit Amenities], "*"&amp;$AD$3&amp;"*",
  unit_details[Leased Date], "&gt;=" &amp; ($U$2 - $AF$3)
),0)</f>
        <v>0</v>
      </c>
      <c r="AD448" s="527" cm="1">
        <f t="array" aca="1" ref="AD4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8" s="526" cm="1">
        <f t="array" aca="1" ref="AE448" ca="1">IFERROR(COUNTIFS(
  unit_details[Property Name], INDIRECT("B"&amp;ROW()),
  unit_details[Floorplan Name], INDIRECT("C"&amp;ROW()),
  unit_details[Beds], INDIRECT("D"&amp;ROW()),
  unit_details[Detected Unit Amenities], "*"&amp;$AD$3&amp;"*",
  unit_details[Leased Date], "&gt;=" &amp; ($U$2 - $AF$3)
),0)</f>
        <v>0</v>
      </c>
      <c r="AF448" s="528" cm="1">
        <f t="array" aca="1" ref="AF448" ca="1">IFERROR(AVERAGEIFS(
  unit_details[Sqft],
  unit_details[Property Name], INDIRECT("B"&amp;ROW()),
  unit_details[Floorplan Name], INDIRECT("C"&amp;ROW()),
  unit_details[Beds], INDIRECT("D"&amp;ROW()),
  unit_details[Detected Unit Amenities], "&lt;&gt;*"&amp;$AD$3&amp;"*",
  unit_details[Leased Date], "&gt;=" &amp; ($U$2 - $AF$3)
),0)</f>
        <v>0</v>
      </c>
      <c r="AG448" s="527" cm="1">
        <f t="array" aca="1" ref="AG44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8" s="526" cm="1">
        <f t="array" aca="1" ref="AH448" ca="1">IFERROR(COUNTIFS(
  unit_details[Property Name], INDIRECT("B"&amp;ROW()),
  unit_details[Floorplan Name], INDIRECT("C"&amp;ROW()),
  unit_details[Beds], INDIRECT("D"&amp;ROW()),
  unit_details[Detected Unit Amenities], "&lt;&gt;*"&amp;$AD$3&amp;"*",
  unit_details[Leased Date], "&gt;=" &amp; ($U$2 - $AF$3)
),0)</f>
        <v>0</v>
      </c>
      <c r="AI448" s="528"/>
      <c r="AJ448" s="531">
        <f t="shared" ca="1" si="19"/>
        <v>0</v>
      </c>
      <c r="AK448" s="532">
        <f t="shared" ca="1" si="20"/>
        <v>0</v>
      </c>
    </row>
    <row r="449" spans="10:37" x14ac:dyDescent="0.2">
      <c r="J449" s="293"/>
      <c r="N449" s="531" t="str" cm="1">
        <f t="array" aca="1" ref="N44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49" s="552" t="str" cm="1">
        <f t="array" aca="1" ref="O44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49" s="526" cm="1">
        <f t="array" aca="1" ref="P449" ca="1">COUNTIFS(unit_details[Leased Date], "&gt;=" &amp; ($U$2 - N$5),
          unit_details[Leased Date], "&lt;" &amp; $U$2,
          unit_details[Floorplan Name], INDIRECT("C"&amp;ROW()),
          unit_details[Property Name], INDIRECT("B"&amp;ROW()))</f>
        <v>0</v>
      </c>
      <c r="Q449" s="531" t="str" cm="1">
        <f t="array" aca="1" ref="Q44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49" s="552" t="str" cm="1">
        <f t="array" aca="1" ref="R44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49" s="526" cm="1">
        <f t="array" aca="1" ref="S449" ca="1">COUNTIFS(unit_details[Leased Date], "&gt;=" &amp; ($U$2 - Q$5),
          unit_details[Leased Date], "&lt;" &amp; $U$2,
          unit_details[Floorplan Name], INDIRECT("C"&amp;ROW()),
          unit_details[Property Name], INDIRECT("B"&amp;ROW()))</f>
        <v>0</v>
      </c>
      <c r="T449" s="531" t="str" cm="1">
        <f t="array" aca="1" ref="T44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49" s="552" t="str" cm="1">
        <f t="array" aca="1" ref="U44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49" s="526" cm="1">
        <f t="array" aca="1" ref="V449" ca="1">COUNTIFS(unit_details[Leased Date], "&gt;=" &amp; ($U$2 - T$5),
          unit_details[Leased Date], "&lt;" &amp; $U$2,
          unit_details[Floorplan Name], INDIRECT("C"&amp;ROW()),
          unit_details[Property Name], INDIRECT("B"&amp;ROW()))</f>
        <v>0</v>
      </c>
      <c r="W449" s="531" t="str" cm="1">
        <f t="array" aca="1" ref="W44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49" s="552" t="str" cm="1">
        <f t="array" aca="1" ref="X44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49" s="27" t="str">
        <f t="shared" ca="1" si="18"/>
        <v/>
      </c>
      <c r="Z449" s="4" t="str">
        <f>IFERROR($U$2-AVERAGEIFS(unit_details[First Listed],
          unit_details[Active Listing?],TRUE,
          unit_details[Property Name], $B449,
          unit_details[Beds], $D449,
          unit_details[Baths], $E449,
          unit_details[Partial Baths], IF(ISNUMBER($F449),$F449,""),
          unit_details[Floorplan Name],$C449
),"")</f>
        <v/>
      </c>
      <c r="AA449" s="262" cm="1">
        <f t="array" aca="1" ref="AA449" ca="1">COUNTIFS(unit_details[Active Listing?],TRUE,
          unit_details[Floorplan Name], INDIRECT("C"&amp;ROW()),
          unit_details[Property Name], INDIRECT("B"&amp;ROW()))</f>
        <v>0</v>
      </c>
      <c r="AB449" s="553"/>
      <c r="AC449" s="528" cm="1">
        <f t="array" aca="1" ref="AC449" ca="1">IFERROR(AVERAGEIFS(
  unit_details[Sqft],
  unit_details[Property Name], INDIRECT("B"&amp;ROW()),
  unit_details[Floorplan Name], INDIRECT("C"&amp;ROW()),
  unit_details[Beds], INDIRECT("D"&amp;ROW()),
  unit_details[Detected Unit Amenities], "*"&amp;$AD$3&amp;"*",
  unit_details[Leased Date], "&gt;=" &amp; ($U$2 - $AF$3)
),0)</f>
        <v>0</v>
      </c>
      <c r="AD449" s="527" cm="1">
        <f t="array" aca="1" ref="AD4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49" s="526" cm="1">
        <f t="array" aca="1" ref="AE449" ca="1">IFERROR(COUNTIFS(
  unit_details[Property Name], INDIRECT("B"&amp;ROW()),
  unit_details[Floorplan Name], INDIRECT("C"&amp;ROW()),
  unit_details[Beds], INDIRECT("D"&amp;ROW()),
  unit_details[Detected Unit Amenities], "*"&amp;$AD$3&amp;"*",
  unit_details[Leased Date], "&gt;=" &amp; ($U$2 - $AF$3)
),0)</f>
        <v>0</v>
      </c>
      <c r="AF449" s="528" cm="1">
        <f t="array" aca="1" ref="AF449" ca="1">IFERROR(AVERAGEIFS(
  unit_details[Sqft],
  unit_details[Property Name], INDIRECT("B"&amp;ROW()),
  unit_details[Floorplan Name], INDIRECT("C"&amp;ROW()),
  unit_details[Beds], INDIRECT("D"&amp;ROW()),
  unit_details[Detected Unit Amenities], "&lt;&gt;*"&amp;$AD$3&amp;"*",
  unit_details[Leased Date], "&gt;=" &amp; ($U$2 - $AF$3)
),0)</f>
        <v>0</v>
      </c>
      <c r="AG449" s="527" cm="1">
        <f t="array" aca="1" ref="AG44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49" s="526" cm="1">
        <f t="array" aca="1" ref="AH449" ca="1">IFERROR(COUNTIFS(
  unit_details[Property Name], INDIRECT("B"&amp;ROW()),
  unit_details[Floorplan Name], INDIRECT("C"&amp;ROW()),
  unit_details[Beds], INDIRECT("D"&amp;ROW()),
  unit_details[Detected Unit Amenities], "&lt;&gt;*"&amp;$AD$3&amp;"*",
  unit_details[Leased Date], "&gt;=" &amp; ($U$2 - $AF$3)
),0)</f>
        <v>0</v>
      </c>
      <c r="AI449" s="528"/>
      <c r="AJ449" s="531">
        <f t="shared" ca="1" si="19"/>
        <v>0</v>
      </c>
      <c r="AK449" s="532">
        <f t="shared" ca="1" si="20"/>
        <v>0</v>
      </c>
    </row>
    <row r="450" spans="10:37" x14ac:dyDescent="0.2">
      <c r="J450" s="293"/>
      <c r="N450" s="531" t="str" cm="1">
        <f t="array" aca="1" ref="N45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0" s="552" t="str" cm="1">
        <f t="array" aca="1" ref="O45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0" s="526" cm="1">
        <f t="array" aca="1" ref="P450" ca="1">COUNTIFS(unit_details[Leased Date], "&gt;=" &amp; ($U$2 - N$5),
          unit_details[Leased Date], "&lt;" &amp; $U$2,
          unit_details[Floorplan Name], INDIRECT("C"&amp;ROW()),
          unit_details[Property Name], INDIRECT("B"&amp;ROW()))</f>
        <v>0</v>
      </c>
      <c r="Q450" s="531" t="str" cm="1">
        <f t="array" aca="1" ref="Q45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0" s="552" t="str" cm="1">
        <f t="array" aca="1" ref="R45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0" s="526" cm="1">
        <f t="array" aca="1" ref="S450" ca="1">COUNTIFS(unit_details[Leased Date], "&gt;=" &amp; ($U$2 - Q$5),
          unit_details[Leased Date], "&lt;" &amp; $U$2,
          unit_details[Floorplan Name], INDIRECT("C"&amp;ROW()),
          unit_details[Property Name], INDIRECT("B"&amp;ROW()))</f>
        <v>0</v>
      </c>
      <c r="T450" s="531" t="str" cm="1">
        <f t="array" aca="1" ref="T45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0" s="552" t="str" cm="1">
        <f t="array" aca="1" ref="U45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0" s="526" cm="1">
        <f t="array" aca="1" ref="V450" ca="1">COUNTIFS(unit_details[Leased Date], "&gt;=" &amp; ($U$2 - T$5),
          unit_details[Leased Date], "&lt;" &amp; $U$2,
          unit_details[Floorplan Name], INDIRECT("C"&amp;ROW()),
          unit_details[Property Name], INDIRECT("B"&amp;ROW()))</f>
        <v>0</v>
      </c>
      <c r="W450" s="531" t="str" cm="1">
        <f t="array" aca="1" ref="W45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0" s="552" t="str" cm="1">
        <f t="array" aca="1" ref="X45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0" s="27" t="str">
        <f t="shared" ca="1" si="18"/>
        <v/>
      </c>
      <c r="Z450" s="4" t="str">
        <f>IFERROR($U$2-AVERAGEIFS(unit_details[First Listed],
          unit_details[Active Listing?],TRUE,
          unit_details[Property Name], $B450,
          unit_details[Beds], $D450,
          unit_details[Baths], $E450,
          unit_details[Partial Baths], IF(ISNUMBER($F450),$F450,""),
          unit_details[Floorplan Name],$C450
),"")</f>
        <v/>
      </c>
      <c r="AA450" s="262" cm="1">
        <f t="array" aca="1" ref="AA450" ca="1">COUNTIFS(unit_details[Active Listing?],TRUE,
          unit_details[Floorplan Name], INDIRECT("C"&amp;ROW()),
          unit_details[Property Name], INDIRECT("B"&amp;ROW()))</f>
        <v>0</v>
      </c>
      <c r="AB450" s="553"/>
      <c r="AC450" s="528" cm="1">
        <f t="array" aca="1" ref="AC450" ca="1">IFERROR(AVERAGEIFS(
  unit_details[Sqft],
  unit_details[Property Name], INDIRECT("B"&amp;ROW()),
  unit_details[Floorplan Name], INDIRECT("C"&amp;ROW()),
  unit_details[Beds], INDIRECT("D"&amp;ROW()),
  unit_details[Detected Unit Amenities], "*"&amp;$AD$3&amp;"*",
  unit_details[Leased Date], "&gt;=" &amp; ($U$2 - $AF$3)
),0)</f>
        <v>0</v>
      </c>
      <c r="AD450" s="527" cm="1">
        <f t="array" aca="1" ref="AD4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0" s="526" cm="1">
        <f t="array" aca="1" ref="AE450" ca="1">IFERROR(COUNTIFS(
  unit_details[Property Name], INDIRECT("B"&amp;ROW()),
  unit_details[Floorplan Name], INDIRECT("C"&amp;ROW()),
  unit_details[Beds], INDIRECT("D"&amp;ROW()),
  unit_details[Detected Unit Amenities], "*"&amp;$AD$3&amp;"*",
  unit_details[Leased Date], "&gt;=" &amp; ($U$2 - $AF$3)
),0)</f>
        <v>0</v>
      </c>
      <c r="AF450" s="528" cm="1">
        <f t="array" aca="1" ref="AF450" ca="1">IFERROR(AVERAGEIFS(
  unit_details[Sqft],
  unit_details[Property Name], INDIRECT("B"&amp;ROW()),
  unit_details[Floorplan Name], INDIRECT("C"&amp;ROW()),
  unit_details[Beds], INDIRECT("D"&amp;ROW()),
  unit_details[Detected Unit Amenities], "&lt;&gt;*"&amp;$AD$3&amp;"*",
  unit_details[Leased Date], "&gt;=" &amp; ($U$2 - $AF$3)
),0)</f>
        <v>0</v>
      </c>
      <c r="AG450" s="527" cm="1">
        <f t="array" aca="1" ref="AG45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0" s="526" cm="1">
        <f t="array" aca="1" ref="AH450" ca="1">IFERROR(COUNTIFS(
  unit_details[Property Name], INDIRECT("B"&amp;ROW()),
  unit_details[Floorplan Name], INDIRECT("C"&amp;ROW()),
  unit_details[Beds], INDIRECT("D"&amp;ROW()),
  unit_details[Detected Unit Amenities], "&lt;&gt;*"&amp;$AD$3&amp;"*",
  unit_details[Leased Date], "&gt;=" &amp; ($U$2 - $AF$3)
),0)</f>
        <v>0</v>
      </c>
      <c r="AI450" s="528"/>
      <c r="AJ450" s="531">
        <f t="shared" ca="1" si="19"/>
        <v>0</v>
      </c>
      <c r="AK450" s="532">
        <f t="shared" ca="1" si="20"/>
        <v>0</v>
      </c>
    </row>
    <row r="451" spans="10:37" x14ac:dyDescent="0.2">
      <c r="J451" s="293"/>
      <c r="N451" s="531" t="str" cm="1">
        <f t="array" aca="1" ref="N45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1" s="552" t="str" cm="1">
        <f t="array" aca="1" ref="O45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1" s="526" cm="1">
        <f t="array" aca="1" ref="P451" ca="1">COUNTIFS(unit_details[Leased Date], "&gt;=" &amp; ($U$2 - N$5),
          unit_details[Leased Date], "&lt;" &amp; $U$2,
          unit_details[Floorplan Name], INDIRECT("C"&amp;ROW()),
          unit_details[Property Name], INDIRECT("B"&amp;ROW()))</f>
        <v>0</v>
      </c>
      <c r="Q451" s="531" t="str" cm="1">
        <f t="array" aca="1" ref="Q45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1" s="552" t="str" cm="1">
        <f t="array" aca="1" ref="R45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1" s="526" cm="1">
        <f t="array" aca="1" ref="S451" ca="1">COUNTIFS(unit_details[Leased Date], "&gt;=" &amp; ($U$2 - Q$5),
          unit_details[Leased Date], "&lt;" &amp; $U$2,
          unit_details[Floorplan Name], INDIRECT("C"&amp;ROW()),
          unit_details[Property Name], INDIRECT("B"&amp;ROW()))</f>
        <v>0</v>
      </c>
      <c r="T451" s="531" t="str" cm="1">
        <f t="array" aca="1" ref="T45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1" s="552" t="str" cm="1">
        <f t="array" aca="1" ref="U45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1" s="526" cm="1">
        <f t="array" aca="1" ref="V451" ca="1">COUNTIFS(unit_details[Leased Date], "&gt;=" &amp; ($U$2 - T$5),
          unit_details[Leased Date], "&lt;" &amp; $U$2,
          unit_details[Floorplan Name], INDIRECT("C"&amp;ROW()),
          unit_details[Property Name], INDIRECT("B"&amp;ROW()))</f>
        <v>0</v>
      </c>
      <c r="W451" s="531" t="str" cm="1">
        <f t="array" aca="1" ref="W45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1" s="552" t="str" cm="1">
        <f t="array" aca="1" ref="X45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1" s="27" t="str">
        <f t="shared" ca="1" si="18"/>
        <v/>
      </c>
      <c r="Z451" s="4" t="str">
        <f>IFERROR($U$2-AVERAGEIFS(unit_details[First Listed],
          unit_details[Active Listing?],TRUE,
          unit_details[Property Name], $B451,
          unit_details[Beds], $D451,
          unit_details[Baths], $E451,
          unit_details[Partial Baths], IF(ISNUMBER($F451),$F451,""),
          unit_details[Floorplan Name],$C451
),"")</f>
        <v/>
      </c>
      <c r="AA451" s="262" cm="1">
        <f t="array" aca="1" ref="AA451" ca="1">COUNTIFS(unit_details[Active Listing?],TRUE,
          unit_details[Floorplan Name], INDIRECT("C"&amp;ROW()),
          unit_details[Property Name], INDIRECT("B"&amp;ROW()))</f>
        <v>0</v>
      </c>
      <c r="AB451" s="553"/>
      <c r="AC451" s="528" cm="1">
        <f t="array" aca="1" ref="AC451" ca="1">IFERROR(AVERAGEIFS(
  unit_details[Sqft],
  unit_details[Property Name], INDIRECT("B"&amp;ROW()),
  unit_details[Floorplan Name], INDIRECT("C"&amp;ROW()),
  unit_details[Beds], INDIRECT("D"&amp;ROW()),
  unit_details[Detected Unit Amenities], "*"&amp;$AD$3&amp;"*",
  unit_details[Leased Date], "&gt;=" &amp; ($U$2 - $AF$3)
),0)</f>
        <v>0</v>
      </c>
      <c r="AD451" s="527" cm="1">
        <f t="array" aca="1" ref="AD4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1" s="526" cm="1">
        <f t="array" aca="1" ref="AE451" ca="1">IFERROR(COUNTIFS(
  unit_details[Property Name], INDIRECT("B"&amp;ROW()),
  unit_details[Floorplan Name], INDIRECT("C"&amp;ROW()),
  unit_details[Beds], INDIRECT("D"&amp;ROW()),
  unit_details[Detected Unit Amenities], "*"&amp;$AD$3&amp;"*",
  unit_details[Leased Date], "&gt;=" &amp; ($U$2 - $AF$3)
),0)</f>
        <v>0</v>
      </c>
      <c r="AF451" s="528" cm="1">
        <f t="array" aca="1" ref="AF451" ca="1">IFERROR(AVERAGEIFS(
  unit_details[Sqft],
  unit_details[Property Name], INDIRECT("B"&amp;ROW()),
  unit_details[Floorplan Name], INDIRECT("C"&amp;ROW()),
  unit_details[Beds], INDIRECT("D"&amp;ROW()),
  unit_details[Detected Unit Amenities], "&lt;&gt;*"&amp;$AD$3&amp;"*",
  unit_details[Leased Date], "&gt;=" &amp; ($U$2 - $AF$3)
),0)</f>
        <v>0</v>
      </c>
      <c r="AG451" s="527" cm="1">
        <f t="array" aca="1" ref="AG45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1" s="526" cm="1">
        <f t="array" aca="1" ref="AH451" ca="1">IFERROR(COUNTIFS(
  unit_details[Property Name], INDIRECT("B"&amp;ROW()),
  unit_details[Floorplan Name], INDIRECT("C"&amp;ROW()),
  unit_details[Beds], INDIRECT("D"&amp;ROW()),
  unit_details[Detected Unit Amenities], "&lt;&gt;*"&amp;$AD$3&amp;"*",
  unit_details[Leased Date], "&gt;=" &amp; ($U$2 - $AF$3)
),0)</f>
        <v>0</v>
      </c>
      <c r="AI451" s="528"/>
      <c r="AJ451" s="531">
        <f t="shared" ca="1" si="19"/>
        <v>0</v>
      </c>
      <c r="AK451" s="532">
        <f t="shared" ca="1" si="20"/>
        <v>0</v>
      </c>
    </row>
    <row r="452" spans="10:37" x14ac:dyDescent="0.2">
      <c r="J452" s="293"/>
      <c r="N452" s="531" t="str" cm="1">
        <f t="array" aca="1" ref="N45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2" s="552" t="str" cm="1">
        <f t="array" aca="1" ref="O45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2" s="526" cm="1">
        <f t="array" aca="1" ref="P452" ca="1">COUNTIFS(unit_details[Leased Date], "&gt;=" &amp; ($U$2 - N$5),
          unit_details[Leased Date], "&lt;" &amp; $U$2,
          unit_details[Floorplan Name], INDIRECT("C"&amp;ROW()),
          unit_details[Property Name], INDIRECT("B"&amp;ROW()))</f>
        <v>0</v>
      </c>
      <c r="Q452" s="531" t="str" cm="1">
        <f t="array" aca="1" ref="Q45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2" s="552" t="str" cm="1">
        <f t="array" aca="1" ref="R45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2" s="526" cm="1">
        <f t="array" aca="1" ref="S452" ca="1">COUNTIFS(unit_details[Leased Date], "&gt;=" &amp; ($U$2 - Q$5),
          unit_details[Leased Date], "&lt;" &amp; $U$2,
          unit_details[Floorplan Name], INDIRECT("C"&amp;ROW()),
          unit_details[Property Name], INDIRECT("B"&amp;ROW()))</f>
        <v>0</v>
      </c>
      <c r="T452" s="531" t="str" cm="1">
        <f t="array" aca="1" ref="T45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2" s="552" t="str" cm="1">
        <f t="array" aca="1" ref="U45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2" s="526" cm="1">
        <f t="array" aca="1" ref="V452" ca="1">COUNTIFS(unit_details[Leased Date], "&gt;=" &amp; ($U$2 - T$5),
          unit_details[Leased Date], "&lt;" &amp; $U$2,
          unit_details[Floorplan Name], INDIRECT("C"&amp;ROW()),
          unit_details[Property Name], INDIRECT("B"&amp;ROW()))</f>
        <v>0</v>
      </c>
      <c r="W452" s="531" t="str" cm="1">
        <f t="array" aca="1" ref="W45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2" s="552" t="str" cm="1">
        <f t="array" aca="1" ref="X45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2" s="27" t="str">
        <f t="shared" ca="1" si="18"/>
        <v/>
      </c>
      <c r="Z452" s="4" t="str">
        <f>IFERROR($U$2-AVERAGEIFS(unit_details[First Listed],
          unit_details[Active Listing?],TRUE,
          unit_details[Property Name], $B452,
          unit_details[Beds], $D452,
          unit_details[Baths], $E452,
          unit_details[Partial Baths], IF(ISNUMBER($F452),$F452,""),
          unit_details[Floorplan Name],$C452
),"")</f>
        <v/>
      </c>
      <c r="AA452" s="262" cm="1">
        <f t="array" aca="1" ref="AA452" ca="1">COUNTIFS(unit_details[Active Listing?],TRUE,
          unit_details[Floorplan Name], INDIRECT("C"&amp;ROW()),
          unit_details[Property Name], INDIRECT("B"&amp;ROW()))</f>
        <v>0</v>
      </c>
      <c r="AB452" s="553"/>
      <c r="AC452" s="528" cm="1">
        <f t="array" aca="1" ref="AC452" ca="1">IFERROR(AVERAGEIFS(
  unit_details[Sqft],
  unit_details[Property Name], INDIRECT("B"&amp;ROW()),
  unit_details[Floorplan Name], INDIRECT("C"&amp;ROW()),
  unit_details[Beds], INDIRECT("D"&amp;ROW()),
  unit_details[Detected Unit Amenities], "*"&amp;$AD$3&amp;"*",
  unit_details[Leased Date], "&gt;=" &amp; ($U$2 - $AF$3)
),0)</f>
        <v>0</v>
      </c>
      <c r="AD452" s="527" cm="1">
        <f t="array" aca="1" ref="AD4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2" s="526" cm="1">
        <f t="array" aca="1" ref="AE452" ca="1">IFERROR(COUNTIFS(
  unit_details[Property Name], INDIRECT("B"&amp;ROW()),
  unit_details[Floorplan Name], INDIRECT("C"&amp;ROW()),
  unit_details[Beds], INDIRECT("D"&amp;ROW()),
  unit_details[Detected Unit Amenities], "*"&amp;$AD$3&amp;"*",
  unit_details[Leased Date], "&gt;=" &amp; ($U$2 - $AF$3)
),0)</f>
        <v>0</v>
      </c>
      <c r="AF452" s="528" cm="1">
        <f t="array" aca="1" ref="AF452" ca="1">IFERROR(AVERAGEIFS(
  unit_details[Sqft],
  unit_details[Property Name], INDIRECT("B"&amp;ROW()),
  unit_details[Floorplan Name], INDIRECT("C"&amp;ROW()),
  unit_details[Beds], INDIRECT("D"&amp;ROW()),
  unit_details[Detected Unit Amenities], "&lt;&gt;*"&amp;$AD$3&amp;"*",
  unit_details[Leased Date], "&gt;=" &amp; ($U$2 - $AF$3)
),0)</f>
        <v>0</v>
      </c>
      <c r="AG452" s="527" cm="1">
        <f t="array" aca="1" ref="AG45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2" s="526" cm="1">
        <f t="array" aca="1" ref="AH452" ca="1">IFERROR(COUNTIFS(
  unit_details[Property Name], INDIRECT("B"&amp;ROW()),
  unit_details[Floorplan Name], INDIRECT("C"&amp;ROW()),
  unit_details[Beds], INDIRECT("D"&amp;ROW()),
  unit_details[Detected Unit Amenities], "&lt;&gt;*"&amp;$AD$3&amp;"*",
  unit_details[Leased Date], "&gt;=" &amp; ($U$2 - $AF$3)
),0)</f>
        <v>0</v>
      </c>
      <c r="AI452" s="528"/>
      <c r="AJ452" s="531">
        <f t="shared" ca="1" si="19"/>
        <v>0</v>
      </c>
      <c r="AK452" s="532">
        <f t="shared" ca="1" si="20"/>
        <v>0</v>
      </c>
    </row>
    <row r="453" spans="10:37" x14ac:dyDescent="0.2">
      <c r="J453" s="293"/>
      <c r="N453" s="531" t="str" cm="1">
        <f t="array" aca="1" ref="N45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3" s="552" t="str" cm="1">
        <f t="array" aca="1" ref="O45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3" s="526" cm="1">
        <f t="array" aca="1" ref="P453" ca="1">COUNTIFS(unit_details[Leased Date], "&gt;=" &amp; ($U$2 - N$5),
          unit_details[Leased Date], "&lt;" &amp; $U$2,
          unit_details[Floorplan Name], INDIRECT("C"&amp;ROW()),
          unit_details[Property Name], INDIRECT("B"&amp;ROW()))</f>
        <v>0</v>
      </c>
      <c r="Q453" s="531" t="str" cm="1">
        <f t="array" aca="1" ref="Q45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3" s="552" t="str" cm="1">
        <f t="array" aca="1" ref="R45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3" s="526" cm="1">
        <f t="array" aca="1" ref="S453" ca="1">COUNTIFS(unit_details[Leased Date], "&gt;=" &amp; ($U$2 - Q$5),
          unit_details[Leased Date], "&lt;" &amp; $U$2,
          unit_details[Floorplan Name], INDIRECT("C"&amp;ROW()),
          unit_details[Property Name], INDIRECT("B"&amp;ROW()))</f>
        <v>0</v>
      </c>
      <c r="T453" s="531" t="str" cm="1">
        <f t="array" aca="1" ref="T45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3" s="552" t="str" cm="1">
        <f t="array" aca="1" ref="U45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3" s="526" cm="1">
        <f t="array" aca="1" ref="V453" ca="1">COUNTIFS(unit_details[Leased Date], "&gt;=" &amp; ($U$2 - T$5),
          unit_details[Leased Date], "&lt;" &amp; $U$2,
          unit_details[Floorplan Name], INDIRECT("C"&amp;ROW()),
          unit_details[Property Name], INDIRECT("B"&amp;ROW()))</f>
        <v>0</v>
      </c>
      <c r="W453" s="531" t="str" cm="1">
        <f t="array" aca="1" ref="W45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3" s="552" t="str" cm="1">
        <f t="array" aca="1" ref="X45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3" s="27" t="str">
        <f t="shared" ca="1" si="18"/>
        <v/>
      </c>
      <c r="Z453" s="4" t="str">
        <f>IFERROR($U$2-AVERAGEIFS(unit_details[First Listed],
          unit_details[Active Listing?],TRUE,
          unit_details[Property Name], $B453,
          unit_details[Beds], $D453,
          unit_details[Baths], $E453,
          unit_details[Partial Baths], IF(ISNUMBER($F453),$F453,""),
          unit_details[Floorplan Name],$C453
),"")</f>
        <v/>
      </c>
      <c r="AA453" s="262" cm="1">
        <f t="array" aca="1" ref="AA453" ca="1">COUNTIFS(unit_details[Active Listing?],TRUE,
          unit_details[Floorplan Name], INDIRECT("C"&amp;ROW()),
          unit_details[Property Name], INDIRECT("B"&amp;ROW()))</f>
        <v>0</v>
      </c>
      <c r="AB453" s="553"/>
      <c r="AC453" s="528" cm="1">
        <f t="array" aca="1" ref="AC453" ca="1">IFERROR(AVERAGEIFS(
  unit_details[Sqft],
  unit_details[Property Name], INDIRECT("B"&amp;ROW()),
  unit_details[Floorplan Name], INDIRECT("C"&amp;ROW()),
  unit_details[Beds], INDIRECT("D"&amp;ROW()),
  unit_details[Detected Unit Amenities], "*"&amp;$AD$3&amp;"*",
  unit_details[Leased Date], "&gt;=" &amp; ($U$2 - $AF$3)
),0)</f>
        <v>0</v>
      </c>
      <c r="AD453" s="527" cm="1">
        <f t="array" aca="1" ref="AD4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3" s="526" cm="1">
        <f t="array" aca="1" ref="AE453" ca="1">IFERROR(COUNTIFS(
  unit_details[Property Name], INDIRECT("B"&amp;ROW()),
  unit_details[Floorplan Name], INDIRECT("C"&amp;ROW()),
  unit_details[Beds], INDIRECT("D"&amp;ROW()),
  unit_details[Detected Unit Amenities], "*"&amp;$AD$3&amp;"*",
  unit_details[Leased Date], "&gt;=" &amp; ($U$2 - $AF$3)
),0)</f>
        <v>0</v>
      </c>
      <c r="AF453" s="528" cm="1">
        <f t="array" aca="1" ref="AF453" ca="1">IFERROR(AVERAGEIFS(
  unit_details[Sqft],
  unit_details[Property Name], INDIRECT("B"&amp;ROW()),
  unit_details[Floorplan Name], INDIRECT("C"&amp;ROW()),
  unit_details[Beds], INDIRECT("D"&amp;ROW()),
  unit_details[Detected Unit Amenities], "&lt;&gt;*"&amp;$AD$3&amp;"*",
  unit_details[Leased Date], "&gt;=" &amp; ($U$2 - $AF$3)
),0)</f>
        <v>0</v>
      </c>
      <c r="AG453" s="527" cm="1">
        <f t="array" aca="1" ref="AG45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3" s="526" cm="1">
        <f t="array" aca="1" ref="AH453" ca="1">IFERROR(COUNTIFS(
  unit_details[Property Name], INDIRECT("B"&amp;ROW()),
  unit_details[Floorplan Name], INDIRECT("C"&amp;ROW()),
  unit_details[Beds], INDIRECT("D"&amp;ROW()),
  unit_details[Detected Unit Amenities], "&lt;&gt;*"&amp;$AD$3&amp;"*",
  unit_details[Leased Date], "&gt;=" &amp; ($U$2 - $AF$3)
),0)</f>
        <v>0</v>
      </c>
      <c r="AI453" s="528"/>
      <c r="AJ453" s="531">
        <f t="shared" ca="1" si="19"/>
        <v>0</v>
      </c>
      <c r="AK453" s="532">
        <f t="shared" ca="1" si="20"/>
        <v>0</v>
      </c>
    </row>
    <row r="454" spans="10:37" x14ac:dyDescent="0.2">
      <c r="J454" s="293"/>
      <c r="N454" s="531" t="str" cm="1">
        <f t="array" aca="1" ref="N45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4" s="552" t="str" cm="1">
        <f t="array" aca="1" ref="O45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4" s="526" cm="1">
        <f t="array" aca="1" ref="P454" ca="1">COUNTIFS(unit_details[Leased Date], "&gt;=" &amp; ($U$2 - N$5),
          unit_details[Leased Date], "&lt;" &amp; $U$2,
          unit_details[Floorplan Name], INDIRECT("C"&amp;ROW()),
          unit_details[Property Name], INDIRECT("B"&amp;ROW()))</f>
        <v>0</v>
      </c>
      <c r="Q454" s="531" t="str" cm="1">
        <f t="array" aca="1" ref="Q45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4" s="552" t="str" cm="1">
        <f t="array" aca="1" ref="R45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4" s="526" cm="1">
        <f t="array" aca="1" ref="S454" ca="1">COUNTIFS(unit_details[Leased Date], "&gt;=" &amp; ($U$2 - Q$5),
          unit_details[Leased Date], "&lt;" &amp; $U$2,
          unit_details[Floorplan Name], INDIRECT("C"&amp;ROW()),
          unit_details[Property Name], INDIRECT("B"&amp;ROW()))</f>
        <v>0</v>
      </c>
      <c r="T454" s="531" t="str" cm="1">
        <f t="array" aca="1" ref="T45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4" s="552" t="str" cm="1">
        <f t="array" aca="1" ref="U45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4" s="526" cm="1">
        <f t="array" aca="1" ref="V454" ca="1">COUNTIFS(unit_details[Leased Date], "&gt;=" &amp; ($U$2 - T$5),
          unit_details[Leased Date], "&lt;" &amp; $U$2,
          unit_details[Floorplan Name], INDIRECT("C"&amp;ROW()),
          unit_details[Property Name], INDIRECT("B"&amp;ROW()))</f>
        <v>0</v>
      </c>
      <c r="W454" s="531" t="str" cm="1">
        <f t="array" aca="1" ref="W45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4" s="552" t="str" cm="1">
        <f t="array" aca="1" ref="X45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4" s="27" t="str">
        <f t="shared" ca="1" si="18"/>
        <v/>
      </c>
      <c r="Z454" s="4" t="str">
        <f>IFERROR($U$2-AVERAGEIFS(unit_details[First Listed],
          unit_details[Active Listing?],TRUE,
          unit_details[Property Name], $B454,
          unit_details[Beds], $D454,
          unit_details[Baths], $E454,
          unit_details[Partial Baths], IF(ISNUMBER($F454),$F454,""),
          unit_details[Floorplan Name],$C454
),"")</f>
        <v/>
      </c>
      <c r="AA454" s="262" cm="1">
        <f t="array" aca="1" ref="AA454" ca="1">COUNTIFS(unit_details[Active Listing?],TRUE,
          unit_details[Floorplan Name], INDIRECT("C"&amp;ROW()),
          unit_details[Property Name], INDIRECT("B"&amp;ROW()))</f>
        <v>0</v>
      </c>
      <c r="AB454" s="553"/>
      <c r="AC454" s="528" cm="1">
        <f t="array" aca="1" ref="AC454" ca="1">IFERROR(AVERAGEIFS(
  unit_details[Sqft],
  unit_details[Property Name], INDIRECT("B"&amp;ROW()),
  unit_details[Floorplan Name], INDIRECT("C"&amp;ROW()),
  unit_details[Beds], INDIRECT("D"&amp;ROW()),
  unit_details[Detected Unit Amenities], "*"&amp;$AD$3&amp;"*",
  unit_details[Leased Date], "&gt;=" &amp; ($U$2 - $AF$3)
),0)</f>
        <v>0</v>
      </c>
      <c r="AD454" s="527" cm="1">
        <f t="array" aca="1" ref="AD4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4" s="526" cm="1">
        <f t="array" aca="1" ref="AE454" ca="1">IFERROR(COUNTIFS(
  unit_details[Property Name], INDIRECT("B"&amp;ROW()),
  unit_details[Floorplan Name], INDIRECT("C"&amp;ROW()),
  unit_details[Beds], INDIRECT("D"&amp;ROW()),
  unit_details[Detected Unit Amenities], "*"&amp;$AD$3&amp;"*",
  unit_details[Leased Date], "&gt;=" &amp; ($U$2 - $AF$3)
),0)</f>
        <v>0</v>
      </c>
      <c r="AF454" s="528" cm="1">
        <f t="array" aca="1" ref="AF454" ca="1">IFERROR(AVERAGEIFS(
  unit_details[Sqft],
  unit_details[Property Name], INDIRECT("B"&amp;ROW()),
  unit_details[Floorplan Name], INDIRECT("C"&amp;ROW()),
  unit_details[Beds], INDIRECT("D"&amp;ROW()),
  unit_details[Detected Unit Amenities], "&lt;&gt;*"&amp;$AD$3&amp;"*",
  unit_details[Leased Date], "&gt;=" &amp; ($U$2 - $AF$3)
),0)</f>
        <v>0</v>
      </c>
      <c r="AG454" s="527" cm="1">
        <f t="array" aca="1" ref="AG45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4" s="526" cm="1">
        <f t="array" aca="1" ref="AH454" ca="1">IFERROR(COUNTIFS(
  unit_details[Property Name], INDIRECT("B"&amp;ROW()),
  unit_details[Floorplan Name], INDIRECT("C"&amp;ROW()),
  unit_details[Beds], INDIRECT("D"&amp;ROW()),
  unit_details[Detected Unit Amenities], "&lt;&gt;*"&amp;$AD$3&amp;"*",
  unit_details[Leased Date], "&gt;=" &amp; ($U$2 - $AF$3)
),0)</f>
        <v>0</v>
      </c>
      <c r="AI454" s="528"/>
      <c r="AJ454" s="531">
        <f t="shared" ca="1" si="19"/>
        <v>0</v>
      </c>
      <c r="AK454" s="532">
        <f t="shared" ca="1" si="20"/>
        <v>0</v>
      </c>
    </row>
    <row r="455" spans="10:37" x14ac:dyDescent="0.2">
      <c r="J455" s="293"/>
      <c r="N455" s="531" t="str" cm="1">
        <f t="array" aca="1" ref="N45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5" s="552" t="str" cm="1">
        <f t="array" aca="1" ref="O45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5" s="526" cm="1">
        <f t="array" aca="1" ref="P455" ca="1">COUNTIFS(unit_details[Leased Date], "&gt;=" &amp; ($U$2 - N$5),
          unit_details[Leased Date], "&lt;" &amp; $U$2,
          unit_details[Floorplan Name], INDIRECT("C"&amp;ROW()),
          unit_details[Property Name], INDIRECT("B"&amp;ROW()))</f>
        <v>0</v>
      </c>
      <c r="Q455" s="531" t="str" cm="1">
        <f t="array" aca="1" ref="Q45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5" s="552" t="str" cm="1">
        <f t="array" aca="1" ref="R45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5" s="526" cm="1">
        <f t="array" aca="1" ref="S455" ca="1">COUNTIFS(unit_details[Leased Date], "&gt;=" &amp; ($U$2 - Q$5),
          unit_details[Leased Date], "&lt;" &amp; $U$2,
          unit_details[Floorplan Name], INDIRECT("C"&amp;ROW()),
          unit_details[Property Name], INDIRECT("B"&amp;ROW()))</f>
        <v>0</v>
      </c>
      <c r="T455" s="531" t="str" cm="1">
        <f t="array" aca="1" ref="T45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5" s="552" t="str" cm="1">
        <f t="array" aca="1" ref="U45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5" s="526" cm="1">
        <f t="array" aca="1" ref="V455" ca="1">COUNTIFS(unit_details[Leased Date], "&gt;=" &amp; ($U$2 - T$5),
          unit_details[Leased Date], "&lt;" &amp; $U$2,
          unit_details[Floorplan Name], INDIRECT("C"&amp;ROW()),
          unit_details[Property Name], INDIRECT("B"&amp;ROW()))</f>
        <v>0</v>
      </c>
      <c r="W455" s="531" t="str" cm="1">
        <f t="array" aca="1" ref="W45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5" s="552" t="str" cm="1">
        <f t="array" aca="1" ref="X45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5" s="27" t="str">
        <f t="shared" ca="1" si="18"/>
        <v/>
      </c>
      <c r="Z455" s="4" t="str">
        <f>IFERROR($U$2-AVERAGEIFS(unit_details[First Listed],
          unit_details[Active Listing?],TRUE,
          unit_details[Property Name], $B455,
          unit_details[Beds], $D455,
          unit_details[Baths], $E455,
          unit_details[Partial Baths], IF(ISNUMBER($F455),$F455,""),
          unit_details[Floorplan Name],$C455
),"")</f>
        <v/>
      </c>
      <c r="AA455" s="262" cm="1">
        <f t="array" aca="1" ref="AA455" ca="1">COUNTIFS(unit_details[Active Listing?],TRUE,
          unit_details[Floorplan Name], INDIRECT("C"&amp;ROW()),
          unit_details[Property Name], INDIRECT("B"&amp;ROW()))</f>
        <v>0</v>
      </c>
      <c r="AB455" s="553"/>
      <c r="AC455" s="528" cm="1">
        <f t="array" aca="1" ref="AC455" ca="1">IFERROR(AVERAGEIFS(
  unit_details[Sqft],
  unit_details[Property Name], INDIRECT("B"&amp;ROW()),
  unit_details[Floorplan Name], INDIRECT("C"&amp;ROW()),
  unit_details[Beds], INDIRECT("D"&amp;ROW()),
  unit_details[Detected Unit Amenities], "*"&amp;$AD$3&amp;"*",
  unit_details[Leased Date], "&gt;=" &amp; ($U$2 - $AF$3)
),0)</f>
        <v>0</v>
      </c>
      <c r="AD455" s="527" cm="1">
        <f t="array" aca="1" ref="AD4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5" s="526" cm="1">
        <f t="array" aca="1" ref="AE455" ca="1">IFERROR(COUNTIFS(
  unit_details[Property Name], INDIRECT("B"&amp;ROW()),
  unit_details[Floorplan Name], INDIRECT("C"&amp;ROW()),
  unit_details[Beds], INDIRECT("D"&amp;ROW()),
  unit_details[Detected Unit Amenities], "*"&amp;$AD$3&amp;"*",
  unit_details[Leased Date], "&gt;=" &amp; ($U$2 - $AF$3)
),0)</f>
        <v>0</v>
      </c>
      <c r="AF455" s="528" cm="1">
        <f t="array" aca="1" ref="AF455" ca="1">IFERROR(AVERAGEIFS(
  unit_details[Sqft],
  unit_details[Property Name], INDIRECT("B"&amp;ROW()),
  unit_details[Floorplan Name], INDIRECT("C"&amp;ROW()),
  unit_details[Beds], INDIRECT("D"&amp;ROW()),
  unit_details[Detected Unit Amenities], "&lt;&gt;*"&amp;$AD$3&amp;"*",
  unit_details[Leased Date], "&gt;=" &amp; ($U$2 - $AF$3)
),0)</f>
        <v>0</v>
      </c>
      <c r="AG455" s="527" cm="1">
        <f t="array" aca="1" ref="AG45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5" s="526" cm="1">
        <f t="array" aca="1" ref="AH455" ca="1">IFERROR(COUNTIFS(
  unit_details[Property Name], INDIRECT("B"&amp;ROW()),
  unit_details[Floorplan Name], INDIRECT("C"&amp;ROW()),
  unit_details[Beds], INDIRECT("D"&amp;ROW()),
  unit_details[Detected Unit Amenities], "&lt;&gt;*"&amp;$AD$3&amp;"*",
  unit_details[Leased Date], "&gt;=" &amp; ($U$2 - $AF$3)
),0)</f>
        <v>0</v>
      </c>
      <c r="AI455" s="528"/>
      <c r="AJ455" s="531">
        <f t="shared" ca="1" si="19"/>
        <v>0</v>
      </c>
      <c r="AK455" s="532">
        <f t="shared" ca="1" si="20"/>
        <v>0</v>
      </c>
    </row>
    <row r="456" spans="10:37" x14ac:dyDescent="0.2">
      <c r="J456" s="293"/>
      <c r="N456" s="531" t="str" cm="1">
        <f t="array" aca="1" ref="N45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6" s="552" t="str" cm="1">
        <f t="array" aca="1" ref="O45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6" s="526" cm="1">
        <f t="array" aca="1" ref="P456" ca="1">COUNTIFS(unit_details[Leased Date], "&gt;=" &amp; ($U$2 - N$5),
          unit_details[Leased Date], "&lt;" &amp; $U$2,
          unit_details[Floorplan Name], INDIRECT("C"&amp;ROW()),
          unit_details[Property Name], INDIRECT("B"&amp;ROW()))</f>
        <v>0</v>
      </c>
      <c r="Q456" s="531" t="str" cm="1">
        <f t="array" aca="1" ref="Q45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6" s="552" t="str" cm="1">
        <f t="array" aca="1" ref="R45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6" s="526" cm="1">
        <f t="array" aca="1" ref="S456" ca="1">COUNTIFS(unit_details[Leased Date], "&gt;=" &amp; ($U$2 - Q$5),
          unit_details[Leased Date], "&lt;" &amp; $U$2,
          unit_details[Floorplan Name], INDIRECT("C"&amp;ROW()),
          unit_details[Property Name], INDIRECT("B"&amp;ROW()))</f>
        <v>0</v>
      </c>
      <c r="T456" s="531" t="str" cm="1">
        <f t="array" aca="1" ref="T45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6" s="552" t="str" cm="1">
        <f t="array" aca="1" ref="U45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6" s="526" cm="1">
        <f t="array" aca="1" ref="V456" ca="1">COUNTIFS(unit_details[Leased Date], "&gt;=" &amp; ($U$2 - T$5),
          unit_details[Leased Date], "&lt;" &amp; $U$2,
          unit_details[Floorplan Name], INDIRECT("C"&amp;ROW()),
          unit_details[Property Name], INDIRECT("B"&amp;ROW()))</f>
        <v>0</v>
      </c>
      <c r="W456" s="531" t="str" cm="1">
        <f t="array" aca="1" ref="W45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6" s="552" t="str" cm="1">
        <f t="array" aca="1" ref="X45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6" s="27" t="str">
        <f t="shared" ref="Y456:Y506" ca="1" si="21">IFERROR((W456-X456)/W456,"")</f>
        <v/>
      </c>
      <c r="Z456" s="4" t="str">
        <f>IFERROR($U$2-AVERAGEIFS(unit_details[First Listed],
          unit_details[Active Listing?],TRUE,
          unit_details[Property Name], $B456,
          unit_details[Beds], $D456,
          unit_details[Baths], $E456,
          unit_details[Partial Baths], IF(ISNUMBER($F456),$F456,""),
          unit_details[Floorplan Name],$C456
),"")</f>
        <v/>
      </c>
      <c r="AA456" s="262" cm="1">
        <f t="array" aca="1" ref="AA456" ca="1">COUNTIFS(unit_details[Active Listing?],TRUE,
          unit_details[Floorplan Name], INDIRECT("C"&amp;ROW()),
          unit_details[Property Name], INDIRECT("B"&amp;ROW()))</f>
        <v>0</v>
      </c>
      <c r="AB456" s="553"/>
      <c r="AC456" s="528" cm="1">
        <f t="array" aca="1" ref="AC456" ca="1">IFERROR(AVERAGEIFS(
  unit_details[Sqft],
  unit_details[Property Name], INDIRECT("B"&amp;ROW()),
  unit_details[Floorplan Name], INDIRECT("C"&amp;ROW()),
  unit_details[Beds], INDIRECT("D"&amp;ROW()),
  unit_details[Detected Unit Amenities], "*"&amp;$AD$3&amp;"*",
  unit_details[Leased Date], "&gt;=" &amp; ($U$2 - $AF$3)
),0)</f>
        <v>0</v>
      </c>
      <c r="AD456" s="527" cm="1">
        <f t="array" aca="1" ref="AD4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6" s="526" cm="1">
        <f t="array" aca="1" ref="AE456" ca="1">IFERROR(COUNTIFS(
  unit_details[Property Name], INDIRECT("B"&amp;ROW()),
  unit_details[Floorplan Name], INDIRECT("C"&amp;ROW()),
  unit_details[Beds], INDIRECT("D"&amp;ROW()),
  unit_details[Detected Unit Amenities], "*"&amp;$AD$3&amp;"*",
  unit_details[Leased Date], "&gt;=" &amp; ($U$2 - $AF$3)
),0)</f>
        <v>0</v>
      </c>
      <c r="AF456" s="528" cm="1">
        <f t="array" aca="1" ref="AF456" ca="1">IFERROR(AVERAGEIFS(
  unit_details[Sqft],
  unit_details[Property Name], INDIRECT("B"&amp;ROW()),
  unit_details[Floorplan Name], INDIRECT("C"&amp;ROW()),
  unit_details[Beds], INDIRECT("D"&amp;ROW()),
  unit_details[Detected Unit Amenities], "&lt;&gt;*"&amp;$AD$3&amp;"*",
  unit_details[Leased Date], "&gt;=" &amp; ($U$2 - $AF$3)
),0)</f>
        <v>0</v>
      </c>
      <c r="AG456" s="527" cm="1">
        <f t="array" aca="1" ref="AG45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6" s="526" cm="1">
        <f t="array" aca="1" ref="AH456" ca="1">IFERROR(COUNTIFS(
  unit_details[Property Name], INDIRECT("B"&amp;ROW()),
  unit_details[Floorplan Name], INDIRECT("C"&amp;ROW()),
  unit_details[Beds], INDIRECT("D"&amp;ROW()),
  unit_details[Detected Unit Amenities], "&lt;&gt;*"&amp;$AD$3&amp;"*",
  unit_details[Leased Date], "&gt;=" &amp; ($U$2 - $AF$3)
),0)</f>
        <v>0</v>
      </c>
      <c r="AI456" s="528"/>
      <c r="AJ456" s="531">
        <f t="shared" ca="1" si="19"/>
        <v>0</v>
      </c>
      <c r="AK456" s="532">
        <f t="shared" ca="1" si="20"/>
        <v>0</v>
      </c>
    </row>
    <row r="457" spans="10:37" x14ac:dyDescent="0.2">
      <c r="J457" s="293"/>
      <c r="N457" s="531" t="str" cm="1">
        <f t="array" aca="1" ref="N45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7" s="552" t="str" cm="1">
        <f t="array" aca="1" ref="O45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7" s="526" cm="1">
        <f t="array" aca="1" ref="P457" ca="1">COUNTIFS(unit_details[Leased Date], "&gt;=" &amp; ($U$2 - N$5),
          unit_details[Leased Date], "&lt;" &amp; $U$2,
          unit_details[Floorplan Name], INDIRECT("C"&amp;ROW()),
          unit_details[Property Name], INDIRECT("B"&amp;ROW()))</f>
        <v>0</v>
      </c>
      <c r="Q457" s="531" t="str" cm="1">
        <f t="array" aca="1" ref="Q45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7" s="552" t="str" cm="1">
        <f t="array" aca="1" ref="R45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7" s="526" cm="1">
        <f t="array" aca="1" ref="S457" ca="1">COUNTIFS(unit_details[Leased Date], "&gt;=" &amp; ($U$2 - Q$5),
          unit_details[Leased Date], "&lt;" &amp; $U$2,
          unit_details[Floorplan Name], INDIRECT("C"&amp;ROW()),
          unit_details[Property Name], INDIRECT("B"&amp;ROW()))</f>
        <v>0</v>
      </c>
      <c r="T457" s="531" t="str" cm="1">
        <f t="array" aca="1" ref="T45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7" s="552" t="str" cm="1">
        <f t="array" aca="1" ref="U45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7" s="526" cm="1">
        <f t="array" aca="1" ref="V457" ca="1">COUNTIFS(unit_details[Leased Date], "&gt;=" &amp; ($U$2 - T$5),
          unit_details[Leased Date], "&lt;" &amp; $U$2,
          unit_details[Floorplan Name], INDIRECT("C"&amp;ROW()),
          unit_details[Property Name], INDIRECT("B"&amp;ROW()))</f>
        <v>0</v>
      </c>
      <c r="W457" s="531" t="str" cm="1">
        <f t="array" aca="1" ref="W45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7" s="552" t="str" cm="1">
        <f t="array" aca="1" ref="X45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7" s="27" t="str">
        <f t="shared" ca="1" si="21"/>
        <v/>
      </c>
      <c r="Z457" s="4" t="str">
        <f>IFERROR($U$2-AVERAGEIFS(unit_details[First Listed],
          unit_details[Active Listing?],TRUE,
          unit_details[Property Name], $B457,
          unit_details[Beds], $D457,
          unit_details[Baths], $E457,
          unit_details[Partial Baths], IF(ISNUMBER($F457),$F457,""),
          unit_details[Floorplan Name],$C457
),"")</f>
        <v/>
      </c>
      <c r="AA457" s="262" cm="1">
        <f t="array" aca="1" ref="AA457" ca="1">COUNTIFS(unit_details[Active Listing?],TRUE,
          unit_details[Floorplan Name], INDIRECT("C"&amp;ROW()),
          unit_details[Property Name], INDIRECT("B"&amp;ROW()))</f>
        <v>0</v>
      </c>
      <c r="AB457" s="553"/>
      <c r="AC457" s="528" cm="1">
        <f t="array" aca="1" ref="AC457" ca="1">IFERROR(AVERAGEIFS(
  unit_details[Sqft],
  unit_details[Property Name], INDIRECT("B"&amp;ROW()),
  unit_details[Floorplan Name], INDIRECT("C"&amp;ROW()),
  unit_details[Beds], INDIRECT("D"&amp;ROW()),
  unit_details[Detected Unit Amenities], "*"&amp;$AD$3&amp;"*",
  unit_details[Leased Date], "&gt;=" &amp; ($U$2 - $AF$3)
),0)</f>
        <v>0</v>
      </c>
      <c r="AD457" s="527" cm="1">
        <f t="array" aca="1" ref="AD4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7" s="526" cm="1">
        <f t="array" aca="1" ref="AE457" ca="1">IFERROR(COUNTIFS(
  unit_details[Property Name], INDIRECT("B"&amp;ROW()),
  unit_details[Floorplan Name], INDIRECT("C"&amp;ROW()),
  unit_details[Beds], INDIRECT("D"&amp;ROW()),
  unit_details[Detected Unit Amenities], "*"&amp;$AD$3&amp;"*",
  unit_details[Leased Date], "&gt;=" &amp; ($U$2 - $AF$3)
),0)</f>
        <v>0</v>
      </c>
      <c r="AF457" s="528" cm="1">
        <f t="array" aca="1" ref="AF457" ca="1">IFERROR(AVERAGEIFS(
  unit_details[Sqft],
  unit_details[Property Name], INDIRECT("B"&amp;ROW()),
  unit_details[Floorplan Name], INDIRECT("C"&amp;ROW()),
  unit_details[Beds], INDIRECT("D"&amp;ROW()),
  unit_details[Detected Unit Amenities], "&lt;&gt;*"&amp;$AD$3&amp;"*",
  unit_details[Leased Date], "&gt;=" &amp; ($U$2 - $AF$3)
),0)</f>
        <v>0</v>
      </c>
      <c r="AG457" s="527" cm="1">
        <f t="array" aca="1" ref="AG45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7" s="526" cm="1">
        <f t="array" aca="1" ref="AH457" ca="1">IFERROR(COUNTIFS(
  unit_details[Property Name], INDIRECT("B"&amp;ROW()),
  unit_details[Floorplan Name], INDIRECT("C"&amp;ROW()),
  unit_details[Beds], INDIRECT("D"&amp;ROW()),
  unit_details[Detected Unit Amenities], "&lt;&gt;*"&amp;$AD$3&amp;"*",
  unit_details[Leased Date], "&gt;=" &amp; ($U$2 - $AF$3)
),0)</f>
        <v>0</v>
      </c>
      <c r="AI457" s="528"/>
      <c r="AJ457" s="531">
        <f t="shared" ref="AJ457:AJ506" ca="1" si="22">IF(OR(AD457=0,AG457=0),0,IFERROR(AD457-AG457,0))</f>
        <v>0</v>
      </c>
      <c r="AK457" s="532">
        <f t="shared" ref="AK457:AK506" ca="1" si="23">IFERROR(AJ457/AG457,0)</f>
        <v>0</v>
      </c>
    </row>
    <row r="458" spans="10:37" x14ac:dyDescent="0.2">
      <c r="J458" s="293"/>
      <c r="N458" s="531" t="str" cm="1">
        <f t="array" aca="1" ref="N45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8" s="552" t="str" cm="1">
        <f t="array" aca="1" ref="O45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8" s="526" cm="1">
        <f t="array" aca="1" ref="P458" ca="1">COUNTIFS(unit_details[Leased Date], "&gt;=" &amp; ($U$2 - N$5),
          unit_details[Leased Date], "&lt;" &amp; $U$2,
          unit_details[Floorplan Name], INDIRECT("C"&amp;ROW()),
          unit_details[Property Name], INDIRECT("B"&amp;ROW()))</f>
        <v>0</v>
      </c>
      <c r="Q458" s="531" t="str" cm="1">
        <f t="array" aca="1" ref="Q45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8" s="552" t="str" cm="1">
        <f t="array" aca="1" ref="R45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8" s="526" cm="1">
        <f t="array" aca="1" ref="S458" ca="1">COUNTIFS(unit_details[Leased Date], "&gt;=" &amp; ($U$2 - Q$5),
          unit_details[Leased Date], "&lt;" &amp; $U$2,
          unit_details[Floorplan Name], INDIRECT("C"&amp;ROW()),
          unit_details[Property Name], INDIRECT("B"&amp;ROW()))</f>
        <v>0</v>
      </c>
      <c r="T458" s="531" t="str" cm="1">
        <f t="array" aca="1" ref="T45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8" s="552" t="str" cm="1">
        <f t="array" aca="1" ref="U45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8" s="526" cm="1">
        <f t="array" aca="1" ref="V458" ca="1">COUNTIFS(unit_details[Leased Date], "&gt;=" &amp; ($U$2 - T$5),
          unit_details[Leased Date], "&lt;" &amp; $U$2,
          unit_details[Floorplan Name], INDIRECT("C"&amp;ROW()),
          unit_details[Property Name], INDIRECT("B"&amp;ROW()))</f>
        <v>0</v>
      </c>
      <c r="W458" s="531" t="str" cm="1">
        <f t="array" aca="1" ref="W45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8" s="552" t="str" cm="1">
        <f t="array" aca="1" ref="X45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8" s="27" t="str">
        <f t="shared" ca="1" si="21"/>
        <v/>
      </c>
      <c r="Z458" s="4" t="str">
        <f>IFERROR($U$2-AVERAGEIFS(unit_details[First Listed],
          unit_details[Active Listing?],TRUE,
          unit_details[Property Name], $B458,
          unit_details[Beds], $D458,
          unit_details[Baths], $E458,
          unit_details[Partial Baths], IF(ISNUMBER($F458),$F458,""),
          unit_details[Floorplan Name],$C458
),"")</f>
        <v/>
      </c>
      <c r="AA458" s="262" cm="1">
        <f t="array" aca="1" ref="AA458" ca="1">COUNTIFS(unit_details[Active Listing?],TRUE,
          unit_details[Floorplan Name], INDIRECT("C"&amp;ROW()),
          unit_details[Property Name], INDIRECT("B"&amp;ROW()))</f>
        <v>0</v>
      </c>
      <c r="AB458" s="553"/>
      <c r="AC458" s="528" cm="1">
        <f t="array" aca="1" ref="AC458" ca="1">IFERROR(AVERAGEIFS(
  unit_details[Sqft],
  unit_details[Property Name], INDIRECT("B"&amp;ROW()),
  unit_details[Floorplan Name], INDIRECT("C"&amp;ROW()),
  unit_details[Beds], INDIRECT("D"&amp;ROW()),
  unit_details[Detected Unit Amenities], "*"&amp;$AD$3&amp;"*",
  unit_details[Leased Date], "&gt;=" &amp; ($U$2 - $AF$3)
),0)</f>
        <v>0</v>
      </c>
      <c r="AD458" s="527" cm="1">
        <f t="array" aca="1" ref="AD4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8" s="526" cm="1">
        <f t="array" aca="1" ref="AE458" ca="1">IFERROR(COUNTIFS(
  unit_details[Property Name], INDIRECT("B"&amp;ROW()),
  unit_details[Floorplan Name], INDIRECT("C"&amp;ROW()),
  unit_details[Beds], INDIRECT("D"&amp;ROW()),
  unit_details[Detected Unit Amenities], "*"&amp;$AD$3&amp;"*",
  unit_details[Leased Date], "&gt;=" &amp; ($U$2 - $AF$3)
),0)</f>
        <v>0</v>
      </c>
      <c r="AF458" s="528" cm="1">
        <f t="array" aca="1" ref="AF458" ca="1">IFERROR(AVERAGEIFS(
  unit_details[Sqft],
  unit_details[Property Name], INDIRECT("B"&amp;ROW()),
  unit_details[Floorplan Name], INDIRECT("C"&amp;ROW()),
  unit_details[Beds], INDIRECT("D"&amp;ROW()),
  unit_details[Detected Unit Amenities], "&lt;&gt;*"&amp;$AD$3&amp;"*",
  unit_details[Leased Date], "&gt;=" &amp; ($U$2 - $AF$3)
),0)</f>
        <v>0</v>
      </c>
      <c r="AG458" s="527" cm="1">
        <f t="array" aca="1" ref="AG45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8" s="526" cm="1">
        <f t="array" aca="1" ref="AH458" ca="1">IFERROR(COUNTIFS(
  unit_details[Property Name], INDIRECT("B"&amp;ROW()),
  unit_details[Floorplan Name], INDIRECT("C"&amp;ROW()),
  unit_details[Beds], INDIRECT("D"&amp;ROW()),
  unit_details[Detected Unit Amenities], "&lt;&gt;*"&amp;$AD$3&amp;"*",
  unit_details[Leased Date], "&gt;=" &amp; ($U$2 - $AF$3)
),0)</f>
        <v>0</v>
      </c>
      <c r="AI458" s="528"/>
      <c r="AJ458" s="531">
        <f t="shared" ca="1" si="22"/>
        <v>0</v>
      </c>
      <c r="AK458" s="532">
        <f t="shared" ca="1" si="23"/>
        <v>0</v>
      </c>
    </row>
    <row r="459" spans="10:37" x14ac:dyDescent="0.2">
      <c r="J459" s="293"/>
      <c r="N459" s="531" t="str" cm="1">
        <f t="array" aca="1" ref="N45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59" s="552" t="str" cm="1">
        <f t="array" aca="1" ref="O45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59" s="526" cm="1">
        <f t="array" aca="1" ref="P459" ca="1">COUNTIFS(unit_details[Leased Date], "&gt;=" &amp; ($U$2 - N$5),
          unit_details[Leased Date], "&lt;" &amp; $U$2,
          unit_details[Floorplan Name], INDIRECT("C"&amp;ROW()),
          unit_details[Property Name], INDIRECT("B"&amp;ROW()))</f>
        <v>0</v>
      </c>
      <c r="Q459" s="531" t="str" cm="1">
        <f t="array" aca="1" ref="Q45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59" s="552" t="str" cm="1">
        <f t="array" aca="1" ref="R45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59" s="526" cm="1">
        <f t="array" aca="1" ref="S459" ca="1">COUNTIFS(unit_details[Leased Date], "&gt;=" &amp; ($U$2 - Q$5),
          unit_details[Leased Date], "&lt;" &amp; $U$2,
          unit_details[Floorplan Name], INDIRECT("C"&amp;ROW()),
          unit_details[Property Name], INDIRECT("B"&amp;ROW()))</f>
        <v>0</v>
      </c>
      <c r="T459" s="531" t="str" cm="1">
        <f t="array" aca="1" ref="T45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59" s="552" t="str" cm="1">
        <f t="array" aca="1" ref="U45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59" s="526" cm="1">
        <f t="array" aca="1" ref="V459" ca="1">COUNTIFS(unit_details[Leased Date], "&gt;=" &amp; ($U$2 - T$5),
          unit_details[Leased Date], "&lt;" &amp; $U$2,
          unit_details[Floorplan Name], INDIRECT("C"&amp;ROW()),
          unit_details[Property Name], INDIRECT("B"&amp;ROW()))</f>
        <v>0</v>
      </c>
      <c r="W459" s="531" t="str" cm="1">
        <f t="array" aca="1" ref="W45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59" s="552" t="str" cm="1">
        <f t="array" aca="1" ref="X45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59" s="27" t="str">
        <f t="shared" ca="1" si="21"/>
        <v/>
      </c>
      <c r="Z459" s="4" t="str">
        <f>IFERROR($U$2-AVERAGEIFS(unit_details[First Listed],
          unit_details[Active Listing?],TRUE,
          unit_details[Property Name], $B459,
          unit_details[Beds], $D459,
          unit_details[Baths], $E459,
          unit_details[Partial Baths], IF(ISNUMBER($F459),$F459,""),
          unit_details[Floorplan Name],$C459
),"")</f>
        <v/>
      </c>
      <c r="AA459" s="262" cm="1">
        <f t="array" aca="1" ref="AA459" ca="1">COUNTIFS(unit_details[Active Listing?],TRUE,
          unit_details[Floorplan Name], INDIRECT("C"&amp;ROW()),
          unit_details[Property Name], INDIRECT("B"&amp;ROW()))</f>
        <v>0</v>
      </c>
      <c r="AB459" s="553"/>
      <c r="AC459" s="528" cm="1">
        <f t="array" aca="1" ref="AC459" ca="1">IFERROR(AVERAGEIFS(
  unit_details[Sqft],
  unit_details[Property Name], INDIRECT("B"&amp;ROW()),
  unit_details[Floorplan Name], INDIRECT("C"&amp;ROW()),
  unit_details[Beds], INDIRECT("D"&amp;ROW()),
  unit_details[Detected Unit Amenities], "*"&amp;$AD$3&amp;"*",
  unit_details[Leased Date], "&gt;=" &amp; ($U$2 - $AF$3)
),0)</f>
        <v>0</v>
      </c>
      <c r="AD459" s="527" cm="1">
        <f t="array" aca="1" ref="AD4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59" s="526" cm="1">
        <f t="array" aca="1" ref="AE459" ca="1">IFERROR(COUNTIFS(
  unit_details[Property Name], INDIRECT("B"&amp;ROW()),
  unit_details[Floorplan Name], INDIRECT("C"&amp;ROW()),
  unit_details[Beds], INDIRECT("D"&amp;ROW()),
  unit_details[Detected Unit Amenities], "*"&amp;$AD$3&amp;"*",
  unit_details[Leased Date], "&gt;=" &amp; ($U$2 - $AF$3)
),0)</f>
        <v>0</v>
      </c>
      <c r="AF459" s="528" cm="1">
        <f t="array" aca="1" ref="AF459" ca="1">IFERROR(AVERAGEIFS(
  unit_details[Sqft],
  unit_details[Property Name], INDIRECT("B"&amp;ROW()),
  unit_details[Floorplan Name], INDIRECT("C"&amp;ROW()),
  unit_details[Beds], INDIRECT("D"&amp;ROW()),
  unit_details[Detected Unit Amenities], "&lt;&gt;*"&amp;$AD$3&amp;"*",
  unit_details[Leased Date], "&gt;=" &amp; ($U$2 - $AF$3)
),0)</f>
        <v>0</v>
      </c>
      <c r="AG459" s="527" cm="1">
        <f t="array" aca="1" ref="AG45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59" s="526" cm="1">
        <f t="array" aca="1" ref="AH459" ca="1">IFERROR(COUNTIFS(
  unit_details[Property Name], INDIRECT("B"&amp;ROW()),
  unit_details[Floorplan Name], INDIRECT("C"&amp;ROW()),
  unit_details[Beds], INDIRECT("D"&amp;ROW()),
  unit_details[Detected Unit Amenities], "&lt;&gt;*"&amp;$AD$3&amp;"*",
  unit_details[Leased Date], "&gt;=" &amp; ($U$2 - $AF$3)
),0)</f>
        <v>0</v>
      </c>
      <c r="AI459" s="528"/>
      <c r="AJ459" s="531">
        <f t="shared" ca="1" si="22"/>
        <v>0</v>
      </c>
      <c r="AK459" s="532">
        <f t="shared" ca="1" si="23"/>
        <v>0</v>
      </c>
    </row>
    <row r="460" spans="10:37" x14ac:dyDescent="0.2">
      <c r="J460" s="293"/>
      <c r="N460" s="531" t="str" cm="1">
        <f t="array" aca="1" ref="N46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0" s="552" t="str" cm="1">
        <f t="array" aca="1" ref="O46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0" s="526" cm="1">
        <f t="array" aca="1" ref="P460" ca="1">COUNTIFS(unit_details[Leased Date], "&gt;=" &amp; ($U$2 - N$5),
          unit_details[Leased Date], "&lt;" &amp; $U$2,
          unit_details[Floorplan Name], INDIRECT("C"&amp;ROW()),
          unit_details[Property Name], INDIRECT("B"&amp;ROW()))</f>
        <v>0</v>
      </c>
      <c r="Q460" s="531" t="str" cm="1">
        <f t="array" aca="1" ref="Q46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0" s="552" t="str" cm="1">
        <f t="array" aca="1" ref="R46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0" s="526" cm="1">
        <f t="array" aca="1" ref="S460" ca="1">COUNTIFS(unit_details[Leased Date], "&gt;=" &amp; ($U$2 - Q$5),
          unit_details[Leased Date], "&lt;" &amp; $U$2,
          unit_details[Floorplan Name], INDIRECT("C"&amp;ROW()),
          unit_details[Property Name], INDIRECT("B"&amp;ROW()))</f>
        <v>0</v>
      </c>
      <c r="T460" s="531" t="str" cm="1">
        <f t="array" aca="1" ref="T46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0" s="552" t="str" cm="1">
        <f t="array" aca="1" ref="U46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0" s="526" cm="1">
        <f t="array" aca="1" ref="V460" ca="1">COUNTIFS(unit_details[Leased Date], "&gt;=" &amp; ($U$2 - T$5),
          unit_details[Leased Date], "&lt;" &amp; $U$2,
          unit_details[Floorplan Name], INDIRECT("C"&amp;ROW()),
          unit_details[Property Name], INDIRECT("B"&amp;ROW()))</f>
        <v>0</v>
      </c>
      <c r="W460" s="531" t="str" cm="1">
        <f t="array" aca="1" ref="W46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0" s="552" t="str" cm="1">
        <f t="array" aca="1" ref="X46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0" s="27" t="str">
        <f t="shared" ca="1" si="21"/>
        <v/>
      </c>
      <c r="Z460" s="4" t="str">
        <f>IFERROR($U$2-AVERAGEIFS(unit_details[First Listed],
          unit_details[Active Listing?],TRUE,
          unit_details[Property Name], $B460,
          unit_details[Beds], $D460,
          unit_details[Baths], $E460,
          unit_details[Partial Baths], IF(ISNUMBER($F460),$F460,""),
          unit_details[Floorplan Name],$C460
),"")</f>
        <v/>
      </c>
      <c r="AA460" s="262" cm="1">
        <f t="array" aca="1" ref="AA460" ca="1">COUNTIFS(unit_details[Active Listing?],TRUE,
          unit_details[Floorplan Name], INDIRECT("C"&amp;ROW()),
          unit_details[Property Name], INDIRECT("B"&amp;ROW()))</f>
        <v>0</v>
      </c>
      <c r="AB460" s="553"/>
      <c r="AC460" s="528" cm="1">
        <f t="array" aca="1" ref="AC460" ca="1">IFERROR(AVERAGEIFS(
  unit_details[Sqft],
  unit_details[Property Name], INDIRECT("B"&amp;ROW()),
  unit_details[Floorplan Name], INDIRECT("C"&amp;ROW()),
  unit_details[Beds], INDIRECT("D"&amp;ROW()),
  unit_details[Detected Unit Amenities], "*"&amp;$AD$3&amp;"*",
  unit_details[Leased Date], "&gt;=" &amp; ($U$2 - $AF$3)
),0)</f>
        <v>0</v>
      </c>
      <c r="AD460" s="527" cm="1">
        <f t="array" aca="1" ref="AD4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0" s="526" cm="1">
        <f t="array" aca="1" ref="AE460" ca="1">IFERROR(COUNTIFS(
  unit_details[Property Name], INDIRECT("B"&amp;ROW()),
  unit_details[Floorplan Name], INDIRECT("C"&amp;ROW()),
  unit_details[Beds], INDIRECT("D"&amp;ROW()),
  unit_details[Detected Unit Amenities], "*"&amp;$AD$3&amp;"*",
  unit_details[Leased Date], "&gt;=" &amp; ($U$2 - $AF$3)
),0)</f>
        <v>0</v>
      </c>
      <c r="AF460" s="528" cm="1">
        <f t="array" aca="1" ref="AF460" ca="1">IFERROR(AVERAGEIFS(
  unit_details[Sqft],
  unit_details[Property Name], INDIRECT("B"&amp;ROW()),
  unit_details[Floorplan Name], INDIRECT("C"&amp;ROW()),
  unit_details[Beds], INDIRECT("D"&amp;ROW()),
  unit_details[Detected Unit Amenities], "&lt;&gt;*"&amp;$AD$3&amp;"*",
  unit_details[Leased Date], "&gt;=" &amp; ($U$2 - $AF$3)
),0)</f>
        <v>0</v>
      </c>
      <c r="AG460" s="527" cm="1">
        <f t="array" aca="1" ref="AG46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0" s="526" cm="1">
        <f t="array" aca="1" ref="AH460" ca="1">IFERROR(COUNTIFS(
  unit_details[Property Name], INDIRECT("B"&amp;ROW()),
  unit_details[Floorplan Name], INDIRECT("C"&amp;ROW()),
  unit_details[Beds], INDIRECT("D"&amp;ROW()),
  unit_details[Detected Unit Amenities], "&lt;&gt;*"&amp;$AD$3&amp;"*",
  unit_details[Leased Date], "&gt;=" &amp; ($U$2 - $AF$3)
),0)</f>
        <v>0</v>
      </c>
      <c r="AI460" s="528"/>
      <c r="AJ460" s="531">
        <f t="shared" ca="1" si="22"/>
        <v>0</v>
      </c>
      <c r="AK460" s="532">
        <f t="shared" ca="1" si="23"/>
        <v>0</v>
      </c>
    </row>
    <row r="461" spans="10:37" x14ac:dyDescent="0.2">
      <c r="J461" s="293"/>
      <c r="N461" s="531" t="str" cm="1">
        <f t="array" aca="1" ref="N46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1" s="552" t="str" cm="1">
        <f t="array" aca="1" ref="O46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1" s="526" cm="1">
        <f t="array" aca="1" ref="P461" ca="1">COUNTIFS(unit_details[Leased Date], "&gt;=" &amp; ($U$2 - N$5),
          unit_details[Leased Date], "&lt;" &amp; $U$2,
          unit_details[Floorplan Name], INDIRECT("C"&amp;ROW()),
          unit_details[Property Name], INDIRECT("B"&amp;ROW()))</f>
        <v>0</v>
      </c>
      <c r="Q461" s="531" t="str" cm="1">
        <f t="array" aca="1" ref="Q46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1" s="552" t="str" cm="1">
        <f t="array" aca="1" ref="R46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1" s="526" cm="1">
        <f t="array" aca="1" ref="S461" ca="1">COUNTIFS(unit_details[Leased Date], "&gt;=" &amp; ($U$2 - Q$5),
          unit_details[Leased Date], "&lt;" &amp; $U$2,
          unit_details[Floorplan Name], INDIRECT("C"&amp;ROW()),
          unit_details[Property Name], INDIRECT("B"&amp;ROW()))</f>
        <v>0</v>
      </c>
      <c r="T461" s="531" t="str" cm="1">
        <f t="array" aca="1" ref="T46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1" s="552" t="str" cm="1">
        <f t="array" aca="1" ref="U46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1" s="526" cm="1">
        <f t="array" aca="1" ref="V461" ca="1">COUNTIFS(unit_details[Leased Date], "&gt;=" &amp; ($U$2 - T$5),
          unit_details[Leased Date], "&lt;" &amp; $U$2,
          unit_details[Floorplan Name], INDIRECT("C"&amp;ROW()),
          unit_details[Property Name], INDIRECT("B"&amp;ROW()))</f>
        <v>0</v>
      </c>
      <c r="W461" s="531" t="str" cm="1">
        <f t="array" aca="1" ref="W46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1" s="552" t="str" cm="1">
        <f t="array" aca="1" ref="X46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1" s="27" t="str">
        <f t="shared" ca="1" si="21"/>
        <v/>
      </c>
      <c r="Z461" s="4" t="str">
        <f>IFERROR($U$2-AVERAGEIFS(unit_details[First Listed],
          unit_details[Active Listing?],TRUE,
          unit_details[Property Name], $B461,
          unit_details[Beds], $D461,
          unit_details[Baths], $E461,
          unit_details[Partial Baths], IF(ISNUMBER($F461),$F461,""),
          unit_details[Floorplan Name],$C461
),"")</f>
        <v/>
      </c>
      <c r="AA461" s="262" cm="1">
        <f t="array" aca="1" ref="AA461" ca="1">COUNTIFS(unit_details[Active Listing?],TRUE,
          unit_details[Floorplan Name], INDIRECT("C"&amp;ROW()),
          unit_details[Property Name], INDIRECT("B"&amp;ROW()))</f>
        <v>0</v>
      </c>
      <c r="AB461" s="553"/>
      <c r="AC461" s="528" cm="1">
        <f t="array" aca="1" ref="AC461" ca="1">IFERROR(AVERAGEIFS(
  unit_details[Sqft],
  unit_details[Property Name], INDIRECT("B"&amp;ROW()),
  unit_details[Floorplan Name], INDIRECT("C"&amp;ROW()),
  unit_details[Beds], INDIRECT("D"&amp;ROW()),
  unit_details[Detected Unit Amenities], "*"&amp;$AD$3&amp;"*",
  unit_details[Leased Date], "&gt;=" &amp; ($U$2 - $AF$3)
),0)</f>
        <v>0</v>
      </c>
      <c r="AD461" s="527" cm="1">
        <f t="array" aca="1" ref="AD4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1" s="526" cm="1">
        <f t="array" aca="1" ref="AE461" ca="1">IFERROR(COUNTIFS(
  unit_details[Property Name], INDIRECT("B"&amp;ROW()),
  unit_details[Floorplan Name], INDIRECT("C"&amp;ROW()),
  unit_details[Beds], INDIRECT("D"&amp;ROW()),
  unit_details[Detected Unit Amenities], "*"&amp;$AD$3&amp;"*",
  unit_details[Leased Date], "&gt;=" &amp; ($U$2 - $AF$3)
),0)</f>
        <v>0</v>
      </c>
      <c r="AF461" s="528" cm="1">
        <f t="array" aca="1" ref="AF461" ca="1">IFERROR(AVERAGEIFS(
  unit_details[Sqft],
  unit_details[Property Name], INDIRECT("B"&amp;ROW()),
  unit_details[Floorplan Name], INDIRECT("C"&amp;ROW()),
  unit_details[Beds], INDIRECT("D"&amp;ROW()),
  unit_details[Detected Unit Amenities], "&lt;&gt;*"&amp;$AD$3&amp;"*",
  unit_details[Leased Date], "&gt;=" &amp; ($U$2 - $AF$3)
),0)</f>
        <v>0</v>
      </c>
      <c r="AG461" s="527" cm="1">
        <f t="array" aca="1" ref="AG46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1" s="526" cm="1">
        <f t="array" aca="1" ref="AH461" ca="1">IFERROR(COUNTIFS(
  unit_details[Property Name], INDIRECT("B"&amp;ROW()),
  unit_details[Floorplan Name], INDIRECT("C"&amp;ROW()),
  unit_details[Beds], INDIRECT("D"&amp;ROW()),
  unit_details[Detected Unit Amenities], "&lt;&gt;*"&amp;$AD$3&amp;"*",
  unit_details[Leased Date], "&gt;=" &amp; ($U$2 - $AF$3)
),0)</f>
        <v>0</v>
      </c>
      <c r="AI461" s="528"/>
      <c r="AJ461" s="531">
        <f t="shared" ca="1" si="22"/>
        <v>0</v>
      </c>
      <c r="AK461" s="532">
        <f t="shared" ca="1" si="23"/>
        <v>0</v>
      </c>
    </row>
    <row r="462" spans="10:37" x14ac:dyDescent="0.2">
      <c r="J462" s="293"/>
      <c r="N462" s="531" t="str" cm="1">
        <f t="array" aca="1" ref="N46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2" s="552" t="str" cm="1">
        <f t="array" aca="1" ref="O46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2" s="526" cm="1">
        <f t="array" aca="1" ref="P462" ca="1">COUNTIFS(unit_details[Leased Date], "&gt;=" &amp; ($U$2 - N$5),
          unit_details[Leased Date], "&lt;" &amp; $U$2,
          unit_details[Floorplan Name], INDIRECT("C"&amp;ROW()),
          unit_details[Property Name], INDIRECT("B"&amp;ROW()))</f>
        <v>0</v>
      </c>
      <c r="Q462" s="531" t="str" cm="1">
        <f t="array" aca="1" ref="Q46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2" s="552" t="str" cm="1">
        <f t="array" aca="1" ref="R46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2" s="526" cm="1">
        <f t="array" aca="1" ref="S462" ca="1">COUNTIFS(unit_details[Leased Date], "&gt;=" &amp; ($U$2 - Q$5),
          unit_details[Leased Date], "&lt;" &amp; $U$2,
          unit_details[Floorplan Name], INDIRECT("C"&amp;ROW()),
          unit_details[Property Name], INDIRECT("B"&amp;ROW()))</f>
        <v>0</v>
      </c>
      <c r="T462" s="531" t="str" cm="1">
        <f t="array" aca="1" ref="T46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2" s="552" t="str" cm="1">
        <f t="array" aca="1" ref="U46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2" s="526" cm="1">
        <f t="array" aca="1" ref="V462" ca="1">COUNTIFS(unit_details[Leased Date], "&gt;=" &amp; ($U$2 - T$5),
          unit_details[Leased Date], "&lt;" &amp; $U$2,
          unit_details[Floorplan Name], INDIRECT("C"&amp;ROW()),
          unit_details[Property Name], INDIRECT("B"&amp;ROW()))</f>
        <v>0</v>
      </c>
      <c r="W462" s="531" t="str" cm="1">
        <f t="array" aca="1" ref="W46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2" s="552" t="str" cm="1">
        <f t="array" aca="1" ref="X46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2" s="27" t="str">
        <f t="shared" ca="1" si="21"/>
        <v/>
      </c>
      <c r="Z462" s="4" t="str">
        <f>IFERROR($U$2-AVERAGEIFS(unit_details[First Listed],
          unit_details[Active Listing?],TRUE,
          unit_details[Property Name], $B462,
          unit_details[Beds], $D462,
          unit_details[Baths], $E462,
          unit_details[Partial Baths], IF(ISNUMBER($F462),$F462,""),
          unit_details[Floorplan Name],$C462
),"")</f>
        <v/>
      </c>
      <c r="AA462" s="262" cm="1">
        <f t="array" aca="1" ref="AA462" ca="1">COUNTIFS(unit_details[Active Listing?],TRUE,
          unit_details[Floorplan Name], INDIRECT("C"&amp;ROW()),
          unit_details[Property Name], INDIRECT("B"&amp;ROW()))</f>
        <v>0</v>
      </c>
      <c r="AB462" s="553"/>
      <c r="AC462" s="528" cm="1">
        <f t="array" aca="1" ref="AC462" ca="1">IFERROR(AVERAGEIFS(
  unit_details[Sqft],
  unit_details[Property Name], INDIRECT("B"&amp;ROW()),
  unit_details[Floorplan Name], INDIRECT("C"&amp;ROW()),
  unit_details[Beds], INDIRECT("D"&amp;ROW()),
  unit_details[Detected Unit Amenities], "*"&amp;$AD$3&amp;"*",
  unit_details[Leased Date], "&gt;=" &amp; ($U$2 - $AF$3)
),0)</f>
        <v>0</v>
      </c>
      <c r="AD462" s="527" cm="1">
        <f t="array" aca="1" ref="AD4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2" s="526" cm="1">
        <f t="array" aca="1" ref="AE462" ca="1">IFERROR(COUNTIFS(
  unit_details[Property Name], INDIRECT("B"&amp;ROW()),
  unit_details[Floorplan Name], INDIRECT("C"&amp;ROW()),
  unit_details[Beds], INDIRECT("D"&amp;ROW()),
  unit_details[Detected Unit Amenities], "*"&amp;$AD$3&amp;"*",
  unit_details[Leased Date], "&gt;=" &amp; ($U$2 - $AF$3)
),0)</f>
        <v>0</v>
      </c>
      <c r="AF462" s="528" cm="1">
        <f t="array" aca="1" ref="AF462" ca="1">IFERROR(AVERAGEIFS(
  unit_details[Sqft],
  unit_details[Property Name], INDIRECT("B"&amp;ROW()),
  unit_details[Floorplan Name], INDIRECT("C"&amp;ROW()),
  unit_details[Beds], INDIRECT("D"&amp;ROW()),
  unit_details[Detected Unit Amenities], "&lt;&gt;*"&amp;$AD$3&amp;"*",
  unit_details[Leased Date], "&gt;=" &amp; ($U$2 - $AF$3)
),0)</f>
        <v>0</v>
      </c>
      <c r="AG462" s="527" cm="1">
        <f t="array" aca="1" ref="AG46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2" s="526" cm="1">
        <f t="array" aca="1" ref="AH462" ca="1">IFERROR(COUNTIFS(
  unit_details[Property Name], INDIRECT("B"&amp;ROW()),
  unit_details[Floorplan Name], INDIRECT("C"&amp;ROW()),
  unit_details[Beds], INDIRECT("D"&amp;ROW()),
  unit_details[Detected Unit Amenities], "&lt;&gt;*"&amp;$AD$3&amp;"*",
  unit_details[Leased Date], "&gt;=" &amp; ($U$2 - $AF$3)
),0)</f>
        <v>0</v>
      </c>
      <c r="AI462" s="528"/>
      <c r="AJ462" s="531">
        <f t="shared" ca="1" si="22"/>
        <v>0</v>
      </c>
      <c r="AK462" s="532">
        <f t="shared" ca="1" si="23"/>
        <v>0</v>
      </c>
    </row>
    <row r="463" spans="10:37" x14ac:dyDescent="0.2">
      <c r="J463" s="293"/>
      <c r="N463" s="531" t="str" cm="1">
        <f t="array" aca="1" ref="N46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3" s="552" t="str" cm="1">
        <f t="array" aca="1" ref="O46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3" s="526" cm="1">
        <f t="array" aca="1" ref="P463" ca="1">COUNTIFS(unit_details[Leased Date], "&gt;=" &amp; ($U$2 - N$5),
          unit_details[Leased Date], "&lt;" &amp; $U$2,
          unit_details[Floorplan Name], INDIRECT("C"&amp;ROW()),
          unit_details[Property Name], INDIRECT("B"&amp;ROW()))</f>
        <v>0</v>
      </c>
      <c r="Q463" s="531" t="str" cm="1">
        <f t="array" aca="1" ref="Q46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3" s="552" t="str" cm="1">
        <f t="array" aca="1" ref="R46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3" s="526" cm="1">
        <f t="array" aca="1" ref="S463" ca="1">COUNTIFS(unit_details[Leased Date], "&gt;=" &amp; ($U$2 - Q$5),
          unit_details[Leased Date], "&lt;" &amp; $U$2,
          unit_details[Floorplan Name], INDIRECT("C"&amp;ROW()),
          unit_details[Property Name], INDIRECT("B"&amp;ROW()))</f>
        <v>0</v>
      </c>
      <c r="T463" s="531" t="str" cm="1">
        <f t="array" aca="1" ref="T46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3" s="552" t="str" cm="1">
        <f t="array" aca="1" ref="U46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3" s="526" cm="1">
        <f t="array" aca="1" ref="V463" ca="1">COUNTIFS(unit_details[Leased Date], "&gt;=" &amp; ($U$2 - T$5),
          unit_details[Leased Date], "&lt;" &amp; $U$2,
          unit_details[Floorplan Name], INDIRECT("C"&amp;ROW()),
          unit_details[Property Name], INDIRECT("B"&amp;ROW()))</f>
        <v>0</v>
      </c>
      <c r="W463" s="531" t="str" cm="1">
        <f t="array" aca="1" ref="W46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3" s="552" t="str" cm="1">
        <f t="array" aca="1" ref="X46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3" s="27" t="str">
        <f t="shared" ca="1" si="21"/>
        <v/>
      </c>
      <c r="Z463" s="4" t="str">
        <f>IFERROR($U$2-AVERAGEIFS(unit_details[First Listed],
          unit_details[Active Listing?],TRUE,
          unit_details[Property Name], $B463,
          unit_details[Beds], $D463,
          unit_details[Baths], $E463,
          unit_details[Partial Baths], IF(ISNUMBER($F463),$F463,""),
          unit_details[Floorplan Name],$C463
),"")</f>
        <v/>
      </c>
      <c r="AA463" s="262" cm="1">
        <f t="array" aca="1" ref="AA463" ca="1">COUNTIFS(unit_details[Active Listing?],TRUE,
          unit_details[Floorplan Name], INDIRECT("C"&amp;ROW()),
          unit_details[Property Name], INDIRECT("B"&amp;ROW()))</f>
        <v>0</v>
      </c>
      <c r="AB463" s="553"/>
      <c r="AC463" s="528" cm="1">
        <f t="array" aca="1" ref="AC463" ca="1">IFERROR(AVERAGEIFS(
  unit_details[Sqft],
  unit_details[Property Name], INDIRECT("B"&amp;ROW()),
  unit_details[Floorplan Name], INDIRECT("C"&amp;ROW()),
  unit_details[Beds], INDIRECT("D"&amp;ROW()),
  unit_details[Detected Unit Amenities], "*"&amp;$AD$3&amp;"*",
  unit_details[Leased Date], "&gt;=" &amp; ($U$2 - $AF$3)
),0)</f>
        <v>0</v>
      </c>
      <c r="AD463" s="527" cm="1">
        <f t="array" aca="1" ref="AD4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3" s="526" cm="1">
        <f t="array" aca="1" ref="AE463" ca="1">IFERROR(COUNTIFS(
  unit_details[Property Name], INDIRECT("B"&amp;ROW()),
  unit_details[Floorplan Name], INDIRECT("C"&amp;ROW()),
  unit_details[Beds], INDIRECT("D"&amp;ROW()),
  unit_details[Detected Unit Amenities], "*"&amp;$AD$3&amp;"*",
  unit_details[Leased Date], "&gt;=" &amp; ($U$2 - $AF$3)
),0)</f>
        <v>0</v>
      </c>
      <c r="AF463" s="528" cm="1">
        <f t="array" aca="1" ref="AF463" ca="1">IFERROR(AVERAGEIFS(
  unit_details[Sqft],
  unit_details[Property Name], INDIRECT("B"&amp;ROW()),
  unit_details[Floorplan Name], INDIRECT("C"&amp;ROW()),
  unit_details[Beds], INDIRECT("D"&amp;ROW()),
  unit_details[Detected Unit Amenities], "&lt;&gt;*"&amp;$AD$3&amp;"*",
  unit_details[Leased Date], "&gt;=" &amp; ($U$2 - $AF$3)
),0)</f>
        <v>0</v>
      </c>
      <c r="AG463" s="527" cm="1">
        <f t="array" aca="1" ref="AG46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3" s="526" cm="1">
        <f t="array" aca="1" ref="AH463" ca="1">IFERROR(COUNTIFS(
  unit_details[Property Name], INDIRECT("B"&amp;ROW()),
  unit_details[Floorplan Name], INDIRECT("C"&amp;ROW()),
  unit_details[Beds], INDIRECT("D"&amp;ROW()),
  unit_details[Detected Unit Amenities], "&lt;&gt;*"&amp;$AD$3&amp;"*",
  unit_details[Leased Date], "&gt;=" &amp; ($U$2 - $AF$3)
),0)</f>
        <v>0</v>
      </c>
      <c r="AI463" s="528"/>
      <c r="AJ463" s="531">
        <f t="shared" ca="1" si="22"/>
        <v>0</v>
      </c>
      <c r="AK463" s="532">
        <f t="shared" ca="1" si="23"/>
        <v>0</v>
      </c>
    </row>
    <row r="464" spans="10:37" x14ac:dyDescent="0.2">
      <c r="J464" s="293"/>
      <c r="N464" s="531" t="str" cm="1">
        <f t="array" aca="1" ref="N46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4" s="552" t="str" cm="1">
        <f t="array" aca="1" ref="O46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4" s="526" cm="1">
        <f t="array" aca="1" ref="P464" ca="1">COUNTIFS(unit_details[Leased Date], "&gt;=" &amp; ($U$2 - N$5),
          unit_details[Leased Date], "&lt;" &amp; $U$2,
          unit_details[Floorplan Name], INDIRECT("C"&amp;ROW()),
          unit_details[Property Name], INDIRECT("B"&amp;ROW()))</f>
        <v>0</v>
      </c>
      <c r="Q464" s="531" t="str" cm="1">
        <f t="array" aca="1" ref="Q46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4" s="552" t="str" cm="1">
        <f t="array" aca="1" ref="R46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4" s="526" cm="1">
        <f t="array" aca="1" ref="S464" ca="1">COUNTIFS(unit_details[Leased Date], "&gt;=" &amp; ($U$2 - Q$5),
          unit_details[Leased Date], "&lt;" &amp; $U$2,
          unit_details[Floorplan Name], INDIRECT("C"&amp;ROW()),
          unit_details[Property Name], INDIRECT("B"&amp;ROW()))</f>
        <v>0</v>
      </c>
      <c r="T464" s="531" t="str" cm="1">
        <f t="array" aca="1" ref="T46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4" s="552" t="str" cm="1">
        <f t="array" aca="1" ref="U46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4" s="526" cm="1">
        <f t="array" aca="1" ref="V464" ca="1">COUNTIFS(unit_details[Leased Date], "&gt;=" &amp; ($U$2 - T$5),
          unit_details[Leased Date], "&lt;" &amp; $U$2,
          unit_details[Floorplan Name], INDIRECT("C"&amp;ROW()),
          unit_details[Property Name], INDIRECT("B"&amp;ROW()))</f>
        <v>0</v>
      </c>
      <c r="W464" s="531" t="str" cm="1">
        <f t="array" aca="1" ref="W46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4" s="552" t="str" cm="1">
        <f t="array" aca="1" ref="X46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4" s="27" t="str">
        <f t="shared" ca="1" si="21"/>
        <v/>
      </c>
      <c r="Z464" s="4" t="str">
        <f>IFERROR($U$2-AVERAGEIFS(unit_details[First Listed],
          unit_details[Active Listing?],TRUE,
          unit_details[Property Name], $B464,
          unit_details[Beds], $D464,
          unit_details[Baths], $E464,
          unit_details[Partial Baths], IF(ISNUMBER($F464),$F464,""),
          unit_details[Floorplan Name],$C464
),"")</f>
        <v/>
      </c>
      <c r="AA464" s="262" cm="1">
        <f t="array" aca="1" ref="AA464" ca="1">COUNTIFS(unit_details[Active Listing?],TRUE,
          unit_details[Floorplan Name], INDIRECT("C"&amp;ROW()),
          unit_details[Property Name], INDIRECT("B"&amp;ROW()))</f>
        <v>0</v>
      </c>
      <c r="AB464" s="553"/>
      <c r="AC464" s="528" cm="1">
        <f t="array" aca="1" ref="AC464" ca="1">IFERROR(AVERAGEIFS(
  unit_details[Sqft],
  unit_details[Property Name], INDIRECT("B"&amp;ROW()),
  unit_details[Floorplan Name], INDIRECT("C"&amp;ROW()),
  unit_details[Beds], INDIRECT("D"&amp;ROW()),
  unit_details[Detected Unit Amenities], "*"&amp;$AD$3&amp;"*",
  unit_details[Leased Date], "&gt;=" &amp; ($U$2 - $AF$3)
),0)</f>
        <v>0</v>
      </c>
      <c r="AD464" s="527" cm="1">
        <f t="array" aca="1" ref="AD4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4" s="526" cm="1">
        <f t="array" aca="1" ref="AE464" ca="1">IFERROR(COUNTIFS(
  unit_details[Property Name], INDIRECT("B"&amp;ROW()),
  unit_details[Floorplan Name], INDIRECT("C"&amp;ROW()),
  unit_details[Beds], INDIRECT("D"&amp;ROW()),
  unit_details[Detected Unit Amenities], "*"&amp;$AD$3&amp;"*",
  unit_details[Leased Date], "&gt;=" &amp; ($U$2 - $AF$3)
),0)</f>
        <v>0</v>
      </c>
      <c r="AF464" s="528" cm="1">
        <f t="array" aca="1" ref="AF464" ca="1">IFERROR(AVERAGEIFS(
  unit_details[Sqft],
  unit_details[Property Name], INDIRECT("B"&amp;ROW()),
  unit_details[Floorplan Name], INDIRECT("C"&amp;ROW()),
  unit_details[Beds], INDIRECT("D"&amp;ROW()),
  unit_details[Detected Unit Amenities], "&lt;&gt;*"&amp;$AD$3&amp;"*",
  unit_details[Leased Date], "&gt;=" &amp; ($U$2 - $AF$3)
),0)</f>
        <v>0</v>
      </c>
      <c r="AG464" s="527" cm="1">
        <f t="array" aca="1" ref="AG46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4" s="526" cm="1">
        <f t="array" aca="1" ref="AH464" ca="1">IFERROR(COUNTIFS(
  unit_details[Property Name], INDIRECT("B"&amp;ROW()),
  unit_details[Floorplan Name], INDIRECT("C"&amp;ROW()),
  unit_details[Beds], INDIRECT("D"&amp;ROW()),
  unit_details[Detected Unit Amenities], "&lt;&gt;*"&amp;$AD$3&amp;"*",
  unit_details[Leased Date], "&gt;=" &amp; ($U$2 - $AF$3)
),0)</f>
        <v>0</v>
      </c>
      <c r="AI464" s="528"/>
      <c r="AJ464" s="531">
        <f t="shared" ca="1" si="22"/>
        <v>0</v>
      </c>
      <c r="AK464" s="532">
        <f t="shared" ca="1" si="23"/>
        <v>0</v>
      </c>
    </row>
    <row r="465" spans="10:37" x14ac:dyDescent="0.2">
      <c r="J465" s="293"/>
      <c r="N465" s="531" t="str" cm="1">
        <f t="array" aca="1" ref="N46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5" s="552" t="str" cm="1">
        <f t="array" aca="1" ref="O46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5" s="526" cm="1">
        <f t="array" aca="1" ref="P465" ca="1">COUNTIFS(unit_details[Leased Date], "&gt;=" &amp; ($U$2 - N$5),
          unit_details[Leased Date], "&lt;" &amp; $U$2,
          unit_details[Floorplan Name], INDIRECT("C"&amp;ROW()),
          unit_details[Property Name], INDIRECT("B"&amp;ROW()))</f>
        <v>0</v>
      </c>
      <c r="Q465" s="531" t="str" cm="1">
        <f t="array" aca="1" ref="Q46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5" s="552" t="str" cm="1">
        <f t="array" aca="1" ref="R46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5" s="526" cm="1">
        <f t="array" aca="1" ref="S465" ca="1">COUNTIFS(unit_details[Leased Date], "&gt;=" &amp; ($U$2 - Q$5),
          unit_details[Leased Date], "&lt;" &amp; $U$2,
          unit_details[Floorplan Name], INDIRECT("C"&amp;ROW()),
          unit_details[Property Name], INDIRECT("B"&amp;ROW()))</f>
        <v>0</v>
      </c>
      <c r="T465" s="531" t="str" cm="1">
        <f t="array" aca="1" ref="T46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5" s="552" t="str" cm="1">
        <f t="array" aca="1" ref="U46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5" s="526" cm="1">
        <f t="array" aca="1" ref="V465" ca="1">COUNTIFS(unit_details[Leased Date], "&gt;=" &amp; ($U$2 - T$5),
          unit_details[Leased Date], "&lt;" &amp; $U$2,
          unit_details[Floorplan Name], INDIRECT("C"&amp;ROW()),
          unit_details[Property Name], INDIRECT("B"&amp;ROW()))</f>
        <v>0</v>
      </c>
      <c r="W465" s="531" t="str" cm="1">
        <f t="array" aca="1" ref="W46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5" s="552" t="str" cm="1">
        <f t="array" aca="1" ref="X46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5" s="27" t="str">
        <f t="shared" ca="1" si="21"/>
        <v/>
      </c>
      <c r="Z465" s="4" t="str">
        <f>IFERROR($U$2-AVERAGEIFS(unit_details[First Listed],
          unit_details[Active Listing?],TRUE,
          unit_details[Property Name], $B465,
          unit_details[Beds], $D465,
          unit_details[Baths], $E465,
          unit_details[Partial Baths], IF(ISNUMBER($F465),$F465,""),
          unit_details[Floorplan Name],$C465
),"")</f>
        <v/>
      </c>
      <c r="AA465" s="262" cm="1">
        <f t="array" aca="1" ref="AA465" ca="1">COUNTIFS(unit_details[Active Listing?],TRUE,
          unit_details[Floorplan Name], INDIRECT("C"&amp;ROW()),
          unit_details[Property Name], INDIRECT("B"&amp;ROW()))</f>
        <v>0</v>
      </c>
      <c r="AB465" s="553"/>
      <c r="AC465" s="528" cm="1">
        <f t="array" aca="1" ref="AC465" ca="1">IFERROR(AVERAGEIFS(
  unit_details[Sqft],
  unit_details[Property Name], INDIRECT("B"&amp;ROW()),
  unit_details[Floorplan Name], INDIRECT("C"&amp;ROW()),
  unit_details[Beds], INDIRECT("D"&amp;ROW()),
  unit_details[Detected Unit Amenities], "*"&amp;$AD$3&amp;"*",
  unit_details[Leased Date], "&gt;=" &amp; ($U$2 - $AF$3)
),0)</f>
        <v>0</v>
      </c>
      <c r="AD465" s="527" cm="1">
        <f t="array" aca="1" ref="AD4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5" s="526" cm="1">
        <f t="array" aca="1" ref="AE465" ca="1">IFERROR(COUNTIFS(
  unit_details[Property Name], INDIRECT("B"&amp;ROW()),
  unit_details[Floorplan Name], INDIRECT("C"&amp;ROW()),
  unit_details[Beds], INDIRECT("D"&amp;ROW()),
  unit_details[Detected Unit Amenities], "*"&amp;$AD$3&amp;"*",
  unit_details[Leased Date], "&gt;=" &amp; ($U$2 - $AF$3)
),0)</f>
        <v>0</v>
      </c>
      <c r="AF465" s="528" cm="1">
        <f t="array" aca="1" ref="AF465" ca="1">IFERROR(AVERAGEIFS(
  unit_details[Sqft],
  unit_details[Property Name], INDIRECT("B"&amp;ROW()),
  unit_details[Floorplan Name], INDIRECT("C"&amp;ROW()),
  unit_details[Beds], INDIRECT("D"&amp;ROW()),
  unit_details[Detected Unit Amenities], "&lt;&gt;*"&amp;$AD$3&amp;"*",
  unit_details[Leased Date], "&gt;=" &amp; ($U$2 - $AF$3)
),0)</f>
        <v>0</v>
      </c>
      <c r="AG465" s="527" cm="1">
        <f t="array" aca="1" ref="AG46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5" s="526" cm="1">
        <f t="array" aca="1" ref="AH465" ca="1">IFERROR(COUNTIFS(
  unit_details[Property Name], INDIRECT("B"&amp;ROW()),
  unit_details[Floorplan Name], INDIRECT("C"&amp;ROW()),
  unit_details[Beds], INDIRECT("D"&amp;ROW()),
  unit_details[Detected Unit Amenities], "&lt;&gt;*"&amp;$AD$3&amp;"*",
  unit_details[Leased Date], "&gt;=" &amp; ($U$2 - $AF$3)
),0)</f>
        <v>0</v>
      </c>
      <c r="AI465" s="528"/>
      <c r="AJ465" s="531">
        <f t="shared" ca="1" si="22"/>
        <v>0</v>
      </c>
      <c r="AK465" s="532">
        <f t="shared" ca="1" si="23"/>
        <v>0</v>
      </c>
    </row>
    <row r="466" spans="10:37" x14ac:dyDescent="0.2">
      <c r="J466" s="293"/>
      <c r="N466" s="531" t="str" cm="1">
        <f t="array" aca="1" ref="N46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6" s="552" t="str" cm="1">
        <f t="array" aca="1" ref="O46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6" s="526" cm="1">
        <f t="array" aca="1" ref="P466" ca="1">COUNTIFS(unit_details[Leased Date], "&gt;=" &amp; ($U$2 - N$5),
          unit_details[Leased Date], "&lt;" &amp; $U$2,
          unit_details[Floorplan Name], INDIRECT("C"&amp;ROW()),
          unit_details[Property Name], INDIRECT("B"&amp;ROW()))</f>
        <v>0</v>
      </c>
      <c r="Q466" s="531" t="str" cm="1">
        <f t="array" aca="1" ref="Q46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6" s="552" t="str" cm="1">
        <f t="array" aca="1" ref="R46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6" s="526" cm="1">
        <f t="array" aca="1" ref="S466" ca="1">COUNTIFS(unit_details[Leased Date], "&gt;=" &amp; ($U$2 - Q$5),
          unit_details[Leased Date], "&lt;" &amp; $U$2,
          unit_details[Floorplan Name], INDIRECT("C"&amp;ROW()),
          unit_details[Property Name], INDIRECT("B"&amp;ROW()))</f>
        <v>0</v>
      </c>
      <c r="T466" s="531" t="str" cm="1">
        <f t="array" aca="1" ref="T46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6" s="552" t="str" cm="1">
        <f t="array" aca="1" ref="U46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6" s="526" cm="1">
        <f t="array" aca="1" ref="V466" ca="1">COUNTIFS(unit_details[Leased Date], "&gt;=" &amp; ($U$2 - T$5),
          unit_details[Leased Date], "&lt;" &amp; $U$2,
          unit_details[Floorplan Name], INDIRECT("C"&amp;ROW()),
          unit_details[Property Name], INDIRECT("B"&amp;ROW()))</f>
        <v>0</v>
      </c>
      <c r="W466" s="531" t="str" cm="1">
        <f t="array" aca="1" ref="W46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6" s="552" t="str" cm="1">
        <f t="array" aca="1" ref="X46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6" s="27" t="str">
        <f t="shared" ca="1" si="21"/>
        <v/>
      </c>
      <c r="Z466" s="4" t="str">
        <f>IFERROR($U$2-AVERAGEIFS(unit_details[First Listed],
          unit_details[Active Listing?],TRUE,
          unit_details[Property Name], $B466,
          unit_details[Beds], $D466,
          unit_details[Baths], $E466,
          unit_details[Partial Baths], IF(ISNUMBER($F466),$F466,""),
          unit_details[Floorplan Name],$C466
),"")</f>
        <v/>
      </c>
      <c r="AA466" s="262" cm="1">
        <f t="array" aca="1" ref="AA466" ca="1">COUNTIFS(unit_details[Active Listing?],TRUE,
          unit_details[Floorplan Name], INDIRECT("C"&amp;ROW()),
          unit_details[Property Name], INDIRECT("B"&amp;ROW()))</f>
        <v>0</v>
      </c>
      <c r="AB466" s="553"/>
      <c r="AC466" s="528" cm="1">
        <f t="array" aca="1" ref="AC466" ca="1">IFERROR(AVERAGEIFS(
  unit_details[Sqft],
  unit_details[Property Name], INDIRECT("B"&amp;ROW()),
  unit_details[Floorplan Name], INDIRECT("C"&amp;ROW()),
  unit_details[Beds], INDIRECT("D"&amp;ROW()),
  unit_details[Detected Unit Amenities], "*"&amp;$AD$3&amp;"*",
  unit_details[Leased Date], "&gt;=" &amp; ($U$2 - $AF$3)
),0)</f>
        <v>0</v>
      </c>
      <c r="AD466" s="527" cm="1">
        <f t="array" aca="1" ref="AD4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6" s="526" cm="1">
        <f t="array" aca="1" ref="AE466" ca="1">IFERROR(COUNTIFS(
  unit_details[Property Name], INDIRECT("B"&amp;ROW()),
  unit_details[Floorplan Name], INDIRECT("C"&amp;ROW()),
  unit_details[Beds], INDIRECT("D"&amp;ROW()),
  unit_details[Detected Unit Amenities], "*"&amp;$AD$3&amp;"*",
  unit_details[Leased Date], "&gt;=" &amp; ($U$2 - $AF$3)
),0)</f>
        <v>0</v>
      </c>
      <c r="AF466" s="528" cm="1">
        <f t="array" aca="1" ref="AF466" ca="1">IFERROR(AVERAGEIFS(
  unit_details[Sqft],
  unit_details[Property Name], INDIRECT("B"&amp;ROW()),
  unit_details[Floorplan Name], INDIRECT("C"&amp;ROW()),
  unit_details[Beds], INDIRECT("D"&amp;ROW()),
  unit_details[Detected Unit Amenities], "&lt;&gt;*"&amp;$AD$3&amp;"*",
  unit_details[Leased Date], "&gt;=" &amp; ($U$2 - $AF$3)
),0)</f>
        <v>0</v>
      </c>
      <c r="AG466" s="527" cm="1">
        <f t="array" aca="1" ref="AG46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6" s="526" cm="1">
        <f t="array" aca="1" ref="AH466" ca="1">IFERROR(COUNTIFS(
  unit_details[Property Name], INDIRECT("B"&amp;ROW()),
  unit_details[Floorplan Name], INDIRECT("C"&amp;ROW()),
  unit_details[Beds], INDIRECT("D"&amp;ROW()),
  unit_details[Detected Unit Amenities], "&lt;&gt;*"&amp;$AD$3&amp;"*",
  unit_details[Leased Date], "&gt;=" &amp; ($U$2 - $AF$3)
),0)</f>
        <v>0</v>
      </c>
      <c r="AI466" s="528"/>
      <c r="AJ466" s="531">
        <f t="shared" ca="1" si="22"/>
        <v>0</v>
      </c>
      <c r="AK466" s="532">
        <f t="shared" ca="1" si="23"/>
        <v>0</v>
      </c>
    </row>
    <row r="467" spans="10:37" x14ac:dyDescent="0.2">
      <c r="J467" s="293"/>
      <c r="N467" s="531" t="str" cm="1">
        <f t="array" aca="1" ref="N46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7" s="552" t="str" cm="1">
        <f t="array" aca="1" ref="O46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7" s="526" cm="1">
        <f t="array" aca="1" ref="P467" ca="1">COUNTIFS(unit_details[Leased Date], "&gt;=" &amp; ($U$2 - N$5),
          unit_details[Leased Date], "&lt;" &amp; $U$2,
          unit_details[Floorplan Name], INDIRECT("C"&amp;ROW()),
          unit_details[Property Name], INDIRECT("B"&amp;ROW()))</f>
        <v>0</v>
      </c>
      <c r="Q467" s="531" t="str" cm="1">
        <f t="array" aca="1" ref="Q46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7" s="552" t="str" cm="1">
        <f t="array" aca="1" ref="R46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7" s="526" cm="1">
        <f t="array" aca="1" ref="S467" ca="1">COUNTIFS(unit_details[Leased Date], "&gt;=" &amp; ($U$2 - Q$5),
          unit_details[Leased Date], "&lt;" &amp; $U$2,
          unit_details[Floorplan Name], INDIRECT("C"&amp;ROW()),
          unit_details[Property Name], INDIRECT("B"&amp;ROW()))</f>
        <v>0</v>
      </c>
      <c r="T467" s="531" t="str" cm="1">
        <f t="array" aca="1" ref="T46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7" s="552" t="str" cm="1">
        <f t="array" aca="1" ref="U46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7" s="526" cm="1">
        <f t="array" aca="1" ref="V467" ca="1">COUNTIFS(unit_details[Leased Date], "&gt;=" &amp; ($U$2 - T$5),
          unit_details[Leased Date], "&lt;" &amp; $U$2,
          unit_details[Floorplan Name], INDIRECT("C"&amp;ROW()),
          unit_details[Property Name], INDIRECT("B"&amp;ROW()))</f>
        <v>0</v>
      </c>
      <c r="W467" s="531" t="str" cm="1">
        <f t="array" aca="1" ref="W46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7" s="552" t="str" cm="1">
        <f t="array" aca="1" ref="X46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7" s="27" t="str">
        <f t="shared" ca="1" si="21"/>
        <v/>
      </c>
      <c r="Z467" s="4" t="str">
        <f>IFERROR($U$2-AVERAGEIFS(unit_details[First Listed],
          unit_details[Active Listing?],TRUE,
          unit_details[Property Name], $B467,
          unit_details[Beds], $D467,
          unit_details[Baths], $E467,
          unit_details[Partial Baths], IF(ISNUMBER($F467),$F467,""),
          unit_details[Floorplan Name],$C467
),"")</f>
        <v/>
      </c>
      <c r="AA467" s="262" cm="1">
        <f t="array" aca="1" ref="AA467" ca="1">COUNTIFS(unit_details[Active Listing?],TRUE,
          unit_details[Floorplan Name], INDIRECT("C"&amp;ROW()),
          unit_details[Property Name], INDIRECT("B"&amp;ROW()))</f>
        <v>0</v>
      </c>
      <c r="AB467" s="553"/>
      <c r="AC467" s="528" cm="1">
        <f t="array" aca="1" ref="AC467" ca="1">IFERROR(AVERAGEIFS(
  unit_details[Sqft],
  unit_details[Property Name], INDIRECT("B"&amp;ROW()),
  unit_details[Floorplan Name], INDIRECT("C"&amp;ROW()),
  unit_details[Beds], INDIRECT("D"&amp;ROW()),
  unit_details[Detected Unit Amenities], "*"&amp;$AD$3&amp;"*",
  unit_details[Leased Date], "&gt;=" &amp; ($U$2 - $AF$3)
),0)</f>
        <v>0</v>
      </c>
      <c r="AD467" s="527" cm="1">
        <f t="array" aca="1" ref="AD4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7" s="526" cm="1">
        <f t="array" aca="1" ref="AE467" ca="1">IFERROR(COUNTIFS(
  unit_details[Property Name], INDIRECT("B"&amp;ROW()),
  unit_details[Floorplan Name], INDIRECT("C"&amp;ROW()),
  unit_details[Beds], INDIRECT("D"&amp;ROW()),
  unit_details[Detected Unit Amenities], "*"&amp;$AD$3&amp;"*",
  unit_details[Leased Date], "&gt;=" &amp; ($U$2 - $AF$3)
),0)</f>
        <v>0</v>
      </c>
      <c r="AF467" s="528" cm="1">
        <f t="array" aca="1" ref="AF467" ca="1">IFERROR(AVERAGEIFS(
  unit_details[Sqft],
  unit_details[Property Name], INDIRECT("B"&amp;ROW()),
  unit_details[Floorplan Name], INDIRECT("C"&amp;ROW()),
  unit_details[Beds], INDIRECT("D"&amp;ROW()),
  unit_details[Detected Unit Amenities], "&lt;&gt;*"&amp;$AD$3&amp;"*",
  unit_details[Leased Date], "&gt;=" &amp; ($U$2 - $AF$3)
),0)</f>
        <v>0</v>
      </c>
      <c r="AG467" s="527" cm="1">
        <f t="array" aca="1" ref="AG46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7" s="526" cm="1">
        <f t="array" aca="1" ref="AH467" ca="1">IFERROR(COUNTIFS(
  unit_details[Property Name], INDIRECT("B"&amp;ROW()),
  unit_details[Floorplan Name], INDIRECT("C"&amp;ROW()),
  unit_details[Beds], INDIRECT("D"&amp;ROW()),
  unit_details[Detected Unit Amenities], "&lt;&gt;*"&amp;$AD$3&amp;"*",
  unit_details[Leased Date], "&gt;=" &amp; ($U$2 - $AF$3)
),0)</f>
        <v>0</v>
      </c>
      <c r="AI467" s="528"/>
      <c r="AJ467" s="531">
        <f t="shared" ca="1" si="22"/>
        <v>0</v>
      </c>
      <c r="AK467" s="532">
        <f t="shared" ca="1" si="23"/>
        <v>0</v>
      </c>
    </row>
    <row r="468" spans="10:37" x14ac:dyDescent="0.2">
      <c r="J468" s="293"/>
      <c r="N468" s="531" t="str" cm="1">
        <f t="array" aca="1" ref="N46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8" s="552" t="str" cm="1">
        <f t="array" aca="1" ref="O46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8" s="526" cm="1">
        <f t="array" aca="1" ref="P468" ca="1">COUNTIFS(unit_details[Leased Date], "&gt;=" &amp; ($U$2 - N$5),
          unit_details[Leased Date], "&lt;" &amp; $U$2,
          unit_details[Floorplan Name], INDIRECT("C"&amp;ROW()),
          unit_details[Property Name], INDIRECT("B"&amp;ROW()))</f>
        <v>0</v>
      </c>
      <c r="Q468" s="531" t="str" cm="1">
        <f t="array" aca="1" ref="Q46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8" s="552" t="str" cm="1">
        <f t="array" aca="1" ref="R46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8" s="526" cm="1">
        <f t="array" aca="1" ref="S468" ca="1">COUNTIFS(unit_details[Leased Date], "&gt;=" &amp; ($U$2 - Q$5),
          unit_details[Leased Date], "&lt;" &amp; $U$2,
          unit_details[Floorplan Name], INDIRECT("C"&amp;ROW()),
          unit_details[Property Name], INDIRECT("B"&amp;ROW()))</f>
        <v>0</v>
      </c>
      <c r="T468" s="531" t="str" cm="1">
        <f t="array" aca="1" ref="T46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8" s="552" t="str" cm="1">
        <f t="array" aca="1" ref="U46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8" s="526" cm="1">
        <f t="array" aca="1" ref="V468" ca="1">COUNTIFS(unit_details[Leased Date], "&gt;=" &amp; ($U$2 - T$5),
          unit_details[Leased Date], "&lt;" &amp; $U$2,
          unit_details[Floorplan Name], INDIRECT("C"&amp;ROW()),
          unit_details[Property Name], INDIRECT("B"&amp;ROW()))</f>
        <v>0</v>
      </c>
      <c r="W468" s="531" t="str" cm="1">
        <f t="array" aca="1" ref="W46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8" s="552" t="str" cm="1">
        <f t="array" aca="1" ref="X46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8" s="27" t="str">
        <f t="shared" ca="1" si="21"/>
        <v/>
      </c>
      <c r="Z468" s="4" t="str">
        <f>IFERROR($U$2-AVERAGEIFS(unit_details[First Listed],
          unit_details[Active Listing?],TRUE,
          unit_details[Property Name], $B468,
          unit_details[Beds], $D468,
          unit_details[Baths], $E468,
          unit_details[Partial Baths], IF(ISNUMBER($F468),$F468,""),
          unit_details[Floorplan Name],$C468
),"")</f>
        <v/>
      </c>
      <c r="AA468" s="262" cm="1">
        <f t="array" aca="1" ref="AA468" ca="1">COUNTIFS(unit_details[Active Listing?],TRUE,
          unit_details[Floorplan Name], INDIRECT("C"&amp;ROW()),
          unit_details[Property Name], INDIRECT("B"&amp;ROW()))</f>
        <v>0</v>
      </c>
      <c r="AB468" s="553"/>
      <c r="AC468" s="528" cm="1">
        <f t="array" aca="1" ref="AC468" ca="1">IFERROR(AVERAGEIFS(
  unit_details[Sqft],
  unit_details[Property Name], INDIRECT("B"&amp;ROW()),
  unit_details[Floorplan Name], INDIRECT("C"&amp;ROW()),
  unit_details[Beds], INDIRECT("D"&amp;ROW()),
  unit_details[Detected Unit Amenities], "*"&amp;$AD$3&amp;"*",
  unit_details[Leased Date], "&gt;=" &amp; ($U$2 - $AF$3)
),0)</f>
        <v>0</v>
      </c>
      <c r="AD468" s="527" cm="1">
        <f t="array" aca="1" ref="AD4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8" s="526" cm="1">
        <f t="array" aca="1" ref="AE468" ca="1">IFERROR(COUNTIFS(
  unit_details[Property Name], INDIRECT("B"&amp;ROW()),
  unit_details[Floorplan Name], INDIRECT("C"&amp;ROW()),
  unit_details[Beds], INDIRECT("D"&amp;ROW()),
  unit_details[Detected Unit Amenities], "*"&amp;$AD$3&amp;"*",
  unit_details[Leased Date], "&gt;=" &amp; ($U$2 - $AF$3)
),0)</f>
        <v>0</v>
      </c>
      <c r="AF468" s="528" cm="1">
        <f t="array" aca="1" ref="AF468" ca="1">IFERROR(AVERAGEIFS(
  unit_details[Sqft],
  unit_details[Property Name], INDIRECT("B"&amp;ROW()),
  unit_details[Floorplan Name], INDIRECT("C"&amp;ROW()),
  unit_details[Beds], INDIRECT("D"&amp;ROW()),
  unit_details[Detected Unit Amenities], "&lt;&gt;*"&amp;$AD$3&amp;"*",
  unit_details[Leased Date], "&gt;=" &amp; ($U$2 - $AF$3)
),0)</f>
        <v>0</v>
      </c>
      <c r="AG468" s="527" cm="1">
        <f t="array" aca="1" ref="AG46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8" s="526" cm="1">
        <f t="array" aca="1" ref="AH468" ca="1">IFERROR(COUNTIFS(
  unit_details[Property Name], INDIRECT("B"&amp;ROW()),
  unit_details[Floorplan Name], INDIRECT("C"&amp;ROW()),
  unit_details[Beds], INDIRECT("D"&amp;ROW()),
  unit_details[Detected Unit Amenities], "&lt;&gt;*"&amp;$AD$3&amp;"*",
  unit_details[Leased Date], "&gt;=" &amp; ($U$2 - $AF$3)
),0)</f>
        <v>0</v>
      </c>
      <c r="AI468" s="528"/>
      <c r="AJ468" s="531">
        <f t="shared" ca="1" si="22"/>
        <v>0</v>
      </c>
      <c r="AK468" s="532">
        <f t="shared" ca="1" si="23"/>
        <v>0</v>
      </c>
    </row>
    <row r="469" spans="10:37" x14ac:dyDescent="0.2">
      <c r="J469" s="293"/>
      <c r="N469" s="531" t="str" cm="1">
        <f t="array" aca="1" ref="N46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69" s="552" t="str" cm="1">
        <f t="array" aca="1" ref="O46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69" s="526" cm="1">
        <f t="array" aca="1" ref="P469" ca="1">COUNTIFS(unit_details[Leased Date], "&gt;=" &amp; ($U$2 - N$5),
          unit_details[Leased Date], "&lt;" &amp; $U$2,
          unit_details[Floorplan Name], INDIRECT("C"&amp;ROW()),
          unit_details[Property Name], INDIRECT("B"&amp;ROW()))</f>
        <v>0</v>
      </c>
      <c r="Q469" s="531" t="str" cm="1">
        <f t="array" aca="1" ref="Q46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69" s="552" t="str" cm="1">
        <f t="array" aca="1" ref="R46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69" s="526" cm="1">
        <f t="array" aca="1" ref="S469" ca="1">COUNTIFS(unit_details[Leased Date], "&gt;=" &amp; ($U$2 - Q$5),
          unit_details[Leased Date], "&lt;" &amp; $U$2,
          unit_details[Floorplan Name], INDIRECT("C"&amp;ROW()),
          unit_details[Property Name], INDIRECT("B"&amp;ROW()))</f>
        <v>0</v>
      </c>
      <c r="T469" s="531" t="str" cm="1">
        <f t="array" aca="1" ref="T46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69" s="552" t="str" cm="1">
        <f t="array" aca="1" ref="U46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69" s="526" cm="1">
        <f t="array" aca="1" ref="V469" ca="1">COUNTIFS(unit_details[Leased Date], "&gt;=" &amp; ($U$2 - T$5),
          unit_details[Leased Date], "&lt;" &amp; $U$2,
          unit_details[Floorplan Name], INDIRECT("C"&amp;ROW()),
          unit_details[Property Name], INDIRECT("B"&amp;ROW()))</f>
        <v>0</v>
      </c>
      <c r="W469" s="531" t="str" cm="1">
        <f t="array" aca="1" ref="W46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69" s="552" t="str" cm="1">
        <f t="array" aca="1" ref="X46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69" s="27" t="str">
        <f t="shared" ca="1" si="21"/>
        <v/>
      </c>
      <c r="Z469" s="4" t="str">
        <f>IFERROR($U$2-AVERAGEIFS(unit_details[First Listed],
          unit_details[Active Listing?],TRUE,
          unit_details[Property Name], $B469,
          unit_details[Beds], $D469,
          unit_details[Baths], $E469,
          unit_details[Partial Baths], IF(ISNUMBER($F469),$F469,""),
          unit_details[Floorplan Name],$C469
),"")</f>
        <v/>
      </c>
      <c r="AA469" s="262" cm="1">
        <f t="array" aca="1" ref="AA469" ca="1">COUNTIFS(unit_details[Active Listing?],TRUE,
          unit_details[Floorplan Name], INDIRECT("C"&amp;ROW()),
          unit_details[Property Name], INDIRECT("B"&amp;ROW()))</f>
        <v>0</v>
      </c>
      <c r="AB469" s="553"/>
      <c r="AC469" s="528" cm="1">
        <f t="array" aca="1" ref="AC469" ca="1">IFERROR(AVERAGEIFS(
  unit_details[Sqft],
  unit_details[Property Name], INDIRECT("B"&amp;ROW()),
  unit_details[Floorplan Name], INDIRECT("C"&amp;ROW()),
  unit_details[Beds], INDIRECT("D"&amp;ROW()),
  unit_details[Detected Unit Amenities], "*"&amp;$AD$3&amp;"*",
  unit_details[Leased Date], "&gt;=" &amp; ($U$2 - $AF$3)
),0)</f>
        <v>0</v>
      </c>
      <c r="AD469" s="527" cm="1">
        <f t="array" aca="1" ref="AD4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69" s="526" cm="1">
        <f t="array" aca="1" ref="AE469" ca="1">IFERROR(COUNTIFS(
  unit_details[Property Name], INDIRECT("B"&amp;ROW()),
  unit_details[Floorplan Name], INDIRECT("C"&amp;ROW()),
  unit_details[Beds], INDIRECT("D"&amp;ROW()),
  unit_details[Detected Unit Amenities], "*"&amp;$AD$3&amp;"*",
  unit_details[Leased Date], "&gt;=" &amp; ($U$2 - $AF$3)
),0)</f>
        <v>0</v>
      </c>
      <c r="AF469" s="528" cm="1">
        <f t="array" aca="1" ref="AF469" ca="1">IFERROR(AVERAGEIFS(
  unit_details[Sqft],
  unit_details[Property Name], INDIRECT("B"&amp;ROW()),
  unit_details[Floorplan Name], INDIRECT("C"&amp;ROW()),
  unit_details[Beds], INDIRECT("D"&amp;ROW()),
  unit_details[Detected Unit Amenities], "&lt;&gt;*"&amp;$AD$3&amp;"*",
  unit_details[Leased Date], "&gt;=" &amp; ($U$2 - $AF$3)
),0)</f>
        <v>0</v>
      </c>
      <c r="AG469" s="527" cm="1">
        <f t="array" aca="1" ref="AG46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69" s="526" cm="1">
        <f t="array" aca="1" ref="AH469" ca="1">IFERROR(COUNTIFS(
  unit_details[Property Name], INDIRECT("B"&amp;ROW()),
  unit_details[Floorplan Name], INDIRECT("C"&amp;ROW()),
  unit_details[Beds], INDIRECT("D"&amp;ROW()),
  unit_details[Detected Unit Amenities], "&lt;&gt;*"&amp;$AD$3&amp;"*",
  unit_details[Leased Date], "&gt;=" &amp; ($U$2 - $AF$3)
),0)</f>
        <v>0</v>
      </c>
      <c r="AI469" s="528"/>
      <c r="AJ469" s="531">
        <f t="shared" ca="1" si="22"/>
        <v>0</v>
      </c>
      <c r="AK469" s="532">
        <f t="shared" ca="1" si="23"/>
        <v>0</v>
      </c>
    </row>
    <row r="470" spans="10:37" x14ac:dyDescent="0.2">
      <c r="J470" s="293"/>
      <c r="N470" s="531" t="str" cm="1">
        <f t="array" aca="1" ref="N47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0" s="552" t="str" cm="1">
        <f t="array" aca="1" ref="O47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0" s="526" cm="1">
        <f t="array" aca="1" ref="P470" ca="1">COUNTIFS(unit_details[Leased Date], "&gt;=" &amp; ($U$2 - N$5),
          unit_details[Leased Date], "&lt;" &amp; $U$2,
          unit_details[Floorplan Name], INDIRECT("C"&amp;ROW()),
          unit_details[Property Name], INDIRECT("B"&amp;ROW()))</f>
        <v>0</v>
      </c>
      <c r="Q470" s="531" t="str" cm="1">
        <f t="array" aca="1" ref="Q47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0" s="552" t="str" cm="1">
        <f t="array" aca="1" ref="R47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0" s="526" cm="1">
        <f t="array" aca="1" ref="S470" ca="1">COUNTIFS(unit_details[Leased Date], "&gt;=" &amp; ($U$2 - Q$5),
          unit_details[Leased Date], "&lt;" &amp; $U$2,
          unit_details[Floorplan Name], INDIRECT("C"&amp;ROW()),
          unit_details[Property Name], INDIRECT("B"&amp;ROW()))</f>
        <v>0</v>
      </c>
      <c r="T470" s="531" t="str" cm="1">
        <f t="array" aca="1" ref="T47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0" s="552" t="str" cm="1">
        <f t="array" aca="1" ref="U47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0" s="526" cm="1">
        <f t="array" aca="1" ref="V470" ca="1">COUNTIFS(unit_details[Leased Date], "&gt;=" &amp; ($U$2 - T$5),
          unit_details[Leased Date], "&lt;" &amp; $U$2,
          unit_details[Floorplan Name], INDIRECT("C"&amp;ROW()),
          unit_details[Property Name], INDIRECT("B"&amp;ROW()))</f>
        <v>0</v>
      </c>
      <c r="W470" s="531" t="str" cm="1">
        <f t="array" aca="1" ref="W47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0" s="552" t="str" cm="1">
        <f t="array" aca="1" ref="X47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0" s="27" t="str">
        <f t="shared" ca="1" si="21"/>
        <v/>
      </c>
      <c r="Z470" s="4" t="str">
        <f>IFERROR($U$2-AVERAGEIFS(unit_details[First Listed],
          unit_details[Active Listing?],TRUE,
          unit_details[Property Name], $B470,
          unit_details[Beds], $D470,
          unit_details[Baths], $E470,
          unit_details[Partial Baths], IF(ISNUMBER($F470),$F470,""),
          unit_details[Floorplan Name],$C470
),"")</f>
        <v/>
      </c>
      <c r="AA470" s="262" cm="1">
        <f t="array" aca="1" ref="AA470" ca="1">COUNTIFS(unit_details[Active Listing?],TRUE,
          unit_details[Floorplan Name], INDIRECT("C"&amp;ROW()),
          unit_details[Property Name], INDIRECT("B"&amp;ROW()))</f>
        <v>0</v>
      </c>
      <c r="AB470" s="553"/>
      <c r="AC470" s="528" cm="1">
        <f t="array" aca="1" ref="AC470" ca="1">IFERROR(AVERAGEIFS(
  unit_details[Sqft],
  unit_details[Property Name], INDIRECT("B"&amp;ROW()),
  unit_details[Floorplan Name], INDIRECT("C"&amp;ROW()),
  unit_details[Beds], INDIRECT("D"&amp;ROW()),
  unit_details[Detected Unit Amenities], "*"&amp;$AD$3&amp;"*",
  unit_details[Leased Date], "&gt;=" &amp; ($U$2 - $AF$3)
),0)</f>
        <v>0</v>
      </c>
      <c r="AD470" s="527" cm="1">
        <f t="array" aca="1" ref="AD4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0" s="526" cm="1">
        <f t="array" aca="1" ref="AE470" ca="1">IFERROR(COUNTIFS(
  unit_details[Property Name], INDIRECT("B"&amp;ROW()),
  unit_details[Floorplan Name], INDIRECT("C"&amp;ROW()),
  unit_details[Beds], INDIRECT("D"&amp;ROW()),
  unit_details[Detected Unit Amenities], "*"&amp;$AD$3&amp;"*",
  unit_details[Leased Date], "&gt;=" &amp; ($U$2 - $AF$3)
),0)</f>
        <v>0</v>
      </c>
      <c r="AF470" s="528" cm="1">
        <f t="array" aca="1" ref="AF470" ca="1">IFERROR(AVERAGEIFS(
  unit_details[Sqft],
  unit_details[Property Name], INDIRECT("B"&amp;ROW()),
  unit_details[Floorplan Name], INDIRECT("C"&amp;ROW()),
  unit_details[Beds], INDIRECT("D"&amp;ROW()),
  unit_details[Detected Unit Amenities], "&lt;&gt;*"&amp;$AD$3&amp;"*",
  unit_details[Leased Date], "&gt;=" &amp; ($U$2 - $AF$3)
),0)</f>
        <v>0</v>
      </c>
      <c r="AG470" s="527" cm="1">
        <f t="array" aca="1" ref="AG47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0" s="526" cm="1">
        <f t="array" aca="1" ref="AH470" ca="1">IFERROR(COUNTIFS(
  unit_details[Property Name], INDIRECT("B"&amp;ROW()),
  unit_details[Floorplan Name], INDIRECT("C"&amp;ROW()),
  unit_details[Beds], INDIRECT("D"&amp;ROW()),
  unit_details[Detected Unit Amenities], "&lt;&gt;*"&amp;$AD$3&amp;"*",
  unit_details[Leased Date], "&gt;=" &amp; ($U$2 - $AF$3)
),0)</f>
        <v>0</v>
      </c>
      <c r="AI470" s="528"/>
      <c r="AJ470" s="531">
        <f t="shared" ca="1" si="22"/>
        <v>0</v>
      </c>
      <c r="AK470" s="532">
        <f t="shared" ca="1" si="23"/>
        <v>0</v>
      </c>
    </row>
    <row r="471" spans="10:37" x14ac:dyDescent="0.2">
      <c r="J471" s="293"/>
      <c r="N471" s="531" t="str" cm="1">
        <f t="array" aca="1" ref="N47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1" s="552" t="str" cm="1">
        <f t="array" aca="1" ref="O47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1" s="526" cm="1">
        <f t="array" aca="1" ref="P471" ca="1">COUNTIFS(unit_details[Leased Date], "&gt;=" &amp; ($U$2 - N$5),
          unit_details[Leased Date], "&lt;" &amp; $U$2,
          unit_details[Floorplan Name], INDIRECT("C"&amp;ROW()),
          unit_details[Property Name], INDIRECT("B"&amp;ROW()))</f>
        <v>0</v>
      </c>
      <c r="Q471" s="531" t="str" cm="1">
        <f t="array" aca="1" ref="Q47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1" s="552" t="str" cm="1">
        <f t="array" aca="1" ref="R47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1" s="526" cm="1">
        <f t="array" aca="1" ref="S471" ca="1">COUNTIFS(unit_details[Leased Date], "&gt;=" &amp; ($U$2 - Q$5),
          unit_details[Leased Date], "&lt;" &amp; $U$2,
          unit_details[Floorplan Name], INDIRECT("C"&amp;ROW()),
          unit_details[Property Name], INDIRECT("B"&amp;ROW()))</f>
        <v>0</v>
      </c>
      <c r="T471" s="531" t="str" cm="1">
        <f t="array" aca="1" ref="T47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1" s="552" t="str" cm="1">
        <f t="array" aca="1" ref="U47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1" s="526" cm="1">
        <f t="array" aca="1" ref="V471" ca="1">COUNTIFS(unit_details[Leased Date], "&gt;=" &amp; ($U$2 - T$5),
          unit_details[Leased Date], "&lt;" &amp; $U$2,
          unit_details[Floorplan Name], INDIRECT("C"&amp;ROW()),
          unit_details[Property Name], INDIRECT("B"&amp;ROW()))</f>
        <v>0</v>
      </c>
      <c r="W471" s="531" t="str" cm="1">
        <f t="array" aca="1" ref="W47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1" s="552" t="str" cm="1">
        <f t="array" aca="1" ref="X47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1" s="27" t="str">
        <f t="shared" ca="1" si="21"/>
        <v/>
      </c>
      <c r="Z471" s="4" t="str">
        <f>IFERROR($U$2-AVERAGEIFS(unit_details[First Listed],
          unit_details[Active Listing?],TRUE,
          unit_details[Property Name], $B471,
          unit_details[Beds], $D471,
          unit_details[Baths], $E471,
          unit_details[Partial Baths], IF(ISNUMBER($F471),$F471,""),
          unit_details[Floorplan Name],$C471
),"")</f>
        <v/>
      </c>
      <c r="AA471" s="262" cm="1">
        <f t="array" aca="1" ref="AA471" ca="1">COUNTIFS(unit_details[Active Listing?],TRUE,
          unit_details[Floorplan Name], INDIRECT("C"&amp;ROW()),
          unit_details[Property Name], INDIRECT("B"&amp;ROW()))</f>
        <v>0</v>
      </c>
      <c r="AB471" s="553"/>
      <c r="AC471" s="528" cm="1">
        <f t="array" aca="1" ref="AC471" ca="1">IFERROR(AVERAGEIFS(
  unit_details[Sqft],
  unit_details[Property Name], INDIRECT("B"&amp;ROW()),
  unit_details[Floorplan Name], INDIRECT("C"&amp;ROW()),
  unit_details[Beds], INDIRECT("D"&amp;ROW()),
  unit_details[Detected Unit Amenities], "*"&amp;$AD$3&amp;"*",
  unit_details[Leased Date], "&gt;=" &amp; ($U$2 - $AF$3)
),0)</f>
        <v>0</v>
      </c>
      <c r="AD471" s="527" cm="1">
        <f t="array" aca="1" ref="AD4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1" s="526" cm="1">
        <f t="array" aca="1" ref="AE471" ca="1">IFERROR(COUNTIFS(
  unit_details[Property Name], INDIRECT("B"&amp;ROW()),
  unit_details[Floorplan Name], INDIRECT("C"&amp;ROW()),
  unit_details[Beds], INDIRECT("D"&amp;ROW()),
  unit_details[Detected Unit Amenities], "*"&amp;$AD$3&amp;"*",
  unit_details[Leased Date], "&gt;=" &amp; ($U$2 - $AF$3)
),0)</f>
        <v>0</v>
      </c>
      <c r="AF471" s="528" cm="1">
        <f t="array" aca="1" ref="AF471" ca="1">IFERROR(AVERAGEIFS(
  unit_details[Sqft],
  unit_details[Property Name], INDIRECT("B"&amp;ROW()),
  unit_details[Floorplan Name], INDIRECT("C"&amp;ROW()),
  unit_details[Beds], INDIRECT("D"&amp;ROW()),
  unit_details[Detected Unit Amenities], "&lt;&gt;*"&amp;$AD$3&amp;"*",
  unit_details[Leased Date], "&gt;=" &amp; ($U$2 - $AF$3)
),0)</f>
        <v>0</v>
      </c>
      <c r="AG471" s="527" cm="1">
        <f t="array" aca="1" ref="AG47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1" s="526" cm="1">
        <f t="array" aca="1" ref="AH471" ca="1">IFERROR(COUNTIFS(
  unit_details[Property Name], INDIRECT("B"&amp;ROW()),
  unit_details[Floorplan Name], INDIRECT("C"&amp;ROW()),
  unit_details[Beds], INDIRECT("D"&amp;ROW()),
  unit_details[Detected Unit Amenities], "&lt;&gt;*"&amp;$AD$3&amp;"*",
  unit_details[Leased Date], "&gt;=" &amp; ($U$2 - $AF$3)
),0)</f>
        <v>0</v>
      </c>
      <c r="AI471" s="528"/>
      <c r="AJ471" s="531">
        <f t="shared" ca="1" si="22"/>
        <v>0</v>
      </c>
      <c r="AK471" s="532">
        <f t="shared" ca="1" si="23"/>
        <v>0</v>
      </c>
    </row>
    <row r="472" spans="10:37" x14ac:dyDescent="0.2">
      <c r="J472" s="293"/>
      <c r="N472" s="531" t="str" cm="1">
        <f t="array" aca="1" ref="N47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2" s="552" t="str" cm="1">
        <f t="array" aca="1" ref="O47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2" s="526" cm="1">
        <f t="array" aca="1" ref="P472" ca="1">COUNTIFS(unit_details[Leased Date], "&gt;=" &amp; ($U$2 - N$5),
          unit_details[Leased Date], "&lt;" &amp; $U$2,
          unit_details[Floorplan Name], INDIRECT("C"&amp;ROW()),
          unit_details[Property Name], INDIRECT("B"&amp;ROW()))</f>
        <v>0</v>
      </c>
      <c r="Q472" s="531" t="str" cm="1">
        <f t="array" aca="1" ref="Q47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2" s="552" t="str" cm="1">
        <f t="array" aca="1" ref="R47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2" s="526" cm="1">
        <f t="array" aca="1" ref="S472" ca="1">COUNTIFS(unit_details[Leased Date], "&gt;=" &amp; ($U$2 - Q$5),
          unit_details[Leased Date], "&lt;" &amp; $U$2,
          unit_details[Floorplan Name], INDIRECT("C"&amp;ROW()),
          unit_details[Property Name], INDIRECT("B"&amp;ROW()))</f>
        <v>0</v>
      </c>
      <c r="T472" s="531" t="str" cm="1">
        <f t="array" aca="1" ref="T47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2" s="552" t="str" cm="1">
        <f t="array" aca="1" ref="U47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2" s="526" cm="1">
        <f t="array" aca="1" ref="V472" ca="1">COUNTIFS(unit_details[Leased Date], "&gt;=" &amp; ($U$2 - T$5),
          unit_details[Leased Date], "&lt;" &amp; $U$2,
          unit_details[Floorplan Name], INDIRECT("C"&amp;ROW()),
          unit_details[Property Name], INDIRECT("B"&amp;ROW()))</f>
        <v>0</v>
      </c>
      <c r="W472" s="531" t="str" cm="1">
        <f t="array" aca="1" ref="W47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2" s="552" t="str" cm="1">
        <f t="array" aca="1" ref="X47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2" s="27" t="str">
        <f t="shared" ca="1" si="21"/>
        <v/>
      </c>
      <c r="Z472" s="4" t="str">
        <f>IFERROR($U$2-AVERAGEIFS(unit_details[First Listed],
          unit_details[Active Listing?],TRUE,
          unit_details[Property Name], $B472,
          unit_details[Beds], $D472,
          unit_details[Baths], $E472,
          unit_details[Partial Baths], IF(ISNUMBER($F472),$F472,""),
          unit_details[Floorplan Name],$C472
),"")</f>
        <v/>
      </c>
      <c r="AA472" s="262" cm="1">
        <f t="array" aca="1" ref="AA472" ca="1">COUNTIFS(unit_details[Active Listing?],TRUE,
          unit_details[Floorplan Name], INDIRECT("C"&amp;ROW()),
          unit_details[Property Name], INDIRECT("B"&amp;ROW()))</f>
        <v>0</v>
      </c>
      <c r="AB472" s="553"/>
      <c r="AC472" s="528" cm="1">
        <f t="array" aca="1" ref="AC472" ca="1">IFERROR(AVERAGEIFS(
  unit_details[Sqft],
  unit_details[Property Name], INDIRECT("B"&amp;ROW()),
  unit_details[Floorplan Name], INDIRECT("C"&amp;ROW()),
  unit_details[Beds], INDIRECT("D"&amp;ROW()),
  unit_details[Detected Unit Amenities], "*"&amp;$AD$3&amp;"*",
  unit_details[Leased Date], "&gt;=" &amp; ($U$2 - $AF$3)
),0)</f>
        <v>0</v>
      </c>
      <c r="AD472" s="527" cm="1">
        <f t="array" aca="1" ref="AD4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2" s="526" cm="1">
        <f t="array" aca="1" ref="AE472" ca="1">IFERROR(COUNTIFS(
  unit_details[Property Name], INDIRECT("B"&amp;ROW()),
  unit_details[Floorplan Name], INDIRECT("C"&amp;ROW()),
  unit_details[Beds], INDIRECT("D"&amp;ROW()),
  unit_details[Detected Unit Amenities], "*"&amp;$AD$3&amp;"*",
  unit_details[Leased Date], "&gt;=" &amp; ($U$2 - $AF$3)
),0)</f>
        <v>0</v>
      </c>
      <c r="AF472" s="528" cm="1">
        <f t="array" aca="1" ref="AF472" ca="1">IFERROR(AVERAGEIFS(
  unit_details[Sqft],
  unit_details[Property Name], INDIRECT("B"&amp;ROW()),
  unit_details[Floorplan Name], INDIRECT("C"&amp;ROW()),
  unit_details[Beds], INDIRECT("D"&amp;ROW()),
  unit_details[Detected Unit Amenities], "&lt;&gt;*"&amp;$AD$3&amp;"*",
  unit_details[Leased Date], "&gt;=" &amp; ($U$2 - $AF$3)
),0)</f>
        <v>0</v>
      </c>
      <c r="AG472" s="527" cm="1">
        <f t="array" aca="1" ref="AG47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2" s="526" cm="1">
        <f t="array" aca="1" ref="AH472" ca="1">IFERROR(COUNTIFS(
  unit_details[Property Name], INDIRECT("B"&amp;ROW()),
  unit_details[Floorplan Name], INDIRECT("C"&amp;ROW()),
  unit_details[Beds], INDIRECT("D"&amp;ROW()),
  unit_details[Detected Unit Amenities], "&lt;&gt;*"&amp;$AD$3&amp;"*",
  unit_details[Leased Date], "&gt;=" &amp; ($U$2 - $AF$3)
),0)</f>
        <v>0</v>
      </c>
      <c r="AI472" s="528"/>
      <c r="AJ472" s="531">
        <f t="shared" ca="1" si="22"/>
        <v>0</v>
      </c>
      <c r="AK472" s="532">
        <f t="shared" ca="1" si="23"/>
        <v>0</v>
      </c>
    </row>
    <row r="473" spans="10:37" x14ac:dyDescent="0.2">
      <c r="J473" s="293"/>
      <c r="N473" s="531" t="str" cm="1">
        <f t="array" aca="1" ref="N47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3" s="552" t="str" cm="1">
        <f t="array" aca="1" ref="O47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3" s="526" cm="1">
        <f t="array" aca="1" ref="P473" ca="1">COUNTIFS(unit_details[Leased Date], "&gt;=" &amp; ($U$2 - N$5),
          unit_details[Leased Date], "&lt;" &amp; $U$2,
          unit_details[Floorplan Name], INDIRECT("C"&amp;ROW()),
          unit_details[Property Name], INDIRECT("B"&amp;ROW()))</f>
        <v>0</v>
      </c>
      <c r="Q473" s="531" t="str" cm="1">
        <f t="array" aca="1" ref="Q47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3" s="552" t="str" cm="1">
        <f t="array" aca="1" ref="R47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3" s="526" cm="1">
        <f t="array" aca="1" ref="S473" ca="1">COUNTIFS(unit_details[Leased Date], "&gt;=" &amp; ($U$2 - Q$5),
          unit_details[Leased Date], "&lt;" &amp; $U$2,
          unit_details[Floorplan Name], INDIRECT("C"&amp;ROW()),
          unit_details[Property Name], INDIRECT("B"&amp;ROW()))</f>
        <v>0</v>
      </c>
      <c r="T473" s="531" t="str" cm="1">
        <f t="array" aca="1" ref="T47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3" s="552" t="str" cm="1">
        <f t="array" aca="1" ref="U47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3" s="526" cm="1">
        <f t="array" aca="1" ref="V473" ca="1">COUNTIFS(unit_details[Leased Date], "&gt;=" &amp; ($U$2 - T$5),
          unit_details[Leased Date], "&lt;" &amp; $U$2,
          unit_details[Floorplan Name], INDIRECT("C"&amp;ROW()),
          unit_details[Property Name], INDIRECT("B"&amp;ROW()))</f>
        <v>0</v>
      </c>
      <c r="W473" s="531" t="str" cm="1">
        <f t="array" aca="1" ref="W47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3" s="552" t="str" cm="1">
        <f t="array" aca="1" ref="X47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3" s="27" t="str">
        <f t="shared" ca="1" si="21"/>
        <v/>
      </c>
      <c r="Z473" s="4" t="str">
        <f>IFERROR($U$2-AVERAGEIFS(unit_details[First Listed],
          unit_details[Active Listing?],TRUE,
          unit_details[Property Name], $B473,
          unit_details[Beds], $D473,
          unit_details[Baths], $E473,
          unit_details[Partial Baths], IF(ISNUMBER($F473),$F473,""),
          unit_details[Floorplan Name],$C473
),"")</f>
        <v/>
      </c>
      <c r="AA473" s="262" cm="1">
        <f t="array" aca="1" ref="AA473" ca="1">COUNTIFS(unit_details[Active Listing?],TRUE,
          unit_details[Floorplan Name], INDIRECT("C"&amp;ROW()),
          unit_details[Property Name], INDIRECT("B"&amp;ROW()))</f>
        <v>0</v>
      </c>
      <c r="AB473" s="553"/>
      <c r="AC473" s="528" cm="1">
        <f t="array" aca="1" ref="AC473" ca="1">IFERROR(AVERAGEIFS(
  unit_details[Sqft],
  unit_details[Property Name], INDIRECT("B"&amp;ROW()),
  unit_details[Floorplan Name], INDIRECT("C"&amp;ROW()),
  unit_details[Beds], INDIRECT("D"&amp;ROW()),
  unit_details[Detected Unit Amenities], "*"&amp;$AD$3&amp;"*",
  unit_details[Leased Date], "&gt;=" &amp; ($U$2 - $AF$3)
),0)</f>
        <v>0</v>
      </c>
      <c r="AD473" s="527" cm="1">
        <f t="array" aca="1" ref="AD4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3" s="526" cm="1">
        <f t="array" aca="1" ref="AE473" ca="1">IFERROR(COUNTIFS(
  unit_details[Property Name], INDIRECT("B"&amp;ROW()),
  unit_details[Floorplan Name], INDIRECT("C"&amp;ROW()),
  unit_details[Beds], INDIRECT("D"&amp;ROW()),
  unit_details[Detected Unit Amenities], "*"&amp;$AD$3&amp;"*",
  unit_details[Leased Date], "&gt;=" &amp; ($U$2 - $AF$3)
),0)</f>
        <v>0</v>
      </c>
      <c r="AF473" s="528" cm="1">
        <f t="array" aca="1" ref="AF473" ca="1">IFERROR(AVERAGEIFS(
  unit_details[Sqft],
  unit_details[Property Name], INDIRECT("B"&amp;ROW()),
  unit_details[Floorplan Name], INDIRECT("C"&amp;ROW()),
  unit_details[Beds], INDIRECT("D"&amp;ROW()),
  unit_details[Detected Unit Amenities], "&lt;&gt;*"&amp;$AD$3&amp;"*",
  unit_details[Leased Date], "&gt;=" &amp; ($U$2 - $AF$3)
),0)</f>
        <v>0</v>
      </c>
      <c r="AG473" s="527" cm="1">
        <f t="array" aca="1" ref="AG47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3" s="526" cm="1">
        <f t="array" aca="1" ref="AH473" ca="1">IFERROR(COUNTIFS(
  unit_details[Property Name], INDIRECT("B"&amp;ROW()),
  unit_details[Floorplan Name], INDIRECT("C"&amp;ROW()),
  unit_details[Beds], INDIRECT("D"&amp;ROW()),
  unit_details[Detected Unit Amenities], "&lt;&gt;*"&amp;$AD$3&amp;"*",
  unit_details[Leased Date], "&gt;=" &amp; ($U$2 - $AF$3)
),0)</f>
        <v>0</v>
      </c>
      <c r="AI473" s="528"/>
      <c r="AJ473" s="531">
        <f t="shared" ca="1" si="22"/>
        <v>0</v>
      </c>
      <c r="AK473" s="532">
        <f t="shared" ca="1" si="23"/>
        <v>0</v>
      </c>
    </row>
    <row r="474" spans="10:37" x14ac:dyDescent="0.2">
      <c r="J474" s="293"/>
      <c r="N474" s="531" t="str" cm="1">
        <f t="array" aca="1" ref="N47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4" s="552" t="str" cm="1">
        <f t="array" aca="1" ref="O47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4" s="526" cm="1">
        <f t="array" aca="1" ref="P474" ca="1">COUNTIFS(unit_details[Leased Date], "&gt;=" &amp; ($U$2 - N$5),
          unit_details[Leased Date], "&lt;" &amp; $U$2,
          unit_details[Floorplan Name], INDIRECT("C"&amp;ROW()),
          unit_details[Property Name], INDIRECT("B"&amp;ROW()))</f>
        <v>0</v>
      </c>
      <c r="Q474" s="531" t="str" cm="1">
        <f t="array" aca="1" ref="Q47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4" s="552" t="str" cm="1">
        <f t="array" aca="1" ref="R47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4" s="526" cm="1">
        <f t="array" aca="1" ref="S474" ca="1">COUNTIFS(unit_details[Leased Date], "&gt;=" &amp; ($U$2 - Q$5),
          unit_details[Leased Date], "&lt;" &amp; $U$2,
          unit_details[Floorplan Name], INDIRECT("C"&amp;ROW()),
          unit_details[Property Name], INDIRECT("B"&amp;ROW()))</f>
        <v>0</v>
      </c>
      <c r="T474" s="531" t="str" cm="1">
        <f t="array" aca="1" ref="T47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4" s="552" t="str" cm="1">
        <f t="array" aca="1" ref="U47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4" s="526" cm="1">
        <f t="array" aca="1" ref="V474" ca="1">COUNTIFS(unit_details[Leased Date], "&gt;=" &amp; ($U$2 - T$5),
          unit_details[Leased Date], "&lt;" &amp; $U$2,
          unit_details[Floorplan Name], INDIRECT("C"&amp;ROW()),
          unit_details[Property Name], INDIRECT("B"&amp;ROW()))</f>
        <v>0</v>
      </c>
      <c r="W474" s="531" t="str" cm="1">
        <f t="array" aca="1" ref="W47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4" s="552" t="str" cm="1">
        <f t="array" aca="1" ref="X47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4" s="27" t="str">
        <f t="shared" ca="1" si="21"/>
        <v/>
      </c>
      <c r="Z474" s="4" t="str">
        <f>IFERROR($U$2-AVERAGEIFS(unit_details[First Listed],
          unit_details[Active Listing?],TRUE,
          unit_details[Property Name], $B474,
          unit_details[Beds], $D474,
          unit_details[Baths], $E474,
          unit_details[Partial Baths], IF(ISNUMBER($F474),$F474,""),
          unit_details[Floorplan Name],$C474
),"")</f>
        <v/>
      </c>
      <c r="AA474" s="262" cm="1">
        <f t="array" aca="1" ref="AA474" ca="1">COUNTIFS(unit_details[Active Listing?],TRUE,
          unit_details[Floorplan Name], INDIRECT("C"&amp;ROW()),
          unit_details[Property Name], INDIRECT("B"&amp;ROW()))</f>
        <v>0</v>
      </c>
      <c r="AB474" s="553"/>
      <c r="AC474" s="528" cm="1">
        <f t="array" aca="1" ref="AC474" ca="1">IFERROR(AVERAGEIFS(
  unit_details[Sqft],
  unit_details[Property Name], INDIRECT("B"&amp;ROW()),
  unit_details[Floorplan Name], INDIRECT("C"&amp;ROW()),
  unit_details[Beds], INDIRECT("D"&amp;ROW()),
  unit_details[Detected Unit Amenities], "*"&amp;$AD$3&amp;"*",
  unit_details[Leased Date], "&gt;=" &amp; ($U$2 - $AF$3)
),0)</f>
        <v>0</v>
      </c>
      <c r="AD474" s="527" cm="1">
        <f t="array" aca="1" ref="AD4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4" s="526" cm="1">
        <f t="array" aca="1" ref="AE474" ca="1">IFERROR(COUNTIFS(
  unit_details[Property Name], INDIRECT("B"&amp;ROW()),
  unit_details[Floorplan Name], INDIRECT("C"&amp;ROW()),
  unit_details[Beds], INDIRECT("D"&amp;ROW()),
  unit_details[Detected Unit Amenities], "*"&amp;$AD$3&amp;"*",
  unit_details[Leased Date], "&gt;=" &amp; ($U$2 - $AF$3)
),0)</f>
        <v>0</v>
      </c>
      <c r="AF474" s="528" cm="1">
        <f t="array" aca="1" ref="AF474" ca="1">IFERROR(AVERAGEIFS(
  unit_details[Sqft],
  unit_details[Property Name], INDIRECT("B"&amp;ROW()),
  unit_details[Floorplan Name], INDIRECT("C"&amp;ROW()),
  unit_details[Beds], INDIRECT("D"&amp;ROW()),
  unit_details[Detected Unit Amenities], "&lt;&gt;*"&amp;$AD$3&amp;"*",
  unit_details[Leased Date], "&gt;=" &amp; ($U$2 - $AF$3)
),0)</f>
        <v>0</v>
      </c>
      <c r="AG474" s="527" cm="1">
        <f t="array" aca="1" ref="AG47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4" s="526" cm="1">
        <f t="array" aca="1" ref="AH474" ca="1">IFERROR(COUNTIFS(
  unit_details[Property Name], INDIRECT("B"&amp;ROW()),
  unit_details[Floorplan Name], INDIRECT("C"&amp;ROW()),
  unit_details[Beds], INDIRECT("D"&amp;ROW()),
  unit_details[Detected Unit Amenities], "&lt;&gt;*"&amp;$AD$3&amp;"*",
  unit_details[Leased Date], "&gt;=" &amp; ($U$2 - $AF$3)
),0)</f>
        <v>0</v>
      </c>
      <c r="AI474" s="528"/>
      <c r="AJ474" s="531">
        <f t="shared" ca="1" si="22"/>
        <v>0</v>
      </c>
      <c r="AK474" s="532">
        <f t="shared" ca="1" si="23"/>
        <v>0</v>
      </c>
    </row>
    <row r="475" spans="10:37" x14ac:dyDescent="0.2">
      <c r="J475" s="293"/>
      <c r="N475" s="531" t="str" cm="1">
        <f t="array" aca="1" ref="N47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5" s="552" t="str" cm="1">
        <f t="array" aca="1" ref="O47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5" s="526" cm="1">
        <f t="array" aca="1" ref="P475" ca="1">COUNTIFS(unit_details[Leased Date], "&gt;=" &amp; ($U$2 - N$5),
          unit_details[Leased Date], "&lt;" &amp; $U$2,
          unit_details[Floorplan Name], INDIRECT("C"&amp;ROW()),
          unit_details[Property Name], INDIRECT("B"&amp;ROW()))</f>
        <v>0</v>
      </c>
      <c r="Q475" s="531" t="str" cm="1">
        <f t="array" aca="1" ref="Q47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5" s="552" t="str" cm="1">
        <f t="array" aca="1" ref="R47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5" s="526" cm="1">
        <f t="array" aca="1" ref="S475" ca="1">COUNTIFS(unit_details[Leased Date], "&gt;=" &amp; ($U$2 - Q$5),
          unit_details[Leased Date], "&lt;" &amp; $U$2,
          unit_details[Floorplan Name], INDIRECT("C"&amp;ROW()),
          unit_details[Property Name], INDIRECT("B"&amp;ROW()))</f>
        <v>0</v>
      </c>
      <c r="T475" s="531" t="str" cm="1">
        <f t="array" aca="1" ref="T47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5" s="552" t="str" cm="1">
        <f t="array" aca="1" ref="U47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5" s="526" cm="1">
        <f t="array" aca="1" ref="V475" ca="1">COUNTIFS(unit_details[Leased Date], "&gt;=" &amp; ($U$2 - T$5),
          unit_details[Leased Date], "&lt;" &amp; $U$2,
          unit_details[Floorplan Name], INDIRECT("C"&amp;ROW()),
          unit_details[Property Name], INDIRECT("B"&amp;ROW()))</f>
        <v>0</v>
      </c>
      <c r="W475" s="531" t="str" cm="1">
        <f t="array" aca="1" ref="W47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5" s="552" t="str" cm="1">
        <f t="array" aca="1" ref="X47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5" s="27" t="str">
        <f t="shared" ca="1" si="21"/>
        <v/>
      </c>
      <c r="Z475" s="4" t="str">
        <f>IFERROR($U$2-AVERAGEIFS(unit_details[First Listed],
          unit_details[Active Listing?],TRUE,
          unit_details[Property Name], $B475,
          unit_details[Beds], $D475,
          unit_details[Baths], $E475,
          unit_details[Partial Baths], IF(ISNUMBER($F475),$F475,""),
          unit_details[Floorplan Name],$C475
),"")</f>
        <v/>
      </c>
      <c r="AA475" s="262" cm="1">
        <f t="array" aca="1" ref="AA475" ca="1">COUNTIFS(unit_details[Active Listing?],TRUE,
          unit_details[Floorplan Name], INDIRECT("C"&amp;ROW()),
          unit_details[Property Name], INDIRECT("B"&amp;ROW()))</f>
        <v>0</v>
      </c>
      <c r="AB475" s="553"/>
      <c r="AC475" s="528" cm="1">
        <f t="array" aca="1" ref="AC475" ca="1">IFERROR(AVERAGEIFS(
  unit_details[Sqft],
  unit_details[Property Name], INDIRECT("B"&amp;ROW()),
  unit_details[Floorplan Name], INDIRECT("C"&amp;ROW()),
  unit_details[Beds], INDIRECT("D"&amp;ROW()),
  unit_details[Detected Unit Amenities], "*"&amp;$AD$3&amp;"*",
  unit_details[Leased Date], "&gt;=" &amp; ($U$2 - $AF$3)
),0)</f>
        <v>0</v>
      </c>
      <c r="AD475" s="527" cm="1">
        <f t="array" aca="1" ref="AD4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5" s="526" cm="1">
        <f t="array" aca="1" ref="AE475" ca="1">IFERROR(COUNTIFS(
  unit_details[Property Name], INDIRECT("B"&amp;ROW()),
  unit_details[Floorplan Name], INDIRECT("C"&amp;ROW()),
  unit_details[Beds], INDIRECT("D"&amp;ROW()),
  unit_details[Detected Unit Amenities], "*"&amp;$AD$3&amp;"*",
  unit_details[Leased Date], "&gt;=" &amp; ($U$2 - $AF$3)
),0)</f>
        <v>0</v>
      </c>
      <c r="AF475" s="528" cm="1">
        <f t="array" aca="1" ref="AF475" ca="1">IFERROR(AVERAGEIFS(
  unit_details[Sqft],
  unit_details[Property Name], INDIRECT("B"&amp;ROW()),
  unit_details[Floorplan Name], INDIRECT("C"&amp;ROW()),
  unit_details[Beds], INDIRECT("D"&amp;ROW()),
  unit_details[Detected Unit Amenities], "&lt;&gt;*"&amp;$AD$3&amp;"*",
  unit_details[Leased Date], "&gt;=" &amp; ($U$2 - $AF$3)
),0)</f>
        <v>0</v>
      </c>
      <c r="AG475" s="527" cm="1">
        <f t="array" aca="1" ref="AG47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5" s="526" cm="1">
        <f t="array" aca="1" ref="AH475" ca="1">IFERROR(COUNTIFS(
  unit_details[Property Name], INDIRECT("B"&amp;ROW()),
  unit_details[Floorplan Name], INDIRECT("C"&amp;ROW()),
  unit_details[Beds], INDIRECT("D"&amp;ROW()),
  unit_details[Detected Unit Amenities], "&lt;&gt;*"&amp;$AD$3&amp;"*",
  unit_details[Leased Date], "&gt;=" &amp; ($U$2 - $AF$3)
),0)</f>
        <v>0</v>
      </c>
      <c r="AI475" s="528"/>
      <c r="AJ475" s="531">
        <f t="shared" ca="1" si="22"/>
        <v>0</v>
      </c>
      <c r="AK475" s="532">
        <f t="shared" ca="1" si="23"/>
        <v>0</v>
      </c>
    </row>
    <row r="476" spans="10:37" x14ac:dyDescent="0.2">
      <c r="J476" s="293"/>
      <c r="N476" s="531" t="str" cm="1">
        <f t="array" aca="1" ref="N47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6" s="552" t="str" cm="1">
        <f t="array" aca="1" ref="O47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6" s="526" cm="1">
        <f t="array" aca="1" ref="P476" ca="1">COUNTIFS(unit_details[Leased Date], "&gt;=" &amp; ($U$2 - N$5),
          unit_details[Leased Date], "&lt;" &amp; $U$2,
          unit_details[Floorplan Name], INDIRECT("C"&amp;ROW()),
          unit_details[Property Name], INDIRECT("B"&amp;ROW()))</f>
        <v>0</v>
      </c>
      <c r="Q476" s="531" t="str" cm="1">
        <f t="array" aca="1" ref="Q47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6" s="552" t="str" cm="1">
        <f t="array" aca="1" ref="R47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6" s="526" cm="1">
        <f t="array" aca="1" ref="S476" ca="1">COUNTIFS(unit_details[Leased Date], "&gt;=" &amp; ($U$2 - Q$5),
          unit_details[Leased Date], "&lt;" &amp; $U$2,
          unit_details[Floorplan Name], INDIRECT("C"&amp;ROW()),
          unit_details[Property Name], INDIRECT("B"&amp;ROW()))</f>
        <v>0</v>
      </c>
      <c r="T476" s="531" t="str" cm="1">
        <f t="array" aca="1" ref="T47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6" s="552" t="str" cm="1">
        <f t="array" aca="1" ref="U47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6" s="526" cm="1">
        <f t="array" aca="1" ref="V476" ca="1">COUNTIFS(unit_details[Leased Date], "&gt;=" &amp; ($U$2 - T$5),
          unit_details[Leased Date], "&lt;" &amp; $U$2,
          unit_details[Floorplan Name], INDIRECT("C"&amp;ROW()),
          unit_details[Property Name], INDIRECT("B"&amp;ROW()))</f>
        <v>0</v>
      </c>
      <c r="W476" s="531" t="str" cm="1">
        <f t="array" aca="1" ref="W47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6" s="552" t="str" cm="1">
        <f t="array" aca="1" ref="X47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6" s="27" t="str">
        <f t="shared" ca="1" si="21"/>
        <v/>
      </c>
      <c r="Z476" s="4" t="str">
        <f>IFERROR($U$2-AVERAGEIFS(unit_details[First Listed],
          unit_details[Active Listing?],TRUE,
          unit_details[Property Name], $B476,
          unit_details[Beds], $D476,
          unit_details[Baths], $E476,
          unit_details[Partial Baths], IF(ISNUMBER($F476),$F476,""),
          unit_details[Floorplan Name],$C476
),"")</f>
        <v/>
      </c>
      <c r="AA476" s="262" cm="1">
        <f t="array" aca="1" ref="AA476" ca="1">COUNTIFS(unit_details[Active Listing?],TRUE,
          unit_details[Floorplan Name], INDIRECT("C"&amp;ROW()),
          unit_details[Property Name], INDIRECT("B"&amp;ROW()))</f>
        <v>0</v>
      </c>
      <c r="AB476" s="553"/>
      <c r="AC476" s="528" cm="1">
        <f t="array" aca="1" ref="AC476" ca="1">IFERROR(AVERAGEIFS(
  unit_details[Sqft],
  unit_details[Property Name], INDIRECT("B"&amp;ROW()),
  unit_details[Floorplan Name], INDIRECT("C"&amp;ROW()),
  unit_details[Beds], INDIRECT("D"&amp;ROW()),
  unit_details[Detected Unit Amenities], "*"&amp;$AD$3&amp;"*",
  unit_details[Leased Date], "&gt;=" &amp; ($U$2 - $AF$3)
),0)</f>
        <v>0</v>
      </c>
      <c r="AD476" s="527" cm="1">
        <f t="array" aca="1" ref="AD4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6" s="526" cm="1">
        <f t="array" aca="1" ref="AE476" ca="1">IFERROR(COUNTIFS(
  unit_details[Property Name], INDIRECT("B"&amp;ROW()),
  unit_details[Floorplan Name], INDIRECT("C"&amp;ROW()),
  unit_details[Beds], INDIRECT("D"&amp;ROW()),
  unit_details[Detected Unit Amenities], "*"&amp;$AD$3&amp;"*",
  unit_details[Leased Date], "&gt;=" &amp; ($U$2 - $AF$3)
),0)</f>
        <v>0</v>
      </c>
      <c r="AF476" s="528" cm="1">
        <f t="array" aca="1" ref="AF476" ca="1">IFERROR(AVERAGEIFS(
  unit_details[Sqft],
  unit_details[Property Name], INDIRECT("B"&amp;ROW()),
  unit_details[Floorplan Name], INDIRECT("C"&amp;ROW()),
  unit_details[Beds], INDIRECT("D"&amp;ROW()),
  unit_details[Detected Unit Amenities], "&lt;&gt;*"&amp;$AD$3&amp;"*",
  unit_details[Leased Date], "&gt;=" &amp; ($U$2 - $AF$3)
),0)</f>
        <v>0</v>
      </c>
      <c r="AG476" s="527" cm="1">
        <f t="array" aca="1" ref="AG47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6" s="526" cm="1">
        <f t="array" aca="1" ref="AH476" ca="1">IFERROR(COUNTIFS(
  unit_details[Property Name], INDIRECT("B"&amp;ROW()),
  unit_details[Floorplan Name], INDIRECT("C"&amp;ROW()),
  unit_details[Beds], INDIRECT("D"&amp;ROW()),
  unit_details[Detected Unit Amenities], "&lt;&gt;*"&amp;$AD$3&amp;"*",
  unit_details[Leased Date], "&gt;=" &amp; ($U$2 - $AF$3)
),0)</f>
        <v>0</v>
      </c>
      <c r="AI476" s="528"/>
      <c r="AJ476" s="531">
        <f t="shared" ca="1" si="22"/>
        <v>0</v>
      </c>
      <c r="AK476" s="532">
        <f t="shared" ca="1" si="23"/>
        <v>0</v>
      </c>
    </row>
    <row r="477" spans="10:37" x14ac:dyDescent="0.2">
      <c r="J477" s="293"/>
      <c r="N477" s="531" t="str" cm="1">
        <f t="array" aca="1" ref="N47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7" s="552" t="str" cm="1">
        <f t="array" aca="1" ref="O47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7" s="526" cm="1">
        <f t="array" aca="1" ref="P477" ca="1">COUNTIFS(unit_details[Leased Date], "&gt;=" &amp; ($U$2 - N$5),
          unit_details[Leased Date], "&lt;" &amp; $U$2,
          unit_details[Floorplan Name], INDIRECT("C"&amp;ROW()),
          unit_details[Property Name], INDIRECT("B"&amp;ROW()))</f>
        <v>0</v>
      </c>
      <c r="Q477" s="531" t="str" cm="1">
        <f t="array" aca="1" ref="Q47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7" s="552" t="str" cm="1">
        <f t="array" aca="1" ref="R47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7" s="526" cm="1">
        <f t="array" aca="1" ref="S477" ca="1">COUNTIFS(unit_details[Leased Date], "&gt;=" &amp; ($U$2 - Q$5),
          unit_details[Leased Date], "&lt;" &amp; $U$2,
          unit_details[Floorplan Name], INDIRECT("C"&amp;ROW()),
          unit_details[Property Name], INDIRECT("B"&amp;ROW()))</f>
        <v>0</v>
      </c>
      <c r="T477" s="531" t="str" cm="1">
        <f t="array" aca="1" ref="T47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7" s="552" t="str" cm="1">
        <f t="array" aca="1" ref="U47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7" s="526" cm="1">
        <f t="array" aca="1" ref="V477" ca="1">COUNTIFS(unit_details[Leased Date], "&gt;=" &amp; ($U$2 - T$5),
          unit_details[Leased Date], "&lt;" &amp; $U$2,
          unit_details[Floorplan Name], INDIRECT("C"&amp;ROW()),
          unit_details[Property Name], INDIRECT("B"&amp;ROW()))</f>
        <v>0</v>
      </c>
      <c r="W477" s="531" t="str" cm="1">
        <f t="array" aca="1" ref="W47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7" s="552" t="str" cm="1">
        <f t="array" aca="1" ref="X47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7" s="27" t="str">
        <f t="shared" ca="1" si="21"/>
        <v/>
      </c>
      <c r="Z477" s="4" t="str">
        <f>IFERROR($U$2-AVERAGEIFS(unit_details[First Listed],
          unit_details[Active Listing?],TRUE,
          unit_details[Property Name], $B477,
          unit_details[Beds], $D477,
          unit_details[Baths], $E477,
          unit_details[Partial Baths], IF(ISNUMBER($F477),$F477,""),
          unit_details[Floorplan Name],$C477
),"")</f>
        <v/>
      </c>
      <c r="AA477" s="262" cm="1">
        <f t="array" aca="1" ref="AA477" ca="1">COUNTIFS(unit_details[Active Listing?],TRUE,
          unit_details[Floorplan Name], INDIRECT("C"&amp;ROW()),
          unit_details[Property Name], INDIRECT("B"&amp;ROW()))</f>
        <v>0</v>
      </c>
      <c r="AB477" s="553"/>
      <c r="AC477" s="528" cm="1">
        <f t="array" aca="1" ref="AC477" ca="1">IFERROR(AVERAGEIFS(
  unit_details[Sqft],
  unit_details[Property Name], INDIRECT("B"&amp;ROW()),
  unit_details[Floorplan Name], INDIRECT("C"&amp;ROW()),
  unit_details[Beds], INDIRECT("D"&amp;ROW()),
  unit_details[Detected Unit Amenities], "*"&amp;$AD$3&amp;"*",
  unit_details[Leased Date], "&gt;=" &amp; ($U$2 - $AF$3)
),0)</f>
        <v>0</v>
      </c>
      <c r="AD477" s="527" cm="1">
        <f t="array" aca="1" ref="AD4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7" s="526" cm="1">
        <f t="array" aca="1" ref="AE477" ca="1">IFERROR(COUNTIFS(
  unit_details[Property Name], INDIRECT("B"&amp;ROW()),
  unit_details[Floorplan Name], INDIRECT("C"&amp;ROW()),
  unit_details[Beds], INDIRECT("D"&amp;ROW()),
  unit_details[Detected Unit Amenities], "*"&amp;$AD$3&amp;"*",
  unit_details[Leased Date], "&gt;=" &amp; ($U$2 - $AF$3)
),0)</f>
        <v>0</v>
      </c>
      <c r="AF477" s="528" cm="1">
        <f t="array" aca="1" ref="AF477" ca="1">IFERROR(AVERAGEIFS(
  unit_details[Sqft],
  unit_details[Property Name], INDIRECT("B"&amp;ROW()),
  unit_details[Floorplan Name], INDIRECT("C"&amp;ROW()),
  unit_details[Beds], INDIRECT("D"&amp;ROW()),
  unit_details[Detected Unit Amenities], "&lt;&gt;*"&amp;$AD$3&amp;"*",
  unit_details[Leased Date], "&gt;=" &amp; ($U$2 - $AF$3)
),0)</f>
        <v>0</v>
      </c>
      <c r="AG477" s="527" cm="1">
        <f t="array" aca="1" ref="AG47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7" s="526" cm="1">
        <f t="array" aca="1" ref="AH477" ca="1">IFERROR(COUNTIFS(
  unit_details[Property Name], INDIRECT("B"&amp;ROW()),
  unit_details[Floorplan Name], INDIRECT("C"&amp;ROW()),
  unit_details[Beds], INDIRECT("D"&amp;ROW()),
  unit_details[Detected Unit Amenities], "&lt;&gt;*"&amp;$AD$3&amp;"*",
  unit_details[Leased Date], "&gt;=" &amp; ($U$2 - $AF$3)
),0)</f>
        <v>0</v>
      </c>
      <c r="AI477" s="528"/>
      <c r="AJ477" s="531">
        <f t="shared" ca="1" si="22"/>
        <v>0</v>
      </c>
      <c r="AK477" s="532">
        <f t="shared" ca="1" si="23"/>
        <v>0</v>
      </c>
    </row>
    <row r="478" spans="10:37" x14ac:dyDescent="0.2">
      <c r="J478" s="293"/>
      <c r="N478" s="531" t="str" cm="1">
        <f t="array" aca="1" ref="N47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8" s="552" t="str" cm="1">
        <f t="array" aca="1" ref="O47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8" s="526" cm="1">
        <f t="array" aca="1" ref="P478" ca="1">COUNTIFS(unit_details[Leased Date], "&gt;=" &amp; ($U$2 - N$5),
          unit_details[Leased Date], "&lt;" &amp; $U$2,
          unit_details[Floorplan Name], INDIRECT("C"&amp;ROW()),
          unit_details[Property Name], INDIRECT("B"&amp;ROW()))</f>
        <v>0</v>
      </c>
      <c r="Q478" s="531" t="str" cm="1">
        <f t="array" aca="1" ref="Q47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8" s="552" t="str" cm="1">
        <f t="array" aca="1" ref="R47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8" s="526" cm="1">
        <f t="array" aca="1" ref="S478" ca="1">COUNTIFS(unit_details[Leased Date], "&gt;=" &amp; ($U$2 - Q$5),
          unit_details[Leased Date], "&lt;" &amp; $U$2,
          unit_details[Floorplan Name], INDIRECT("C"&amp;ROW()),
          unit_details[Property Name], INDIRECT("B"&amp;ROW()))</f>
        <v>0</v>
      </c>
      <c r="T478" s="531" t="str" cm="1">
        <f t="array" aca="1" ref="T47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8" s="552" t="str" cm="1">
        <f t="array" aca="1" ref="U47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8" s="526" cm="1">
        <f t="array" aca="1" ref="V478" ca="1">COUNTIFS(unit_details[Leased Date], "&gt;=" &amp; ($U$2 - T$5),
          unit_details[Leased Date], "&lt;" &amp; $U$2,
          unit_details[Floorplan Name], INDIRECT("C"&amp;ROW()),
          unit_details[Property Name], INDIRECT("B"&amp;ROW()))</f>
        <v>0</v>
      </c>
      <c r="W478" s="531" t="str" cm="1">
        <f t="array" aca="1" ref="W47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8" s="552" t="str" cm="1">
        <f t="array" aca="1" ref="X47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8" s="27" t="str">
        <f t="shared" ca="1" si="21"/>
        <v/>
      </c>
      <c r="Z478" s="4" t="str">
        <f>IFERROR($U$2-AVERAGEIFS(unit_details[First Listed],
          unit_details[Active Listing?],TRUE,
          unit_details[Property Name], $B478,
          unit_details[Beds], $D478,
          unit_details[Baths], $E478,
          unit_details[Partial Baths], IF(ISNUMBER($F478),$F478,""),
          unit_details[Floorplan Name],$C478
),"")</f>
        <v/>
      </c>
      <c r="AA478" s="262" cm="1">
        <f t="array" aca="1" ref="AA478" ca="1">COUNTIFS(unit_details[Active Listing?],TRUE,
          unit_details[Floorplan Name], INDIRECT("C"&amp;ROW()),
          unit_details[Property Name], INDIRECT("B"&amp;ROW()))</f>
        <v>0</v>
      </c>
      <c r="AB478" s="553"/>
      <c r="AC478" s="528" cm="1">
        <f t="array" aca="1" ref="AC478" ca="1">IFERROR(AVERAGEIFS(
  unit_details[Sqft],
  unit_details[Property Name], INDIRECT("B"&amp;ROW()),
  unit_details[Floorplan Name], INDIRECT("C"&amp;ROW()),
  unit_details[Beds], INDIRECT("D"&amp;ROW()),
  unit_details[Detected Unit Amenities], "*"&amp;$AD$3&amp;"*",
  unit_details[Leased Date], "&gt;=" &amp; ($U$2 - $AF$3)
),0)</f>
        <v>0</v>
      </c>
      <c r="AD478" s="527" cm="1">
        <f t="array" aca="1" ref="AD4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8" s="526" cm="1">
        <f t="array" aca="1" ref="AE478" ca="1">IFERROR(COUNTIFS(
  unit_details[Property Name], INDIRECT("B"&amp;ROW()),
  unit_details[Floorplan Name], INDIRECT("C"&amp;ROW()),
  unit_details[Beds], INDIRECT("D"&amp;ROW()),
  unit_details[Detected Unit Amenities], "*"&amp;$AD$3&amp;"*",
  unit_details[Leased Date], "&gt;=" &amp; ($U$2 - $AF$3)
),0)</f>
        <v>0</v>
      </c>
      <c r="AF478" s="528" cm="1">
        <f t="array" aca="1" ref="AF478" ca="1">IFERROR(AVERAGEIFS(
  unit_details[Sqft],
  unit_details[Property Name], INDIRECT("B"&amp;ROW()),
  unit_details[Floorplan Name], INDIRECT("C"&amp;ROW()),
  unit_details[Beds], INDIRECT("D"&amp;ROW()),
  unit_details[Detected Unit Amenities], "&lt;&gt;*"&amp;$AD$3&amp;"*",
  unit_details[Leased Date], "&gt;=" &amp; ($U$2 - $AF$3)
),0)</f>
        <v>0</v>
      </c>
      <c r="AG478" s="527" cm="1">
        <f t="array" aca="1" ref="AG47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8" s="526" cm="1">
        <f t="array" aca="1" ref="AH478" ca="1">IFERROR(COUNTIFS(
  unit_details[Property Name], INDIRECT("B"&amp;ROW()),
  unit_details[Floorplan Name], INDIRECT("C"&amp;ROW()),
  unit_details[Beds], INDIRECT("D"&amp;ROW()),
  unit_details[Detected Unit Amenities], "&lt;&gt;*"&amp;$AD$3&amp;"*",
  unit_details[Leased Date], "&gt;=" &amp; ($U$2 - $AF$3)
),0)</f>
        <v>0</v>
      </c>
      <c r="AI478" s="528"/>
      <c r="AJ478" s="531">
        <f t="shared" ca="1" si="22"/>
        <v>0</v>
      </c>
      <c r="AK478" s="532">
        <f t="shared" ca="1" si="23"/>
        <v>0</v>
      </c>
    </row>
    <row r="479" spans="10:37" x14ac:dyDescent="0.2">
      <c r="J479" s="293"/>
      <c r="N479" s="531" t="str" cm="1">
        <f t="array" aca="1" ref="N47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79" s="552" t="str" cm="1">
        <f t="array" aca="1" ref="O47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79" s="526" cm="1">
        <f t="array" aca="1" ref="P479" ca="1">COUNTIFS(unit_details[Leased Date], "&gt;=" &amp; ($U$2 - N$5),
          unit_details[Leased Date], "&lt;" &amp; $U$2,
          unit_details[Floorplan Name], INDIRECT("C"&amp;ROW()),
          unit_details[Property Name], INDIRECT("B"&amp;ROW()))</f>
        <v>0</v>
      </c>
      <c r="Q479" s="531" t="str" cm="1">
        <f t="array" aca="1" ref="Q47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79" s="552" t="str" cm="1">
        <f t="array" aca="1" ref="R47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79" s="526" cm="1">
        <f t="array" aca="1" ref="S479" ca="1">COUNTIFS(unit_details[Leased Date], "&gt;=" &amp; ($U$2 - Q$5),
          unit_details[Leased Date], "&lt;" &amp; $U$2,
          unit_details[Floorplan Name], INDIRECT("C"&amp;ROW()),
          unit_details[Property Name], INDIRECT("B"&amp;ROW()))</f>
        <v>0</v>
      </c>
      <c r="T479" s="531" t="str" cm="1">
        <f t="array" aca="1" ref="T47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79" s="552" t="str" cm="1">
        <f t="array" aca="1" ref="U47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79" s="526" cm="1">
        <f t="array" aca="1" ref="V479" ca="1">COUNTIFS(unit_details[Leased Date], "&gt;=" &amp; ($U$2 - T$5),
          unit_details[Leased Date], "&lt;" &amp; $U$2,
          unit_details[Floorplan Name], INDIRECT("C"&amp;ROW()),
          unit_details[Property Name], INDIRECT("B"&amp;ROW()))</f>
        <v>0</v>
      </c>
      <c r="W479" s="531" t="str" cm="1">
        <f t="array" aca="1" ref="W47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79" s="552" t="str" cm="1">
        <f t="array" aca="1" ref="X47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79" s="27" t="str">
        <f t="shared" ca="1" si="21"/>
        <v/>
      </c>
      <c r="Z479" s="4" t="str">
        <f>IFERROR($U$2-AVERAGEIFS(unit_details[First Listed],
          unit_details[Active Listing?],TRUE,
          unit_details[Property Name], $B479,
          unit_details[Beds], $D479,
          unit_details[Baths], $E479,
          unit_details[Partial Baths], IF(ISNUMBER($F479),$F479,""),
          unit_details[Floorplan Name],$C479
),"")</f>
        <v/>
      </c>
      <c r="AA479" s="262" cm="1">
        <f t="array" aca="1" ref="AA479" ca="1">COUNTIFS(unit_details[Active Listing?],TRUE,
          unit_details[Floorplan Name], INDIRECT("C"&amp;ROW()),
          unit_details[Property Name], INDIRECT("B"&amp;ROW()))</f>
        <v>0</v>
      </c>
      <c r="AB479" s="553"/>
      <c r="AC479" s="528" cm="1">
        <f t="array" aca="1" ref="AC479" ca="1">IFERROR(AVERAGEIFS(
  unit_details[Sqft],
  unit_details[Property Name], INDIRECT("B"&amp;ROW()),
  unit_details[Floorplan Name], INDIRECT("C"&amp;ROW()),
  unit_details[Beds], INDIRECT("D"&amp;ROW()),
  unit_details[Detected Unit Amenities], "*"&amp;$AD$3&amp;"*",
  unit_details[Leased Date], "&gt;=" &amp; ($U$2 - $AF$3)
),0)</f>
        <v>0</v>
      </c>
      <c r="AD479" s="527" cm="1">
        <f t="array" aca="1" ref="AD4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79" s="526" cm="1">
        <f t="array" aca="1" ref="AE479" ca="1">IFERROR(COUNTIFS(
  unit_details[Property Name], INDIRECT("B"&amp;ROW()),
  unit_details[Floorplan Name], INDIRECT("C"&amp;ROW()),
  unit_details[Beds], INDIRECT("D"&amp;ROW()),
  unit_details[Detected Unit Amenities], "*"&amp;$AD$3&amp;"*",
  unit_details[Leased Date], "&gt;=" &amp; ($U$2 - $AF$3)
),0)</f>
        <v>0</v>
      </c>
      <c r="AF479" s="528" cm="1">
        <f t="array" aca="1" ref="AF479" ca="1">IFERROR(AVERAGEIFS(
  unit_details[Sqft],
  unit_details[Property Name], INDIRECT("B"&amp;ROW()),
  unit_details[Floorplan Name], INDIRECT("C"&amp;ROW()),
  unit_details[Beds], INDIRECT("D"&amp;ROW()),
  unit_details[Detected Unit Amenities], "&lt;&gt;*"&amp;$AD$3&amp;"*",
  unit_details[Leased Date], "&gt;=" &amp; ($U$2 - $AF$3)
),0)</f>
        <v>0</v>
      </c>
      <c r="AG479" s="527" cm="1">
        <f t="array" aca="1" ref="AG47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79" s="526" cm="1">
        <f t="array" aca="1" ref="AH479" ca="1">IFERROR(COUNTIFS(
  unit_details[Property Name], INDIRECT("B"&amp;ROW()),
  unit_details[Floorplan Name], INDIRECT("C"&amp;ROW()),
  unit_details[Beds], INDIRECT("D"&amp;ROW()),
  unit_details[Detected Unit Amenities], "&lt;&gt;*"&amp;$AD$3&amp;"*",
  unit_details[Leased Date], "&gt;=" &amp; ($U$2 - $AF$3)
),0)</f>
        <v>0</v>
      </c>
      <c r="AI479" s="528"/>
      <c r="AJ479" s="531">
        <f t="shared" ca="1" si="22"/>
        <v>0</v>
      </c>
      <c r="AK479" s="532">
        <f t="shared" ca="1" si="23"/>
        <v>0</v>
      </c>
    </row>
    <row r="480" spans="10:37" x14ac:dyDescent="0.2">
      <c r="J480" s="293"/>
      <c r="N480" s="531" t="str" cm="1">
        <f t="array" aca="1" ref="N48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0" s="552" t="str" cm="1">
        <f t="array" aca="1" ref="O48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0" s="526" cm="1">
        <f t="array" aca="1" ref="P480" ca="1">COUNTIFS(unit_details[Leased Date], "&gt;=" &amp; ($U$2 - N$5),
          unit_details[Leased Date], "&lt;" &amp; $U$2,
          unit_details[Floorplan Name], INDIRECT("C"&amp;ROW()),
          unit_details[Property Name], INDIRECT("B"&amp;ROW()))</f>
        <v>0</v>
      </c>
      <c r="Q480" s="531" t="str" cm="1">
        <f t="array" aca="1" ref="Q48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0" s="552" t="str" cm="1">
        <f t="array" aca="1" ref="R48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0" s="526" cm="1">
        <f t="array" aca="1" ref="S480" ca="1">COUNTIFS(unit_details[Leased Date], "&gt;=" &amp; ($U$2 - Q$5),
          unit_details[Leased Date], "&lt;" &amp; $U$2,
          unit_details[Floorplan Name], INDIRECT("C"&amp;ROW()),
          unit_details[Property Name], INDIRECT("B"&amp;ROW()))</f>
        <v>0</v>
      </c>
      <c r="T480" s="531" t="str" cm="1">
        <f t="array" aca="1" ref="T48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0" s="552" t="str" cm="1">
        <f t="array" aca="1" ref="U48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0" s="526" cm="1">
        <f t="array" aca="1" ref="V480" ca="1">COUNTIFS(unit_details[Leased Date], "&gt;=" &amp; ($U$2 - T$5),
          unit_details[Leased Date], "&lt;" &amp; $U$2,
          unit_details[Floorplan Name], INDIRECT("C"&amp;ROW()),
          unit_details[Property Name], INDIRECT("B"&amp;ROW()))</f>
        <v>0</v>
      </c>
      <c r="W480" s="531" t="str" cm="1">
        <f t="array" aca="1" ref="W48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0" s="552" t="str" cm="1">
        <f t="array" aca="1" ref="X48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0" s="27" t="str">
        <f t="shared" ca="1" si="21"/>
        <v/>
      </c>
      <c r="Z480" s="4" t="str">
        <f>IFERROR($U$2-AVERAGEIFS(unit_details[First Listed],
          unit_details[Active Listing?],TRUE,
          unit_details[Property Name], $B480,
          unit_details[Beds], $D480,
          unit_details[Baths], $E480,
          unit_details[Partial Baths], IF(ISNUMBER($F480),$F480,""),
          unit_details[Floorplan Name],$C480
),"")</f>
        <v/>
      </c>
      <c r="AA480" s="262" cm="1">
        <f t="array" aca="1" ref="AA480" ca="1">COUNTIFS(unit_details[Active Listing?],TRUE,
          unit_details[Floorplan Name], INDIRECT("C"&amp;ROW()),
          unit_details[Property Name], INDIRECT("B"&amp;ROW()))</f>
        <v>0</v>
      </c>
      <c r="AB480" s="553"/>
      <c r="AC480" s="528" cm="1">
        <f t="array" aca="1" ref="AC480" ca="1">IFERROR(AVERAGEIFS(
  unit_details[Sqft],
  unit_details[Property Name], INDIRECT("B"&amp;ROW()),
  unit_details[Floorplan Name], INDIRECT("C"&amp;ROW()),
  unit_details[Beds], INDIRECT("D"&amp;ROW()),
  unit_details[Detected Unit Amenities], "*"&amp;$AD$3&amp;"*",
  unit_details[Leased Date], "&gt;=" &amp; ($U$2 - $AF$3)
),0)</f>
        <v>0</v>
      </c>
      <c r="AD480" s="527" cm="1">
        <f t="array" aca="1" ref="AD4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0" s="526" cm="1">
        <f t="array" aca="1" ref="AE480" ca="1">IFERROR(COUNTIFS(
  unit_details[Property Name], INDIRECT("B"&amp;ROW()),
  unit_details[Floorplan Name], INDIRECT("C"&amp;ROW()),
  unit_details[Beds], INDIRECT("D"&amp;ROW()),
  unit_details[Detected Unit Amenities], "*"&amp;$AD$3&amp;"*",
  unit_details[Leased Date], "&gt;=" &amp; ($U$2 - $AF$3)
),0)</f>
        <v>0</v>
      </c>
      <c r="AF480" s="528" cm="1">
        <f t="array" aca="1" ref="AF480" ca="1">IFERROR(AVERAGEIFS(
  unit_details[Sqft],
  unit_details[Property Name], INDIRECT("B"&amp;ROW()),
  unit_details[Floorplan Name], INDIRECT("C"&amp;ROW()),
  unit_details[Beds], INDIRECT("D"&amp;ROW()),
  unit_details[Detected Unit Amenities], "&lt;&gt;*"&amp;$AD$3&amp;"*",
  unit_details[Leased Date], "&gt;=" &amp; ($U$2 - $AF$3)
),0)</f>
        <v>0</v>
      </c>
      <c r="AG480" s="527" cm="1">
        <f t="array" aca="1" ref="AG48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0" s="526" cm="1">
        <f t="array" aca="1" ref="AH480" ca="1">IFERROR(COUNTIFS(
  unit_details[Property Name], INDIRECT("B"&amp;ROW()),
  unit_details[Floorplan Name], INDIRECT("C"&amp;ROW()),
  unit_details[Beds], INDIRECT("D"&amp;ROW()),
  unit_details[Detected Unit Amenities], "&lt;&gt;*"&amp;$AD$3&amp;"*",
  unit_details[Leased Date], "&gt;=" &amp; ($U$2 - $AF$3)
),0)</f>
        <v>0</v>
      </c>
      <c r="AI480" s="528"/>
      <c r="AJ480" s="531">
        <f t="shared" ca="1" si="22"/>
        <v>0</v>
      </c>
      <c r="AK480" s="532">
        <f t="shared" ca="1" si="23"/>
        <v>0</v>
      </c>
    </row>
    <row r="481" spans="10:37" x14ac:dyDescent="0.2">
      <c r="J481" s="293"/>
      <c r="N481" s="531" t="str" cm="1">
        <f t="array" aca="1" ref="N48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1" s="552" t="str" cm="1">
        <f t="array" aca="1" ref="O48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1" s="526" cm="1">
        <f t="array" aca="1" ref="P481" ca="1">COUNTIFS(unit_details[Leased Date], "&gt;=" &amp; ($U$2 - N$5),
          unit_details[Leased Date], "&lt;" &amp; $U$2,
          unit_details[Floorplan Name], INDIRECT("C"&amp;ROW()),
          unit_details[Property Name], INDIRECT("B"&amp;ROW()))</f>
        <v>0</v>
      </c>
      <c r="Q481" s="531" t="str" cm="1">
        <f t="array" aca="1" ref="Q48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1" s="552" t="str" cm="1">
        <f t="array" aca="1" ref="R48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1" s="526" cm="1">
        <f t="array" aca="1" ref="S481" ca="1">COUNTIFS(unit_details[Leased Date], "&gt;=" &amp; ($U$2 - Q$5),
          unit_details[Leased Date], "&lt;" &amp; $U$2,
          unit_details[Floorplan Name], INDIRECT("C"&amp;ROW()),
          unit_details[Property Name], INDIRECT("B"&amp;ROW()))</f>
        <v>0</v>
      </c>
      <c r="T481" s="531" t="str" cm="1">
        <f t="array" aca="1" ref="T48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1" s="552" t="str" cm="1">
        <f t="array" aca="1" ref="U48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1" s="526" cm="1">
        <f t="array" aca="1" ref="V481" ca="1">COUNTIFS(unit_details[Leased Date], "&gt;=" &amp; ($U$2 - T$5),
          unit_details[Leased Date], "&lt;" &amp; $U$2,
          unit_details[Floorplan Name], INDIRECT("C"&amp;ROW()),
          unit_details[Property Name], INDIRECT("B"&amp;ROW()))</f>
        <v>0</v>
      </c>
      <c r="W481" s="531" t="str" cm="1">
        <f t="array" aca="1" ref="W48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1" s="552" t="str" cm="1">
        <f t="array" aca="1" ref="X48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1" s="27" t="str">
        <f t="shared" ca="1" si="21"/>
        <v/>
      </c>
      <c r="Z481" s="4" t="str">
        <f>IFERROR($U$2-AVERAGEIFS(unit_details[First Listed],
          unit_details[Active Listing?],TRUE,
          unit_details[Property Name], $B481,
          unit_details[Beds], $D481,
          unit_details[Baths], $E481,
          unit_details[Partial Baths], IF(ISNUMBER($F481),$F481,""),
          unit_details[Floorplan Name],$C481
),"")</f>
        <v/>
      </c>
      <c r="AA481" s="262" cm="1">
        <f t="array" aca="1" ref="AA481" ca="1">COUNTIFS(unit_details[Active Listing?],TRUE,
          unit_details[Floorplan Name], INDIRECT("C"&amp;ROW()),
          unit_details[Property Name], INDIRECT("B"&amp;ROW()))</f>
        <v>0</v>
      </c>
      <c r="AB481" s="553"/>
      <c r="AC481" s="528" cm="1">
        <f t="array" aca="1" ref="AC481" ca="1">IFERROR(AVERAGEIFS(
  unit_details[Sqft],
  unit_details[Property Name], INDIRECT("B"&amp;ROW()),
  unit_details[Floorplan Name], INDIRECT("C"&amp;ROW()),
  unit_details[Beds], INDIRECT("D"&amp;ROW()),
  unit_details[Detected Unit Amenities], "*"&amp;$AD$3&amp;"*",
  unit_details[Leased Date], "&gt;=" &amp; ($U$2 - $AF$3)
),0)</f>
        <v>0</v>
      </c>
      <c r="AD481" s="527" cm="1">
        <f t="array" aca="1" ref="AD4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1" s="526" cm="1">
        <f t="array" aca="1" ref="AE481" ca="1">IFERROR(COUNTIFS(
  unit_details[Property Name], INDIRECT("B"&amp;ROW()),
  unit_details[Floorplan Name], INDIRECT("C"&amp;ROW()),
  unit_details[Beds], INDIRECT("D"&amp;ROW()),
  unit_details[Detected Unit Amenities], "*"&amp;$AD$3&amp;"*",
  unit_details[Leased Date], "&gt;=" &amp; ($U$2 - $AF$3)
),0)</f>
        <v>0</v>
      </c>
      <c r="AF481" s="528" cm="1">
        <f t="array" aca="1" ref="AF481" ca="1">IFERROR(AVERAGEIFS(
  unit_details[Sqft],
  unit_details[Property Name], INDIRECT("B"&amp;ROW()),
  unit_details[Floorplan Name], INDIRECT("C"&amp;ROW()),
  unit_details[Beds], INDIRECT("D"&amp;ROW()),
  unit_details[Detected Unit Amenities], "&lt;&gt;*"&amp;$AD$3&amp;"*",
  unit_details[Leased Date], "&gt;=" &amp; ($U$2 - $AF$3)
),0)</f>
        <v>0</v>
      </c>
      <c r="AG481" s="527" cm="1">
        <f t="array" aca="1" ref="AG48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1" s="526" cm="1">
        <f t="array" aca="1" ref="AH481" ca="1">IFERROR(COUNTIFS(
  unit_details[Property Name], INDIRECT("B"&amp;ROW()),
  unit_details[Floorplan Name], INDIRECT("C"&amp;ROW()),
  unit_details[Beds], INDIRECT("D"&amp;ROW()),
  unit_details[Detected Unit Amenities], "&lt;&gt;*"&amp;$AD$3&amp;"*",
  unit_details[Leased Date], "&gt;=" &amp; ($U$2 - $AF$3)
),0)</f>
        <v>0</v>
      </c>
      <c r="AI481" s="528"/>
      <c r="AJ481" s="531">
        <f t="shared" ca="1" si="22"/>
        <v>0</v>
      </c>
      <c r="AK481" s="532">
        <f t="shared" ca="1" si="23"/>
        <v>0</v>
      </c>
    </row>
    <row r="482" spans="10:37" x14ac:dyDescent="0.2">
      <c r="J482" s="293"/>
      <c r="N482" s="531" t="str" cm="1">
        <f t="array" aca="1" ref="N48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2" s="552" t="str" cm="1">
        <f t="array" aca="1" ref="O48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2" s="526" cm="1">
        <f t="array" aca="1" ref="P482" ca="1">COUNTIFS(unit_details[Leased Date], "&gt;=" &amp; ($U$2 - N$5),
          unit_details[Leased Date], "&lt;" &amp; $U$2,
          unit_details[Floorplan Name], INDIRECT("C"&amp;ROW()),
          unit_details[Property Name], INDIRECT("B"&amp;ROW()))</f>
        <v>0</v>
      </c>
      <c r="Q482" s="531" t="str" cm="1">
        <f t="array" aca="1" ref="Q48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2" s="552" t="str" cm="1">
        <f t="array" aca="1" ref="R48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2" s="526" cm="1">
        <f t="array" aca="1" ref="S482" ca="1">COUNTIFS(unit_details[Leased Date], "&gt;=" &amp; ($U$2 - Q$5),
          unit_details[Leased Date], "&lt;" &amp; $U$2,
          unit_details[Floorplan Name], INDIRECT("C"&amp;ROW()),
          unit_details[Property Name], INDIRECT("B"&amp;ROW()))</f>
        <v>0</v>
      </c>
      <c r="T482" s="531" t="str" cm="1">
        <f t="array" aca="1" ref="T48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2" s="552" t="str" cm="1">
        <f t="array" aca="1" ref="U48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2" s="526" cm="1">
        <f t="array" aca="1" ref="V482" ca="1">COUNTIFS(unit_details[Leased Date], "&gt;=" &amp; ($U$2 - T$5),
          unit_details[Leased Date], "&lt;" &amp; $U$2,
          unit_details[Floorplan Name], INDIRECT("C"&amp;ROW()),
          unit_details[Property Name], INDIRECT("B"&amp;ROW()))</f>
        <v>0</v>
      </c>
      <c r="W482" s="531" t="str" cm="1">
        <f t="array" aca="1" ref="W48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2" s="552" t="str" cm="1">
        <f t="array" aca="1" ref="X48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2" s="27" t="str">
        <f t="shared" ca="1" si="21"/>
        <v/>
      </c>
      <c r="Z482" s="4" t="str">
        <f>IFERROR($U$2-AVERAGEIFS(unit_details[First Listed],
          unit_details[Active Listing?],TRUE,
          unit_details[Property Name], $B482,
          unit_details[Beds], $D482,
          unit_details[Baths], $E482,
          unit_details[Partial Baths], IF(ISNUMBER($F482),$F482,""),
          unit_details[Floorplan Name],$C482
),"")</f>
        <v/>
      </c>
      <c r="AA482" s="262" cm="1">
        <f t="array" aca="1" ref="AA482" ca="1">COUNTIFS(unit_details[Active Listing?],TRUE,
          unit_details[Floorplan Name], INDIRECT("C"&amp;ROW()),
          unit_details[Property Name], INDIRECT("B"&amp;ROW()))</f>
        <v>0</v>
      </c>
      <c r="AB482" s="553"/>
      <c r="AC482" s="528" cm="1">
        <f t="array" aca="1" ref="AC482" ca="1">IFERROR(AVERAGEIFS(
  unit_details[Sqft],
  unit_details[Property Name], INDIRECT("B"&amp;ROW()),
  unit_details[Floorplan Name], INDIRECT("C"&amp;ROW()),
  unit_details[Beds], INDIRECT("D"&amp;ROW()),
  unit_details[Detected Unit Amenities], "*"&amp;$AD$3&amp;"*",
  unit_details[Leased Date], "&gt;=" &amp; ($U$2 - $AF$3)
),0)</f>
        <v>0</v>
      </c>
      <c r="AD482" s="527" cm="1">
        <f t="array" aca="1" ref="AD4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2" s="526" cm="1">
        <f t="array" aca="1" ref="AE482" ca="1">IFERROR(COUNTIFS(
  unit_details[Property Name], INDIRECT("B"&amp;ROW()),
  unit_details[Floorplan Name], INDIRECT("C"&amp;ROW()),
  unit_details[Beds], INDIRECT("D"&amp;ROW()),
  unit_details[Detected Unit Amenities], "*"&amp;$AD$3&amp;"*",
  unit_details[Leased Date], "&gt;=" &amp; ($U$2 - $AF$3)
),0)</f>
        <v>0</v>
      </c>
      <c r="AF482" s="528" cm="1">
        <f t="array" aca="1" ref="AF482" ca="1">IFERROR(AVERAGEIFS(
  unit_details[Sqft],
  unit_details[Property Name], INDIRECT("B"&amp;ROW()),
  unit_details[Floorplan Name], INDIRECT("C"&amp;ROW()),
  unit_details[Beds], INDIRECT("D"&amp;ROW()),
  unit_details[Detected Unit Amenities], "&lt;&gt;*"&amp;$AD$3&amp;"*",
  unit_details[Leased Date], "&gt;=" &amp; ($U$2 - $AF$3)
),0)</f>
        <v>0</v>
      </c>
      <c r="AG482" s="527" cm="1">
        <f t="array" aca="1" ref="AG48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2" s="526" cm="1">
        <f t="array" aca="1" ref="AH482" ca="1">IFERROR(COUNTIFS(
  unit_details[Property Name], INDIRECT("B"&amp;ROW()),
  unit_details[Floorplan Name], INDIRECT("C"&amp;ROW()),
  unit_details[Beds], INDIRECT("D"&amp;ROW()),
  unit_details[Detected Unit Amenities], "&lt;&gt;*"&amp;$AD$3&amp;"*",
  unit_details[Leased Date], "&gt;=" &amp; ($U$2 - $AF$3)
),0)</f>
        <v>0</v>
      </c>
      <c r="AI482" s="528"/>
      <c r="AJ482" s="531">
        <f t="shared" ca="1" si="22"/>
        <v>0</v>
      </c>
      <c r="AK482" s="532">
        <f t="shared" ca="1" si="23"/>
        <v>0</v>
      </c>
    </row>
    <row r="483" spans="10:37" x14ac:dyDescent="0.2">
      <c r="J483" s="293"/>
      <c r="N483" s="531" t="str" cm="1">
        <f t="array" aca="1" ref="N48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3" s="552" t="str" cm="1">
        <f t="array" aca="1" ref="O48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3" s="526" cm="1">
        <f t="array" aca="1" ref="P483" ca="1">COUNTIFS(unit_details[Leased Date], "&gt;=" &amp; ($U$2 - N$5),
          unit_details[Leased Date], "&lt;" &amp; $U$2,
          unit_details[Floorplan Name], INDIRECT("C"&amp;ROW()),
          unit_details[Property Name], INDIRECT("B"&amp;ROW()))</f>
        <v>0</v>
      </c>
      <c r="Q483" s="531" t="str" cm="1">
        <f t="array" aca="1" ref="Q48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3" s="552" t="str" cm="1">
        <f t="array" aca="1" ref="R48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3" s="526" cm="1">
        <f t="array" aca="1" ref="S483" ca="1">COUNTIFS(unit_details[Leased Date], "&gt;=" &amp; ($U$2 - Q$5),
          unit_details[Leased Date], "&lt;" &amp; $U$2,
          unit_details[Floorplan Name], INDIRECT("C"&amp;ROW()),
          unit_details[Property Name], INDIRECT("B"&amp;ROW()))</f>
        <v>0</v>
      </c>
      <c r="T483" s="531" t="str" cm="1">
        <f t="array" aca="1" ref="T48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3" s="552" t="str" cm="1">
        <f t="array" aca="1" ref="U48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3" s="526" cm="1">
        <f t="array" aca="1" ref="V483" ca="1">COUNTIFS(unit_details[Leased Date], "&gt;=" &amp; ($U$2 - T$5),
          unit_details[Leased Date], "&lt;" &amp; $U$2,
          unit_details[Floorplan Name], INDIRECT("C"&amp;ROW()),
          unit_details[Property Name], INDIRECT("B"&amp;ROW()))</f>
        <v>0</v>
      </c>
      <c r="W483" s="531" t="str" cm="1">
        <f t="array" aca="1" ref="W48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3" s="552" t="str" cm="1">
        <f t="array" aca="1" ref="X48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3" s="27" t="str">
        <f t="shared" ca="1" si="21"/>
        <v/>
      </c>
      <c r="Z483" s="4" t="str">
        <f>IFERROR($U$2-AVERAGEIFS(unit_details[First Listed],
          unit_details[Active Listing?],TRUE,
          unit_details[Property Name], $B483,
          unit_details[Beds], $D483,
          unit_details[Baths], $E483,
          unit_details[Partial Baths], IF(ISNUMBER($F483),$F483,""),
          unit_details[Floorplan Name],$C483
),"")</f>
        <v/>
      </c>
      <c r="AA483" s="262" cm="1">
        <f t="array" aca="1" ref="AA483" ca="1">COUNTIFS(unit_details[Active Listing?],TRUE,
          unit_details[Floorplan Name], INDIRECT("C"&amp;ROW()),
          unit_details[Property Name], INDIRECT("B"&amp;ROW()))</f>
        <v>0</v>
      </c>
      <c r="AB483" s="553"/>
      <c r="AC483" s="528" cm="1">
        <f t="array" aca="1" ref="AC483" ca="1">IFERROR(AVERAGEIFS(
  unit_details[Sqft],
  unit_details[Property Name], INDIRECT("B"&amp;ROW()),
  unit_details[Floorplan Name], INDIRECT("C"&amp;ROW()),
  unit_details[Beds], INDIRECT("D"&amp;ROW()),
  unit_details[Detected Unit Amenities], "*"&amp;$AD$3&amp;"*",
  unit_details[Leased Date], "&gt;=" &amp; ($U$2 - $AF$3)
),0)</f>
        <v>0</v>
      </c>
      <c r="AD483" s="527" cm="1">
        <f t="array" aca="1" ref="AD4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3" s="526" cm="1">
        <f t="array" aca="1" ref="AE483" ca="1">IFERROR(COUNTIFS(
  unit_details[Property Name], INDIRECT("B"&amp;ROW()),
  unit_details[Floorplan Name], INDIRECT("C"&amp;ROW()),
  unit_details[Beds], INDIRECT("D"&amp;ROW()),
  unit_details[Detected Unit Amenities], "*"&amp;$AD$3&amp;"*",
  unit_details[Leased Date], "&gt;=" &amp; ($U$2 - $AF$3)
),0)</f>
        <v>0</v>
      </c>
      <c r="AF483" s="528" cm="1">
        <f t="array" aca="1" ref="AF483" ca="1">IFERROR(AVERAGEIFS(
  unit_details[Sqft],
  unit_details[Property Name], INDIRECT("B"&amp;ROW()),
  unit_details[Floorplan Name], INDIRECT("C"&amp;ROW()),
  unit_details[Beds], INDIRECT("D"&amp;ROW()),
  unit_details[Detected Unit Amenities], "&lt;&gt;*"&amp;$AD$3&amp;"*",
  unit_details[Leased Date], "&gt;=" &amp; ($U$2 - $AF$3)
),0)</f>
        <v>0</v>
      </c>
      <c r="AG483" s="527" cm="1">
        <f t="array" aca="1" ref="AG48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3" s="526" cm="1">
        <f t="array" aca="1" ref="AH483" ca="1">IFERROR(COUNTIFS(
  unit_details[Property Name], INDIRECT("B"&amp;ROW()),
  unit_details[Floorplan Name], INDIRECT("C"&amp;ROW()),
  unit_details[Beds], INDIRECT("D"&amp;ROW()),
  unit_details[Detected Unit Amenities], "&lt;&gt;*"&amp;$AD$3&amp;"*",
  unit_details[Leased Date], "&gt;=" &amp; ($U$2 - $AF$3)
),0)</f>
        <v>0</v>
      </c>
      <c r="AI483" s="528"/>
      <c r="AJ483" s="531">
        <f t="shared" ca="1" si="22"/>
        <v>0</v>
      </c>
      <c r="AK483" s="532">
        <f t="shared" ca="1" si="23"/>
        <v>0</v>
      </c>
    </row>
    <row r="484" spans="10:37" x14ac:dyDescent="0.2">
      <c r="J484" s="293"/>
      <c r="N484" s="531" t="str" cm="1">
        <f t="array" aca="1" ref="N48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4" s="552" t="str" cm="1">
        <f t="array" aca="1" ref="O48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4" s="526" cm="1">
        <f t="array" aca="1" ref="P484" ca="1">COUNTIFS(unit_details[Leased Date], "&gt;=" &amp; ($U$2 - N$5),
          unit_details[Leased Date], "&lt;" &amp; $U$2,
          unit_details[Floorplan Name], INDIRECT("C"&amp;ROW()),
          unit_details[Property Name], INDIRECT("B"&amp;ROW()))</f>
        <v>0</v>
      </c>
      <c r="Q484" s="531" t="str" cm="1">
        <f t="array" aca="1" ref="Q48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4" s="552" t="str" cm="1">
        <f t="array" aca="1" ref="R48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4" s="526" cm="1">
        <f t="array" aca="1" ref="S484" ca="1">COUNTIFS(unit_details[Leased Date], "&gt;=" &amp; ($U$2 - Q$5),
          unit_details[Leased Date], "&lt;" &amp; $U$2,
          unit_details[Floorplan Name], INDIRECT("C"&amp;ROW()),
          unit_details[Property Name], INDIRECT("B"&amp;ROW()))</f>
        <v>0</v>
      </c>
      <c r="T484" s="531" t="str" cm="1">
        <f t="array" aca="1" ref="T48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4" s="552" t="str" cm="1">
        <f t="array" aca="1" ref="U48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4" s="526" cm="1">
        <f t="array" aca="1" ref="V484" ca="1">COUNTIFS(unit_details[Leased Date], "&gt;=" &amp; ($U$2 - T$5),
          unit_details[Leased Date], "&lt;" &amp; $U$2,
          unit_details[Floorplan Name], INDIRECT("C"&amp;ROW()),
          unit_details[Property Name], INDIRECT("B"&amp;ROW()))</f>
        <v>0</v>
      </c>
      <c r="W484" s="531" t="str" cm="1">
        <f t="array" aca="1" ref="W48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4" s="552" t="str" cm="1">
        <f t="array" aca="1" ref="X48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4" s="27" t="str">
        <f t="shared" ca="1" si="21"/>
        <v/>
      </c>
      <c r="Z484" s="4" t="str">
        <f>IFERROR($U$2-AVERAGEIFS(unit_details[First Listed],
          unit_details[Active Listing?],TRUE,
          unit_details[Property Name], $B484,
          unit_details[Beds], $D484,
          unit_details[Baths], $E484,
          unit_details[Partial Baths], IF(ISNUMBER($F484),$F484,""),
          unit_details[Floorplan Name],$C484
),"")</f>
        <v/>
      </c>
      <c r="AA484" s="262" cm="1">
        <f t="array" aca="1" ref="AA484" ca="1">COUNTIFS(unit_details[Active Listing?],TRUE,
          unit_details[Floorplan Name], INDIRECT("C"&amp;ROW()),
          unit_details[Property Name], INDIRECT("B"&amp;ROW()))</f>
        <v>0</v>
      </c>
      <c r="AB484" s="553"/>
      <c r="AC484" s="528" cm="1">
        <f t="array" aca="1" ref="AC484" ca="1">IFERROR(AVERAGEIFS(
  unit_details[Sqft],
  unit_details[Property Name], INDIRECT("B"&amp;ROW()),
  unit_details[Floorplan Name], INDIRECT("C"&amp;ROW()),
  unit_details[Beds], INDIRECT("D"&amp;ROW()),
  unit_details[Detected Unit Amenities], "*"&amp;$AD$3&amp;"*",
  unit_details[Leased Date], "&gt;=" &amp; ($U$2 - $AF$3)
),0)</f>
        <v>0</v>
      </c>
      <c r="AD484" s="527" cm="1">
        <f t="array" aca="1" ref="AD4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4" s="526" cm="1">
        <f t="array" aca="1" ref="AE484" ca="1">IFERROR(COUNTIFS(
  unit_details[Property Name], INDIRECT("B"&amp;ROW()),
  unit_details[Floorplan Name], INDIRECT("C"&amp;ROW()),
  unit_details[Beds], INDIRECT("D"&amp;ROW()),
  unit_details[Detected Unit Amenities], "*"&amp;$AD$3&amp;"*",
  unit_details[Leased Date], "&gt;=" &amp; ($U$2 - $AF$3)
),0)</f>
        <v>0</v>
      </c>
      <c r="AF484" s="528" cm="1">
        <f t="array" aca="1" ref="AF484" ca="1">IFERROR(AVERAGEIFS(
  unit_details[Sqft],
  unit_details[Property Name], INDIRECT("B"&amp;ROW()),
  unit_details[Floorplan Name], INDIRECT("C"&amp;ROW()),
  unit_details[Beds], INDIRECT("D"&amp;ROW()),
  unit_details[Detected Unit Amenities], "&lt;&gt;*"&amp;$AD$3&amp;"*",
  unit_details[Leased Date], "&gt;=" &amp; ($U$2 - $AF$3)
),0)</f>
        <v>0</v>
      </c>
      <c r="AG484" s="527" cm="1">
        <f t="array" aca="1" ref="AG48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4" s="526" cm="1">
        <f t="array" aca="1" ref="AH484" ca="1">IFERROR(COUNTIFS(
  unit_details[Property Name], INDIRECT("B"&amp;ROW()),
  unit_details[Floorplan Name], INDIRECT("C"&amp;ROW()),
  unit_details[Beds], INDIRECT("D"&amp;ROW()),
  unit_details[Detected Unit Amenities], "&lt;&gt;*"&amp;$AD$3&amp;"*",
  unit_details[Leased Date], "&gt;=" &amp; ($U$2 - $AF$3)
),0)</f>
        <v>0</v>
      </c>
      <c r="AI484" s="528"/>
      <c r="AJ484" s="531">
        <f t="shared" ca="1" si="22"/>
        <v>0</v>
      </c>
      <c r="AK484" s="532">
        <f t="shared" ca="1" si="23"/>
        <v>0</v>
      </c>
    </row>
    <row r="485" spans="10:37" x14ac:dyDescent="0.2">
      <c r="J485" s="293"/>
      <c r="N485" s="531" t="str" cm="1">
        <f t="array" aca="1" ref="N48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5" s="552" t="str" cm="1">
        <f t="array" aca="1" ref="O48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5" s="526" cm="1">
        <f t="array" aca="1" ref="P485" ca="1">COUNTIFS(unit_details[Leased Date], "&gt;=" &amp; ($U$2 - N$5),
          unit_details[Leased Date], "&lt;" &amp; $U$2,
          unit_details[Floorplan Name], INDIRECT("C"&amp;ROW()),
          unit_details[Property Name], INDIRECT("B"&amp;ROW()))</f>
        <v>0</v>
      </c>
      <c r="Q485" s="531" t="str" cm="1">
        <f t="array" aca="1" ref="Q48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5" s="552" t="str" cm="1">
        <f t="array" aca="1" ref="R48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5" s="526" cm="1">
        <f t="array" aca="1" ref="S485" ca="1">COUNTIFS(unit_details[Leased Date], "&gt;=" &amp; ($U$2 - Q$5),
          unit_details[Leased Date], "&lt;" &amp; $U$2,
          unit_details[Floorplan Name], INDIRECT("C"&amp;ROW()),
          unit_details[Property Name], INDIRECT("B"&amp;ROW()))</f>
        <v>0</v>
      </c>
      <c r="T485" s="531" t="str" cm="1">
        <f t="array" aca="1" ref="T48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5" s="552" t="str" cm="1">
        <f t="array" aca="1" ref="U48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5" s="526" cm="1">
        <f t="array" aca="1" ref="V485" ca="1">COUNTIFS(unit_details[Leased Date], "&gt;=" &amp; ($U$2 - T$5),
          unit_details[Leased Date], "&lt;" &amp; $U$2,
          unit_details[Floorplan Name], INDIRECT("C"&amp;ROW()),
          unit_details[Property Name], INDIRECT("B"&amp;ROW()))</f>
        <v>0</v>
      </c>
      <c r="W485" s="531" t="str" cm="1">
        <f t="array" aca="1" ref="W48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5" s="552" t="str" cm="1">
        <f t="array" aca="1" ref="X48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5" s="27" t="str">
        <f t="shared" ca="1" si="21"/>
        <v/>
      </c>
      <c r="Z485" s="4" t="str">
        <f>IFERROR($U$2-AVERAGEIFS(unit_details[First Listed],
          unit_details[Active Listing?],TRUE,
          unit_details[Property Name], $B485,
          unit_details[Beds], $D485,
          unit_details[Baths], $E485,
          unit_details[Partial Baths], IF(ISNUMBER($F485),$F485,""),
          unit_details[Floorplan Name],$C485
),"")</f>
        <v/>
      </c>
      <c r="AA485" s="262" cm="1">
        <f t="array" aca="1" ref="AA485" ca="1">COUNTIFS(unit_details[Active Listing?],TRUE,
          unit_details[Floorplan Name], INDIRECT("C"&amp;ROW()),
          unit_details[Property Name], INDIRECT("B"&amp;ROW()))</f>
        <v>0</v>
      </c>
      <c r="AB485" s="553"/>
      <c r="AC485" s="528" cm="1">
        <f t="array" aca="1" ref="AC485" ca="1">IFERROR(AVERAGEIFS(
  unit_details[Sqft],
  unit_details[Property Name], INDIRECT("B"&amp;ROW()),
  unit_details[Floorplan Name], INDIRECT("C"&amp;ROW()),
  unit_details[Beds], INDIRECT("D"&amp;ROW()),
  unit_details[Detected Unit Amenities], "*"&amp;$AD$3&amp;"*",
  unit_details[Leased Date], "&gt;=" &amp; ($U$2 - $AF$3)
),0)</f>
        <v>0</v>
      </c>
      <c r="AD485" s="527" cm="1">
        <f t="array" aca="1" ref="AD4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5" s="526" cm="1">
        <f t="array" aca="1" ref="AE485" ca="1">IFERROR(COUNTIFS(
  unit_details[Property Name], INDIRECT("B"&amp;ROW()),
  unit_details[Floorplan Name], INDIRECT("C"&amp;ROW()),
  unit_details[Beds], INDIRECT("D"&amp;ROW()),
  unit_details[Detected Unit Amenities], "*"&amp;$AD$3&amp;"*",
  unit_details[Leased Date], "&gt;=" &amp; ($U$2 - $AF$3)
),0)</f>
        <v>0</v>
      </c>
      <c r="AF485" s="528" cm="1">
        <f t="array" aca="1" ref="AF485" ca="1">IFERROR(AVERAGEIFS(
  unit_details[Sqft],
  unit_details[Property Name], INDIRECT("B"&amp;ROW()),
  unit_details[Floorplan Name], INDIRECT("C"&amp;ROW()),
  unit_details[Beds], INDIRECT("D"&amp;ROW()),
  unit_details[Detected Unit Amenities], "&lt;&gt;*"&amp;$AD$3&amp;"*",
  unit_details[Leased Date], "&gt;=" &amp; ($U$2 - $AF$3)
),0)</f>
        <v>0</v>
      </c>
      <c r="AG485" s="527" cm="1">
        <f t="array" aca="1" ref="AG48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5" s="526" cm="1">
        <f t="array" aca="1" ref="AH485" ca="1">IFERROR(COUNTIFS(
  unit_details[Property Name], INDIRECT("B"&amp;ROW()),
  unit_details[Floorplan Name], INDIRECT("C"&amp;ROW()),
  unit_details[Beds], INDIRECT("D"&amp;ROW()),
  unit_details[Detected Unit Amenities], "&lt;&gt;*"&amp;$AD$3&amp;"*",
  unit_details[Leased Date], "&gt;=" &amp; ($U$2 - $AF$3)
),0)</f>
        <v>0</v>
      </c>
      <c r="AI485" s="528"/>
      <c r="AJ485" s="531">
        <f t="shared" ca="1" si="22"/>
        <v>0</v>
      </c>
      <c r="AK485" s="532">
        <f t="shared" ca="1" si="23"/>
        <v>0</v>
      </c>
    </row>
    <row r="486" spans="10:37" x14ac:dyDescent="0.2">
      <c r="J486" s="293"/>
      <c r="N486" s="531" t="str" cm="1">
        <f t="array" aca="1" ref="N48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6" s="552" t="str" cm="1">
        <f t="array" aca="1" ref="O48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6" s="526" cm="1">
        <f t="array" aca="1" ref="P486" ca="1">COUNTIFS(unit_details[Leased Date], "&gt;=" &amp; ($U$2 - N$5),
          unit_details[Leased Date], "&lt;" &amp; $U$2,
          unit_details[Floorplan Name], INDIRECT("C"&amp;ROW()),
          unit_details[Property Name], INDIRECT("B"&amp;ROW()))</f>
        <v>0</v>
      </c>
      <c r="Q486" s="531" t="str" cm="1">
        <f t="array" aca="1" ref="Q48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6" s="552" t="str" cm="1">
        <f t="array" aca="1" ref="R48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6" s="526" cm="1">
        <f t="array" aca="1" ref="S486" ca="1">COUNTIFS(unit_details[Leased Date], "&gt;=" &amp; ($U$2 - Q$5),
          unit_details[Leased Date], "&lt;" &amp; $U$2,
          unit_details[Floorplan Name], INDIRECT("C"&amp;ROW()),
          unit_details[Property Name], INDIRECT("B"&amp;ROW()))</f>
        <v>0</v>
      </c>
      <c r="T486" s="531" t="str" cm="1">
        <f t="array" aca="1" ref="T48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6" s="552" t="str" cm="1">
        <f t="array" aca="1" ref="U48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6" s="526" cm="1">
        <f t="array" aca="1" ref="V486" ca="1">COUNTIFS(unit_details[Leased Date], "&gt;=" &amp; ($U$2 - T$5),
          unit_details[Leased Date], "&lt;" &amp; $U$2,
          unit_details[Floorplan Name], INDIRECT("C"&amp;ROW()),
          unit_details[Property Name], INDIRECT("B"&amp;ROW()))</f>
        <v>0</v>
      </c>
      <c r="W486" s="531" t="str" cm="1">
        <f t="array" aca="1" ref="W48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6" s="552" t="str" cm="1">
        <f t="array" aca="1" ref="X48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6" s="27" t="str">
        <f t="shared" ca="1" si="21"/>
        <v/>
      </c>
      <c r="Z486" s="4" t="str">
        <f>IFERROR($U$2-AVERAGEIFS(unit_details[First Listed],
          unit_details[Active Listing?],TRUE,
          unit_details[Property Name], $B486,
          unit_details[Beds], $D486,
          unit_details[Baths], $E486,
          unit_details[Partial Baths], IF(ISNUMBER($F486),$F486,""),
          unit_details[Floorplan Name],$C486
),"")</f>
        <v/>
      </c>
      <c r="AA486" s="262" cm="1">
        <f t="array" aca="1" ref="AA486" ca="1">COUNTIFS(unit_details[Active Listing?],TRUE,
          unit_details[Floorplan Name], INDIRECT("C"&amp;ROW()),
          unit_details[Property Name], INDIRECT("B"&amp;ROW()))</f>
        <v>0</v>
      </c>
      <c r="AB486" s="553"/>
      <c r="AC486" s="528" cm="1">
        <f t="array" aca="1" ref="AC486" ca="1">IFERROR(AVERAGEIFS(
  unit_details[Sqft],
  unit_details[Property Name], INDIRECT("B"&amp;ROW()),
  unit_details[Floorplan Name], INDIRECT("C"&amp;ROW()),
  unit_details[Beds], INDIRECT("D"&amp;ROW()),
  unit_details[Detected Unit Amenities], "*"&amp;$AD$3&amp;"*",
  unit_details[Leased Date], "&gt;=" &amp; ($U$2 - $AF$3)
),0)</f>
        <v>0</v>
      </c>
      <c r="AD486" s="527" cm="1">
        <f t="array" aca="1" ref="AD4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6" s="526" cm="1">
        <f t="array" aca="1" ref="AE486" ca="1">IFERROR(COUNTIFS(
  unit_details[Property Name], INDIRECT("B"&amp;ROW()),
  unit_details[Floorplan Name], INDIRECT("C"&amp;ROW()),
  unit_details[Beds], INDIRECT("D"&amp;ROW()),
  unit_details[Detected Unit Amenities], "*"&amp;$AD$3&amp;"*",
  unit_details[Leased Date], "&gt;=" &amp; ($U$2 - $AF$3)
),0)</f>
        <v>0</v>
      </c>
      <c r="AF486" s="528" cm="1">
        <f t="array" aca="1" ref="AF486" ca="1">IFERROR(AVERAGEIFS(
  unit_details[Sqft],
  unit_details[Property Name], INDIRECT("B"&amp;ROW()),
  unit_details[Floorplan Name], INDIRECT("C"&amp;ROW()),
  unit_details[Beds], INDIRECT("D"&amp;ROW()),
  unit_details[Detected Unit Amenities], "&lt;&gt;*"&amp;$AD$3&amp;"*",
  unit_details[Leased Date], "&gt;=" &amp; ($U$2 - $AF$3)
),0)</f>
        <v>0</v>
      </c>
      <c r="AG486" s="527" cm="1">
        <f t="array" aca="1" ref="AG48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6" s="526" cm="1">
        <f t="array" aca="1" ref="AH486" ca="1">IFERROR(COUNTIFS(
  unit_details[Property Name], INDIRECT("B"&amp;ROW()),
  unit_details[Floorplan Name], INDIRECT("C"&amp;ROW()),
  unit_details[Beds], INDIRECT("D"&amp;ROW()),
  unit_details[Detected Unit Amenities], "&lt;&gt;*"&amp;$AD$3&amp;"*",
  unit_details[Leased Date], "&gt;=" &amp; ($U$2 - $AF$3)
),0)</f>
        <v>0</v>
      </c>
      <c r="AI486" s="528"/>
      <c r="AJ486" s="531">
        <f t="shared" ca="1" si="22"/>
        <v>0</v>
      </c>
      <c r="AK486" s="532">
        <f t="shared" ca="1" si="23"/>
        <v>0</v>
      </c>
    </row>
    <row r="487" spans="10:37" x14ac:dyDescent="0.2">
      <c r="J487" s="293"/>
      <c r="N487" s="531" t="str" cm="1">
        <f t="array" aca="1" ref="N48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7" s="552" t="str" cm="1">
        <f t="array" aca="1" ref="O48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7" s="526" cm="1">
        <f t="array" aca="1" ref="P487" ca="1">COUNTIFS(unit_details[Leased Date], "&gt;=" &amp; ($U$2 - N$5),
          unit_details[Leased Date], "&lt;" &amp; $U$2,
          unit_details[Floorplan Name], INDIRECT("C"&amp;ROW()),
          unit_details[Property Name], INDIRECT("B"&amp;ROW()))</f>
        <v>0</v>
      </c>
      <c r="Q487" s="531" t="str" cm="1">
        <f t="array" aca="1" ref="Q48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7" s="552" t="str" cm="1">
        <f t="array" aca="1" ref="R48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7" s="526" cm="1">
        <f t="array" aca="1" ref="S487" ca="1">COUNTIFS(unit_details[Leased Date], "&gt;=" &amp; ($U$2 - Q$5),
          unit_details[Leased Date], "&lt;" &amp; $U$2,
          unit_details[Floorplan Name], INDIRECT("C"&amp;ROW()),
          unit_details[Property Name], INDIRECT("B"&amp;ROW()))</f>
        <v>0</v>
      </c>
      <c r="T487" s="531" t="str" cm="1">
        <f t="array" aca="1" ref="T48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7" s="552" t="str" cm="1">
        <f t="array" aca="1" ref="U48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7" s="526" cm="1">
        <f t="array" aca="1" ref="V487" ca="1">COUNTIFS(unit_details[Leased Date], "&gt;=" &amp; ($U$2 - T$5),
          unit_details[Leased Date], "&lt;" &amp; $U$2,
          unit_details[Floorplan Name], INDIRECT("C"&amp;ROW()),
          unit_details[Property Name], INDIRECT("B"&amp;ROW()))</f>
        <v>0</v>
      </c>
      <c r="W487" s="531" t="str" cm="1">
        <f t="array" aca="1" ref="W48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7" s="552" t="str" cm="1">
        <f t="array" aca="1" ref="X48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7" s="27" t="str">
        <f t="shared" ca="1" si="21"/>
        <v/>
      </c>
      <c r="Z487" s="4" t="str">
        <f>IFERROR($U$2-AVERAGEIFS(unit_details[First Listed],
          unit_details[Active Listing?],TRUE,
          unit_details[Property Name], $B487,
          unit_details[Beds], $D487,
          unit_details[Baths], $E487,
          unit_details[Partial Baths], IF(ISNUMBER($F487),$F487,""),
          unit_details[Floorplan Name],$C487
),"")</f>
        <v/>
      </c>
      <c r="AA487" s="262" cm="1">
        <f t="array" aca="1" ref="AA487" ca="1">COUNTIFS(unit_details[Active Listing?],TRUE,
          unit_details[Floorplan Name], INDIRECT("C"&amp;ROW()),
          unit_details[Property Name], INDIRECT("B"&amp;ROW()))</f>
        <v>0</v>
      </c>
      <c r="AB487" s="553"/>
      <c r="AC487" s="528" cm="1">
        <f t="array" aca="1" ref="AC487" ca="1">IFERROR(AVERAGEIFS(
  unit_details[Sqft],
  unit_details[Property Name], INDIRECT("B"&amp;ROW()),
  unit_details[Floorplan Name], INDIRECT("C"&amp;ROW()),
  unit_details[Beds], INDIRECT("D"&amp;ROW()),
  unit_details[Detected Unit Amenities], "*"&amp;$AD$3&amp;"*",
  unit_details[Leased Date], "&gt;=" &amp; ($U$2 - $AF$3)
),0)</f>
        <v>0</v>
      </c>
      <c r="AD487" s="527" cm="1">
        <f t="array" aca="1" ref="AD4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7" s="526" cm="1">
        <f t="array" aca="1" ref="AE487" ca="1">IFERROR(COUNTIFS(
  unit_details[Property Name], INDIRECT("B"&amp;ROW()),
  unit_details[Floorplan Name], INDIRECT("C"&amp;ROW()),
  unit_details[Beds], INDIRECT("D"&amp;ROW()),
  unit_details[Detected Unit Amenities], "*"&amp;$AD$3&amp;"*",
  unit_details[Leased Date], "&gt;=" &amp; ($U$2 - $AF$3)
),0)</f>
        <v>0</v>
      </c>
      <c r="AF487" s="528" cm="1">
        <f t="array" aca="1" ref="AF487" ca="1">IFERROR(AVERAGEIFS(
  unit_details[Sqft],
  unit_details[Property Name], INDIRECT("B"&amp;ROW()),
  unit_details[Floorplan Name], INDIRECT("C"&amp;ROW()),
  unit_details[Beds], INDIRECT("D"&amp;ROW()),
  unit_details[Detected Unit Amenities], "&lt;&gt;*"&amp;$AD$3&amp;"*",
  unit_details[Leased Date], "&gt;=" &amp; ($U$2 - $AF$3)
),0)</f>
        <v>0</v>
      </c>
      <c r="AG487" s="527" cm="1">
        <f t="array" aca="1" ref="AG48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7" s="526" cm="1">
        <f t="array" aca="1" ref="AH487" ca="1">IFERROR(COUNTIFS(
  unit_details[Property Name], INDIRECT("B"&amp;ROW()),
  unit_details[Floorplan Name], INDIRECT("C"&amp;ROW()),
  unit_details[Beds], INDIRECT("D"&amp;ROW()),
  unit_details[Detected Unit Amenities], "&lt;&gt;*"&amp;$AD$3&amp;"*",
  unit_details[Leased Date], "&gt;=" &amp; ($U$2 - $AF$3)
),0)</f>
        <v>0</v>
      </c>
      <c r="AI487" s="528"/>
      <c r="AJ487" s="531">
        <f t="shared" ca="1" si="22"/>
        <v>0</v>
      </c>
      <c r="AK487" s="532">
        <f t="shared" ca="1" si="23"/>
        <v>0</v>
      </c>
    </row>
    <row r="488" spans="10:37" x14ac:dyDescent="0.2">
      <c r="J488" s="293"/>
      <c r="N488" s="531" t="str" cm="1">
        <f t="array" aca="1" ref="N48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8" s="552" t="str" cm="1">
        <f t="array" aca="1" ref="O48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8" s="526" cm="1">
        <f t="array" aca="1" ref="P488" ca="1">COUNTIFS(unit_details[Leased Date], "&gt;=" &amp; ($U$2 - N$5),
          unit_details[Leased Date], "&lt;" &amp; $U$2,
          unit_details[Floorplan Name], INDIRECT("C"&amp;ROW()),
          unit_details[Property Name], INDIRECT("B"&amp;ROW()))</f>
        <v>0</v>
      </c>
      <c r="Q488" s="531" t="str" cm="1">
        <f t="array" aca="1" ref="Q48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8" s="552" t="str" cm="1">
        <f t="array" aca="1" ref="R48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8" s="526" cm="1">
        <f t="array" aca="1" ref="S488" ca="1">COUNTIFS(unit_details[Leased Date], "&gt;=" &amp; ($U$2 - Q$5),
          unit_details[Leased Date], "&lt;" &amp; $U$2,
          unit_details[Floorplan Name], INDIRECT("C"&amp;ROW()),
          unit_details[Property Name], INDIRECT("B"&amp;ROW()))</f>
        <v>0</v>
      </c>
      <c r="T488" s="531" t="str" cm="1">
        <f t="array" aca="1" ref="T48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8" s="552" t="str" cm="1">
        <f t="array" aca="1" ref="U48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8" s="526" cm="1">
        <f t="array" aca="1" ref="V488" ca="1">COUNTIFS(unit_details[Leased Date], "&gt;=" &amp; ($U$2 - T$5),
          unit_details[Leased Date], "&lt;" &amp; $U$2,
          unit_details[Floorplan Name], INDIRECT("C"&amp;ROW()),
          unit_details[Property Name], INDIRECT("B"&amp;ROW()))</f>
        <v>0</v>
      </c>
      <c r="W488" s="531" t="str" cm="1">
        <f t="array" aca="1" ref="W48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8" s="552" t="str" cm="1">
        <f t="array" aca="1" ref="X48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8" s="27" t="str">
        <f t="shared" ca="1" si="21"/>
        <v/>
      </c>
      <c r="Z488" s="4" t="str">
        <f>IFERROR($U$2-AVERAGEIFS(unit_details[First Listed],
          unit_details[Active Listing?],TRUE,
          unit_details[Property Name], $B488,
          unit_details[Beds], $D488,
          unit_details[Baths], $E488,
          unit_details[Partial Baths], IF(ISNUMBER($F488),$F488,""),
          unit_details[Floorplan Name],$C488
),"")</f>
        <v/>
      </c>
      <c r="AA488" s="262" cm="1">
        <f t="array" aca="1" ref="AA488" ca="1">COUNTIFS(unit_details[Active Listing?],TRUE,
          unit_details[Floorplan Name], INDIRECT("C"&amp;ROW()),
          unit_details[Property Name], INDIRECT("B"&amp;ROW()))</f>
        <v>0</v>
      </c>
      <c r="AB488" s="553"/>
      <c r="AC488" s="528" cm="1">
        <f t="array" aca="1" ref="AC488" ca="1">IFERROR(AVERAGEIFS(
  unit_details[Sqft],
  unit_details[Property Name], INDIRECT("B"&amp;ROW()),
  unit_details[Floorplan Name], INDIRECT("C"&amp;ROW()),
  unit_details[Beds], INDIRECT("D"&amp;ROW()),
  unit_details[Detected Unit Amenities], "*"&amp;$AD$3&amp;"*",
  unit_details[Leased Date], "&gt;=" &amp; ($U$2 - $AF$3)
),0)</f>
        <v>0</v>
      </c>
      <c r="AD488" s="527" cm="1">
        <f t="array" aca="1" ref="AD4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8" s="526" cm="1">
        <f t="array" aca="1" ref="AE488" ca="1">IFERROR(COUNTIFS(
  unit_details[Property Name], INDIRECT("B"&amp;ROW()),
  unit_details[Floorplan Name], INDIRECT("C"&amp;ROW()),
  unit_details[Beds], INDIRECT("D"&amp;ROW()),
  unit_details[Detected Unit Amenities], "*"&amp;$AD$3&amp;"*",
  unit_details[Leased Date], "&gt;=" &amp; ($U$2 - $AF$3)
),0)</f>
        <v>0</v>
      </c>
      <c r="AF488" s="528" cm="1">
        <f t="array" aca="1" ref="AF488" ca="1">IFERROR(AVERAGEIFS(
  unit_details[Sqft],
  unit_details[Property Name], INDIRECT("B"&amp;ROW()),
  unit_details[Floorplan Name], INDIRECT("C"&amp;ROW()),
  unit_details[Beds], INDIRECT("D"&amp;ROW()),
  unit_details[Detected Unit Amenities], "&lt;&gt;*"&amp;$AD$3&amp;"*",
  unit_details[Leased Date], "&gt;=" &amp; ($U$2 - $AF$3)
),0)</f>
        <v>0</v>
      </c>
      <c r="AG488" s="527" cm="1">
        <f t="array" aca="1" ref="AG48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8" s="526" cm="1">
        <f t="array" aca="1" ref="AH488" ca="1">IFERROR(COUNTIFS(
  unit_details[Property Name], INDIRECT("B"&amp;ROW()),
  unit_details[Floorplan Name], INDIRECT("C"&amp;ROW()),
  unit_details[Beds], INDIRECT("D"&amp;ROW()),
  unit_details[Detected Unit Amenities], "&lt;&gt;*"&amp;$AD$3&amp;"*",
  unit_details[Leased Date], "&gt;=" &amp; ($U$2 - $AF$3)
),0)</f>
        <v>0</v>
      </c>
      <c r="AI488" s="528"/>
      <c r="AJ488" s="531">
        <f t="shared" ca="1" si="22"/>
        <v>0</v>
      </c>
      <c r="AK488" s="532">
        <f t="shared" ca="1" si="23"/>
        <v>0</v>
      </c>
    </row>
    <row r="489" spans="10:37" x14ac:dyDescent="0.2">
      <c r="J489" s="293"/>
      <c r="N489" s="531" t="str" cm="1">
        <f t="array" aca="1" ref="N48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89" s="552" t="str" cm="1">
        <f t="array" aca="1" ref="O48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89" s="526" cm="1">
        <f t="array" aca="1" ref="P489" ca="1">COUNTIFS(unit_details[Leased Date], "&gt;=" &amp; ($U$2 - N$5),
          unit_details[Leased Date], "&lt;" &amp; $U$2,
          unit_details[Floorplan Name], INDIRECT("C"&amp;ROW()),
          unit_details[Property Name], INDIRECT("B"&amp;ROW()))</f>
        <v>0</v>
      </c>
      <c r="Q489" s="531" t="str" cm="1">
        <f t="array" aca="1" ref="Q48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89" s="552" t="str" cm="1">
        <f t="array" aca="1" ref="R48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89" s="526" cm="1">
        <f t="array" aca="1" ref="S489" ca="1">COUNTIFS(unit_details[Leased Date], "&gt;=" &amp; ($U$2 - Q$5),
          unit_details[Leased Date], "&lt;" &amp; $U$2,
          unit_details[Floorplan Name], INDIRECT("C"&amp;ROW()),
          unit_details[Property Name], INDIRECT("B"&amp;ROW()))</f>
        <v>0</v>
      </c>
      <c r="T489" s="531" t="str" cm="1">
        <f t="array" aca="1" ref="T48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89" s="552" t="str" cm="1">
        <f t="array" aca="1" ref="U48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89" s="526" cm="1">
        <f t="array" aca="1" ref="V489" ca="1">COUNTIFS(unit_details[Leased Date], "&gt;=" &amp; ($U$2 - T$5),
          unit_details[Leased Date], "&lt;" &amp; $U$2,
          unit_details[Floorplan Name], INDIRECT("C"&amp;ROW()),
          unit_details[Property Name], INDIRECT("B"&amp;ROW()))</f>
        <v>0</v>
      </c>
      <c r="W489" s="531" t="str" cm="1">
        <f t="array" aca="1" ref="W48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89" s="552" t="str" cm="1">
        <f t="array" aca="1" ref="X48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89" s="27" t="str">
        <f t="shared" ca="1" si="21"/>
        <v/>
      </c>
      <c r="Z489" s="4" t="str">
        <f>IFERROR($U$2-AVERAGEIFS(unit_details[First Listed],
          unit_details[Active Listing?],TRUE,
          unit_details[Property Name], $B489,
          unit_details[Beds], $D489,
          unit_details[Baths], $E489,
          unit_details[Partial Baths], IF(ISNUMBER($F489),$F489,""),
          unit_details[Floorplan Name],$C489
),"")</f>
        <v/>
      </c>
      <c r="AA489" s="262" cm="1">
        <f t="array" aca="1" ref="AA489" ca="1">COUNTIFS(unit_details[Active Listing?],TRUE,
          unit_details[Floorplan Name], INDIRECT("C"&amp;ROW()),
          unit_details[Property Name], INDIRECT("B"&amp;ROW()))</f>
        <v>0</v>
      </c>
      <c r="AB489" s="553"/>
      <c r="AC489" s="528" cm="1">
        <f t="array" aca="1" ref="AC489" ca="1">IFERROR(AVERAGEIFS(
  unit_details[Sqft],
  unit_details[Property Name], INDIRECT("B"&amp;ROW()),
  unit_details[Floorplan Name], INDIRECT("C"&amp;ROW()),
  unit_details[Beds], INDIRECT("D"&amp;ROW()),
  unit_details[Detected Unit Amenities], "*"&amp;$AD$3&amp;"*",
  unit_details[Leased Date], "&gt;=" &amp; ($U$2 - $AF$3)
),0)</f>
        <v>0</v>
      </c>
      <c r="AD489" s="527" cm="1">
        <f t="array" aca="1" ref="AD4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89" s="526" cm="1">
        <f t="array" aca="1" ref="AE489" ca="1">IFERROR(COUNTIFS(
  unit_details[Property Name], INDIRECT("B"&amp;ROW()),
  unit_details[Floorplan Name], INDIRECT("C"&amp;ROW()),
  unit_details[Beds], INDIRECT("D"&amp;ROW()),
  unit_details[Detected Unit Amenities], "*"&amp;$AD$3&amp;"*",
  unit_details[Leased Date], "&gt;=" &amp; ($U$2 - $AF$3)
),0)</f>
        <v>0</v>
      </c>
      <c r="AF489" s="528" cm="1">
        <f t="array" aca="1" ref="AF489" ca="1">IFERROR(AVERAGEIFS(
  unit_details[Sqft],
  unit_details[Property Name], INDIRECT("B"&amp;ROW()),
  unit_details[Floorplan Name], INDIRECT("C"&amp;ROW()),
  unit_details[Beds], INDIRECT("D"&amp;ROW()),
  unit_details[Detected Unit Amenities], "&lt;&gt;*"&amp;$AD$3&amp;"*",
  unit_details[Leased Date], "&gt;=" &amp; ($U$2 - $AF$3)
),0)</f>
        <v>0</v>
      </c>
      <c r="AG489" s="527" cm="1">
        <f t="array" aca="1" ref="AG48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89" s="526" cm="1">
        <f t="array" aca="1" ref="AH489" ca="1">IFERROR(COUNTIFS(
  unit_details[Property Name], INDIRECT("B"&amp;ROW()),
  unit_details[Floorplan Name], INDIRECT("C"&amp;ROW()),
  unit_details[Beds], INDIRECT("D"&amp;ROW()),
  unit_details[Detected Unit Amenities], "&lt;&gt;*"&amp;$AD$3&amp;"*",
  unit_details[Leased Date], "&gt;=" &amp; ($U$2 - $AF$3)
),0)</f>
        <v>0</v>
      </c>
      <c r="AI489" s="528"/>
      <c r="AJ489" s="531">
        <f t="shared" ca="1" si="22"/>
        <v>0</v>
      </c>
      <c r="AK489" s="532">
        <f t="shared" ca="1" si="23"/>
        <v>0</v>
      </c>
    </row>
    <row r="490" spans="10:37" x14ac:dyDescent="0.2">
      <c r="J490" s="293"/>
      <c r="N490" s="531" t="str" cm="1">
        <f t="array" aca="1" ref="N49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0" s="552" t="str" cm="1">
        <f t="array" aca="1" ref="O49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0" s="526" cm="1">
        <f t="array" aca="1" ref="P490" ca="1">COUNTIFS(unit_details[Leased Date], "&gt;=" &amp; ($U$2 - N$5),
          unit_details[Leased Date], "&lt;" &amp; $U$2,
          unit_details[Floorplan Name], INDIRECT("C"&amp;ROW()),
          unit_details[Property Name], INDIRECT("B"&amp;ROW()))</f>
        <v>0</v>
      </c>
      <c r="Q490" s="531" t="str" cm="1">
        <f t="array" aca="1" ref="Q49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0" s="552" t="str" cm="1">
        <f t="array" aca="1" ref="R49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0" s="526" cm="1">
        <f t="array" aca="1" ref="S490" ca="1">COUNTIFS(unit_details[Leased Date], "&gt;=" &amp; ($U$2 - Q$5),
          unit_details[Leased Date], "&lt;" &amp; $U$2,
          unit_details[Floorplan Name], INDIRECT("C"&amp;ROW()),
          unit_details[Property Name], INDIRECT("B"&amp;ROW()))</f>
        <v>0</v>
      </c>
      <c r="T490" s="531" t="str" cm="1">
        <f t="array" aca="1" ref="T49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0" s="552" t="str" cm="1">
        <f t="array" aca="1" ref="U49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0" s="526" cm="1">
        <f t="array" aca="1" ref="V490" ca="1">COUNTIFS(unit_details[Leased Date], "&gt;=" &amp; ($U$2 - T$5),
          unit_details[Leased Date], "&lt;" &amp; $U$2,
          unit_details[Floorplan Name], INDIRECT("C"&amp;ROW()),
          unit_details[Property Name], INDIRECT("B"&amp;ROW()))</f>
        <v>0</v>
      </c>
      <c r="W490" s="531" t="str" cm="1">
        <f t="array" aca="1" ref="W49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0" s="552" t="str" cm="1">
        <f t="array" aca="1" ref="X49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0" s="27" t="str">
        <f t="shared" ca="1" si="21"/>
        <v/>
      </c>
      <c r="Z490" s="4" t="str">
        <f>IFERROR($U$2-AVERAGEIFS(unit_details[First Listed],
          unit_details[Active Listing?],TRUE,
          unit_details[Property Name], $B490,
          unit_details[Beds], $D490,
          unit_details[Baths], $E490,
          unit_details[Partial Baths], IF(ISNUMBER($F490),$F490,""),
          unit_details[Floorplan Name],$C490
),"")</f>
        <v/>
      </c>
      <c r="AA490" s="262" cm="1">
        <f t="array" aca="1" ref="AA490" ca="1">COUNTIFS(unit_details[Active Listing?],TRUE,
          unit_details[Floorplan Name], INDIRECT("C"&amp;ROW()),
          unit_details[Property Name], INDIRECT("B"&amp;ROW()))</f>
        <v>0</v>
      </c>
      <c r="AB490" s="553"/>
      <c r="AC490" s="528" cm="1">
        <f t="array" aca="1" ref="AC490" ca="1">IFERROR(AVERAGEIFS(
  unit_details[Sqft],
  unit_details[Property Name], INDIRECT("B"&amp;ROW()),
  unit_details[Floorplan Name], INDIRECT("C"&amp;ROW()),
  unit_details[Beds], INDIRECT("D"&amp;ROW()),
  unit_details[Detected Unit Amenities], "*"&amp;$AD$3&amp;"*",
  unit_details[Leased Date], "&gt;=" &amp; ($U$2 - $AF$3)
),0)</f>
        <v>0</v>
      </c>
      <c r="AD490" s="527" cm="1">
        <f t="array" aca="1" ref="AD4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0" s="526" cm="1">
        <f t="array" aca="1" ref="AE490" ca="1">IFERROR(COUNTIFS(
  unit_details[Property Name], INDIRECT("B"&amp;ROW()),
  unit_details[Floorplan Name], INDIRECT("C"&amp;ROW()),
  unit_details[Beds], INDIRECT("D"&amp;ROW()),
  unit_details[Detected Unit Amenities], "*"&amp;$AD$3&amp;"*",
  unit_details[Leased Date], "&gt;=" &amp; ($U$2 - $AF$3)
),0)</f>
        <v>0</v>
      </c>
      <c r="AF490" s="528" cm="1">
        <f t="array" aca="1" ref="AF490" ca="1">IFERROR(AVERAGEIFS(
  unit_details[Sqft],
  unit_details[Property Name], INDIRECT("B"&amp;ROW()),
  unit_details[Floorplan Name], INDIRECT("C"&amp;ROW()),
  unit_details[Beds], INDIRECT("D"&amp;ROW()),
  unit_details[Detected Unit Amenities], "&lt;&gt;*"&amp;$AD$3&amp;"*",
  unit_details[Leased Date], "&gt;=" &amp; ($U$2 - $AF$3)
),0)</f>
        <v>0</v>
      </c>
      <c r="AG490" s="527" cm="1">
        <f t="array" aca="1" ref="AG49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0" s="526" cm="1">
        <f t="array" aca="1" ref="AH490" ca="1">IFERROR(COUNTIFS(
  unit_details[Property Name], INDIRECT("B"&amp;ROW()),
  unit_details[Floorplan Name], INDIRECT("C"&amp;ROW()),
  unit_details[Beds], INDIRECT("D"&amp;ROW()),
  unit_details[Detected Unit Amenities], "&lt;&gt;*"&amp;$AD$3&amp;"*",
  unit_details[Leased Date], "&gt;=" &amp; ($U$2 - $AF$3)
),0)</f>
        <v>0</v>
      </c>
      <c r="AI490" s="528"/>
      <c r="AJ490" s="531">
        <f t="shared" ca="1" si="22"/>
        <v>0</v>
      </c>
      <c r="AK490" s="532">
        <f t="shared" ca="1" si="23"/>
        <v>0</v>
      </c>
    </row>
    <row r="491" spans="10:37" x14ac:dyDescent="0.2">
      <c r="J491" s="293"/>
      <c r="N491" s="531" t="str" cm="1">
        <f t="array" aca="1" ref="N49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1" s="552" t="str" cm="1">
        <f t="array" aca="1" ref="O49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1" s="526" cm="1">
        <f t="array" aca="1" ref="P491" ca="1">COUNTIFS(unit_details[Leased Date], "&gt;=" &amp; ($U$2 - N$5),
          unit_details[Leased Date], "&lt;" &amp; $U$2,
          unit_details[Floorplan Name], INDIRECT("C"&amp;ROW()),
          unit_details[Property Name], INDIRECT("B"&amp;ROW()))</f>
        <v>0</v>
      </c>
      <c r="Q491" s="531" t="str" cm="1">
        <f t="array" aca="1" ref="Q49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1" s="552" t="str" cm="1">
        <f t="array" aca="1" ref="R49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1" s="526" cm="1">
        <f t="array" aca="1" ref="S491" ca="1">COUNTIFS(unit_details[Leased Date], "&gt;=" &amp; ($U$2 - Q$5),
          unit_details[Leased Date], "&lt;" &amp; $U$2,
          unit_details[Floorplan Name], INDIRECT("C"&amp;ROW()),
          unit_details[Property Name], INDIRECT("B"&amp;ROW()))</f>
        <v>0</v>
      </c>
      <c r="T491" s="531" t="str" cm="1">
        <f t="array" aca="1" ref="T49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1" s="552" t="str" cm="1">
        <f t="array" aca="1" ref="U49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1" s="526" cm="1">
        <f t="array" aca="1" ref="V491" ca="1">COUNTIFS(unit_details[Leased Date], "&gt;=" &amp; ($U$2 - T$5),
          unit_details[Leased Date], "&lt;" &amp; $U$2,
          unit_details[Floorplan Name], INDIRECT("C"&amp;ROW()),
          unit_details[Property Name], INDIRECT("B"&amp;ROW()))</f>
        <v>0</v>
      </c>
      <c r="W491" s="531" t="str" cm="1">
        <f t="array" aca="1" ref="W49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1" s="552" t="str" cm="1">
        <f t="array" aca="1" ref="X49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1" s="27" t="str">
        <f t="shared" ca="1" si="21"/>
        <v/>
      </c>
      <c r="Z491" s="4" t="str">
        <f>IFERROR($U$2-AVERAGEIFS(unit_details[First Listed],
          unit_details[Active Listing?],TRUE,
          unit_details[Property Name], $B491,
          unit_details[Beds], $D491,
          unit_details[Baths], $E491,
          unit_details[Partial Baths], IF(ISNUMBER($F491),$F491,""),
          unit_details[Floorplan Name],$C491
),"")</f>
        <v/>
      </c>
      <c r="AA491" s="262" cm="1">
        <f t="array" aca="1" ref="AA491" ca="1">COUNTIFS(unit_details[Active Listing?],TRUE,
          unit_details[Floorplan Name], INDIRECT("C"&amp;ROW()),
          unit_details[Property Name], INDIRECT("B"&amp;ROW()))</f>
        <v>0</v>
      </c>
      <c r="AB491" s="553"/>
      <c r="AC491" s="528" cm="1">
        <f t="array" aca="1" ref="AC491" ca="1">IFERROR(AVERAGEIFS(
  unit_details[Sqft],
  unit_details[Property Name], INDIRECT("B"&amp;ROW()),
  unit_details[Floorplan Name], INDIRECT("C"&amp;ROW()),
  unit_details[Beds], INDIRECT("D"&amp;ROW()),
  unit_details[Detected Unit Amenities], "*"&amp;$AD$3&amp;"*",
  unit_details[Leased Date], "&gt;=" &amp; ($U$2 - $AF$3)
),0)</f>
        <v>0</v>
      </c>
      <c r="AD491" s="527" cm="1">
        <f t="array" aca="1" ref="AD4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1" s="526" cm="1">
        <f t="array" aca="1" ref="AE491" ca="1">IFERROR(COUNTIFS(
  unit_details[Property Name], INDIRECT("B"&amp;ROW()),
  unit_details[Floorplan Name], INDIRECT("C"&amp;ROW()),
  unit_details[Beds], INDIRECT("D"&amp;ROW()),
  unit_details[Detected Unit Amenities], "*"&amp;$AD$3&amp;"*",
  unit_details[Leased Date], "&gt;=" &amp; ($U$2 - $AF$3)
),0)</f>
        <v>0</v>
      </c>
      <c r="AF491" s="528" cm="1">
        <f t="array" aca="1" ref="AF491" ca="1">IFERROR(AVERAGEIFS(
  unit_details[Sqft],
  unit_details[Property Name], INDIRECT("B"&amp;ROW()),
  unit_details[Floorplan Name], INDIRECT("C"&amp;ROW()),
  unit_details[Beds], INDIRECT("D"&amp;ROW()),
  unit_details[Detected Unit Amenities], "&lt;&gt;*"&amp;$AD$3&amp;"*",
  unit_details[Leased Date], "&gt;=" &amp; ($U$2 - $AF$3)
),0)</f>
        <v>0</v>
      </c>
      <c r="AG491" s="527" cm="1">
        <f t="array" aca="1" ref="AG49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1" s="526" cm="1">
        <f t="array" aca="1" ref="AH491" ca="1">IFERROR(COUNTIFS(
  unit_details[Property Name], INDIRECT("B"&amp;ROW()),
  unit_details[Floorplan Name], INDIRECT("C"&amp;ROW()),
  unit_details[Beds], INDIRECT("D"&amp;ROW()),
  unit_details[Detected Unit Amenities], "&lt;&gt;*"&amp;$AD$3&amp;"*",
  unit_details[Leased Date], "&gt;=" &amp; ($U$2 - $AF$3)
),0)</f>
        <v>0</v>
      </c>
      <c r="AI491" s="528"/>
      <c r="AJ491" s="531">
        <f t="shared" ca="1" si="22"/>
        <v>0</v>
      </c>
      <c r="AK491" s="532">
        <f t="shared" ca="1" si="23"/>
        <v>0</v>
      </c>
    </row>
    <row r="492" spans="10:37" x14ac:dyDescent="0.2">
      <c r="J492" s="293"/>
      <c r="N492" s="531" t="str" cm="1">
        <f t="array" aca="1" ref="N49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2" s="552" t="str" cm="1">
        <f t="array" aca="1" ref="O49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2" s="526" cm="1">
        <f t="array" aca="1" ref="P492" ca="1">COUNTIFS(unit_details[Leased Date], "&gt;=" &amp; ($U$2 - N$5),
          unit_details[Leased Date], "&lt;" &amp; $U$2,
          unit_details[Floorplan Name], INDIRECT("C"&amp;ROW()),
          unit_details[Property Name], INDIRECT("B"&amp;ROW()))</f>
        <v>0</v>
      </c>
      <c r="Q492" s="531" t="str" cm="1">
        <f t="array" aca="1" ref="Q49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2" s="552" t="str" cm="1">
        <f t="array" aca="1" ref="R49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2" s="526" cm="1">
        <f t="array" aca="1" ref="S492" ca="1">COUNTIFS(unit_details[Leased Date], "&gt;=" &amp; ($U$2 - Q$5),
          unit_details[Leased Date], "&lt;" &amp; $U$2,
          unit_details[Floorplan Name], INDIRECT("C"&amp;ROW()),
          unit_details[Property Name], INDIRECT("B"&amp;ROW()))</f>
        <v>0</v>
      </c>
      <c r="T492" s="531" t="str" cm="1">
        <f t="array" aca="1" ref="T49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2" s="552" t="str" cm="1">
        <f t="array" aca="1" ref="U49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2" s="526" cm="1">
        <f t="array" aca="1" ref="V492" ca="1">COUNTIFS(unit_details[Leased Date], "&gt;=" &amp; ($U$2 - T$5),
          unit_details[Leased Date], "&lt;" &amp; $U$2,
          unit_details[Floorplan Name], INDIRECT("C"&amp;ROW()),
          unit_details[Property Name], INDIRECT("B"&amp;ROW()))</f>
        <v>0</v>
      </c>
      <c r="W492" s="531" t="str" cm="1">
        <f t="array" aca="1" ref="W49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2" s="552" t="str" cm="1">
        <f t="array" aca="1" ref="X49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2" s="27" t="str">
        <f t="shared" ca="1" si="21"/>
        <v/>
      </c>
      <c r="Z492" s="4" t="str">
        <f>IFERROR($U$2-AVERAGEIFS(unit_details[First Listed],
          unit_details[Active Listing?],TRUE,
          unit_details[Property Name], $B492,
          unit_details[Beds], $D492,
          unit_details[Baths], $E492,
          unit_details[Partial Baths], IF(ISNUMBER($F492),$F492,""),
          unit_details[Floorplan Name],$C492
),"")</f>
        <v/>
      </c>
      <c r="AA492" s="262" cm="1">
        <f t="array" aca="1" ref="AA492" ca="1">COUNTIFS(unit_details[Active Listing?],TRUE,
          unit_details[Floorplan Name], INDIRECT("C"&amp;ROW()),
          unit_details[Property Name], INDIRECT("B"&amp;ROW()))</f>
        <v>0</v>
      </c>
      <c r="AB492" s="553"/>
      <c r="AC492" s="528" cm="1">
        <f t="array" aca="1" ref="AC492" ca="1">IFERROR(AVERAGEIFS(
  unit_details[Sqft],
  unit_details[Property Name], INDIRECT("B"&amp;ROW()),
  unit_details[Floorplan Name], INDIRECT("C"&amp;ROW()),
  unit_details[Beds], INDIRECT("D"&amp;ROW()),
  unit_details[Detected Unit Amenities], "*"&amp;$AD$3&amp;"*",
  unit_details[Leased Date], "&gt;=" &amp; ($U$2 - $AF$3)
),0)</f>
        <v>0</v>
      </c>
      <c r="AD492" s="527" cm="1">
        <f t="array" aca="1" ref="AD4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2" s="526" cm="1">
        <f t="array" aca="1" ref="AE492" ca="1">IFERROR(COUNTIFS(
  unit_details[Property Name], INDIRECT("B"&amp;ROW()),
  unit_details[Floorplan Name], INDIRECT("C"&amp;ROW()),
  unit_details[Beds], INDIRECT("D"&amp;ROW()),
  unit_details[Detected Unit Amenities], "*"&amp;$AD$3&amp;"*",
  unit_details[Leased Date], "&gt;=" &amp; ($U$2 - $AF$3)
),0)</f>
        <v>0</v>
      </c>
      <c r="AF492" s="528" cm="1">
        <f t="array" aca="1" ref="AF492" ca="1">IFERROR(AVERAGEIFS(
  unit_details[Sqft],
  unit_details[Property Name], INDIRECT("B"&amp;ROW()),
  unit_details[Floorplan Name], INDIRECT("C"&amp;ROW()),
  unit_details[Beds], INDIRECT("D"&amp;ROW()),
  unit_details[Detected Unit Amenities], "&lt;&gt;*"&amp;$AD$3&amp;"*",
  unit_details[Leased Date], "&gt;=" &amp; ($U$2 - $AF$3)
),0)</f>
        <v>0</v>
      </c>
      <c r="AG492" s="527" cm="1">
        <f t="array" aca="1" ref="AG49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2" s="526" cm="1">
        <f t="array" aca="1" ref="AH492" ca="1">IFERROR(COUNTIFS(
  unit_details[Property Name], INDIRECT("B"&amp;ROW()),
  unit_details[Floorplan Name], INDIRECT("C"&amp;ROW()),
  unit_details[Beds], INDIRECT("D"&amp;ROW()),
  unit_details[Detected Unit Amenities], "&lt;&gt;*"&amp;$AD$3&amp;"*",
  unit_details[Leased Date], "&gt;=" &amp; ($U$2 - $AF$3)
),0)</f>
        <v>0</v>
      </c>
      <c r="AI492" s="528"/>
      <c r="AJ492" s="531">
        <f t="shared" ca="1" si="22"/>
        <v>0</v>
      </c>
      <c r="AK492" s="532">
        <f t="shared" ca="1" si="23"/>
        <v>0</v>
      </c>
    </row>
    <row r="493" spans="10:37" x14ac:dyDescent="0.2">
      <c r="J493" s="293"/>
      <c r="N493" s="531" t="str" cm="1">
        <f t="array" aca="1" ref="N49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3" s="552" t="str" cm="1">
        <f t="array" aca="1" ref="O49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3" s="526" cm="1">
        <f t="array" aca="1" ref="P493" ca="1">COUNTIFS(unit_details[Leased Date], "&gt;=" &amp; ($U$2 - N$5),
          unit_details[Leased Date], "&lt;" &amp; $U$2,
          unit_details[Floorplan Name], INDIRECT("C"&amp;ROW()),
          unit_details[Property Name], INDIRECT("B"&amp;ROW()))</f>
        <v>0</v>
      </c>
      <c r="Q493" s="531" t="str" cm="1">
        <f t="array" aca="1" ref="Q49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3" s="552" t="str" cm="1">
        <f t="array" aca="1" ref="R49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3" s="526" cm="1">
        <f t="array" aca="1" ref="S493" ca="1">COUNTIFS(unit_details[Leased Date], "&gt;=" &amp; ($U$2 - Q$5),
          unit_details[Leased Date], "&lt;" &amp; $U$2,
          unit_details[Floorplan Name], INDIRECT("C"&amp;ROW()),
          unit_details[Property Name], INDIRECT("B"&amp;ROW()))</f>
        <v>0</v>
      </c>
      <c r="T493" s="531" t="str" cm="1">
        <f t="array" aca="1" ref="T49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3" s="552" t="str" cm="1">
        <f t="array" aca="1" ref="U49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3" s="526" cm="1">
        <f t="array" aca="1" ref="V493" ca="1">COUNTIFS(unit_details[Leased Date], "&gt;=" &amp; ($U$2 - T$5),
          unit_details[Leased Date], "&lt;" &amp; $U$2,
          unit_details[Floorplan Name], INDIRECT("C"&amp;ROW()),
          unit_details[Property Name], INDIRECT("B"&amp;ROW()))</f>
        <v>0</v>
      </c>
      <c r="W493" s="531" t="str" cm="1">
        <f t="array" aca="1" ref="W49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3" s="552" t="str" cm="1">
        <f t="array" aca="1" ref="X49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3" s="27" t="str">
        <f t="shared" ca="1" si="21"/>
        <v/>
      </c>
      <c r="Z493" s="4" t="str">
        <f>IFERROR($U$2-AVERAGEIFS(unit_details[First Listed],
          unit_details[Active Listing?],TRUE,
          unit_details[Property Name], $B493,
          unit_details[Beds], $D493,
          unit_details[Baths], $E493,
          unit_details[Partial Baths], IF(ISNUMBER($F493),$F493,""),
          unit_details[Floorplan Name],$C493
),"")</f>
        <v/>
      </c>
      <c r="AA493" s="262" cm="1">
        <f t="array" aca="1" ref="AA493" ca="1">COUNTIFS(unit_details[Active Listing?],TRUE,
          unit_details[Floorplan Name], INDIRECT("C"&amp;ROW()),
          unit_details[Property Name], INDIRECT("B"&amp;ROW()))</f>
        <v>0</v>
      </c>
      <c r="AB493" s="553"/>
      <c r="AC493" s="528" cm="1">
        <f t="array" aca="1" ref="AC493" ca="1">IFERROR(AVERAGEIFS(
  unit_details[Sqft],
  unit_details[Property Name], INDIRECT("B"&amp;ROW()),
  unit_details[Floorplan Name], INDIRECT("C"&amp;ROW()),
  unit_details[Beds], INDIRECT("D"&amp;ROW()),
  unit_details[Detected Unit Amenities], "*"&amp;$AD$3&amp;"*",
  unit_details[Leased Date], "&gt;=" &amp; ($U$2 - $AF$3)
),0)</f>
        <v>0</v>
      </c>
      <c r="AD493" s="527" cm="1">
        <f t="array" aca="1" ref="AD4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3" s="526" cm="1">
        <f t="array" aca="1" ref="AE493" ca="1">IFERROR(COUNTIFS(
  unit_details[Property Name], INDIRECT("B"&amp;ROW()),
  unit_details[Floorplan Name], INDIRECT("C"&amp;ROW()),
  unit_details[Beds], INDIRECT("D"&amp;ROW()),
  unit_details[Detected Unit Amenities], "*"&amp;$AD$3&amp;"*",
  unit_details[Leased Date], "&gt;=" &amp; ($U$2 - $AF$3)
),0)</f>
        <v>0</v>
      </c>
      <c r="AF493" s="528" cm="1">
        <f t="array" aca="1" ref="AF493" ca="1">IFERROR(AVERAGEIFS(
  unit_details[Sqft],
  unit_details[Property Name], INDIRECT("B"&amp;ROW()),
  unit_details[Floorplan Name], INDIRECT("C"&amp;ROW()),
  unit_details[Beds], INDIRECT("D"&amp;ROW()),
  unit_details[Detected Unit Amenities], "&lt;&gt;*"&amp;$AD$3&amp;"*",
  unit_details[Leased Date], "&gt;=" &amp; ($U$2 - $AF$3)
),0)</f>
        <v>0</v>
      </c>
      <c r="AG493" s="527" cm="1">
        <f t="array" aca="1" ref="AG49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3" s="526" cm="1">
        <f t="array" aca="1" ref="AH493" ca="1">IFERROR(COUNTIFS(
  unit_details[Property Name], INDIRECT("B"&amp;ROW()),
  unit_details[Floorplan Name], INDIRECT("C"&amp;ROW()),
  unit_details[Beds], INDIRECT("D"&amp;ROW()),
  unit_details[Detected Unit Amenities], "&lt;&gt;*"&amp;$AD$3&amp;"*",
  unit_details[Leased Date], "&gt;=" &amp; ($U$2 - $AF$3)
),0)</f>
        <v>0</v>
      </c>
      <c r="AI493" s="528"/>
      <c r="AJ493" s="531">
        <f t="shared" ca="1" si="22"/>
        <v>0</v>
      </c>
      <c r="AK493" s="532">
        <f t="shared" ca="1" si="23"/>
        <v>0</v>
      </c>
    </row>
    <row r="494" spans="10:37" x14ac:dyDescent="0.2">
      <c r="J494" s="293"/>
      <c r="N494" s="531" t="str" cm="1">
        <f t="array" aca="1" ref="N49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4" s="552" t="str" cm="1">
        <f t="array" aca="1" ref="O49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4" s="526" cm="1">
        <f t="array" aca="1" ref="P494" ca="1">COUNTIFS(unit_details[Leased Date], "&gt;=" &amp; ($U$2 - N$5),
          unit_details[Leased Date], "&lt;" &amp; $U$2,
          unit_details[Floorplan Name], INDIRECT("C"&amp;ROW()),
          unit_details[Property Name], INDIRECT("B"&amp;ROW()))</f>
        <v>0</v>
      </c>
      <c r="Q494" s="531" t="str" cm="1">
        <f t="array" aca="1" ref="Q49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4" s="552" t="str" cm="1">
        <f t="array" aca="1" ref="R49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4" s="526" cm="1">
        <f t="array" aca="1" ref="S494" ca="1">COUNTIFS(unit_details[Leased Date], "&gt;=" &amp; ($U$2 - Q$5),
          unit_details[Leased Date], "&lt;" &amp; $U$2,
          unit_details[Floorplan Name], INDIRECT("C"&amp;ROW()),
          unit_details[Property Name], INDIRECT("B"&amp;ROW()))</f>
        <v>0</v>
      </c>
      <c r="T494" s="531" t="str" cm="1">
        <f t="array" aca="1" ref="T49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4" s="552" t="str" cm="1">
        <f t="array" aca="1" ref="U49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4" s="526" cm="1">
        <f t="array" aca="1" ref="V494" ca="1">COUNTIFS(unit_details[Leased Date], "&gt;=" &amp; ($U$2 - T$5),
          unit_details[Leased Date], "&lt;" &amp; $U$2,
          unit_details[Floorplan Name], INDIRECT("C"&amp;ROW()),
          unit_details[Property Name], INDIRECT("B"&amp;ROW()))</f>
        <v>0</v>
      </c>
      <c r="W494" s="531" t="str" cm="1">
        <f t="array" aca="1" ref="W49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4" s="552" t="str" cm="1">
        <f t="array" aca="1" ref="X49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4" s="27" t="str">
        <f t="shared" ca="1" si="21"/>
        <v/>
      </c>
      <c r="Z494" s="4" t="str">
        <f>IFERROR($U$2-AVERAGEIFS(unit_details[First Listed],
          unit_details[Active Listing?],TRUE,
          unit_details[Property Name], $B494,
          unit_details[Beds], $D494,
          unit_details[Baths], $E494,
          unit_details[Partial Baths], IF(ISNUMBER($F494),$F494,""),
          unit_details[Floorplan Name],$C494
),"")</f>
        <v/>
      </c>
      <c r="AA494" s="262" cm="1">
        <f t="array" aca="1" ref="AA494" ca="1">COUNTIFS(unit_details[Active Listing?],TRUE,
          unit_details[Floorplan Name], INDIRECT("C"&amp;ROW()),
          unit_details[Property Name], INDIRECT("B"&amp;ROW()))</f>
        <v>0</v>
      </c>
      <c r="AB494" s="553"/>
      <c r="AC494" s="528" cm="1">
        <f t="array" aca="1" ref="AC494" ca="1">IFERROR(AVERAGEIFS(
  unit_details[Sqft],
  unit_details[Property Name], INDIRECT("B"&amp;ROW()),
  unit_details[Floorplan Name], INDIRECT("C"&amp;ROW()),
  unit_details[Beds], INDIRECT("D"&amp;ROW()),
  unit_details[Detected Unit Amenities], "*"&amp;$AD$3&amp;"*",
  unit_details[Leased Date], "&gt;=" &amp; ($U$2 - $AF$3)
),0)</f>
        <v>0</v>
      </c>
      <c r="AD494" s="527" cm="1">
        <f t="array" aca="1" ref="AD4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4" s="526" cm="1">
        <f t="array" aca="1" ref="AE494" ca="1">IFERROR(COUNTIFS(
  unit_details[Property Name], INDIRECT("B"&amp;ROW()),
  unit_details[Floorplan Name], INDIRECT("C"&amp;ROW()),
  unit_details[Beds], INDIRECT("D"&amp;ROW()),
  unit_details[Detected Unit Amenities], "*"&amp;$AD$3&amp;"*",
  unit_details[Leased Date], "&gt;=" &amp; ($U$2 - $AF$3)
),0)</f>
        <v>0</v>
      </c>
      <c r="AF494" s="528" cm="1">
        <f t="array" aca="1" ref="AF494" ca="1">IFERROR(AVERAGEIFS(
  unit_details[Sqft],
  unit_details[Property Name], INDIRECT("B"&amp;ROW()),
  unit_details[Floorplan Name], INDIRECT("C"&amp;ROW()),
  unit_details[Beds], INDIRECT("D"&amp;ROW()),
  unit_details[Detected Unit Amenities], "&lt;&gt;*"&amp;$AD$3&amp;"*",
  unit_details[Leased Date], "&gt;=" &amp; ($U$2 - $AF$3)
),0)</f>
        <v>0</v>
      </c>
      <c r="AG494" s="527" cm="1">
        <f t="array" aca="1" ref="AG49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4" s="526" cm="1">
        <f t="array" aca="1" ref="AH494" ca="1">IFERROR(COUNTIFS(
  unit_details[Property Name], INDIRECT("B"&amp;ROW()),
  unit_details[Floorplan Name], INDIRECT("C"&amp;ROW()),
  unit_details[Beds], INDIRECT("D"&amp;ROW()),
  unit_details[Detected Unit Amenities], "&lt;&gt;*"&amp;$AD$3&amp;"*",
  unit_details[Leased Date], "&gt;=" &amp; ($U$2 - $AF$3)
),0)</f>
        <v>0</v>
      </c>
      <c r="AI494" s="528"/>
      <c r="AJ494" s="531">
        <f t="shared" ca="1" si="22"/>
        <v>0</v>
      </c>
      <c r="AK494" s="532">
        <f t="shared" ca="1" si="23"/>
        <v>0</v>
      </c>
    </row>
    <row r="495" spans="10:37" x14ac:dyDescent="0.2">
      <c r="J495" s="293"/>
      <c r="N495" s="531" t="str" cm="1">
        <f t="array" aca="1" ref="N49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5" s="552" t="str" cm="1">
        <f t="array" aca="1" ref="O49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5" s="526" cm="1">
        <f t="array" aca="1" ref="P495" ca="1">COUNTIFS(unit_details[Leased Date], "&gt;=" &amp; ($U$2 - N$5),
          unit_details[Leased Date], "&lt;" &amp; $U$2,
          unit_details[Floorplan Name], INDIRECT("C"&amp;ROW()),
          unit_details[Property Name], INDIRECT("B"&amp;ROW()))</f>
        <v>0</v>
      </c>
      <c r="Q495" s="531" t="str" cm="1">
        <f t="array" aca="1" ref="Q49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5" s="552" t="str" cm="1">
        <f t="array" aca="1" ref="R49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5" s="526" cm="1">
        <f t="array" aca="1" ref="S495" ca="1">COUNTIFS(unit_details[Leased Date], "&gt;=" &amp; ($U$2 - Q$5),
          unit_details[Leased Date], "&lt;" &amp; $U$2,
          unit_details[Floorplan Name], INDIRECT("C"&amp;ROW()),
          unit_details[Property Name], INDIRECT("B"&amp;ROW()))</f>
        <v>0</v>
      </c>
      <c r="T495" s="531" t="str" cm="1">
        <f t="array" aca="1" ref="T49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5" s="552" t="str" cm="1">
        <f t="array" aca="1" ref="U49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5" s="526" cm="1">
        <f t="array" aca="1" ref="V495" ca="1">COUNTIFS(unit_details[Leased Date], "&gt;=" &amp; ($U$2 - T$5),
          unit_details[Leased Date], "&lt;" &amp; $U$2,
          unit_details[Floorplan Name], INDIRECT("C"&amp;ROW()),
          unit_details[Property Name], INDIRECT("B"&amp;ROW()))</f>
        <v>0</v>
      </c>
      <c r="W495" s="531" t="str" cm="1">
        <f t="array" aca="1" ref="W49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5" s="552" t="str" cm="1">
        <f t="array" aca="1" ref="X49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5" s="27" t="str">
        <f t="shared" ca="1" si="21"/>
        <v/>
      </c>
      <c r="Z495" s="4" t="str">
        <f>IFERROR($U$2-AVERAGEIFS(unit_details[First Listed],
          unit_details[Active Listing?],TRUE,
          unit_details[Property Name], $B495,
          unit_details[Beds], $D495,
          unit_details[Baths], $E495,
          unit_details[Partial Baths], IF(ISNUMBER($F495),$F495,""),
          unit_details[Floorplan Name],$C495
),"")</f>
        <v/>
      </c>
      <c r="AA495" s="262" cm="1">
        <f t="array" aca="1" ref="AA495" ca="1">COUNTIFS(unit_details[Active Listing?],TRUE,
          unit_details[Floorplan Name], INDIRECT("C"&amp;ROW()),
          unit_details[Property Name], INDIRECT("B"&amp;ROW()))</f>
        <v>0</v>
      </c>
      <c r="AB495" s="553"/>
      <c r="AC495" s="528" cm="1">
        <f t="array" aca="1" ref="AC495" ca="1">IFERROR(AVERAGEIFS(
  unit_details[Sqft],
  unit_details[Property Name], INDIRECT("B"&amp;ROW()),
  unit_details[Floorplan Name], INDIRECT("C"&amp;ROW()),
  unit_details[Beds], INDIRECT("D"&amp;ROW()),
  unit_details[Detected Unit Amenities], "*"&amp;$AD$3&amp;"*",
  unit_details[Leased Date], "&gt;=" &amp; ($U$2 - $AF$3)
),0)</f>
        <v>0</v>
      </c>
      <c r="AD495" s="527" cm="1">
        <f t="array" aca="1" ref="AD4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5" s="526" cm="1">
        <f t="array" aca="1" ref="AE495" ca="1">IFERROR(COUNTIFS(
  unit_details[Property Name], INDIRECT("B"&amp;ROW()),
  unit_details[Floorplan Name], INDIRECT("C"&amp;ROW()),
  unit_details[Beds], INDIRECT("D"&amp;ROW()),
  unit_details[Detected Unit Amenities], "*"&amp;$AD$3&amp;"*",
  unit_details[Leased Date], "&gt;=" &amp; ($U$2 - $AF$3)
),0)</f>
        <v>0</v>
      </c>
      <c r="AF495" s="528" cm="1">
        <f t="array" aca="1" ref="AF495" ca="1">IFERROR(AVERAGEIFS(
  unit_details[Sqft],
  unit_details[Property Name], INDIRECT("B"&amp;ROW()),
  unit_details[Floorplan Name], INDIRECT("C"&amp;ROW()),
  unit_details[Beds], INDIRECT("D"&amp;ROW()),
  unit_details[Detected Unit Amenities], "&lt;&gt;*"&amp;$AD$3&amp;"*",
  unit_details[Leased Date], "&gt;=" &amp; ($U$2 - $AF$3)
),0)</f>
        <v>0</v>
      </c>
      <c r="AG495" s="527" cm="1">
        <f t="array" aca="1" ref="AG49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5" s="526" cm="1">
        <f t="array" aca="1" ref="AH495" ca="1">IFERROR(COUNTIFS(
  unit_details[Property Name], INDIRECT("B"&amp;ROW()),
  unit_details[Floorplan Name], INDIRECT("C"&amp;ROW()),
  unit_details[Beds], INDIRECT("D"&amp;ROW()),
  unit_details[Detected Unit Amenities], "&lt;&gt;*"&amp;$AD$3&amp;"*",
  unit_details[Leased Date], "&gt;=" &amp; ($U$2 - $AF$3)
),0)</f>
        <v>0</v>
      </c>
      <c r="AI495" s="528"/>
      <c r="AJ495" s="531">
        <f t="shared" ca="1" si="22"/>
        <v>0</v>
      </c>
      <c r="AK495" s="532">
        <f t="shared" ca="1" si="23"/>
        <v>0</v>
      </c>
    </row>
    <row r="496" spans="10:37" x14ac:dyDescent="0.2">
      <c r="J496" s="293"/>
      <c r="N496" s="531" t="str" cm="1">
        <f t="array" aca="1" ref="N49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6" s="552" t="str" cm="1">
        <f t="array" aca="1" ref="O49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6" s="526" cm="1">
        <f t="array" aca="1" ref="P496" ca="1">COUNTIFS(unit_details[Leased Date], "&gt;=" &amp; ($U$2 - N$5),
          unit_details[Leased Date], "&lt;" &amp; $U$2,
          unit_details[Floorplan Name], INDIRECT("C"&amp;ROW()),
          unit_details[Property Name], INDIRECT("B"&amp;ROW()))</f>
        <v>0</v>
      </c>
      <c r="Q496" s="531" t="str" cm="1">
        <f t="array" aca="1" ref="Q49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6" s="552" t="str" cm="1">
        <f t="array" aca="1" ref="R49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6" s="526" cm="1">
        <f t="array" aca="1" ref="S496" ca="1">COUNTIFS(unit_details[Leased Date], "&gt;=" &amp; ($U$2 - Q$5),
          unit_details[Leased Date], "&lt;" &amp; $U$2,
          unit_details[Floorplan Name], INDIRECT("C"&amp;ROW()),
          unit_details[Property Name], INDIRECT("B"&amp;ROW()))</f>
        <v>0</v>
      </c>
      <c r="T496" s="531" t="str" cm="1">
        <f t="array" aca="1" ref="T49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6" s="552" t="str" cm="1">
        <f t="array" aca="1" ref="U49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6" s="526" cm="1">
        <f t="array" aca="1" ref="V496" ca="1">COUNTIFS(unit_details[Leased Date], "&gt;=" &amp; ($U$2 - T$5),
          unit_details[Leased Date], "&lt;" &amp; $U$2,
          unit_details[Floorplan Name], INDIRECT("C"&amp;ROW()),
          unit_details[Property Name], INDIRECT("B"&amp;ROW()))</f>
        <v>0</v>
      </c>
      <c r="W496" s="531" t="str" cm="1">
        <f t="array" aca="1" ref="W49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6" s="552" t="str" cm="1">
        <f t="array" aca="1" ref="X49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6" s="27" t="str">
        <f t="shared" ca="1" si="21"/>
        <v/>
      </c>
      <c r="Z496" s="4" t="str">
        <f>IFERROR($U$2-AVERAGEIFS(unit_details[First Listed],
          unit_details[Active Listing?],TRUE,
          unit_details[Property Name], $B496,
          unit_details[Beds], $D496,
          unit_details[Baths], $E496,
          unit_details[Partial Baths], IF(ISNUMBER($F496),$F496,""),
          unit_details[Floorplan Name],$C496
),"")</f>
        <v/>
      </c>
      <c r="AA496" s="262" cm="1">
        <f t="array" aca="1" ref="AA496" ca="1">COUNTIFS(unit_details[Active Listing?],TRUE,
          unit_details[Floorplan Name], INDIRECT("C"&amp;ROW()),
          unit_details[Property Name], INDIRECT("B"&amp;ROW()))</f>
        <v>0</v>
      </c>
      <c r="AB496" s="553"/>
      <c r="AC496" s="528" cm="1">
        <f t="array" aca="1" ref="AC496" ca="1">IFERROR(AVERAGEIFS(
  unit_details[Sqft],
  unit_details[Property Name], INDIRECT("B"&amp;ROW()),
  unit_details[Floorplan Name], INDIRECT("C"&amp;ROW()),
  unit_details[Beds], INDIRECT("D"&amp;ROW()),
  unit_details[Detected Unit Amenities], "*"&amp;$AD$3&amp;"*",
  unit_details[Leased Date], "&gt;=" &amp; ($U$2 - $AF$3)
),0)</f>
        <v>0</v>
      </c>
      <c r="AD496" s="527" cm="1">
        <f t="array" aca="1" ref="AD4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6" s="526" cm="1">
        <f t="array" aca="1" ref="AE496" ca="1">IFERROR(COUNTIFS(
  unit_details[Property Name], INDIRECT("B"&amp;ROW()),
  unit_details[Floorplan Name], INDIRECT("C"&amp;ROW()),
  unit_details[Beds], INDIRECT("D"&amp;ROW()),
  unit_details[Detected Unit Amenities], "*"&amp;$AD$3&amp;"*",
  unit_details[Leased Date], "&gt;=" &amp; ($U$2 - $AF$3)
),0)</f>
        <v>0</v>
      </c>
      <c r="AF496" s="528" cm="1">
        <f t="array" aca="1" ref="AF496" ca="1">IFERROR(AVERAGEIFS(
  unit_details[Sqft],
  unit_details[Property Name], INDIRECT("B"&amp;ROW()),
  unit_details[Floorplan Name], INDIRECT("C"&amp;ROW()),
  unit_details[Beds], INDIRECT("D"&amp;ROW()),
  unit_details[Detected Unit Amenities], "&lt;&gt;*"&amp;$AD$3&amp;"*",
  unit_details[Leased Date], "&gt;=" &amp; ($U$2 - $AF$3)
),0)</f>
        <v>0</v>
      </c>
      <c r="AG496" s="527" cm="1">
        <f t="array" aca="1" ref="AG49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6" s="526" cm="1">
        <f t="array" aca="1" ref="AH496" ca="1">IFERROR(COUNTIFS(
  unit_details[Property Name], INDIRECT("B"&amp;ROW()),
  unit_details[Floorplan Name], INDIRECT("C"&amp;ROW()),
  unit_details[Beds], INDIRECT("D"&amp;ROW()),
  unit_details[Detected Unit Amenities], "&lt;&gt;*"&amp;$AD$3&amp;"*",
  unit_details[Leased Date], "&gt;=" &amp; ($U$2 - $AF$3)
),0)</f>
        <v>0</v>
      </c>
      <c r="AI496" s="528"/>
      <c r="AJ496" s="531">
        <f t="shared" ca="1" si="22"/>
        <v>0</v>
      </c>
      <c r="AK496" s="532">
        <f t="shared" ca="1" si="23"/>
        <v>0</v>
      </c>
    </row>
    <row r="497" spans="10:37" x14ac:dyDescent="0.2">
      <c r="J497" s="293"/>
      <c r="N497" s="531" t="str" cm="1">
        <f t="array" aca="1" ref="N497"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7" s="552" t="str" cm="1">
        <f t="array" aca="1" ref="O497"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7" s="526" cm="1">
        <f t="array" aca="1" ref="P497" ca="1">COUNTIFS(unit_details[Leased Date], "&gt;=" &amp; ($U$2 - N$5),
          unit_details[Leased Date], "&lt;" &amp; $U$2,
          unit_details[Floorplan Name], INDIRECT("C"&amp;ROW()),
          unit_details[Property Name], INDIRECT("B"&amp;ROW()))</f>
        <v>0</v>
      </c>
      <c r="Q497" s="531" t="str" cm="1">
        <f t="array" aca="1" ref="Q497"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7" s="552" t="str" cm="1">
        <f t="array" aca="1" ref="R497"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7" s="526" cm="1">
        <f t="array" aca="1" ref="S497" ca="1">COUNTIFS(unit_details[Leased Date], "&gt;=" &amp; ($U$2 - Q$5),
          unit_details[Leased Date], "&lt;" &amp; $U$2,
          unit_details[Floorplan Name], INDIRECT("C"&amp;ROW()),
          unit_details[Property Name], INDIRECT("B"&amp;ROW()))</f>
        <v>0</v>
      </c>
      <c r="T497" s="531" t="str" cm="1">
        <f t="array" aca="1" ref="T497"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7" s="552" t="str" cm="1">
        <f t="array" aca="1" ref="U497"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7" s="526" cm="1">
        <f t="array" aca="1" ref="V497" ca="1">COUNTIFS(unit_details[Leased Date], "&gt;=" &amp; ($U$2 - T$5),
          unit_details[Leased Date], "&lt;" &amp; $U$2,
          unit_details[Floorplan Name], INDIRECT("C"&amp;ROW()),
          unit_details[Property Name], INDIRECT("B"&amp;ROW()))</f>
        <v>0</v>
      </c>
      <c r="W497" s="531" t="str" cm="1">
        <f t="array" aca="1" ref="W497"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7" s="552" t="str" cm="1">
        <f t="array" aca="1" ref="X497"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7" s="27" t="str">
        <f t="shared" ca="1" si="21"/>
        <v/>
      </c>
      <c r="Z497" s="4" t="str">
        <f>IFERROR($U$2-AVERAGEIFS(unit_details[First Listed],
          unit_details[Active Listing?],TRUE,
          unit_details[Property Name], $B497,
          unit_details[Beds], $D497,
          unit_details[Baths], $E497,
          unit_details[Partial Baths], IF(ISNUMBER($F497),$F497,""),
          unit_details[Floorplan Name],$C497
),"")</f>
        <v/>
      </c>
      <c r="AA497" s="262" cm="1">
        <f t="array" aca="1" ref="AA497" ca="1">COUNTIFS(unit_details[Active Listing?],TRUE,
          unit_details[Floorplan Name], INDIRECT("C"&amp;ROW()),
          unit_details[Property Name], INDIRECT("B"&amp;ROW()))</f>
        <v>0</v>
      </c>
      <c r="AB497" s="553"/>
      <c r="AC497" s="528" cm="1">
        <f t="array" aca="1" ref="AC497" ca="1">IFERROR(AVERAGEIFS(
  unit_details[Sqft],
  unit_details[Property Name], INDIRECT("B"&amp;ROW()),
  unit_details[Floorplan Name], INDIRECT("C"&amp;ROW()),
  unit_details[Beds], INDIRECT("D"&amp;ROW()),
  unit_details[Detected Unit Amenities], "*"&amp;$AD$3&amp;"*",
  unit_details[Leased Date], "&gt;=" &amp; ($U$2 - $AF$3)
),0)</f>
        <v>0</v>
      </c>
      <c r="AD497" s="527" cm="1">
        <f t="array" aca="1" ref="AD4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7" s="526" cm="1">
        <f t="array" aca="1" ref="AE497" ca="1">IFERROR(COUNTIFS(
  unit_details[Property Name], INDIRECT("B"&amp;ROW()),
  unit_details[Floorplan Name], INDIRECT("C"&amp;ROW()),
  unit_details[Beds], INDIRECT("D"&amp;ROW()),
  unit_details[Detected Unit Amenities], "*"&amp;$AD$3&amp;"*",
  unit_details[Leased Date], "&gt;=" &amp; ($U$2 - $AF$3)
),0)</f>
        <v>0</v>
      </c>
      <c r="AF497" s="528" cm="1">
        <f t="array" aca="1" ref="AF497" ca="1">IFERROR(AVERAGEIFS(
  unit_details[Sqft],
  unit_details[Property Name], INDIRECT("B"&amp;ROW()),
  unit_details[Floorplan Name], INDIRECT("C"&amp;ROW()),
  unit_details[Beds], INDIRECT("D"&amp;ROW()),
  unit_details[Detected Unit Amenities], "&lt;&gt;*"&amp;$AD$3&amp;"*",
  unit_details[Leased Date], "&gt;=" &amp; ($U$2 - $AF$3)
),0)</f>
        <v>0</v>
      </c>
      <c r="AG497" s="527" cm="1">
        <f t="array" aca="1" ref="AG497"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7" s="526" cm="1">
        <f t="array" aca="1" ref="AH497" ca="1">IFERROR(COUNTIFS(
  unit_details[Property Name], INDIRECT("B"&amp;ROW()),
  unit_details[Floorplan Name], INDIRECT("C"&amp;ROW()),
  unit_details[Beds], INDIRECT("D"&amp;ROW()),
  unit_details[Detected Unit Amenities], "&lt;&gt;*"&amp;$AD$3&amp;"*",
  unit_details[Leased Date], "&gt;=" &amp; ($U$2 - $AF$3)
),0)</f>
        <v>0</v>
      </c>
      <c r="AI497" s="528"/>
      <c r="AJ497" s="531">
        <f t="shared" ca="1" si="22"/>
        <v>0</v>
      </c>
      <c r="AK497" s="532">
        <f t="shared" ca="1" si="23"/>
        <v>0</v>
      </c>
    </row>
    <row r="498" spans="10:37" x14ac:dyDescent="0.2">
      <c r="J498" s="293"/>
      <c r="N498" s="531" t="str" cm="1">
        <f t="array" aca="1" ref="N498"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8" s="552" t="str" cm="1">
        <f t="array" aca="1" ref="O498"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8" s="526" cm="1">
        <f t="array" aca="1" ref="P498" ca="1">COUNTIFS(unit_details[Leased Date], "&gt;=" &amp; ($U$2 - N$5),
          unit_details[Leased Date], "&lt;" &amp; $U$2,
          unit_details[Floorplan Name], INDIRECT("C"&amp;ROW()),
          unit_details[Property Name], INDIRECT("B"&amp;ROW()))</f>
        <v>0</v>
      </c>
      <c r="Q498" s="531" t="str" cm="1">
        <f t="array" aca="1" ref="Q498"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8" s="552" t="str" cm="1">
        <f t="array" aca="1" ref="R498"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8" s="526" cm="1">
        <f t="array" aca="1" ref="S498" ca="1">COUNTIFS(unit_details[Leased Date], "&gt;=" &amp; ($U$2 - Q$5),
          unit_details[Leased Date], "&lt;" &amp; $U$2,
          unit_details[Floorplan Name], INDIRECT("C"&amp;ROW()),
          unit_details[Property Name], INDIRECT("B"&amp;ROW()))</f>
        <v>0</v>
      </c>
      <c r="T498" s="531" t="str" cm="1">
        <f t="array" aca="1" ref="T498"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8" s="552" t="str" cm="1">
        <f t="array" aca="1" ref="U498"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8" s="526" cm="1">
        <f t="array" aca="1" ref="V498" ca="1">COUNTIFS(unit_details[Leased Date], "&gt;=" &amp; ($U$2 - T$5),
          unit_details[Leased Date], "&lt;" &amp; $U$2,
          unit_details[Floorplan Name], INDIRECT("C"&amp;ROW()),
          unit_details[Property Name], INDIRECT("B"&amp;ROW()))</f>
        <v>0</v>
      </c>
      <c r="W498" s="531" t="str" cm="1">
        <f t="array" aca="1" ref="W498"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8" s="552" t="str" cm="1">
        <f t="array" aca="1" ref="X498"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8" s="27" t="str">
        <f t="shared" ca="1" si="21"/>
        <v/>
      </c>
      <c r="Z498" s="4" t="str">
        <f>IFERROR($U$2-AVERAGEIFS(unit_details[First Listed],
          unit_details[Active Listing?],TRUE,
          unit_details[Property Name], $B498,
          unit_details[Beds], $D498,
          unit_details[Baths], $E498,
          unit_details[Partial Baths], IF(ISNUMBER($F498),$F498,""),
          unit_details[Floorplan Name],$C498
),"")</f>
        <v/>
      </c>
      <c r="AA498" s="262" cm="1">
        <f t="array" aca="1" ref="AA498" ca="1">COUNTIFS(unit_details[Active Listing?],TRUE,
          unit_details[Floorplan Name], INDIRECT("C"&amp;ROW()),
          unit_details[Property Name], INDIRECT("B"&amp;ROW()))</f>
        <v>0</v>
      </c>
      <c r="AB498" s="553"/>
      <c r="AC498" s="528" cm="1">
        <f t="array" aca="1" ref="AC498" ca="1">IFERROR(AVERAGEIFS(
  unit_details[Sqft],
  unit_details[Property Name], INDIRECT("B"&amp;ROW()),
  unit_details[Floorplan Name], INDIRECT("C"&amp;ROW()),
  unit_details[Beds], INDIRECT("D"&amp;ROW()),
  unit_details[Detected Unit Amenities], "*"&amp;$AD$3&amp;"*",
  unit_details[Leased Date], "&gt;=" &amp; ($U$2 - $AF$3)
),0)</f>
        <v>0</v>
      </c>
      <c r="AD498" s="527" cm="1">
        <f t="array" aca="1" ref="AD4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8" s="526" cm="1">
        <f t="array" aca="1" ref="AE498" ca="1">IFERROR(COUNTIFS(
  unit_details[Property Name], INDIRECT("B"&amp;ROW()),
  unit_details[Floorplan Name], INDIRECT("C"&amp;ROW()),
  unit_details[Beds], INDIRECT("D"&amp;ROW()),
  unit_details[Detected Unit Amenities], "*"&amp;$AD$3&amp;"*",
  unit_details[Leased Date], "&gt;=" &amp; ($U$2 - $AF$3)
),0)</f>
        <v>0</v>
      </c>
      <c r="AF498" s="528" cm="1">
        <f t="array" aca="1" ref="AF498" ca="1">IFERROR(AVERAGEIFS(
  unit_details[Sqft],
  unit_details[Property Name], INDIRECT("B"&amp;ROW()),
  unit_details[Floorplan Name], INDIRECT("C"&amp;ROW()),
  unit_details[Beds], INDIRECT("D"&amp;ROW()),
  unit_details[Detected Unit Amenities], "&lt;&gt;*"&amp;$AD$3&amp;"*",
  unit_details[Leased Date], "&gt;=" &amp; ($U$2 - $AF$3)
),0)</f>
        <v>0</v>
      </c>
      <c r="AG498" s="527" cm="1">
        <f t="array" aca="1" ref="AG498"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8" s="526" cm="1">
        <f t="array" aca="1" ref="AH498" ca="1">IFERROR(COUNTIFS(
  unit_details[Property Name], INDIRECT("B"&amp;ROW()),
  unit_details[Floorplan Name], INDIRECT("C"&amp;ROW()),
  unit_details[Beds], INDIRECT("D"&amp;ROW()),
  unit_details[Detected Unit Amenities], "&lt;&gt;*"&amp;$AD$3&amp;"*",
  unit_details[Leased Date], "&gt;=" &amp; ($U$2 - $AF$3)
),0)</f>
        <v>0</v>
      </c>
      <c r="AI498" s="528"/>
      <c r="AJ498" s="531">
        <f t="shared" ca="1" si="22"/>
        <v>0</v>
      </c>
      <c r="AK498" s="532">
        <f t="shared" ca="1" si="23"/>
        <v>0</v>
      </c>
    </row>
    <row r="499" spans="10:37" x14ac:dyDescent="0.2">
      <c r="J499" s="293"/>
      <c r="N499" s="531" t="str" cm="1">
        <f t="array" aca="1" ref="N499"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499" s="552" t="str" cm="1">
        <f t="array" aca="1" ref="O499"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499" s="526" cm="1">
        <f t="array" aca="1" ref="P499" ca="1">COUNTIFS(unit_details[Leased Date], "&gt;=" &amp; ($U$2 - N$5),
          unit_details[Leased Date], "&lt;" &amp; $U$2,
          unit_details[Floorplan Name], INDIRECT("C"&amp;ROW()),
          unit_details[Property Name], INDIRECT("B"&amp;ROW()))</f>
        <v>0</v>
      </c>
      <c r="Q499" s="531" t="str" cm="1">
        <f t="array" aca="1" ref="Q499"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499" s="552" t="str" cm="1">
        <f t="array" aca="1" ref="R499"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499" s="526" cm="1">
        <f t="array" aca="1" ref="S499" ca="1">COUNTIFS(unit_details[Leased Date], "&gt;=" &amp; ($U$2 - Q$5),
          unit_details[Leased Date], "&lt;" &amp; $U$2,
          unit_details[Floorplan Name], INDIRECT("C"&amp;ROW()),
          unit_details[Property Name], INDIRECT("B"&amp;ROW()))</f>
        <v>0</v>
      </c>
      <c r="T499" s="531" t="str" cm="1">
        <f t="array" aca="1" ref="T499"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499" s="552" t="str" cm="1">
        <f t="array" aca="1" ref="U499"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499" s="526" cm="1">
        <f t="array" aca="1" ref="V499" ca="1">COUNTIFS(unit_details[Leased Date], "&gt;=" &amp; ($U$2 - T$5),
          unit_details[Leased Date], "&lt;" &amp; $U$2,
          unit_details[Floorplan Name], INDIRECT("C"&amp;ROW()),
          unit_details[Property Name], INDIRECT("B"&amp;ROW()))</f>
        <v>0</v>
      </c>
      <c r="W499" s="531" t="str" cm="1">
        <f t="array" aca="1" ref="W499"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499" s="552" t="str" cm="1">
        <f t="array" aca="1" ref="X499"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499" s="27" t="str">
        <f t="shared" ca="1" si="21"/>
        <v/>
      </c>
      <c r="Z499" s="4" t="str">
        <f>IFERROR($U$2-AVERAGEIFS(unit_details[First Listed],
          unit_details[Active Listing?],TRUE,
          unit_details[Property Name], $B499,
          unit_details[Beds], $D499,
          unit_details[Baths], $E499,
          unit_details[Partial Baths], IF(ISNUMBER($F499),$F499,""),
          unit_details[Floorplan Name],$C499
),"")</f>
        <v/>
      </c>
      <c r="AA499" s="262" cm="1">
        <f t="array" aca="1" ref="AA499" ca="1">COUNTIFS(unit_details[Active Listing?],TRUE,
          unit_details[Floorplan Name], INDIRECT("C"&amp;ROW()),
          unit_details[Property Name], INDIRECT("B"&amp;ROW()))</f>
        <v>0</v>
      </c>
      <c r="AB499" s="553"/>
      <c r="AC499" s="528" cm="1">
        <f t="array" aca="1" ref="AC499" ca="1">IFERROR(AVERAGEIFS(
  unit_details[Sqft],
  unit_details[Property Name], INDIRECT("B"&amp;ROW()),
  unit_details[Floorplan Name], INDIRECT("C"&amp;ROW()),
  unit_details[Beds], INDIRECT("D"&amp;ROW()),
  unit_details[Detected Unit Amenities], "*"&amp;$AD$3&amp;"*",
  unit_details[Leased Date], "&gt;=" &amp; ($U$2 - $AF$3)
),0)</f>
        <v>0</v>
      </c>
      <c r="AD499" s="527" cm="1">
        <f t="array" aca="1" ref="AD4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499" s="526" cm="1">
        <f t="array" aca="1" ref="AE499" ca="1">IFERROR(COUNTIFS(
  unit_details[Property Name], INDIRECT("B"&amp;ROW()),
  unit_details[Floorplan Name], INDIRECT("C"&amp;ROW()),
  unit_details[Beds], INDIRECT("D"&amp;ROW()),
  unit_details[Detected Unit Amenities], "*"&amp;$AD$3&amp;"*",
  unit_details[Leased Date], "&gt;=" &amp; ($U$2 - $AF$3)
),0)</f>
        <v>0</v>
      </c>
      <c r="AF499" s="528" cm="1">
        <f t="array" aca="1" ref="AF499" ca="1">IFERROR(AVERAGEIFS(
  unit_details[Sqft],
  unit_details[Property Name], INDIRECT("B"&amp;ROW()),
  unit_details[Floorplan Name], INDIRECT("C"&amp;ROW()),
  unit_details[Beds], INDIRECT("D"&amp;ROW()),
  unit_details[Detected Unit Amenities], "&lt;&gt;*"&amp;$AD$3&amp;"*",
  unit_details[Leased Date], "&gt;=" &amp; ($U$2 - $AF$3)
),0)</f>
        <v>0</v>
      </c>
      <c r="AG499" s="527" cm="1">
        <f t="array" aca="1" ref="AG499"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499" s="526" cm="1">
        <f t="array" aca="1" ref="AH499" ca="1">IFERROR(COUNTIFS(
  unit_details[Property Name], INDIRECT("B"&amp;ROW()),
  unit_details[Floorplan Name], INDIRECT("C"&amp;ROW()),
  unit_details[Beds], INDIRECT("D"&amp;ROW()),
  unit_details[Detected Unit Amenities], "&lt;&gt;*"&amp;$AD$3&amp;"*",
  unit_details[Leased Date], "&gt;=" &amp; ($U$2 - $AF$3)
),0)</f>
        <v>0</v>
      </c>
      <c r="AI499" s="528"/>
      <c r="AJ499" s="531">
        <f t="shared" ca="1" si="22"/>
        <v>0</v>
      </c>
      <c r="AK499" s="532">
        <f t="shared" ca="1" si="23"/>
        <v>0</v>
      </c>
    </row>
    <row r="500" spans="10:37" x14ac:dyDescent="0.2">
      <c r="J500" s="293"/>
      <c r="N500" s="531" t="str" cm="1">
        <f t="array" aca="1" ref="N500"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0" s="552" t="str" cm="1">
        <f t="array" aca="1" ref="O500"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0" s="526" cm="1">
        <f t="array" aca="1" ref="P500" ca="1">COUNTIFS(unit_details[Leased Date], "&gt;=" &amp; ($U$2 - N$5),
          unit_details[Leased Date], "&lt;" &amp; $U$2,
          unit_details[Floorplan Name], INDIRECT("C"&amp;ROW()),
          unit_details[Property Name], INDIRECT("B"&amp;ROW()))</f>
        <v>0</v>
      </c>
      <c r="Q500" s="531" t="str" cm="1">
        <f t="array" aca="1" ref="Q500"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0" s="552" t="str" cm="1">
        <f t="array" aca="1" ref="R500"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0" s="526" cm="1">
        <f t="array" aca="1" ref="S500" ca="1">COUNTIFS(unit_details[Leased Date], "&gt;=" &amp; ($U$2 - Q$5),
          unit_details[Leased Date], "&lt;" &amp; $U$2,
          unit_details[Floorplan Name], INDIRECT("C"&amp;ROW()),
          unit_details[Property Name], INDIRECT("B"&amp;ROW()))</f>
        <v>0</v>
      </c>
      <c r="T500" s="531" t="str" cm="1">
        <f t="array" aca="1" ref="T500"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0" s="552" t="str" cm="1">
        <f t="array" aca="1" ref="U500"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0" s="526" cm="1">
        <f t="array" aca="1" ref="V500" ca="1">COUNTIFS(unit_details[Leased Date], "&gt;=" &amp; ($U$2 - T$5),
          unit_details[Leased Date], "&lt;" &amp; $U$2,
          unit_details[Floorplan Name], INDIRECT("C"&amp;ROW()),
          unit_details[Property Name], INDIRECT("B"&amp;ROW()))</f>
        <v>0</v>
      </c>
      <c r="W500" s="531" t="str" cm="1">
        <f t="array" aca="1" ref="W500"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0" s="552" t="str" cm="1">
        <f t="array" aca="1" ref="X500"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0" s="27" t="str">
        <f t="shared" ca="1" si="21"/>
        <v/>
      </c>
      <c r="Z500" s="4" t="str">
        <f>IFERROR($U$2-AVERAGEIFS(unit_details[First Listed],
          unit_details[Active Listing?],TRUE,
          unit_details[Property Name], $B500,
          unit_details[Beds], $D500,
          unit_details[Baths], $E500,
          unit_details[Partial Baths], IF(ISNUMBER($F500),$F500,""),
          unit_details[Floorplan Name],$C500
),"")</f>
        <v/>
      </c>
      <c r="AA500" s="262" cm="1">
        <f t="array" aca="1" ref="AA500" ca="1">COUNTIFS(unit_details[Active Listing?],TRUE,
          unit_details[Floorplan Name], INDIRECT("C"&amp;ROW()),
          unit_details[Property Name], INDIRECT("B"&amp;ROW()))</f>
        <v>0</v>
      </c>
      <c r="AB500" s="553"/>
      <c r="AC500" s="528" cm="1">
        <f t="array" aca="1" ref="AC500" ca="1">IFERROR(AVERAGEIFS(
  unit_details[Sqft],
  unit_details[Property Name], INDIRECT("B"&amp;ROW()),
  unit_details[Floorplan Name], INDIRECT("C"&amp;ROW()),
  unit_details[Beds], INDIRECT("D"&amp;ROW()),
  unit_details[Detected Unit Amenities], "*"&amp;$AD$3&amp;"*",
  unit_details[Leased Date], "&gt;=" &amp; ($U$2 - $AF$3)
),0)</f>
        <v>0</v>
      </c>
      <c r="AD500" s="527" cm="1">
        <f t="array" aca="1" ref="AD5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0" s="526" cm="1">
        <f t="array" aca="1" ref="AE500" ca="1">IFERROR(COUNTIFS(
  unit_details[Property Name], INDIRECT("B"&amp;ROW()),
  unit_details[Floorplan Name], INDIRECT("C"&amp;ROW()),
  unit_details[Beds], INDIRECT("D"&amp;ROW()),
  unit_details[Detected Unit Amenities], "*"&amp;$AD$3&amp;"*",
  unit_details[Leased Date], "&gt;=" &amp; ($U$2 - $AF$3)
),0)</f>
        <v>0</v>
      </c>
      <c r="AF500" s="528" cm="1">
        <f t="array" aca="1" ref="AF500" ca="1">IFERROR(AVERAGEIFS(
  unit_details[Sqft],
  unit_details[Property Name], INDIRECT("B"&amp;ROW()),
  unit_details[Floorplan Name], INDIRECT("C"&amp;ROW()),
  unit_details[Beds], INDIRECT("D"&amp;ROW()),
  unit_details[Detected Unit Amenities], "&lt;&gt;*"&amp;$AD$3&amp;"*",
  unit_details[Leased Date], "&gt;=" &amp; ($U$2 - $AF$3)
),0)</f>
        <v>0</v>
      </c>
      <c r="AG500" s="527" cm="1">
        <f t="array" aca="1" ref="AG500"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0" s="526" cm="1">
        <f t="array" aca="1" ref="AH500" ca="1">IFERROR(COUNTIFS(
  unit_details[Property Name], INDIRECT("B"&amp;ROW()),
  unit_details[Floorplan Name], INDIRECT("C"&amp;ROW()),
  unit_details[Beds], INDIRECT("D"&amp;ROW()),
  unit_details[Detected Unit Amenities], "&lt;&gt;*"&amp;$AD$3&amp;"*",
  unit_details[Leased Date], "&gt;=" &amp; ($U$2 - $AF$3)
),0)</f>
        <v>0</v>
      </c>
      <c r="AI500" s="528"/>
      <c r="AJ500" s="531">
        <f t="shared" ca="1" si="22"/>
        <v>0</v>
      </c>
      <c r="AK500" s="532">
        <f t="shared" ca="1" si="23"/>
        <v>0</v>
      </c>
    </row>
    <row r="501" spans="10:37" x14ac:dyDescent="0.2">
      <c r="J501" s="293"/>
      <c r="N501" s="531" t="str" cm="1">
        <f t="array" aca="1" ref="N501"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1" s="552" t="str" cm="1">
        <f t="array" aca="1" ref="O501"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1" s="526" cm="1">
        <f t="array" aca="1" ref="P501" ca="1">COUNTIFS(unit_details[Leased Date], "&gt;=" &amp; ($U$2 - N$5),
          unit_details[Leased Date], "&lt;" &amp; $U$2,
          unit_details[Floorplan Name], INDIRECT("C"&amp;ROW()),
          unit_details[Property Name], INDIRECT("B"&amp;ROW()))</f>
        <v>0</v>
      </c>
      <c r="Q501" s="531" t="str" cm="1">
        <f t="array" aca="1" ref="Q501"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1" s="552" t="str" cm="1">
        <f t="array" aca="1" ref="R501"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1" s="526" cm="1">
        <f t="array" aca="1" ref="S501" ca="1">COUNTIFS(unit_details[Leased Date], "&gt;=" &amp; ($U$2 - Q$5),
          unit_details[Leased Date], "&lt;" &amp; $U$2,
          unit_details[Floorplan Name], INDIRECT("C"&amp;ROW()),
          unit_details[Property Name], INDIRECT("B"&amp;ROW()))</f>
        <v>0</v>
      </c>
      <c r="T501" s="531" t="str" cm="1">
        <f t="array" aca="1" ref="T501"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1" s="552" t="str" cm="1">
        <f t="array" aca="1" ref="U501"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1" s="526" cm="1">
        <f t="array" aca="1" ref="V501" ca="1">COUNTIFS(unit_details[Leased Date], "&gt;=" &amp; ($U$2 - T$5),
          unit_details[Leased Date], "&lt;" &amp; $U$2,
          unit_details[Floorplan Name], INDIRECT("C"&amp;ROW()),
          unit_details[Property Name], INDIRECT("B"&amp;ROW()))</f>
        <v>0</v>
      </c>
      <c r="W501" s="531" t="str" cm="1">
        <f t="array" aca="1" ref="W501"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1" s="552" t="str" cm="1">
        <f t="array" aca="1" ref="X501"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1" s="27" t="str">
        <f t="shared" ca="1" si="21"/>
        <v/>
      </c>
      <c r="Z501" s="4" t="str">
        <f>IFERROR($U$2-AVERAGEIFS(unit_details[First Listed],
          unit_details[Active Listing?],TRUE,
          unit_details[Property Name], $B501,
          unit_details[Beds], $D501,
          unit_details[Baths], $E501,
          unit_details[Partial Baths], IF(ISNUMBER($F501),$F501,""),
          unit_details[Floorplan Name],$C501
),"")</f>
        <v/>
      </c>
      <c r="AA501" s="262" cm="1">
        <f t="array" aca="1" ref="AA501" ca="1">COUNTIFS(unit_details[Active Listing?],TRUE,
          unit_details[Floorplan Name], INDIRECT("C"&amp;ROW()),
          unit_details[Property Name], INDIRECT("B"&amp;ROW()))</f>
        <v>0</v>
      </c>
      <c r="AB501" s="553"/>
      <c r="AC501" s="528" cm="1">
        <f t="array" aca="1" ref="AC501" ca="1">IFERROR(AVERAGEIFS(
  unit_details[Sqft],
  unit_details[Property Name], INDIRECT("B"&amp;ROW()),
  unit_details[Floorplan Name], INDIRECT("C"&amp;ROW()),
  unit_details[Beds], INDIRECT("D"&amp;ROW()),
  unit_details[Detected Unit Amenities], "*"&amp;$AD$3&amp;"*",
  unit_details[Leased Date], "&gt;=" &amp; ($U$2 - $AF$3)
),0)</f>
        <v>0</v>
      </c>
      <c r="AD501" s="527" cm="1">
        <f t="array" aca="1" ref="AD5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1" s="526" cm="1">
        <f t="array" aca="1" ref="AE501" ca="1">IFERROR(COUNTIFS(
  unit_details[Property Name], INDIRECT("B"&amp;ROW()),
  unit_details[Floorplan Name], INDIRECT("C"&amp;ROW()),
  unit_details[Beds], INDIRECT("D"&amp;ROW()),
  unit_details[Detected Unit Amenities], "*"&amp;$AD$3&amp;"*",
  unit_details[Leased Date], "&gt;=" &amp; ($U$2 - $AF$3)
),0)</f>
        <v>0</v>
      </c>
      <c r="AF501" s="528" cm="1">
        <f t="array" aca="1" ref="AF501" ca="1">IFERROR(AVERAGEIFS(
  unit_details[Sqft],
  unit_details[Property Name], INDIRECT("B"&amp;ROW()),
  unit_details[Floorplan Name], INDIRECT("C"&amp;ROW()),
  unit_details[Beds], INDIRECT("D"&amp;ROW()),
  unit_details[Detected Unit Amenities], "&lt;&gt;*"&amp;$AD$3&amp;"*",
  unit_details[Leased Date], "&gt;=" &amp; ($U$2 - $AF$3)
),0)</f>
        <v>0</v>
      </c>
      <c r="AG501" s="527" cm="1">
        <f t="array" aca="1" ref="AG501"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1" s="526" cm="1">
        <f t="array" aca="1" ref="AH501" ca="1">IFERROR(COUNTIFS(
  unit_details[Property Name], INDIRECT("B"&amp;ROW()),
  unit_details[Floorplan Name], INDIRECT("C"&amp;ROW()),
  unit_details[Beds], INDIRECT("D"&amp;ROW()),
  unit_details[Detected Unit Amenities], "&lt;&gt;*"&amp;$AD$3&amp;"*",
  unit_details[Leased Date], "&gt;=" &amp; ($U$2 - $AF$3)
),0)</f>
        <v>0</v>
      </c>
      <c r="AI501" s="528"/>
      <c r="AJ501" s="531">
        <f t="shared" ca="1" si="22"/>
        <v>0</v>
      </c>
      <c r="AK501" s="532">
        <f t="shared" ca="1" si="23"/>
        <v>0</v>
      </c>
    </row>
    <row r="502" spans="10:37" x14ac:dyDescent="0.2">
      <c r="J502" s="293"/>
      <c r="N502" s="531" t="str" cm="1">
        <f t="array" aca="1" ref="N502"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2" s="552" t="str" cm="1">
        <f t="array" aca="1" ref="O502"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2" s="526" cm="1">
        <f t="array" aca="1" ref="P502" ca="1">COUNTIFS(unit_details[Leased Date], "&gt;=" &amp; ($U$2 - N$5),
          unit_details[Leased Date], "&lt;" &amp; $U$2,
          unit_details[Floorplan Name], INDIRECT("C"&amp;ROW()),
          unit_details[Property Name], INDIRECT("B"&amp;ROW()))</f>
        <v>0</v>
      </c>
      <c r="Q502" s="531" t="str" cm="1">
        <f t="array" aca="1" ref="Q502"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2" s="552" t="str" cm="1">
        <f t="array" aca="1" ref="R502"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2" s="526" cm="1">
        <f t="array" aca="1" ref="S502" ca="1">COUNTIFS(unit_details[Leased Date], "&gt;=" &amp; ($U$2 - Q$5),
          unit_details[Leased Date], "&lt;" &amp; $U$2,
          unit_details[Floorplan Name], INDIRECT("C"&amp;ROW()),
          unit_details[Property Name], INDIRECT("B"&amp;ROW()))</f>
        <v>0</v>
      </c>
      <c r="T502" s="531" t="str" cm="1">
        <f t="array" aca="1" ref="T502"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2" s="552" t="str" cm="1">
        <f t="array" aca="1" ref="U502"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2" s="526" cm="1">
        <f t="array" aca="1" ref="V502" ca="1">COUNTIFS(unit_details[Leased Date], "&gt;=" &amp; ($U$2 - T$5),
          unit_details[Leased Date], "&lt;" &amp; $U$2,
          unit_details[Floorplan Name], INDIRECT("C"&amp;ROW()),
          unit_details[Property Name], INDIRECT("B"&amp;ROW()))</f>
        <v>0</v>
      </c>
      <c r="W502" s="531" t="str" cm="1">
        <f t="array" aca="1" ref="W502"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2" s="552" t="str" cm="1">
        <f t="array" aca="1" ref="X502"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2" s="27" t="str">
        <f t="shared" ca="1" si="21"/>
        <v/>
      </c>
      <c r="Z502" s="4" t="str">
        <f>IFERROR($U$2-AVERAGEIFS(unit_details[First Listed],
          unit_details[Active Listing?],TRUE,
          unit_details[Property Name], $B502,
          unit_details[Beds], $D502,
          unit_details[Baths], $E502,
          unit_details[Partial Baths], IF(ISNUMBER($F502),$F502,""),
          unit_details[Floorplan Name],$C502
),"")</f>
        <v/>
      </c>
      <c r="AA502" s="262" cm="1">
        <f t="array" aca="1" ref="AA502" ca="1">COUNTIFS(unit_details[Active Listing?],TRUE,
          unit_details[Floorplan Name], INDIRECT("C"&amp;ROW()),
          unit_details[Property Name], INDIRECT("B"&amp;ROW()))</f>
        <v>0</v>
      </c>
      <c r="AB502" s="553"/>
      <c r="AC502" s="528" cm="1">
        <f t="array" aca="1" ref="AC502" ca="1">IFERROR(AVERAGEIFS(
  unit_details[Sqft],
  unit_details[Property Name], INDIRECT("B"&amp;ROW()),
  unit_details[Floorplan Name], INDIRECT("C"&amp;ROW()),
  unit_details[Beds], INDIRECT("D"&amp;ROW()),
  unit_details[Detected Unit Amenities], "*"&amp;$AD$3&amp;"*",
  unit_details[Leased Date], "&gt;=" &amp; ($U$2 - $AF$3)
),0)</f>
        <v>0</v>
      </c>
      <c r="AD502" s="527" cm="1">
        <f t="array" aca="1" ref="AD5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2" s="526" cm="1">
        <f t="array" aca="1" ref="AE502" ca="1">IFERROR(COUNTIFS(
  unit_details[Property Name], INDIRECT("B"&amp;ROW()),
  unit_details[Floorplan Name], INDIRECT("C"&amp;ROW()),
  unit_details[Beds], INDIRECT("D"&amp;ROW()),
  unit_details[Detected Unit Amenities], "*"&amp;$AD$3&amp;"*",
  unit_details[Leased Date], "&gt;=" &amp; ($U$2 - $AF$3)
),0)</f>
        <v>0</v>
      </c>
      <c r="AF502" s="528" cm="1">
        <f t="array" aca="1" ref="AF502" ca="1">IFERROR(AVERAGEIFS(
  unit_details[Sqft],
  unit_details[Property Name], INDIRECT("B"&amp;ROW()),
  unit_details[Floorplan Name], INDIRECT("C"&amp;ROW()),
  unit_details[Beds], INDIRECT("D"&amp;ROW()),
  unit_details[Detected Unit Amenities], "&lt;&gt;*"&amp;$AD$3&amp;"*",
  unit_details[Leased Date], "&gt;=" &amp; ($U$2 - $AF$3)
),0)</f>
        <v>0</v>
      </c>
      <c r="AG502" s="527" cm="1">
        <f t="array" aca="1" ref="AG502"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2" s="526" cm="1">
        <f t="array" aca="1" ref="AH502" ca="1">IFERROR(COUNTIFS(
  unit_details[Property Name], INDIRECT("B"&amp;ROW()),
  unit_details[Floorplan Name], INDIRECT("C"&amp;ROW()),
  unit_details[Beds], INDIRECT("D"&amp;ROW()),
  unit_details[Detected Unit Amenities], "&lt;&gt;*"&amp;$AD$3&amp;"*",
  unit_details[Leased Date], "&gt;=" &amp; ($U$2 - $AF$3)
),0)</f>
        <v>0</v>
      </c>
      <c r="AI502" s="528"/>
      <c r="AJ502" s="531">
        <f t="shared" ca="1" si="22"/>
        <v>0</v>
      </c>
      <c r="AK502" s="532">
        <f t="shared" ca="1" si="23"/>
        <v>0</v>
      </c>
    </row>
    <row r="503" spans="10:37" x14ac:dyDescent="0.2">
      <c r="J503" s="293"/>
      <c r="N503" s="531" t="str" cm="1">
        <f t="array" aca="1" ref="N503"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3" s="552" t="str" cm="1">
        <f t="array" aca="1" ref="O503"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3" s="526" cm="1">
        <f t="array" aca="1" ref="P503" ca="1">COUNTIFS(unit_details[Leased Date], "&gt;=" &amp; ($U$2 - N$5),
          unit_details[Leased Date], "&lt;" &amp; $U$2,
          unit_details[Floorplan Name], INDIRECT("C"&amp;ROW()),
          unit_details[Property Name], INDIRECT("B"&amp;ROW()))</f>
        <v>0</v>
      </c>
      <c r="Q503" s="531" t="str" cm="1">
        <f t="array" aca="1" ref="Q503"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3" s="552" t="str" cm="1">
        <f t="array" aca="1" ref="R503"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3" s="526" cm="1">
        <f t="array" aca="1" ref="S503" ca="1">COUNTIFS(unit_details[Leased Date], "&gt;=" &amp; ($U$2 - Q$5),
          unit_details[Leased Date], "&lt;" &amp; $U$2,
          unit_details[Floorplan Name], INDIRECT("C"&amp;ROW()),
          unit_details[Property Name], INDIRECT("B"&amp;ROW()))</f>
        <v>0</v>
      </c>
      <c r="T503" s="531" t="str" cm="1">
        <f t="array" aca="1" ref="T503"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3" s="552" t="str" cm="1">
        <f t="array" aca="1" ref="U503"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3" s="526" cm="1">
        <f t="array" aca="1" ref="V503" ca="1">COUNTIFS(unit_details[Leased Date], "&gt;=" &amp; ($U$2 - T$5),
          unit_details[Leased Date], "&lt;" &amp; $U$2,
          unit_details[Floorplan Name], INDIRECT("C"&amp;ROW()),
          unit_details[Property Name], INDIRECT("B"&amp;ROW()))</f>
        <v>0</v>
      </c>
      <c r="W503" s="531" t="str" cm="1">
        <f t="array" aca="1" ref="W503"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3" s="552" t="str" cm="1">
        <f t="array" aca="1" ref="X503"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3" s="27" t="str">
        <f t="shared" ca="1" si="21"/>
        <v/>
      </c>
      <c r="Z503" s="4" t="str">
        <f>IFERROR($U$2-AVERAGEIFS(unit_details[First Listed],
          unit_details[Active Listing?],TRUE,
          unit_details[Property Name], $B503,
          unit_details[Beds], $D503,
          unit_details[Baths], $E503,
          unit_details[Partial Baths], IF(ISNUMBER($F503),$F503,""),
          unit_details[Floorplan Name],$C503
),"")</f>
        <v/>
      </c>
      <c r="AA503" s="262" cm="1">
        <f t="array" aca="1" ref="AA503" ca="1">COUNTIFS(unit_details[Active Listing?],TRUE,
          unit_details[Floorplan Name], INDIRECT("C"&amp;ROW()),
          unit_details[Property Name], INDIRECT("B"&amp;ROW()))</f>
        <v>0</v>
      </c>
      <c r="AB503" s="553"/>
      <c r="AC503" s="528" cm="1">
        <f t="array" aca="1" ref="AC503" ca="1">IFERROR(AVERAGEIFS(
  unit_details[Sqft],
  unit_details[Property Name], INDIRECT("B"&amp;ROW()),
  unit_details[Floorplan Name], INDIRECT("C"&amp;ROW()),
  unit_details[Beds], INDIRECT("D"&amp;ROW()),
  unit_details[Detected Unit Amenities], "*"&amp;$AD$3&amp;"*",
  unit_details[Leased Date], "&gt;=" &amp; ($U$2 - $AF$3)
),0)</f>
        <v>0</v>
      </c>
      <c r="AD503" s="527" cm="1">
        <f t="array" aca="1" ref="AD5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3" s="526" cm="1">
        <f t="array" aca="1" ref="AE503" ca="1">IFERROR(COUNTIFS(
  unit_details[Property Name], INDIRECT("B"&amp;ROW()),
  unit_details[Floorplan Name], INDIRECT("C"&amp;ROW()),
  unit_details[Beds], INDIRECT("D"&amp;ROW()),
  unit_details[Detected Unit Amenities], "*"&amp;$AD$3&amp;"*",
  unit_details[Leased Date], "&gt;=" &amp; ($U$2 - $AF$3)
),0)</f>
        <v>0</v>
      </c>
      <c r="AF503" s="528" cm="1">
        <f t="array" aca="1" ref="AF503" ca="1">IFERROR(AVERAGEIFS(
  unit_details[Sqft],
  unit_details[Property Name], INDIRECT("B"&amp;ROW()),
  unit_details[Floorplan Name], INDIRECT("C"&amp;ROW()),
  unit_details[Beds], INDIRECT("D"&amp;ROW()),
  unit_details[Detected Unit Amenities], "&lt;&gt;*"&amp;$AD$3&amp;"*",
  unit_details[Leased Date], "&gt;=" &amp; ($U$2 - $AF$3)
),0)</f>
        <v>0</v>
      </c>
      <c r="AG503" s="527" cm="1">
        <f t="array" aca="1" ref="AG503"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3" s="526" cm="1">
        <f t="array" aca="1" ref="AH503" ca="1">IFERROR(COUNTIFS(
  unit_details[Property Name], INDIRECT("B"&amp;ROW()),
  unit_details[Floorplan Name], INDIRECT("C"&amp;ROW()),
  unit_details[Beds], INDIRECT("D"&amp;ROW()),
  unit_details[Detected Unit Amenities], "&lt;&gt;*"&amp;$AD$3&amp;"*",
  unit_details[Leased Date], "&gt;=" &amp; ($U$2 - $AF$3)
),0)</f>
        <v>0</v>
      </c>
      <c r="AI503" s="528"/>
      <c r="AJ503" s="531">
        <f t="shared" ca="1" si="22"/>
        <v>0</v>
      </c>
      <c r="AK503" s="532">
        <f t="shared" ca="1" si="23"/>
        <v>0</v>
      </c>
    </row>
    <row r="504" spans="10:37" x14ac:dyDescent="0.2">
      <c r="J504" s="293"/>
      <c r="N504" s="531" t="str" cm="1">
        <f t="array" aca="1" ref="N504"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4" s="552" t="str" cm="1">
        <f t="array" aca="1" ref="O504"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4" s="526" cm="1">
        <f t="array" aca="1" ref="P504" ca="1">COUNTIFS(unit_details[Leased Date], "&gt;=" &amp; ($U$2 - N$5),
          unit_details[Leased Date], "&lt;" &amp; $U$2,
          unit_details[Floorplan Name], INDIRECT("C"&amp;ROW()),
          unit_details[Property Name], INDIRECT("B"&amp;ROW()))</f>
        <v>0</v>
      </c>
      <c r="Q504" s="531" t="str" cm="1">
        <f t="array" aca="1" ref="Q504"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4" s="552" t="str" cm="1">
        <f t="array" aca="1" ref="R504"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4" s="526" cm="1">
        <f t="array" aca="1" ref="S504" ca="1">COUNTIFS(unit_details[Leased Date], "&gt;=" &amp; ($U$2 - Q$5),
          unit_details[Leased Date], "&lt;" &amp; $U$2,
          unit_details[Floorplan Name], INDIRECT("C"&amp;ROW()),
          unit_details[Property Name], INDIRECT("B"&amp;ROW()))</f>
        <v>0</v>
      </c>
      <c r="T504" s="531" t="str" cm="1">
        <f t="array" aca="1" ref="T504"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4" s="552" t="str" cm="1">
        <f t="array" aca="1" ref="U504"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4" s="526" cm="1">
        <f t="array" aca="1" ref="V504" ca="1">COUNTIFS(unit_details[Leased Date], "&gt;=" &amp; ($U$2 - T$5),
          unit_details[Leased Date], "&lt;" &amp; $U$2,
          unit_details[Floorplan Name], INDIRECT("C"&amp;ROW()),
          unit_details[Property Name], INDIRECT("B"&amp;ROW()))</f>
        <v>0</v>
      </c>
      <c r="W504" s="531" t="str" cm="1">
        <f t="array" aca="1" ref="W504"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4" s="552" t="str" cm="1">
        <f t="array" aca="1" ref="X504"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4" s="27" t="str">
        <f t="shared" ca="1" si="21"/>
        <v/>
      </c>
      <c r="Z504" s="4" t="str">
        <f>IFERROR($U$2-AVERAGEIFS(unit_details[First Listed],
          unit_details[Active Listing?],TRUE,
          unit_details[Property Name], $B504,
          unit_details[Beds], $D504,
          unit_details[Baths], $E504,
          unit_details[Partial Baths], IF(ISNUMBER($F504),$F504,""),
          unit_details[Floorplan Name],$C504
),"")</f>
        <v/>
      </c>
      <c r="AA504" s="262" cm="1">
        <f t="array" aca="1" ref="AA504" ca="1">COUNTIFS(unit_details[Active Listing?],TRUE,
          unit_details[Floorplan Name], INDIRECT("C"&amp;ROW()),
          unit_details[Property Name], INDIRECT("B"&amp;ROW()))</f>
        <v>0</v>
      </c>
      <c r="AB504" s="553"/>
      <c r="AC504" s="528" cm="1">
        <f t="array" aca="1" ref="AC504" ca="1">IFERROR(AVERAGEIFS(
  unit_details[Sqft],
  unit_details[Property Name], INDIRECT("B"&amp;ROW()),
  unit_details[Floorplan Name], INDIRECT("C"&amp;ROW()),
  unit_details[Beds], INDIRECT("D"&amp;ROW()),
  unit_details[Detected Unit Amenities], "*"&amp;$AD$3&amp;"*",
  unit_details[Leased Date], "&gt;=" &amp; ($U$2 - $AF$3)
),0)</f>
        <v>0</v>
      </c>
      <c r="AD504" s="527" cm="1">
        <f t="array" aca="1" ref="AD5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4" s="526" cm="1">
        <f t="array" aca="1" ref="AE504" ca="1">IFERROR(COUNTIFS(
  unit_details[Property Name], INDIRECT("B"&amp;ROW()),
  unit_details[Floorplan Name], INDIRECT("C"&amp;ROW()),
  unit_details[Beds], INDIRECT("D"&amp;ROW()),
  unit_details[Detected Unit Amenities], "*"&amp;$AD$3&amp;"*",
  unit_details[Leased Date], "&gt;=" &amp; ($U$2 - $AF$3)
),0)</f>
        <v>0</v>
      </c>
      <c r="AF504" s="528" cm="1">
        <f t="array" aca="1" ref="AF504" ca="1">IFERROR(AVERAGEIFS(
  unit_details[Sqft],
  unit_details[Property Name], INDIRECT("B"&amp;ROW()),
  unit_details[Floorplan Name], INDIRECT("C"&amp;ROW()),
  unit_details[Beds], INDIRECT("D"&amp;ROW()),
  unit_details[Detected Unit Amenities], "&lt;&gt;*"&amp;$AD$3&amp;"*",
  unit_details[Leased Date], "&gt;=" &amp; ($U$2 - $AF$3)
),0)</f>
        <v>0</v>
      </c>
      <c r="AG504" s="527" cm="1">
        <f t="array" aca="1" ref="AG504"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4" s="526" cm="1">
        <f t="array" aca="1" ref="AH504" ca="1">IFERROR(COUNTIFS(
  unit_details[Property Name], INDIRECT("B"&amp;ROW()),
  unit_details[Floorplan Name], INDIRECT("C"&amp;ROW()),
  unit_details[Beds], INDIRECT("D"&amp;ROW()),
  unit_details[Detected Unit Amenities], "&lt;&gt;*"&amp;$AD$3&amp;"*",
  unit_details[Leased Date], "&gt;=" &amp; ($U$2 - $AF$3)
),0)</f>
        <v>0</v>
      </c>
      <c r="AI504" s="528"/>
      <c r="AJ504" s="531">
        <f t="shared" ca="1" si="22"/>
        <v>0</v>
      </c>
      <c r="AK504" s="532">
        <f t="shared" ca="1" si="23"/>
        <v>0</v>
      </c>
    </row>
    <row r="505" spans="10:37" x14ac:dyDescent="0.2">
      <c r="J505" s="293"/>
      <c r="N505" s="531" t="str" cm="1">
        <f t="array" aca="1" ref="N505"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5" s="552" t="str" cm="1">
        <f t="array" aca="1" ref="O505"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5" s="526" cm="1">
        <f t="array" aca="1" ref="P505" ca="1">COUNTIFS(unit_details[Leased Date], "&gt;=" &amp; ($U$2 - N$5),
          unit_details[Leased Date], "&lt;" &amp; $U$2,
          unit_details[Floorplan Name], INDIRECT("C"&amp;ROW()),
          unit_details[Property Name], INDIRECT("B"&amp;ROW()))</f>
        <v>0</v>
      </c>
      <c r="Q505" s="531" t="str" cm="1">
        <f t="array" aca="1" ref="Q505"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5" s="552" t="str" cm="1">
        <f t="array" aca="1" ref="R505"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5" s="526" cm="1">
        <f t="array" aca="1" ref="S505" ca="1">COUNTIFS(unit_details[Leased Date], "&gt;=" &amp; ($U$2 - Q$5),
          unit_details[Leased Date], "&lt;" &amp; $U$2,
          unit_details[Floorplan Name], INDIRECT("C"&amp;ROW()),
          unit_details[Property Name], INDIRECT("B"&amp;ROW()))</f>
        <v>0</v>
      </c>
      <c r="T505" s="531" t="str" cm="1">
        <f t="array" aca="1" ref="T505"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5" s="552" t="str" cm="1">
        <f t="array" aca="1" ref="U505"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5" s="526" cm="1">
        <f t="array" aca="1" ref="V505" ca="1">COUNTIFS(unit_details[Leased Date], "&gt;=" &amp; ($U$2 - T$5),
          unit_details[Leased Date], "&lt;" &amp; $U$2,
          unit_details[Floorplan Name], INDIRECT("C"&amp;ROW()),
          unit_details[Property Name], INDIRECT("B"&amp;ROW()))</f>
        <v>0</v>
      </c>
      <c r="W505" s="531" t="str" cm="1">
        <f t="array" aca="1" ref="W505"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5" s="552" t="str" cm="1">
        <f t="array" aca="1" ref="X505"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5" s="27" t="str">
        <f t="shared" ca="1" si="21"/>
        <v/>
      </c>
      <c r="Z505" s="4" t="str">
        <f>IFERROR($U$2-AVERAGEIFS(unit_details[First Listed],
          unit_details[Active Listing?],TRUE,
          unit_details[Property Name], $B505,
          unit_details[Beds], $D505,
          unit_details[Baths], $E505,
          unit_details[Partial Baths], IF(ISNUMBER($F505),$F505,""),
          unit_details[Floorplan Name],$C505
),"")</f>
        <v/>
      </c>
      <c r="AA505" s="262" cm="1">
        <f t="array" aca="1" ref="AA505" ca="1">COUNTIFS(unit_details[Active Listing?],TRUE,
          unit_details[Floorplan Name], INDIRECT("C"&amp;ROW()),
          unit_details[Property Name], INDIRECT("B"&amp;ROW()))</f>
        <v>0</v>
      </c>
      <c r="AB505" s="553"/>
      <c r="AC505" s="528" cm="1">
        <f t="array" aca="1" ref="AC505" ca="1">IFERROR(AVERAGEIFS(
  unit_details[Sqft],
  unit_details[Property Name], INDIRECT("B"&amp;ROW()),
  unit_details[Floorplan Name], INDIRECT("C"&amp;ROW()),
  unit_details[Beds], INDIRECT("D"&amp;ROW()),
  unit_details[Detected Unit Amenities], "*"&amp;$AD$3&amp;"*",
  unit_details[Leased Date], "&gt;=" &amp; ($U$2 - $AF$3)
),0)</f>
        <v>0</v>
      </c>
      <c r="AD505" s="527" cm="1">
        <f t="array" aca="1" ref="AD5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5" s="526" cm="1">
        <f t="array" aca="1" ref="AE505" ca="1">IFERROR(COUNTIFS(
  unit_details[Property Name], INDIRECT("B"&amp;ROW()),
  unit_details[Floorplan Name], INDIRECT("C"&amp;ROW()),
  unit_details[Beds], INDIRECT("D"&amp;ROW()),
  unit_details[Detected Unit Amenities], "*"&amp;$AD$3&amp;"*",
  unit_details[Leased Date], "&gt;=" &amp; ($U$2 - $AF$3)
),0)</f>
        <v>0</v>
      </c>
      <c r="AF505" s="528" cm="1">
        <f t="array" aca="1" ref="AF505" ca="1">IFERROR(AVERAGEIFS(
  unit_details[Sqft],
  unit_details[Property Name], INDIRECT("B"&amp;ROW()),
  unit_details[Floorplan Name], INDIRECT("C"&amp;ROW()),
  unit_details[Beds], INDIRECT("D"&amp;ROW()),
  unit_details[Detected Unit Amenities], "&lt;&gt;*"&amp;$AD$3&amp;"*",
  unit_details[Leased Date], "&gt;=" &amp; ($U$2 - $AF$3)
),0)</f>
        <v>0</v>
      </c>
      <c r="AG505" s="527" cm="1">
        <f t="array" aca="1" ref="AG505"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5" s="526" cm="1">
        <f t="array" aca="1" ref="AH505" ca="1">IFERROR(COUNTIFS(
  unit_details[Property Name], INDIRECT("B"&amp;ROW()),
  unit_details[Floorplan Name], INDIRECT("C"&amp;ROW()),
  unit_details[Beds], INDIRECT("D"&amp;ROW()),
  unit_details[Detected Unit Amenities], "&lt;&gt;*"&amp;$AD$3&amp;"*",
  unit_details[Leased Date], "&gt;=" &amp; ($U$2 - $AF$3)
),0)</f>
        <v>0</v>
      </c>
      <c r="AI505" s="528"/>
      <c r="AJ505" s="531">
        <f t="shared" ca="1" si="22"/>
        <v>0</v>
      </c>
      <c r="AK505" s="532">
        <f t="shared" ca="1" si="23"/>
        <v>0</v>
      </c>
    </row>
    <row r="506" spans="10:37" x14ac:dyDescent="0.2">
      <c r="J506" s="293"/>
      <c r="N506" s="531" t="str" cm="1">
        <f t="array" aca="1" ref="N506" ca="1">IFERROR(IF($O$3="Chunk Rent",
AVERAGEIFS(unit_details[Asking Rent],unit_details[Leased Date], "&gt;=" &amp; ($U$2 - N$5),
          unit_details[Leased Date], "&lt;" &amp; $U$2,
          unit_details[Floorplan Name], INDIRECT("C"&amp;ROW()),
          unit_details[Property Name], INDIRECT("B"&amp;ROW())),
AVERAGEIFS(unit_details[Asking PSF],unit_details[Leased Date], "&gt;=" &amp; ($U$2 - N$5),
          unit_details[Leased Date], "&lt;" &amp; $U$2,
          unit_details[Floorplan Name], INDIRECT("C"&amp;ROW()),
          unit_details[Property Name], INDIRECT("B"&amp;ROW()))),"")</f>
        <v/>
      </c>
      <c r="O506" s="552" t="str" cm="1">
        <f t="array" aca="1" ref="O506" ca="1">IFERROR(IF($O$3="Chunk Rent",
AVERAGEIFS(unit_details[Effective Rent],unit_details[Leased Date], "&gt;=" &amp; ($U$2 - N$5),
          unit_details[Leased Date], "&lt;" &amp; $U$2,
          unit_details[Floorplan Name], INDIRECT("C"&amp;ROW()),
          unit_details[Property Name], INDIRECT("B"&amp;ROW())),
AVERAGEIFS(unit_details[Effective PSF],unit_details[Leased Date], "&gt;=" &amp; ($U$2 - N$5),
          unit_details[Leased Date], "&lt;" &amp; $U$2,
          unit_details[Floorplan Name], INDIRECT("C"&amp;ROW()),
          unit_details[Property Name], INDIRECT("B"&amp;ROW()))),"")</f>
        <v/>
      </c>
      <c r="P506" s="526" cm="1">
        <f t="array" aca="1" ref="P506" ca="1">COUNTIFS(unit_details[Leased Date], "&gt;=" &amp; ($U$2 - N$5),
          unit_details[Leased Date], "&lt;" &amp; $U$2,
          unit_details[Floorplan Name], INDIRECT("C"&amp;ROW()),
          unit_details[Property Name], INDIRECT("B"&amp;ROW()))</f>
        <v>0</v>
      </c>
      <c r="Q506" s="531" t="str" cm="1">
        <f t="array" aca="1" ref="Q506" ca="1">IFERROR(IF($O$3="Chunk Rent",
AVERAGEIFS(unit_details[Asking Rent],unit_details[Leased Date], "&gt;=" &amp; ($U$2 - Q$5),
          unit_details[Leased Date], "&lt;" &amp; $U$2,
          unit_details[Floorplan Name], INDIRECT("C"&amp;ROW()),
          unit_details[Property Name], INDIRECT("B"&amp;ROW())),
AVERAGEIFS(unit_details[Asking PSF],unit_details[Leased Date], "&gt;=" &amp; ($U$2 - Q$5),
          unit_details[Leased Date], "&lt;" &amp; $U$2,
          unit_details[Floorplan Name], INDIRECT("C"&amp;ROW()),
          unit_details[Property Name], INDIRECT("B"&amp;ROW()))),"")</f>
        <v/>
      </c>
      <c r="R506" s="552" t="str" cm="1">
        <f t="array" aca="1" ref="R506" ca="1">IFERROR(IF($O$3="Chunk Rent",
AVERAGEIFS(unit_details[Effective Rent],unit_details[Leased Date], "&gt;=" &amp; ($U$2 - Q$5),
          unit_details[Leased Date], "&lt;" &amp; $U$2,
          unit_details[Floorplan Name], INDIRECT("C"&amp;ROW()),
          unit_details[Property Name], INDIRECT("B"&amp;ROW())),
AVERAGEIFS(unit_details[Effective PSF],unit_details[Leased Date], "&gt;=" &amp; ($U$2 - Q$5),
          unit_details[Leased Date], "&lt;" &amp; $U$2,
          unit_details[Floorplan Name], INDIRECT("C"&amp;ROW()),
          unit_details[Property Name], INDIRECT("B"&amp;ROW()))),"")</f>
        <v/>
      </c>
      <c r="S506" s="526" cm="1">
        <f t="array" aca="1" ref="S506" ca="1">COUNTIFS(unit_details[Leased Date], "&gt;=" &amp; ($U$2 - Q$5),
          unit_details[Leased Date], "&lt;" &amp; $U$2,
          unit_details[Floorplan Name], INDIRECT("C"&amp;ROW()),
          unit_details[Property Name], INDIRECT("B"&amp;ROW()))</f>
        <v>0</v>
      </c>
      <c r="T506" s="531" t="str" cm="1">
        <f t="array" aca="1" ref="T506" ca="1">IFERROR(IF($O$3="Chunk Rent",
AVERAGEIFS(unit_details[Asking Rent],unit_details[Leased Date], "&gt;=" &amp; ($U$2 - T$5),
          unit_details[Leased Date], "&lt;" &amp; $U$2,
          unit_details[Floorplan Name], INDIRECT("C"&amp;ROW()),
          unit_details[Property Name], INDIRECT("B"&amp;ROW())),
AVERAGEIFS(unit_details[Asking PSF],unit_details[Leased Date], "&gt;=" &amp; ($U$2 - T$5),
          unit_details[Leased Date], "&lt;" &amp; $U$2,
          unit_details[Floorplan Name], INDIRECT("C"&amp;ROW()),
          unit_details[Property Name], INDIRECT("B"&amp;ROW()))),"")</f>
        <v/>
      </c>
      <c r="U506" s="552" t="str" cm="1">
        <f t="array" aca="1" ref="U506" ca="1">IFERROR(IF($O$3="Chunk Rent",
AVERAGEIFS(unit_details[Effective Rent],unit_details[Leased Date], "&gt;=" &amp; ($U$2 - T$5),
          unit_details[Leased Date], "&lt;" &amp; $U$2,
          unit_details[Floorplan Name], INDIRECT("C"&amp;ROW()),
          unit_details[Property Name], INDIRECT("B"&amp;ROW())),
AVERAGEIFS(unit_details[Effective PSF],unit_details[Leased Date], "&gt;=" &amp; ($U$2 - T$5),
          unit_details[Leased Date], "&lt;" &amp; $U$2,
          unit_details[Floorplan Name], INDIRECT("C"&amp;ROW()),
          unit_details[Property Name], INDIRECT("B"&amp;ROW()))),"")</f>
        <v/>
      </c>
      <c r="V506" s="526" cm="1">
        <f t="array" aca="1" ref="V506" ca="1">COUNTIFS(unit_details[Leased Date], "&gt;=" &amp; ($U$2 - T$5),
          unit_details[Leased Date], "&lt;" &amp; $U$2,
          unit_details[Floorplan Name], INDIRECT("C"&amp;ROW()),
          unit_details[Property Name], INDIRECT("B"&amp;ROW()))</f>
        <v>0</v>
      </c>
      <c r="W506" s="531" t="str" cm="1">
        <f t="array" aca="1" ref="W506" ca="1">IFERROR(IF($O$3="Chunk Rent",
AVERAGEIFS(unit_details[Asking Rent],unit_details[Active Listing?],TRUE,
          unit_details[Floorplan Name], INDIRECT("C"&amp;ROW()),
          unit_details[Property Name], INDIRECT("B"&amp;ROW())),
AVERAGEIFS(unit_details[Asking PSF],unit_details[Active Listing?],TRUE,
          unit_details[Floorplan Name], INDIRECT("C"&amp;ROW()),
          unit_details[Property Name], INDIRECT("B"&amp;ROW()))),"")</f>
        <v/>
      </c>
      <c r="X506" s="552" t="str" cm="1">
        <f t="array" aca="1" ref="X506" ca="1">IFERROR(IF($O$3="Chunk Rent",
AVERAGEIFS(unit_details[Effective Rent],unit_details[Active Listing?],TRUE,
          unit_details[Floorplan Name], INDIRECT("C"&amp;ROW()),
          unit_details[Property Name], INDIRECT("B"&amp;ROW())),
AVERAGEIFS(unit_details[Effective PSF],unit_details[Active Listing?],TRUE,
          unit_details[Floorplan Name], INDIRECT("C"&amp;ROW()),
          unit_details[Property Name], INDIRECT("B"&amp;ROW()))),"")</f>
        <v/>
      </c>
      <c r="Y506" s="27" t="str">
        <f t="shared" ca="1" si="21"/>
        <v/>
      </c>
      <c r="Z506" s="4" t="str">
        <f>IFERROR($U$2-AVERAGEIFS(unit_details[First Listed],
          unit_details[Active Listing?],TRUE,
          unit_details[Property Name], $B506,
          unit_details[Beds], $D506,
          unit_details[Baths], $E506,
          unit_details[Partial Baths], IF(ISNUMBER($F506),$F506,""),
          unit_details[Floorplan Name],$C506
),"")</f>
        <v/>
      </c>
      <c r="AA506" s="262" cm="1">
        <f t="array" aca="1" ref="AA506" ca="1">COUNTIFS(unit_details[Active Listing?],TRUE,
          unit_details[Floorplan Name], INDIRECT("C"&amp;ROW()),
          unit_details[Property Name], INDIRECT("B"&amp;ROW()))</f>
        <v>0</v>
      </c>
      <c r="AB506" s="553"/>
      <c r="AC506" s="528" cm="1">
        <f t="array" aca="1" ref="AC506" ca="1">IFERROR(AVERAGEIFS(
  unit_details[Sqft],
  unit_details[Property Name], INDIRECT("B"&amp;ROW()),
  unit_details[Floorplan Name], INDIRECT("C"&amp;ROW()),
  unit_details[Beds], INDIRECT("D"&amp;ROW()),
  unit_details[Detected Unit Amenities], "*"&amp;$AD$3&amp;"*",
  unit_details[Leased Date], "&gt;=" &amp; ($U$2 - $AF$3)
),0)</f>
        <v>0</v>
      </c>
      <c r="AD506" s="527" cm="1">
        <f t="array" aca="1" ref="AD5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"*"&amp;$AD$3&amp;"*",
  unit_details[Leased Date], "&gt;=" &amp; ($U$2 - $AF$3)
),0)</f>
        <v>0</v>
      </c>
      <c r="AE506" s="526" cm="1">
        <f t="array" aca="1" ref="AE506" ca="1">IFERROR(COUNTIFS(
  unit_details[Property Name], INDIRECT("B"&amp;ROW()),
  unit_details[Floorplan Name], INDIRECT("C"&amp;ROW()),
  unit_details[Beds], INDIRECT("D"&amp;ROW()),
  unit_details[Detected Unit Amenities], "*"&amp;$AD$3&amp;"*",
  unit_details[Leased Date], "&gt;=" &amp; ($U$2 - $AF$3)
),0)</f>
        <v>0</v>
      </c>
      <c r="AF506" s="528" cm="1">
        <f t="array" aca="1" ref="AF506" ca="1">IFERROR(AVERAGEIFS(
  unit_details[Sqft],
  unit_details[Property Name], INDIRECT("B"&amp;ROW()),
  unit_details[Floorplan Name], INDIRECT("C"&amp;ROW()),
  unit_details[Beds], INDIRECT("D"&amp;ROW()),
  unit_details[Detected Unit Amenities], "&lt;&gt;*"&amp;$AD$3&amp;"*",
  unit_details[Leased Date], "&gt;=" &amp; ($U$2 - $AF$3)
),0)</f>
        <v>0</v>
      </c>
      <c r="AG506" s="527" cm="1">
        <f t="array" aca="1" ref="AG506" ca="1">IFERROR(AVERAGEIFS(
  IF($AH$3="Leased Rent",unit_details[Asking Rent],IF($AH$3="Effective Rent",unit_details[Effective Rent],IF($AH$3="Leased Rent PSF",unit_details[Asking PSF],unit_details[Effective PSF]))),
  unit_details[Property Name], INDIRECT("B"&amp;ROW()),
  unit_details[Floorplan Name], INDIRECT("C"&amp;ROW()),
  unit_details[Beds], INDIRECT("D"&amp;ROW()),
  unit_details[Detected Unit Amenities], "&lt;&gt;*"&amp;$AD$3&amp;"*",
  unit_details[Leased Date], "&gt;=" &amp; ($U$2 - $AF$3)
),0)</f>
        <v>0</v>
      </c>
      <c r="AH506" s="526" cm="1">
        <f t="array" aca="1" ref="AH506" ca="1">IFERROR(COUNTIFS(
  unit_details[Property Name], INDIRECT("B"&amp;ROW()),
  unit_details[Floorplan Name], INDIRECT("C"&amp;ROW()),
  unit_details[Beds], INDIRECT("D"&amp;ROW()),
  unit_details[Detected Unit Amenities], "&lt;&gt;*"&amp;$AD$3&amp;"*",
  unit_details[Leased Date], "&gt;=" &amp; ($U$2 - $AF$3)
),0)</f>
        <v>0</v>
      </c>
      <c r="AI506" s="528"/>
      <c r="AJ506" s="531">
        <f t="shared" ca="1" si="22"/>
        <v>0</v>
      </c>
      <c r="AK506" s="532">
        <f t="shared" ca="1" si="23"/>
        <v>0</v>
      </c>
    </row>
  </sheetData>
  <mergeCells count="6">
    <mergeCell ref="AF5:AH5"/>
    <mergeCell ref="J5:M5"/>
    <mergeCell ref="U2:V2"/>
    <mergeCell ref="AC5:AE5"/>
    <mergeCell ref="O3:P3"/>
    <mergeCell ref="W5:AA5"/>
  </mergeCells>
  <conditionalFormatting sqref="N7:O506">
    <cfRule type="cellIs" dxfId="2378" priority="6" operator="lessThan">
      <formula>20</formula>
    </cfRule>
  </conditionalFormatting>
  <conditionalFormatting sqref="Q7:R506">
    <cfRule type="cellIs" dxfId="2377" priority="3" operator="lessThan">
      <formula>20</formula>
    </cfRule>
  </conditionalFormatting>
  <conditionalFormatting sqref="T7:U506">
    <cfRule type="cellIs" dxfId="2376" priority="2" operator="lessThan">
      <formula>20</formula>
    </cfRule>
  </conditionalFormatting>
  <conditionalFormatting sqref="W7:X506">
    <cfRule type="cellIs" dxfId="2375" priority="7" operator="lessThan">
      <formula>20</formula>
    </cfRule>
  </conditionalFormatting>
  <conditionalFormatting sqref="AA7:AA506">
    <cfRule type="cellIs" dxfId="2374" priority="1" operator="equal">
      <formula>0</formula>
    </cfRule>
  </conditionalFormatting>
  <conditionalFormatting sqref="AD7:AD506 AG7:AG506">
    <cfRule type="cellIs" dxfId="2373" priority="10" operator="lessThan">
      <formula>20</formula>
    </cfRule>
  </conditionalFormatting>
  <conditionalFormatting sqref="AJ7:AK506">
    <cfRule type="cellIs" dxfId="2372" priority="8" operator="lessThan">
      <formula>0</formula>
    </cfRule>
    <cfRule type="cellIs" dxfId="2371" priority="9" operator="greaterThan">
      <formula>0</formula>
    </cfRule>
  </conditionalFormatting>
  <dataValidations count="3">
    <dataValidation type="list" allowBlank="1" showInputMessage="1" showErrorMessage="1" sqref="AD3" xr:uid="{00000000-0002-0000-0A00-000000000000}">
      <formula1>"[Select Amenity],Renovated,Corner_Unit,Balcony,View,Washer_Dryer,Walk_In_Closet"</formula1>
    </dataValidation>
    <dataValidation type="list" allowBlank="1" showInputMessage="1" showErrorMessage="1" sqref="AH3" xr:uid="{00000000-0002-0000-0A00-000001000000}">
      <formula1>"Leased Rent,Effective Rent,Leased Rent PSF,NER PSF"</formula1>
    </dataValidation>
    <dataValidation type="list" allowBlank="1" showInputMessage="1" showErrorMessage="1" sqref="O3" xr:uid="{00000000-0002-0000-0A00-000002000000}">
      <formula1>"Chunk Rent,Rent PSF"</formula1>
    </dataValidation>
  </dataValidations>
  <pageMargins left="0.25" right="0.25" top="0.75" bottom="0.75" header="0.3" footer="0.3"/>
  <pageSetup scale="41" fitToHeight="0" orientation="landscape" r:id="rId1"/>
  <headerFooter>
    <oddHeader>&amp;L&amp;"-,Bold"&amp;K4438CAMarket Analysis Report&amp;R&amp;"-,Bold"&amp;K4438CAAs of: &amp;D</oddHeader>
    <oddFooter>&amp;L&amp;"-,Bold"&amp;K4438CAHelloData.ai</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3DE6-91E9-4A4C-85C4-870FA4FBA055}">
  <sheetPr codeName="Sheet11">
    <pageSetUpPr fitToPage="1"/>
  </sheetPr>
  <dimension ref="B1:AD20"/>
  <sheetViews>
    <sheetView showGridLines="0" zoomScale="115" zoomScaleNormal="115" workbookViewId="0"/>
  </sheetViews>
  <sheetFormatPr baseColWidth="10" defaultColWidth="8.6640625" defaultRowHeight="14" outlineLevelRow="1" x14ac:dyDescent="0.2"/>
  <cols>
    <col min="1" max="1" width="2.5" style="1" customWidth="1"/>
    <col min="2" max="2" width="3.83203125" style="1" customWidth="1"/>
    <col min="3" max="3" width="20" style="3" customWidth="1"/>
    <col min="4" max="4" width="24.6640625" style="3" customWidth="1"/>
    <col min="5" max="26" width="7.83203125" style="3" customWidth="1"/>
    <col min="27" max="16384" width="8.6640625" style="1"/>
  </cols>
  <sheetData>
    <row r="1" spans="2:30" ht="8" customHeight="1" x14ac:dyDescent="0.2"/>
    <row r="2" spans="2:30" ht="133" customHeight="1" x14ac:dyDescent="0.2">
      <c r="C2" s="868" t="s">
        <v>441</v>
      </c>
      <c r="D2" s="869"/>
      <c r="E2" s="631" t="s">
        <v>496</v>
      </c>
      <c r="F2" s="630" t="s">
        <v>424</v>
      </c>
      <c r="G2" s="629"/>
      <c r="H2" s="629"/>
      <c r="I2" s="629"/>
      <c r="J2" s="629"/>
      <c r="K2" s="629"/>
      <c r="L2" s="629" t="s">
        <v>497</v>
      </c>
      <c r="M2" s="629"/>
      <c r="N2" s="629"/>
      <c r="O2" s="629"/>
      <c r="P2" s="629"/>
      <c r="Q2" s="629"/>
      <c r="R2" s="629"/>
      <c r="S2" s="629"/>
      <c r="T2" s="629"/>
      <c r="U2" s="629" t="s">
        <v>498</v>
      </c>
      <c r="V2" s="629"/>
      <c r="W2" s="629"/>
      <c r="X2" s="629"/>
      <c r="Y2" s="629"/>
      <c r="Z2" s="629" t="s">
        <v>499</v>
      </c>
      <c r="AA2" s="629"/>
      <c r="AB2" s="629"/>
      <c r="AC2" s="629"/>
      <c r="AD2" s="629" t="s">
        <v>500</v>
      </c>
    </row>
    <row r="3" spans="2:30" x14ac:dyDescent="0.2">
      <c r="B3" s="609"/>
      <c r="D3" s="554" t="s">
        <v>437</v>
      </c>
      <c r="E3" s="628" t="s">
        <v>405</v>
      </c>
      <c r="F3" s="627" t="str">
        <f t="shared" ref="F3:F19" si="0">IFERROR(AVERAGE(G3:Z3),"")</f>
        <v/>
      </c>
      <c r="G3" s="626" t="s">
        <v>405</v>
      </c>
      <c r="H3" s="626"/>
      <c r="I3" s="626"/>
      <c r="J3" s="626"/>
      <c r="K3" s="626"/>
      <c r="L3" s="626"/>
      <c r="M3" s="626"/>
      <c r="N3" s="626"/>
      <c r="O3" s="626"/>
      <c r="P3" s="626"/>
      <c r="Q3" s="626"/>
      <c r="R3" s="626"/>
      <c r="S3" s="626"/>
      <c r="T3" s="626"/>
      <c r="U3" s="626"/>
      <c r="V3" s="626"/>
      <c r="W3" s="626"/>
      <c r="X3" s="626"/>
      <c r="Y3" s="626"/>
      <c r="Z3" s="626"/>
    </row>
    <row r="4" spans="2:30" x14ac:dyDescent="0.2">
      <c r="B4" s="609"/>
      <c r="C4" s="625" t="s">
        <v>440</v>
      </c>
      <c r="D4" s="554" t="s">
        <v>439</v>
      </c>
      <c r="E4" s="624" t="s">
        <v>405</v>
      </c>
      <c r="F4" s="623" t="str">
        <f t="shared" si="0"/>
        <v/>
      </c>
      <c r="G4" s="622" t="s">
        <v>405</v>
      </c>
      <c r="H4" s="622"/>
      <c r="I4" s="622"/>
      <c r="J4" s="622"/>
      <c r="K4" s="622"/>
      <c r="L4" s="622"/>
      <c r="M4" s="622"/>
      <c r="N4" s="622"/>
      <c r="O4" s="622"/>
      <c r="P4" s="622"/>
      <c r="Q4" s="622"/>
      <c r="R4" s="622"/>
      <c r="S4" s="622"/>
      <c r="T4" s="622"/>
      <c r="U4" s="622"/>
      <c r="V4" s="622"/>
      <c r="W4" s="622"/>
      <c r="X4" s="622"/>
      <c r="Y4" s="622"/>
      <c r="Z4" s="622"/>
    </row>
    <row r="5" spans="2:30" hidden="1" outlineLevel="1" x14ac:dyDescent="0.2">
      <c r="B5" s="867" t="s">
        <v>438</v>
      </c>
      <c r="C5" s="865" t="s">
        <v>426</v>
      </c>
      <c r="D5" s="866" t="s">
        <v>431</v>
      </c>
      <c r="E5" s="621" t="s">
        <v>405</v>
      </c>
      <c r="F5" s="620" t="str">
        <f t="shared" si="0"/>
        <v/>
      </c>
      <c r="G5" s="619" t="s">
        <v>405</v>
      </c>
      <c r="H5" s="619"/>
      <c r="I5" s="619"/>
      <c r="J5" s="619"/>
      <c r="K5" s="619"/>
      <c r="L5" s="619"/>
      <c r="M5" s="619"/>
      <c r="N5" s="619"/>
      <c r="O5" s="619"/>
      <c r="P5" s="619"/>
      <c r="Q5" s="619"/>
      <c r="R5" s="619"/>
      <c r="S5" s="619"/>
      <c r="T5" s="619"/>
      <c r="U5" s="619"/>
      <c r="V5" s="619"/>
      <c r="W5" s="619"/>
      <c r="X5" s="619"/>
      <c r="Y5" s="619"/>
      <c r="Z5" s="619"/>
    </row>
    <row r="6" spans="2:30" hidden="1" outlineLevel="1" x14ac:dyDescent="0.2">
      <c r="B6" s="867"/>
      <c r="C6" s="865"/>
      <c r="D6" s="866"/>
      <c r="E6" s="618" t="s">
        <v>405</v>
      </c>
      <c r="F6" s="617" t="str">
        <f t="shared" si="0"/>
        <v/>
      </c>
      <c r="G6" s="616" t="s">
        <v>405</v>
      </c>
      <c r="H6" s="616"/>
      <c r="I6" s="616"/>
      <c r="J6" s="616"/>
      <c r="K6" s="616"/>
      <c r="L6" s="616"/>
      <c r="M6" s="616"/>
      <c r="N6" s="616"/>
      <c r="O6" s="616"/>
      <c r="P6" s="616"/>
      <c r="Q6" s="616"/>
      <c r="R6" s="616"/>
      <c r="S6" s="616"/>
      <c r="T6" s="616"/>
      <c r="U6" s="616"/>
      <c r="V6" s="616"/>
      <c r="W6" s="616"/>
      <c r="X6" s="616"/>
      <c r="Y6" s="616"/>
      <c r="Z6" s="616"/>
    </row>
    <row r="7" spans="2:30" ht="42" customHeight="1" collapsed="1" x14ac:dyDescent="0.2">
      <c r="B7" s="867"/>
      <c r="C7" s="865"/>
      <c r="D7" s="866"/>
      <c r="E7" s="615" cm="1">
        <f t="array" aca="1" ref="E7" ca="1">IFERROR(_xlfn.NUMBERVALUE(INDIRECT("E5"))-_xlfn.NUMBERVALUE(INDIRECT("E6")),"")</f>
        <v>0</v>
      </c>
      <c r="F7" s="614" t="str">
        <f t="shared" si="0"/>
        <v/>
      </c>
      <c r="G7" s="613" t="str">
        <f>IFERROR(IF(AND(G5=0,G6=0),"",G5-G6),"")</f>
        <v/>
      </c>
      <c r="H7" s="613" t="str">
        <f t="shared" ref="H7:Z7" si="1">IFERROR(IF(AND(H5=0,H6=0),"",H5-H6),"")</f>
        <v/>
      </c>
      <c r="I7" s="613" t="str">
        <f t="shared" si="1"/>
        <v/>
      </c>
      <c r="J7" s="613" t="str">
        <f t="shared" si="1"/>
        <v/>
      </c>
      <c r="K7" s="613" t="str">
        <f t="shared" si="1"/>
        <v/>
      </c>
      <c r="L7" s="613" t="str">
        <f t="shared" si="1"/>
        <v/>
      </c>
      <c r="M7" s="613" t="str">
        <f t="shared" si="1"/>
        <v/>
      </c>
      <c r="N7" s="613" t="str">
        <f t="shared" si="1"/>
        <v/>
      </c>
      <c r="O7" s="613" t="str">
        <f t="shared" si="1"/>
        <v/>
      </c>
      <c r="P7" s="613" t="str">
        <f t="shared" si="1"/>
        <v/>
      </c>
      <c r="Q7" s="613" t="str">
        <f t="shared" si="1"/>
        <v/>
      </c>
      <c r="R7" s="613" t="str">
        <f t="shared" si="1"/>
        <v/>
      </c>
      <c r="S7" s="613" t="str">
        <f t="shared" si="1"/>
        <v/>
      </c>
      <c r="T7" s="613" t="str">
        <f t="shared" si="1"/>
        <v/>
      </c>
      <c r="U7" s="613" t="str">
        <f t="shared" si="1"/>
        <v/>
      </c>
      <c r="V7" s="613" t="str">
        <f t="shared" si="1"/>
        <v/>
      </c>
      <c r="W7" s="613" t="str">
        <f t="shared" si="1"/>
        <v/>
      </c>
      <c r="X7" s="613" t="str">
        <f t="shared" si="1"/>
        <v/>
      </c>
      <c r="Y7" s="613" t="str">
        <f t="shared" si="1"/>
        <v/>
      </c>
      <c r="Z7" s="613" t="str">
        <f t="shared" si="1"/>
        <v/>
      </c>
    </row>
    <row r="8" spans="2:30" ht="13.5" hidden="1" customHeight="1" outlineLevel="1" x14ac:dyDescent="0.2">
      <c r="B8" s="867"/>
      <c r="C8" s="865" t="s">
        <v>428</v>
      </c>
      <c r="D8" s="866" t="s">
        <v>432</v>
      </c>
      <c r="E8" s="621" t="s">
        <v>405</v>
      </c>
      <c r="F8" s="620" t="str">
        <f t="shared" si="0"/>
        <v/>
      </c>
      <c r="G8" s="619" t="s">
        <v>405</v>
      </c>
      <c r="H8" s="619"/>
      <c r="I8" s="619"/>
      <c r="J8" s="619"/>
      <c r="K8" s="619"/>
      <c r="L8" s="619"/>
      <c r="M8" s="619"/>
      <c r="N8" s="619"/>
      <c r="O8" s="619"/>
      <c r="P8" s="619"/>
      <c r="Q8" s="619"/>
      <c r="R8" s="619"/>
      <c r="S8" s="619"/>
      <c r="T8" s="619"/>
      <c r="U8" s="619"/>
      <c r="V8" s="619"/>
      <c r="W8" s="619"/>
      <c r="X8" s="619"/>
      <c r="Y8" s="619"/>
      <c r="Z8" s="619"/>
    </row>
    <row r="9" spans="2:30" ht="13.5" hidden="1" customHeight="1" outlineLevel="1" x14ac:dyDescent="0.2">
      <c r="B9" s="867"/>
      <c r="C9" s="865"/>
      <c r="D9" s="866"/>
      <c r="E9" s="618" t="s">
        <v>405</v>
      </c>
      <c r="F9" s="617" t="str">
        <f t="shared" si="0"/>
        <v/>
      </c>
      <c r="G9" s="616" t="s">
        <v>405</v>
      </c>
      <c r="H9" s="616"/>
      <c r="I9" s="616"/>
      <c r="J9" s="616"/>
      <c r="K9" s="616"/>
      <c r="L9" s="616"/>
      <c r="M9" s="616"/>
      <c r="N9" s="616"/>
      <c r="O9" s="616"/>
      <c r="P9" s="616"/>
      <c r="Q9" s="616"/>
      <c r="R9" s="616"/>
      <c r="S9" s="616"/>
      <c r="T9" s="616"/>
      <c r="U9" s="616"/>
      <c r="V9" s="616"/>
      <c r="W9" s="616"/>
      <c r="X9" s="616"/>
      <c r="Y9" s="616"/>
      <c r="Z9" s="616"/>
    </row>
    <row r="10" spans="2:30" ht="42" customHeight="1" collapsed="1" x14ac:dyDescent="0.2">
      <c r="B10" s="867"/>
      <c r="C10" s="865"/>
      <c r="D10" s="866"/>
      <c r="E10" s="615" cm="1">
        <f t="array" aca="1" ref="E10" ca="1">IFERROR(_xlfn.NUMBERVALUE(INDIRECT("E8"))-_xlfn.NUMBERVALUE(INDIRECT("E9")),"")</f>
        <v>0</v>
      </c>
      <c r="F10" s="614" t="str">
        <f t="shared" si="0"/>
        <v/>
      </c>
      <c r="G10" s="613" t="str">
        <f t="shared" ref="G10:Z10" si="2">IFERROR(IF(AND(G8=0,G9=0),"",G8-G9),"")</f>
        <v/>
      </c>
      <c r="H10" s="613" t="str">
        <f t="shared" si="2"/>
        <v/>
      </c>
      <c r="I10" s="613" t="str">
        <f t="shared" si="2"/>
        <v/>
      </c>
      <c r="J10" s="613" t="str">
        <f t="shared" si="2"/>
        <v/>
      </c>
      <c r="K10" s="613" t="str">
        <f t="shared" si="2"/>
        <v/>
      </c>
      <c r="L10" s="613" t="str">
        <f t="shared" si="2"/>
        <v/>
      </c>
      <c r="M10" s="613" t="str">
        <f t="shared" si="2"/>
        <v/>
      </c>
      <c r="N10" s="613" t="str">
        <f t="shared" si="2"/>
        <v/>
      </c>
      <c r="O10" s="613" t="str">
        <f t="shared" si="2"/>
        <v/>
      </c>
      <c r="P10" s="613" t="str">
        <f t="shared" si="2"/>
        <v/>
      </c>
      <c r="Q10" s="613" t="str">
        <f t="shared" si="2"/>
        <v/>
      </c>
      <c r="R10" s="613" t="str">
        <f t="shared" si="2"/>
        <v/>
      </c>
      <c r="S10" s="613" t="str">
        <f t="shared" si="2"/>
        <v/>
      </c>
      <c r="T10" s="613" t="str">
        <f t="shared" si="2"/>
        <v/>
      </c>
      <c r="U10" s="613" t="str">
        <f t="shared" si="2"/>
        <v/>
      </c>
      <c r="V10" s="613" t="str">
        <f t="shared" si="2"/>
        <v/>
      </c>
      <c r="W10" s="613" t="str">
        <f t="shared" si="2"/>
        <v/>
      </c>
      <c r="X10" s="613" t="str">
        <f t="shared" si="2"/>
        <v/>
      </c>
      <c r="Y10" s="613" t="str">
        <f t="shared" si="2"/>
        <v/>
      </c>
      <c r="Z10" s="613" t="str">
        <f t="shared" si="2"/>
        <v/>
      </c>
    </row>
    <row r="11" spans="2:30" ht="13.5" hidden="1" customHeight="1" outlineLevel="1" x14ac:dyDescent="0.2">
      <c r="B11" s="867"/>
      <c r="C11" s="865" t="s">
        <v>430</v>
      </c>
      <c r="D11" s="866" t="s">
        <v>433</v>
      </c>
      <c r="E11" s="621" t="s">
        <v>405</v>
      </c>
      <c r="F11" s="620" t="str">
        <f t="shared" si="0"/>
        <v/>
      </c>
      <c r="G11" s="619" t="s">
        <v>405</v>
      </c>
      <c r="H11" s="619"/>
      <c r="I11" s="619"/>
      <c r="J11" s="619"/>
      <c r="K11" s="619"/>
      <c r="L11" s="619"/>
      <c r="M11" s="619"/>
      <c r="N11" s="619"/>
      <c r="O11" s="619"/>
      <c r="P11" s="619"/>
      <c r="Q11" s="619"/>
      <c r="R11" s="619"/>
      <c r="S11" s="619"/>
      <c r="T11" s="619"/>
      <c r="U11" s="619"/>
      <c r="V11" s="619"/>
      <c r="W11" s="619"/>
      <c r="X11" s="619"/>
      <c r="Y11" s="619"/>
      <c r="Z11" s="619"/>
    </row>
    <row r="12" spans="2:30" ht="13.5" hidden="1" customHeight="1" outlineLevel="1" x14ac:dyDescent="0.2">
      <c r="B12" s="867"/>
      <c r="C12" s="865"/>
      <c r="D12" s="866"/>
      <c r="E12" s="618" t="s">
        <v>405</v>
      </c>
      <c r="F12" s="617" t="str">
        <f t="shared" si="0"/>
        <v/>
      </c>
      <c r="G12" s="616" t="s">
        <v>405</v>
      </c>
      <c r="H12" s="616"/>
      <c r="I12" s="616"/>
      <c r="J12" s="616"/>
      <c r="K12" s="616"/>
      <c r="L12" s="616"/>
      <c r="M12" s="616"/>
      <c r="N12" s="616"/>
      <c r="O12" s="616"/>
      <c r="P12" s="616"/>
      <c r="Q12" s="616"/>
      <c r="R12" s="616"/>
      <c r="S12" s="616"/>
      <c r="T12" s="616"/>
      <c r="U12" s="616"/>
      <c r="V12" s="616"/>
      <c r="W12" s="616"/>
      <c r="X12" s="616"/>
      <c r="Y12" s="616"/>
      <c r="Z12" s="616"/>
    </row>
    <row r="13" spans="2:30" ht="42" customHeight="1" collapsed="1" x14ac:dyDescent="0.2">
      <c r="B13" s="867"/>
      <c r="C13" s="865"/>
      <c r="D13" s="866"/>
      <c r="E13" s="615" cm="1">
        <f t="array" aca="1" ref="E13" ca="1">IFERROR(_xlfn.NUMBERVALUE(INDIRECT("E11"))-_xlfn.NUMBERVALUE(INDIRECT("E12")),"")</f>
        <v>0</v>
      </c>
      <c r="F13" s="614" t="str">
        <f t="shared" si="0"/>
        <v/>
      </c>
      <c r="G13" s="613" t="str">
        <f t="shared" ref="G13:Z13" si="3">IFERROR(IF(AND(G11=0,G12=0),"",G11-G12),"")</f>
        <v/>
      </c>
      <c r="H13" s="613" t="str">
        <f t="shared" si="3"/>
        <v/>
      </c>
      <c r="I13" s="613" t="str">
        <f t="shared" si="3"/>
        <v/>
      </c>
      <c r="J13" s="613" t="str">
        <f t="shared" si="3"/>
        <v/>
      </c>
      <c r="K13" s="613" t="str">
        <f t="shared" si="3"/>
        <v/>
      </c>
      <c r="L13" s="613" t="str">
        <f t="shared" si="3"/>
        <v/>
      </c>
      <c r="M13" s="613" t="str">
        <f t="shared" si="3"/>
        <v/>
      </c>
      <c r="N13" s="613" t="str">
        <f t="shared" si="3"/>
        <v/>
      </c>
      <c r="O13" s="613" t="str">
        <f t="shared" si="3"/>
        <v/>
      </c>
      <c r="P13" s="613" t="str">
        <f t="shared" si="3"/>
        <v/>
      </c>
      <c r="Q13" s="613" t="str">
        <f t="shared" si="3"/>
        <v/>
      </c>
      <c r="R13" s="613" t="str">
        <f t="shared" si="3"/>
        <v/>
      </c>
      <c r="S13" s="613" t="str">
        <f t="shared" si="3"/>
        <v/>
      </c>
      <c r="T13" s="613" t="str">
        <f t="shared" si="3"/>
        <v/>
      </c>
      <c r="U13" s="613" t="str">
        <f t="shared" si="3"/>
        <v/>
      </c>
      <c r="V13" s="613" t="str">
        <f t="shared" si="3"/>
        <v/>
      </c>
      <c r="W13" s="613" t="str">
        <f t="shared" si="3"/>
        <v/>
      </c>
      <c r="X13" s="613" t="str">
        <f t="shared" si="3"/>
        <v/>
      </c>
      <c r="Y13" s="613" t="str">
        <f t="shared" si="3"/>
        <v/>
      </c>
      <c r="Z13" s="613" t="str">
        <f t="shared" si="3"/>
        <v/>
      </c>
    </row>
    <row r="14" spans="2:30" ht="13.5" hidden="1" customHeight="1" outlineLevel="1" x14ac:dyDescent="0.2">
      <c r="B14" s="867"/>
      <c r="C14" s="865" t="s">
        <v>429</v>
      </c>
      <c r="D14" s="866" t="s">
        <v>434</v>
      </c>
      <c r="E14" s="621" t="s">
        <v>405</v>
      </c>
      <c r="F14" s="620" t="str">
        <f t="shared" si="0"/>
        <v/>
      </c>
      <c r="G14" s="619" t="s">
        <v>405</v>
      </c>
      <c r="H14" s="619"/>
      <c r="I14" s="619"/>
      <c r="J14" s="619"/>
      <c r="K14" s="619"/>
      <c r="L14" s="619"/>
      <c r="M14" s="619"/>
      <c r="N14" s="619"/>
      <c r="O14" s="619"/>
      <c r="P14" s="619"/>
      <c r="Q14" s="619"/>
      <c r="R14" s="619"/>
      <c r="S14" s="619"/>
      <c r="T14" s="619"/>
      <c r="U14" s="619"/>
      <c r="V14" s="619"/>
      <c r="W14" s="619"/>
      <c r="X14" s="619"/>
      <c r="Y14" s="619"/>
      <c r="Z14" s="619"/>
    </row>
    <row r="15" spans="2:30" ht="13.5" hidden="1" customHeight="1" outlineLevel="1" x14ac:dyDescent="0.2">
      <c r="B15" s="867"/>
      <c r="C15" s="865"/>
      <c r="D15" s="866"/>
      <c r="E15" s="618" t="s">
        <v>405</v>
      </c>
      <c r="F15" s="617" t="str">
        <f t="shared" si="0"/>
        <v/>
      </c>
      <c r="G15" s="616" t="s">
        <v>405</v>
      </c>
      <c r="H15" s="616"/>
      <c r="I15" s="616"/>
      <c r="J15" s="616"/>
      <c r="K15" s="616"/>
      <c r="L15" s="616"/>
      <c r="M15" s="616"/>
      <c r="N15" s="616"/>
      <c r="O15" s="616"/>
      <c r="P15" s="616"/>
      <c r="Q15" s="616"/>
      <c r="R15" s="616"/>
      <c r="S15" s="616"/>
      <c r="T15" s="616"/>
      <c r="U15" s="616"/>
      <c r="V15" s="616"/>
      <c r="W15" s="616"/>
      <c r="X15" s="616"/>
      <c r="Y15" s="616"/>
      <c r="Z15" s="616"/>
    </row>
    <row r="16" spans="2:30" ht="42" customHeight="1" collapsed="1" x14ac:dyDescent="0.2">
      <c r="B16" s="867"/>
      <c r="C16" s="865"/>
      <c r="D16" s="866"/>
      <c r="E16" s="615" cm="1">
        <f t="array" aca="1" ref="E16" ca="1">IFERROR(_xlfn.NUMBERVALUE(INDIRECT("E14"))-_xlfn.NUMBERVALUE(INDIRECT("E15")),"")</f>
        <v>0</v>
      </c>
      <c r="F16" s="614" t="str">
        <f t="shared" si="0"/>
        <v/>
      </c>
      <c r="G16" s="613" t="str">
        <f t="shared" ref="G16:Z16" si="4">IFERROR(IF(AND(G14=0,G15=0),"",G14-G15),"")</f>
        <v/>
      </c>
      <c r="H16" s="613" t="str">
        <f t="shared" si="4"/>
        <v/>
      </c>
      <c r="I16" s="613" t="str">
        <f t="shared" si="4"/>
        <v/>
      </c>
      <c r="J16" s="613" t="str">
        <f t="shared" si="4"/>
        <v/>
      </c>
      <c r="K16" s="613" t="str">
        <f t="shared" si="4"/>
        <v/>
      </c>
      <c r="L16" s="613" t="str">
        <f t="shared" si="4"/>
        <v/>
      </c>
      <c r="M16" s="613" t="str">
        <f t="shared" si="4"/>
        <v/>
      </c>
      <c r="N16" s="613" t="str">
        <f t="shared" si="4"/>
        <v/>
      </c>
      <c r="O16" s="613" t="str">
        <f t="shared" si="4"/>
        <v/>
      </c>
      <c r="P16" s="613" t="str">
        <f t="shared" si="4"/>
        <v/>
      </c>
      <c r="Q16" s="613" t="str">
        <f t="shared" si="4"/>
        <v/>
      </c>
      <c r="R16" s="613" t="str">
        <f t="shared" si="4"/>
        <v/>
      </c>
      <c r="S16" s="613" t="str">
        <f t="shared" si="4"/>
        <v/>
      </c>
      <c r="T16" s="613" t="str">
        <f t="shared" si="4"/>
        <v/>
      </c>
      <c r="U16" s="613" t="str">
        <f t="shared" si="4"/>
        <v/>
      </c>
      <c r="V16" s="613" t="str">
        <f t="shared" si="4"/>
        <v/>
      </c>
      <c r="W16" s="613" t="str">
        <f t="shared" si="4"/>
        <v/>
      </c>
      <c r="X16" s="613" t="str">
        <f t="shared" si="4"/>
        <v/>
      </c>
      <c r="Y16" s="613" t="str">
        <f t="shared" si="4"/>
        <v/>
      </c>
      <c r="Z16" s="613" t="str">
        <f t="shared" si="4"/>
        <v/>
      </c>
    </row>
    <row r="17" spans="2:26" ht="13.5" hidden="1" customHeight="1" outlineLevel="1" x14ac:dyDescent="0.2">
      <c r="B17" s="867"/>
      <c r="C17" s="865" t="s">
        <v>427</v>
      </c>
      <c r="D17" s="866" t="s">
        <v>435</v>
      </c>
      <c r="E17" s="621" t="s">
        <v>405</v>
      </c>
      <c r="F17" s="620" t="str">
        <f t="shared" si="0"/>
        <v/>
      </c>
      <c r="G17" s="619" t="s">
        <v>405</v>
      </c>
      <c r="H17" s="619"/>
      <c r="I17" s="619"/>
      <c r="J17" s="619"/>
      <c r="K17" s="619"/>
      <c r="L17" s="619"/>
      <c r="M17" s="619"/>
      <c r="N17" s="619"/>
      <c r="O17" s="619"/>
      <c r="P17" s="619"/>
      <c r="Q17" s="619"/>
      <c r="R17" s="619"/>
      <c r="S17" s="619"/>
      <c r="T17" s="619"/>
      <c r="U17" s="619"/>
      <c r="V17" s="619"/>
      <c r="W17" s="619"/>
      <c r="X17" s="619"/>
      <c r="Y17" s="619"/>
      <c r="Z17" s="619"/>
    </row>
    <row r="18" spans="2:26" ht="13.5" hidden="1" customHeight="1" outlineLevel="1" x14ac:dyDescent="0.2">
      <c r="B18" s="867"/>
      <c r="C18" s="865"/>
      <c r="D18" s="866"/>
      <c r="E18" s="618" t="s">
        <v>405</v>
      </c>
      <c r="F18" s="617" t="str">
        <f t="shared" si="0"/>
        <v/>
      </c>
      <c r="G18" s="616" t="s">
        <v>405</v>
      </c>
      <c r="H18" s="616"/>
      <c r="I18" s="616"/>
      <c r="J18" s="616"/>
      <c r="K18" s="616"/>
      <c r="L18" s="616"/>
      <c r="M18" s="616"/>
      <c r="N18" s="616"/>
      <c r="O18" s="616"/>
      <c r="P18" s="616"/>
      <c r="Q18" s="616"/>
      <c r="R18" s="616"/>
      <c r="S18" s="616"/>
      <c r="T18" s="616"/>
      <c r="U18" s="616"/>
      <c r="V18" s="616"/>
      <c r="W18" s="616"/>
      <c r="X18" s="616"/>
      <c r="Y18" s="616"/>
      <c r="Z18" s="616"/>
    </row>
    <row r="19" spans="2:26" ht="42" customHeight="1" collapsed="1" x14ac:dyDescent="0.2">
      <c r="B19" s="867"/>
      <c r="C19" s="865"/>
      <c r="D19" s="866"/>
      <c r="E19" s="615" cm="1">
        <f t="array" aca="1" ref="E19" ca="1">IFERROR(_xlfn.NUMBERVALUE(INDIRECT("E17"))-_xlfn.NUMBERVALUE(INDIRECT("E18")),"")</f>
        <v>0</v>
      </c>
      <c r="F19" s="614" t="str">
        <f t="shared" si="0"/>
        <v/>
      </c>
      <c r="G19" s="613" t="str">
        <f t="shared" ref="G19:Z19" si="5">IFERROR(IF(AND(G17=0,G18=0),"",G17-G18),"")</f>
        <v/>
      </c>
      <c r="H19" s="613" t="str">
        <f t="shared" si="5"/>
        <v/>
      </c>
      <c r="I19" s="613" t="str">
        <f t="shared" si="5"/>
        <v/>
      </c>
      <c r="J19" s="613" t="str">
        <f t="shared" si="5"/>
        <v/>
      </c>
      <c r="K19" s="613" t="str">
        <f t="shared" si="5"/>
        <v/>
      </c>
      <c r="L19" s="613" t="str">
        <f t="shared" si="5"/>
        <v/>
      </c>
      <c r="M19" s="613" t="str">
        <f t="shared" si="5"/>
        <v/>
      </c>
      <c r="N19" s="613" t="str">
        <f t="shared" si="5"/>
        <v/>
      </c>
      <c r="O19" s="613" t="str">
        <f t="shared" si="5"/>
        <v/>
      </c>
      <c r="P19" s="613" t="str">
        <f t="shared" si="5"/>
        <v/>
      </c>
      <c r="Q19" s="613" t="str">
        <f t="shared" si="5"/>
        <v/>
      </c>
      <c r="R19" s="613" t="str">
        <f t="shared" si="5"/>
        <v/>
      </c>
      <c r="S19" s="613" t="str">
        <f t="shared" si="5"/>
        <v/>
      </c>
      <c r="T19" s="613" t="str">
        <f t="shared" si="5"/>
        <v/>
      </c>
      <c r="U19" s="613" t="str">
        <f t="shared" si="5"/>
        <v/>
      </c>
      <c r="V19" s="613" t="str">
        <f t="shared" si="5"/>
        <v/>
      </c>
      <c r="W19" s="613" t="str">
        <f t="shared" si="5"/>
        <v/>
      </c>
      <c r="X19" s="613" t="str">
        <f t="shared" si="5"/>
        <v/>
      </c>
      <c r="Y19" s="613" t="str">
        <f t="shared" si="5"/>
        <v/>
      </c>
      <c r="Z19" s="613" t="str">
        <f t="shared" si="5"/>
        <v/>
      </c>
    </row>
    <row r="20" spans="2:26" x14ac:dyDescent="0.2">
      <c r="C20" s="612" t="s">
        <v>447</v>
      </c>
    </row>
  </sheetData>
  <mergeCells count="12">
    <mergeCell ref="C11:C13"/>
    <mergeCell ref="D8:D10"/>
    <mergeCell ref="C8:C10"/>
    <mergeCell ref="B5:B19"/>
    <mergeCell ref="C2:D2"/>
    <mergeCell ref="C5:C7"/>
    <mergeCell ref="D5:D7"/>
    <mergeCell ref="C17:C19"/>
    <mergeCell ref="D17:D19"/>
    <mergeCell ref="D14:D16"/>
    <mergeCell ref="C14:C16"/>
    <mergeCell ref="D11:D13"/>
  </mergeCells>
  <conditionalFormatting sqref="E2:Z2">
    <cfRule type="notContainsBlanks" dxfId="2370" priority="11">
      <formula>LEN(TRIM(E2))&gt;0</formula>
    </cfRule>
  </conditionalFormatting>
  <conditionalFormatting sqref="E3:Z3">
    <cfRule type="colorScale" priority="12">
      <colorScale>
        <cfvo type="min"/>
        <cfvo type="percentile" val="50"/>
        <cfvo type="max"/>
        <color rgb="FFF8696B"/>
        <color rgb="FFFFEB84"/>
        <color rgb="FF63BE7B"/>
      </colorScale>
    </cfRule>
  </conditionalFormatting>
  <conditionalFormatting sqref="E3:Z19">
    <cfRule type="expression" dxfId="2369" priority="10">
      <formula>NOT(ISBLANK(E$2))</formula>
    </cfRule>
  </conditionalFormatting>
  <conditionalFormatting sqref="E7:Z7">
    <cfRule type="colorScale" priority="9">
      <colorScale>
        <cfvo type="min"/>
        <cfvo type="percentile" val="50"/>
        <cfvo type="max"/>
        <color rgb="FFF8696B"/>
        <color rgb="FFFFEB84"/>
        <color rgb="FF63BE7B"/>
      </colorScale>
    </cfRule>
  </conditionalFormatting>
  <conditionalFormatting sqref="E10:Z10">
    <cfRule type="colorScale" priority="8">
      <colorScale>
        <cfvo type="min"/>
        <cfvo type="percentile" val="50"/>
        <cfvo type="max"/>
        <color rgb="FFF8696B"/>
        <color rgb="FFFFEB84"/>
        <color rgb="FF63BE7B"/>
      </colorScale>
    </cfRule>
  </conditionalFormatting>
  <conditionalFormatting sqref="E13:Z13">
    <cfRule type="colorScale" priority="7">
      <colorScale>
        <cfvo type="min"/>
        <cfvo type="percentile" val="50"/>
        <cfvo type="max"/>
        <color rgb="FFF8696B"/>
        <color rgb="FFFFEB84"/>
        <color rgb="FF63BE7B"/>
      </colorScale>
    </cfRule>
  </conditionalFormatting>
  <conditionalFormatting sqref="E16:Z16">
    <cfRule type="colorScale" priority="6">
      <colorScale>
        <cfvo type="min"/>
        <cfvo type="percentile" val="50"/>
        <cfvo type="max"/>
        <color rgb="FFF8696B"/>
        <color rgb="FFFFEB84"/>
        <color rgb="FF63BE7B"/>
      </colorScale>
    </cfRule>
  </conditionalFormatting>
  <conditionalFormatting sqref="E19:Z19">
    <cfRule type="colorScale" priority="5">
      <colorScale>
        <cfvo type="min"/>
        <cfvo type="percentile" val="50"/>
        <cfvo type="max"/>
        <color rgb="FFF8696B"/>
        <color rgb="FFFFEB84"/>
        <color rgb="FF63BE7B"/>
      </colorScale>
    </cfRule>
  </conditionalFormatting>
  <conditionalFormatting sqref="G10:Z10">
    <cfRule type="colorScale" priority="4">
      <colorScale>
        <cfvo type="min"/>
        <cfvo type="percentile" val="50"/>
        <cfvo type="max"/>
        <color rgb="FFF8696B"/>
        <color rgb="FFFFEB84"/>
        <color rgb="FF63BE7B"/>
      </colorScale>
    </cfRule>
  </conditionalFormatting>
  <conditionalFormatting sqref="G13:Z13">
    <cfRule type="colorScale" priority="3">
      <colorScale>
        <cfvo type="min"/>
        <cfvo type="percentile" val="50"/>
        <cfvo type="max"/>
        <color rgb="FFF8696B"/>
        <color rgb="FFFFEB84"/>
        <color rgb="FF63BE7B"/>
      </colorScale>
    </cfRule>
  </conditionalFormatting>
  <conditionalFormatting sqref="G16:Z16">
    <cfRule type="colorScale" priority="2">
      <colorScale>
        <cfvo type="min"/>
        <cfvo type="percentile" val="50"/>
        <cfvo type="max"/>
        <color rgb="FFF8696B"/>
        <color rgb="FFFFEB84"/>
        <color rgb="FF63BE7B"/>
      </colorScale>
    </cfRule>
  </conditionalFormatting>
  <conditionalFormatting sqref="G19:Z19">
    <cfRule type="colorScale" priority="1">
      <colorScale>
        <cfvo type="min"/>
        <cfvo type="percentile" val="50"/>
        <cfvo type="max"/>
        <color rgb="FFF8696B"/>
        <color rgb="FFFFEB84"/>
        <color rgb="FF63BE7B"/>
      </colorScale>
    </cfRule>
  </conditionalFormatting>
  <pageMargins left="0.25" right="0.25" top="0.75" bottom="0.75" header="0.3" footer="0.3"/>
  <pageSetup scale="59" fitToHeight="0" orientation="landscape" r:id="rId1"/>
  <headerFooter>
    <oddHeader>&amp;L&amp;"-,Bold"&amp;K4438CAMarket Analysis Report&amp;R&amp;"-,Bold"&amp;K4438CAAs of: &amp;D</oddHeader>
    <oddFooter>&amp;L&amp;"-,Bold"&amp;K4438CAHelloData.ai</oddFooter>
  </headerFooter>
  <ignoredErrors>
    <ignoredError sqref="F7:F19"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ADF89-DE11-4000-B681-549B537B9459}">
  <sheetPr codeName="Sheet13">
    <pageSetUpPr fitToPage="1"/>
  </sheetPr>
  <dimension ref="A1:AA82"/>
  <sheetViews>
    <sheetView showGridLines="0" zoomScaleNormal="100" workbookViewId="0">
      <pane ySplit="1" topLeftCell="A2" activePane="bottomLeft" state="frozen"/>
      <selection pane="bottomLeft"/>
    </sheetView>
  </sheetViews>
  <sheetFormatPr baseColWidth="10" defaultColWidth="8.6640625" defaultRowHeight="14" x14ac:dyDescent="0.2"/>
  <cols>
    <col min="1" max="1" width="2.6640625" style="1" customWidth="1"/>
    <col min="2" max="2" width="40.1640625" style="1" bestFit="1" customWidth="1"/>
    <col min="3" max="23" width="6.6640625" style="1" customWidth="1"/>
    <col min="24" max="16384" width="8.6640625" style="1"/>
  </cols>
  <sheetData>
    <row r="1" spans="1:27" ht="116" customHeight="1" x14ac:dyDescent="0.2">
      <c r="A1" s="8"/>
      <c r="B1" s="515" t="s">
        <v>451</v>
      </c>
      <c r="C1" s="635" t="s">
        <v>496</v>
      </c>
      <c r="D1" s="634"/>
      <c r="E1" s="634"/>
      <c r="F1" s="634"/>
      <c r="G1" s="634"/>
      <c r="H1" s="634"/>
      <c r="I1" s="634" t="s">
        <v>497</v>
      </c>
      <c r="J1" s="634"/>
      <c r="K1" s="634"/>
      <c r="L1" s="634"/>
      <c r="M1" s="634"/>
      <c r="N1" s="634"/>
      <c r="O1" s="634"/>
      <c r="P1" s="634"/>
      <c r="Q1" s="634"/>
      <c r="R1" s="634" t="s">
        <v>498</v>
      </c>
      <c r="S1" s="634"/>
      <c r="T1" s="634"/>
      <c r="U1" s="634"/>
      <c r="V1" s="634"/>
      <c r="W1" s="634" t="s">
        <v>499</v>
      </c>
      <c r="X1" s="634"/>
      <c r="Y1" s="634"/>
      <c r="Z1" s="634"/>
      <c r="AA1" s="634" t="s">
        <v>500</v>
      </c>
    </row>
    <row r="2" spans="1:27" ht="10" customHeight="1" x14ac:dyDescent="0.2">
      <c r="A2" s="8"/>
      <c r="B2" s="514"/>
      <c r="C2" s="657"/>
      <c r="D2" s="644"/>
      <c r="E2" s="644"/>
      <c r="F2" s="644"/>
      <c r="G2" s="644"/>
      <c r="H2" s="644"/>
      <c r="I2" s="644"/>
      <c r="J2" s="644"/>
      <c r="K2" s="644"/>
      <c r="L2" s="644"/>
      <c r="M2" s="644"/>
      <c r="N2" s="644"/>
      <c r="O2" s="644"/>
      <c r="P2" s="644"/>
      <c r="Q2" s="644"/>
      <c r="R2" s="644"/>
      <c r="S2" s="644"/>
      <c r="T2" s="644"/>
      <c r="U2" s="644"/>
      <c r="V2" s="644"/>
      <c r="W2" s="644"/>
    </row>
    <row r="3" spans="1:27" ht="21" x14ac:dyDescent="0.2">
      <c r="A3" s="8"/>
      <c r="B3" s="515" t="s">
        <v>103</v>
      </c>
      <c r="C3" s="658"/>
      <c r="D3" s="646"/>
      <c r="E3" s="646"/>
      <c r="F3" s="646"/>
      <c r="G3" s="646"/>
      <c r="H3" s="646"/>
      <c r="I3" s="646"/>
      <c r="J3" s="646"/>
      <c r="K3" s="646"/>
      <c r="L3" s="646"/>
      <c r="M3" s="646"/>
      <c r="N3" s="646"/>
      <c r="O3" s="646"/>
      <c r="P3" s="646"/>
      <c r="Q3" s="646"/>
      <c r="R3" s="646"/>
      <c r="S3" s="646"/>
      <c r="T3" s="646"/>
      <c r="U3" s="646"/>
      <c r="V3" s="646"/>
      <c r="W3" s="646"/>
    </row>
    <row r="4" spans="1:27" x14ac:dyDescent="0.2">
      <c r="A4" s="8"/>
      <c r="B4" s="18" t="s">
        <v>104</v>
      </c>
      <c r="C4" s="659"/>
      <c r="D4" s="647"/>
      <c r="E4" s="647"/>
      <c r="F4" s="647"/>
      <c r="G4" s="647"/>
      <c r="H4" s="647"/>
      <c r="I4" s="647"/>
      <c r="J4" s="647"/>
      <c r="K4" s="647"/>
      <c r="L4" s="647"/>
      <c r="M4" s="647"/>
      <c r="N4" s="647"/>
      <c r="O4" s="647"/>
      <c r="P4" s="647"/>
      <c r="Q4" s="647"/>
      <c r="R4" s="647"/>
      <c r="S4" s="647"/>
      <c r="T4" s="647"/>
      <c r="U4" s="647"/>
      <c r="V4" s="647"/>
      <c r="W4" s="647"/>
      <c r="X4" s="647"/>
      <c r="Y4" s="647"/>
      <c r="Z4" s="647"/>
      <c r="AA4" s="647"/>
    </row>
    <row r="5" spans="1:27" x14ac:dyDescent="0.2">
      <c r="A5" s="8"/>
      <c r="B5" s="18" t="s">
        <v>105</v>
      </c>
      <c r="C5" s="660"/>
      <c r="D5" s="648"/>
      <c r="E5" s="648"/>
      <c r="F5" s="648"/>
      <c r="G5" s="648"/>
      <c r="H5" s="648"/>
      <c r="I5" s="648"/>
      <c r="J5" s="648"/>
      <c r="K5" s="648"/>
      <c r="L5" s="648"/>
      <c r="M5" s="648"/>
      <c r="N5" s="648"/>
      <c r="O5" s="648"/>
      <c r="P5" s="648"/>
      <c r="Q5" s="648"/>
      <c r="R5" s="648"/>
      <c r="S5" s="648"/>
      <c r="T5" s="648"/>
      <c r="U5" s="648"/>
      <c r="V5" s="648"/>
      <c r="W5" s="648"/>
      <c r="X5" s="648"/>
      <c r="Y5" s="648"/>
      <c r="Z5" s="648"/>
      <c r="AA5" s="648"/>
    </row>
    <row r="6" spans="1:27" x14ac:dyDescent="0.2">
      <c r="A6" s="8"/>
      <c r="B6" s="18" t="s">
        <v>106</v>
      </c>
      <c r="C6" s="660"/>
      <c r="D6" s="648"/>
      <c r="E6" s="648"/>
      <c r="F6" s="648"/>
      <c r="G6" s="648"/>
      <c r="H6" s="648"/>
      <c r="I6" s="648"/>
      <c r="J6" s="648"/>
      <c r="K6" s="648"/>
      <c r="L6" s="648"/>
      <c r="M6" s="648"/>
      <c r="N6" s="648"/>
      <c r="O6" s="648"/>
      <c r="P6" s="648"/>
      <c r="Q6" s="648"/>
      <c r="R6" s="648"/>
      <c r="S6" s="648"/>
      <c r="T6" s="648"/>
      <c r="U6" s="648"/>
      <c r="V6" s="648"/>
      <c r="W6" s="648"/>
      <c r="X6" s="648"/>
      <c r="Y6" s="648"/>
      <c r="Z6" s="648"/>
      <c r="AA6" s="648"/>
    </row>
    <row r="7" spans="1:27" x14ac:dyDescent="0.2">
      <c r="A7" s="8"/>
      <c r="B7" s="633" t="s">
        <v>107</v>
      </c>
      <c r="C7" s="649"/>
      <c r="D7" s="649"/>
      <c r="E7" s="649"/>
      <c r="F7" s="649"/>
      <c r="G7" s="649"/>
      <c r="H7" s="649"/>
      <c r="I7" s="649"/>
      <c r="J7" s="649"/>
      <c r="K7" s="649"/>
      <c r="L7" s="649"/>
      <c r="M7" s="649"/>
      <c r="N7" s="649"/>
      <c r="O7" s="649"/>
      <c r="P7" s="649"/>
      <c r="Q7" s="649"/>
      <c r="R7" s="649"/>
      <c r="S7" s="649"/>
      <c r="T7" s="649"/>
      <c r="U7" s="649"/>
      <c r="V7" s="649"/>
      <c r="W7" s="649"/>
    </row>
    <row r="8" spans="1:27" x14ac:dyDescent="0.2">
      <c r="A8" s="8"/>
      <c r="B8" s="19" t="s">
        <v>108</v>
      </c>
      <c r="C8" s="661"/>
      <c r="D8" s="650"/>
      <c r="E8" s="650"/>
      <c r="F8" s="650"/>
      <c r="G8" s="650"/>
      <c r="H8" s="650"/>
      <c r="I8" s="650"/>
      <c r="J8" s="650"/>
      <c r="K8" s="650"/>
      <c r="L8" s="650"/>
      <c r="M8" s="650"/>
      <c r="N8" s="650"/>
      <c r="O8" s="650"/>
      <c r="P8" s="650"/>
      <c r="Q8" s="650"/>
      <c r="R8" s="650"/>
      <c r="S8" s="650"/>
      <c r="T8" s="650"/>
      <c r="U8" s="650"/>
      <c r="V8" s="650"/>
      <c r="W8" s="650"/>
      <c r="X8" s="650"/>
      <c r="Y8" s="650"/>
      <c r="Z8" s="650"/>
      <c r="AA8" s="650"/>
    </row>
    <row r="9" spans="1:27" x14ac:dyDescent="0.2">
      <c r="A9" s="8"/>
      <c r="B9" s="19" t="s">
        <v>109</v>
      </c>
      <c r="C9" s="661"/>
      <c r="D9" s="650"/>
      <c r="E9" s="650"/>
      <c r="F9" s="650"/>
      <c r="G9" s="650"/>
      <c r="H9" s="650"/>
      <c r="I9" s="650"/>
      <c r="J9" s="650"/>
      <c r="K9" s="650"/>
      <c r="L9" s="650"/>
      <c r="M9" s="650"/>
      <c r="N9" s="650"/>
      <c r="O9" s="650"/>
      <c r="P9" s="650"/>
      <c r="Q9" s="650"/>
      <c r="R9" s="650"/>
      <c r="S9" s="650"/>
      <c r="T9" s="650"/>
      <c r="U9" s="650"/>
      <c r="V9" s="650"/>
      <c r="W9" s="650"/>
      <c r="X9" s="650"/>
      <c r="Y9" s="650"/>
      <c r="Z9" s="650"/>
      <c r="AA9" s="650"/>
    </row>
    <row r="10" spans="1:27" x14ac:dyDescent="0.2">
      <c r="A10" s="8"/>
      <c r="B10" s="19" t="s">
        <v>110</v>
      </c>
      <c r="C10" s="661"/>
      <c r="D10" s="650"/>
      <c r="E10" s="650"/>
      <c r="F10" s="650"/>
      <c r="G10" s="650"/>
      <c r="H10" s="650"/>
      <c r="I10" s="650"/>
      <c r="J10" s="650"/>
      <c r="K10" s="650"/>
      <c r="L10" s="650"/>
      <c r="M10" s="650"/>
      <c r="N10" s="650"/>
      <c r="O10" s="650"/>
      <c r="P10" s="650"/>
      <c r="Q10" s="650"/>
      <c r="R10" s="650"/>
      <c r="S10" s="650"/>
      <c r="T10" s="650"/>
      <c r="U10" s="650"/>
      <c r="V10" s="650"/>
      <c r="W10" s="650"/>
      <c r="X10" s="650"/>
      <c r="Y10" s="650"/>
      <c r="Z10" s="650"/>
      <c r="AA10" s="650"/>
    </row>
    <row r="11" spans="1:27" x14ac:dyDescent="0.2">
      <c r="A11" s="8"/>
      <c r="B11" s="19" t="s">
        <v>111</v>
      </c>
      <c r="C11" s="661"/>
      <c r="D11" s="650"/>
      <c r="E11" s="650"/>
      <c r="F11" s="650"/>
      <c r="G11" s="650"/>
      <c r="H11" s="650"/>
      <c r="I11" s="650"/>
      <c r="J11" s="650"/>
      <c r="K11" s="650"/>
      <c r="L11" s="650"/>
      <c r="M11" s="650"/>
      <c r="N11" s="650"/>
      <c r="O11" s="650"/>
      <c r="P11" s="650"/>
      <c r="Q11" s="650"/>
      <c r="R11" s="650"/>
      <c r="S11" s="650"/>
      <c r="T11" s="650"/>
      <c r="U11" s="650"/>
      <c r="V11" s="650"/>
      <c r="W11" s="650"/>
      <c r="X11" s="650"/>
      <c r="Y11" s="650"/>
      <c r="Z11" s="650"/>
      <c r="AA11" s="650"/>
    </row>
    <row r="12" spans="1:27" x14ac:dyDescent="0.2">
      <c r="A12" s="8"/>
      <c r="B12" s="19" t="s">
        <v>112</v>
      </c>
      <c r="C12" s="661"/>
      <c r="D12" s="650"/>
      <c r="E12" s="650"/>
      <c r="F12" s="650"/>
      <c r="G12" s="650"/>
      <c r="H12" s="650"/>
      <c r="I12" s="650"/>
      <c r="J12" s="650"/>
      <c r="K12" s="650"/>
      <c r="L12" s="650"/>
      <c r="M12" s="650"/>
      <c r="N12" s="650"/>
      <c r="O12" s="650"/>
      <c r="P12" s="650"/>
      <c r="Q12" s="650"/>
      <c r="R12" s="650"/>
      <c r="S12" s="650"/>
      <c r="T12" s="650"/>
      <c r="U12" s="650"/>
      <c r="V12" s="650"/>
      <c r="W12" s="650"/>
      <c r="X12" s="650"/>
      <c r="Y12" s="650"/>
      <c r="Z12" s="650"/>
      <c r="AA12" s="650"/>
    </row>
    <row r="13" spans="1:27" x14ac:dyDescent="0.2">
      <c r="A13" s="8"/>
      <c r="B13" s="19" t="s">
        <v>113</v>
      </c>
      <c r="C13" s="661"/>
      <c r="D13" s="650"/>
      <c r="E13" s="650"/>
      <c r="F13" s="650"/>
      <c r="G13" s="650"/>
      <c r="H13" s="650"/>
      <c r="I13" s="650"/>
      <c r="J13" s="650"/>
      <c r="K13" s="650"/>
      <c r="L13" s="650"/>
      <c r="M13" s="650"/>
      <c r="N13" s="650"/>
      <c r="O13" s="650"/>
      <c r="P13" s="650"/>
      <c r="Q13" s="650"/>
      <c r="R13" s="650"/>
      <c r="S13" s="650"/>
      <c r="T13" s="650"/>
      <c r="U13" s="650"/>
      <c r="V13" s="650"/>
      <c r="W13" s="650"/>
      <c r="X13" s="650"/>
      <c r="Y13" s="650"/>
      <c r="Z13" s="650"/>
      <c r="AA13" s="650"/>
    </row>
    <row r="14" spans="1:27" x14ac:dyDescent="0.2">
      <c r="A14" s="8"/>
      <c r="B14" s="633" t="s">
        <v>122</v>
      </c>
      <c r="C14" s="649"/>
      <c r="D14" s="649"/>
      <c r="E14" s="649"/>
      <c r="F14" s="649"/>
      <c r="G14" s="649"/>
      <c r="H14" s="649"/>
      <c r="I14" s="649"/>
      <c r="J14" s="649"/>
      <c r="K14" s="649"/>
      <c r="L14" s="649"/>
      <c r="M14" s="649"/>
      <c r="N14" s="649"/>
      <c r="O14" s="649"/>
      <c r="P14" s="649"/>
      <c r="Q14" s="649"/>
      <c r="R14" s="649"/>
      <c r="S14" s="649"/>
      <c r="T14" s="649"/>
      <c r="U14" s="649"/>
      <c r="V14" s="649"/>
      <c r="W14" s="649"/>
    </row>
    <row r="15" spans="1:27" x14ac:dyDescent="0.2">
      <c r="A15" s="8"/>
      <c r="B15" s="19" t="s">
        <v>119</v>
      </c>
      <c r="C15" s="661"/>
      <c r="D15" s="650"/>
      <c r="E15" s="650"/>
      <c r="F15" s="650"/>
      <c r="G15" s="650"/>
      <c r="H15" s="650"/>
      <c r="I15" s="650"/>
      <c r="J15" s="650"/>
      <c r="K15" s="650"/>
      <c r="L15" s="650"/>
      <c r="M15" s="650"/>
      <c r="N15" s="650"/>
      <c r="O15" s="650"/>
      <c r="P15" s="650"/>
      <c r="Q15" s="650"/>
      <c r="R15" s="650"/>
      <c r="S15" s="650"/>
      <c r="T15" s="650"/>
      <c r="U15" s="650"/>
      <c r="V15" s="650"/>
      <c r="W15" s="650"/>
      <c r="X15" s="650"/>
      <c r="Y15" s="650"/>
      <c r="Z15" s="650"/>
      <c r="AA15" s="650"/>
    </row>
    <row r="16" spans="1:27" x14ac:dyDescent="0.2">
      <c r="A16" s="8"/>
      <c r="B16" s="19" t="s">
        <v>120</v>
      </c>
      <c r="C16" s="661"/>
      <c r="D16" s="650"/>
      <c r="E16" s="650"/>
      <c r="F16" s="650"/>
      <c r="G16" s="650"/>
      <c r="H16" s="650"/>
      <c r="I16" s="650"/>
      <c r="J16" s="650"/>
      <c r="K16" s="650"/>
      <c r="L16" s="650"/>
      <c r="M16" s="650"/>
      <c r="N16" s="650"/>
      <c r="O16" s="650"/>
      <c r="P16" s="650"/>
      <c r="Q16" s="650"/>
      <c r="R16" s="650"/>
      <c r="S16" s="650"/>
      <c r="T16" s="650"/>
      <c r="U16" s="650"/>
      <c r="V16" s="650"/>
      <c r="W16" s="650"/>
      <c r="X16" s="650"/>
      <c r="Y16" s="650"/>
      <c r="Z16" s="650"/>
      <c r="AA16" s="650"/>
    </row>
    <row r="17" spans="1:27" x14ac:dyDescent="0.2">
      <c r="A17" s="8"/>
      <c r="B17" s="18" t="s">
        <v>121</v>
      </c>
      <c r="C17" s="661"/>
      <c r="D17" s="650"/>
      <c r="E17" s="650"/>
      <c r="F17" s="650"/>
      <c r="G17" s="650"/>
      <c r="H17" s="650"/>
      <c r="I17" s="650"/>
      <c r="J17" s="650"/>
      <c r="K17" s="650"/>
      <c r="L17" s="650"/>
      <c r="M17" s="650"/>
      <c r="N17" s="650"/>
      <c r="O17" s="650"/>
      <c r="P17" s="650"/>
      <c r="Q17" s="650"/>
      <c r="R17" s="650"/>
      <c r="S17" s="650"/>
      <c r="T17" s="650"/>
      <c r="U17" s="650"/>
      <c r="V17" s="650"/>
      <c r="W17" s="650"/>
      <c r="X17" s="650"/>
      <c r="Y17" s="650"/>
      <c r="Z17" s="650"/>
      <c r="AA17" s="650"/>
    </row>
    <row r="18" spans="1:27" ht="10" customHeight="1" x14ac:dyDescent="0.2">
      <c r="C18" s="662"/>
      <c r="D18" s="651"/>
      <c r="E18" s="651"/>
      <c r="F18" s="651"/>
      <c r="G18" s="651"/>
      <c r="H18" s="651"/>
      <c r="I18" s="651"/>
      <c r="J18" s="651"/>
      <c r="K18" s="651"/>
      <c r="L18" s="651"/>
      <c r="M18" s="651"/>
      <c r="N18" s="651"/>
      <c r="O18" s="651"/>
      <c r="P18" s="651"/>
      <c r="Q18" s="651"/>
      <c r="R18" s="651"/>
      <c r="S18" s="651"/>
      <c r="T18" s="651"/>
      <c r="U18" s="651"/>
      <c r="V18" s="651"/>
      <c r="W18" s="651"/>
    </row>
    <row r="19" spans="1:27" ht="21" x14ac:dyDescent="0.2">
      <c r="B19" s="515" t="s">
        <v>99</v>
      </c>
      <c r="C19" s="658"/>
      <c r="D19" s="645"/>
      <c r="E19" s="645"/>
      <c r="F19" s="645"/>
      <c r="G19" s="645"/>
      <c r="H19" s="645"/>
      <c r="I19" s="645"/>
      <c r="J19" s="645"/>
      <c r="K19" s="645"/>
      <c r="L19" s="645"/>
      <c r="M19" s="645"/>
      <c r="N19" s="645"/>
      <c r="O19" s="645"/>
      <c r="P19" s="645"/>
      <c r="Q19" s="645"/>
      <c r="R19" s="645"/>
      <c r="S19" s="645"/>
      <c r="T19" s="645"/>
      <c r="U19" s="645"/>
      <c r="V19" s="645"/>
      <c r="W19" s="645"/>
    </row>
    <row r="20" spans="1:27" hidden="1" x14ac:dyDescent="0.2">
      <c r="B20" s="15"/>
      <c r="C20" s="663" t="s">
        <v>612</v>
      </c>
      <c r="D20" s="653" t="s">
        <v>613</v>
      </c>
      <c r="E20" s="653" t="s">
        <v>614</v>
      </c>
      <c r="F20" s="653" t="s">
        <v>615</v>
      </c>
      <c r="G20" s="653" t="s">
        <v>616</v>
      </c>
      <c r="H20" s="653" t="s">
        <v>611</v>
      </c>
      <c r="I20" s="653" t="s">
        <v>611</v>
      </c>
      <c r="J20" s="653" t="s">
        <v>617</v>
      </c>
      <c r="K20" s="653" t="s">
        <v>618</v>
      </c>
      <c r="L20" s="653" t="s">
        <v>611</v>
      </c>
      <c r="M20" s="653" t="s">
        <v>619</v>
      </c>
      <c r="N20" s="653" t="s">
        <v>620</v>
      </c>
      <c r="O20" s="653" t="s">
        <v>621</v>
      </c>
      <c r="P20" s="653" t="s">
        <v>622</v>
      </c>
      <c r="Q20" s="653" t="s">
        <v>623</v>
      </c>
      <c r="R20" s="653" t="s">
        <v>611</v>
      </c>
      <c r="S20" s="653" t="s">
        <v>611</v>
      </c>
      <c r="T20" s="653" t="s">
        <v>624</v>
      </c>
      <c r="U20" s="653" t="s">
        <v>625</v>
      </c>
      <c r="V20" s="653" t="s">
        <v>626</v>
      </c>
      <c r="W20" s="653" t="s">
        <v>618</v>
      </c>
      <c r="X20" s="653" t="s">
        <v>627</v>
      </c>
      <c r="Y20" s="653" t="s">
        <v>611</v>
      </c>
      <c r="Z20" s="653" t="s">
        <v>620</v>
      </c>
      <c r="AA20" s="653" t="s">
        <v>628</v>
      </c>
    </row>
    <row r="21" spans="1:27" x14ac:dyDescent="0.2">
      <c r="B21" s="8" t="s">
        <v>55</v>
      </c>
      <c r="C21" s="661" t="str">
        <f t="shared" ref="C21:W21" si="0">IFERROR(IF(SEARCH("24_hour_maintenance",C$20)&gt;0,"X",""),"")</f>
        <v/>
      </c>
      <c r="D21" s="650" t="str">
        <f t="shared" si="0"/>
        <v/>
      </c>
      <c r="E21" s="650" t="str">
        <f t="shared" si="0"/>
        <v/>
      </c>
      <c r="F21" s="650" t="str">
        <f t="shared" si="0"/>
        <v/>
      </c>
      <c r="G21" s="650" t="str">
        <f t="shared" si="0"/>
        <v/>
      </c>
      <c r="H21" s="650" t="str">
        <f t="shared" si="0"/>
        <v/>
      </c>
      <c r="I21" s="650" t="str">
        <f t="shared" si="0"/>
        <v/>
      </c>
      <c r="J21" s="650" t="str">
        <f t="shared" si="0"/>
        <v/>
      </c>
      <c r="K21" s="650" t="str">
        <f t="shared" si="0"/>
        <v/>
      </c>
      <c r="L21" s="650" t="str">
        <f t="shared" si="0"/>
        <v/>
      </c>
      <c r="M21" s="650" t="str">
        <f t="shared" si="0"/>
        <v/>
      </c>
      <c r="N21" s="650" t="str">
        <f t="shared" si="0"/>
        <v/>
      </c>
      <c r="O21" s="650" t="str">
        <f t="shared" si="0"/>
        <v/>
      </c>
      <c r="P21" s="650" t="str">
        <f t="shared" si="0"/>
        <v/>
      </c>
      <c r="Q21" s="650" t="str">
        <f t="shared" si="0"/>
        <v/>
      </c>
      <c r="R21" s="650" t="str">
        <f t="shared" si="0"/>
        <v/>
      </c>
      <c r="S21" s="650" t="str">
        <f t="shared" si="0"/>
        <v/>
      </c>
      <c r="T21" s="650" t="str">
        <f t="shared" si="0"/>
        <v/>
      </c>
      <c r="U21" s="650" t="str">
        <f t="shared" si="0"/>
        <v/>
      </c>
      <c r="V21" s="650" t="str">
        <f t="shared" si="0"/>
        <v/>
      </c>
      <c r="W21" s="650" t="str">
        <f t="shared" si="0"/>
        <v/>
      </c>
    </row>
    <row r="22" spans="1:27" x14ac:dyDescent="0.2">
      <c r="B22" s="8" t="s">
        <v>56</v>
      </c>
      <c r="C22" s="661" t="str">
        <f t="shared" ref="C22:W22" si="1">IFERROR(IF(SEARCH("grill",C$20)&gt;0,"X",""),"")</f>
        <v/>
      </c>
      <c r="D22" s="650" t="str">
        <f t="shared" si="1"/>
        <v/>
      </c>
      <c r="E22" s="650" t="str">
        <f t="shared" si="1"/>
        <v/>
      </c>
      <c r="F22" s="650" t="str">
        <f t="shared" si="1"/>
        <v/>
      </c>
      <c r="G22" s="650" t="str">
        <f t="shared" si="1"/>
        <v/>
      </c>
      <c r="H22" s="650" t="str">
        <f t="shared" si="1"/>
        <v/>
      </c>
      <c r="I22" s="650" t="str">
        <f t="shared" si="1"/>
        <v/>
      </c>
      <c r="J22" s="650" t="str">
        <f t="shared" si="1"/>
        <v/>
      </c>
      <c r="K22" s="650" t="str">
        <f t="shared" si="1"/>
        <v/>
      </c>
      <c r="L22" s="650" t="str">
        <f t="shared" si="1"/>
        <v/>
      </c>
      <c r="M22" s="650" t="str">
        <f t="shared" si="1"/>
        <v/>
      </c>
      <c r="N22" s="650" t="str">
        <f t="shared" si="1"/>
        <v/>
      </c>
      <c r="O22" s="650" t="str">
        <f t="shared" si="1"/>
        <v/>
      </c>
      <c r="P22" s="650" t="str">
        <f t="shared" si="1"/>
        <v/>
      </c>
      <c r="Q22" s="650" t="str">
        <f t="shared" si="1"/>
        <v/>
      </c>
      <c r="R22" s="650" t="str">
        <f t="shared" si="1"/>
        <v/>
      </c>
      <c r="S22" s="650" t="str">
        <f t="shared" si="1"/>
        <v/>
      </c>
      <c r="T22" s="650" t="str">
        <f t="shared" si="1"/>
        <v/>
      </c>
      <c r="U22" s="650" t="str">
        <f t="shared" si="1"/>
        <v/>
      </c>
      <c r="V22" s="650" t="str">
        <f t="shared" si="1"/>
        <v/>
      </c>
      <c r="W22" s="650" t="str">
        <f t="shared" si="1"/>
        <v/>
      </c>
    </row>
    <row r="23" spans="1:27" x14ac:dyDescent="0.2">
      <c r="B23" s="8" t="s">
        <v>57</v>
      </c>
      <c r="C23" s="661" t="str">
        <f t="shared" ref="C23:W23" si="2">IFERROR(IF(SEARCH("bike",C$20)&gt;0,"X",""),"")</f>
        <v/>
      </c>
      <c r="D23" s="650" t="str">
        <f t="shared" si="2"/>
        <v/>
      </c>
      <c r="E23" s="650" t="str">
        <f t="shared" si="2"/>
        <v>X</v>
      </c>
      <c r="F23" s="650" t="str">
        <f t="shared" si="2"/>
        <v/>
      </c>
      <c r="G23" s="650" t="str">
        <f t="shared" si="2"/>
        <v/>
      </c>
      <c r="H23" s="650" t="str">
        <f t="shared" si="2"/>
        <v/>
      </c>
      <c r="I23" s="650" t="str">
        <f t="shared" si="2"/>
        <v/>
      </c>
      <c r="J23" s="650" t="str">
        <f t="shared" si="2"/>
        <v/>
      </c>
      <c r="K23" s="650" t="str">
        <f t="shared" si="2"/>
        <v/>
      </c>
      <c r="L23" s="650" t="str">
        <f t="shared" si="2"/>
        <v/>
      </c>
      <c r="M23" s="650" t="str">
        <f t="shared" si="2"/>
        <v/>
      </c>
      <c r="N23" s="650" t="str">
        <f t="shared" si="2"/>
        <v/>
      </c>
      <c r="O23" s="650" t="str">
        <f t="shared" si="2"/>
        <v/>
      </c>
      <c r="P23" s="650" t="str">
        <f t="shared" si="2"/>
        <v>X</v>
      </c>
      <c r="Q23" s="650" t="str">
        <f t="shared" si="2"/>
        <v/>
      </c>
      <c r="R23" s="650" t="str">
        <f t="shared" si="2"/>
        <v/>
      </c>
      <c r="S23" s="650" t="str">
        <f t="shared" si="2"/>
        <v/>
      </c>
      <c r="T23" s="650" t="str">
        <f t="shared" si="2"/>
        <v/>
      </c>
      <c r="U23" s="650" t="str">
        <f t="shared" si="2"/>
        <v/>
      </c>
      <c r="V23" s="650" t="str">
        <f t="shared" si="2"/>
        <v/>
      </c>
      <c r="W23" s="650" t="str">
        <f t="shared" si="2"/>
        <v/>
      </c>
    </row>
    <row r="24" spans="1:27" x14ac:dyDescent="0.2">
      <c r="B24" s="8" t="s">
        <v>58</v>
      </c>
      <c r="C24" s="661" t="str">
        <f t="shared" ref="C24:W24" si="3">IFERROR(IF(SEARCH("business",C$20)&gt;0,"X",""),"")</f>
        <v/>
      </c>
      <c r="D24" s="650" t="str">
        <f t="shared" si="3"/>
        <v/>
      </c>
      <c r="E24" s="650" t="str">
        <f t="shared" si="3"/>
        <v/>
      </c>
      <c r="F24" s="650" t="str">
        <f t="shared" si="3"/>
        <v/>
      </c>
      <c r="G24" s="650" t="str">
        <f t="shared" si="3"/>
        <v/>
      </c>
      <c r="H24" s="650" t="str">
        <f t="shared" si="3"/>
        <v/>
      </c>
      <c r="I24" s="650" t="str">
        <f t="shared" si="3"/>
        <v/>
      </c>
      <c r="J24" s="650" t="str">
        <f t="shared" si="3"/>
        <v/>
      </c>
      <c r="K24" s="650" t="str">
        <f t="shared" si="3"/>
        <v/>
      </c>
      <c r="L24" s="650" t="str">
        <f t="shared" si="3"/>
        <v/>
      </c>
      <c r="M24" s="650" t="str">
        <f t="shared" si="3"/>
        <v/>
      </c>
      <c r="N24" s="650" t="str">
        <f t="shared" si="3"/>
        <v/>
      </c>
      <c r="O24" s="650" t="str">
        <f t="shared" si="3"/>
        <v/>
      </c>
      <c r="P24" s="650" t="str">
        <f t="shared" si="3"/>
        <v/>
      </c>
      <c r="Q24" s="650" t="str">
        <f t="shared" si="3"/>
        <v/>
      </c>
      <c r="R24" s="650" t="str">
        <f t="shared" si="3"/>
        <v/>
      </c>
      <c r="S24" s="650" t="str">
        <f t="shared" si="3"/>
        <v/>
      </c>
      <c r="T24" s="650" t="str">
        <f t="shared" si="3"/>
        <v/>
      </c>
      <c r="U24" s="650" t="str">
        <f t="shared" si="3"/>
        <v>X</v>
      </c>
      <c r="V24" s="650" t="str">
        <f t="shared" si="3"/>
        <v/>
      </c>
      <c r="W24" s="650" t="str">
        <f t="shared" si="3"/>
        <v/>
      </c>
    </row>
    <row r="25" spans="1:27" x14ac:dyDescent="0.2">
      <c r="B25" s="8" t="s">
        <v>59</v>
      </c>
      <c r="C25" s="661" t="str">
        <f t="shared" ref="C25:W25" si="4">IFERROR(IF(SEARCH("wifi",C$20)&gt;0,"X",""),"")</f>
        <v/>
      </c>
      <c r="D25" s="650" t="str">
        <f t="shared" si="4"/>
        <v/>
      </c>
      <c r="E25" s="650" t="str">
        <f t="shared" si="4"/>
        <v/>
      </c>
      <c r="F25" s="650" t="str">
        <f t="shared" si="4"/>
        <v/>
      </c>
      <c r="G25" s="650" t="str">
        <f t="shared" si="4"/>
        <v/>
      </c>
      <c r="H25" s="650" t="str">
        <f t="shared" si="4"/>
        <v/>
      </c>
      <c r="I25" s="650" t="str">
        <f t="shared" si="4"/>
        <v/>
      </c>
      <c r="J25" s="650" t="str">
        <f t="shared" si="4"/>
        <v/>
      </c>
      <c r="K25" s="650" t="str">
        <f t="shared" si="4"/>
        <v/>
      </c>
      <c r="L25" s="650" t="str">
        <f t="shared" si="4"/>
        <v/>
      </c>
      <c r="M25" s="650" t="str">
        <f t="shared" si="4"/>
        <v/>
      </c>
      <c r="N25" s="650" t="str">
        <f t="shared" si="4"/>
        <v/>
      </c>
      <c r="O25" s="650" t="str">
        <f t="shared" si="4"/>
        <v/>
      </c>
      <c r="P25" s="650" t="str">
        <f t="shared" si="4"/>
        <v/>
      </c>
      <c r="Q25" s="650" t="str">
        <f t="shared" si="4"/>
        <v/>
      </c>
      <c r="R25" s="650" t="str">
        <f t="shared" si="4"/>
        <v/>
      </c>
      <c r="S25" s="650" t="str">
        <f t="shared" si="4"/>
        <v/>
      </c>
      <c r="T25" s="650" t="str">
        <f t="shared" si="4"/>
        <v/>
      </c>
      <c r="U25" s="650" t="str">
        <f t="shared" si="4"/>
        <v/>
      </c>
      <c r="V25" s="650" t="str">
        <f t="shared" si="4"/>
        <v/>
      </c>
      <c r="W25" s="650" t="str">
        <f t="shared" si="4"/>
        <v/>
      </c>
    </row>
    <row r="26" spans="1:27" x14ac:dyDescent="0.2">
      <c r="B26" s="8" t="s">
        <v>60</v>
      </c>
      <c r="C26" s="661" t="str">
        <f t="shared" ref="C26:W26" si="5">IFERROR(IF(SEARCH("concierge",C$20)&gt;0,"X",""),"")</f>
        <v/>
      </c>
      <c r="D26" s="650" t="str">
        <f t="shared" si="5"/>
        <v/>
      </c>
      <c r="E26" s="650" t="str">
        <f t="shared" si="5"/>
        <v/>
      </c>
      <c r="F26" s="650" t="str">
        <f t="shared" si="5"/>
        <v/>
      </c>
      <c r="G26" s="650" t="str">
        <f t="shared" si="5"/>
        <v/>
      </c>
      <c r="H26" s="650" t="str">
        <f t="shared" si="5"/>
        <v/>
      </c>
      <c r="I26" s="650" t="str">
        <f t="shared" si="5"/>
        <v/>
      </c>
      <c r="J26" s="650" t="str">
        <f t="shared" si="5"/>
        <v/>
      </c>
      <c r="K26" s="650" t="str">
        <f t="shared" si="5"/>
        <v/>
      </c>
      <c r="L26" s="650" t="str">
        <f t="shared" si="5"/>
        <v/>
      </c>
      <c r="M26" s="650" t="str">
        <f t="shared" si="5"/>
        <v/>
      </c>
      <c r="N26" s="650" t="str">
        <f t="shared" si="5"/>
        <v/>
      </c>
      <c r="O26" s="650" t="str">
        <f t="shared" si="5"/>
        <v/>
      </c>
      <c r="P26" s="650" t="str">
        <f t="shared" si="5"/>
        <v/>
      </c>
      <c r="Q26" s="650" t="str">
        <f t="shared" si="5"/>
        <v/>
      </c>
      <c r="R26" s="650" t="str">
        <f t="shared" si="5"/>
        <v/>
      </c>
      <c r="S26" s="650" t="str">
        <f t="shared" si="5"/>
        <v/>
      </c>
      <c r="T26" s="650" t="str">
        <f t="shared" si="5"/>
        <v/>
      </c>
      <c r="U26" s="650" t="str">
        <f t="shared" si="5"/>
        <v/>
      </c>
      <c r="V26" s="650" t="str">
        <f t="shared" si="5"/>
        <v/>
      </c>
      <c r="W26" s="650" t="str">
        <f t="shared" si="5"/>
        <v/>
      </c>
    </row>
    <row r="27" spans="1:27" x14ac:dyDescent="0.2">
      <c r="B27" s="8" t="s">
        <v>61</v>
      </c>
      <c r="C27" s="661" t="str">
        <f t="shared" ref="C27:W27" si="6">IFERROR(IF(SEARCH("controlled",C$20)&gt;0,"X",""),"")</f>
        <v/>
      </c>
      <c r="D27" s="650" t="str">
        <f t="shared" si="6"/>
        <v/>
      </c>
      <c r="E27" s="650" t="str">
        <f t="shared" si="6"/>
        <v/>
      </c>
      <c r="F27" s="650" t="str">
        <f t="shared" si="6"/>
        <v/>
      </c>
      <c r="G27" s="650" t="str">
        <f t="shared" si="6"/>
        <v/>
      </c>
      <c r="H27" s="650" t="str">
        <f t="shared" si="6"/>
        <v/>
      </c>
      <c r="I27" s="650" t="str">
        <f t="shared" si="6"/>
        <v/>
      </c>
      <c r="J27" s="650" t="str">
        <f t="shared" si="6"/>
        <v/>
      </c>
      <c r="K27" s="650" t="str">
        <f t="shared" si="6"/>
        <v/>
      </c>
      <c r="L27" s="650" t="str">
        <f t="shared" si="6"/>
        <v/>
      </c>
      <c r="M27" s="650" t="str">
        <f t="shared" si="6"/>
        <v/>
      </c>
      <c r="N27" s="650" t="str">
        <f t="shared" si="6"/>
        <v/>
      </c>
      <c r="O27" s="650" t="str">
        <f t="shared" si="6"/>
        <v/>
      </c>
      <c r="P27" s="650" t="str">
        <f t="shared" si="6"/>
        <v/>
      </c>
      <c r="Q27" s="650" t="str">
        <f t="shared" si="6"/>
        <v/>
      </c>
      <c r="R27" s="650" t="str">
        <f t="shared" si="6"/>
        <v/>
      </c>
      <c r="S27" s="650" t="str">
        <f t="shared" si="6"/>
        <v/>
      </c>
      <c r="T27" s="650" t="str">
        <f t="shared" si="6"/>
        <v/>
      </c>
      <c r="U27" s="650" t="str">
        <f t="shared" si="6"/>
        <v/>
      </c>
      <c r="V27" s="650" t="str">
        <f t="shared" si="6"/>
        <v/>
      </c>
      <c r="W27" s="650" t="str">
        <f t="shared" si="6"/>
        <v/>
      </c>
    </row>
    <row r="28" spans="1:27" x14ac:dyDescent="0.2">
      <c r="B28" s="8" t="s">
        <v>62</v>
      </c>
      <c r="C28" s="661" t="str">
        <f t="shared" ref="C28:W28" si="7">IFERROR(IF(SEARCH("charging",C$20)&gt;0,"X",""),"")</f>
        <v/>
      </c>
      <c r="D28" s="650" t="str">
        <f t="shared" si="7"/>
        <v/>
      </c>
      <c r="E28" s="650" t="str">
        <f t="shared" si="7"/>
        <v/>
      </c>
      <c r="F28" s="650" t="str">
        <f t="shared" si="7"/>
        <v/>
      </c>
      <c r="G28" s="650" t="str">
        <f t="shared" si="7"/>
        <v/>
      </c>
      <c r="H28" s="650" t="str">
        <f t="shared" si="7"/>
        <v/>
      </c>
      <c r="I28" s="650" t="str">
        <f t="shared" si="7"/>
        <v/>
      </c>
      <c r="J28" s="650" t="str">
        <f t="shared" si="7"/>
        <v/>
      </c>
      <c r="K28" s="650" t="str">
        <f t="shared" si="7"/>
        <v/>
      </c>
      <c r="L28" s="650" t="str">
        <f t="shared" si="7"/>
        <v/>
      </c>
      <c r="M28" s="650" t="str">
        <f t="shared" si="7"/>
        <v/>
      </c>
      <c r="N28" s="650" t="str">
        <f t="shared" si="7"/>
        <v/>
      </c>
      <c r="O28" s="650" t="str">
        <f t="shared" si="7"/>
        <v/>
      </c>
      <c r="P28" s="650" t="str">
        <f t="shared" si="7"/>
        <v/>
      </c>
      <c r="Q28" s="650" t="str">
        <f t="shared" si="7"/>
        <v/>
      </c>
      <c r="R28" s="650" t="str">
        <f t="shared" si="7"/>
        <v/>
      </c>
      <c r="S28" s="650" t="str">
        <f t="shared" si="7"/>
        <v/>
      </c>
      <c r="T28" s="650" t="str">
        <f t="shared" si="7"/>
        <v/>
      </c>
      <c r="U28" s="650" t="str">
        <f t="shared" si="7"/>
        <v/>
      </c>
      <c r="V28" s="650" t="str">
        <f t="shared" si="7"/>
        <v/>
      </c>
      <c r="W28" s="650" t="str">
        <f t="shared" si="7"/>
        <v/>
      </c>
    </row>
    <row r="29" spans="1:27" x14ac:dyDescent="0.2">
      <c r="B29" s="8" t="s">
        <v>63</v>
      </c>
      <c r="C29" s="661" t="str">
        <f t="shared" ref="C29:W29" si="8">IFERROR(IF(SEARCH("additional_storage_space",C$20)&gt;0,"X",""),"")</f>
        <v/>
      </c>
      <c r="D29" s="650" t="str">
        <f t="shared" si="8"/>
        <v>X</v>
      </c>
      <c r="E29" s="650" t="str">
        <f t="shared" si="8"/>
        <v/>
      </c>
      <c r="F29" s="650" t="str">
        <f t="shared" si="8"/>
        <v>X</v>
      </c>
      <c r="G29" s="650" t="str">
        <f t="shared" si="8"/>
        <v/>
      </c>
      <c r="H29" s="650" t="str">
        <f t="shared" si="8"/>
        <v/>
      </c>
      <c r="I29" s="650" t="str">
        <f t="shared" si="8"/>
        <v/>
      </c>
      <c r="J29" s="650" t="str">
        <f t="shared" si="8"/>
        <v>X</v>
      </c>
      <c r="K29" s="650" t="str">
        <f t="shared" si="8"/>
        <v/>
      </c>
      <c r="L29" s="650" t="str">
        <f t="shared" si="8"/>
        <v/>
      </c>
      <c r="M29" s="650" t="str">
        <f t="shared" si="8"/>
        <v/>
      </c>
      <c r="N29" s="650" t="str">
        <f t="shared" si="8"/>
        <v/>
      </c>
      <c r="O29" s="650" t="str">
        <f t="shared" si="8"/>
        <v/>
      </c>
      <c r="P29" s="650" t="str">
        <f t="shared" si="8"/>
        <v/>
      </c>
      <c r="Q29" s="650" t="str">
        <f t="shared" si="8"/>
        <v/>
      </c>
      <c r="R29" s="650" t="str">
        <f t="shared" si="8"/>
        <v/>
      </c>
      <c r="S29" s="650" t="str">
        <f t="shared" si="8"/>
        <v/>
      </c>
      <c r="T29" s="650" t="str">
        <f t="shared" si="8"/>
        <v>X</v>
      </c>
      <c r="U29" s="650" t="str">
        <f t="shared" si="8"/>
        <v/>
      </c>
      <c r="V29" s="650" t="str">
        <f t="shared" si="8"/>
        <v/>
      </c>
      <c r="W29" s="650" t="str">
        <f t="shared" si="8"/>
        <v/>
      </c>
    </row>
    <row r="30" spans="1:27" x14ac:dyDescent="0.2">
      <c r="B30" s="8" t="s">
        <v>64</v>
      </c>
      <c r="C30" s="661" t="str">
        <f t="shared" ref="C30:W30" si="9">IFERROR(IF(SEARCH("firepit",C$20)&gt;0,"X",""),"")</f>
        <v/>
      </c>
      <c r="D30" s="650" t="str">
        <f t="shared" si="9"/>
        <v/>
      </c>
      <c r="E30" s="650" t="str">
        <f t="shared" si="9"/>
        <v/>
      </c>
      <c r="F30" s="650" t="str">
        <f t="shared" si="9"/>
        <v/>
      </c>
      <c r="G30" s="650" t="str">
        <f t="shared" si="9"/>
        <v/>
      </c>
      <c r="H30" s="650" t="str">
        <f t="shared" si="9"/>
        <v/>
      </c>
      <c r="I30" s="650" t="str">
        <f t="shared" si="9"/>
        <v/>
      </c>
      <c r="J30" s="650" t="str">
        <f t="shared" si="9"/>
        <v/>
      </c>
      <c r="K30" s="650" t="str">
        <f t="shared" si="9"/>
        <v/>
      </c>
      <c r="L30" s="650" t="str">
        <f t="shared" si="9"/>
        <v/>
      </c>
      <c r="M30" s="650" t="str">
        <f t="shared" si="9"/>
        <v/>
      </c>
      <c r="N30" s="650" t="str">
        <f t="shared" si="9"/>
        <v/>
      </c>
      <c r="O30" s="650" t="str">
        <f t="shared" si="9"/>
        <v/>
      </c>
      <c r="P30" s="650" t="str">
        <f t="shared" si="9"/>
        <v/>
      </c>
      <c r="Q30" s="650" t="str">
        <f t="shared" si="9"/>
        <v/>
      </c>
      <c r="R30" s="650" t="str">
        <f t="shared" si="9"/>
        <v/>
      </c>
      <c r="S30" s="650" t="str">
        <f t="shared" si="9"/>
        <v/>
      </c>
      <c r="T30" s="650" t="str">
        <f t="shared" si="9"/>
        <v/>
      </c>
      <c r="U30" s="650" t="str">
        <f t="shared" si="9"/>
        <v/>
      </c>
      <c r="V30" s="650" t="str">
        <f t="shared" si="9"/>
        <v/>
      </c>
      <c r="W30" s="650" t="str">
        <f t="shared" si="9"/>
        <v/>
      </c>
    </row>
    <row r="31" spans="1:27" x14ac:dyDescent="0.2">
      <c r="B31" s="8" t="s">
        <v>51</v>
      </c>
      <c r="C31" s="661" t="str">
        <f t="shared" ref="C31:W31" si="10">IFERROR(IF(SEARCH("fitness_center",C$20)&gt;0,"X",""),"")</f>
        <v/>
      </c>
      <c r="D31" s="650" t="str">
        <f t="shared" si="10"/>
        <v/>
      </c>
      <c r="E31" s="650" t="str">
        <f t="shared" si="10"/>
        <v/>
      </c>
      <c r="F31" s="650" t="str">
        <f t="shared" si="10"/>
        <v/>
      </c>
      <c r="G31" s="650" t="str">
        <f t="shared" si="10"/>
        <v/>
      </c>
      <c r="H31" s="650" t="str">
        <f t="shared" si="10"/>
        <v/>
      </c>
      <c r="I31" s="650" t="str">
        <f t="shared" si="10"/>
        <v/>
      </c>
      <c r="J31" s="650" t="str">
        <f t="shared" si="10"/>
        <v/>
      </c>
      <c r="K31" s="650" t="str">
        <f t="shared" si="10"/>
        <v/>
      </c>
      <c r="L31" s="650" t="str">
        <f t="shared" si="10"/>
        <v/>
      </c>
      <c r="M31" s="650" t="str">
        <f t="shared" si="10"/>
        <v/>
      </c>
      <c r="N31" s="650" t="str">
        <f t="shared" si="10"/>
        <v/>
      </c>
      <c r="O31" s="650" t="str">
        <f t="shared" si="10"/>
        <v/>
      </c>
      <c r="P31" s="650" t="str">
        <f t="shared" si="10"/>
        <v/>
      </c>
      <c r="Q31" s="650" t="str">
        <f t="shared" si="10"/>
        <v/>
      </c>
      <c r="R31" s="650" t="str">
        <f t="shared" si="10"/>
        <v/>
      </c>
      <c r="S31" s="650" t="str">
        <f t="shared" si="10"/>
        <v/>
      </c>
      <c r="T31" s="650" t="str">
        <f t="shared" si="10"/>
        <v/>
      </c>
      <c r="U31" s="650" t="str">
        <f t="shared" si="10"/>
        <v/>
      </c>
      <c r="V31" s="650" t="str">
        <f t="shared" si="10"/>
        <v/>
      </c>
      <c r="W31" s="650" t="str">
        <f t="shared" si="10"/>
        <v/>
      </c>
    </row>
    <row r="32" spans="1:27" x14ac:dyDescent="0.2">
      <c r="B32" s="8" t="s">
        <v>65</v>
      </c>
      <c r="C32" s="661" t="str">
        <f t="shared" ref="C32:W32" si="11">IFERROR(IF(SEARCH("laundry_room",C$20)&gt;0,"X",""),"")</f>
        <v>X</v>
      </c>
      <c r="D32" s="650" t="str">
        <f t="shared" si="11"/>
        <v/>
      </c>
      <c r="E32" s="650" t="str">
        <f t="shared" si="11"/>
        <v>X</v>
      </c>
      <c r="F32" s="650" t="str">
        <f t="shared" si="11"/>
        <v>X</v>
      </c>
      <c r="G32" s="650" t="str">
        <f t="shared" si="11"/>
        <v/>
      </c>
      <c r="H32" s="650" t="str">
        <f t="shared" si="11"/>
        <v/>
      </c>
      <c r="I32" s="650" t="str">
        <f t="shared" si="11"/>
        <v/>
      </c>
      <c r="J32" s="650" t="str">
        <f t="shared" si="11"/>
        <v/>
      </c>
      <c r="K32" s="650" t="str">
        <f t="shared" si="11"/>
        <v/>
      </c>
      <c r="L32" s="650" t="str">
        <f t="shared" si="11"/>
        <v/>
      </c>
      <c r="M32" s="650" t="str">
        <f t="shared" si="11"/>
        <v/>
      </c>
      <c r="N32" s="650" t="str">
        <f t="shared" si="11"/>
        <v/>
      </c>
      <c r="O32" s="650" t="str">
        <f t="shared" si="11"/>
        <v/>
      </c>
      <c r="P32" s="650" t="str">
        <f t="shared" si="11"/>
        <v/>
      </c>
      <c r="Q32" s="650" t="str">
        <f t="shared" si="11"/>
        <v/>
      </c>
      <c r="R32" s="650" t="str">
        <f t="shared" si="11"/>
        <v/>
      </c>
      <c r="S32" s="650" t="str">
        <f t="shared" si="11"/>
        <v/>
      </c>
      <c r="T32" s="650" t="str">
        <f t="shared" si="11"/>
        <v>X</v>
      </c>
      <c r="U32" s="650" t="str">
        <f t="shared" si="11"/>
        <v>X</v>
      </c>
      <c r="V32" s="650" t="str">
        <f t="shared" si="11"/>
        <v>X</v>
      </c>
      <c r="W32" s="650" t="str">
        <f t="shared" si="11"/>
        <v/>
      </c>
    </row>
    <row r="33" spans="2:27" x14ac:dyDescent="0.2">
      <c r="B33" s="8" t="s">
        <v>66</v>
      </c>
      <c r="C33" s="661" t="str">
        <f t="shared" ref="C33:W33" si="12">IFERROR(IF(SEARCH("laundry_service",C$20)&gt;0,"X",""),"")</f>
        <v/>
      </c>
      <c r="D33" s="650" t="str">
        <f t="shared" si="12"/>
        <v/>
      </c>
      <c r="E33" s="650" t="str">
        <f t="shared" si="12"/>
        <v/>
      </c>
      <c r="F33" s="650" t="str">
        <f t="shared" si="12"/>
        <v/>
      </c>
      <c r="G33" s="650" t="str">
        <f t="shared" si="12"/>
        <v/>
      </c>
      <c r="H33" s="650" t="str">
        <f t="shared" si="12"/>
        <v/>
      </c>
      <c r="I33" s="650" t="str">
        <f t="shared" si="12"/>
        <v/>
      </c>
      <c r="J33" s="650" t="str">
        <f t="shared" si="12"/>
        <v/>
      </c>
      <c r="K33" s="650" t="str">
        <f t="shared" si="12"/>
        <v/>
      </c>
      <c r="L33" s="650" t="str">
        <f t="shared" si="12"/>
        <v/>
      </c>
      <c r="M33" s="650" t="str">
        <f t="shared" si="12"/>
        <v/>
      </c>
      <c r="N33" s="650" t="str">
        <f t="shared" si="12"/>
        <v/>
      </c>
      <c r="O33" s="650" t="str">
        <f t="shared" si="12"/>
        <v/>
      </c>
      <c r="P33" s="650" t="str">
        <f t="shared" si="12"/>
        <v/>
      </c>
      <c r="Q33" s="650" t="str">
        <f t="shared" si="12"/>
        <v/>
      </c>
      <c r="R33" s="650" t="str">
        <f t="shared" si="12"/>
        <v/>
      </c>
      <c r="S33" s="650" t="str">
        <f t="shared" si="12"/>
        <v/>
      </c>
      <c r="T33" s="650" t="str">
        <f t="shared" si="12"/>
        <v>X</v>
      </c>
      <c r="U33" s="650" t="str">
        <f t="shared" si="12"/>
        <v>X</v>
      </c>
      <c r="V33" s="650" t="str">
        <f t="shared" si="12"/>
        <v>X</v>
      </c>
      <c r="W33" s="650" t="str">
        <f t="shared" si="12"/>
        <v/>
      </c>
    </row>
    <row r="34" spans="2:27" x14ac:dyDescent="0.2">
      <c r="B34" s="8" t="s">
        <v>67</v>
      </c>
      <c r="C34" s="661" t="str">
        <f t="shared" ref="C34:W34" si="13">IFERROR(IF(SEARCH("online_payment",C$20)&gt;0,"X",""),"")</f>
        <v/>
      </c>
      <c r="D34" s="650" t="str">
        <f t="shared" si="13"/>
        <v/>
      </c>
      <c r="E34" s="650" t="str">
        <f t="shared" si="13"/>
        <v/>
      </c>
      <c r="F34" s="650" t="str">
        <f t="shared" si="13"/>
        <v/>
      </c>
      <c r="G34" s="650" t="str">
        <f t="shared" si="13"/>
        <v/>
      </c>
      <c r="H34" s="650" t="str">
        <f t="shared" si="13"/>
        <v/>
      </c>
      <c r="I34" s="650" t="str">
        <f t="shared" si="13"/>
        <v/>
      </c>
      <c r="J34" s="650" t="str">
        <f t="shared" si="13"/>
        <v/>
      </c>
      <c r="K34" s="650" t="str">
        <f t="shared" si="13"/>
        <v/>
      </c>
      <c r="L34" s="650" t="str">
        <f t="shared" si="13"/>
        <v/>
      </c>
      <c r="M34" s="650" t="str">
        <f t="shared" si="13"/>
        <v/>
      </c>
      <c r="N34" s="650" t="str">
        <f t="shared" si="13"/>
        <v/>
      </c>
      <c r="O34" s="650" t="str">
        <f t="shared" si="13"/>
        <v/>
      </c>
      <c r="P34" s="650" t="str">
        <f t="shared" si="13"/>
        <v/>
      </c>
      <c r="Q34" s="650" t="str">
        <f t="shared" si="13"/>
        <v/>
      </c>
      <c r="R34" s="650" t="str">
        <f t="shared" si="13"/>
        <v/>
      </c>
      <c r="S34" s="650" t="str">
        <f t="shared" si="13"/>
        <v/>
      </c>
      <c r="T34" s="650" t="str">
        <f t="shared" si="13"/>
        <v/>
      </c>
      <c r="U34" s="650" t="str">
        <f t="shared" si="13"/>
        <v/>
      </c>
      <c r="V34" s="650" t="str">
        <f t="shared" si="13"/>
        <v/>
      </c>
      <c r="W34" s="650" t="str">
        <f t="shared" si="13"/>
        <v/>
      </c>
    </row>
    <row r="35" spans="2:27" x14ac:dyDescent="0.2">
      <c r="B35" s="8" t="s">
        <v>68</v>
      </c>
      <c r="C35" s="661" t="str">
        <f t="shared" ref="C35:W35" si="14">IFERROR(IF(SEARCH("party",C$20)&gt;0,"X",""),"")</f>
        <v/>
      </c>
      <c r="D35" s="650" t="str">
        <f t="shared" si="14"/>
        <v/>
      </c>
      <c r="E35" s="650" t="str">
        <f t="shared" si="14"/>
        <v/>
      </c>
      <c r="F35" s="650" t="str">
        <f t="shared" si="14"/>
        <v/>
      </c>
      <c r="G35" s="650" t="str">
        <f t="shared" si="14"/>
        <v/>
      </c>
      <c r="H35" s="650" t="str">
        <f t="shared" si="14"/>
        <v/>
      </c>
      <c r="I35" s="650" t="str">
        <f t="shared" si="14"/>
        <v/>
      </c>
      <c r="J35" s="650" t="str">
        <f t="shared" si="14"/>
        <v/>
      </c>
      <c r="K35" s="650" t="str">
        <f t="shared" si="14"/>
        <v/>
      </c>
      <c r="L35" s="650" t="str">
        <f t="shared" si="14"/>
        <v/>
      </c>
      <c r="M35" s="650" t="str">
        <f t="shared" si="14"/>
        <v/>
      </c>
      <c r="N35" s="650" t="str">
        <f t="shared" si="14"/>
        <v/>
      </c>
      <c r="O35" s="650" t="str">
        <f t="shared" si="14"/>
        <v/>
      </c>
      <c r="P35" s="650" t="str">
        <f t="shared" si="14"/>
        <v/>
      </c>
      <c r="Q35" s="650" t="str">
        <f t="shared" si="14"/>
        <v/>
      </c>
      <c r="R35" s="650" t="str">
        <f t="shared" si="14"/>
        <v/>
      </c>
      <c r="S35" s="650" t="str">
        <f t="shared" si="14"/>
        <v/>
      </c>
      <c r="T35" s="650" t="str">
        <f t="shared" si="14"/>
        <v/>
      </c>
      <c r="U35" s="650" t="str">
        <f t="shared" si="14"/>
        <v/>
      </c>
      <c r="V35" s="650" t="str">
        <f t="shared" si="14"/>
        <v/>
      </c>
      <c r="W35" s="650" t="str">
        <f t="shared" si="14"/>
        <v/>
      </c>
    </row>
    <row r="36" spans="2:27" x14ac:dyDescent="0.2">
      <c r="B36" s="8" t="s">
        <v>69</v>
      </c>
      <c r="C36" s="661" t="str">
        <f t="shared" ref="C36:W36" si="15">IFERROR(IF(SEARCH("package_receiving",C$20)&gt;0,"X",""),"")</f>
        <v/>
      </c>
      <c r="D36" s="650" t="str">
        <f t="shared" si="15"/>
        <v/>
      </c>
      <c r="E36" s="650" t="str">
        <f t="shared" si="15"/>
        <v/>
      </c>
      <c r="F36" s="650" t="str">
        <f t="shared" si="15"/>
        <v/>
      </c>
      <c r="G36" s="650" t="str">
        <f t="shared" si="15"/>
        <v/>
      </c>
      <c r="H36" s="650" t="str">
        <f t="shared" si="15"/>
        <v/>
      </c>
      <c r="I36" s="650" t="str">
        <f t="shared" si="15"/>
        <v/>
      </c>
      <c r="J36" s="650" t="str">
        <f t="shared" si="15"/>
        <v/>
      </c>
      <c r="K36" s="650" t="str">
        <f t="shared" si="15"/>
        <v/>
      </c>
      <c r="L36" s="650" t="str">
        <f t="shared" si="15"/>
        <v/>
      </c>
      <c r="M36" s="650" t="str">
        <f t="shared" si="15"/>
        <v/>
      </c>
      <c r="N36" s="650" t="str">
        <f t="shared" si="15"/>
        <v/>
      </c>
      <c r="O36" s="650" t="str">
        <f t="shared" si="15"/>
        <v/>
      </c>
      <c r="P36" s="650" t="str">
        <f t="shared" si="15"/>
        <v/>
      </c>
      <c r="Q36" s="650" t="str">
        <f t="shared" si="15"/>
        <v/>
      </c>
      <c r="R36" s="650" t="str">
        <f t="shared" si="15"/>
        <v/>
      </c>
      <c r="S36" s="650" t="str">
        <f t="shared" si="15"/>
        <v/>
      </c>
      <c r="T36" s="650" t="str">
        <f t="shared" si="15"/>
        <v/>
      </c>
      <c r="U36" s="650" t="str">
        <f t="shared" si="15"/>
        <v/>
      </c>
      <c r="V36" s="650" t="str">
        <f t="shared" si="15"/>
        <v/>
      </c>
      <c r="W36" s="650" t="str">
        <f t="shared" si="15"/>
        <v/>
      </c>
    </row>
    <row r="37" spans="2:27" x14ac:dyDescent="0.2">
      <c r="B37" s="8" t="s">
        <v>70</v>
      </c>
      <c r="C37" s="661" t="str">
        <f t="shared" ref="C37:W37" si="16">IFERROR(IF(SEARCH("playground",C$20)&gt;0,"X",""),"")</f>
        <v/>
      </c>
      <c r="D37" s="650" t="str">
        <f t="shared" si="16"/>
        <v/>
      </c>
      <c r="E37" s="650" t="str">
        <f t="shared" si="16"/>
        <v/>
      </c>
      <c r="F37" s="650" t="str">
        <f t="shared" si="16"/>
        <v/>
      </c>
      <c r="G37" s="650" t="str">
        <f t="shared" si="16"/>
        <v/>
      </c>
      <c r="H37" s="650" t="str">
        <f t="shared" si="16"/>
        <v/>
      </c>
      <c r="I37" s="650" t="str">
        <f t="shared" si="16"/>
        <v/>
      </c>
      <c r="J37" s="650" t="str">
        <f t="shared" si="16"/>
        <v/>
      </c>
      <c r="K37" s="650" t="str">
        <f t="shared" si="16"/>
        <v/>
      </c>
      <c r="L37" s="650" t="str">
        <f t="shared" si="16"/>
        <v/>
      </c>
      <c r="M37" s="650" t="str">
        <f t="shared" si="16"/>
        <v/>
      </c>
      <c r="N37" s="650" t="str">
        <f t="shared" si="16"/>
        <v/>
      </c>
      <c r="O37" s="650" t="str">
        <f t="shared" si="16"/>
        <v/>
      </c>
      <c r="P37" s="650" t="str">
        <f t="shared" si="16"/>
        <v/>
      </c>
      <c r="Q37" s="650" t="str">
        <f t="shared" si="16"/>
        <v/>
      </c>
      <c r="R37" s="650" t="str">
        <f t="shared" si="16"/>
        <v/>
      </c>
      <c r="S37" s="650" t="str">
        <f t="shared" si="16"/>
        <v/>
      </c>
      <c r="T37" s="650" t="str">
        <f t="shared" si="16"/>
        <v/>
      </c>
      <c r="U37" s="650" t="str">
        <f t="shared" si="16"/>
        <v/>
      </c>
      <c r="V37" s="650" t="str">
        <f t="shared" si="16"/>
        <v/>
      </c>
      <c r="W37" s="650" t="str">
        <f t="shared" si="16"/>
        <v/>
      </c>
    </row>
    <row r="38" spans="2:27" x14ac:dyDescent="0.2">
      <c r="B38" s="8" t="s">
        <v>71</v>
      </c>
      <c r="C38" s="661" t="str">
        <f t="shared" ref="C38:W38" si="17">IFERROR(IF(SEARCH("swimming_pool",C$20)&gt;0,"X",""),"")</f>
        <v/>
      </c>
      <c r="D38" s="650" t="str">
        <f t="shared" si="17"/>
        <v/>
      </c>
      <c r="E38" s="650" t="str">
        <f t="shared" si="17"/>
        <v/>
      </c>
      <c r="F38" s="650" t="str">
        <f t="shared" si="17"/>
        <v/>
      </c>
      <c r="G38" s="650" t="str">
        <f t="shared" si="17"/>
        <v/>
      </c>
      <c r="H38" s="650" t="str">
        <f t="shared" si="17"/>
        <v/>
      </c>
      <c r="I38" s="650" t="str">
        <f t="shared" si="17"/>
        <v/>
      </c>
      <c r="J38" s="650" t="str">
        <f t="shared" si="17"/>
        <v/>
      </c>
      <c r="K38" s="650" t="str">
        <f t="shared" si="17"/>
        <v/>
      </c>
      <c r="L38" s="650" t="str">
        <f t="shared" si="17"/>
        <v/>
      </c>
      <c r="M38" s="650" t="str">
        <f t="shared" si="17"/>
        <v/>
      </c>
      <c r="N38" s="650" t="str">
        <f t="shared" si="17"/>
        <v/>
      </c>
      <c r="O38" s="650" t="str">
        <f t="shared" si="17"/>
        <v/>
      </c>
      <c r="P38" s="650" t="str">
        <f t="shared" si="17"/>
        <v/>
      </c>
      <c r="Q38" s="650" t="str">
        <f t="shared" si="17"/>
        <v/>
      </c>
      <c r="R38" s="650" t="str">
        <f t="shared" si="17"/>
        <v/>
      </c>
      <c r="S38" s="650" t="str">
        <f t="shared" si="17"/>
        <v/>
      </c>
      <c r="T38" s="650" t="str">
        <f t="shared" si="17"/>
        <v/>
      </c>
      <c r="U38" s="650" t="str">
        <f t="shared" si="17"/>
        <v/>
      </c>
      <c r="V38" s="650" t="str">
        <f t="shared" si="17"/>
        <v/>
      </c>
      <c r="W38" s="650" t="str">
        <f t="shared" si="17"/>
        <v/>
      </c>
    </row>
    <row r="39" spans="2:27" x14ac:dyDescent="0.2">
      <c r="B39" s="8" t="s">
        <v>72</v>
      </c>
      <c r="C39" s="661" t="str">
        <f t="shared" ref="C39:W39" si="18">IFERROR(IF(SEARCH("reserved_parking",C$20)&gt;0,"X",""),"")</f>
        <v/>
      </c>
      <c r="D39" s="650" t="str">
        <f t="shared" si="18"/>
        <v/>
      </c>
      <c r="E39" s="650" t="str">
        <f t="shared" si="18"/>
        <v/>
      </c>
      <c r="F39" s="650" t="str">
        <f t="shared" si="18"/>
        <v/>
      </c>
      <c r="G39" s="650" t="str">
        <f t="shared" si="18"/>
        <v/>
      </c>
      <c r="H39" s="650" t="str">
        <f t="shared" si="18"/>
        <v/>
      </c>
      <c r="I39" s="650" t="str">
        <f t="shared" si="18"/>
        <v/>
      </c>
      <c r="J39" s="650" t="str">
        <f t="shared" si="18"/>
        <v>X</v>
      </c>
      <c r="K39" s="650" t="str">
        <f t="shared" si="18"/>
        <v/>
      </c>
      <c r="L39" s="650" t="str">
        <f t="shared" si="18"/>
        <v/>
      </c>
      <c r="M39" s="650" t="str">
        <f t="shared" si="18"/>
        <v/>
      </c>
      <c r="N39" s="650" t="str">
        <f t="shared" si="18"/>
        <v/>
      </c>
      <c r="O39" s="650" t="str">
        <f t="shared" si="18"/>
        <v>X</v>
      </c>
      <c r="P39" s="650" t="str">
        <f t="shared" si="18"/>
        <v/>
      </c>
      <c r="Q39" s="650" t="str">
        <f t="shared" si="18"/>
        <v/>
      </c>
      <c r="R39" s="650" t="str">
        <f t="shared" si="18"/>
        <v/>
      </c>
      <c r="S39" s="650" t="str">
        <f t="shared" si="18"/>
        <v/>
      </c>
      <c r="T39" s="650" t="str">
        <f t="shared" si="18"/>
        <v/>
      </c>
      <c r="U39" s="650" t="str">
        <f t="shared" si="18"/>
        <v/>
      </c>
      <c r="V39" s="650" t="str">
        <f t="shared" si="18"/>
        <v/>
      </c>
      <c r="W39" s="650" t="str">
        <f t="shared" si="18"/>
        <v/>
      </c>
    </row>
    <row r="40" spans="2:27" x14ac:dyDescent="0.2">
      <c r="B40" s="8" t="s">
        <v>73</v>
      </c>
      <c r="C40" s="661" t="str">
        <f t="shared" ref="C40:W40" si="19">IFERROR(IF(SEARCH("rooftop",C$20)&gt;0,"X",""),"")</f>
        <v/>
      </c>
      <c r="D40" s="650" t="str">
        <f t="shared" si="19"/>
        <v/>
      </c>
      <c r="E40" s="650" t="str">
        <f t="shared" si="19"/>
        <v/>
      </c>
      <c r="F40" s="650" t="str">
        <f t="shared" si="19"/>
        <v/>
      </c>
      <c r="G40" s="650" t="str">
        <f t="shared" si="19"/>
        <v/>
      </c>
      <c r="H40" s="650" t="str">
        <f t="shared" si="19"/>
        <v/>
      </c>
      <c r="I40" s="650" t="str">
        <f t="shared" si="19"/>
        <v/>
      </c>
      <c r="J40" s="650" t="str">
        <f t="shared" si="19"/>
        <v/>
      </c>
      <c r="K40" s="650" t="str">
        <f t="shared" si="19"/>
        <v/>
      </c>
      <c r="L40" s="650" t="str">
        <f t="shared" si="19"/>
        <v/>
      </c>
      <c r="M40" s="650" t="str">
        <f t="shared" si="19"/>
        <v/>
      </c>
      <c r="N40" s="650" t="str">
        <f t="shared" si="19"/>
        <v/>
      </c>
      <c r="O40" s="650" t="str">
        <f t="shared" si="19"/>
        <v/>
      </c>
      <c r="P40" s="650" t="str">
        <f t="shared" si="19"/>
        <v/>
      </c>
      <c r="Q40" s="650" t="str">
        <f t="shared" si="19"/>
        <v/>
      </c>
      <c r="R40" s="650" t="str">
        <f t="shared" si="19"/>
        <v/>
      </c>
      <c r="S40" s="650" t="str">
        <f t="shared" si="19"/>
        <v/>
      </c>
      <c r="T40" s="650" t="str">
        <f t="shared" si="19"/>
        <v/>
      </c>
      <c r="U40" s="650" t="str">
        <f t="shared" si="19"/>
        <v/>
      </c>
      <c r="V40" s="650" t="str">
        <f t="shared" si="19"/>
        <v/>
      </c>
      <c r="W40" s="650" t="str">
        <f t="shared" si="19"/>
        <v/>
      </c>
    </row>
    <row r="41" spans="2:27" x14ac:dyDescent="0.2">
      <c r="B41" s="26" t="s">
        <v>98</v>
      </c>
      <c r="C41" s="654"/>
      <c r="D41" s="654"/>
      <c r="E41" s="654"/>
      <c r="F41" s="654"/>
      <c r="G41" s="654"/>
      <c r="H41" s="654"/>
      <c r="I41" s="654"/>
      <c r="J41" s="654"/>
      <c r="K41" s="654"/>
      <c r="L41" s="654"/>
      <c r="M41" s="654"/>
      <c r="N41" s="654"/>
      <c r="O41" s="654"/>
      <c r="P41" s="654"/>
      <c r="Q41" s="654"/>
      <c r="R41" s="654"/>
      <c r="S41" s="654"/>
      <c r="T41" s="654"/>
      <c r="U41" s="654"/>
      <c r="V41" s="654"/>
      <c r="W41" s="654"/>
    </row>
    <row r="42" spans="2:27" x14ac:dyDescent="0.2">
      <c r="B42" s="8" t="s">
        <v>100</v>
      </c>
      <c r="C42" s="661" t="str">
        <f t="shared" ref="C42:W42" si="20">IFERROR(IF(SEARCH("pets_allowed",C$20)&gt;0,"X",""),"")</f>
        <v>X</v>
      </c>
      <c r="D42" s="650" t="str">
        <f t="shared" si="20"/>
        <v/>
      </c>
      <c r="E42" s="650" t="str">
        <f t="shared" si="20"/>
        <v>X</v>
      </c>
      <c r="F42" s="650" t="str">
        <f t="shared" si="20"/>
        <v/>
      </c>
      <c r="G42" s="650" t="str">
        <f t="shared" si="20"/>
        <v/>
      </c>
      <c r="H42" s="650" t="str">
        <f t="shared" si="20"/>
        <v/>
      </c>
      <c r="I42" s="650" t="str">
        <f t="shared" si="20"/>
        <v/>
      </c>
      <c r="J42" s="650" t="str">
        <f t="shared" si="20"/>
        <v/>
      </c>
      <c r="K42" s="650" t="str">
        <f t="shared" si="20"/>
        <v>X</v>
      </c>
      <c r="L42" s="650" t="str">
        <f t="shared" si="20"/>
        <v/>
      </c>
      <c r="M42" s="650" t="str">
        <f t="shared" si="20"/>
        <v/>
      </c>
      <c r="N42" s="650" t="str">
        <f t="shared" si="20"/>
        <v/>
      </c>
      <c r="O42" s="650" t="str">
        <f t="shared" si="20"/>
        <v/>
      </c>
      <c r="P42" s="650" t="str">
        <f t="shared" si="20"/>
        <v>X</v>
      </c>
      <c r="Q42" s="650" t="str">
        <f t="shared" si="20"/>
        <v/>
      </c>
      <c r="R42" s="650" t="str">
        <f t="shared" si="20"/>
        <v/>
      </c>
      <c r="S42" s="650" t="str">
        <f t="shared" si="20"/>
        <v/>
      </c>
      <c r="T42" s="650" t="str">
        <f t="shared" si="20"/>
        <v/>
      </c>
      <c r="U42" s="650" t="str">
        <f t="shared" si="20"/>
        <v/>
      </c>
      <c r="V42" s="650" t="str">
        <f t="shared" si="20"/>
        <v/>
      </c>
      <c r="W42" s="650" t="str">
        <f t="shared" si="20"/>
        <v>X</v>
      </c>
    </row>
    <row r="43" spans="2:27" x14ac:dyDescent="0.2">
      <c r="B43" s="8" t="s">
        <v>95</v>
      </c>
      <c r="C43" s="661" t="str">
        <f t="shared" ref="C43:W43" si="21">IFERROR(IF(SEARCH("short_term",C$20)&gt;0,"X",""),"")</f>
        <v/>
      </c>
      <c r="D43" s="650" t="str">
        <f t="shared" si="21"/>
        <v/>
      </c>
      <c r="E43" s="650" t="str">
        <f t="shared" si="21"/>
        <v/>
      </c>
      <c r="F43" s="650" t="str">
        <f t="shared" si="21"/>
        <v/>
      </c>
      <c r="G43" s="650" t="str">
        <f t="shared" si="21"/>
        <v/>
      </c>
      <c r="H43" s="650" t="str">
        <f t="shared" si="21"/>
        <v/>
      </c>
      <c r="I43" s="650" t="str">
        <f t="shared" si="21"/>
        <v/>
      </c>
      <c r="J43" s="650" t="str">
        <f t="shared" si="21"/>
        <v/>
      </c>
      <c r="K43" s="650" t="str">
        <f t="shared" si="21"/>
        <v/>
      </c>
      <c r="L43" s="650" t="str">
        <f t="shared" si="21"/>
        <v/>
      </c>
      <c r="M43" s="650" t="str">
        <f t="shared" si="21"/>
        <v/>
      </c>
      <c r="N43" s="650" t="str">
        <f t="shared" si="21"/>
        <v/>
      </c>
      <c r="O43" s="650" t="str">
        <f t="shared" si="21"/>
        <v/>
      </c>
      <c r="P43" s="650" t="str">
        <f t="shared" si="21"/>
        <v/>
      </c>
      <c r="Q43" s="650" t="str">
        <f t="shared" si="21"/>
        <v/>
      </c>
      <c r="R43" s="650" t="str">
        <f t="shared" si="21"/>
        <v/>
      </c>
      <c r="S43" s="650" t="str">
        <f t="shared" si="21"/>
        <v/>
      </c>
      <c r="T43" s="650" t="str">
        <f t="shared" si="21"/>
        <v/>
      </c>
      <c r="U43" s="650" t="str">
        <f t="shared" si="21"/>
        <v/>
      </c>
      <c r="V43" s="650" t="str">
        <f t="shared" si="21"/>
        <v/>
      </c>
      <c r="W43" s="650" t="str">
        <f t="shared" si="21"/>
        <v/>
      </c>
    </row>
    <row r="44" spans="2:27" x14ac:dyDescent="0.2">
      <c r="B44" s="8" t="s">
        <v>96</v>
      </c>
      <c r="C44" s="661" t="str">
        <f t="shared" ref="C44:W44" si="22">IFERROR(IF(SEARCH("voucher",C$20)&gt;0,"X",""),"")</f>
        <v/>
      </c>
      <c r="D44" s="650" t="str">
        <f t="shared" si="22"/>
        <v/>
      </c>
      <c r="E44" s="650" t="str">
        <f t="shared" si="22"/>
        <v/>
      </c>
      <c r="F44" s="650" t="str">
        <f t="shared" si="22"/>
        <v/>
      </c>
      <c r="G44" s="650" t="str">
        <f t="shared" si="22"/>
        <v/>
      </c>
      <c r="H44" s="650" t="str">
        <f t="shared" si="22"/>
        <v/>
      </c>
      <c r="I44" s="650" t="str">
        <f t="shared" si="22"/>
        <v/>
      </c>
      <c r="J44" s="650" t="str">
        <f t="shared" si="22"/>
        <v/>
      </c>
      <c r="K44" s="650" t="str">
        <f t="shared" si="22"/>
        <v/>
      </c>
      <c r="L44" s="650" t="str">
        <f t="shared" si="22"/>
        <v/>
      </c>
      <c r="M44" s="650" t="str">
        <f t="shared" si="22"/>
        <v/>
      </c>
      <c r="N44" s="650" t="str">
        <f t="shared" si="22"/>
        <v/>
      </c>
      <c r="O44" s="650" t="str">
        <f t="shared" si="22"/>
        <v/>
      </c>
      <c r="P44" s="650" t="str">
        <f t="shared" si="22"/>
        <v/>
      </c>
      <c r="Q44" s="650" t="str">
        <f t="shared" si="22"/>
        <v/>
      </c>
      <c r="R44" s="650" t="str">
        <f t="shared" si="22"/>
        <v/>
      </c>
      <c r="S44" s="650" t="str">
        <f t="shared" si="22"/>
        <v/>
      </c>
      <c r="T44" s="650" t="str">
        <f t="shared" si="22"/>
        <v/>
      </c>
      <c r="U44" s="650" t="str">
        <f t="shared" si="22"/>
        <v/>
      </c>
      <c r="V44" s="650" t="str">
        <f t="shared" si="22"/>
        <v/>
      </c>
      <c r="W44" s="650" t="str">
        <f t="shared" si="22"/>
        <v/>
      </c>
    </row>
    <row r="45" spans="2:27" ht="10" customHeight="1" x14ac:dyDescent="0.2">
      <c r="B45" s="632"/>
      <c r="C45" s="661"/>
      <c r="D45" s="650"/>
      <c r="E45" s="650"/>
      <c r="F45" s="650"/>
      <c r="G45" s="650"/>
      <c r="H45" s="650"/>
      <c r="I45" s="650"/>
      <c r="J45" s="650"/>
      <c r="K45" s="650"/>
      <c r="L45" s="650"/>
      <c r="M45" s="650"/>
      <c r="N45" s="650"/>
      <c r="O45" s="650"/>
      <c r="P45" s="650"/>
      <c r="Q45" s="650"/>
      <c r="R45" s="650"/>
      <c r="S45" s="650"/>
      <c r="T45" s="650"/>
      <c r="U45" s="650"/>
      <c r="V45" s="650"/>
      <c r="W45" s="650"/>
    </row>
    <row r="46" spans="2:27" ht="21" x14ac:dyDescent="0.2">
      <c r="B46" s="515" t="s">
        <v>74</v>
      </c>
      <c r="C46" s="664"/>
      <c r="D46" s="655"/>
      <c r="E46" s="655"/>
      <c r="F46" s="655"/>
      <c r="G46" s="655"/>
      <c r="H46" s="655"/>
      <c r="I46" s="655"/>
      <c r="J46" s="655"/>
      <c r="K46" s="655"/>
      <c r="L46" s="655"/>
      <c r="M46" s="655"/>
      <c r="N46" s="655"/>
      <c r="O46" s="655"/>
      <c r="P46" s="655"/>
      <c r="Q46" s="655"/>
      <c r="R46" s="655"/>
      <c r="S46" s="655"/>
      <c r="T46" s="655"/>
      <c r="U46" s="655"/>
      <c r="V46" s="655"/>
      <c r="W46" s="655"/>
    </row>
    <row r="47" spans="2:27" hidden="1" x14ac:dyDescent="0.2">
      <c r="B47" s="14"/>
      <c r="C47" s="652" t="s">
        <v>629</v>
      </c>
      <c r="D47" s="289" t="s">
        <v>630</v>
      </c>
      <c r="E47" s="289" t="s">
        <v>631</v>
      </c>
      <c r="F47" s="289" t="s">
        <v>632</v>
      </c>
      <c r="G47" s="289" t="s">
        <v>633</v>
      </c>
      <c r="H47" s="289" t="s">
        <v>634</v>
      </c>
      <c r="I47" s="289" t="s">
        <v>611</v>
      </c>
      <c r="J47" s="289" t="s">
        <v>635</v>
      </c>
      <c r="K47" s="289" t="s">
        <v>636</v>
      </c>
      <c r="L47" s="289" t="s">
        <v>637</v>
      </c>
      <c r="M47" s="289" t="s">
        <v>638</v>
      </c>
      <c r="N47" s="289" t="s">
        <v>639</v>
      </c>
      <c r="O47" s="289" t="s">
        <v>640</v>
      </c>
      <c r="P47" s="289" t="s">
        <v>641</v>
      </c>
      <c r="Q47" s="289" t="s">
        <v>642</v>
      </c>
      <c r="R47" s="289" t="s">
        <v>643</v>
      </c>
      <c r="S47" s="289" t="s">
        <v>611</v>
      </c>
      <c r="T47" s="289" t="s">
        <v>644</v>
      </c>
      <c r="U47" s="289" t="s">
        <v>645</v>
      </c>
      <c r="V47" s="289" t="s">
        <v>646</v>
      </c>
      <c r="W47" s="289" t="s">
        <v>647</v>
      </c>
      <c r="X47" s="289" t="s">
        <v>648</v>
      </c>
      <c r="Y47" s="289" t="s">
        <v>649</v>
      </c>
      <c r="Z47" s="289" t="s">
        <v>650</v>
      </c>
      <c r="AA47" s="289" t="s">
        <v>651</v>
      </c>
    </row>
    <row r="48" spans="2:27" x14ac:dyDescent="0.2">
      <c r="B48" s="8" t="s">
        <v>75</v>
      </c>
      <c r="C48" s="661" t="str">
        <f t="shared" ref="C48:W48" si="23">IFERROR(IF(SEARCH("air_conditioning",C$47)&gt;0,"X",""),"")</f>
        <v>X</v>
      </c>
      <c r="D48" s="650" t="str">
        <f t="shared" si="23"/>
        <v/>
      </c>
      <c r="E48" s="650" t="str">
        <f t="shared" si="23"/>
        <v>X</v>
      </c>
      <c r="F48" s="650" t="str">
        <f t="shared" si="23"/>
        <v/>
      </c>
      <c r="G48" s="650" t="str">
        <f t="shared" si="23"/>
        <v>X</v>
      </c>
      <c r="H48" s="650" t="str">
        <f t="shared" si="23"/>
        <v/>
      </c>
      <c r="I48" s="650" t="str">
        <f t="shared" si="23"/>
        <v/>
      </c>
      <c r="J48" s="650" t="str">
        <f t="shared" si="23"/>
        <v/>
      </c>
      <c r="K48" s="650" t="str">
        <f t="shared" si="23"/>
        <v>X</v>
      </c>
      <c r="L48" s="650" t="str">
        <f t="shared" si="23"/>
        <v/>
      </c>
      <c r="M48" s="650" t="str">
        <f t="shared" si="23"/>
        <v>X</v>
      </c>
      <c r="N48" s="650" t="str">
        <f t="shared" si="23"/>
        <v/>
      </c>
      <c r="O48" s="650" t="str">
        <f t="shared" si="23"/>
        <v/>
      </c>
      <c r="P48" s="650" t="str">
        <f t="shared" si="23"/>
        <v>X</v>
      </c>
      <c r="Q48" s="650" t="str">
        <f t="shared" si="23"/>
        <v/>
      </c>
      <c r="R48" s="650" t="str">
        <f t="shared" si="23"/>
        <v/>
      </c>
      <c r="S48" s="650" t="str">
        <f t="shared" si="23"/>
        <v/>
      </c>
      <c r="T48" s="650" t="str">
        <f t="shared" si="23"/>
        <v/>
      </c>
      <c r="U48" s="650" t="str">
        <f t="shared" si="23"/>
        <v>X</v>
      </c>
      <c r="V48" s="650" t="str">
        <f t="shared" si="23"/>
        <v/>
      </c>
      <c r="W48" s="650" t="str">
        <f t="shared" si="23"/>
        <v/>
      </c>
    </row>
    <row r="49" spans="2:23" x14ac:dyDescent="0.2">
      <c r="B49" s="8" t="s">
        <v>76</v>
      </c>
      <c r="C49" s="661" t="str">
        <f t="shared" ref="C49:W49" si="24">IFERROR(IF(SEARCH("appliances",C$47)&gt;0,"X",""),"")</f>
        <v>X</v>
      </c>
      <c r="D49" s="650" t="str">
        <f t="shared" si="24"/>
        <v/>
      </c>
      <c r="E49" s="650" t="str">
        <f t="shared" si="24"/>
        <v>X</v>
      </c>
      <c r="F49" s="650" t="str">
        <f t="shared" si="24"/>
        <v/>
      </c>
      <c r="G49" s="650" t="str">
        <f t="shared" si="24"/>
        <v/>
      </c>
      <c r="H49" s="650" t="str">
        <f t="shared" si="24"/>
        <v/>
      </c>
      <c r="I49" s="650" t="str">
        <f t="shared" si="24"/>
        <v/>
      </c>
      <c r="J49" s="650" t="str">
        <f t="shared" si="24"/>
        <v/>
      </c>
      <c r="K49" s="650" t="str">
        <f t="shared" si="24"/>
        <v>X</v>
      </c>
      <c r="L49" s="650" t="str">
        <f t="shared" si="24"/>
        <v/>
      </c>
      <c r="M49" s="650" t="str">
        <f t="shared" si="24"/>
        <v/>
      </c>
      <c r="N49" s="650" t="str">
        <f t="shared" si="24"/>
        <v/>
      </c>
      <c r="O49" s="650" t="str">
        <f t="shared" si="24"/>
        <v/>
      </c>
      <c r="P49" s="650" t="str">
        <f t="shared" si="24"/>
        <v>X</v>
      </c>
      <c r="Q49" s="650" t="str">
        <f t="shared" si="24"/>
        <v/>
      </c>
      <c r="R49" s="650" t="str">
        <f t="shared" si="24"/>
        <v/>
      </c>
      <c r="S49" s="650" t="str">
        <f t="shared" si="24"/>
        <v/>
      </c>
      <c r="T49" s="650" t="str">
        <f t="shared" si="24"/>
        <v/>
      </c>
      <c r="U49" s="650" t="str">
        <f t="shared" si="24"/>
        <v/>
      </c>
      <c r="V49" s="650" t="str">
        <f t="shared" si="24"/>
        <v/>
      </c>
      <c r="W49" s="650" t="str">
        <f t="shared" si="24"/>
        <v/>
      </c>
    </row>
    <row r="50" spans="2:23" x14ac:dyDescent="0.2">
      <c r="B50" s="8" t="s">
        <v>77</v>
      </c>
      <c r="C50" s="661" t="str">
        <f t="shared" ref="C50:W50" si="25">IFERROR(IF(SEARCH("utilities_included",C$47)&gt;0,"X",""),"")</f>
        <v/>
      </c>
      <c r="D50" s="650" t="str">
        <f t="shared" si="25"/>
        <v/>
      </c>
      <c r="E50" s="650" t="str">
        <f t="shared" si="25"/>
        <v/>
      </c>
      <c r="F50" s="650" t="str">
        <f t="shared" si="25"/>
        <v/>
      </c>
      <c r="G50" s="650" t="str">
        <f t="shared" si="25"/>
        <v/>
      </c>
      <c r="H50" s="650" t="str">
        <f t="shared" si="25"/>
        <v/>
      </c>
      <c r="I50" s="650" t="str">
        <f t="shared" si="25"/>
        <v/>
      </c>
      <c r="J50" s="650" t="str">
        <f t="shared" si="25"/>
        <v/>
      </c>
      <c r="K50" s="650" t="str">
        <f t="shared" si="25"/>
        <v/>
      </c>
      <c r="L50" s="650" t="str">
        <f t="shared" si="25"/>
        <v/>
      </c>
      <c r="M50" s="650" t="str">
        <f t="shared" si="25"/>
        <v/>
      </c>
      <c r="N50" s="650" t="str">
        <f t="shared" si="25"/>
        <v/>
      </c>
      <c r="O50" s="650" t="str">
        <f t="shared" si="25"/>
        <v/>
      </c>
      <c r="P50" s="650" t="str">
        <f t="shared" si="25"/>
        <v/>
      </c>
      <c r="Q50" s="650" t="str">
        <f t="shared" si="25"/>
        <v/>
      </c>
      <c r="R50" s="650" t="str">
        <f t="shared" si="25"/>
        <v/>
      </c>
      <c r="S50" s="650" t="str">
        <f t="shared" si="25"/>
        <v/>
      </c>
      <c r="T50" s="650" t="str">
        <f t="shared" si="25"/>
        <v>X</v>
      </c>
      <c r="U50" s="650" t="str">
        <f t="shared" si="25"/>
        <v/>
      </c>
      <c r="V50" s="650" t="str">
        <f t="shared" si="25"/>
        <v/>
      </c>
      <c r="W50" s="650" t="str">
        <f t="shared" si="25"/>
        <v/>
      </c>
    </row>
    <row r="51" spans="2:23" x14ac:dyDescent="0.2">
      <c r="B51" s="8" t="s">
        <v>78</v>
      </c>
      <c r="C51" s="661" t="str">
        <f t="shared" ref="C51:W51" si="26">IFERROR(IF(SEARCH("breakfast",C$47)&gt;0,"X",""),"")</f>
        <v/>
      </c>
      <c r="D51" s="650" t="str">
        <f t="shared" si="26"/>
        <v/>
      </c>
      <c r="E51" s="650" t="str">
        <f t="shared" si="26"/>
        <v/>
      </c>
      <c r="F51" s="650" t="str">
        <f t="shared" si="26"/>
        <v/>
      </c>
      <c r="G51" s="650" t="str">
        <f t="shared" si="26"/>
        <v/>
      </c>
      <c r="H51" s="650" t="str">
        <f t="shared" si="26"/>
        <v/>
      </c>
      <c r="I51" s="650" t="str">
        <f t="shared" si="26"/>
        <v/>
      </c>
      <c r="J51" s="650" t="str">
        <f t="shared" si="26"/>
        <v/>
      </c>
      <c r="K51" s="650" t="str">
        <f t="shared" si="26"/>
        <v/>
      </c>
      <c r="L51" s="650" t="str">
        <f t="shared" si="26"/>
        <v/>
      </c>
      <c r="M51" s="650" t="str">
        <f t="shared" si="26"/>
        <v/>
      </c>
      <c r="N51" s="650" t="str">
        <f t="shared" si="26"/>
        <v/>
      </c>
      <c r="O51" s="650" t="str">
        <f t="shared" si="26"/>
        <v/>
      </c>
      <c r="P51" s="650" t="str">
        <f t="shared" si="26"/>
        <v/>
      </c>
      <c r="Q51" s="650" t="str">
        <f t="shared" si="26"/>
        <v/>
      </c>
      <c r="R51" s="650" t="str">
        <f t="shared" si="26"/>
        <v/>
      </c>
      <c r="S51" s="650" t="str">
        <f t="shared" si="26"/>
        <v/>
      </c>
      <c r="T51" s="650" t="str">
        <f t="shared" si="26"/>
        <v/>
      </c>
      <c r="U51" s="650" t="str">
        <f t="shared" si="26"/>
        <v/>
      </c>
      <c r="V51" s="650" t="str">
        <f t="shared" si="26"/>
        <v/>
      </c>
      <c r="W51" s="650" t="str">
        <f t="shared" si="26"/>
        <v/>
      </c>
    </row>
    <row r="52" spans="2:23" x14ac:dyDescent="0.2">
      <c r="B52" s="8" t="s">
        <v>79</v>
      </c>
      <c r="C52" s="661" t="str">
        <f t="shared" ref="C52:W52" si="27">IFERROR(IF(SEARCH("ceiling_fan",C$47)&gt;0,"X",""),"")</f>
        <v/>
      </c>
      <c r="D52" s="650" t="str">
        <f t="shared" si="27"/>
        <v/>
      </c>
      <c r="E52" s="650" t="str">
        <f t="shared" si="27"/>
        <v>X</v>
      </c>
      <c r="F52" s="650" t="str">
        <f t="shared" si="27"/>
        <v/>
      </c>
      <c r="G52" s="650" t="str">
        <f t="shared" si="27"/>
        <v/>
      </c>
      <c r="H52" s="650" t="str">
        <f t="shared" si="27"/>
        <v/>
      </c>
      <c r="I52" s="650" t="str">
        <f t="shared" si="27"/>
        <v/>
      </c>
      <c r="J52" s="650" t="str">
        <f t="shared" si="27"/>
        <v/>
      </c>
      <c r="K52" s="650" t="str">
        <f t="shared" si="27"/>
        <v/>
      </c>
      <c r="L52" s="650" t="str">
        <f t="shared" si="27"/>
        <v/>
      </c>
      <c r="M52" s="650" t="str">
        <f t="shared" si="27"/>
        <v/>
      </c>
      <c r="N52" s="650" t="str">
        <f t="shared" si="27"/>
        <v/>
      </c>
      <c r="O52" s="650" t="str">
        <f t="shared" si="27"/>
        <v/>
      </c>
      <c r="P52" s="650" t="str">
        <f t="shared" si="27"/>
        <v>X</v>
      </c>
      <c r="Q52" s="650" t="str">
        <f t="shared" si="27"/>
        <v/>
      </c>
      <c r="R52" s="650" t="str">
        <f t="shared" si="27"/>
        <v/>
      </c>
      <c r="S52" s="650" t="str">
        <f t="shared" si="27"/>
        <v/>
      </c>
      <c r="T52" s="650" t="str">
        <f t="shared" si="27"/>
        <v/>
      </c>
      <c r="U52" s="650" t="str">
        <f t="shared" si="27"/>
        <v/>
      </c>
      <c r="V52" s="650" t="str">
        <f t="shared" si="27"/>
        <v/>
      </c>
      <c r="W52" s="650" t="str">
        <f t="shared" si="27"/>
        <v/>
      </c>
    </row>
    <row r="53" spans="2:23" x14ac:dyDescent="0.2">
      <c r="B53" s="8" t="s">
        <v>80</v>
      </c>
      <c r="C53" s="661" t="str">
        <f t="shared" ref="C53:W53" si="28">IFERROR(IF(SEARCH("dishwasher",C$47)&gt;0,"X",""),"")</f>
        <v>X</v>
      </c>
      <c r="D53" s="650" t="str">
        <f t="shared" si="28"/>
        <v>X</v>
      </c>
      <c r="E53" s="650" t="str">
        <f t="shared" si="28"/>
        <v>X</v>
      </c>
      <c r="F53" s="650" t="str">
        <f t="shared" si="28"/>
        <v>X</v>
      </c>
      <c r="G53" s="650" t="str">
        <f t="shared" si="28"/>
        <v/>
      </c>
      <c r="H53" s="650" t="str">
        <f t="shared" si="28"/>
        <v/>
      </c>
      <c r="I53" s="650" t="str">
        <f t="shared" si="28"/>
        <v/>
      </c>
      <c r="J53" s="650" t="str">
        <f t="shared" si="28"/>
        <v>X</v>
      </c>
      <c r="K53" s="650" t="str">
        <f t="shared" si="28"/>
        <v>X</v>
      </c>
      <c r="L53" s="650" t="str">
        <f t="shared" si="28"/>
        <v/>
      </c>
      <c r="M53" s="650" t="str">
        <f t="shared" si="28"/>
        <v/>
      </c>
      <c r="N53" s="650" t="str">
        <f t="shared" si="28"/>
        <v/>
      </c>
      <c r="O53" s="650" t="str">
        <f t="shared" si="28"/>
        <v>X</v>
      </c>
      <c r="P53" s="650" t="str">
        <f t="shared" si="28"/>
        <v>X</v>
      </c>
      <c r="Q53" s="650" t="str">
        <f t="shared" si="28"/>
        <v/>
      </c>
      <c r="R53" s="650" t="str">
        <f t="shared" si="28"/>
        <v/>
      </c>
      <c r="S53" s="650" t="str">
        <f t="shared" si="28"/>
        <v/>
      </c>
      <c r="T53" s="650" t="str">
        <f t="shared" si="28"/>
        <v/>
      </c>
      <c r="U53" s="650" t="str">
        <f t="shared" si="28"/>
        <v>X</v>
      </c>
      <c r="V53" s="650" t="str">
        <f t="shared" si="28"/>
        <v/>
      </c>
      <c r="W53" s="650" t="str">
        <f t="shared" si="28"/>
        <v/>
      </c>
    </row>
    <row r="54" spans="2:23" x14ac:dyDescent="0.2">
      <c r="B54" s="8" t="s">
        <v>81</v>
      </c>
      <c r="C54" s="661" t="str">
        <f t="shared" ref="C54:W54" si="29">IFERROR(IF(SEARCH("efficient_appliances",C$47)&gt;0,"X",""),"")</f>
        <v/>
      </c>
      <c r="D54" s="650" t="str">
        <f t="shared" si="29"/>
        <v/>
      </c>
      <c r="E54" s="650" t="str">
        <f t="shared" si="29"/>
        <v/>
      </c>
      <c r="F54" s="650" t="str">
        <f t="shared" si="29"/>
        <v/>
      </c>
      <c r="G54" s="650" t="str">
        <f t="shared" si="29"/>
        <v/>
      </c>
      <c r="H54" s="650" t="str">
        <f t="shared" si="29"/>
        <v/>
      </c>
      <c r="I54" s="650" t="str">
        <f t="shared" si="29"/>
        <v/>
      </c>
      <c r="J54" s="650" t="str">
        <f t="shared" si="29"/>
        <v/>
      </c>
      <c r="K54" s="650" t="str">
        <f t="shared" si="29"/>
        <v/>
      </c>
      <c r="L54" s="650" t="str">
        <f t="shared" si="29"/>
        <v/>
      </c>
      <c r="M54" s="650" t="str">
        <f t="shared" si="29"/>
        <v/>
      </c>
      <c r="N54" s="650" t="str">
        <f t="shared" si="29"/>
        <v/>
      </c>
      <c r="O54" s="650" t="str">
        <f t="shared" si="29"/>
        <v/>
      </c>
      <c r="P54" s="650" t="str">
        <f t="shared" si="29"/>
        <v/>
      </c>
      <c r="Q54" s="650" t="str">
        <f t="shared" si="29"/>
        <v/>
      </c>
      <c r="R54" s="650" t="str">
        <f t="shared" si="29"/>
        <v/>
      </c>
      <c r="S54" s="650" t="str">
        <f t="shared" si="29"/>
        <v/>
      </c>
      <c r="T54" s="650" t="str">
        <f t="shared" si="29"/>
        <v/>
      </c>
      <c r="U54" s="650" t="str">
        <f t="shared" si="29"/>
        <v/>
      </c>
      <c r="V54" s="650" t="str">
        <f t="shared" si="29"/>
        <v/>
      </c>
      <c r="W54" s="650" t="str">
        <f t="shared" si="29"/>
        <v/>
      </c>
    </row>
    <row r="55" spans="2:23" x14ac:dyDescent="0.2">
      <c r="B55" s="8" t="s">
        <v>82</v>
      </c>
      <c r="C55" s="661" t="str">
        <f t="shared" ref="C55:W55" si="30">IFERROR(IF(SEARCH("fireplace",C$47)&gt;0,"X",""),"")</f>
        <v/>
      </c>
      <c r="D55" s="650" t="str">
        <f t="shared" si="30"/>
        <v/>
      </c>
      <c r="E55" s="650" t="str">
        <f t="shared" si="30"/>
        <v/>
      </c>
      <c r="F55" s="650" t="str">
        <f t="shared" si="30"/>
        <v/>
      </c>
      <c r="G55" s="650" t="str">
        <f t="shared" si="30"/>
        <v/>
      </c>
      <c r="H55" s="650" t="str">
        <f t="shared" si="30"/>
        <v/>
      </c>
      <c r="I55" s="650" t="str">
        <f t="shared" si="30"/>
        <v/>
      </c>
      <c r="J55" s="650" t="str">
        <f t="shared" si="30"/>
        <v/>
      </c>
      <c r="K55" s="650" t="str">
        <f t="shared" si="30"/>
        <v/>
      </c>
      <c r="L55" s="650" t="str">
        <f t="shared" si="30"/>
        <v/>
      </c>
      <c r="M55" s="650" t="str">
        <f t="shared" si="30"/>
        <v/>
      </c>
      <c r="N55" s="650" t="str">
        <f t="shared" si="30"/>
        <v/>
      </c>
      <c r="O55" s="650" t="str">
        <f t="shared" si="30"/>
        <v/>
      </c>
      <c r="P55" s="650" t="str">
        <f t="shared" si="30"/>
        <v/>
      </c>
      <c r="Q55" s="650" t="str">
        <f t="shared" si="30"/>
        <v/>
      </c>
      <c r="R55" s="650" t="str">
        <f t="shared" si="30"/>
        <v/>
      </c>
      <c r="S55" s="650" t="str">
        <f t="shared" si="30"/>
        <v/>
      </c>
      <c r="T55" s="650" t="str">
        <f t="shared" si="30"/>
        <v/>
      </c>
      <c r="U55" s="650" t="str">
        <f t="shared" si="30"/>
        <v/>
      </c>
      <c r="V55" s="650" t="str">
        <f t="shared" si="30"/>
        <v/>
      </c>
      <c r="W55" s="650" t="str">
        <f t="shared" si="30"/>
        <v/>
      </c>
    </row>
    <row r="56" spans="2:23" x14ac:dyDescent="0.2">
      <c r="B56" s="8" t="s">
        <v>83</v>
      </c>
      <c r="C56" s="661" t="str">
        <f t="shared" ref="C56:W56" si="31">IFERROR(IF(SEARCH("floor_to_ceiling",C$47)&gt;0,"X",""),"")</f>
        <v/>
      </c>
      <c r="D56" s="650" t="str">
        <f t="shared" si="31"/>
        <v/>
      </c>
      <c r="E56" s="650" t="str">
        <f t="shared" si="31"/>
        <v/>
      </c>
      <c r="F56" s="650" t="str">
        <f t="shared" si="31"/>
        <v/>
      </c>
      <c r="G56" s="650" t="str">
        <f t="shared" si="31"/>
        <v/>
      </c>
      <c r="H56" s="650" t="str">
        <f t="shared" si="31"/>
        <v/>
      </c>
      <c r="I56" s="650" t="str">
        <f t="shared" si="31"/>
        <v/>
      </c>
      <c r="J56" s="650" t="str">
        <f t="shared" si="31"/>
        <v/>
      </c>
      <c r="K56" s="650" t="str">
        <f t="shared" si="31"/>
        <v/>
      </c>
      <c r="L56" s="650" t="str">
        <f t="shared" si="31"/>
        <v/>
      </c>
      <c r="M56" s="650" t="str">
        <f t="shared" si="31"/>
        <v/>
      </c>
      <c r="N56" s="650" t="str">
        <f t="shared" si="31"/>
        <v/>
      </c>
      <c r="O56" s="650" t="str">
        <f t="shared" si="31"/>
        <v/>
      </c>
      <c r="P56" s="650" t="str">
        <f t="shared" si="31"/>
        <v/>
      </c>
      <c r="Q56" s="650" t="str">
        <f t="shared" si="31"/>
        <v/>
      </c>
      <c r="R56" s="650" t="str">
        <f t="shared" si="31"/>
        <v/>
      </c>
      <c r="S56" s="650" t="str">
        <f t="shared" si="31"/>
        <v/>
      </c>
      <c r="T56" s="650" t="str">
        <f t="shared" si="31"/>
        <v/>
      </c>
      <c r="U56" s="650" t="str">
        <f t="shared" si="31"/>
        <v/>
      </c>
      <c r="V56" s="650" t="str">
        <f t="shared" si="31"/>
        <v/>
      </c>
      <c r="W56" s="650" t="str">
        <f t="shared" si="31"/>
        <v/>
      </c>
    </row>
    <row r="57" spans="2:23" x14ac:dyDescent="0.2">
      <c r="B57" s="8" t="s">
        <v>84</v>
      </c>
      <c r="C57" s="661" t="str">
        <f t="shared" ref="C57:W57" si="32">IFERROR(IF(SEARCH("hardwood",C$47)&gt;0,"X",""),"")</f>
        <v/>
      </c>
      <c r="D57" s="650" t="str">
        <f t="shared" si="32"/>
        <v/>
      </c>
      <c r="E57" s="650" t="str">
        <f t="shared" si="32"/>
        <v>X</v>
      </c>
      <c r="F57" s="650" t="str">
        <f t="shared" si="32"/>
        <v/>
      </c>
      <c r="G57" s="650" t="str">
        <f t="shared" si="32"/>
        <v/>
      </c>
      <c r="H57" s="650" t="str">
        <f t="shared" si="32"/>
        <v/>
      </c>
      <c r="I57" s="650" t="str">
        <f t="shared" si="32"/>
        <v/>
      </c>
      <c r="J57" s="650" t="str">
        <f t="shared" si="32"/>
        <v>X</v>
      </c>
      <c r="K57" s="650" t="str">
        <f t="shared" si="32"/>
        <v/>
      </c>
      <c r="L57" s="650" t="str">
        <f t="shared" si="32"/>
        <v/>
      </c>
      <c r="M57" s="650" t="str">
        <f t="shared" si="32"/>
        <v>X</v>
      </c>
      <c r="N57" s="650" t="str">
        <f t="shared" si="32"/>
        <v/>
      </c>
      <c r="O57" s="650" t="str">
        <f t="shared" si="32"/>
        <v>X</v>
      </c>
      <c r="P57" s="650" t="str">
        <f t="shared" si="32"/>
        <v/>
      </c>
      <c r="Q57" s="650" t="str">
        <f t="shared" si="32"/>
        <v>X</v>
      </c>
      <c r="R57" s="650" t="str">
        <f t="shared" si="32"/>
        <v/>
      </c>
      <c r="S57" s="650" t="str">
        <f t="shared" si="32"/>
        <v/>
      </c>
      <c r="T57" s="650" t="str">
        <f t="shared" si="32"/>
        <v/>
      </c>
      <c r="U57" s="650" t="str">
        <f t="shared" si="32"/>
        <v/>
      </c>
      <c r="V57" s="650" t="str">
        <f t="shared" si="32"/>
        <v>X</v>
      </c>
      <c r="W57" s="650" t="str">
        <f t="shared" si="32"/>
        <v/>
      </c>
    </row>
    <row r="58" spans="2:23" x14ac:dyDescent="0.2">
      <c r="B58" s="8" t="s">
        <v>85</v>
      </c>
      <c r="C58" s="661" t="str">
        <f t="shared" ref="C58:W58" si="33">IFERROR(IF(SEARCH("high_ceiling",C$47)&gt;0,"X",""),"")</f>
        <v/>
      </c>
      <c r="D58" s="650" t="str">
        <f t="shared" si="33"/>
        <v/>
      </c>
      <c r="E58" s="650" t="str">
        <f t="shared" si="33"/>
        <v/>
      </c>
      <c r="F58" s="650" t="str">
        <f t="shared" si="33"/>
        <v/>
      </c>
      <c r="G58" s="650" t="str">
        <f t="shared" si="33"/>
        <v/>
      </c>
      <c r="H58" s="650" t="str">
        <f t="shared" si="33"/>
        <v/>
      </c>
      <c r="I58" s="650" t="str">
        <f t="shared" si="33"/>
        <v/>
      </c>
      <c r="J58" s="650" t="str">
        <f t="shared" si="33"/>
        <v/>
      </c>
      <c r="K58" s="650" t="str">
        <f t="shared" si="33"/>
        <v/>
      </c>
      <c r="L58" s="650" t="str">
        <f t="shared" si="33"/>
        <v/>
      </c>
      <c r="M58" s="650" t="str">
        <f t="shared" si="33"/>
        <v/>
      </c>
      <c r="N58" s="650" t="str">
        <f t="shared" si="33"/>
        <v/>
      </c>
      <c r="O58" s="650" t="str">
        <f t="shared" si="33"/>
        <v/>
      </c>
      <c r="P58" s="650" t="str">
        <f t="shared" si="33"/>
        <v>X</v>
      </c>
      <c r="Q58" s="650" t="str">
        <f t="shared" si="33"/>
        <v/>
      </c>
      <c r="R58" s="650" t="str">
        <f t="shared" si="33"/>
        <v/>
      </c>
      <c r="S58" s="650" t="str">
        <f t="shared" si="33"/>
        <v/>
      </c>
      <c r="T58" s="650" t="str">
        <f t="shared" si="33"/>
        <v/>
      </c>
      <c r="U58" s="650" t="str">
        <f t="shared" si="33"/>
        <v/>
      </c>
      <c r="V58" s="650" t="str">
        <f t="shared" si="33"/>
        <v/>
      </c>
      <c r="W58" s="650" t="str">
        <f t="shared" si="33"/>
        <v/>
      </c>
    </row>
    <row r="59" spans="2:23" x14ac:dyDescent="0.2">
      <c r="B59" s="8" t="s">
        <v>86</v>
      </c>
      <c r="C59" s="661" t="str">
        <f t="shared" ref="C59:W59" si="34">IFERROR(IF(SEARCH("internet_included",C$47)&gt;0,"X",""),"")</f>
        <v>X</v>
      </c>
      <c r="D59" s="650" t="str">
        <f t="shared" si="34"/>
        <v/>
      </c>
      <c r="E59" s="650" t="str">
        <f t="shared" si="34"/>
        <v/>
      </c>
      <c r="F59" s="650" t="str">
        <f t="shared" si="34"/>
        <v/>
      </c>
      <c r="G59" s="650" t="str">
        <f t="shared" si="34"/>
        <v/>
      </c>
      <c r="H59" s="650" t="str">
        <f t="shared" si="34"/>
        <v/>
      </c>
      <c r="I59" s="650" t="str">
        <f t="shared" si="34"/>
        <v/>
      </c>
      <c r="J59" s="650" t="str">
        <f t="shared" si="34"/>
        <v/>
      </c>
      <c r="K59" s="650" t="str">
        <f t="shared" si="34"/>
        <v/>
      </c>
      <c r="L59" s="650" t="str">
        <f t="shared" si="34"/>
        <v/>
      </c>
      <c r="M59" s="650" t="str">
        <f t="shared" si="34"/>
        <v/>
      </c>
      <c r="N59" s="650" t="str">
        <f t="shared" si="34"/>
        <v/>
      </c>
      <c r="O59" s="650" t="str">
        <f t="shared" si="34"/>
        <v/>
      </c>
      <c r="P59" s="650" t="str">
        <f t="shared" si="34"/>
        <v/>
      </c>
      <c r="Q59" s="650" t="str">
        <f t="shared" si="34"/>
        <v/>
      </c>
      <c r="R59" s="650" t="str">
        <f t="shared" si="34"/>
        <v/>
      </c>
      <c r="S59" s="650" t="str">
        <f t="shared" si="34"/>
        <v/>
      </c>
      <c r="T59" s="650" t="str">
        <f t="shared" si="34"/>
        <v/>
      </c>
      <c r="U59" s="650" t="str">
        <f t="shared" si="34"/>
        <v/>
      </c>
      <c r="V59" s="650" t="str">
        <f t="shared" si="34"/>
        <v/>
      </c>
      <c r="W59" s="650" t="str">
        <f t="shared" si="34"/>
        <v/>
      </c>
    </row>
    <row r="60" spans="2:23" x14ac:dyDescent="0.2">
      <c r="B60" s="8" t="s">
        <v>87</v>
      </c>
      <c r="C60" s="661" t="str">
        <f>IFERROR(IF(SEARCH("kitchen_island",C$47)&gt;0,"X",""),"")</f>
        <v/>
      </c>
      <c r="D60" s="650"/>
      <c r="E60" s="650"/>
      <c r="F60" s="650"/>
      <c r="G60" s="650"/>
      <c r="H60" s="650"/>
      <c r="I60" s="650"/>
      <c r="J60" s="650"/>
      <c r="K60" s="650"/>
      <c r="L60" s="650"/>
      <c r="M60" s="650"/>
      <c r="N60" s="650"/>
      <c r="O60" s="650"/>
      <c r="P60" s="650"/>
      <c r="Q60" s="650"/>
      <c r="R60" s="650"/>
      <c r="S60" s="650"/>
      <c r="T60" s="650"/>
      <c r="U60" s="650"/>
      <c r="V60" s="650"/>
      <c r="W60" s="650"/>
    </row>
    <row r="61" spans="2:23" x14ac:dyDescent="0.2">
      <c r="B61" s="8" t="s">
        <v>88</v>
      </c>
      <c r="C61" s="661" t="str">
        <f t="shared" ref="C61:W61" si="35">IFERROR(IF(SEARCH("balcony",C$47)&gt;0,"X",""),"")</f>
        <v>X</v>
      </c>
      <c r="D61" s="650" t="str">
        <f t="shared" si="35"/>
        <v>X</v>
      </c>
      <c r="E61" s="650" t="str">
        <f t="shared" si="35"/>
        <v/>
      </c>
      <c r="F61" s="650" t="str">
        <f t="shared" si="35"/>
        <v>X</v>
      </c>
      <c r="G61" s="650" t="str">
        <f t="shared" si="35"/>
        <v/>
      </c>
      <c r="H61" s="650" t="str">
        <f t="shared" si="35"/>
        <v/>
      </c>
      <c r="I61" s="650" t="str">
        <f t="shared" si="35"/>
        <v/>
      </c>
      <c r="J61" s="650" t="str">
        <f t="shared" si="35"/>
        <v>X</v>
      </c>
      <c r="K61" s="650" t="str">
        <f t="shared" si="35"/>
        <v/>
      </c>
      <c r="L61" s="650" t="str">
        <f t="shared" si="35"/>
        <v/>
      </c>
      <c r="M61" s="650" t="str">
        <f t="shared" si="35"/>
        <v>X</v>
      </c>
      <c r="N61" s="650" t="str">
        <f t="shared" si="35"/>
        <v/>
      </c>
      <c r="O61" s="650" t="str">
        <f t="shared" si="35"/>
        <v/>
      </c>
      <c r="P61" s="650" t="str">
        <f t="shared" si="35"/>
        <v/>
      </c>
      <c r="Q61" s="650" t="str">
        <f t="shared" si="35"/>
        <v/>
      </c>
      <c r="R61" s="650" t="str">
        <f t="shared" si="35"/>
        <v/>
      </c>
      <c r="S61" s="650" t="str">
        <f t="shared" si="35"/>
        <v/>
      </c>
      <c r="T61" s="650" t="str">
        <f t="shared" si="35"/>
        <v/>
      </c>
      <c r="U61" s="650" t="str">
        <f t="shared" si="35"/>
        <v/>
      </c>
      <c r="V61" s="650" t="str">
        <f t="shared" si="35"/>
        <v/>
      </c>
      <c r="W61" s="650" t="str">
        <f t="shared" si="35"/>
        <v/>
      </c>
    </row>
    <row r="62" spans="2:23" x14ac:dyDescent="0.2">
      <c r="B62" s="8" t="s">
        <v>89</v>
      </c>
      <c r="C62" s="661" t="str">
        <f t="shared" ref="C62:W62" si="36">IFERROR(IF(OR(SEARCH("renovated",C$47)&gt;0,SEARCH("upgraded",C$47)&gt;0),"X",""),"")</f>
        <v/>
      </c>
      <c r="D62" s="650" t="str">
        <f t="shared" si="36"/>
        <v/>
      </c>
      <c r="E62" s="650" t="str">
        <f t="shared" si="36"/>
        <v/>
      </c>
      <c r="F62" s="650" t="str">
        <f t="shared" si="36"/>
        <v/>
      </c>
      <c r="G62" s="650" t="str">
        <f t="shared" si="36"/>
        <v/>
      </c>
      <c r="H62" s="650" t="str">
        <f t="shared" si="36"/>
        <v/>
      </c>
      <c r="I62" s="650" t="str">
        <f t="shared" si="36"/>
        <v/>
      </c>
      <c r="J62" s="650" t="str">
        <f t="shared" si="36"/>
        <v/>
      </c>
      <c r="K62" s="650" t="str">
        <f t="shared" si="36"/>
        <v/>
      </c>
      <c r="L62" s="650" t="str">
        <f t="shared" si="36"/>
        <v/>
      </c>
      <c r="M62" s="650" t="str">
        <f t="shared" si="36"/>
        <v/>
      </c>
      <c r="N62" s="650" t="str">
        <f t="shared" si="36"/>
        <v/>
      </c>
      <c r="O62" s="650" t="str">
        <f t="shared" si="36"/>
        <v/>
      </c>
      <c r="P62" s="650" t="str">
        <f t="shared" si="36"/>
        <v/>
      </c>
      <c r="Q62" s="650" t="str">
        <f t="shared" si="36"/>
        <v/>
      </c>
      <c r="R62" s="650" t="str">
        <f t="shared" si="36"/>
        <v/>
      </c>
      <c r="S62" s="650" t="str">
        <f t="shared" si="36"/>
        <v/>
      </c>
      <c r="T62" s="650" t="str">
        <f t="shared" si="36"/>
        <v/>
      </c>
      <c r="U62" s="650" t="str">
        <f t="shared" si="36"/>
        <v/>
      </c>
      <c r="V62" s="650" t="str">
        <f t="shared" si="36"/>
        <v/>
      </c>
      <c r="W62" s="650" t="str">
        <f t="shared" si="36"/>
        <v/>
      </c>
    </row>
    <row r="63" spans="2:23" x14ac:dyDescent="0.2">
      <c r="B63" s="8" t="s">
        <v>90</v>
      </c>
      <c r="C63" s="661" t="str">
        <f t="shared" ref="C63:W63" si="37">IFERROR(IF(SEARCH("stainless_steel_appliances",C$47)&gt;0,"X",""),"")</f>
        <v>X</v>
      </c>
      <c r="D63" s="650" t="str">
        <f t="shared" si="37"/>
        <v/>
      </c>
      <c r="E63" s="650" t="str">
        <f t="shared" si="37"/>
        <v>X</v>
      </c>
      <c r="F63" s="650" t="str">
        <f t="shared" si="37"/>
        <v/>
      </c>
      <c r="G63" s="650" t="str">
        <f t="shared" si="37"/>
        <v/>
      </c>
      <c r="H63" s="650" t="str">
        <f t="shared" si="37"/>
        <v/>
      </c>
      <c r="I63" s="650" t="str">
        <f t="shared" si="37"/>
        <v/>
      </c>
      <c r="J63" s="650" t="str">
        <f t="shared" si="37"/>
        <v/>
      </c>
      <c r="K63" s="650" t="str">
        <f t="shared" si="37"/>
        <v/>
      </c>
      <c r="L63" s="650" t="str">
        <f t="shared" si="37"/>
        <v/>
      </c>
      <c r="M63" s="650" t="str">
        <f t="shared" si="37"/>
        <v/>
      </c>
      <c r="N63" s="650" t="str">
        <f t="shared" si="37"/>
        <v/>
      </c>
      <c r="O63" s="650" t="str">
        <f t="shared" si="37"/>
        <v/>
      </c>
      <c r="P63" s="650" t="str">
        <f t="shared" si="37"/>
        <v/>
      </c>
      <c r="Q63" s="650" t="str">
        <f t="shared" si="37"/>
        <v/>
      </c>
      <c r="R63" s="650" t="str">
        <f t="shared" si="37"/>
        <v/>
      </c>
      <c r="S63" s="650" t="str">
        <f t="shared" si="37"/>
        <v/>
      </c>
      <c r="T63" s="650" t="str">
        <f t="shared" si="37"/>
        <v/>
      </c>
      <c r="U63" s="650" t="str">
        <f t="shared" si="37"/>
        <v/>
      </c>
      <c r="V63" s="650" t="str">
        <f t="shared" si="37"/>
        <v/>
      </c>
      <c r="W63" s="650" t="str">
        <f t="shared" si="37"/>
        <v/>
      </c>
    </row>
    <row r="64" spans="2:23" x14ac:dyDescent="0.2">
      <c r="B64" s="8" t="s">
        <v>91</v>
      </c>
      <c r="C64" s="661" t="str">
        <f t="shared" ref="C64:W64" si="38">IFERROR(IF(OR(SEARCH("quartz",C$47)&gt;0,SEARCH("granite",C$47)&gt;0,SEARCH("marble",C$47)&gt;0),"X",""),"")</f>
        <v/>
      </c>
      <c r="D64" s="650" t="str">
        <f t="shared" si="38"/>
        <v/>
      </c>
      <c r="E64" s="650" t="str">
        <f t="shared" si="38"/>
        <v/>
      </c>
      <c r="F64" s="650" t="str">
        <f t="shared" si="38"/>
        <v/>
      </c>
      <c r="G64" s="650" t="str">
        <f t="shared" si="38"/>
        <v/>
      </c>
      <c r="H64" s="650" t="str">
        <f t="shared" si="38"/>
        <v/>
      </c>
      <c r="I64" s="650" t="str">
        <f t="shared" si="38"/>
        <v/>
      </c>
      <c r="J64" s="650" t="str">
        <f t="shared" si="38"/>
        <v/>
      </c>
      <c r="K64" s="650" t="str">
        <f t="shared" si="38"/>
        <v/>
      </c>
      <c r="L64" s="650" t="str">
        <f t="shared" si="38"/>
        <v/>
      </c>
      <c r="M64" s="650" t="str">
        <f t="shared" si="38"/>
        <v/>
      </c>
      <c r="N64" s="650" t="str">
        <f t="shared" si="38"/>
        <v/>
      </c>
      <c r="O64" s="650" t="str">
        <f t="shared" si="38"/>
        <v/>
      </c>
      <c r="P64" s="650" t="str">
        <f t="shared" si="38"/>
        <v/>
      </c>
      <c r="Q64" s="650" t="str">
        <f t="shared" si="38"/>
        <v/>
      </c>
      <c r="R64" s="650" t="str">
        <f t="shared" si="38"/>
        <v/>
      </c>
      <c r="S64" s="650" t="str">
        <f t="shared" si="38"/>
        <v/>
      </c>
      <c r="T64" s="650" t="str">
        <f t="shared" si="38"/>
        <v/>
      </c>
      <c r="U64" s="650" t="str">
        <f t="shared" si="38"/>
        <v/>
      </c>
      <c r="V64" s="650" t="str">
        <f t="shared" si="38"/>
        <v/>
      </c>
      <c r="W64" s="650" t="str">
        <f t="shared" si="38"/>
        <v/>
      </c>
    </row>
    <row r="65" spans="2:27" x14ac:dyDescent="0.2">
      <c r="B65" s="8" t="s">
        <v>92</v>
      </c>
      <c r="C65" s="661" t="str">
        <f t="shared" ref="C65:W65" si="39">IFERROR(IF(SEARCH("view",C$47)&gt;0,"X",""),"")</f>
        <v/>
      </c>
      <c r="D65" s="650" t="str">
        <f t="shared" si="39"/>
        <v/>
      </c>
      <c r="E65" s="650" t="str">
        <f t="shared" si="39"/>
        <v/>
      </c>
      <c r="F65" s="650" t="str">
        <f t="shared" si="39"/>
        <v/>
      </c>
      <c r="G65" s="650" t="str">
        <f t="shared" si="39"/>
        <v/>
      </c>
      <c r="H65" s="650" t="str">
        <f t="shared" si="39"/>
        <v/>
      </c>
      <c r="I65" s="650" t="str">
        <f t="shared" si="39"/>
        <v/>
      </c>
      <c r="J65" s="650" t="str">
        <f t="shared" si="39"/>
        <v/>
      </c>
      <c r="K65" s="650" t="str">
        <f t="shared" si="39"/>
        <v/>
      </c>
      <c r="L65" s="650" t="str">
        <f t="shared" si="39"/>
        <v/>
      </c>
      <c r="M65" s="650" t="str">
        <f t="shared" si="39"/>
        <v/>
      </c>
      <c r="N65" s="650" t="str">
        <f t="shared" si="39"/>
        <v/>
      </c>
      <c r="O65" s="650" t="str">
        <f t="shared" si="39"/>
        <v/>
      </c>
      <c r="P65" s="650" t="str">
        <f t="shared" si="39"/>
        <v/>
      </c>
      <c r="Q65" s="650" t="str">
        <f t="shared" si="39"/>
        <v/>
      </c>
      <c r="R65" s="650" t="str">
        <f t="shared" si="39"/>
        <v/>
      </c>
      <c r="S65" s="650" t="str">
        <f t="shared" si="39"/>
        <v/>
      </c>
      <c r="T65" s="650" t="str">
        <f t="shared" si="39"/>
        <v/>
      </c>
      <c r="U65" s="650" t="str">
        <f t="shared" si="39"/>
        <v>X</v>
      </c>
      <c r="V65" s="650" t="str">
        <f t="shared" si="39"/>
        <v/>
      </c>
      <c r="W65" s="650" t="str">
        <f t="shared" si="39"/>
        <v/>
      </c>
    </row>
    <row r="66" spans="2:27" x14ac:dyDescent="0.2">
      <c r="B66" s="8" t="s">
        <v>93</v>
      </c>
      <c r="C66" s="661" t="str">
        <f t="shared" ref="C66:W66" si="40">IFERROR(IF(SEARCH("walk_in_closet",C$47)&gt;0,"X",""),"")</f>
        <v/>
      </c>
      <c r="D66" s="650" t="str">
        <f t="shared" si="40"/>
        <v/>
      </c>
      <c r="E66" s="650" t="str">
        <f t="shared" si="40"/>
        <v/>
      </c>
      <c r="F66" s="650" t="str">
        <f t="shared" si="40"/>
        <v/>
      </c>
      <c r="G66" s="650" t="str">
        <f t="shared" si="40"/>
        <v/>
      </c>
      <c r="H66" s="650" t="str">
        <f t="shared" si="40"/>
        <v/>
      </c>
      <c r="I66" s="650" t="str">
        <f t="shared" si="40"/>
        <v/>
      </c>
      <c r="J66" s="650" t="str">
        <f t="shared" si="40"/>
        <v/>
      </c>
      <c r="K66" s="650" t="str">
        <f t="shared" si="40"/>
        <v/>
      </c>
      <c r="L66" s="650" t="str">
        <f t="shared" si="40"/>
        <v/>
      </c>
      <c r="M66" s="650" t="str">
        <f t="shared" si="40"/>
        <v/>
      </c>
      <c r="N66" s="650" t="str">
        <f t="shared" si="40"/>
        <v/>
      </c>
      <c r="O66" s="650" t="str">
        <f t="shared" si="40"/>
        <v>X</v>
      </c>
      <c r="P66" s="650" t="str">
        <f t="shared" si="40"/>
        <v/>
      </c>
      <c r="Q66" s="650" t="str">
        <f t="shared" si="40"/>
        <v/>
      </c>
      <c r="R66" s="650" t="str">
        <f t="shared" si="40"/>
        <v/>
      </c>
      <c r="S66" s="650" t="str">
        <f t="shared" si="40"/>
        <v/>
      </c>
      <c r="T66" s="650" t="str">
        <f t="shared" si="40"/>
        <v/>
      </c>
      <c r="U66" s="650" t="str">
        <f t="shared" si="40"/>
        <v/>
      </c>
      <c r="V66" s="650" t="str">
        <f t="shared" si="40"/>
        <v/>
      </c>
      <c r="W66" s="650" t="str">
        <f t="shared" si="40"/>
        <v/>
      </c>
    </row>
    <row r="67" spans="2:27" x14ac:dyDescent="0.2">
      <c r="B67" s="8" t="s">
        <v>94</v>
      </c>
      <c r="C67" s="661" t="str">
        <f t="shared" ref="C67:W67" si="41">IFERROR(IF(SEARCH("washer_dryer_in_unit",C$47)&gt;0,"X",""),"")</f>
        <v>X</v>
      </c>
      <c r="D67" s="650" t="str">
        <f t="shared" si="41"/>
        <v>X</v>
      </c>
      <c r="E67" s="650" t="str">
        <f t="shared" si="41"/>
        <v>X</v>
      </c>
      <c r="F67" s="650" t="str">
        <f t="shared" si="41"/>
        <v>X</v>
      </c>
      <c r="G67" s="650" t="str">
        <f t="shared" si="41"/>
        <v/>
      </c>
      <c r="H67" s="650" t="str">
        <f t="shared" si="41"/>
        <v/>
      </c>
      <c r="I67" s="650" t="str">
        <f t="shared" si="41"/>
        <v/>
      </c>
      <c r="J67" s="650" t="str">
        <f t="shared" si="41"/>
        <v>X</v>
      </c>
      <c r="K67" s="650" t="str">
        <f t="shared" si="41"/>
        <v>X</v>
      </c>
      <c r="L67" s="650" t="str">
        <f t="shared" si="41"/>
        <v/>
      </c>
      <c r="M67" s="650" t="str">
        <f t="shared" si="41"/>
        <v>X</v>
      </c>
      <c r="N67" s="650" t="str">
        <f t="shared" si="41"/>
        <v>X</v>
      </c>
      <c r="O67" s="650" t="str">
        <f t="shared" si="41"/>
        <v>X</v>
      </c>
      <c r="P67" s="650" t="str">
        <f t="shared" si="41"/>
        <v>X</v>
      </c>
      <c r="Q67" s="650" t="str">
        <f t="shared" si="41"/>
        <v>X</v>
      </c>
      <c r="R67" s="650" t="str">
        <f t="shared" si="41"/>
        <v/>
      </c>
      <c r="S67" s="650" t="str">
        <f t="shared" si="41"/>
        <v/>
      </c>
      <c r="T67" s="650" t="str">
        <f t="shared" si="41"/>
        <v/>
      </c>
      <c r="U67" s="650" t="str">
        <f t="shared" si="41"/>
        <v>X</v>
      </c>
      <c r="V67" s="650" t="str">
        <f t="shared" si="41"/>
        <v/>
      </c>
      <c r="W67" s="650" t="str">
        <f t="shared" si="41"/>
        <v/>
      </c>
    </row>
    <row r="68" spans="2:27" ht="10" customHeight="1" x14ac:dyDescent="0.2">
      <c r="B68" s="8"/>
      <c r="C68" s="661"/>
      <c r="D68" s="650"/>
      <c r="E68" s="650"/>
      <c r="F68" s="650"/>
      <c r="G68" s="650"/>
      <c r="H68" s="650"/>
      <c r="I68" s="650"/>
      <c r="J68" s="650"/>
      <c r="K68" s="650"/>
      <c r="L68" s="650"/>
      <c r="M68" s="650"/>
      <c r="N68" s="650"/>
      <c r="O68" s="650"/>
      <c r="P68" s="650"/>
      <c r="Q68" s="650"/>
      <c r="R68" s="650"/>
      <c r="S68" s="650"/>
      <c r="T68" s="650"/>
      <c r="U68" s="650"/>
      <c r="V68" s="650"/>
      <c r="W68" s="650"/>
    </row>
    <row r="69" spans="2:27" ht="21" x14ac:dyDescent="0.2">
      <c r="B69" s="515" t="s">
        <v>42</v>
      </c>
      <c r="C69" s="664"/>
      <c r="D69" s="655"/>
      <c r="E69" s="655"/>
      <c r="F69" s="655"/>
      <c r="G69" s="655"/>
      <c r="H69" s="655"/>
      <c r="I69" s="655"/>
      <c r="J69" s="655"/>
      <c r="K69" s="655"/>
      <c r="L69" s="655"/>
      <c r="M69" s="655"/>
      <c r="N69" s="655"/>
      <c r="O69" s="655"/>
      <c r="P69" s="655"/>
      <c r="Q69" s="655"/>
      <c r="R69" s="655"/>
      <c r="S69" s="655"/>
      <c r="T69" s="655"/>
      <c r="U69" s="655"/>
      <c r="V69" s="655"/>
      <c r="W69" s="655"/>
    </row>
    <row r="70" spans="2:27" x14ac:dyDescent="0.2">
      <c r="B70" s="11" t="s">
        <v>442</v>
      </c>
      <c r="C70" s="665">
        <v>0.51493199658935951</v>
      </c>
      <c r="D70" s="656">
        <v>0.30491646007743156</v>
      </c>
      <c r="E70" s="656">
        <v>0.32871179623809271</v>
      </c>
      <c r="F70" s="656">
        <v>0.29737036019806284</v>
      </c>
      <c r="G70" s="656"/>
      <c r="H70" s="656"/>
      <c r="I70" s="656"/>
      <c r="J70" s="656"/>
      <c r="K70" s="656"/>
      <c r="L70" s="656"/>
      <c r="M70" s="656"/>
      <c r="N70" s="656"/>
      <c r="O70" s="656"/>
      <c r="P70" s="656"/>
      <c r="Q70" s="656">
        <v>0.35847542006032074</v>
      </c>
      <c r="R70" s="656"/>
      <c r="S70" s="656"/>
      <c r="T70" s="656"/>
      <c r="U70" s="656"/>
      <c r="V70" s="656"/>
      <c r="W70" s="656"/>
      <c r="X70" s="656"/>
      <c r="Y70" s="656"/>
      <c r="Z70" s="656"/>
      <c r="AA70" s="656"/>
    </row>
    <row r="71" spans="2:27" x14ac:dyDescent="0.2">
      <c r="B71" s="26" t="s">
        <v>43</v>
      </c>
      <c r="C71" s="654"/>
      <c r="D71" s="654"/>
      <c r="E71" s="654"/>
      <c r="F71" s="654"/>
      <c r="G71" s="654"/>
      <c r="H71" s="654"/>
      <c r="I71" s="654"/>
      <c r="J71" s="654"/>
      <c r="K71" s="654"/>
      <c r="L71" s="654"/>
      <c r="M71" s="654"/>
      <c r="N71" s="654"/>
      <c r="O71" s="654"/>
      <c r="P71" s="654"/>
      <c r="Q71" s="654"/>
      <c r="R71" s="654"/>
      <c r="S71" s="654"/>
      <c r="T71" s="654"/>
      <c r="U71" s="654"/>
      <c r="V71" s="654"/>
      <c r="W71" s="654"/>
    </row>
    <row r="72" spans="2:27" x14ac:dyDescent="0.2">
      <c r="B72" s="8" t="s">
        <v>44</v>
      </c>
      <c r="C72" s="661" t="s">
        <v>652</v>
      </c>
      <c r="D72" s="650" t="s">
        <v>653</v>
      </c>
      <c r="E72" s="650" t="s">
        <v>654</v>
      </c>
      <c r="F72" s="650" t="s">
        <v>654</v>
      </c>
      <c r="G72" s="650" t="s">
        <v>655</v>
      </c>
      <c r="H72" s="650" t="s">
        <v>655</v>
      </c>
      <c r="I72" s="650" t="s">
        <v>655</v>
      </c>
      <c r="J72" s="650" t="s">
        <v>655</v>
      </c>
      <c r="K72" s="650" t="s">
        <v>655</v>
      </c>
      <c r="L72" s="650" t="s">
        <v>655</v>
      </c>
      <c r="M72" s="650" t="s">
        <v>655</v>
      </c>
      <c r="N72" s="650" t="s">
        <v>655</v>
      </c>
      <c r="O72" s="650" t="s">
        <v>655</v>
      </c>
      <c r="P72" s="650" t="s">
        <v>655</v>
      </c>
      <c r="Q72" s="650" t="s">
        <v>655</v>
      </c>
      <c r="R72" s="650" t="s">
        <v>655</v>
      </c>
      <c r="S72" s="650" t="s">
        <v>655</v>
      </c>
      <c r="T72" s="650" t="s">
        <v>655</v>
      </c>
      <c r="U72" s="650" t="s">
        <v>655</v>
      </c>
      <c r="V72" s="650" t="s">
        <v>655</v>
      </c>
      <c r="W72" s="650" t="s">
        <v>655</v>
      </c>
      <c r="X72" s="650" t="s">
        <v>655</v>
      </c>
      <c r="Y72" s="650" t="s">
        <v>655</v>
      </c>
      <c r="Z72" s="650" t="s">
        <v>655</v>
      </c>
      <c r="AA72" s="650" t="s">
        <v>655</v>
      </c>
    </row>
    <row r="73" spans="2:27" x14ac:dyDescent="0.2">
      <c r="B73" s="8" t="s">
        <v>45</v>
      </c>
      <c r="C73" s="661" t="s">
        <v>654</v>
      </c>
      <c r="D73" s="650" t="s">
        <v>654</v>
      </c>
      <c r="E73" s="650" t="s">
        <v>656</v>
      </c>
      <c r="F73" s="650" t="s">
        <v>654</v>
      </c>
      <c r="G73" s="650" t="s">
        <v>655</v>
      </c>
      <c r="H73" s="650" t="s">
        <v>655</v>
      </c>
      <c r="I73" s="650" t="s">
        <v>655</v>
      </c>
      <c r="J73" s="650" t="s">
        <v>655</v>
      </c>
      <c r="K73" s="650" t="s">
        <v>655</v>
      </c>
      <c r="L73" s="650" t="s">
        <v>655</v>
      </c>
      <c r="M73" s="650" t="s">
        <v>655</v>
      </c>
      <c r="N73" s="650" t="s">
        <v>655</v>
      </c>
      <c r="O73" s="650" t="s">
        <v>655</v>
      </c>
      <c r="P73" s="650" t="s">
        <v>655</v>
      </c>
      <c r="Q73" s="650" t="s">
        <v>656</v>
      </c>
      <c r="R73" s="650" t="s">
        <v>655</v>
      </c>
      <c r="S73" s="650" t="s">
        <v>655</v>
      </c>
      <c r="T73" s="650" t="s">
        <v>655</v>
      </c>
      <c r="U73" s="650" t="s">
        <v>655</v>
      </c>
      <c r="V73" s="650" t="s">
        <v>655</v>
      </c>
      <c r="W73" s="650" t="s">
        <v>655</v>
      </c>
      <c r="X73" s="650" t="s">
        <v>655</v>
      </c>
      <c r="Y73" s="650" t="s">
        <v>655</v>
      </c>
      <c r="Z73" s="650" t="s">
        <v>655</v>
      </c>
      <c r="AA73" s="650" t="s">
        <v>655</v>
      </c>
    </row>
    <row r="74" spans="2:27" x14ac:dyDescent="0.2">
      <c r="B74" s="8" t="s">
        <v>46</v>
      </c>
      <c r="C74" s="661" t="s">
        <v>652</v>
      </c>
      <c r="D74" s="650" t="s">
        <v>654</v>
      </c>
      <c r="E74" s="650" t="s">
        <v>654</v>
      </c>
      <c r="F74" s="650" t="s">
        <v>654</v>
      </c>
      <c r="G74" s="650" t="s">
        <v>655</v>
      </c>
      <c r="H74" s="650" t="s">
        <v>655</v>
      </c>
      <c r="I74" s="650" t="s">
        <v>655</v>
      </c>
      <c r="J74" s="650" t="s">
        <v>655</v>
      </c>
      <c r="K74" s="650" t="s">
        <v>655</v>
      </c>
      <c r="L74" s="650" t="s">
        <v>655</v>
      </c>
      <c r="M74" s="650" t="s">
        <v>655</v>
      </c>
      <c r="N74" s="650" t="s">
        <v>655</v>
      </c>
      <c r="O74" s="650" t="s">
        <v>655</v>
      </c>
      <c r="P74" s="650" t="s">
        <v>655</v>
      </c>
      <c r="Q74" s="650" t="s">
        <v>654</v>
      </c>
      <c r="R74" s="650" t="s">
        <v>655</v>
      </c>
      <c r="S74" s="650" t="s">
        <v>655</v>
      </c>
      <c r="T74" s="650" t="s">
        <v>655</v>
      </c>
      <c r="U74" s="650" t="s">
        <v>655</v>
      </c>
      <c r="V74" s="650" t="s">
        <v>655</v>
      </c>
      <c r="W74" s="650" t="s">
        <v>655</v>
      </c>
      <c r="X74" s="650" t="s">
        <v>655</v>
      </c>
      <c r="Y74" s="650" t="s">
        <v>655</v>
      </c>
      <c r="Z74" s="650" t="s">
        <v>655</v>
      </c>
      <c r="AA74" s="650" t="s">
        <v>655</v>
      </c>
    </row>
    <row r="75" spans="2:27" x14ac:dyDescent="0.2">
      <c r="B75" s="8" t="s">
        <v>47</v>
      </c>
      <c r="C75" s="661" t="s">
        <v>655</v>
      </c>
      <c r="D75" s="650" t="s">
        <v>655</v>
      </c>
      <c r="E75" s="650" t="s">
        <v>655</v>
      </c>
      <c r="F75" s="650" t="s">
        <v>655</v>
      </c>
      <c r="G75" s="650" t="s">
        <v>655</v>
      </c>
      <c r="H75" s="650" t="s">
        <v>655</v>
      </c>
      <c r="I75" s="650" t="s">
        <v>655</v>
      </c>
      <c r="J75" s="650" t="s">
        <v>655</v>
      </c>
      <c r="K75" s="650" t="s">
        <v>655</v>
      </c>
      <c r="L75" s="650" t="s">
        <v>655</v>
      </c>
      <c r="M75" s="650" t="s">
        <v>655</v>
      </c>
      <c r="N75" s="650" t="s">
        <v>655</v>
      </c>
      <c r="O75" s="650" t="s">
        <v>655</v>
      </c>
      <c r="P75" s="650" t="s">
        <v>655</v>
      </c>
      <c r="Q75" s="650" t="s">
        <v>655</v>
      </c>
      <c r="R75" s="650" t="s">
        <v>655</v>
      </c>
      <c r="S75" s="650" t="s">
        <v>655</v>
      </c>
      <c r="T75" s="650" t="s">
        <v>655</v>
      </c>
      <c r="U75" s="650" t="s">
        <v>655</v>
      </c>
      <c r="V75" s="650" t="s">
        <v>655</v>
      </c>
      <c r="W75" s="650" t="s">
        <v>655</v>
      </c>
      <c r="X75" s="650" t="s">
        <v>655</v>
      </c>
      <c r="Y75" s="650" t="s">
        <v>655</v>
      </c>
      <c r="Z75" s="650" t="s">
        <v>655</v>
      </c>
      <c r="AA75" s="650" t="s">
        <v>655</v>
      </c>
    </row>
    <row r="76" spans="2:27" x14ac:dyDescent="0.2">
      <c r="B76" s="8" t="s">
        <v>48</v>
      </c>
      <c r="C76" s="661" t="s">
        <v>656</v>
      </c>
      <c r="D76" s="650" t="s">
        <v>654</v>
      </c>
      <c r="E76" s="650" t="s">
        <v>654</v>
      </c>
      <c r="F76" s="650" t="s">
        <v>657</v>
      </c>
      <c r="G76" s="650" t="s">
        <v>655</v>
      </c>
      <c r="H76" s="650" t="s">
        <v>655</v>
      </c>
      <c r="I76" s="650" t="s">
        <v>655</v>
      </c>
      <c r="J76" s="650" t="s">
        <v>655</v>
      </c>
      <c r="K76" s="650" t="s">
        <v>655</v>
      </c>
      <c r="L76" s="650" t="s">
        <v>655</v>
      </c>
      <c r="M76" s="650" t="s">
        <v>655</v>
      </c>
      <c r="N76" s="650" t="s">
        <v>655</v>
      </c>
      <c r="O76" s="650" t="s">
        <v>655</v>
      </c>
      <c r="P76" s="650" t="s">
        <v>655</v>
      </c>
      <c r="Q76" s="650" t="s">
        <v>654</v>
      </c>
      <c r="R76" s="650" t="s">
        <v>655</v>
      </c>
      <c r="S76" s="650" t="s">
        <v>655</v>
      </c>
      <c r="T76" s="650" t="s">
        <v>655</v>
      </c>
      <c r="U76" s="650" t="s">
        <v>655</v>
      </c>
      <c r="V76" s="650" t="s">
        <v>655</v>
      </c>
      <c r="W76" s="650" t="s">
        <v>655</v>
      </c>
      <c r="X76" s="650" t="s">
        <v>655</v>
      </c>
      <c r="Y76" s="650" t="s">
        <v>655</v>
      </c>
      <c r="Z76" s="650" t="s">
        <v>655</v>
      </c>
      <c r="AA76" s="650" t="s">
        <v>655</v>
      </c>
    </row>
    <row r="77" spans="2:27" x14ac:dyDescent="0.2">
      <c r="B77" s="8" t="s">
        <v>49</v>
      </c>
      <c r="C77" s="661" t="s">
        <v>655</v>
      </c>
      <c r="D77" s="650" t="s">
        <v>655</v>
      </c>
      <c r="E77" s="650" t="s">
        <v>655</v>
      </c>
      <c r="F77" s="650" t="s">
        <v>655</v>
      </c>
      <c r="G77" s="650" t="s">
        <v>655</v>
      </c>
      <c r="H77" s="650" t="s">
        <v>655</v>
      </c>
      <c r="I77" s="650" t="s">
        <v>655</v>
      </c>
      <c r="J77" s="650" t="s">
        <v>655</v>
      </c>
      <c r="K77" s="650" t="s">
        <v>655</v>
      </c>
      <c r="L77" s="650" t="s">
        <v>655</v>
      </c>
      <c r="M77" s="650" t="s">
        <v>655</v>
      </c>
      <c r="N77" s="650" t="s">
        <v>655</v>
      </c>
      <c r="O77" s="650" t="s">
        <v>655</v>
      </c>
      <c r="P77" s="650" t="s">
        <v>655</v>
      </c>
      <c r="Q77" s="650" t="s">
        <v>655</v>
      </c>
      <c r="R77" s="650" t="s">
        <v>655</v>
      </c>
      <c r="S77" s="650" t="s">
        <v>655</v>
      </c>
      <c r="T77" s="650" t="s">
        <v>655</v>
      </c>
      <c r="U77" s="650" t="s">
        <v>655</v>
      </c>
      <c r="V77" s="650" t="s">
        <v>655</v>
      </c>
      <c r="W77" s="650" t="s">
        <v>655</v>
      </c>
      <c r="X77" s="650" t="s">
        <v>655</v>
      </c>
      <c r="Y77" s="650" t="s">
        <v>655</v>
      </c>
      <c r="Z77" s="650" t="s">
        <v>655</v>
      </c>
      <c r="AA77" s="650" t="s">
        <v>655</v>
      </c>
    </row>
    <row r="78" spans="2:27" x14ac:dyDescent="0.2">
      <c r="B78" s="26" t="s">
        <v>50</v>
      </c>
      <c r="C78" s="654"/>
      <c r="D78" s="654"/>
      <c r="E78" s="654"/>
      <c r="F78" s="654"/>
      <c r="G78" s="654"/>
      <c r="H78" s="654"/>
      <c r="I78" s="654"/>
      <c r="J78" s="654"/>
      <c r="K78" s="654"/>
      <c r="L78" s="654"/>
      <c r="M78" s="654"/>
      <c r="N78" s="654"/>
      <c r="O78" s="654"/>
      <c r="P78" s="654"/>
      <c r="Q78" s="654"/>
      <c r="R78" s="654"/>
      <c r="S78" s="654"/>
      <c r="T78" s="654"/>
      <c r="U78" s="654"/>
      <c r="V78" s="654"/>
      <c r="W78" s="654"/>
    </row>
    <row r="79" spans="2:27" x14ac:dyDescent="0.2">
      <c r="B79" s="8" t="s">
        <v>51</v>
      </c>
      <c r="C79" s="661" t="s">
        <v>655</v>
      </c>
      <c r="D79" s="650" t="s">
        <v>655</v>
      </c>
      <c r="E79" s="650" t="s">
        <v>655</v>
      </c>
      <c r="F79" s="650" t="s">
        <v>655</v>
      </c>
      <c r="G79" s="650" t="s">
        <v>655</v>
      </c>
      <c r="H79" s="650" t="s">
        <v>655</v>
      </c>
      <c r="I79" s="650" t="s">
        <v>655</v>
      </c>
      <c r="J79" s="650" t="s">
        <v>655</v>
      </c>
      <c r="K79" s="650" t="s">
        <v>655</v>
      </c>
      <c r="L79" s="650" t="s">
        <v>655</v>
      </c>
      <c r="M79" s="650" t="s">
        <v>655</v>
      </c>
      <c r="N79" s="650" t="s">
        <v>655</v>
      </c>
      <c r="O79" s="650" t="s">
        <v>655</v>
      </c>
      <c r="P79" s="650" t="s">
        <v>655</v>
      </c>
      <c r="Q79" s="650" t="s">
        <v>655</v>
      </c>
      <c r="R79" s="650" t="s">
        <v>655</v>
      </c>
      <c r="S79" s="650" t="s">
        <v>655</v>
      </c>
      <c r="T79" s="650" t="s">
        <v>655</v>
      </c>
      <c r="U79" s="650" t="s">
        <v>655</v>
      </c>
      <c r="V79" s="650" t="s">
        <v>655</v>
      </c>
      <c r="W79" s="650" t="s">
        <v>655</v>
      </c>
      <c r="X79" s="650" t="s">
        <v>655</v>
      </c>
      <c r="Y79" s="650" t="s">
        <v>655</v>
      </c>
      <c r="Z79" s="650" t="s">
        <v>655</v>
      </c>
      <c r="AA79" s="650" t="s">
        <v>655</v>
      </c>
    </row>
    <row r="80" spans="2:27" x14ac:dyDescent="0.2">
      <c r="B80" s="8" t="s">
        <v>52</v>
      </c>
      <c r="C80" s="661" t="s">
        <v>655</v>
      </c>
      <c r="D80" s="650" t="s">
        <v>655</v>
      </c>
      <c r="E80" s="650" t="s">
        <v>655</v>
      </c>
      <c r="F80" s="650" t="s">
        <v>655</v>
      </c>
      <c r="G80" s="650" t="s">
        <v>655</v>
      </c>
      <c r="H80" s="650" t="s">
        <v>655</v>
      </c>
      <c r="I80" s="650" t="s">
        <v>655</v>
      </c>
      <c r="J80" s="650" t="s">
        <v>655</v>
      </c>
      <c r="K80" s="650" t="s">
        <v>655</v>
      </c>
      <c r="L80" s="650" t="s">
        <v>655</v>
      </c>
      <c r="M80" s="650" t="s">
        <v>655</v>
      </c>
      <c r="N80" s="650" t="s">
        <v>655</v>
      </c>
      <c r="O80" s="650" t="s">
        <v>655</v>
      </c>
      <c r="P80" s="650" t="s">
        <v>655</v>
      </c>
      <c r="Q80" s="650" t="s">
        <v>655</v>
      </c>
      <c r="R80" s="650" t="s">
        <v>655</v>
      </c>
      <c r="S80" s="650" t="s">
        <v>655</v>
      </c>
      <c r="T80" s="650" t="s">
        <v>655</v>
      </c>
      <c r="U80" s="650" t="s">
        <v>655</v>
      </c>
      <c r="V80" s="650" t="s">
        <v>655</v>
      </c>
      <c r="W80" s="650" t="s">
        <v>655</v>
      </c>
      <c r="X80" s="650" t="s">
        <v>655</v>
      </c>
      <c r="Y80" s="650" t="s">
        <v>655</v>
      </c>
      <c r="Z80" s="650" t="s">
        <v>655</v>
      </c>
      <c r="AA80" s="650" t="s">
        <v>655</v>
      </c>
    </row>
    <row r="81" spans="2:27" x14ac:dyDescent="0.2">
      <c r="B81" s="8" t="s">
        <v>53</v>
      </c>
      <c r="C81" s="661" t="s">
        <v>655</v>
      </c>
      <c r="D81" s="650" t="s">
        <v>658</v>
      </c>
      <c r="E81" s="650" t="s">
        <v>656</v>
      </c>
      <c r="F81" s="650" t="s">
        <v>655</v>
      </c>
      <c r="G81" s="650" t="s">
        <v>655</v>
      </c>
      <c r="H81" s="650" t="s">
        <v>655</v>
      </c>
      <c r="I81" s="650" t="s">
        <v>655</v>
      </c>
      <c r="J81" s="650" t="s">
        <v>655</v>
      </c>
      <c r="K81" s="650" t="s">
        <v>655</v>
      </c>
      <c r="L81" s="650" t="s">
        <v>655</v>
      </c>
      <c r="M81" s="650" t="s">
        <v>655</v>
      </c>
      <c r="N81" s="650" t="s">
        <v>655</v>
      </c>
      <c r="O81" s="650" t="s">
        <v>655</v>
      </c>
      <c r="P81" s="650" t="s">
        <v>655</v>
      </c>
      <c r="Q81" s="650" t="s">
        <v>654</v>
      </c>
      <c r="R81" s="650" t="s">
        <v>655</v>
      </c>
      <c r="S81" s="650" t="s">
        <v>655</v>
      </c>
      <c r="T81" s="650" t="s">
        <v>655</v>
      </c>
      <c r="U81" s="650" t="s">
        <v>655</v>
      </c>
      <c r="V81" s="650" t="s">
        <v>655</v>
      </c>
      <c r="W81" s="650" t="s">
        <v>655</v>
      </c>
      <c r="X81" s="650" t="s">
        <v>655</v>
      </c>
      <c r="Y81" s="650" t="s">
        <v>655</v>
      </c>
      <c r="Z81" s="650" t="s">
        <v>655</v>
      </c>
      <c r="AA81" s="650" t="s">
        <v>655</v>
      </c>
    </row>
    <row r="82" spans="2:27" x14ac:dyDescent="0.2">
      <c r="B82" s="8" t="s">
        <v>54</v>
      </c>
      <c r="C82" s="661" t="s">
        <v>655</v>
      </c>
      <c r="D82" s="650" t="s">
        <v>655</v>
      </c>
      <c r="E82" s="650" t="s">
        <v>655</v>
      </c>
      <c r="F82" s="650" t="s">
        <v>655</v>
      </c>
      <c r="G82" s="650" t="s">
        <v>655</v>
      </c>
      <c r="H82" s="650" t="s">
        <v>655</v>
      </c>
      <c r="I82" s="650" t="s">
        <v>655</v>
      </c>
      <c r="J82" s="650" t="s">
        <v>655</v>
      </c>
      <c r="K82" s="650" t="s">
        <v>655</v>
      </c>
      <c r="L82" s="650" t="s">
        <v>655</v>
      </c>
      <c r="M82" s="650" t="s">
        <v>655</v>
      </c>
      <c r="N82" s="650" t="s">
        <v>655</v>
      </c>
      <c r="O82" s="650" t="s">
        <v>655</v>
      </c>
      <c r="P82" s="650" t="s">
        <v>655</v>
      </c>
      <c r="Q82" s="650" t="s">
        <v>655</v>
      </c>
      <c r="R82" s="650" t="s">
        <v>655</v>
      </c>
      <c r="S82" s="650" t="s">
        <v>655</v>
      </c>
      <c r="T82" s="650" t="s">
        <v>655</v>
      </c>
      <c r="U82" s="650" t="s">
        <v>655</v>
      </c>
      <c r="V82" s="650" t="s">
        <v>655</v>
      </c>
      <c r="W82" s="650" t="s">
        <v>655</v>
      </c>
      <c r="X82" s="650" t="s">
        <v>655</v>
      </c>
      <c r="Y82" s="650" t="s">
        <v>655</v>
      </c>
      <c r="Z82" s="650" t="s">
        <v>655</v>
      </c>
      <c r="AA82" s="650" t="s">
        <v>655</v>
      </c>
    </row>
  </sheetData>
  <conditionalFormatting sqref="C1:W1">
    <cfRule type="notContainsBlanks" dxfId="2368" priority="1">
      <formula>LEN(TRIM(C1))&gt;0</formula>
    </cfRule>
  </conditionalFormatting>
  <pageMargins left="0.25" right="0.25" top="0.75" bottom="0.75" header="0.3" footer="0.3"/>
  <pageSetup scale="68" fitToHeight="0" orientation="landscape" r:id="rId1"/>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403"/>
  <sheetViews>
    <sheetView showGridLines="0" zoomScale="85" zoomScaleNormal="85" workbookViewId="0">
      <pane ySplit="3" topLeftCell="A4" activePane="bottomLeft" state="frozen"/>
      <selection pane="bottomLeft"/>
    </sheetView>
  </sheetViews>
  <sheetFormatPr baseColWidth="10" defaultColWidth="8.6640625" defaultRowHeight="15" x14ac:dyDescent="0.2"/>
  <cols>
    <col min="1" max="1" width="2.6640625" style="31" customWidth="1"/>
    <col min="2" max="2" width="34.6640625" style="31" customWidth="1"/>
    <col min="3" max="3" width="79.1640625" style="258" customWidth="1"/>
    <col min="4" max="5" width="14.83203125" style="260" customWidth="1"/>
    <col min="6" max="7" width="14.83203125" style="31" customWidth="1"/>
    <col min="8" max="8" width="12.5" style="31" hidden="1" customWidth="1"/>
    <col min="9" max="9" width="15" style="31" hidden="1" customWidth="1"/>
    <col min="10" max="10" width="14" style="31" customWidth="1"/>
    <col min="11" max="16384" width="8.6640625" style="31"/>
  </cols>
  <sheetData>
    <row r="1" spans="2:10" ht="8" customHeight="1" x14ac:dyDescent="0.2"/>
    <row r="2" spans="2:10" ht="21" x14ac:dyDescent="0.2">
      <c r="B2" s="514" t="s">
        <v>456</v>
      </c>
    </row>
    <row r="3" spans="2:10" x14ac:dyDescent="0.2">
      <c r="B3" s="26" t="s">
        <v>5</v>
      </c>
      <c r="C3" s="436" t="s">
        <v>296</v>
      </c>
      <c r="D3" s="437" t="s">
        <v>297</v>
      </c>
      <c r="E3" s="437" t="s">
        <v>298</v>
      </c>
      <c r="F3" s="437" t="s">
        <v>339</v>
      </c>
      <c r="G3" s="437" t="s">
        <v>341</v>
      </c>
      <c r="H3" s="437" t="s">
        <v>340</v>
      </c>
      <c r="I3" s="437" t="s">
        <v>343</v>
      </c>
      <c r="J3" s="437" t="s">
        <v>342</v>
      </c>
    </row>
    <row r="4" spans="2:10" x14ac:dyDescent="0.2">
      <c r="B4" s="13"/>
      <c r="C4" s="13" t="s">
        <v>659</v>
      </c>
      <c r="D4" s="34" t="s">
        <v>660</v>
      </c>
      <c r="E4" s="34" t="s">
        <v>661</v>
      </c>
      <c r="F4" s="34" t="s">
        <v>405</v>
      </c>
      <c r="G4" s="34" t="s">
        <v>405</v>
      </c>
      <c r="H4" s="34" t="s">
        <v>662</v>
      </c>
      <c r="I4" s="34" t="str" cm="1">
        <f t="array" aca="1" ref="I4" ca="1">IF(INDIRECT("B"&amp;ROW())="{{v:[subject.[{building_name},concessions_history.#.{concessions}].@fill|@flatten.#.building_name,comparables.#.[{building_name},concessions_history.#.{concessions}].@fill|@flatten.#.building_name].@flatten}}","",IF(ISBLANK(INDIRECT("B"&amp;ROW())), "", INDIRECT("B"&amp;ROW()) &amp; " - " &amp; INDIRECT("J"&amp;ROW())))</f>
        <v/>
      </c>
      <c r="J4" s="34" t="str" cm="1">
        <f t="array" aca="1" ref="J4" ca="1">IF(INDIRECT("E"&amp;ROW())=0,"",IF(INDIRECT("H"&amp;ROW())=INDIRECT("E"&amp;ROW()),"Active","Expired"))</f>
        <v>Expired</v>
      </c>
    </row>
    <row r="5" spans="2:10" x14ac:dyDescent="0.2">
      <c r="B5" s="13"/>
      <c r="C5" s="13" t="s">
        <v>659</v>
      </c>
      <c r="D5" s="34" t="s">
        <v>660</v>
      </c>
      <c r="E5" s="34" t="s">
        <v>661</v>
      </c>
      <c r="H5" s="34" t="s">
        <v>663</v>
      </c>
      <c r="I5" s="34" t="str" cm="1">
        <f t="array" aca="1" ref="I5" ca="1">IF(ISBLANK(INDIRECT("B"&amp;ROW())), "", INDIRECT("B"&amp;ROW()) &amp; " - " &amp; INDIRECT("J"&amp;ROW()))</f>
        <v/>
      </c>
      <c r="J5" s="34" t="str" cm="1">
        <f t="array" aca="1" ref="J5" ca="1">IF(INDIRECT("E"&amp;ROW())=0,"",IF(INDIRECT("H"&amp;ROW())=INDIRECT("E"&amp;ROW()),"Active","Expired"))</f>
        <v>Expired</v>
      </c>
    </row>
    <row r="6" spans="2:10" x14ac:dyDescent="0.2">
      <c r="B6" s="13"/>
      <c r="C6" s="13" t="s">
        <v>659</v>
      </c>
      <c r="D6" s="34" t="s">
        <v>660</v>
      </c>
      <c r="E6" s="34" t="s">
        <v>661</v>
      </c>
      <c r="H6" s="34" t="s">
        <v>662</v>
      </c>
      <c r="I6" s="34" t="str" cm="1">
        <f t="array" aca="1" ref="I6" ca="1">IF(ISBLANK(INDIRECT("B"&amp;ROW())), "", INDIRECT("B"&amp;ROW()) &amp; " - " &amp; INDIRECT("J"&amp;ROW()))</f>
        <v/>
      </c>
      <c r="J6" s="34" t="str" cm="1">
        <f t="array" aca="1" ref="J6" ca="1">IF(INDIRECT("E"&amp;ROW())=0,"",IF(INDIRECT("H"&amp;ROW())=INDIRECT("E"&amp;ROW()),"Active","Expired"))</f>
        <v>Expired</v>
      </c>
    </row>
    <row r="7" spans="2:10" x14ac:dyDescent="0.2">
      <c r="B7" s="13"/>
      <c r="C7" s="13" t="s">
        <v>659</v>
      </c>
      <c r="D7" s="34" t="s">
        <v>660</v>
      </c>
      <c r="E7" s="34" t="s">
        <v>661</v>
      </c>
      <c r="H7" s="34" t="s">
        <v>664</v>
      </c>
      <c r="I7" s="34" t="str" cm="1">
        <f t="array" aca="1" ref="I7" ca="1">IF(ISBLANK(INDIRECT("B"&amp;ROW())), "", INDIRECT("B"&amp;ROW()) &amp; " - " &amp; INDIRECT("J"&amp;ROW()))</f>
        <v/>
      </c>
      <c r="J7" s="34" t="str" cm="1">
        <f t="array" aca="1" ref="J7" ca="1">IF(INDIRECT("E"&amp;ROW())=0,"",IF(INDIRECT("H"&amp;ROW())=INDIRECT("E"&amp;ROW()),"Active","Expired"))</f>
        <v>Expired</v>
      </c>
    </row>
    <row r="8" spans="2:10" x14ac:dyDescent="0.2">
      <c r="B8" s="13"/>
      <c r="C8" s="13" t="s">
        <v>659</v>
      </c>
      <c r="D8" s="34" t="s">
        <v>660</v>
      </c>
      <c r="E8" s="34" t="s">
        <v>661</v>
      </c>
      <c r="H8" s="34" t="s">
        <v>665</v>
      </c>
      <c r="I8" s="34" t="str" cm="1">
        <f t="array" aca="1" ref="I8" ca="1">IF(ISBLANK(INDIRECT("B"&amp;ROW())), "", INDIRECT("B"&amp;ROW()) &amp; " - " &amp; INDIRECT("J"&amp;ROW()))</f>
        <v/>
      </c>
      <c r="J8" s="34" t="str" cm="1">
        <f t="array" aca="1" ref="J8" ca="1">IF(INDIRECT("E"&amp;ROW())=0,"",IF(INDIRECT("H"&amp;ROW())=INDIRECT("E"&amp;ROW()),"Active","Expired"))</f>
        <v>Expired</v>
      </c>
    </row>
    <row r="9" spans="2:10" x14ac:dyDescent="0.2">
      <c r="B9" s="13"/>
      <c r="I9" s="34" t="str" cm="1">
        <f t="array" aca="1" ref="I9" ca="1">IF(ISBLANK(INDIRECT("B"&amp;ROW())), "", INDIRECT("B"&amp;ROW()) &amp; " - " &amp; INDIRECT("J"&amp;ROW()))</f>
        <v/>
      </c>
      <c r="J9" s="34" t="str" cm="1">
        <f t="array" aca="1" ref="J9" ca="1">IF(INDIRECT("E"&amp;ROW())=0,"",IF(INDIRECT("H"&amp;ROW())=INDIRECT("E"&amp;ROW()),"Active","Expired"))</f>
        <v/>
      </c>
    </row>
    <row r="10" spans="2:10" x14ac:dyDescent="0.2">
      <c r="B10" s="13"/>
      <c r="I10" s="34" t="str" cm="1">
        <f t="array" aca="1" ref="I10" ca="1">IF(ISBLANK(INDIRECT("B"&amp;ROW())), "", INDIRECT("B"&amp;ROW()) &amp; " - " &amp; INDIRECT("J"&amp;ROW()))</f>
        <v/>
      </c>
      <c r="J10" s="34" t="str" cm="1">
        <f t="array" aca="1" ref="J10" ca="1">IF(INDIRECT("E"&amp;ROW())=0,"",IF(INDIRECT("H"&amp;ROW())=INDIRECT("E"&amp;ROW()),"Active","Expired"))</f>
        <v/>
      </c>
    </row>
    <row r="11" spans="2:10" x14ac:dyDescent="0.2">
      <c r="B11" s="13"/>
      <c r="I11" s="34" t="str" cm="1">
        <f t="array" aca="1" ref="I11" ca="1">IF(ISBLANK(INDIRECT("B"&amp;ROW())), "", INDIRECT("B"&amp;ROW()) &amp; " - " &amp; INDIRECT("J"&amp;ROW()))</f>
        <v/>
      </c>
      <c r="J11" s="34" t="str" cm="1">
        <f t="array" aca="1" ref="J11" ca="1">IF(INDIRECT("E"&amp;ROW())=0,"",IF(INDIRECT("H"&amp;ROW())=INDIRECT("E"&amp;ROW()),"Active","Expired"))</f>
        <v/>
      </c>
    </row>
    <row r="12" spans="2:10" x14ac:dyDescent="0.2">
      <c r="I12" s="34" t="str" cm="1">
        <f t="array" aca="1" ref="I12" ca="1">IF(ISBLANK(INDIRECT("B"&amp;ROW())), "", INDIRECT("B"&amp;ROW()) &amp; " - " &amp; INDIRECT("J"&amp;ROW()))</f>
        <v/>
      </c>
      <c r="J12" s="34" t="str" cm="1">
        <f t="array" aca="1" ref="J12" ca="1">IF(INDIRECT("E"&amp;ROW())=0,"",IF(INDIRECT("H"&amp;ROW())=INDIRECT("E"&amp;ROW()),"Active","Expired"))</f>
        <v/>
      </c>
    </row>
    <row r="13" spans="2:10" x14ac:dyDescent="0.2">
      <c r="I13" s="34" t="str" cm="1">
        <f t="array" aca="1" ref="I13" ca="1">IF(ISBLANK(INDIRECT("B"&amp;ROW())), "", INDIRECT("B"&amp;ROW()) &amp; " - " &amp; INDIRECT("J"&amp;ROW()))</f>
        <v/>
      </c>
      <c r="J13" s="34" t="str" cm="1">
        <f t="array" aca="1" ref="J13" ca="1">IF(INDIRECT("E"&amp;ROW())=0,"",IF(INDIRECT("H"&amp;ROW())=INDIRECT("E"&amp;ROW()),"Active","Expired"))</f>
        <v/>
      </c>
    </row>
    <row r="14" spans="2:10" x14ac:dyDescent="0.2">
      <c r="I14" s="34" t="str" cm="1">
        <f t="array" aca="1" ref="I14" ca="1">IF(ISBLANK(INDIRECT("B"&amp;ROW())), "", INDIRECT("B"&amp;ROW()) &amp; " - " &amp; INDIRECT("J"&amp;ROW()))</f>
        <v/>
      </c>
      <c r="J14" s="34" t="str" cm="1">
        <f t="array" aca="1" ref="J14" ca="1">IF(INDIRECT("E"&amp;ROW())=0,"",IF(INDIRECT("H"&amp;ROW())=INDIRECT("E"&amp;ROW()),"Active","Expired"))</f>
        <v/>
      </c>
    </row>
    <row r="15" spans="2:10" x14ac:dyDescent="0.2">
      <c r="B15" s="259"/>
      <c r="I15" s="34" t="str" cm="1">
        <f t="array" aca="1" ref="I15" ca="1">IF(ISBLANK(INDIRECT("B"&amp;ROW())), "", INDIRECT("B"&amp;ROW()) &amp; " - " &amp; INDIRECT("J"&amp;ROW()))</f>
        <v/>
      </c>
      <c r="J15" s="34" t="str" cm="1">
        <f t="array" aca="1" ref="J15" ca="1">IF(INDIRECT("E"&amp;ROW())=0,"",IF(INDIRECT("H"&amp;ROW())=INDIRECT("E"&amp;ROW()),"Active","Expired"))</f>
        <v/>
      </c>
    </row>
    <row r="16" spans="2:10" x14ac:dyDescent="0.2">
      <c r="I16" s="34" t="str" cm="1">
        <f t="array" aca="1" ref="I16" ca="1">IF(ISBLANK(INDIRECT("B"&amp;ROW())), "", INDIRECT("B"&amp;ROW()) &amp; " - " &amp; INDIRECT("J"&amp;ROW()))</f>
        <v/>
      </c>
      <c r="J16" s="34" t="str" cm="1">
        <f t="array" aca="1" ref="J16" ca="1">IF(INDIRECT("E"&amp;ROW())=0,"",IF(INDIRECT("H"&amp;ROW())=INDIRECT("E"&amp;ROW()),"Active","Expired"))</f>
        <v/>
      </c>
    </row>
    <row r="17" spans="2:10" x14ac:dyDescent="0.2">
      <c r="B17" s="261"/>
      <c r="I17" s="34" t="str" cm="1">
        <f t="array" aca="1" ref="I17" ca="1">IF(ISBLANK(INDIRECT("B"&amp;ROW())), "", INDIRECT("B"&amp;ROW()) &amp; " - " &amp; INDIRECT("J"&amp;ROW()))</f>
        <v/>
      </c>
      <c r="J17" s="34" t="str" cm="1">
        <f t="array" aca="1" ref="J17" ca="1">IF(INDIRECT("E"&amp;ROW())=0,"",IF(INDIRECT("H"&amp;ROW())=INDIRECT("E"&amp;ROW()),"Active","Expired"))</f>
        <v/>
      </c>
    </row>
    <row r="18" spans="2:10" x14ac:dyDescent="0.2">
      <c r="I18" s="34" t="str" cm="1">
        <f t="array" aca="1" ref="I18" ca="1">IF(ISBLANK(INDIRECT("B"&amp;ROW())), "", INDIRECT("B"&amp;ROW()) &amp; " - " &amp; INDIRECT("J"&amp;ROW()))</f>
        <v/>
      </c>
      <c r="J18" s="34" t="str" cm="1">
        <f t="array" aca="1" ref="J18" ca="1">IF(INDIRECT("E"&amp;ROW())=0,"",IF(INDIRECT("H"&amp;ROW())=INDIRECT("E"&amp;ROW()),"Active","Expired"))</f>
        <v/>
      </c>
    </row>
    <row r="19" spans="2:10" x14ac:dyDescent="0.2">
      <c r="I19" s="34" t="str" cm="1">
        <f t="array" aca="1" ref="I19" ca="1">IF(ISBLANK(INDIRECT("B"&amp;ROW())), "", INDIRECT("B"&amp;ROW()) &amp; " - " &amp; INDIRECT("J"&amp;ROW()))</f>
        <v/>
      </c>
      <c r="J19" s="34" t="str" cm="1">
        <f t="array" aca="1" ref="J19" ca="1">IF(INDIRECT("E"&amp;ROW())=0,"",IF(INDIRECT("H"&amp;ROW())=INDIRECT("E"&amp;ROW()),"Active","Expired"))</f>
        <v/>
      </c>
    </row>
    <row r="20" spans="2:10" x14ac:dyDescent="0.2">
      <c r="I20" s="34" t="str" cm="1">
        <f t="array" aca="1" ref="I20" ca="1">IF(ISBLANK(INDIRECT("B"&amp;ROW())), "", INDIRECT("B"&amp;ROW()) &amp; " - " &amp; INDIRECT("J"&amp;ROW()))</f>
        <v/>
      </c>
      <c r="J20" s="34" t="str" cm="1">
        <f t="array" aca="1" ref="J20" ca="1">IF(INDIRECT("E"&amp;ROW())=0,"",IF(INDIRECT("H"&amp;ROW())=INDIRECT("E"&amp;ROW()),"Active","Expired"))</f>
        <v/>
      </c>
    </row>
    <row r="21" spans="2:10" x14ac:dyDescent="0.2">
      <c r="I21" s="34" t="str" cm="1">
        <f t="array" aca="1" ref="I21" ca="1">IF(ISBLANK(INDIRECT("B"&amp;ROW())), "", INDIRECT("B"&amp;ROW()) &amp; " - " &amp; INDIRECT("J"&amp;ROW()))</f>
        <v/>
      </c>
      <c r="J21" s="34" t="str" cm="1">
        <f t="array" aca="1" ref="J21" ca="1">IF(INDIRECT("E"&amp;ROW())=0,"",IF(INDIRECT("H"&amp;ROW())=INDIRECT("E"&amp;ROW()),"Active","Expired"))</f>
        <v/>
      </c>
    </row>
    <row r="22" spans="2:10" x14ac:dyDescent="0.2">
      <c r="I22" s="34" t="str" cm="1">
        <f t="array" aca="1" ref="I22" ca="1">IF(ISBLANK(INDIRECT("B"&amp;ROW())), "", INDIRECT("B"&amp;ROW()) &amp; " - " &amp; INDIRECT("J"&amp;ROW()))</f>
        <v/>
      </c>
      <c r="J22" s="34" t="str" cm="1">
        <f t="array" aca="1" ref="J22" ca="1">IF(INDIRECT("E"&amp;ROW())=0,"",IF(INDIRECT("H"&amp;ROW())=INDIRECT("E"&amp;ROW()),"Active","Expired"))</f>
        <v/>
      </c>
    </row>
    <row r="23" spans="2:10" x14ac:dyDescent="0.2">
      <c r="I23" s="34" t="str" cm="1">
        <f t="array" aca="1" ref="I23" ca="1">IF(ISBLANK(INDIRECT("B"&amp;ROW())), "", INDIRECT("B"&amp;ROW()) &amp; " - " &amp; INDIRECT("J"&amp;ROW()))</f>
        <v/>
      </c>
      <c r="J23" s="34" t="str" cm="1">
        <f t="array" aca="1" ref="J23" ca="1">IF(INDIRECT("E"&amp;ROW())=0,"",IF(INDIRECT("H"&amp;ROW())=INDIRECT("E"&amp;ROW()),"Active","Expired"))</f>
        <v/>
      </c>
    </row>
    <row r="24" spans="2:10" x14ac:dyDescent="0.2">
      <c r="I24" s="34" t="str" cm="1">
        <f t="array" aca="1" ref="I24" ca="1">IF(ISBLANK(INDIRECT("B"&amp;ROW())), "", INDIRECT("B"&amp;ROW()) &amp; " - " &amp; INDIRECT("J"&amp;ROW()))</f>
        <v/>
      </c>
      <c r="J24" s="34" t="str" cm="1">
        <f t="array" aca="1" ref="J24" ca="1">IF(INDIRECT("E"&amp;ROW())=0,"",IF(INDIRECT("H"&amp;ROW())=INDIRECT("E"&amp;ROW()),"Active","Expired"))</f>
        <v/>
      </c>
    </row>
    <row r="25" spans="2:10" x14ac:dyDescent="0.2">
      <c r="I25" s="34" t="str" cm="1">
        <f t="array" aca="1" ref="I25" ca="1">IF(ISBLANK(INDIRECT("B"&amp;ROW())), "", INDIRECT("B"&amp;ROW()) &amp; " - " &amp; INDIRECT("J"&amp;ROW()))</f>
        <v/>
      </c>
      <c r="J25" s="34" t="str" cm="1">
        <f t="array" aca="1" ref="J25" ca="1">IF(INDIRECT("E"&amp;ROW())=0,"",IF(INDIRECT("H"&amp;ROW())=INDIRECT("E"&amp;ROW()),"Active","Expired"))</f>
        <v/>
      </c>
    </row>
    <row r="26" spans="2:10" x14ac:dyDescent="0.2">
      <c r="I26" s="34" t="str" cm="1">
        <f t="array" aca="1" ref="I26" ca="1">IF(ISBLANK(INDIRECT("B"&amp;ROW())), "", INDIRECT("B"&amp;ROW()) &amp; " - " &amp; INDIRECT("J"&amp;ROW()))</f>
        <v/>
      </c>
      <c r="J26" s="34" t="str" cm="1">
        <f t="array" aca="1" ref="J26" ca="1">IF(INDIRECT("E"&amp;ROW())=0,"",IF(INDIRECT("H"&amp;ROW())=INDIRECT("E"&amp;ROW()),"Active","Expired"))</f>
        <v/>
      </c>
    </row>
    <row r="27" spans="2:10" x14ac:dyDescent="0.2">
      <c r="I27" s="34" t="str" cm="1">
        <f t="array" aca="1" ref="I27" ca="1">IF(ISBLANK(INDIRECT("B"&amp;ROW())), "", INDIRECT("B"&amp;ROW()) &amp; " - " &amp; INDIRECT("J"&amp;ROW()))</f>
        <v/>
      </c>
      <c r="J27" s="34" t="str" cm="1">
        <f t="array" aca="1" ref="J27" ca="1">IF(INDIRECT("E"&amp;ROW())=0,"",IF(INDIRECT("H"&amp;ROW())=INDIRECT("E"&amp;ROW()),"Active","Expired"))</f>
        <v/>
      </c>
    </row>
    <row r="28" spans="2:10" x14ac:dyDescent="0.2">
      <c r="I28" s="34" t="str" cm="1">
        <f t="array" aca="1" ref="I28" ca="1">IF(ISBLANK(INDIRECT("B"&amp;ROW())), "", INDIRECT("B"&amp;ROW()) &amp; " - " &amp; INDIRECT("J"&amp;ROW()))</f>
        <v/>
      </c>
      <c r="J28" s="34" t="str" cm="1">
        <f t="array" aca="1" ref="J28" ca="1">IF(INDIRECT("E"&amp;ROW())=0,"",IF(INDIRECT("H"&amp;ROW())=INDIRECT("E"&amp;ROW()),"Active","Expired"))</f>
        <v/>
      </c>
    </row>
    <row r="29" spans="2:10" x14ac:dyDescent="0.2">
      <c r="I29" s="34" t="str" cm="1">
        <f t="array" aca="1" ref="I29" ca="1">IF(ISBLANK(INDIRECT("B"&amp;ROW())), "", INDIRECT("B"&amp;ROW()) &amp; " - " &amp; INDIRECT("J"&amp;ROW()))</f>
        <v/>
      </c>
      <c r="J29" s="34" t="str" cm="1">
        <f t="array" aca="1" ref="J29" ca="1">IF(INDIRECT("E"&amp;ROW())=0,"",IF(INDIRECT("H"&amp;ROW())=INDIRECT("E"&amp;ROW()),"Active","Expired"))</f>
        <v/>
      </c>
    </row>
    <row r="30" spans="2:10" x14ac:dyDescent="0.2">
      <c r="I30" s="34" t="str" cm="1">
        <f t="array" aca="1" ref="I30" ca="1">IF(ISBLANK(INDIRECT("B"&amp;ROW())), "", INDIRECT("B"&amp;ROW()) &amp; " - " &amp; INDIRECT("J"&amp;ROW()))</f>
        <v/>
      </c>
      <c r="J30" s="34" t="str" cm="1">
        <f t="array" aca="1" ref="J30" ca="1">IF(INDIRECT("E"&amp;ROW())=0,"",IF(INDIRECT("H"&amp;ROW())=INDIRECT("E"&amp;ROW()),"Active","Expired"))</f>
        <v/>
      </c>
    </row>
    <row r="31" spans="2:10" x14ac:dyDescent="0.2">
      <c r="I31" s="34" t="str" cm="1">
        <f t="array" aca="1" ref="I31" ca="1">IF(ISBLANK(INDIRECT("B"&amp;ROW())), "", INDIRECT("B"&amp;ROW()) &amp; " - " &amp; INDIRECT("J"&amp;ROW()))</f>
        <v/>
      </c>
      <c r="J31" s="34" t="str" cm="1">
        <f t="array" aca="1" ref="J31" ca="1">IF(INDIRECT("E"&amp;ROW())=0,"",IF(INDIRECT("H"&amp;ROW())=INDIRECT("E"&amp;ROW()),"Active","Expired"))</f>
        <v/>
      </c>
    </row>
    <row r="32" spans="2:10" x14ac:dyDescent="0.2">
      <c r="I32" s="34" t="str" cm="1">
        <f t="array" aca="1" ref="I32" ca="1">IF(ISBLANK(INDIRECT("B"&amp;ROW())), "", INDIRECT("B"&amp;ROW()) &amp; " - " &amp; INDIRECT("J"&amp;ROW()))</f>
        <v/>
      </c>
      <c r="J32" s="34" t="str" cm="1">
        <f t="array" aca="1" ref="J32" ca="1">IF(INDIRECT("E"&amp;ROW())=0,"",IF(INDIRECT("H"&amp;ROW())=INDIRECT("E"&amp;ROW()),"Active","Expired"))</f>
        <v/>
      </c>
    </row>
    <row r="33" spans="9:10" x14ac:dyDescent="0.2">
      <c r="I33" s="34" t="str" cm="1">
        <f t="array" aca="1" ref="I33" ca="1">IF(ISBLANK(INDIRECT("B"&amp;ROW())), "", INDIRECT("B"&amp;ROW()) &amp; " - " &amp; INDIRECT("J"&amp;ROW()))</f>
        <v/>
      </c>
      <c r="J33" s="34" t="str" cm="1">
        <f t="array" aca="1" ref="J33" ca="1">IF(INDIRECT("E"&amp;ROW())=0,"",IF(INDIRECT("H"&amp;ROW())=INDIRECT("E"&amp;ROW()),"Active","Expired"))</f>
        <v/>
      </c>
    </row>
    <row r="34" spans="9:10" x14ac:dyDescent="0.2">
      <c r="I34" s="34" t="str" cm="1">
        <f t="array" aca="1" ref="I34" ca="1">IF(ISBLANK(INDIRECT("B"&amp;ROW())), "", INDIRECT("B"&amp;ROW()) &amp; " - " &amp; INDIRECT("J"&amp;ROW()))</f>
        <v/>
      </c>
      <c r="J34" s="34" t="str" cm="1">
        <f t="array" aca="1" ref="J34" ca="1">IF(INDIRECT("E"&amp;ROW())=0,"",IF(INDIRECT("H"&amp;ROW())=INDIRECT("E"&amp;ROW()),"Active","Expired"))</f>
        <v/>
      </c>
    </row>
    <row r="35" spans="9:10" x14ac:dyDescent="0.2">
      <c r="I35" s="34" t="str" cm="1">
        <f t="array" aca="1" ref="I35" ca="1">IF(ISBLANK(INDIRECT("B"&amp;ROW())), "", INDIRECT("B"&amp;ROW()) &amp; " - " &amp; INDIRECT("J"&amp;ROW()))</f>
        <v/>
      </c>
      <c r="J35" s="34" t="str" cm="1">
        <f t="array" aca="1" ref="J35" ca="1">IF(INDIRECT("E"&amp;ROW())=0,"",IF(INDIRECT("H"&amp;ROW())=INDIRECT("E"&amp;ROW()),"Active","Expired"))</f>
        <v/>
      </c>
    </row>
    <row r="36" spans="9:10" x14ac:dyDescent="0.2">
      <c r="I36" s="34" t="str" cm="1">
        <f t="array" aca="1" ref="I36" ca="1">IF(ISBLANK(INDIRECT("B"&amp;ROW())), "", INDIRECT("B"&amp;ROW()) &amp; " - " &amp; INDIRECT("J"&amp;ROW()))</f>
        <v/>
      </c>
      <c r="J36" s="34" t="str" cm="1">
        <f t="array" aca="1" ref="J36" ca="1">IF(INDIRECT("E"&amp;ROW())=0,"",IF(INDIRECT("H"&amp;ROW())=INDIRECT("E"&amp;ROW()),"Active","Expired"))</f>
        <v/>
      </c>
    </row>
    <row r="37" spans="9:10" x14ac:dyDescent="0.2">
      <c r="I37" s="34" t="str" cm="1">
        <f t="array" aca="1" ref="I37" ca="1">IF(ISBLANK(INDIRECT("B"&amp;ROW())), "", INDIRECT("B"&amp;ROW()) &amp; " - " &amp; INDIRECT("J"&amp;ROW()))</f>
        <v/>
      </c>
      <c r="J37" s="34" t="str" cm="1">
        <f t="array" aca="1" ref="J37" ca="1">IF(INDIRECT("E"&amp;ROW())=0,"",IF(INDIRECT("H"&amp;ROW())=INDIRECT("E"&amp;ROW()),"Active","Expired"))</f>
        <v/>
      </c>
    </row>
    <row r="38" spans="9:10" x14ac:dyDescent="0.2">
      <c r="I38" s="34" t="str" cm="1">
        <f t="array" aca="1" ref="I38" ca="1">IF(ISBLANK(INDIRECT("B"&amp;ROW())), "", INDIRECT("B"&amp;ROW()) &amp; " - " &amp; INDIRECT("J"&amp;ROW()))</f>
        <v/>
      </c>
      <c r="J38" s="34" t="str" cm="1">
        <f t="array" aca="1" ref="J38" ca="1">IF(INDIRECT("E"&amp;ROW())=0,"",IF(INDIRECT("H"&amp;ROW())=INDIRECT("E"&amp;ROW()),"Active","Expired"))</f>
        <v/>
      </c>
    </row>
    <row r="39" spans="9:10" x14ac:dyDescent="0.2">
      <c r="I39" s="34" t="str" cm="1">
        <f t="array" aca="1" ref="I39" ca="1">IF(ISBLANK(INDIRECT("B"&amp;ROW())), "", INDIRECT("B"&amp;ROW()) &amp; " - " &amp; INDIRECT("J"&amp;ROW()))</f>
        <v/>
      </c>
      <c r="J39" s="34" t="str" cm="1">
        <f t="array" aca="1" ref="J39" ca="1">IF(INDIRECT("E"&amp;ROW())=0,"",IF(INDIRECT("H"&amp;ROW())=INDIRECT("E"&amp;ROW()),"Active","Expired"))</f>
        <v/>
      </c>
    </row>
    <row r="40" spans="9:10" x14ac:dyDescent="0.2">
      <c r="I40" s="34" t="str" cm="1">
        <f t="array" aca="1" ref="I40" ca="1">IF(ISBLANK(INDIRECT("B"&amp;ROW())), "", INDIRECT("B"&amp;ROW()) &amp; " - " &amp; INDIRECT("J"&amp;ROW()))</f>
        <v/>
      </c>
      <c r="J40" s="34" t="str" cm="1">
        <f t="array" aca="1" ref="J40" ca="1">IF(INDIRECT("E"&amp;ROW())=0,"",IF(INDIRECT("H"&amp;ROW())=INDIRECT("E"&amp;ROW()),"Active","Expired"))</f>
        <v/>
      </c>
    </row>
    <row r="41" spans="9:10" x14ac:dyDescent="0.2">
      <c r="I41" s="34" t="str" cm="1">
        <f t="array" aca="1" ref="I41" ca="1">IF(ISBLANK(INDIRECT("B"&amp;ROW())), "", INDIRECT("B"&amp;ROW()) &amp; " - " &amp; INDIRECT("J"&amp;ROW()))</f>
        <v/>
      </c>
      <c r="J41" s="34" t="str" cm="1">
        <f t="array" aca="1" ref="J41" ca="1">IF(INDIRECT("E"&amp;ROW())=0,"",IF(INDIRECT("H"&amp;ROW())=INDIRECT("E"&amp;ROW()),"Active","Expired"))</f>
        <v/>
      </c>
    </row>
    <row r="42" spans="9:10" x14ac:dyDescent="0.2">
      <c r="I42" s="34" t="str" cm="1">
        <f t="array" aca="1" ref="I42" ca="1">IF(ISBLANK(INDIRECT("B"&amp;ROW())), "", INDIRECT("B"&amp;ROW()) &amp; " - " &amp; INDIRECT("J"&amp;ROW()))</f>
        <v/>
      </c>
      <c r="J42" s="34" t="str" cm="1">
        <f t="array" aca="1" ref="J42" ca="1">IF(INDIRECT("E"&amp;ROW())=0,"",IF(INDIRECT("H"&amp;ROW())=INDIRECT("E"&amp;ROW()),"Active","Expired"))</f>
        <v/>
      </c>
    </row>
    <row r="43" spans="9:10" x14ac:dyDescent="0.2">
      <c r="I43" s="34" t="str" cm="1">
        <f t="array" aca="1" ref="I43" ca="1">IF(ISBLANK(INDIRECT("B"&amp;ROW())), "", INDIRECT("B"&amp;ROW()) &amp; " - " &amp; INDIRECT("J"&amp;ROW()))</f>
        <v/>
      </c>
      <c r="J43" s="34" t="str" cm="1">
        <f t="array" aca="1" ref="J43" ca="1">IF(INDIRECT("E"&amp;ROW())=0,"",IF(INDIRECT("H"&amp;ROW())=INDIRECT("E"&amp;ROW()),"Active","Expired"))</f>
        <v/>
      </c>
    </row>
    <row r="44" spans="9:10" x14ac:dyDescent="0.2">
      <c r="I44" s="34" t="str" cm="1">
        <f t="array" aca="1" ref="I44" ca="1">IF(ISBLANK(INDIRECT("B"&amp;ROW())), "", INDIRECT("B"&amp;ROW()) &amp; " - " &amp; INDIRECT("J"&amp;ROW()))</f>
        <v/>
      </c>
      <c r="J44" s="34" t="str" cm="1">
        <f t="array" aca="1" ref="J44" ca="1">IF(INDIRECT("E"&amp;ROW())=0,"",IF(INDIRECT("H"&amp;ROW())=INDIRECT("E"&amp;ROW()),"Active","Expired"))</f>
        <v/>
      </c>
    </row>
    <row r="45" spans="9:10" x14ac:dyDescent="0.2">
      <c r="I45" s="34" t="str" cm="1">
        <f t="array" aca="1" ref="I45" ca="1">IF(ISBLANK(INDIRECT("B"&amp;ROW())), "", INDIRECT("B"&amp;ROW()) &amp; " - " &amp; INDIRECT("J"&amp;ROW()))</f>
        <v/>
      </c>
      <c r="J45" s="34" t="str" cm="1">
        <f t="array" aca="1" ref="J45" ca="1">IF(INDIRECT("E"&amp;ROW())=0,"",IF(INDIRECT("H"&amp;ROW())=INDIRECT("E"&amp;ROW()),"Active","Expired"))</f>
        <v/>
      </c>
    </row>
    <row r="46" spans="9:10" x14ac:dyDescent="0.2">
      <c r="I46" s="34" t="str" cm="1">
        <f t="array" aca="1" ref="I46" ca="1">IF(ISBLANK(INDIRECT("B"&amp;ROW())), "", INDIRECT("B"&amp;ROW()) &amp; " - " &amp; INDIRECT("J"&amp;ROW()))</f>
        <v/>
      </c>
      <c r="J46" s="34" t="str" cm="1">
        <f t="array" aca="1" ref="J46" ca="1">IF(INDIRECT("E"&amp;ROW())=0,"",IF(INDIRECT("H"&amp;ROW())=INDIRECT("E"&amp;ROW()),"Active","Expired"))</f>
        <v/>
      </c>
    </row>
    <row r="47" spans="9:10" x14ac:dyDescent="0.2">
      <c r="I47" s="34" t="str" cm="1">
        <f t="array" aca="1" ref="I47" ca="1">IF(ISBLANK(INDIRECT("B"&amp;ROW())), "", INDIRECT("B"&amp;ROW()) &amp; " - " &amp; INDIRECT("J"&amp;ROW()))</f>
        <v/>
      </c>
      <c r="J47" s="34" t="str" cm="1">
        <f t="array" aca="1" ref="J47" ca="1">IF(INDIRECT("E"&amp;ROW())=0,"",IF(INDIRECT("H"&amp;ROW())=INDIRECT("E"&amp;ROW()),"Active","Expired"))</f>
        <v/>
      </c>
    </row>
    <row r="48" spans="9:10" x14ac:dyDescent="0.2">
      <c r="I48" s="34" t="str" cm="1">
        <f t="array" aca="1" ref="I48" ca="1">IF(ISBLANK(INDIRECT("B"&amp;ROW())), "", INDIRECT("B"&amp;ROW()) &amp; " - " &amp; INDIRECT("J"&amp;ROW()))</f>
        <v/>
      </c>
      <c r="J48" s="34" t="str" cm="1">
        <f t="array" aca="1" ref="J48" ca="1">IF(INDIRECT("E"&amp;ROW())=0,"",IF(INDIRECT("H"&amp;ROW())=INDIRECT("E"&amp;ROW()),"Active","Expired"))</f>
        <v/>
      </c>
    </row>
    <row r="49" spans="9:10" x14ac:dyDescent="0.2">
      <c r="I49" s="34" t="str" cm="1">
        <f t="array" aca="1" ref="I49" ca="1">IF(ISBLANK(INDIRECT("B"&amp;ROW())), "", INDIRECT("B"&amp;ROW()) &amp; " - " &amp; INDIRECT("J"&amp;ROW()))</f>
        <v/>
      </c>
      <c r="J49" s="34" t="str" cm="1">
        <f t="array" aca="1" ref="J49" ca="1">IF(INDIRECT("E"&amp;ROW())=0,"",IF(INDIRECT("H"&amp;ROW())=INDIRECT("E"&amp;ROW()),"Active","Expired"))</f>
        <v/>
      </c>
    </row>
    <row r="50" spans="9:10" x14ac:dyDescent="0.2">
      <c r="I50" s="34" t="str" cm="1">
        <f t="array" aca="1" ref="I50" ca="1">IF(ISBLANK(INDIRECT("B"&amp;ROW())), "", INDIRECT("B"&amp;ROW()) &amp; " - " &amp; INDIRECT("J"&amp;ROW()))</f>
        <v/>
      </c>
      <c r="J50" s="34" t="str" cm="1">
        <f t="array" aca="1" ref="J50" ca="1">IF(INDIRECT("E"&amp;ROW())=0,"",IF(INDIRECT("H"&amp;ROW())=INDIRECT("E"&amp;ROW()),"Active","Expired"))</f>
        <v/>
      </c>
    </row>
    <row r="51" spans="9:10" x14ac:dyDescent="0.2">
      <c r="I51" s="34" t="str" cm="1">
        <f t="array" aca="1" ref="I51" ca="1">IF(ISBLANK(INDIRECT("B"&amp;ROW())), "", INDIRECT("B"&amp;ROW()) &amp; " - " &amp; INDIRECT("J"&amp;ROW()))</f>
        <v/>
      </c>
      <c r="J51" s="34" t="str" cm="1">
        <f t="array" aca="1" ref="J51" ca="1">IF(INDIRECT("E"&amp;ROW())=0,"",IF(INDIRECT("H"&amp;ROW())=INDIRECT("E"&amp;ROW()),"Active","Expired"))</f>
        <v/>
      </c>
    </row>
    <row r="52" spans="9:10" x14ac:dyDescent="0.2">
      <c r="I52" s="34" t="str" cm="1">
        <f t="array" aca="1" ref="I52" ca="1">IF(ISBLANK(INDIRECT("B"&amp;ROW())), "", INDIRECT("B"&amp;ROW()) &amp; " - " &amp; INDIRECT("J"&amp;ROW()))</f>
        <v/>
      </c>
      <c r="J52" s="34" t="str" cm="1">
        <f t="array" aca="1" ref="J52" ca="1">IF(INDIRECT("E"&amp;ROW())=0,"",IF(INDIRECT("H"&amp;ROW())=INDIRECT("E"&amp;ROW()),"Active","Expired"))</f>
        <v/>
      </c>
    </row>
    <row r="53" spans="9:10" x14ac:dyDescent="0.2">
      <c r="I53" s="34" t="str" cm="1">
        <f t="array" aca="1" ref="I53" ca="1">IF(ISBLANK(INDIRECT("B"&amp;ROW())), "", INDIRECT("B"&amp;ROW()) &amp; " - " &amp; INDIRECT("J"&amp;ROW()))</f>
        <v/>
      </c>
      <c r="J53" s="34" t="str" cm="1">
        <f t="array" aca="1" ref="J53" ca="1">IF(INDIRECT("E"&amp;ROW())=0,"",IF(INDIRECT("H"&amp;ROW())=INDIRECT("E"&amp;ROW()),"Active","Expired"))</f>
        <v/>
      </c>
    </row>
    <row r="54" spans="9:10" x14ac:dyDescent="0.2">
      <c r="I54" s="34" t="str" cm="1">
        <f t="array" aca="1" ref="I54" ca="1">IF(ISBLANK(INDIRECT("B"&amp;ROW())), "", INDIRECT("B"&amp;ROW()) &amp; " - " &amp; INDIRECT("J"&amp;ROW()))</f>
        <v/>
      </c>
      <c r="J54" s="34" t="str" cm="1">
        <f t="array" aca="1" ref="J54" ca="1">IF(INDIRECT("E"&amp;ROW())=0,"",IF(INDIRECT("H"&amp;ROW())=INDIRECT("E"&amp;ROW()),"Active","Expired"))</f>
        <v/>
      </c>
    </row>
    <row r="55" spans="9:10" x14ac:dyDescent="0.2">
      <c r="I55" s="34" t="str" cm="1">
        <f t="array" aca="1" ref="I55" ca="1">IF(ISBLANK(INDIRECT("B"&amp;ROW())), "", INDIRECT("B"&amp;ROW()) &amp; " - " &amp; INDIRECT("J"&amp;ROW()))</f>
        <v/>
      </c>
      <c r="J55" s="34" t="str" cm="1">
        <f t="array" aca="1" ref="J55" ca="1">IF(INDIRECT("E"&amp;ROW())=0,"",IF(INDIRECT("H"&amp;ROW())=INDIRECT("E"&amp;ROW()),"Active","Expired"))</f>
        <v/>
      </c>
    </row>
    <row r="56" spans="9:10" x14ac:dyDescent="0.2">
      <c r="I56" s="34" t="str" cm="1">
        <f t="array" aca="1" ref="I56" ca="1">IF(ISBLANK(INDIRECT("B"&amp;ROW())), "", INDIRECT("B"&amp;ROW()) &amp; " - " &amp; INDIRECT("J"&amp;ROW()))</f>
        <v/>
      </c>
      <c r="J56" s="34" t="str" cm="1">
        <f t="array" aca="1" ref="J56" ca="1">IF(INDIRECT("E"&amp;ROW())=0,"",IF(INDIRECT("H"&amp;ROW())=INDIRECT("E"&amp;ROW()),"Active","Expired"))</f>
        <v/>
      </c>
    </row>
    <row r="57" spans="9:10" x14ac:dyDescent="0.2">
      <c r="I57" s="34" t="str" cm="1">
        <f t="array" aca="1" ref="I57" ca="1">IF(ISBLANK(INDIRECT("B"&amp;ROW())), "", INDIRECT("B"&amp;ROW()) &amp; " - " &amp; INDIRECT("J"&amp;ROW()))</f>
        <v/>
      </c>
      <c r="J57" s="34" t="str" cm="1">
        <f t="array" aca="1" ref="J57" ca="1">IF(INDIRECT("E"&amp;ROW())=0,"",IF(INDIRECT("H"&amp;ROW())=INDIRECT("E"&amp;ROW()),"Active","Expired"))</f>
        <v/>
      </c>
    </row>
    <row r="58" spans="9:10" x14ac:dyDescent="0.2">
      <c r="I58" s="34" t="str" cm="1">
        <f t="array" aca="1" ref="I58" ca="1">IF(ISBLANK(INDIRECT("B"&amp;ROW())), "", INDIRECT("B"&amp;ROW()) &amp; " - " &amp; INDIRECT("J"&amp;ROW()))</f>
        <v/>
      </c>
      <c r="J58" s="34" t="str" cm="1">
        <f t="array" aca="1" ref="J58" ca="1">IF(INDIRECT("E"&amp;ROW())=0,"",IF(INDIRECT("H"&amp;ROW())=INDIRECT("E"&amp;ROW()),"Active","Expired"))</f>
        <v/>
      </c>
    </row>
    <row r="59" spans="9:10" x14ac:dyDescent="0.2">
      <c r="I59" s="34" t="str" cm="1">
        <f t="array" aca="1" ref="I59" ca="1">IF(ISBLANK(INDIRECT("B"&amp;ROW())), "", INDIRECT("B"&amp;ROW()) &amp; " - " &amp; INDIRECT("J"&amp;ROW()))</f>
        <v/>
      </c>
      <c r="J59" s="34" t="str" cm="1">
        <f t="array" aca="1" ref="J59" ca="1">IF(INDIRECT("E"&amp;ROW())=0,"",IF(INDIRECT("H"&amp;ROW())=INDIRECT("E"&amp;ROW()),"Active","Expired"))</f>
        <v/>
      </c>
    </row>
    <row r="60" spans="9:10" x14ac:dyDescent="0.2">
      <c r="I60" s="34" t="str" cm="1">
        <f t="array" aca="1" ref="I60" ca="1">IF(ISBLANK(INDIRECT("B"&amp;ROW())), "", INDIRECT("B"&amp;ROW()) &amp; " - " &amp; INDIRECT("J"&amp;ROW()))</f>
        <v/>
      </c>
      <c r="J60" s="34" t="str" cm="1">
        <f t="array" aca="1" ref="J60" ca="1">IF(INDIRECT("E"&amp;ROW())=0,"",IF(INDIRECT("H"&amp;ROW())=INDIRECT("E"&amp;ROW()),"Active","Expired"))</f>
        <v/>
      </c>
    </row>
    <row r="61" spans="9:10" x14ac:dyDescent="0.2">
      <c r="I61" s="34" t="str" cm="1">
        <f t="array" aca="1" ref="I61" ca="1">IF(ISBLANK(INDIRECT("B"&amp;ROW())), "", INDIRECT("B"&amp;ROW()) &amp; " - " &amp; INDIRECT("J"&amp;ROW()))</f>
        <v/>
      </c>
      <c r="J61" s="34" t="str" cm="1">
        <f t="array" aca="1" ref="J61" ca="1">IF(INDIRECT("E"&amp;ROW())=0,"",IF(INDIRECT("H"&amp;ROW())=INDIRECT("E"&amp;ROW()),"Active","Expired"))</f>
        <v/>
      </c>
    </row>
    <row r="62" spans="9:10" x14ac:dyDescent="0.2">
      <c r="I62" s="34" t="str" cm="1">
        <f t="array" aca="1" ref="I62" ca="1">IF(ISBLANK(INDIRECT("B"&amp;ROW())), "", INDIRECT("B"&amp;ROW()) &amp; " - " &amp; INDIRECT("J"&amp;ROW()))</f>
        <v/>
      </c>
      <c r="J62" s="34" t="str" cm="1">
        <f t="array" aca="1" ref="J62" ca="1">IF(INDIRECT("E"&amp;ROW())=0,"",IF(INDIRECT("H"&amp;ROW())=INDIRECT("E"&amp;ROW()),"Active","Expired"))</f>
        <v/>
      </c>
    </row>
    <row r="63" spans="9:10" x14ac:dyDescent="0.2">
      <c r="I63" s="34" t="str" cm="1">
        <f t="array" aca="1" ref="I63" ca="1">IF(ISBLANK(INDIRECT("B"&amp;ROW())), "", INDIRECT("B"&amp;ROW()) &amp; " - " &amp; INDIRECT("J"&amp;ROW()))</f>
        <v/>
      </c>
      <c r="J63" s="34" t="str" cm="1">
        <f t="array" aca="1" ref="J63" ca="1">IF(INDIRECT("E"&amp;ROW())=0,"",IF(INDIRECT("H"&amp;ROW())=INDIRECT("E"&amp;ROW()),"Active","Expired"))</f>
        <v/>
      </c>
    </row>
    <row r="64" spans="9:10" x14ac:dyDescent="0.2">
      <c r="I64" s="34" t="str" cm="1">
        <f t="array" aca="1" ref="I64" ca="1">IF(ISBLANK(INDIRECT("B"&amp;ROW())), "", INDIRECT("B"&amp;ROW()) &amp; " - " &amp; INDIRECT("J"&amp;ROW()))</f>
        <v/>
      </c>
      <c r="J64" s="34" t="str" cm="1">
        <f t="array" aca="1" ref="J64" ca="1">IF(INDIRECT("E"&amp;ROW())=0,"",IF(INDIRECT("H"&amp;ROW())=INDIRECT("E"&amp;ROW()),"Active","Expired"))</f>
        <v/>
      </c>
    </row>
    <row r="65" spans="9:10" x14ac:dyDescent="0.2">
      <c r="I65" s="34" t="str" cm="1">
        <f t="array" aca="1" ref="I65" ca="1">IF(ISBLANK(INDIRECT("B"&amp;ROW())), "", INDIRECT("B"&amp;ROW()) &amp; " - " &amp; INDIRECT("J"&amp;ROW()))</f>
        <v/>
      </c>
      <c r="J65" s="34" t="str" cm="1">
        <f t="array" aca="1" ref="J65" ca="1">IF(INDIRECT("E"&amp;ROW())=0,"",IF(INDIRECT("H"&amp;ROW())=INDIRECT("E"&amp;ROW()),"Active","Expired"))</f>
        <v/>
      </c>
    </row>
    <row r="66" spans="9:10" x14ac:dyDescent="0.2">
      <c r="I66" s="34" t="str" cm="1">
        <f t="array" aca="1" ref="I66" ca="1">IF(ISBLANK(INDIRECT("B"&amp;ROW())), "", INDIRECT("B"&amp;ROW()) &amp; " - " &amp; INDIRECT("J"&amp;ROW()))</f>
        <v/>
      </c>
      <c r="J66" s="34" t="str" cm="1">
        <f t="array" aca="1" ref="J66" ca="1">IF(INDIRECT("E"&amp;ROW())=0,"",IF(INDIRECT("H"&amp;ROW())=INDIRECT("E"&amp;ROW()),"Active","Expired"))</f>
        <v/>
      </c>
    </row>
    <row r="67" spans="9:10" x14ac:dyDescent="0.2">
      <c r="I67" s="34" t="str" cm="1">
        <f t="array" aca="1" ref="I67" ca="1">IF(ISBLANK(INDIRECT("B"&amp;ROW())), "", INDIRECT("B"&amp;ROW()) &amp; " - " &amp; INDIRECT("J"&amp;ROW()))</f>
        <v/>
      </c>
      <c r="J67" s="34" t="str" cm="1">
        <f t="array" aca="1" ref="J67" ca="1">IF(INDIRECT("E"&amp;ROW())=0,"",IF(INDIRECT("H"&amp;ROW())=INDIRECT("E"&amp;ROW()),"Active","Expired"))</f>
        <v/>
      </c>
    </row>
    <row r="68" spans="9:10" x14ac:dyDescent="0.2">
      <c r="I68" s="34" t="str" cm="1">
        <f t="array" aca="1" ref="I68" ca="1">IF(ISBLANK(INDIRECT("B"&amp;ROW())), "", INDIRECT("B"&amp;ROW()) &amp; " - " &amp; INDIRECT("J"&amp;ROW()))</f>
        <v/>
      </c>
      <c r="J68" s="34" t="str" cm="1">
        <f t="array" aca="1" ref="J68" ca="1">IF(INDIRECT("E"&amp;ROW())=0,"",IF(INDIRECT("H"&amp;ROW())=INDIRECT("E"&amp;ROW()),"Active","Expired"))</f>
        <v/>
      </c>
    </row>
    <row r="69" spans="9:10" x14ac:dyDescent="0.2">
      <c r="I69" s="34" t="str" cm="1">
        <f t="array" aca="1" ref="I69" ca="1">IF(ISBLANK(INDIRECT("B"&amp;ROW())), "", INDIRECT("B"&amp;ROW()) &amp; " - " &amp; INDIRECT("J"&amp;ROW()))</f>
        <v/>
      </c>
      <c r="J69" s="34" t="str" cm="1">
        <f t="array" aca="1" ref="J69" ca="1">IF(INDIRECT("E"&amp;ROW())=0,"",IF(INDIRECT("H"&amp;ROW())=INDIRECT("E"&amp;ROW()),"Active","Expired"))</f>
        <v/>
      </c>
    </row>
    <row r="70" spans="9:10" x14ac:dyDescent="0.2">
      <c r="I70" s="34" t="str" cm="1">
        <f t="array" aca="1" ref="I70" ca="1">IF(ISBLANK(INDIRECT("B"&amp;ROW())), "", INDIRECT("B"&amp;ROW()) &amp; " - " &amp; INDIRECT("J"&amp;ROW()))</f>
        <v/>
      </c>
      <c r="J70" s="34" t="str" cm="1">
        <f t="array" aca="1" ref="J70" ca="1">IF(INDIRECT("E"&amp;ROW())=0,"",IF(INDIRECT("H"&amp;ROW())=INDIRECT("E"&amp;ROW()),"Active","Expired"))</f>
        <v/>
      </c>
    </row>
    <row r="71" spans="9:10" x14ac:dyDescent="0.2">
      <c r="I71" s="34" t="str" cm="1">
        <f t="array" aca="1" ref="I71" ca="1">IF(ISBLANK(INDIRECT("B"&amp;ROW())), "", INDIRECT("B"&amp;ROW()) &amp; " - " &amp; INDIRECT("J"&amp;ROW()))</f>
        <v/>
      </c>
      <c r="J71" s="34" t="str" cm="1">
        <f t="array" aca="1" ref="J71" ca="1">IF(INDIRECT("E"&amp;ROW())=0,"",IF(INDIRECT("H"&amp;ROW())=INDIRECT("E"&amp;ROW()),"Active","Expired"))</f>
        <v/>
      </c>
    </row>
    <row r="72" spans="9:10" x14ac:dyDescent="0.2">
      <c r="I72" s="34" t="str" cm="1">
        <f t="array" aca="1" ref="I72" ca="1">IF(ISBLANK(INDIRECT("B"&amp;ROW())), "", INDIRECT("B"&amp;ROW()) &amp; " - " &amp; INDIRECT("J"&amp;ROW()))</f>
        <v/>
      </c>
      <c r="J72" s="34" t="str" cm="1">
        <f t="array" aca="1" ref="J72" ca="1">IF(INDIRECT("E"&amp;ROW())=0,"",IF(INDIRECT("H"&amp;ROW())=INDIRECT("E"&amp;ROW()),"Active","Expired"))</f>
        <v/>
      </c>
    </row>
    <row r="73" spans="9:10" x14ac:dyDescent="0.2">
      <c r="I73" s="34" t="str" cm="1">
        <f t="array" aca="1" ref="I73" ca="1">IF(ISBLANK(INDIRECT("B"&amp;ROW())), "", INDIRECT("B"&amp;ROW()) &amp; " - " &amp; INDIRECT("J"&amp;ROW()))</f>
        <v/>
      </c>
      <c r="J73" s="34" t="str" cm="1">
        <f t="array" aca="1" ref="J73" ca="1">IF(INDIRECT("E"&amp;ROW())=0,"",IF(INDIRECT("H"&amp;ROW())=INDIRECT("E"&amp;ROW()),"Active","Expired"))</f>
        <v/>
      </c>
    </row>
    <row r="74" spans="9:10" x14ac:dyDescent="0.2">
      <c r="I74" s="34" t="str" cm="1">
        <f t="array" aca="1" ref="I74" ca="1">IF(ISBLANK(INDIRECT("B"&amp;ROW())), "", INDIRECT("B"&amp;ROW()) &amp; " - " &amp; INDIRECT("J"&amp;ROW()))</f>
        <v/>
      </c>
      <c r="J74" s="34" t="str" cm="1">
        <f t="array" aca="1" ref="J74" ca="1">IF(INDIRECT("E"&amp;ROW())=0,"",IF(INDIRECT("H"&amp;ROW())=INDIRECT("E"&amp;ROW()),"Active","Expired"))</f>
        <v/>
      </c>
    </row>
    <row r="75" spans="9:10" x14ac:dyDescent="0.2">
      <c r="I75" s="34" t="str" cm="1">
        <f t="array" aca="1" ref="I75" ca="1">IF(ISBLANK(INDIRECT("B"&amp;ROW())), "", INDIRECT("B"&amp;ROW()) &amp; " - " &amp; INDIRECT("J"&amp;ROW()))</f>
        <v/>
      </c>
      <c r="J75" s="34" t="str" cm="1">
        <f t="array" aca="1" ref="J75" ca="1">IF(INDIRECT("E"&amp;ROW())=0,"",IF(INDIRECT("H"&amp;ROW())=INDIRECT("E"&amp;ROW()),"Active","Expired"))</f>
        <v/>
      </c>
    </row>
    <row r="76" spans="9:10" x14ac:dyDescent="0.2">
      <c r="I76" s="34" t="str" cm="1">
        <f t="array" aca="1" ref="I76" ca="1">IF(ISBLANK(INDIRECT("B"&amp;ROW())), "", INDIRECT("B"&amp;ROW()) &amp; " - " &amp; INDIRECT("J"&amp;ROW()))</f>
        <v/>
      </c>
      <c r="J76" s="34" t="str" cm="1">
        <f t="array" aca="1" ref="J76" ca="1">IF(INDIRECT("E"&amp;ROW())=0,"",IF(INDIRECT("H"&amp;ROW())=INDIRECT("E"&amp;ROW()),"Active","Expired"))</f>
        <v/>
      </c>
    </row>
    <row r="77" spans="9:10" x14ac:dyDescent="0.2">
      <c r="I77" s="34" t="str" cm="1">
        <f t="array" aca="1" ref="I77" ca="1">IF(ISBLANK(INDIRECT("B"&amp;ROW())), "", INDIRECT("B"&amp;ROW()) &amp; " - " &amp; INDIRECT("J"&amp;ROW()))</f>
        <v/>
      </c>
      <c r="J77" s="34" t="str" cm="1">
        <f t="array" aca="1" ref="J77" ca="1">IF(INDIRECT("E"&amp;ROW())=0,"",IF(INDIRECT("H"&amp;ROW())=INDIRECT("E"&amp;ROW()),"Active","Expired"))</f>
        <v/>
      </c>
    </row>
    <row r="78" spans="9:10" x14ac:dyDescent="0.2">
      <c r="I78" s="34" t="str" cm="1">
        <f t="array" aca="1" ref="I78" ca="1">IF(ISBLANK(INDIRECT("B"&amp;ROW())), "", INDIRECT("B"&amp;ROW()) &amp; " - " &amp; INDIRECT("J"&amp;ROW()))</f>
        <v/>
      </c>
      <c r="J78" s="34" t="str" cm="1">
        <f t="array" aca="1" ref="J78" ca="1">IF(INDIRECT("E"&amp;ROW())=0,"",IF(INDIRECT("H"&amp;ROW())=INDIRECT("E"&amp;ROW()),"Active","Expired"))</f>
        <v/>
      </c>
    </row>
    <row r="79" spans="9:10" x14ac:dyDescent="0.2">
      <c r="I79" s="34" t="str" cm="1">
        <f t="array" aca="1" ref="I79" ca="1">IF(ISBLANK(INDIRECT("B"&amp;ROW())), "", INDIRECT("B"&amp;ROW()) &amp; " - " &amp; INDIRECT("J"&amp;ROW()))</f>
        <v/>
      </c>
      <c r="J79" s="34" t="str" cm="1">
        <f t="array" aca="1" ref="J79" ca="1">IF(INDIRECT("E"&amp;ROW())=0,"",IF(INDIRECT("H"&amp;ROW())=INDIRECT("E"&amp;ROW()),"Active","Expired"))</f>
        <v/>
      </c>
    </row>
    <row r="80" spans="9:10" x14ac:dyDescent="0.2">
      <c r="I80" s="34" t="str" cm="1">
        <f t="array" aca="1" ref="I80" ca="1">IF(ISBLANK(INDIRECT("B"&amp;ROW())), "", INDIRECT("B"&amp;ROW()) &amp; " - " &amp; INDIRECT("J"&amp;ROW()))</f>
        <v/>
      </c>
      <c r="J80" s="34" t="str" cm="1">
        <f t="array" aca="1" ref="J80" ca="1">IF(INDIRECT("E"&amp;ROW())=0,"",IF(INDIRECT("H"&amp;ROW())=INDIRECT("E"&amp;ROW()),"Active","Expired"))</f>
        <v/>
      </c>
    </row>
    <row r="81" spans="9:10" x14ac:dyDescent="0.2">
      <c r="I81" s="34" t="str" cm="1">
        <f t="array" aca="1" ref="I81" ca="1">IF(ISBLANK(INDIRECT("B"&amp;ROW())), "", INDIRECT("B"&amp;ROW()) &amp; " - " &amp; INDIRECT("J"&amp;ROW()))</f>
        <v/>
      </c>
      <c r="J81" s="34" t="str" cm="1">
        <f t="array" aca="1" ref="J81" ca="1">IF(INDIRECT("E"&amp;ROW())=0,"",IF(INDIRECT("H"&amp;ROW())=INDIRECT("E"&amp;ROW()),"Active","Expired"))</f>
        <v/>
      </c>
    </row>
    <row r="82" spans="9:10" x14ac:dyDescent="0.2">
      <c r="I82" s="34" t="str" cm="1">
        <f t="array" aca="1" ref="I82" ca="1">IF(ISBLANK(INDIRECT("B"&amp;ROW())), "", INDIRECT("B"&amp;ROW()) &amp; " - " &amp; INDIRECT("J"&amp;ROW()))</f>
        <v/>
      </c>
      <c r="J82" s="34" t="str" cm="1">
        <f t="array" aca="1" ref="J82" ca="1">IF(INDIRECT("E"&amp;ROW())=0,"",IF(INDIRECT("H"&amp;ROW())=INDIRECT("E"&amp;ROW()),"Active","Expired"))</f>
        <v/>
      </c>
    </row>
    <row r="83" spans="9:10" x14ac:dyDescent="0.2">
      <c r="I83" s="34" t="str" cm="1">
        <f t="array" aca="1" ref="I83" ca="1">IF(ISBLANK(INDIRECT("B"&amp;ROW())), "", INDIRECT("B"&amp;ROW()) &amp; " - " &amp; INDIRECT("J"&amp;ROW()))</f>
        <v/>
      </c>
      <c r="J83" s="34" t="str" cm="1">
        <f t="array" aca="1" ref="J83" ca="1">IF(INDIRECT("E"&amp;ROW())=0,"",IF(INDIRECT("H"&amp;ROW())=INDIRECT("E"&amp;ROW()),"Active","Expired"))</f>
        <v/>
      </c>
    </row>
    <row r="84" spans="9:10" x14ac:dyDescent="0.2">
      <c r="I84" s="34" t="str" cm="1">
        <f t="array" aca="1" ref="I84" ca="1">IF(ISBLANK(INDIRECT("B"&amp;ROW())), "", INDIRECT("B"&amp;ROW()) &amp; " - " &amp; INDIRECT("J"&amp;ROW()))</f>
        <v/>
      </c>
      <c r="J84" s="34" t="str" cm="1">
        <f t="array" aca="1" ref="J84" ca="1">IF(INDIRECT("E"&amp;ROW())=0,"",IF(INDIRECT("H"&amp;ROW())=INDIRECT("E"&amp;ROW()),"Active","Expired"))</f>
        <v/>
      </c>
    </row>
    <row r="85" spans="9:10" x14ac:dyDescent="0.2">
      <c r="I85" s="34" t="str" cm="1">
        <f t="array" aca="1" ref="I85" ca="1">IF(ISBLANK(INDIRECT("B"&amp;ROW())), "", INDIRECT("B"&amp;ROW()) &amp; " - " &amp; INDIRECT("J"&amp;ROW()))</f>
        <v/>
      </c>
      <c r="J85" s="34" t="str" cm="1">
        <f t="array" aca="1" ref="J85" ca="1">IF(INDIRECT("E"&amp;ROW())=0,"",IF(INDIRECT("H"&amp;ROW())=INDIRECT("E"&amp;ROW()),"Active","Expired"))</f>
        <v/>
      </c>
    </row>
    <row r="86" spans="9:10" x14ac:dyDescent="0.2">
      <c r="I86" s="34" t="str" cm="1">
        <f t="array" aca="1" ref="I86" ca="1">IF(ISBLANK(INDIRECT("B"&amp;ROW())), "", INDIRECT("B"&amp;ROW()) &amp; " - " &amp; INDIRECT("J"&amp;ROW()))</f>
        <v/>
      </c>
      <c r="J86" s="34" t="str" cm="1">
        <f t="array" aca="1" ref="J86" ca="1">IF(INDIRECT("E"&amp;ROW())=0,"",IF(INDIRECT("H"&amp;ROW())=INDIRECT("E"&amp;ROW()),"Active","Expired"))</f>
        <v/>
      </c>
    </row>
    <row r="87" spans="9:10" x14ac:dyDescent="0.2">
      <c r="I87" s="34" t="str" cm="1">
        <f t="array" aca="1" ref="I87" ca="1">IF(ISBLANK(INDIRECT("B"&amp;ROW())), "", INDIRECT("B"&amp;ROW()) &amp; " - " &amp; INDIRECT("J"&amp;ROW()))</f>
        <v/>
      </c>
      <c r="J87" s="34" t="str" cm="1">
        <f t="array" aca="1" ref="J87" ca="1">IF(INDIRECT("E"&amp;ROW())=0,"",IF(INDIRECT("H"&amp;ROW())=INDIRECT("E"&amp;ROW()),"Active","Expired"))</f>
        <v/>
      </c>
    </row>
    <row r="88" spans="9:10" x14ac:dyDescent="0.2">
      <c r="I88" s="34" t="str" cm="1">
        <f t="array" aca="1" ref="I88" ca="1">IF(ISBLANK(INDIRECT("B"&amp;ROW())), "", INDIRECT("B"&amp;ROW()) &amp; " - " &amp; INDIRECT("J"&amp;ROW()))</f>
        <v/>
      </c>
      <c r="J88" s="34" t="str" cm="1">
        <f t="array" aca="1" ref="J88" ca="1">IF(INDIRECT("E"&amp;ROW())=0,"",IF(INDIRECT("H"&amp;ROW())=INDIRECT("E"&amp;ROW()),"Active","Expired"))</f>
        <v/>
      </c>
    </row>
    <row r="89" spans="9:10" x14ac:dyDescent="0.2">
      <c r="I89" s="34" t="str" cm="1">
        <f t="array" aca="1" ref="I89" ca="1">IF(ISBLANK(INDIRECT("B"&amp;ROW())), "", INDIRECT("B"&amp;ROW()) &amp; " - " &amp; INDIRECT("J"&amp;ROW()))</f>
        <v/>
      </c>
      <c r="J89" s="34" t="str" cm="1">
        <f t="array" aca="1" ref="J89" ca="1">IF(INDIRECT("E"&amp;ROW())=0,"",IF(INDIRECT("H"&amp;ROW())=INDIRECT("E"&amp;ROW()),"Active","Expired"))</f>
        <v/>
      </c>
    </row>
    <row r="90" spans="9:10" x14ac:dyDescent="0.2">
      <c r="I90" s="34" t="str" cm="1">
        <f t="array" aca="1" ref="I90" ca="1">IF(ISBLANK(INDIRECT("B"&amp;ROW())), "", INDIRECT("B"&amp;ROW()) &amp; " - " &amp; INDIRECT("J"&amp;ROW()))</f>
        <v/>
      </c>
      <c r="J90" s="34" t="str" cm="1">
        <f t="array" aca="1" ref="J90" ca="1">IF(INDIRECT("E"&amp;ROW())=0,"",IF(INDIRECT("H"&amp;ROW())=INDIRECT("E"&amp;ROW()),"Active","Expired"))</f>
        <v/>
      </c>
    </row>
    <row r="91" spans="9:10" x14ac:dyDescent="0.2">
      <c r="I91" s="34" t="str" cm="1">
        <f t="array" aca="1" ref="I91" ca="1">IF(ISBLANK(INDIRECT("B"&amp;ROW())), "", INDIRECT("B"&amp;ROW()) &amp; " - " &amp; INDIRECT("J"&amp;ROW()))</f>
        <v/>
      </c>
      <c r="J91" s="34" t="str" cm="1">
        <f t="array" aca="1" ref="J91" ca="1">IF(INDIRECT("E"&amp;ROW())=0,"",IF(INDIRECT("H"&amp;ROW())=INDIRECT("E"&amp;ROW()),"Active","Expired"))</f>
        <v/>
      </c>
    </row>
    <row r="92" spans="9:10" x14ac:dyDescent="0.2">
      <c r="I92" s="34" t="str" cm="1">
        <f t="array" aca="1" ref="I92" ca="1">IF(ISBLANK(INDIRECT("B"&amp;ROW())), "", INDIRECT("B"&amp;ROW()) &amp; " - " &amp; INDIRECT("J"&amp;ROW()))</f>
        <v/>
      </c>
      <c r="J92" s="34" t="str" cm="1">
        <f t="array" aca="1" ref="J92" ca="1">IF(INDIRECT("E"&amp;ROW())=0,"",IF(INDIRECT("H"&amp;ROW())=INDIRECT("E"&amp;ROW()),"Active","Expired"))</f>
        <v/>
      </c>
    </row>
    <row r="93" spans="9:10" x14ac:dyDescent="0.2">
      <c r="I93" s="34" t="str" cm="1">
        <f t="array" aca="1" ref="I93" ca="1">IF(ISBLANK(INDIRECT("B"&amp;ROW())), "", INDIRECT("B"&amp;ROW()) &amp; " - " &amp; INDIRECT("J"&amp;ROW()))</f>
        <v/>
      </c>
      <c r="J93" s="34" t="str" cm="1">
        <f t="array" aca="1" ref="J93" ca="1">IF(INDIRECT("E"&amp;ROW())=0,"",IF(INDIRECT("H"&amp;ROW())=INDIRECT("E"&amp;ROW()),"Active","Expired"))</f>
        <v/>
      </c>
    </row>
    <row r="94" spans="9:10" x14ac:dyDescent="0.2">
      <c r="I94" s="34" t="str" cm="1">
        <f t="array" aca="1" ref="I94" ca="1">IF(ISBLANK(INDIRECT("B"&amp;ROW())), "", INDIRECT("B"&amp;ROW()) &amp; " - " &amp; INDIRECT("J"&amp;ROW()))</f>
        <v/>
      </c>
      <c r="J94" s="34" t="str" cm="1">
        <f t="array" aca="1" ref="J94" ca="1">IF(INDIRECT("E"&amp;ROW())=0,"",IF(INDIRECT("H"&amp;ROW())=INDIRECT("E"&amp;ROW()),"Active","Expired"))</f>
        <v/>
      </c>
    </row>
    <row r="95" spans="9:10" x14ac:dyDescent="0.2">
      <c r="I95" s="34" t="str" cm="1">
        <f t="array" aca="1" ref="I95" ca="1">IF(ISBLANK(INDIRECT("B"&amp;ROW())), "", INDIRECT("B"&amp;ROW()) &amp; " - " &amp; INDIRECT("J"&amp;ROW()))</f>
        <v/>
      </c>
      <c r="J95" s="34" t="str" cm="1">
        <f t="array" aca="1" ref="J95" ca="1">IF(INDIRECT("E"&amp;ROW())=0,"",IF(INDIRECT("H"&amp;ROW())=INDIRECT("E"&amp;ROW()),"Active","Expired"))</f>
        <v/>
      </c>
    </row>
    <row r="96" spans="9:10" x14ac:dyDescent="0.2">
      <c r="I96" s="34" t="str" cm="1">
        <f t="array" aca="1" ref="I96" ca="1">IF(ISBLANK(INDIRECT("B"&amp;ROW())), "", INDIRECT("B"&amp;ROW()) &amp; " - " &amp; INDIRECT("J"&amp;ROW()))</f>
        <v/>
      </c>
      <c r="J96" s="34" t="str" cm="1">
        <f t="array" aca="1" ref="J96" ca="1">IF(INDIRECT("E"&amp;ROW())=0,"",IF(INDIRECT("H"&amp;ROW())=INDIRECT("E"&amp;ROW()),"Active","Expired"))</f>
        <v/>
      </c>
    </row>
    <row r="97" spans="9:10" x14ac:dyDescent="0.2">
      <c r="I97" s="34" t="str" cm="1">
        <f t="array" aca="1" ref="I97" ca="1">IF(ISBLANK(INDIRECT("B"&amp;ROW())), "", INDIRECT("B"&amp;ROW()) &amp; " - " &amp; INDIRECT("J"&amp;ROW()))</f>
        <v/>
      </c>
      <c r="J97" s="34" t="str" cm="1">
        <f t="array" aca="1" ref="J97" ca="1">IF(INDIRECT("E"&amp;ROW())=0,"",IF(INDIRECT("H"&amp;ROW())=INDIRECT("E"&amp;ROW()),"Active","Expired"))</f>
        <v/>
      </c>
    </row>
    <row r="98" spans="9:10" x14ac:dyDescent="0.2">
      <c r="I98" s="34" t="str" cm="1">
        <f t="array" aca="1" ref="I98" ca="1">IF(ISBLANK(INDIRECT("B"&amp;ROW())), "", INDIRECT("B"&amp;ROW()) &amp; " - " &amp; INDIRECT("J"&amp;ROW()))</f>
        <v/>
      </c>
      <c r="J98" s="34" t="str" cm="1">
        <f t="array" aca="1" ref="J98" ca="1">IF(INDIRECT("E"&amp;ROW())=0,"",IF(INDIRECT("H"&amp;ROW())=INDIRECT("E"&amp;ROW()),"Active","Expired"))</f>
        <v/>
      </c>
    </row>
    <row r="99" spans="9:10" x14ac:dyDescent="0.2">
      <c r="I99" s="34" t="str" cm="1">
        <f t="array" aca="1" ref="I99" ca="1">IF(ISBLANK(INDIRECT("B"&amp;ROW())), "", INDIRECT("B"&amp;ROW()) &amp; " - " &amp; INDIRECT("J"&amp;ROW()))</f>
        <v/>
      </c>
      <c r="J99" s="34" t="str" cm="1">
        <f t="array" aca="1" ref="J99" ca="1">IF(INDIRECT("E"&amp;ROW())=0,"",IF(INDIRECT("H"&amp;ROW())=INDIRECT("E"&amp;ROW()),"Active","Expired"))</f>
        <v/>
      </c>
    </row>
    <row r="100" spans="9:10" x14ac:dyDescent="0.2">
      <c r="I100" s="34" t="str" cm="1">
        <f t="array" aca="1" ref="I100" ca="1">IF(ISBLANK(INDIRECT("B"&amp;ROW())), "", INDIRECT("B"&amp;ROW()) &amp; " - " &amp; INDIRECT("J"&amp;ROW()))</f>
        <v/>
      </c>
      <c r="J100" s="34" t="str" cm="1">
        <f t="array" aca="1" ref="J100" ca="1">IF(INDIRECT("E"&amp;ROW())=0,"",IF(INDIRECT("H"&amp;ROW())=INDIRECT("E"&amp;ROW()),"Active","Expired"))</f>
        <v/>
      </c>
    </row>
    <row r="101" spans="9:10" x14ac:dyDescent="0.2">
      <c r="I101" s="34" t="str" cm="1">
        <f t="array" aca="1" ref="I101" ca="1">IF(ISBLANK(INDIRECT("B"&amp;ROW())), "", INDIRECT("B"&amp;ROW()) &amp; " - " &amp; INDIRECT("J"&amp;ROW()))</f>
        <v/>
      </c>
      <c r="J101" s="34" t="str" cm="1">
        <f t="array" aca="1" ref="J101" ca="1">IF(INDIRECT("E"&amp;ROW())=0,"",IF(INDIRECT("H"&amp;ROW())=INDIRECT("E"&amp;ROW()),"Active","Expired"))</f>
        <v/>
      </c>
    </row>
    <row r="102" spans="9:10" x14ac:dyDescent="0.2">
      <c r="I102" s="34" t="str" cm="1">
        <f t="array" aca="1" ref="I102" ca="1">IF(ISBLANK(INDIRECT("B"&amp;ROW())), "", INDIRECT("B"&amp;ROW()) &amp; " - " &amp; INDIRECT("J"&amp;ROW()))</f>
        <v/>
      </c>
      <c r="J102" s="34" t="str" cm="1">
        <f t="array" aca="1" ref="J102" ca="1">IF(INDIRECT("E"&amp;ROW())=0,"",IF(INDIRECT("H"&amp;ROW())=INDIRECT("E"&amp;ROW()),"Active","Expired"))</f>
        <v/>
      </c>
    </row>
    <row r="103" spans="9:10" x14ac:dyDescent="0.2">
      <c r="I103" s="34" t="str" cm="1">
        <f t="array" aca="1" ref="I103" ca="1">IF(ISBLANK(INDIRECT("B"&amp;ROW())), "", INDIRECT("B"&amp;ROW()) &amp; " - " &amp; INDIRECT("J"&amp;ROW()))</f>
        <v/>
      </c>
      <c r="J103" s="34" t="str" cm="1">
        <f t="array" aca="1" ref="J103" ca="1">IF(INDIRECT("E"&amp;ROW())=0,"",IF(INDIRECT("H"&amp;ROW())=INDIRECT("E"&amp;ROW()),"Active","Expired"))</f>
        <v/>
      </c>
    </row>
    <row r="104" spans="9:10" x14ac:dyDescent="0.2">
      <c r="I104" s="34" t="str" cm="1">
        <f t="array" aca="1" ref="I104" ca="1">IF(ISBLANK(INDIRECT("B"&amp;ROW())), "", INDIRECT("B"&amp;ROW()) &amp; " - " &amp; INDIRECT("J"&amp;ROW()))</f>
        <v/>
      </c>
      <c r="J104" s="34" t="str" cm="1">
        <f t="array" aca="1" ref="J104" ca="1">IF(INDIRECT("E"&amp;ROW())=0,"",IF(INDIRECT("H"&amp;ROW())=INDIRECT("E"&amp;ROW()),"Active","Expired"))</f>
        <v/>
      </c>
    </row>
    <row r="105" spans="9:10" x14ac:dyDescent="0.2">
      <c r="I105" s="34" t="str" cm="1">
        <f t="array" aca="1" ref="I105" ca="1">IF(ISBLANK(INDIRECT("B"&amp;ROW())), "", INDIRECT("B"&amp;ROW()) &amp; " - " &amp; INDIRECT("J"&amp;ROW()))</f>
        <v/>
      </c>
      <c r="J105" s="34" t="str" cm="1">
        <f t="array" aca="1" ref="J105" ca="1">IF(INDIRECT("E"&amp;ROW())=0,"",IF(INDIRECT("H"&amp;ROW())=INDIRECT("E"&amp;ROW()),"Active","Expired"))</f>
        <v/>
      </c>
    </row>
    <row r="106" spans="9:10" x14ac:dyDescent="0.2">
      <c r="I106" s="34" t="str" cm="1">
        <f t="array" aca="1" ref="I106" ca="1">IF(ISBLANK(INDIRECT("B"&amp;ROW())), "", INDIRECT("B"&amp;ROW()) &amp; " - " &amp; INDIRECT("J"&amp;ROW()))</f>
        <v/>
      </c>
      <c r="J106" s="34" t="str" cm="1">
        <f t="array" aca="1" ref="J106" ca="1">IF(INDIRECT("E"&amp;ROW())=0,"",IF(INDIRECT("H"&amp;ROW())=INDIRECT("E"&amp;ROW()),"Active","Expired"))</f>
        <v/>
      </c>
    </row>
    <row r="107" spans="9:10" x14ac:dyDescent="0.2">
      <c r="I107" s="34" t="str" cm="1">
        <f t="array" aca="1" ref="I107" ca="1">IF(ISBLANK(INDIRECT("B"&amp;ROW())), "", INDIRECT("B"&amp;ROW()) &amp; " - " &amp; INDIRECT("J"&amp;ROW()))</f>
        <v/>
      </c>
      <c r="J107" s="34" t="str" cm="1">
        <f t="array" aca="1" ref="J107" ca="1">IF(INDIRECT("E"&amp;ROW())=0,"",IF(INDIRECT("H"&amp;ROW())=INDIRECT("E"&amp;ROW()),"Active","Expired"))</f>
        <v/>
      </c>
    </row>
    <row r="108" spans="9:10" x14ac:dyDescent="0.2">
      <c r="I108" s="34" t="str" cm="1">
        <f t="array" aca="1" ref="I108" ca="1">IF(ISBLANK(INDIRECT("B"&amp;ROW())), "", INDIRECT("B"&amp;ROW()) &amp; " - " &amp; INDIRECT("J"&amp;ROW()))</f>
        <v/>
      </c>
      <c r="J108" s="34" t="str" cm="1">
        <f t="array" aca="1" ref="J108" ca="1">IF(INDIRECT("E"&amp;ROW())=0,"",IF(INDIRECT("H"&amp;ROW())=INDIRECT("E"&amp;ROW()),"Active","Expired"))</f>
        <v/>
      </c>
    </row>
    <row r="109" spans="9:10" x14ac:dyDescent="0.2">
      <c r="I109" s="34" t="str" cm="1">
        <f t="array" aca="1" ref="I109" ca="1">IF(ISBLANK(INDIRECT("B"&amp;ROW())), "", INDIRECT("B"&amp;ROW()) &amp; " - " &amp; INDIRECT("J"&amp;ROW()))</f>
        <v/>
      </c>
      <c r="J109" s="34" t="str" cm="1">
        <f t="array" aca="1" ref="J109" ca="1">IF(INDIRECT("E"&amp;ROW())=0,"",IF(INDIRECT("H"&amp;ROW())=INDIRECT("E"&amp;ROW()),"Active","Expired"))</f>
        <v/>
      </c>
    </row>
    <row r="110" spans="9:10" x14ac:dyDescent="0.2">
      <c r="I110" s="34" t="str" cm="1">
        <f t="array" aca="1" ref="I110" ca="1">IF(ISBLANK(INDIRECT("B"&amp;ROW())), "", INDIRECT("B"&amp;ROW()) &amp; " - " &amp; INDIRECT("J"&amp;ROW()))</f>
        <v/>
      </c>
      <c r="J110" s="34" t="str" cm="1">
        <f t="array" aca="1" ref="J110" ca="1">IF(INDIRECT("E"&amp;ROW())=0,"",IF(INDIRECT("H"&amp;ROW())=INDIRECT("E"&amp;ROW()),"Active","Expired"))</f>
        <v/>
      </c>
    </row>
    <row r="111" spans="9:10" x14ac:dyDescent="0.2">
      <c r="I111" s="34" t="str" cm="1">
        <f t="array" aca="1" ref="I111" ca="1">IF(ISBLANK(INDIRECT("B"&amp;ROW())), "", INDIRECT("B"&amp;ROW()) &amp; " - " &amp; INDIRECT("J"&amp;ROW()))</f>
        <v/>
      </c>
      <c r="J111" s="34" t="str" cm="1">
        <f t="array" aca="1" ref="J111" ca="1">IF(INDIRECT("E"&amp;ROW())=0,"",IF(INDIRECT("H"&amp;ROW())=INDIRECT("E"&amp;ROW()),"Active","Expired"))</f>
        <v/>
      </c>
    </row>
    <row r="112" spans="9:10" x14ac:dyDescent="0.2">
      <c r="I112" s="34" t="str" cm="1">
        <f t="array" aca="1" ref="I112" ca="1">IF(ISBLANK(INDIRECT("B"&amp;ROW())), "", INDIRECT("B"&amp;ROW()) &amp; " - " &amp; INDIRECT("J"&amp;ROW()))</f>
        <v/>
      </c>
      <c r="J112" s="34" t="str" cm="1">
        <f t="array" aca="1" ref="J112" ca="1">IF(INDIRECT("E"&amp;ROW())=0,"",IF(INDIRECT("H"&amp;ROW())=INDIRECT("E"&amp;ROW()),"Active","Expired"))</f>
        <v/>
      </c>
    </row>
    <row r="113" spans="9:10" x14ac:dyDescent="0.2">
      <c r="I113" s="34" t="str" cm="1">
        <f t="array" aca="1" ref="I113" ca="1">IF(ISBLANK(INDIRECT("B"&amp;ROW())), "", INDIRECT("B"&amp;ROW()) &amp; " - " &amp; INDIRECT("J"&amp;ROW()))</f>
        <v/>
      </c>
      <c r="J113" s="34" t="str" cm="1">
        <f t="array" aca="1" ref="J113" ca="1">IF(INDIRECT("E"&amp;ROW())=0,"",IF(INDIRECT("H"&amp;ROW())=INDIRECT("E"&amp;ROW()),"Active","Expired"))</f>
        <v/>
      </c>
    </row>
    <row r="114" spans="9:10" x14ac:dyDescent="0.2">
      <c r="I114" s="34" t="str" cm="1">
        <f t="array" aca="1" ref="I114" ca="1">IF(ISBLANK(INDIRECT("B"&amp;ROW())), "", INDIRECT("B"&amp;ROW()) &amp; " - " &amp; INDIRECT("J"&amp;ROW()))</f>
        <v/>
      </c>
      <c r="J114" s="34" t="str" cm="1">
        <f t="array" aca="1" ref="J114" ca="1">IF(INDIRECT("E"&amp;ROW())=0,"",IF(INDIRECT("H"&amp;ROW())=INDIRECT("E"&amp;ROW()),"Active","Expired"))</f>
        <v/>
      </c>
    </row>
    <row r="115" spans="9:10" x14ac:dyDescent="0.2">
      <c r="I115" s="34" t="str" cm="1">
        <f t="array" aca="1" ref="I115" ca="1">IF(ISBLANK(INDIRECT("B"&amp;ROW())), "", INDIRECT("B"&amp;ROW()) &amp; " - " &amp; INDIRECT("J"&amp;ROW()))</f>
        <v/>
      </c>
      <c r="J115" s="34" t="str" cm="1">
        <f t="array" aca="1" ref="J115" ca="1">IF(INDIRECT("E"&amp;ROW())=0,"",IF(INDIRECT("H"&amp;ROW())=INDIRECT("E"&amp;ROW()),"Active","Expired"))</f>
        <v/>
      </c>
    </row>
    <row r="116" spans="9:10" x14ac:dyDescent="0.2">
      <c r="I116" s="34" t="str" cm="1">
        <f t="array" aca="1" ref="I116" ca="1">IF(ISBLANK(INDIRECT("B"&amp;ROW())), "", INDIRECT("B"&amp;ROW()) &amp; " - " &amp; INDIRECT("J"&amp;ROW()))</f>
        <v/>
      </c>
      <c r="J116" s="34" t="str" cm="1">
        <f t="array" aca="1" ref="J116" ca="1">IF(INDIRECT("E"&amp;ROW())=0,"",IF(INDIRECT("H"&amp;ROW())=INDIRECT("E"&amp;ROW()),"Active","Expired"))</f>
        <v/>
      </c>
    </row>
    <row r="117" spans="9:10" x14ac:dyDescent="0.2">
      <c r="I117" s="34" t="str" cm="1">
        <f t="array" aca="1" ref="I117" ca="1">IF(ISBLANK(INDIRECT("B"&amp;ROW())), "", INDIRECT("B"&amp;ROW()) &amp; " - " &amp; INDIRECT("J"&amp;ROW()))</f>
        <v/>
      </c>
      <c r="J117" s="34" t="str" cm="1">
        <f t="array" aca="1" ref="J117" ca="1">IF(INDIRECT("E"&amp;ROW())=0,"",IF(INDIRECT("H"&amp;ROW())=INDIRECT("E"&amp;ROW()),"Active","Expired"))</f>
        <v/>
      </c>
    </row>
    <row r="118" spans="9:10" x14ac:dyDescent="0.2">
      <c r="I118" s="34" t="str" cm="1">
        <f t="array" aca="1" ref="I118" ca="1">IF(ISBLANK(INDIRECT("B"&amp;ROW())), "", INDIRECT("B"&amp;ROW()) &amp; " - " &amp; INDIRECT("J"&amp;ROW()))</f>
        <v/>
      </c>
      <c r="J118" s="34" t="str" cm="1">
        <f t="array" aca="1" ref="J118" ca="1">IF(INDIRECT("E"&amp;ROW())=0,"",IF(INDIRECT("H"&amp;ROW())=INDIRECT("E"&amp;ROW()),"Active","Expired"))</f>
        <v/>
      </c>
    </row>
    <row r="119" spans="9:10" x14ac:dyDescent="0.2">
      <c r="I119" s="34" t="str" cm="1">
        <f t="array" aca="1" ref="I119" ca="1">IF(ISBLANK(INDIRECT("B"&amp;ROW())), "", INDIRECT("B"&amp;ROW()) &amp; " - " &amp; INDIRECT("J"&amp;ROW()))</f>
        <v/>
      </c>
      <c r="J119" s="34" t="str" cm="1">
        <f t="array" aca="1" ref="J119" ca="1">IF(INDIRECT("E"&amp;ROW())=0,"",IF(INDIRECT("H"&amp;ROW())=INDIRECT("E"&amp;ROW()),"Active","Expired"))</f>
        <v/>
      </c>
    </row>
    <row r="120" spans="9:10" x14ac:dyDescent="0.2">
      <c r="I120" s="34" t="str" cm="1">
        <f t="array" aca="1" ref="I120" ca="1">IF(ISBLANK(INDIRECT("B"&amp;ROW())), "", INDIRECT("B"&amp;ROW()) &amp; " - " &amp; INDIRECT("J"&amp;ROW()))</f>
        <v/>
      </c>
      <c r="J120" s="34" t="str" cm="1">
        <f t="array" aca="1" ref="J120" ca="1">IF(INDIRECT("E"&amp;ROW())=0,"",IF(INDIRECT("H"&amp;ROW())=INDIRECT("E"&amp;ROW()),"Active","Expired"))</f>
        <v/>
      </c>
    </row>
    <row r="121" spans="9:10" x14ac:dyDescent="0.2">
      <c r="I121" s="34" t="str" cm="1">
        <f t="array" aca="1" ref="I121" ca="1">IF(ISBLANK(INDIRECT("B"&amp;ROW())), "", INDIRECT("B"&amp;ROW()) &amp; " - " &amp; INDIRECT("J"&amp;ROW()))</f>
        <v/>
      </c>
      <c r="J121" s="34" t="str" cm="1">
        <f t="array" aca="1" ref="J121" ca="1">IF(INDIRECT("E"&amp;ROW())=0,"",IF(INDIRECT("H"&amp;ROW())=INDIRECT("E"&amp;ROW()),"Active","Expired"))</f>
        <v/>
      </c>
    </row>
    <row r="122" spans="9:10" x14ac:dyDescent="0.2">
      <c r="I122" s="34" t="str" cm="1">
        <f t="array" aca="1" ref="I122" ca="1">IF(ISBLANK(INDIRECT("B"&amp;ROW())), "", INDIRECT("B"&amp;ROW()) &amp; " - " &amp; INDIRECT("J"&amp;ROW()))</f>
        <v/>
      </c>
      <c r="J122" s="34" t="str" cm="1">
        <f t="array" aca="1" ref="J122" ca="1">IF(INDIRECT("E"&amp;ROW())=0,"",IF(INDIRECT("H"&amp;ROW())=INDIRECT("E"&amp;ROW()),"Active","Expired"))</f>
        <v/>
      </c>
    </row>
    <row r="123" spans="9:10" x14ac:dyDescent="0.2">
      <c r="I123" s="34" t="str" cm="1">
        <f t="array" aca="1" ref="I123" ca="1">IF(ISBLANK(INDIRECT("B"&amp;ROW())), "", INDIRECT("B"&amp;ROW()) &amp; " - " &amp; INDIRECT("J"&amp;ROW()))</f>
        <v/>
      </c>
      <c r="J123" s="34" t="str" cm="1">
        <f t="array" aca="1" ref="J123" ca="1">IF(INDIRECT("E"&amp;ROW())=0,"",IF(INDIRECT("H"&amp;ROW())=INDIRECT("E"&amp;ROW()),"Active","Expired"))</f>
        <v/>
      </c>
    </row>
    <row r="124" spans="9:10" x14ac:dyDescent="0.2">
      <c r="I124" s="34" t="str" cm="1">
        <f t="array" aca="1" ref="I124" ca="1">IF(ISBLANK(INDIRECT("B"&amp;ROW())), "", INDIRECT("B"&amp;ROW()) &amp; " - " &amp; INDIRECT("J"&amp;ROW()))</f>
        <v/>
      </c>
      <c r="J124" s="34" t="str" cm="1">
        <f t="array" aca="1" ref="J124" ca="1">IF(INDIRECT("E"&amp;ROW())=0,"",IF(INDIRECT("H"&amp;ROW())=INDIRECT("E"&amp;ROW()),"Active","Expired"))</f>
        <v/>
      </c>
    </row>
    <row r="125" spans="9:10" x14ac:dyDescent="0.2">
      <c r="I125" s="34" t="str" cm="1">
        <f t="array" aca="1" ref="I125" ca="1">IF(ISBLANK(INDIRECT("B"&amp;ROW())), "", INDIRECT("B"&amp;ROW()) &amp; " - " &amp; INDIRECT("J"&amp;ROW()))</f>
        <v/>
      </c>
      <c r="J125" s="34" t="str" cm="1">
        <f t="array" aca="1" ref="J125" ca="1">IF(INDIRECT("E"&amp;ROW())=0,"",IF(INDIRECT("H"&amp;ROW())=INDIRECT("E"&amp;ROW()),"Active","Expired"))</f>
        <v/>
      </c>
    </row>
    <row r="126" spans="9:10" x14ac:dyDescent="0.2">
      <c r="I126" s="34" t="str" cm="1">
        <f t="array" aca="1" ref="I126" ca="1">IF(ISBLANK(INDIRECT("B"&amp;ROW())), "", INDIRECT("B"&amp;ROW()) &amp; " - " &amp; INDIRECT("J"&amp;ROW()))</f>
        <v/>
      </c>
      <c r="J126" s="34" t="str" cm="1">
        <f t="array" aca="1" ref="J126" ca="1">IF(INDIRECT("E"&amp;ROW())=0,"",IF(INDIRECT("H"&amp;ROW())=INDIRECT("E"&amp;ROW()),"Active","Expired"))</f>
        <v/>
      </c>
    </row>
    <row r="127" spans="9:10" x14ac:dyDescent="0.2">
      <c r="I127" s="34" t="str" cm="1">
        <f t="array" aca="1" ref="I127" ca="1">IF(ISBLANK(INDIRECT("B"&amp;ROW())), "", INDIRECT("B"&amp;ROW()) &amp; " - " &amp; INDIRECT("J"&amp;ROW()))</f>
        <v/>
      </c>
      <c r="J127" s="34" t="str" cm="1">
        <f t="array" aca="1" ref="J127" ca="1">IF(INDIRECT("E"&amp;ROW())=0,"",IF(INDIRECT("H"&amp;ROW())=INDIRECT("E"&amp;ROW()),"Active","Expired"))</f>
        <v/>
      </c>
    </row>
    <row r="128" spans="9:10" x14ac:dyDescent="0.2">
      <c r="I128" s="34" t="str" cm="1">
        <f t="array" aca="1" ref="I128" ca="1">IF(ISBLANK(INDIRECT("B"&amp;ROW())), "", INDIRECT("B"&amp;ROW()) &amp; " - " &amp; INDIRECT("J"&amp;ROW()))</f>
        <v/>
      </c>
      <c r="J128" s="34" t="str" cm="1">
        <f t="array" aca="1" ref="J128" ca="1">IF(INDIRECT("E"&amp;ROW())=0,"",IF(INDIRECT("H"&amp;ROW())=INDIRECT("E"&amp;ROW()),"Active","Expired"))</f>
        <v/>
      </c>
    </row>
    <row r="129" spans="9:10" x14ac:dyDescent="0.2">
      <c r="I129" s="34" t="str" cm="1">
        <f t="array" aca="1" ref="I129" ca="1">IF(ISBLANK(INDIRECT("B"&amp;ROW())), "", INDIRECT("B"&amp;ROW()) &amp; " - " &amp; INDIRECT("J"&amp;ROW()))</f>
        <v/>
      </c>
      <c r="J129" s="34" t="str" cm="1">
        <f t="array" aca="1" ref="J129" ca="1">IF(INDIRECT("E"&amp;ROW())=0,"",IF(INDIRECT("H"&amp;ROW())=INDIRECT("E"&amp;ROW()),"Active","Expired"))</f>
        <v/>
      </c>
    </row>
    <row r="130" spans="9:10" x14ac:dyDescent="0.2">
      <c r="I130" s="34" t="str" cm="1">
        <f t="array" aca="1" ref="I130" ca="1">IF(ISBLANK(INDIRECT("B"&amp;ROW())), "", INDIRECT("B"&amp;ROW()) &amp; " - " &amp; INDIRECT("J"&amp;ROW()))</f>
        <v/>
      </c>
      <c r="J130" s="34" t="str" cm="1">
        <f t="array" aca="1" ref="J130" ca="1">IF(INDIRECT("E"&amp;ROW())=0,"",IF(INDIRECT("H"&amp;ROW())=INDIRECT("E"&amp;ROW()),"Active","Expired"))</f>
        <v/>
      </c>
    </row>
    <row r="131" spans="9:10" x14ac:dyDescent="0.2">
      <c r="I131" s="34" t="str" cm="1">
        <f t="array" aca="1" ref="I131" ca="1">IF(ISBLANK(INDIRECT("B"&amp;ROW())), "", INDIRECT("B"&amp;ROW()) &amp; " - " &amp; INDIRECT("J"&amp;ROW()))</f>
        <v/>
      </c>
      <c r="J131" s="34" t="str" cm="1">
        <f t="array" aca="1" ref="J131" ca="1">IF(INDIRECT("E"&amp;ROW())=0,"",IF(INDIRECT("H"&amp;ROW())=INDIRECT("E"&amp;ROW()),"Active","Expired"))</f>
        <v/>
      </c>
    </row>
    <row r="132" spans="9:10" x14ac:dyDescent="0.2">
      <c r="I132" s="34" t="str" cm="1">
        <f t="array" aca="1" ref="I132" ca="1">IF(ISBLANK(INDIRECT("B"&amp;ROW())), "", INDIRECT("B"&amp;ROW()) &amp; " - " &amp; INDIRECT("J"&amp;ROW()))</f>
        <v/>
      </c>
      <c r="J132" s="34" t="str" cm="1">
        <f t="array" aca="1" ref="J132" ca="1">IF(INDIRECT("E"&amp;ROW())=0,"",IF(INDIRECT("H"&amp;ROW())=INDIRECT("E"&amp;ROW()),"Active","Expired"))</f>
        <v/>
      </c>
    </row>
    <row r="133" spans="9:10" x14ac:dyDescent="0.2">
      <c r="I133" s="34" t="str" cm="1">
        <f t="array" aca="1" ref="I133" ca="1">IF(ISBLANK(INDIRECT("B"&amp;ROW())), "", INDIRECT("B"&amp;ROW()) &amp; " - " &amp; INDIRECT("J"&amp;ROW()))</f>
        <v/>
      </c>
      <c r="J133" s="34" t="str" cm="1">
        <f t="array" aca="1" ref="J133" ca="1">IF(INDIRECT("E"&amp;ROW())=0,"",IF(INDIRECT("H"&amp;ROW())=INDIRECT("E"&amp;ROW()),"Active","Expired"))</f>
        <v/>
      </c>
    </row>
    <row r="134" spans="9:10" x14ac:dyDescent="0.2">
      <c r="I134" s="34" t="str" cm="1">
        <f t="array" aca="1" ref="I134" ca="1">IF(ISBLANK(INDIRECT("B"&amp;ROW())), "", INDIRECT("B"&amp;ROW()) &amp; " - " &amp; INDIRECT("J"&amp;ROW()))</f>
        <v/>
      </c>
      <c r="J134" s="34" t="str" cm="1">
        <f t="array" aca="1" ref="J134" ca="1">IF(INDIRECT("E"&amp;ROW())=0,"",IF(INDIRECT("H"&amp;ROW())=INDIRECT("E"&amp;ROW()),"Active","Expired"))</f>
        <v/>
      </c>
    </row>
    <row r="135" spans="9:10" x14ac:dyDescent="0.2">
      <c r="I135" s="34" t="str" cm="1">
        <f t="array" aca="1" ref="I135" ca="1">IF(ISBLANK(INDIRECT("B"&amp;ROW())), "", INDIRECT("B"&amp;ROW()) &amp; " - " &amp; INDIRECT("J"&amp;ROW()))</f>
        <v/>
      </c>
      <c r="J135" s="34" t="str" cm="1">
        <f t="array" aca="1" ref="J135" ca="1">IF(INDIRECT("E"&amp;ROW())=0,"",IF(INDIRECT("H"&amp;ROW())=INDIRECT("E"&amp;ROW()),"Active","Expired"))</f>
        <v/>
      </c>
    </row>
    <row r="136" spans="9:10" x14ac:dyDescent="0.2">
      <c r="I136" s="34" t="str" cm="1">
        <f t="array" aca="1" ref="I136" ca="1">IF(ISBLANK(INDIRECT("B"&amp;ROW())), "", INDIRECT("B"&amp;ROW()) &amp; " - " &amp; INDIRECT("J"&amp;ROW()))</f>
        <v/>
      </c>
      <c r="J136" s="34" t="str" cm="1">
        <f t="array" aca="1" ref="J136" ca="1">IF(INDIRECT("E"&amp;ROW())=0,"",IF(INDIRECT("H"&amp;ROW())=INDIRECT("E"&amp;ROW()),"Active","Expired"))</f>
        <v/>
      </c>
    </row>
    <row r="137" spans="9:10" x14ac:dyDescent="0.2">
      <c r="I137" s="34" t="str" cm="1">
        <f t="array" aca="1" ref="I137" ca="1">IF(ISBLANK(INDIRECT("B"&amp;ROW())), "", INDIRECT("B"&amp;ROW()) &amp; " - " &amp; INDIRECT("J"&amp;ROW()))</f>
        <v/>
      </c>
      <c r="J137" s="34" t="str" cm="1">
        <f t="array" aca="1" ref="J137" ca="1">IF(INDIRECT("E"&amp;ROW())=0,"",IF(INDIRECT("H"&amp;ROW())=INDIRECT("E"&amp;ROW()),"Active","Expired"))</f>
        <v/>
      </c>
    </row>
    <row r="138" spans="9:10" x14ac:dyDescent="0.2">
      <c r="I138" s="34" t="str" cm="1">
        <f t="array" aca="1" ref="I138" ca="1">IF(ISBLANK(INDIRECT("B"&amp;ROW())), "", INDIRECT("B"&amp;ROW()) &amp; " - " &amp; INDIRECT("J"&amp;ROW()))</f>
        <v/>
      </c>
      <c r="J138" s="34" t="str" cm="1">
        <f t="array" aca="1" ref="J138" ca="1">IF(INDIRECT("E"&amp;ROW())=0,"",IF(INDIRECT("H"&amp;ROW())=INDIRECT("E"&amp;ROW()),"Active","Expired"))</f>
        <v/>
      </c>
    </row>
    <row r="139" spans="9:10" x14ac:dyDescent="0.2">
      <c r="I139" s="34" t="str" cm="1">
        <f t="array" aca="1" ref="I139" ca="1">IF(ISBLANK(INDIRECT("B"&amp;ROW())), "", INDIRECT("B"&amp;ROW()) &amp; " - " &amp; INDIRECT("J"&amp;ROW()))</f>
        <v/>
      </c>
      <c r="J139" s="34" t="str" cm="1">
        <f t="array" aca="1" ref="J139" ca="1">IF(INDIRECT("E"&amp;ROW())=0,"",IF(INDIRECT("H"&amp;ROW())=INDIRECT("E"&amp;ROW()),"Active","Expired"))</f>
        <v/>
      </c>
    </row>
    <row r="140" spans="9:10" x14ac:dyDescent="0.2">
      <c r="I140" s="34" t="str" cm="1">
        <f t="array" aca="1" ref="I140" ca="1">IF(ISBLANK(INDIRECT("B"&amp;ROW())), "", INDIRECT("B"&amp;ROW()) &amp; " - " &amp; INDIRECT("J"&amp;ROW()))</f>
        <v/>
      </c>
      <c r="J140" s="34" t="str" cm="1">
        <f t="array" aca="1" ref="J140" ca="1">IF(INDIRECT("E"&amp;ROW())=0,"",IF(INDIRECT("H"&amp;ROW())=INDIRECT("E"&amp;ROW()),"Active","Expired"))</f>
        <v/>
      </c>
    </row>
    <row r="141" spans="9:10" x14ac:dyDescent="0.2">
      <c r="I141" s="34" t="str" cm="1">
        <f t="array" aca="1" ref="I141" ca="1">IF(ISBLANK(INDIRECT("B"&amp;ROW())), "", INDIRECT("B"&amp;ROW()) &amp; " - " &amp; INDIRECT("J"&amp;ROW()))</f>
        <v/>
      </c>
      <c r="J141" s="34" t="str" cm="1">
        <f t="array" aca="1" ref="J141" ca="1">IF(INDIRECT("E"&amp;ROW())=0,"",IF(INDIRECT("H"&amp;ROW())=INDIRECT("E"&amp;ROW()),"Active","Expired"))</f>
        <v/>
      </c>
    </row>
    <row r="142" spans="9:10" x14ac:dyDescent="0.2">
      <c r="I142" s="34" t="str" cm="1">
        <f t="array" aca="1" ref="I142" ca="1">IF(ISBLANK(INDIRECT("B"&amp;ROW())), "", INDIRECT("B"&amp;ROW()) &amp; " - " &amp; INDIRECT("J"&amp;ROW()))</f>
        <v/>
      </c>
      <c r="J142" s="34" t="str" cm="1">
        <f t="array" aca="1" ref="J142" ca="1">IF(INDIRECT("E"&amp;ROW())=0,"",IF(INDIRECT("H"&amp;ROW())=INDIRECT("E"&amp;ROW()),"Active","Expired"))</f>
        <v/>
      </c>
    </row>
    <row r="143" spans="9:10" x14ac:dyDescent="0.2">
      <c r="I143" s="34" t="str" cm="1">
        <f t="array" aca="1" ref="I143" ca="1">IF(ISBLANK(INDIRECT("B"&amp;ROW())), "", INDIRECT("B"&amp;ROW()) &amp; " - " &amp; INDIRECT("J"&amp;ROW()))</f>
        <v/>
      </c>
      <c r="J143" s="34" t="str" cm="1">
        <f t="array" aca="1" ref="J143" ca="1">IF(INDIRECT("E"&amp;ROW())=0,"",IF(INDIRECT("H"&amp;ROW())=INDIRECT("E"&amp;ROW()),"Active","Expired"))</f>
        <v/>
      </c>
    </row>
    <row r="144" spans="9:10" x14ac:dyDescent="0.2">
      <c r="I144" s="34" t="str" cm="1">
        <f t="array" aca="1" ref="I144" ca="1">IF(ISBLANK(INDIRECT("B"&amp;ROW())), "", INDIRECT("B"&amp;ROW()) &amp; " - " &amp; INDIRECT("J"&amp;ROW()))</f>
        <v/>
      </c>
      <c r="J144" s="34" t="str" cm="1">
        <f t="array" aca="1" ref="J144" ca="1">IF(INDIRECT("E"&amp;ROW())=0,"",IF(INDIRECT("H"&amp;ROW())=INDIRECT("E"&amp;ROW()),"Active","Expired"))</f>
        <v/>
      </c>
    </row>
    <row r="145" spans="9:10" x14ac:dyDescent="0.2">
      <c r="I145" s="34" t="str" cm="1">
        <f t="array" aca="1" ref="I145" ca="1">IF(ISBLANK(INDIRECT("B"&amp;ROW())), "", INDIRECT("B"&amp;ROW()) &amp; " - " &amp; INDIRECT("J"&amp;ROW()))</f>
        <v/>
      </c>
      <c r="J145" s="34" t="str" cm="1">
        <f t="array" aca="1" ref="J145" ca="1">IF(INDIRECT("E"&amp;ROW())=0,"",IF(INDIRECT("H"&amp;ROW())=INDIRECT("E"&amp;ROW()),"Active","Expired"))</f>
        <v/>
      </c>
    </row>
    <row r="146" spans="9:10" x14ac:dyDescent="0.2">
      <c r="I146" s="34" t="str" cm="1">
        <f t="array" aca="1" ref="I146" ca="1">IF(ISBLANK(INDIRECT("B"&amp;ROW())), "", INDIRECT("B"&amp;ROW()) &amp; " - " &amp; INDIRECT("J"&amp;ROW()))</f>
        <v/>
      </c>
      <c r="J146" s="34" t="str" cm="1">
        <f t="array" aca="1" ref="J146" ca="1">IF(INDIRECT("E"&amp;ROW())=0,"",IF(INDIRECT("H"&amp;ROW())=INDIRECT("E"&amp;ROW()),"Active","Expired"))</f>
        <v/>
      </c>
    </row>
    <row r="147" spans="9:10" x14ac:dyDescent="0.2">
      <c r="I147" s="34" t="str" cm="1">
        <f t="array" aca="1" ref="I147" ca="1">IF(ISBLANK(INDIRECT("B"&amp;ROW())), "", INDIRECT("B"&amp;ROW()) &amp; " - " &amp; INDIRECT("J"&amp;ROW()))</f>
        <v/>
      </c>
      <c r="J147" s="34" t="str" cm="1">
        <f t="array" aca="1" ref="J147" ca="1">IF(INDIRECT("E"&amp;ROW())=0,"",IF(INDIRECT("H"&amp;ROW())=INDIRECT("E"&amp;ROW()),"Active","Expired"))</f>
        <v/>
      </c>
    </row>
    <row r="148" spans="9:10" x14ac:dyDescent="0.2">
      <c r="I148" s="34" t="str" cm="1">
        <f t="array" aca="1" ref="I148" ca="1">IF(ISBLANK(INDIRECT("B"&amp;ROW())), "", INDIRECT("B"&amp;ROW()) &amp; " - " &amp; INDIRECT("J"&amp;ROW()))</f>
        <v/>
      </c>
      <c r="J148" s="34" t="str" cm="1">
        <f t="array" aca="1" ref="J148" ca="1">IF(INDIRECT("E"&amp;ROW())=0,"",IF(INDIRECT("H"&amp;ROW())=INDIRECT("E"&amp;ROW()),"Active","Expired"))</f>
        <v/>
      </c>
    </row>
    <row r="149" spans="9:10" x14ac:dyDescent="0.2">
      <c r="I149" s="34" t="str" cm="1">
        <f t="array" aca="1" ref="I149" ca="1">IF(ISBLANK(INDIRECT("B"&amp;ROW())), "", INDIRECT("B"&amp;ROW()) &amp; " - " &amp; INDIRECT("J"&amp;ROW()))</f>
        <v/>
      </c>
      <c r="J149" s="34" t="str" cm="1">
        <f t="array" aca="1" ref="J149" ca="1">IF(INDIRECT("E"&amp;ROW())=0,"",IF(INDIRECT("H"&amp;ROW())=INDIRECT("E"&amp;ROW()),"Active","Expired"))</f>
        <v/>
      </c>
    </row>
    <row r="150" spans="9:10" x14ac:dyDescent="0.2">
      <c r="I150" s="34" t="str" cm="1">
        <f t="array" aca="1" ref="I150" ca="1">IF(ISBLANK(INDIRECT("B"&amp;ROW())), "", INDIRECT("B"&amp;ROW()) &amp; " - " &amp; INDIRECT("J"&amp;ROW()))</f>
        <v/>
      </c>
      <c r="J150" s="34" t="str" cm="1">
        <f t="array" aca="1" ref="J150" ca="1">IF(INDIRECT("E"&amp;ROW())=0,"",IF(INDIRECT("H"&amp;ROW())=INDIRECT("E"&amp;ROW()),"Active","Expired"))</f>
        <v/>
      </c>
    </row>
    <row r="151" spans="9:10" x14ac:dyDescent="0.2">
      <c r="I151" s="34" t="str" cm="1">
        <f t="array" aca="1" ref="I151" ca="1">IF(ISBLANK(INDIRECT("B"&amp;ROW())), "", INDIRECT("B"&amp;ROW()) &amp; " - " &amp; INDIRECT("J"&amp;ROW()))</f>
        <v/>
      </c>
      <c r="J151" s="34" t="str" cm="1">
        <f t="array" aca="1" ref="J151" ca="1">IF(INDIRECT("E"&amp;ROW())=0,"",IF(INDIRECT("H"&amp;ROW())=INDIRECT("E"&amp;ROW()),"Active","Expired"))</f>
        <v/>
      </c>
    </row>
    <row r="152" spans="9:10" x14ac:dyDescent="0.2">
      <c r="I152" s="34" t="str" cm="1">
        <f t="array" aca="1" ref="I152" ca="1">IF(ISBLANK(INDIRECT("B"&amp;ROW())), "", INDIRECT("B"&amp;ROW()) &amp; " - " &amp; INDIRECT("J"&amp;ROW()))</f>
        <v/>
      </c>
      <c r="J152" s="34" t="str" cm="1">
        <f t="array" aca="1" ref="J152" ca="1">IF(INDIRECT("E"&amp;ROW())=0,"",IF(INDIRECT("H"&amp;ROW())=INDIRECT("E"&amp;ROW()),"Active","Expired"))</f>
        <v/>
      </c>
    </row>
    <row r="153" spans="9:10" x14ac:dyDescent="0.2">
      <c r="I153" s="34" t="str" cm="1">
        <f t="array" aca="1" ref="I153" ca="1">IF(ISBLANK(INDIRECT("B"&amp;ROW())), "", INDIRECT("B"&amp;ROW()) &amp; " - " &amp; INDIRECT("J"&amp;ROW()))</f>
        <v/>
      </c>
      <c r="J153" s="34" t="str" cm="1">
        <f t="array" aca="1" ref="J153" ca="1">IF(INDIRECT("E"&amp;ROW())=0,"",IF(INDIRECT("H"&amp;ROW())=INDIRECT("E"&amp;ROW()),"Active","Expired"))</f>
        <v/>
      </c>
    </row>
    <row r="154" spans="9:10" x14ac:dyDescent="0.2">
      <c r="I154" s="34" t="str" cm="1">
        <f t="array" aca="1" ref="I154" ca="1">IF(ISBLANK(INDIRECT("B"&amp;ROW())), "", INDIRECT("B"&amp;ROW()) &amp; " - " &amp; INDIRECT("J"&amp;ROW()))</f>
        <v/>
      </c>
      <c r="J154" s="34" t="str" cm="1">
        <f t="array" aca="1" ref="J154" ca="1">IF(INDIRECT("E"&amp;ROW())=0,"",IF(INDIRECT("H"&amp;ROW())=INDIRECT("E"&amp;ROW()),"Active","Expired"))</f>
        <v/>
      </c>
    </row>
    <row r="155" spans="9:10" x14ac:dyDescent="0.2">
      <c r="I155" s="34" t="str" cm="1">
        <f t="array" aca="1" ref="I155" ca="1">IF(ISBLANK(INDIRECT("B"&amp;ROW())), "", INDIRECT("B"&amp;ROW()) &amp; " - " &amp; INDIRECT("J"&amp;ROW()))</f>
        <v/>
      </c>
      <c r="J155" s="34" t="str" cm="1">
        <f t="array" aca="1" ref="J155" ca="1">IF(INDIRECT("E"&amp;ROW())=0,"",IF(INDIRECT("H"&amp;ROW())=INDIRECT("E"&amp;ROW()),"Active","Expired"))</f>
        <v/>
      </c>
    </row>
    <row r="156" spans="9:10" x14ac:dyDescent="0.2">
      <c r="I156" s="34" t="str" cm="1">
        <f t="array" aca="1" ref="I156" ca="1">IF(ISBLANK(INDIRECT("B"&amp;ROW())), "", INDIRECT("B"&amp;ROW()) &amp; " - " &amp; INDIRECT("J"&amp;ROW()))</f>
        <v/>
      </c>
      <c r="J156" s="34" t="str" cm="1">
        <f t="array" aca="1" ref="J156" ca="1">IF(INDIRECT("E"&amp;ROW())=0,"",IF(INDIRECT("H"&amp;ROW())=INDIRECT("E"&amp;ROW()),"Active","Expired"))</f>
        <v/>
      </c>
    </row>
    <row r="157" spans="9:10" x14ac:dyDescent="0.2">
      <c r="I157" s="34" t="str" cm="1">
        <f t="array" aca="1" ref="I157" ca="1">IF(ISBLANK(INDIRECT("B"&amp;ROW())), "", INDIRECT("B"&amp;ROW()) &amp; " - " &amp; INDIRECT("J"&amp;ROW()))</f>
        <v/>
      </c>
      <c r="J157" s="34" t="str" cm="1">
        <f t="array" aca="1" ref="J157" ca="1">IF(INDIRECT("E"&amp;ROW())=0,"",IF(INDIRECT("H"&amp;ROW())=INDIRECT("E"&amp;ROW()),"Active","Expired"))</f>
        <v/>
      </c>
    </row>
    <row r="158" spans="9:10" x14ac:dyDescent="0.2">
      <c r="I158" s="34" t="str" cm="1">
        <f t="array" aca="1" ref="I158" ca="1">IF(ISBLANK(INDIRECT("B"&amp;ROW())), "", INDIRECT("B"&amp;ROW()) &amp; " - " &amp; INDIRECT("J"&amp;ROW()))</f>
        <v/>
      </c>
      <c r="J158" s="34" t="str" cm="1">
        <f t="array" aca="1" ref="J158" ca="1">IF(INDIRECT("E"&amp;ROW())=0,"",IF(INDIRECT("H"&amp;ROW())=INDIRECT("E"&amp;ROW()),"Active","Expired"))</f>
        <v/>
      </c>
    </row>
    <row r="159" spans="9:10" x14ac:dyDescent="0.2">
      <c r="I159" s="34" t="str" cm="1">
        <f t="array" aca="1" ref="I159" ca="1">IF(ISBLANK(INDIRECT("B"&amp;ROW())), "", INDIRECT("B"&amp;ROW()) &amp; " - " &amp; INDIRECT("J"&amp;ROW()))</f>
        <v/>
      </c>
      <c r="J159" s="34" t="str" cm="1">
        <f t="array" aca="1" ref="J159" ca="1">IF(INDIRECT("E"&amp;ROW())=0,"",IF(INDIRECT("H"&amp;ROW())=INDIRECT("E"&amp;ROW()),"Active","Expired"))</f>
        <v/>
      </c>
    </row>
    <row r="160" spans="9:10" x14ac:dyDescent="0.2">
      <c r="I160" s="34" t="str" cm="1">
        <f t="array" aca="1" ref="I160" ca="1">IF(ISBLANK(INDIRECT("B"&amp;ROW())), "", INDIRECT("B"&amp;ROW()) &amp; " - " &amp; INDIRECT("J"&amp;ROW()))</f>
        <v/>
      </c>
      <c r="J160" s="34" t="str" cm="1">
        <f t="array" aca="1" ref="J160" ca="1">IF(INDIRECT("E"&amp;ROW())=0,"",IF(INDIRECT("H"&amp;ROW())=INDIRECT("E"&amp;ROW()),"Active","Expired"))</f>
        <v/>
      </c>
    </row>
    <row r="161" spans="9:10" x14ac:dyDescent="0.2">
      <c r="I161" s="34" t="str" cm="1">
        <f t="array" aca="1" ref="I161" ca="1">IF(ISBLANK(INDIRECT("B"&amp;ROW())), "", INDIRECT("B"&amp;ROW()) &amp; " - " &amp; INDIRECT("J"&amp;ROW()))</f>
        <v/>
      </c>
      <c r="J161" s="34" t="str" cm="1">
        <f t="array" aca="1" ref="J161" ca="1">IF(INDIRECT("E"&amp;ROW())=0,"",IF(INDIRECT("H"&amp;ROW())=INDIRECT("E"&amp;ROW()),"Active","Expired"))</f>
        <v/>
      </c>
    </row>
    <row r="162" spans="9:10" x14ac:dyDescent="0.2">
      <c r="I162" s="34" t="str" cm="1">
        <f t="array" aca="1" ref="I162" ca="1">IF(ISBLANK(INDIRECT("B"&amp;ROW())), "", INDIRECT("B"&amp;ROW()) &amp; " - " &amp; INDIRECT("J"&amp;ROW()))</f>
        <v/>
      </c>
      <c r="J162" s="34" t="str" cm="1">
        <f t="array" aca="1" ref="J162" ca="1">IF(INDIRECT("E"&amp;ROW())=0,"",IF(INDIRECT("H"&amp;ROW())=INDIRECT("E"&amp;ROW()),"Active","Expired"))</f>
        <v/>
      </c>
    </row>
    <row r="163" spans="9:10" x14ac:dyDescent="0.2">
      <c r="I163" s="34" t="str" cm="1">
        <f t="array" aca="1" ref="I163" ca="1">IF(ISBLANK(INDIRECT("B"&amp;ROW())), "", INDIRECT("B"&amp;ROW()) &amp; " - " &amp; INDIRECT("J"&amp;ROW()))</f>
        <v/>
      </c>
      <c r="J163" s="34" t="str" cm="1">
        <f t="array" aca="1" ref="J163" ca="1">IF(INDIRECT("E"&amp;ROW())=0,"",IF(INDIRECT("H"&amp;ROW())=INDIRECT("E"&amp;ROW()),"Active","Expired"))</f>
        <v/>
      </c>
    </row>
    <row r="164" spans="9:10" x14ac:dyDescent="0.2">
      <c r="I164" s="34" t="str" cm="1">
        <f t="array" aca="1" ref="I164" ca="1">IF(ISBLANK(INDIRECT("B"&amp;ROW())), "", INDIRECT("B"&amp;ROW()) &amp; " - " &amp; INDIRECT("J"&amp;ROW()))</f>
        <v/>
      </c>
      <c r="J164" s="34" t="str" cm="1">
        <f t="array" aca="1" ref="J164" ca="1">IF(INDIRECT("E"&amp;ROW())=0,"",IF(INDIRECT("H"&amp;ROW())=INDIRECT("E"&amp;ROW()),"Active","Expired"))</f>
        <v/>
      </c>
    </row>
    <row r="165" spans="9:10" x14ac:dyDescent="0.2">
      <c r="I165" s="34" t="str" cm="1">
        <f t="array" aca="1" ref="I165" ca="1">IF(ISBLANK(INDIRECT("B"&amp;ROW())), "", INDIRECT("B"&amp;ROW()) &amp; " - " &amp; INDIRECT("J"&amp;ROW()))</f>
        <v/>
      </c>
      <c r="J165" s="34" t="str" cm="1">
        <f t="array" aca="1" ref="J165" ca="1">IF(INDIRECT("E"&amp;ROW())=0,"",IF(INDIRECT("H"&amp;ROW())=INDIRECT("E"&amp;ROW()),"Active","Expired"))</f>
        <v/>
      </c>
    </row>
    <row r="166" spans="9:10" x14ac:dyDescent="0.2">
      <c r="I166" s="34" t="str" cm="1">
        <f t="array" aca="1" ref="I166" ca="1">IF(ISBLANK(INDIRECT("B"&amp;ROW())), "", INDIRECT("B"&amp;ROW()) &amp; " - " &amp; INDIRECT("J"&amp;ROW()))</f>
        <v/>
      </c>
      <c r="J166" s="34" t="str" cm="1">
        <f t="array" aca="1" ref="J166" ca="1">IF(INDIRECT("E"&amp;ROW())=0,"",IF(INDIRECT("H"&amp;ROW())=INDIRECT("E"&amp;ROW()),"Active","Expired"))</f>
        <v/>
      </c>
    </row>
    <row r="167" spans="9:10" x14ac:dyDescent="0.2">
      <c r="I167" s="34" t="str" cm="1">
        <f t="array" aca="1" ref="I167" ca="1">IF(ISBLANK(INDIRECT("B"&amp;ROW())), "", INDIRECT("B"&amp;ROW()) &amp; " - " &amp; INDIRECT("J"&amp;ROW()))</f>
        <v/>
      </c>
      <c r="J167" s="34" t="str" cm="1">
        <f t="array" aca="1" ref="J167" ca="1">IF(INDIRECT("E"&amp;ROW())=0,"",IF(INDIRECT("H"&amp;ROW())=INDIRECT("E"&amp;ROW()),"Active","Expired"))</f>
        <v/>
      </c>
    </row>
    <row r="168" spans="9:10" x14ac:dyDescent="0.2">
      <c r="I168" s="34" t="str" cm="1">
        <f t="array" aca="1" ref="I168" ca="1">IF(ISBLANK(INDIRECT("B"&amp;ROW())), "", INDIRECT("B"&amp;ROW()) &amp; " - " &amp; INDIRECT("J"&amp;ROW()))</f>
        <v/>
      </c>
      <c r="J168" s="34" t="str" cm="1">
        <f t="array" aca="1" ref="J168" ca="1">IF(INDIRECT("E"&amp;ROW())=0,"",IF(INDIRECT("H"&amp;ROW())=INDIRECT("E"&amp;ROW()),"Active","Expired"))</f>
        <v/>
      </c>
    </row>
    <row r="169" spans="9:10" x14ac:dyDescent="0.2">
      <c r="I169" s="34" t="str" cm="1">
        <f t="array" aca="1" ref="I169" ca="1">IF(ISBLANK(INDIRECT("B"&amp;ROW())), "", INDIRECT("B"&amp;ROW()) &amp; " - " &amp; INDIRECT("J"&amp;ROW()))</f>
        <v/>
      </c>
      <c r="J169" s="34" t="str" cm="1">
        <f t="array" aca="1" ref="J169" ca="1">IF(INDIRECT("E"&amp;ROW())=0,"",IF(INDIRECT("H"&amp;ROW())=INDIRECT("E"&amp;ROW()),"Active","Expired"))</f>
        <v/>
      </c>
    </row>
    <row r="170" spans="9:10" x14ac:dyDescent="0.2">
      <c r="I170" s="34" t="str" cm="1">
        <f t="array" aca="1" ref="I170" ca="1">IF(ISBLANK(INDIRECT("B"&amp;ROW())), "", INDIRECT("B"&amp;ROW()) &amp; " - " &amp; INDIRECT("J"&amp;ROW()))</f>
        <v/>
      </c>
      <c r="J170" s="34" t="str" cm="1">
        <f t="array" aca="1" ref="J170" ca="1">IF(INDIRECT("E"&amp;ROW())=0,"",IF(INDIRECT("H"&amp;ROW())=INDIRECT("E"&amp;ROW()),"Active","Expired"))</f>
        <v/>
      </c>
    </row>
    <row r="171" spans="9:10" x14ac:dyDescent="0.2">
      <c r="I171" s="34" t="str" cm="1">
        <f t="array" aca="1" ref="I171" ca="1">IF(ISBLANK(INDIRECT("B"&amp;ROW())), "", INDIRECT("B"&amp;ROW()) &amp; " - " &amp; INDIRECT("J"&amp;ROW()))</f>
        <v/>
      </c>
      <c r="J171" s="34" t="str" cm="1">
        <f t="array" aca="1" ref="J171" ca="1">IF(INDIRECT("E"&amp;ROW())=0,"",IF(INDIRECT("H"&amp;ROW())=INDIRECT("E"&amp;ROW()),"Active","Expired"))</f>
        <v/>
      </c>
    </row>
    <row r="172" spans="9:10" x14ac:dyDescent="0.2">
      <c r="I172" s="34" t="str" cm="1">
        <f t="array" aca="1" ref="I172" ca="1">IF(ISBLANK(INDIRECT("B"&amp;ROW())), "", INDIRECT("B"&amp;ROW()) &amp; " - " &amp; INDIRECT("J"&amp;ROW()))</f>
        <v/>
      </c>
      <c r="J172" s="34" t="str" cm="1">
        <f t="array" aca="1" ref="J172" ca="1">IF(INDIRECT("E"&amp;ROW())=0,"",IF(INDIRECT("H"&amp;ROW())=INDIRECT("E"&amp;ROW()),"Active","Expired"))</f>
        <v/>
      </c>
    </row>
    <row r="173" spans="9:10" x14ac:dyDescent="0.2">
      <c r="I173" s="34" t="str" cm="1">
        <f t="array" aca="1" ref="I173" ca="1">IF(ISBLANK(INDIRECT("B"&amp;ROW())), "", INDIRECT("B"&amp;ROW()) &amp; " - " &amp; INDIRECT("J"&amp;ROW()))</f>
        <v/>
      </c>
      <c r="J173" s="34" t="str" cm="1">
        <f t="array" aca="1" ref="J173" ca="1">IF(INDIRECT("E"&amp;ROW())=0,"",IF(INDIRECT("H"&amp;ROW())=INDIRECT("E"&amp;ROW()),"Active","Expired"))</f>
        <v/>
      </c>
    </row>
    <row r="174" spans="9:10" x14ac:dyDescent="0.2">
      <c r="I174" s="34" t="str" cm="1">
        <f t="array" aca="1" ref="I174" ca="1">IF(ISBLANK(INDIRECT("B"&amp;ROW())), "", INDIRECT("B"&amp;ROW()) &amp; " - " &amp; INDIRECT("J"&amp;ROW()))</f>
        <v/>
      </c>
      <c r="J174" s="34" t="str" cm="1">
        <f t="array" aca="1" ref="J174" ca="1">IF(INDIRECT("E"&amp;ROW())=0,"",IF(INDIRECT("H"&amp;ROW())=INDIRECT("E"&amp;ROW()),"Active","Expired"))</f>
        <v/>
      </c>
    </row>
    <row r="175" spans="9:10" x14ac:dyDescent="0.2">
      <c r="I175" s="34" t="str" cm="1">
        <f t="array" aca="1" ref="I175" ca="1">IF(ISBLANK(INDIRECT("B"&amp;ROW())), "", INDIRECT("B"&amp;ROW()) &amp; " - " &amp; INDIRECT("J"&amp;ROW()))</f>
        <v/>
      </c>
      <c r="J175" s="34" t="str" cm="1">
        <f t="array" aca="1" ref="J175" ca="1">IF(INDIRECT("E"&amp;ROW())=0,"",IF(INDIRECT("H"&amp;ROW())=INDIRECT("E"&amp;ROW()),"Active","Expired"))</f>
        <v/>
      </c>
    </row>
    <row r="176" spans="9:10" x14ac:dyDescent="0.2">
      <c r="I176" s="34" t="str" cm="1">
        <f t="array" aca="1" ref="I176" ca="1">IF(ISBLANK(INDIRECT("B"&amp;ROW())), "", INDIRECT("B"&amp;ROW()) &amp; " - " &amp; INDIRECT("J"&amp;ROW()))</f>
        <v/>
      </c>
      <c r="J176" s="34" t="str" cm="1">
        <f t="array" aca="1" ref="J176" ca="1">IF(INDIRECT("E"&amp;ROW())=0,"",IF(INDIRECT("H"&amp;ROW())=INDIRECT("E"&amp;ROW()),"Active","Expired"))</f>
        <v/>
      </c>
    </row>
    <row r="177" spans="9:10" x14ac:dyDescent="0.2">
      <c r="I177" s="34" t="str" cm="1">
        <f t="array" aca="1" ref="I177" ca="1">IF(ISBLANK(INDIRECT("B"&amp;ROW())), "", INDIRECT("B"&amp;ROW()) &amp; " - " &amp; INDIRECT("J"&amp;ROW()))</f>
        <v/>
      </c>
      <c r="J177" s="34" t="str" cm="1">
        <f t="array" aca="1" ref="J177" ca="1">IF(INDIRECT("E"&amp;ROW())=0,"",IF(INDIRECT("H"&amp;ROW())=INDIRECT("E"&amp;ROW()),"Active","Expired"))</f>
        <v/>
      </c>
    </row>
    <row r="178" spans="9:10" x14ac:dyDescent="0.2">
      <c r="I178" s="34" t="str" cm="1">
        <f t="array" aca="1" ref="I178" ca="1">IF(ISBLANK(INDIRECT("B"&amp;ROW())), "", INDIRECT("B"&amp;ROW()) &amp; " - " &amp; INDIRECT("J"&amp;ROW()))</f>
        <v/>
      </c>
      <c r="J178" s="34" t="str" cm="1">
        <f t="array" aca="1" ref="J178" ca="1">IF(INDIRECT("E"&amp;ROW())=0,"",IF(INDIRECT("H"&amp;ROW())=INDIRECT("E"&amp;ROW()),"Active","Expired"))</f>
        <v/>
      </c>
    </row>
    <row r="179" spans="9:10" x14ac:dyDescent="0.2">
      <c r="I179" s="34" t="str" cm="1">
        <f t="array" aca="1" ref="I179" ca="1">IF(ISBLANK(INDIRECT("B"&amp;ROW())), "", INDIRECT("B"&amp;ROW()) &amp; " - " &amp; INDIRECT("J"&amp;ROW()))</f>
        <v/>
      </c>
      <c r="J179" s="34" t="str" cm="1">
        <f t="array" aca="1" ref="J179" ca="1">IF(INDIRECT("E"&amp;ROW())=0,"",IF(INDIRECT("H"&amp;ROW())=INDIRECT("E"&amp;ROW()),"Active","Expired"))</f>
        <v/>
      </c>
    </row>
    <row r="180" spans="9:10" x14ac:dyDescent="0.2">
      <c r="I180" s="34" t="str" cm="1">
        <f t="array" aca="1" ref="I180" ca="1">IF(ISBLANK(INDIRECT("B"&amp;ROW())), "", INDIRECT("B"&amp;ROW()) &amp; " - " &amp; INDIRECT("J"&amp;ROW()))</f>
        <v/>
      </c>
      <c r="J180" s="34" t="str" cm="1">
        <f t="array" aca="1" ref="J180" ca="1">IF(INDIRECT("E"&amp;ROW())=0,"",IF(INDIRECT("H"&amp;ROW())=INDIRECT("E"&amp;ROW()),"Active","Expired"))</f>
        <v/>
      </c>
    </row>
    <row r="181" spans="9:10" x14ac:dyDescent="0.2">
      <c r="I181" s="34" t="str" cm="1">
        <f t="array" aca="1" ref="I181" ca="1">IF(ISBLANK(INDIRECT("B"&amp;ROW())), "", INDIRECT("B"&amp;ROW()) &amp; " - " &amp; INDIRECT("J"&amp;ROW()))</f>
        <v/>
      </c>
      <c r="J181" s="34" t="str" cm="1">
        <f t="array" aca="1" ref="J181" ca="1">IF(INDIRECT("E"&amp;ROW())=0,"",IF(INDIRECT("H"&amp;ROW())=INDIRECT("E"&amp;ROW()),"Active","Expired"))</f>
        <v/>
      </c>
    </row>
    <row r="182" spans="9:10" x14ac:dyDescent="0.2">
      <c r="I182" s="34" t="str" cm="1">
        <f t="array" aca="1" ref="I182" ca="1">IF(ISBLANK(INDIRECT("B"&amp;ROW())), "", INDIRECT("B"&amp;ROW()) &amp; " - " &amp; INDIRECT("J"&amp;ROW()))</f>
        <v/>
      </c>
      <c r="J182" s="34" t="str" cm="1">
        <f t="array" aca="1" ref="J182" ca="1">IF(INDIRECT("E"&amp;ROW())=0,"",IF(INDIRECT("H"&amp;ROW())=INDIRECT("E"&amp;ROW()),"Active","Expired"))</f>
        <v/>
      </c>
    </row>
    <row r="183" spans="9:10" x14ac:dyDescent="0.2">
      <c r="I183" s="34" t="str" cm="1">
        <f t="array" aca="1" ref="I183" ca="1">IF(ISBLANK(INDIRECT("B"&amp;ROW())), "", INDIRECT("B"&amp;ROW()) &amp; " - " &amp; INDIRECT("J"&amp;ROW()))</f>
        <v/>
      </c>
      <c r="J183" s="34" t="str" cm="1">
        <f t="array" aca="1" ref="J183" ca="1">IF(INDIRECT("E"&amp;ROW())=0,"",IF(INDIRECT("H"&amp;ROW())=INDIRECT("E"&amp;ROW()),"Active","Expired"))</f>
        <v/>
      </c>
    </row>
    <row r="184" spans="9:10" x14ac:dyDescent="0.2">
      <c r="I184" s="34" t="str" cm="1">
        <f t="array" aca="1" ref="I184" ca="1">IF(ISBLANK(INDIRECT("B"&amp;ROW())), "", INDIRECT("B"&amp;ROW()) &amp; " - " &amp; INDIRECT("J"&amp;ROW()))</f>
        <v/>
      </c>
      <c r="J184" s="34" t="str" cm="1">
        <f t="array" aca="1" ref="J184" ca="1">IF(INDIRECT("E"&amp;ROW())=0,"",IF(INDIRECT("H"&amp;ROW())=INDIRECT("E"&amp;ROW()),"Active","Expired"))</f>
        <v/>
      </c>
    </row>
    <row r="185" spans="9:10" x14ac:dyDescent="0.2">
      <c r="I185" s="34" t="str" cm="1">
        <f t="array" aca="1" ref="I185" ca="1">IF(ISBLANK(INDIRECT("B"&amp;ROW())), "", INDIRECT("B"&amp;ROW()) &amp; " - " &amp; INDIRECT("J"&amp;ROW()))</f>
        <v/>
      </c>
      <c r="J185" s="34" t="str" cm="1">
        <f t="array" aca="1" ref="J185" ca="1">IF(INDIRECT("E"&amp;ROW())=0,"",IF(INDIRECT("H"&amp;ROW())=INDIRECT("E"&amp;ROW()),"Active","Expired"))</f>
        <v/>
      </c>
    </row>
    <row r="186" spans="9:10" x14ac:dyDescent="0.2">
      <c r="I186" s="34" t="str" cm="1">
        <f t="array" aca="1" ref="I186" ca="1">IF(ISBLANK(INDIRECT("B"&amp;ROW())), "", INDIRECT("B"&amp;ROW()) &amp; " - " &amp; INDIRECT("J"&amp;ROW()))</f>
        <v/>
      </c>
      <c r="J186" s="34" t="str" cm="1">
        <f t="array" aca="1" ref="J186" ca="1">IF(INDIRECT("E"&amp;ROW())=0,"",IF(INDIRECT("H"&amp;ROW())=INDIRECT("E"&amp;ROW()),"Active","Expired"))</f>
        <v/>
      </c>
    </row>
    <row r="187" spans="9:10" x14ac:dyDescent="0.2">
      <c r="I187" s="34" t="str" cm="1">
        <f t="array" aca="1" ref="I187" ca="1">IF(ISBLANK(INDIRECT("B"&amp;ROW())), "", INDIRECT("B"&amp;ROW()) &amp; " - " &amp; INDIRECT("J"&amp;ROW()))</f>
        <v/>
      </c>
      <c r="J187" s="34" t="str" cm="1">
        <f t="array" aca="1" ref="J187" ca="1">IF(INDIRECT("E"&amp;ROW())=0,"",IF(INDIRECT("H"&amp;ROW())=INDIRECT("E"&amp;ROW()),"Active","Expired"))</f>
        <v/>
      </c>
    </row>
    <row r="188" spans="9:10" x14ac:dyDescent="0.2">
      <c r="I188" s="34" t="str" cm="1">
        <f t="array" aca="1" ref="I188" ca="1">IF(ISBLANK(INDIRECT("B"&amp;ROW())), "", INDIRECT("B"&amp;ROW()) &amp; " - " &amp; INDIRECT("J"&amp;ROW()))</f>
        <v/>
      </c>
      <c r="J188" s="34" t="str" cm="1">
        <f t="array" aca="1" ref="J188" ca="1">IF(INDIRECT("E"&amp;ROW())=0,"",IF(INDIRECT("H"&amp;ROW())=INDIRECT("E"&amp;ROW()),"Active","Expired"))</f>
        <v/>
      </c>
    </row>
    <row r="189" spans="9:10" x14ac:dyDescent="0.2">
      <c r="I189" s="34" t="str" cm="1">
        <f t="array" aca="1" ref="I189" ca="1">IF(ISBLANK(INDIRECT("B"&amp;ROW())), "", INDIRECT("B"&amp;ROW()) &amp; " - " &amp; INDIRECT("J"&amp;ROW()))</f>
        <v/>
      </c>
      <c r="J189" s="34" t="str" cm="1">
        <f t="array" aca="1" ref="J189" ca="1">IF(INDIRECT("E"&amp;ROW())=0,"",IF(INDIRECT("H"&amp;ROW())=INDIRECT("E"&amp;ROW()),"Active","Expired"))</f>
        <v/>
      </c>
    </row>
    <row r="190" spans="9:10" x14ac:dyDescent="0.2">
      <c r="I190" s="34" t="str" cm="1">
        <f t="array" aca="1" ref="I190" ca="1">IF(ISBLANK(INDIRECT("B"&amp;ROW())), "", INDIRECT("B"&amp;ROW()) &amp; " - " &amp; INDIRECT("J"&amp;ROW()))</f>
        <v/>
      </c>
      <c r="J190" s="34" t="str" cm="1">
        <f t="array" aca="1" ref="J190" ca="1">IF(INDIRECT("E"&amp;ROW())=0,"",IF(INDIRECT("H"&amp;ROW())=INDIRECT("E"&amp;ROW()),"Active","Expired"))</f>
        <v/>
      </c>
    </row>
    <row r="191" spans="9:10" x14ac:dyDescent="0.2">
      <c r="I191" s="34" t="str" cm="1">
        <f t="array" aca="1" ref="I191" ca="1">IF(ISBLANK(INDIRECT("B"&amp;ROW())), "", INDIRECT("B"&amp;ROW()) &amp; " - " &amp; INDIRECT("J"&amp;ROW()))</f>
        <v/>
      </c>
      <c r="J191" s="34" t="str" cm="1">
        <f t="array" aca="1" ref="J191" ca="1">IF(INDIRECT("E"&amp;ROW())=0,"",IF(INDIRECT("H"&amp;ROW())=INDIRECT("E"&amp;ROW()),"Active","Expired"))</f>
        <v/>
      </c>
    </row>
    <row r="192" spans="9:10" x14ac:dyDescent="0.2">
      <c r="I192" s="34" t="str" cm="1">
        <f t="array" aca="1" ref="I192" ca="1">IF(ISBLANK(INDIRECT("B"&amp;ROW())), "", INDIRECT("B"&amp;ROW()) &amp; " - " &amp; INDIRECT("J"&amp;ROW()))</f>
        <v/>
      </c>
      <c r="J192" s="34" t="str" cm="1">
        <f t="array" aca="1" ref="J192" ca="1">IF(INDIRECT("E"&amp;ROW())=0,"",IF(INDIRECT("H"&amp;ROW())=INDIRECT("E"&amp;ROW()),"Active","Expired"))</f>
        <v/>
      </c>
    </row>
    <row r="193" spans="9:10" x14ac:dyDescent="0.2">
      <c r="I193" s="34" t="str" cm="1">
        <f t="array" aca="1" ref="I193" ca="1">IF(ISBLANK(INDIRECT("B"&amp;ROW())), "", INDIRECT("B"&amp;ROW()) &amp; " - " &amp; INDIRECT("J"&amp;ROW()))</f>
        <v/>
      </c>
      <c r="J193" s="34" t="str" cm="1">
        <f t="array" aca="1" ref="J193" ca="1">IF(INDIRECT("E"&amp;ROW())=0,"",IF(INDIRECT("H"&amp;ROW())=INDIRECT("E"&amp;ROW()),"Active","Expired"))</f>
        <v/>
      </c>
    </row>
    <row r="194" spans="9:10" x14ac:dyDescent="0.2">
      <c r="I194" s="34" t="str" cm="1">
        <f t="array" aca="1" ref="I194" ca="1">IF(ISBLANK(INDIRECT("B"&amp;ROW())), "", INDIRECT("B"&amp;ROW()) &amp; " - " &amp; INDIRECT("J"&amp;ROW()))</f>
        <v/>
      </c>
      <c r="J194" s="34" t="str" cm="1">
        <f t="array" aca="1" ref="J194" ca="1">IF(INDIRECT("E"&amp;ROW())=0,"",IF(INDIRECT("H"&amp;ROW())=INDIRECT("E"&amp;ROW()),"Active","Expired"))</f>
        <v/>
      </c>
    </row>
    <row r="195" spans="9:10" x14ac:dyDescent="0.2">
      <c r="I195" s="34" t="str" cm="1">
        <f t="array" aca="1" ref="I195" ca="1">IF(ISBLANK(INDIRECT("B"&amp;ROW())), "", INDIRECT("B"&amp;ROW()) &amp; " - " &amp; INDIRECT("J"&amp;ROW()))</f>
        <v/>
      </c>
      <c r="J195" s="34" t="str" cm="1">
        <f t="array" aca="1" ref="J195" ca="1">IF(INDIRECT("E"&amp;ROW())=0,"",IF(INDIRECT("H"&amp;ROW())=INDIRECT("E"&amp;ROW()),"Active","Expired"))</f>
        <v/>
      </c>
    </row>
    <row r="196" spans="9:10" x14ac:dyDescent="0.2">
      <c r="I196" s="34" t="str" cm="1">
        <f t="array" aca="1" ref="I196" ca="1">IF(ISBLANK(INDIRECT("B"&amp;ROW())), "", INDIRECT("B"&amp;ROW()) &amp; " - " &amp; INDIRECT("J"&amp;ROW()))</f>
        <v/>
      </c>
      <c r="J196" s="34" t="str" cm="1">
        <f t="array" aca="1" ref="J196" ca="1">IF(INDIRECT("E"&amp;ROW())=0,"",IF(INDIRECT("H"&amp;ROW())=INDIRECT("E"&amp;ROW()),"Active","Expired"))</f>
        <v/>
      </c>
    </row>
    <row r="197" spans="9:10" x14ac:dyDescent="0.2">
      <c r="I197" s="34" t="str" cm="1">
        <f t="array" aca="1" ref="I197" ca="1">IF(ISBLANK(INDIRECT("B"&amp;ROW())), "", INDIRECT("B"&amp;ROW()) &amp; " - " &amp; INDIRECT("J"&amp;ROW()))</f>
        <v/>
      </c>
      <c r="J197" s="34" t="str" cm="1">
        <f t="array" aca="1" ref="J197" ca="1">IF(INDIRECT("E"&amp;ROW())=0,"",IF(INDIRECT("H"&amp;ROW())=INDIRECT("E"&amp;ROW()),"Active","Expired"))</f>
        <v/>
      </c>
    </row>
    <row r="198" spans="9:10" x14ac:dyDescent="0.2">
      <c r="I198" s="34" t="str" cm="1">
        <f t="array" aca="1" ref="I198" ca="1">IF(ISBLANK(INDIRECT("B"&amp;ROW())), "", INDIRECT("B"&amp;ROW()) &amp; " - " &amp; INDIRECT("J"&amp;ROW()))</f>
        <v/>
      </c>
      <c r="J198" s="34" t="str" cm="1">
        <f t="array" aca="1" ref="J198" ca="1">IF(INDIRECT("E"&amp;ROW())=0,"",IF(INDIRECT("H"&amp;ROW())=INDIRECT("E"&amp;ROW()),"Active","Expired"))</f>
        <v/>
      </c>
    </row>
    <row r="199" spans="9:10" x14ac:dyDescent="0.2">
      <c r="I199" s="34" t="str" cm="1">
        <f t="array" aca="1" ref="I199" ca="1">IF(ISBLANK(INDIRECT("B"&amp;ROW())), "", INDIRECT("B"&amp;ROW()) &amp; " - " &amp; INDIRECT("J"&amp;ROW()))</f>
        <v/>
      </c>
      <c r="J199" s="34" t="str" cm="1">
        <f t="array" aca="1" ref="J199" ca="1">IF(INDIRECT("E"&amp;ROW())=0,"",IF(INDIRECT("H"&amp;ROW())=INDIRECT("E"&amp;ROW()),"Active","Expired"))</f>
        <v/>
      </c>
    </row>
    <row r="200" spans="9:10" x14ac:dyDescent="0.2">
      <c r="I200" s="34" t="str" cm="1">
        <f t="array" aca="1" ref="I200" ca="1">IF(ISBLANK(INDIRECT("B"&amp;ROW())), "", INDIRECT("B"&amp;ROW()) &amp; " - " &amp; INDIRECT("J"&amp;ROW()))</f>
        <v/>
      </c>
      <c r="J200" s="34" t="str" cm="1">
        <f t="array" aca="1" ref="J200" ca="1">IF(INDIRECT("E"&amp;ROW())=0,"",IF(INDIRECT("H"&amp;ROW())=INDIRECT("E"&amp;ROW()),"Active","Expired"))</f>
        <v/>
      </c>
    </row>
    <row r="201" spans="9:10" x14ac:dyDescent="0.2">
      <c r="I201" s="34" t="str" cm="1">
        <f t="array" aca="1" ref="I201" ca="1">IF(ISBLANK(INDIRECT("B"&amp;ROW())), "", INDIRECT("B"&amp;ROW()) &amp; " - " &amp; INDIRECT("J"&amp;ROW()))</f>
        <v/>
      </c>
      <c r="J201" s="34" t="str" cm="1">
        <f t="array" aca="1" ref="J201" ca="1">IF(INDIRECT("E"&amp;ROW())=0,"",IF(INDIRECT("H"&amp;ROW())=INDIRECT("E"&amp;ROW()),"Active","Expired"))</f>
        <v/>
      </c>
    </row>
    <row r="202" spans="9:10" x14ac:dyDescent="0.2">
      <c r="I202" s="34" t="str" cm="1">
        <f t="array" aca="1" ref="I202" ca="1">IF(ISBLANK(INDIRECT("B"&amp;ROW())), "", INDIRECT("B"&amp;ROW()) &amp; " - " &amp; INDIRECT("J"&amp;ROW()))</f>
        <v/>
      </c>
      <c r="J202" s="34" t="str" cm="1">
        <f t="array" aca="1" ref="J202" ca="1">IF(INDIRECT("E"&amp;ROW())=0,"",IF(INDIRECT("H"&amp;ROW())=INDIRECT("E"&amp;ROW()),"Active","Expired"))</f>
        <v/>
      </c>
    </row>
    <row r="203" spans="9:10" x14ac:dyDescent="0.2">
      <c r="I203" s="34" t="str" cm="1">
        <f t="array" aca="1" ref="I203" ca="1">IF(ISBLANK(INDIRECT("B"&amp;ROW())), "", INDIRECT("B"&amp;ROW()) &amp; " - " &amp; INDIRECT("J"&amp;ROW()))</f>
        <v/>
      </c>
      <c r="J203" s="34" t="str" cm="1">
        <f t="array" aca="1" ref="J203" ca="1">IF(INDIRECT("E"&amp;ROW())=0,"",IF(INDIRECT("H"&amp;ROW())=INDIRECT("E"&amp;ROW()),"Active","Expired"))</f>
        <v/>
      </c>
    </row>
    <row r="204" spans="9:10" x14ac:dyDescent="0.2">
      <c r="I204" s="34" t="str" cm="1">
        <f t="array" aca="1" ref="I204" ca="1">IF(ISBLANK(INDIRECT("B"&amp;ROW())), "", INDIRECT("B"&amp;ROW()) &amp; " - " &amp; INDIRECT("J"&amp;ROW()))</f>
        <v/>
      </c>
      <c r="J204" s="34" t="str" cm="1">
        <f t="array" aca="1" ref="J204" ca="1">IF(INDIRECT("E"&amp;ROW())=0,"",IF(INDIRECT("H"&amp;ROW())=INDIRECT("E"&amp;ROW()),"Active","Expired"))</f>
        <v/>
      </c>
    </row>
    <row r="205" spans="9:10" x14ac:dyDescent="0.2">
      <c r="I205" s="34" t="str" cm="1">
        <f t="array" aca="1" ref="I205" ca="1">IF(ISBLANK(INDIRECT("B"&amp;ROW())), "", INDIRECT("B"&amp;ROW()) &amp; " - " &amp; INDIRECT("J"&amp;ROW()))</f>
        <v/>
      </c>
      <c r="J205" s="34" t="str" cm="1">
        <f t="array" aca="1" ref="J205" ca="1">IF(INDIRECT("E"&amp;ROW())=0,"",IF(INDIRECT("H"&amp;ROW())=INDIRECT("E"&amp;ROW()),"Active","Expired"))</f>
        <v/>
      </c>
    </row>
    <row r="206" spans="9:10" x14ac:dyDescent="0.2">
      <c r="I206" s="34" t="str" cm="1">
        <f t="array" aca="1" ref="I206" ca="1">IF(ISBLANK(INDIRECT("B"&amp;ROW())), "", INDIRECT("B"&amp;ROW()) &amp; " - " &amp; INDIRECT("J"&amp;ROW()))</f>
        <v/>
      </c>
      <c r="J206" s="34" t="str" cm="1">
        <f t="array" aca="1" ref="J206" ca="1">IF(INDIRECT("E"&amp;ROW())=0,"",IF(INDIRECT("H"&amp;ROW())=INDIRECT("E"&amp;ROW()),"Active","Expired"))</f>
        <v/>
      </c>
    </row>
    <row r="207" spans="9:10" x14ac:dyDescent="0.2">
      <c r="I207" s="34" t="str" cm="1">
        <f t="array" aca="1" ref="I207" ca="1">IF(ISBLANK(INDIRECT("B"&amp;ROW())), "", INDIRECT("B"&amp;ROW()) &amp; " - " &amp; INDIRECT("J"&amp;ROW()))</f>
        <v/>
      </c>
      <c r="J207" s="34" t="str" cm="1">
        <f t="array" aca="1" ref="J207" ca="1">IF(INDIRECT("E"&amp;ROW())=0,"",IF(INDIRECT("H"&amp;ROW())=INDIRECT("E"&amp;ROW()),"Active","Expired"))</f>
        <v/>
      </c>
    </row>
    <row r="208" spans="9:10" x14ac:dyDescent="0.2">
      <c r="I208" s="34" t="str" cm="1">
        <f t="array" aca="1" ref="I208" ca="1">IF(ISBLANK(INDIRECT("B"&amp;ROW())), "", INDIRECT("B"&amp;ROW()) &amp; " - " &amp; INDIRECT("J"&amp;ROW()))</f>
        <v/>
      </c>
      <c r="J208" s="34" t="str" cm="1">
        <f t="array" aca="1" ref="J208" ca="1">IF(INDIRECT("E"&amp;ROW())=0,"",IF(INDIRECT("H"&amp;ROW())=INDIRECT("E"&amp;ROW()),"Active","Expired"))</f>
        <v/>
      </c>
    </row>
    <row r="209" spans="9:10" x14ac:dyDescent="0.2">
      <c r="I209" s="34" t="str" cm="1">
        <f t="array" aca="1" ref="I209" ca="1">IF(ISBLANK(INDIRECT("B"&amp;ROW())), "", INDIRECT("B"&amp;ROW()) &amp; " - " &amp; INDIRECT("J"&amp;ROW()))</f>
        <v/>
      </c>
      <c r="J209" s="34" t="str" cm="1">
        <f t="array" aca="1" ref="J209" ca="1">IF(INDIRECT("E"&amp;ROW())=0,"",IF(INDIRECT("H"&amp;ROW())=INDIRECT("E"&amp;ROW()),"Active","Expired"))</f>
        <v/>
      </c>
    </row>
    <row r="210" spans="9:10" x14ac:dyDescent="0.2">
      <c r="I210" s="34" t="str" cm="1">
        <f t="array" aca="1" ref="I210" ca="1">IF(ISBLANK(INDIRECT("B"&amp;ROW())), "", INDIRECT("B"&amp;ROW()) &amp; " - " &amp; INDIRECT("J"&amp;ROW()))</f>
        <v/>
      </c>
      <c r="J210" s="34" t="str" cm="1">
        <f t="array" aca="1" ref="J210" ca="1">IF(INDIRECT("E"&amp;ROW())=0,"",IF(INDIRECT("H"&amp;ROW())=INDIRECT("E"&amp;ROW()),"Active","Expired"))</f>
        <v/>
      </c>
    </row>
    <row r="211" spans="9:10" x14ac:dyDescent="0.2">
      <c r="I211" s="34" t="str" cm="1">
        <f t="array" aca="1" ref="I211" ca="1">IF(ISBLANK(INDIRECT("B"&amp;ROW())), "", INDIRECT("B"&amp;ROW()) &amp; " - " &amp; INDIRECT("J"&amp;ROW()))</f>
        <v/>
      </c>
      <c r="J211" s="34" t="str" cm="1">
        <f t="array" aca="1" ref="J211" ca="1">IF(INDIRECT("E"&amp;ROW())=0,"",IF(INDIRECT("H"&amp;ROW())=INDIRECT("E"&amp;ROW()),"Active","Expired"))</f>
        <v/>
      </c>
    </row>
    <row r="212" spans="9:10" x14ac:dyDescent="0.2">
      <c r="I212" s="34" t="str" cm="1">
        <f t="array" aca="1" ref="I212" ca="1">IF(ISBLANK(INDIRECT("B"&amp;ROW())), "", INDIRECT("B"&amp;ROW()) &amp; " - " &amp; INDIRECT("J"&amp;ROW()))</f>
        <v/>
      </c>
      <c r="J212" s="34" t="str" cm="1">
        <f t="array" aca="1" ref="J212" ca="1">IF(INDIRECT("E"&amp;ROW())=0,"",IF(INDIRECT("H"&amp;ROW())=INDIRECT("E"&amp;ROW()),"Active","Expired"))</f>
        <v/>
      </c>
    </row>
    <row r="213" spans="9:10" x14ac:dyDescent="0.2">
      <c r="I213" s="34" t="str" cm="1">
        <f t="array" aca="1" ref="I213" ca="1">IF(ISBLANK(INDIRECT("B"&amp;ROW())), "", INDIRECT("B"&amp;ROW()) &amp; " - " &amp; INDIRECT("J"&amp;ROW()))</f>
        <v/>
      </c>
      <c r="J213" s="34" t="str" cm="1">
        <f t="array" aca="1" ref="J213" ca="1">IF(INDIRECT("E"&amp;ROW())=0,"",IF(INDIRECT("H"&amp;ROW())=INDIRECT("E"&amp;ROW()),"Active","Expired"))</f>
        <v/>
      </c>
    </row>
    <row r="214" spans="9:10" x14ac:dyDescent="0.2">
      <c r="I214" s="34" t="str" cm="1">
        <f t="array" aca="1" ref="I214" ca="1">IF(ISBLANK(INDIRECT("B"&amp;ROW())), "", INDIRECT("B"&amp;ROW()) &amp; " - " &amp; INDIRECT("J"&amp;ROW()))</f>
        <v/>
      </c>
      <c r="J214" s="34" t="str" cm="1">
        <f t="array" aca="1" ref="J214" ca="1">IF(INDIRECT("E"&amp;ROW())=0,"",IF(INDIRECT("H"&amp;ROW())=INDIRECT("E"&amp;ROW()),"Active","Expired"))</f>
        <v/>
      </c>
    </row>
    <row r="215" spans="9:10" x14ac:dyDescent="0.2">
      <c r="I215" s="34" t="str" cm="1">
        <f t="array" aca="1" ref="I215" ca="1">IF(ISBLANK(INDIRECT("B"&amp;ROW())), "", INDIRECT("B"&amp;ROW()) &amp; " - " &amp; INDIRECT("J"&amp;ROW()))</f>
        <v/>
      </c>
      <c r="J215" s="34" t="str" cm="1">
        <f t="array" aca="1" ref="J215" ca="1">IF(INDIRECT("E"&amp;ROW())=0,"",IF(INDIRECT("H"&amp;ROW())=INDIRECT("E"&amp;ROW()),"Active","Expired"))</f>
        <v/>
      </c>
    </row>
    <row r="216" spans="9:10" x14ac:dyDescent="0.2">
      <c r="I216" s="34" t="str" cm="1">
        <f t="array" aca="1" ref="I216" ca="1">IF(ISBLANK(INDIRECT("B"&amp;ROW())), "", INDIRECT("B"&amp;ROW()) &amp; " - " &amp; INDIRECT("J"&amp;ROW()))</f>
        <v/>
      </c>
      <c r="J216" s="34" t="str" cm="1">
        <f t="array" aca="1" ref="J216" ca="1">IF(INDIRECT("E"&amp;ROW())=0,"",IF(INDIRECT("H"&amp;ROW())=INDIRECT("E"&amp;ROW()),"Active","Expired"))</f>
        <v/>
      </c>
    </row>
    <row r="217" spans="9:10" x14ac:dyDescent="0.2">
      <c r="I217" s="34" t="str" cm="1">
        <f t="array" aca="1" ref="I217" ca="1">IF(ISBLANK(INDIRECT("B"&amp;ROW())), "", INDIRECT("B"&amp;ROW()) &amp; " - " &amp; INDIRECT("J"&amp;ROW()))</f>
        <v/>
      </c>
      <c r="J217" s="34" t="str" cm="1">
        <f t="array" aca="1" ref="J217" ca="1">IF(INDIRECT("E"&amp;ROW())=0,"",IF(INDIRECT("H"&amp;ROW())=INDIRECT("E"&amp;ROW()),"Active","Expired"))</f>
        <v/>
      </c>
    </row>
    <row r="218" spans="9:10" x14ac:dyDescent="0.2">
      <c r="I218" s="34" t="str" cm="1">
        <f t="array" aca="1" ref="I218" ca="1">IF(ISBLANK(INDIRECT("B"&amp;ROW())), "", INDIRECT("B"&amp;ROW()) &amp; " - " &amp; INDIRECT("J"&amp;ROW()))</f>
        <v/>
      </c>
      <c r="J218" s="34" t="str" cm="1">
        <f t="array" aca="1" ref="J218" ca="1">IF(INDIRECT("E"&amp;ROW())=0,"",IF(INDIRECT("H"&amp;ROW())=INDIRECT("E"&amp;ROW()),"Active","Expired"))</f>
        <v/>
      </c>
    </row>
    <row r="219" spans="9:10" x14ac:dyDescent="0.2">
      <c r="I219" s="34" t="str" cm="1">
        <f t="array" aca="1" ref="I219" ca="1">IF(ISBLANK(INDIRECT("B"&amp;ROW())), "", INDIRECT("B"&amp;ROW()) &amp; " - " &amp; INDIRECT("J"&amp;ROW()))</f>
        <v/>
      </c>
      <c r="J219" s="34" t="str" cm="1">
        <f t="array" aca="1" ref="J219" ca="1">IF(INDIRECT("E"&amp;ROW())=0,"",IF(INDIRECT("H"&amp;ROW())=INDIRECT("E"&amp;ROW()),"Active","Expired"))</f>
        <v/>
      </c>
    </row>
    <row r="220" spans="9:10" x14ac:dyDescent="0.2">
      <c r="I220" s="34" t="str" cm="1">
        <f t="array" aca="1" ref="I220" ca="1">IF(ISBLANK(INDIRECT("B"&amp;ROW())), "", INDIRECT("B"&amp;ROW()) &amp; " - " &amp; INDIRECT("J"&amp;ROW()))</f>
        <v/>
      </c>
      <c r="J220" s="34" t="str" cm="1">
        <f t="array" aca="1" ref="J220" ca="1">IF(INDIRECT("E"&amp;ROW())=0,"",IF(INDIRECT("H"&amp;ROW())=INDIRECT("E"&amp;ROW()),"Active","Expired"))</f>
        <v/>
      </c>
    </row>
    <row r="221" spans="9:10" x14ac:dyDescent="0.2">
      <c r="I221" s="34" t="str" cm="1">
        <f t="array" aca="1" ref="I221" ca="1">IF(ISBLANK(INDIRECT("B"&amp;ROW())), "", INDIRECT("B"&amp;ROW()) &amp; " - " &amp; INDIRECT("J"&amp;ROW()))</f>
        <v/>
      </c>
      <c r="J221" s="34" t="str" cm="1">
        <f t="array" aca="1" ref="J221" ca="1">IF(INDIRECT("E"&amp;ROW())=0,"",IF(INDIRECT("H"&amp;ROW())=INDIRECT("E"&amp;ROW()),"Active","Expired"))</f>
        <v/>
      </c>
    </row>
    <row r="222" spans="9:10" x14ac:dyDescent="0.2">
      <c r="I222" s="34" t="str" cm="1">
        <f t="array" aca="1" ref="I222" ca="1">IF(ISBLANK(INDIRECT("B"&amp;ROW())), "", INDIRECT("B"&amp;ROW()) &amp; " - " &amp; INDIRECT("J"&amp;ROW()))</f>
        <v/>
      </c>
      <c r="J222" s="34" t="str" cm="1">
        <f t="array" aca="1" ref="J222" ca="1">IF(INDIRECT("E"&amp;ROW())=0,"",IF(INDIRECT("H"&amp;ROW())=INDIRECT("E"&amp;ROW()),"Active","Expired"))</f>
        <v/>
      </c>
    </row>
    <row r="223" spans="9:10" x14ac:dyDescent="0.2">
      <c r="I223" s="34" t="str" cm="1">
        <f t="array" aca="1" ref="I223" ca="1">IF(ISBLANK(INDIRECT("B"&amp;ROW())), "", INDIRECT("B"&amp;ROW()) &amp; " - " &amp; INDIRECT("J"&amp;ROW()))</f>
        <v/>
      </c>
      <c r="J223" s="34" t="str" cm="1">
        <f t="array" aca="1" ref="J223" ca="1">IF(INDIRECT("E"&amp;ROW())=0,"",IF(INDIRECT("H"&amp;ROW())=INDIRECT("E"&amp;ROW()),"Active","Expired"))</f>
        <v/>
      </c>
    </row>
    <row r="224" spans="9:10" x14ac:dyDescent="0.2">
      <c r="I224" s="34" t="str" cm="1">
        <f t="array" aca="1" ref="I224" ca="1">IF(ISBLANK(INDIRECT("B"&amp;ROW())), "", INDIRECT("B"&amp;ROW()) &amp; " - " &amp; INDIRECT("J"&amp;ROW()))</f>
        <v/>
      </c>
      <c r="J224" s="34" t="str" cm="1">
        <f t="array" aca="1" ref="J224" ca="1">IF(INDIRECT("E"&amp;ROW())=0,"",IF(INDIRECT("H"&amp;ROW())=INDIRECT("E"&amp;ROW()),"Active","Expired"))</f>
        <v/>
      </c>
    </row>
    <row r="225" spans="9:10" x14ac:dyDescent="0.2">
      <c r="I225" s="34" t="str" cm="1">
        <f t="array" aca="1" ref="I225" ca="1">IF(ISBLANK(INDIRECT("B"&amp;ROW())), "", INDIRECT("B"&amp;ROW()) &amp; " - " &amp; INDIRECT("J"&amp;ROW()))</f>
        <v/>
      </c>
      <c r="J225" s="34" t="str" cm="1">
        <f t="array" aca="1" ref="J225" ca="1">IF(INDIRECT("E"&amp;ROW())=0,"",IF(INDIRECT("H"&amp;ROW())=INDIRECT("E"&amp;ROW()),"Active","Expired"))</f>
        <v/>
      </c>
    </row>
    <row r="226" spans="9:10" x14ac:dyDescent="0.2">
      <c r="I226" s="34" t="str" cm="1">
        <f t="array" aca="1" ref="I226" ca="1">IF(ISBLANK(INDIRECT("B"&amp;ROW())), "", INDIRECT("B"&amp;ROW()) &amp; " - " &amp; INDIRECT("J"&amp;ROW()))</f>
        <v/>
      </c>
      <c r="J226" s="34" t="str" cm="1">
        <f t="array" aca="1" ref="J226" ca="1">IF(INDIRECT("E"&amp;ROW())=0,"",IF(INDIRECT("H"&amp;ROW())=INDIRECT("E"&amp;ROW()),"Active","Expired"))</f>
        <v/>
      </c>
    </row>
    <row r="227" spans="9:10" x14ac:dyDescent="0.2">
      <c r="I227" s="34" t="str" cm="1">
        <f t="array" aca="1" ref="I227" ca="1">IF(ISBLANK(INDIRECT("B"&amp;ROW())), "", INDIRECT("B"&amp;ROW()) &amp; " - " &amp; INDIRECT("J"&amp;ROW()))</f>
        <v/>
      </c>
      <c r="J227" s="34" t="str" cm="1">
        <f t="array" aca="1" ref="J227" ca="1">IF(INDIRECT("E"&amp;ROW())=0,"",IF(INDIRECT("H"&amp;ROW())=INDIRECT("E"&amp;ROW()),"Active","Expired"))</f>
        <v/>
      </c>
    </row>
    <row r="228" spans="9:10" x14ac:dyDescent="0.2">
      <c r="I228" s="34" t="str" cm="1">
        <f t="array" aca="1" ref="I228" ca="1">IF(ISBLANK(INDIRECT("B"&amp;ROW())), "", INDIRECT("B"&amp;ROW()) &amp; " - " &amp; INDIRECT("J"&amp;ROW()))</f>
        <v/>
      </c>
      <c r="J228" s="34" t="str" cm="1">
        <f t="array" aca="1" ref="J228" ca="1">IF(INDIRECT("E"&amp;ROW())=0,"",IF(INDIRECT("H"&amp;ROW())=INDIRECT("E"&amp;ROW()),"Active","Expired"))</f>
        <v/>
      </c>
    </row>
    <row r="229" spans="9:10" x14ac:dyDescent="0.2">
      <c r="I229" s="34" t="str" cm="1">
        <f t="array" aca="1" ref="I229" ca="1">IF(ISBLANK(INDIRECT("B"&amp;ROW())), "", INDIRECT("B"&amp;ROW()) &amp; " - " &amp; INDIRECT("J"&amp;ROW()))</f>
        <v/>
      </c>
      <c r="J229" s="34" t="str" cm="1">
        <f t="array" aca="1" ref="J229" ca="1">IF(INDIRECT("E"&amp;ROW())=0,"",IF(INDIRECT("H"&amp;ROW())=INDIRECT("E"&amp;ROW()),"Active","Expired"))</f>
        <v/>
      </c>
    </row>
    <row r="230" spans="9:10" x14ac:dyDescent="0.2">
      <c r="I230" s="34" t="str" cm="1">
        <f t="array" aca="1" ref="I230" ca="1">IF(ISBLANK(INDIRECT("B"&amp;ROW())), "", INDIRECT("B"&amp;ROW()) &amp; " - " &amp; INDIRECT("J"&amp;ROW()))</f>
        <v/>
      </c>
      <c r="J230" s="34" t="str" cm="1">
        <f t="array" aca="1" ref="J230" ca="1">IF(INDIRECT("E"&amp;ROW())=0,"",IF(INDIRECT("H"&amp;ROW())=INDIRECT("E"&amp;ROW()),"Active","Expired"))</f>
        <v/>
      </c>
    </row>
    <row r="231" spans="9:10" x14ac:dyDescent="0.2">
      <c r="I231" s="34" t="str" cm="1">
        <f t="array" aca="1" ref="I231" ca="1">IF(ISBLANK(INDIRECT("B"&amp;ROW())), "", INDIRECT("B"&amp;ROW()) &amp; " - " &amp; INDIRECT("J"&amp;ROW()))</f>
        <v/>
      </c>
      <c r="J231" s="34" t="str" cm="1">
        <f t="array" aca="1" ref="J231" ca="1">IF(INDIRECT("E"&amp;ROW())=0,"",IF(INDIRECT("H"&amp;ROW())=INDIRECT("E"&amp;ROW()),"Active","Expired"))</f>
        <v/>
      </c>
    </row>
    <row r="232" spans="9:10" x14ac:dyDescent="0.2">
      <c r="I232" s="34" t="str" cm="1">
        <f t="array" aca="1" ref="I232" ca="1">IF(ISBLANK(INDIRECT("B"&amp;ROW())), "", INDIRECT("B"&amp;ROW()) &amp; " - " &amp; INDIRECT("J"&amp;ROW()))</f>
        <v/>
      </c>
      <c r="J232" s="34" t="str" cm="1">
        <f t="array" aca="1" ref="J232" ca="1">IF(INDIRECT("E"&amp;ROW())=0,"",IF(INDIRECT("H"&amp;ROW())=INDIRECT("E"&amp;ROW()),"Active","Expired"))</f>
        <v/>
      </c>
    </row>
    <row r="233" spans="9:10" x14ac:dyDescent="0.2">
      <c r="I233" s="34" t="str" cm="1">
        <f t="array" aca="1" ref="I233" ca="1">IF(ISBLANK(INDIRECT("B"&amp;ROW())), "", INDIRECT("B"&amp;ROW()) &amp; " - " &amp; INDIRECT("J"&amp;ROW()))</f>
        <v/>
      </c>
      <c r="J233" s="34" t="str" cm="1">
        <f t="array" aca="1" ref="J233" ca="1">IF(INDIRECT("E"&amp;ROW())=0,"",IF(INDIRECT("H"&amp;ROW())=INDIRECT("E"&amp;ROW()),"Active","Expired"))</f>
        <v/>
      </c>
    </row>
    <row r="234" spans="9:10" x14ac:dyDescent="0.2">
      <c r="I234" s="34" t="str" cm="1">
        <f t="array" aca="1" ref="I234" ca="1">IF(ISBLANK(INDIRECT("B"&amp;ROW())), "", INDIRECT("B"&amp;ROW()) &amp; " - " &amp; INDIRECT("J"&amp;ROW()))</f>
        <v/>
      </c>
      <c r="J234" s="34" t="str" cm="1">
        <f t="array" aca="1" ref="J234" ca="1">IF(INDIRECT("E"&amp;ROW())=0,"",IF(INDIRECT("H"&amp;ROW())=INDIRECT("E"&amp;ROW()),"Active","Expired"))</f>
        <v/>
      </c>
    </row>
    <row r="235" spans="9:10" x14ac:dyDescent="0.2">
      <c r="I235" s="34" t="str" cm="1">
        <f t="array" aca="1" ref="I235" ca="1">IF(ISBLANK(INDIRECT("B"&amp;ROW())), "", INDIRECT("B"&amp;ROW()) &amp; " - " &amp; INDIRECT("J"&amp;ROW()))</f>
        <v/>
      </c>
      <c r="J235" s="34" t="str" cm="1">
        <f t="array" aca="1" ref="J235" ca="1">IF(INDIRECT("E"&amp;ROW())=0,"",IF(INDIRECT("H"&amp;ROW())=INDIRECT("E"&amp;ROW()),"Active","Expired"))</f>
        <v/>
      </c>
    </row>
    <row r="236" spans="9:10" x14ac:dyDescent="0.2">
      <c r="I236" s="34" t="str" cm="1">
        <f t="array" aca="1" ref="I236" ca="1">IF(ISBLANK(INDIRECT("B"&amp;ROW())), "", INDIRECT("B"&amp;ROW()) &amp; " - " &amp; INDIRECT("J"&amp;ROW()))</f>
        <v/>
      </c>
      <c r="J236" s="34" t="str" cm="1">
        <f t="array" aca="1" ref="J236" ca="1">IF(INDIRECT("E"&amp;ROW())=0,"",IF(INDIRECT("H"&amp;ROW())=INDIRECT("E"&amp;ROW()),"Active","Expired"))</f>
        <v/>
      </c>
    </row>
    <row r="237" spans="9:10" x14ac:dyDescent="0.2">
      <c r="I237" s="34" t="str" cm="1">
        <f t="array" aca="1" ref="I237" ca="1">IF(ISBLANK(INDIRECT("B"&amp;ROW())), "", INDIRECT("B"&amp;ROW()) &amp; " - " &amp; INDIRECT("J"&amp;ROW()))</f>
        <v/>
      </c>
      <c r="J237" s="34" t="str" cm="1">
        <f t="array" aca="1" ref="J237" ca="1">IF(INDIRECT("E"&amp;ROW())=0,"",IF(INDIRECT("H"&amp;ROW())=INDIRECT("E"&amp;ROW()),"Active","Expired"))</f>
        <v/>
      </c>
    </row>
    <row r="238" spans="9:10" x14ac:dyDescent="0.2">
      <c r="I238" s="34" t="str" cm="1">
        <f t="array" aca="1" ref="I238" ca="1">IF(ISBLANK(INDIRECT("B"&amp;ROW())), "", INDIRECT("B"&amp;ROW()) &amp; " - " &amp; INDIRECT("J"&amp;ROW()))</f>
        <v/>
      </c>
      <c r="J238" s="34" t="str" cm="1">
        <f t="array" aca="1" ref="J238" ca="1">IF(INDIRECT("E"&amp;ROW())=0,"",IF(INDIRECT("H"&amp;ROW())=INDIRECT("E"&amp;ROW()),"Active","Expired"))</f>
        <v/>
      </c>
    </row>
    <row r="239" spans="9:10" x14ac:dyDescent="0.2">
      <c r="I239" s="34" t="str" cm="1">
        <f t="array" aca="1" ref="I239" ca="1">IF(ISBLANK(INDIRECT("B"&amp;ROW())), "", INDIRECT("B"&amp;ROW()) &amp; " - " &amp; INDIRECT("J"&amp;ROW()))</f>
        <v/>
      </c>
      <c r="J239" s="34" t="str" cm="1">
        <f t="array" aca="1" ref="J239" ca="1">IF(INDIRECT("E"&amp;ROW())=0,"",IF(INDIRECT("H"&amp;ROW())=INDIRECT("E"&amp;ROW()),"Active","Expired"))</f>
        <v/>
      </c>
    </row>
    <row r="240" spans="9:10" x14ac:dyDescent="0.2">
      <c r="I240" s="34" t="str" cm="1">
        <f t="array" aca="1" ref="I240" ca="1">IF(ISBLANK(INDIRECT("B"&amp;ROW())), "", INDIRECT("B"&amp;ROW()) &amp; " - " &amp; INDIRECT("J"&amp;ROW()))</f>
        <v/>
      </c>
      <c r="J240" s="34" t="str" cm="1">
        <f t="array" aca="1" ref="J240" ca="1">IF(INDIRECT("E"&amp;ROW())=0,"",IF(INDIRECT("H"&amp;ROW())=INDIRECT("E"&amp;ROW()),"Active","Expired"))</f>
        <v/>
      </c>
    </row>
    <row r="241" spans="9:10" x14ac:dyDescent="0.2">
      <c r="I241" s="34" t="str" cm="1">
        <f t="array" aca="1" ref="I241" ca="1">IF(ISBLANK(INDIRECT("B"&amp;ROW())), "", INDIRECT("B"&amp;ROW()) &amp; " - " &amp; INDIRECT("J"&amp;ROW()))</f>
        <v/>
      </c>
      <c r="J241" s="34" t="str" cm="1">
        <f t="array" aca="1" ref="J241" ca="1">IF(INDIRECT("E"&amp;ROW())=0,"",IF(INDIRECT("H"&amp;ROW())=INDIRECT("E"&amp;ROW()),"Active","Expired"))</f>
        <v/>
      </c>
    </row>
    <row r="242" spans="9:10" x14ac:dyDescent="0.2">
      <c r="I242" s="34" t="str" cm="1">
        <f t="array" aca="1" ref="I242" ca="1">IF(ISBLANK(INDIRECT("B"&amp;ROW())), "", INDIRECT("B"&amp;ROW()) &amp; " - " &amp; INDIRECT("J"&amp;ROW()))</f>
        <v/>
      </c>
      <c r="J242" s="34" t="str" cm="1">
        <f t="array" aca="1" ref="J242" ca="1">IF(INDIRECT("E"&amp;ROW())=0,"",IF(INDIRECT("H"&amp;ROW())=INDIRECT("E"&amp;ROW()),"Active","Expired"))</f>
        <v/>
      </c>
    </row>
    <row r="243" spans="9:10" x14ac:dyDescent="0.2">
      <c r="I243" s="34" t="str" cm="1">
        <f t="array" aca="1" ref="I243" ca="1">IF(ISBLANK(INDIRECT("B"&amp;ROW())), "", INDIRECT("B"&amp;ROW()) &amp; " - " &amp; INDIRECT("J"&amp;ROW()))</f>
        <v/>
      </c>
      <c r="J243" s="34" t="str" cm="1">
        <f t="array" aca="1" ref="J243" ca="1">IF(INDIRECT("E"&amp;ROW())=0,"",IF(INDIRECT("H"&amp;ROW())=INDIRECT("E"&amp;ROW()),"Active","Expired"))</f>
        <v/>
      </c>
    </row>
    <row r="244" spans="9:10" x14ac:dyDescent="0.2">
      <c r="I244" s="34" t="str" cm="1">
        <f t="array" aca="1" ref="I244" ca="1">IF(ISBLANK(INDIRECT("B"&amp;ROW())), "", INDIRECT("B"&amp;ROW()) &amp; " - " &amp; INDIRECT("J"&amp;ROW()))</f>
        <v/>
      </c>
      <c r="J244" s="34" t="str" cm="1">
        <f t="array" aca="1" ref="J244" ca="1">IF(INDIRECT("E"&amp;ROW())=0,"",IF(INDIRECT("H"&amp;ROW())=INDIRECT("E"&amp;ROW()),"Active","Expired"))</f>
        <v/>
      </c>
    </row>
    <row r="245" spans="9:10" x14ac:dyDescent="0.2">
      <c r="I245" s="34" t="str" cm="1">
        <f t="array" aca="1" ref="I245" ca="1">IF(ISBLANK(INDIRECT("B"&amp;ROW())), "", INDIRECT("B"&amp;ROW()) &amp; " - " &amp; INDIRECT("J"&amp;ROW()))</f>
        <v/>
      </c>
      <c r="J245" s="34" t="str" cm="1">
        <f t="array" aca="1" ref="J245" ca="1">IF(INDIRECT("E"&amp;ROW())=0,"",IF(INDIRECT("H"&amp;ROW())=INDIRECT("E"&amp;ROW()),"Active","Expired"))</f>
        <v/>
      </c>
    </row>
    <row r="246" spans="9:10" x14ac:dyDescent="0.2">
      <c r="I246" s="34" t="str" cm="1">
        <f t="array" aca="1" ref="I246" ca="1">IF(ISBLANK(INDIRECT("B"&amp;ROW())), "", INDIRECT("B"&amp;ROW()) &amp; " - " &amp; INDIRECT("J"&amp;ROW()))</f>
        <v/>
      </c>
      <c r="J246" s="34" t="str" cm="1">
        <f t="array" aca="1" ref="J246" ca="1">IF(INDIRECT("E"&amp;ROW())=0,"",IF(INDIRECT("H"&amp;ROW())=INDIRECT("E"&amp;ROW()),"Active","Expired"))</f>
        <v/>
      </c>
    </row>
    <row r="247" spans="9:10" x14ac:dyDescent="0.2">
      <c r="I247" s="34" t="str" cm="1">
        <f t="array" aca="1" ref="I247" ca="1">IF(ISBLANK(INDIRECT("B"&amp;ROW())), "", INDIRECT("B"&amp;ROW()) &amp; " - " &amp; INDIRECT("J"&amp;ROW()))</f>
        <v/>
      </c>
      <c r="J247" s="34" t="str" cm="1">
        <f t="array" aca="1" ref="J247" ca="1">IF(INDIRECT("E"&amp;ROW())=0,"",IF(INDIRECT("H"&amp;ROW())=INDIRECT("E"&amp;ROW()),"Active","Expired"))</f>
        <v/>
      </c>
    </row>
    <row r="248" spans="9:10" x14ac:dyDescent="0.2">
      <c r="I248" s="34" t="str" cm="1">
        <f t="array" aca="1" ref="I248" ca="1">IF(ISBLANK(INDIRECT("B"&amp;ROW())), "", INDIRECT("B"&amp;ROW()) &amp; " - " &amp; INDIRECT("J"&amp;ROW()))</f>
        <v/>
      </c>
      <c r="J248" s="34" t="str" cm="1">
        <f t="array" aca="1" ref="J248" ca="1">IF(INDIRECT("E"&amp;ROW())=0,"",IF(INDIRECT("H"&amp;ROW())=INDIRECT("E"&amp;ROW()),"Active","Expired"))</f>
        <v/>
      </c>
    </row>
    <row r="249" spans="9:10" x14ac:dyDescent="0.2">
      <c r="I249" s="34" t="str" cm="1">
        <f t="array" aca="1" ref="I249" ca="1">IF(ISBLANK(INDIRECT("B"&amp;ROW())), "", INDIRECT("B"&amp;ROW()) &amp; " - " &amp; INDIRECT("J"&amp;ROW()))</f>
        <v/>
      </c>
      <c r="J249" s="34" t="str" cm="1">
        <f t="array" aca="1" ref="J249" ca="1">IF(INDIRECT("E"&amp;ROW())=0,"",IF(INDIRECT("H"&amp;ROW())=INDIRECT("E"&amp;ROW()),"Active","Expired"))</f>
        <v/>
      </c>
    </row>
    <row r="250" spans="9:10" x14ac:dyDescent="0.2">
      <c r="I250" s="34" t="str" cm="1">
        <f t="array" aca="1" ref="I250" ca="1">IF(ISBLANK(INDIRECT("B"&amp;ROW())), "", INDIRECT("B"&amp;ROW()) &amp; " - " &amp; INDIRECT("J"&amp;ROW()))</f>
        <v/>
      </c>
      <c r="J250" s="34" t="str" cm="1">
        <f t="array" aca="1" ref="J250" ca="1">IF(INDIRECT("E"&amp;ROW())=0,"",IF(INDIRECT("H"&amp;ROW())=INDIRECT("E"&amp;ROW()),"Active","Expired"))</f>
        <v/>
      </c>
    </row>
    <row r="251" spans="9:10" x14ac:dyDescent="0.2">
      <c r="I251" s="34" t="str" cm="1">
        <f t="array" aca="1" ref="I251" ca="1">IF(ISBLANK(INDIRECT("B"&amp;ROW())), "", INDIRECT("B"&amp;ROW()) &amp; " - " &amp; INDIRECT("J"&amp;ROW()))</f>
        <v/>
      </c>
      <c r="J251" s="34" t="str" cm="1">
        <f t="array" aca="1" ref="J251" ca="1">IF(INDIRECT("E"&amp;ROW())=0,"",IF(INDIRECT("H"&amp;ROW())=INDIRECT("E"&amp;ROW()),"Active","Expired"))</f>
        <v/>
      </c>
    </row>
    <row r="252" spans="9:10" x14ac:dyDescent="0.2">
      <c r="I252" s="34" t="str" cm="1">
        <f t="array" aca="1" ref="I252" ca="1">IF(ISBLANK(INDIRECT("B"&amp;ROW())), "", INDIRECT("B"&amp;ROW()) &amp; " - " &amp; INDIRECT("J"&amp;ROW()))</f>
        <v/>
      </c>
      <c r="J252" s="34" t="str" cm="1">
        <f t="array" aca="1" ref="J252" ca="1">IF(INDIRECT("E"&amp;ROW())=0,"",IF(INDIRECT("H"&amp;ROW())=INDIRECT("E"&amp;ROW()),"Active","Expired"))</f>
        <v/>
      </c>
    </row>
    <row r="253" spans="9:10" x14ac:dyDescent="0.2">
      <c r="I253" s="34" t="str" cm="1">
        <f t="array" aca="1" ref="I253" ca="1">IF(ISBLANK(INDIRECT("B"&amp;ROW())), "", INDIRECT("B"&amp;ROW()) &amp; " - " &amp; INDIRECT("J"&amp;ROW()))</f>
        <v/>
      </c>
      <c r="J253" s="34" t="str" cm="1">
        <f t="array" aca="1" ref="J253" ca="1">IF(INDIRECT("E"&amp;ROW())=0,"",IF(INDIRECT("H"&amp;ROW())=INDIRECT("E"&amp;ROW()),"Active","Expired"))</f>
        <v/>
      </c>
    </row>
    <row r="254" spans="9:10" x14ac:dyDescent="0.2">
      <c r="I254" s="34" t="str" cm="1">
        <f t="array" aca="1" ref="I254" ca="1">IF(ISBLANK(INDIRECT("B"&amp;ROW())), "", INDIRECT("B"&amp;ROW()) &amp; " - " &amp; INDIRECT("J"&amp;ROW()))</f>
        <v/>
      </c>
      <c r="J254" s="34" t="str" cm="1">
        <f t="array" aca="1" ref="J254" ca="1">IF(INDIRECT("E"&amp;ROW())=0,"",IF(INDIRECT("H"&amp;ROW())=INDIRECT("E"&amp;ROW()),"Active","Expired"))</f>
        <v/>
      </c>
    </row>
    <row r="255" spans="9:10" x14ac:dyDescent="0.2">
      <c r="I255" s="34" t="str" cm="1">
        <f t="array" aca="1" ref="I255" ca="1">IF(ISBLANK(INDIRECT("B"&amp;ROW())), "", INDIRECT("B"&amp;ROW()) &amp; " - " &amp; INDIRECT("J"&amp;ROW()))</f>
        <v/>
      </c>
      <c r="J255" s="34" t="str" cm="1">
        <f t="array" aca="1" ref="J255" ca="1">IF(INDIRECT("E"&amp;ROW())=0,"",IF(INDIRECT("H"&amp;ROW())=INDIRECT("E"&amp;ROW()),"Active","Expired"))</f>
        <v/>
      </c>
    </row>
    <row r="256" spans="9:10" x14ac:dyDescent="0.2">
      <c r="I256" s="34" t="str" cm="1">
        <f t="array" aca="1" ref="I256" ca="1">IF(ISBLANK(INDIRECT("B"&amp;ROW())), "", INDIRECT("B"&amp;ROW()) &amp; " - " &amp; INDIRECT("J"&amp;ROW()))</f>
        <v/>
      </c>
      <c r="J256" s="34" t="str" cm="1">
        <f t="array" aca="1" ref="J256" ca="1">IF(INDIRECT("E"&amp;ROW())=0,"",IF(INDIRECT("H"&amp;ROW())=INDIRECT("E"&amp;ROW()),"Active","Expired"))</f>
        <v/>
      </c>
    </row>
    <row r="257" spans="9:10" x14ac:dyDescent="0.2">
      <c r="I257" s="34" t="str" cm="1">
        <f t="array" aca="1" ref="I257" ca="1">IF(ISBLANK(INDIRECT("B"&amp;ROW())), "", INDIRECT("B"&amp;ROW()) &amp; " - " &amp; INDIRECT("J"&amp;ROW()))</f>
        <v/>
      </c>
      <c r="J257" s="34" t="str" cm="1">
        <f t="array" aca="1" ref="J257" ca="1">IF(INDIRECT("E"&amp;ROW())=0,"",IF(INDIRECT("H"&amp;ROW())=INDIRECT("E"&amp;ROW()),"Active","Expired"))</f>
        <v/>
      </c>
    </row>
    <row r="258" spans="9:10" x14ac:dyDescent="0.2">
      <c r="I258" s="34" t="str" cm="1">
        <f t="array" aca="1" ref="I258" ca="1">IF(ISBLANK(INDIRECT("B"&amp;ROW())), "", INDIRECT("B"&amp;ROW()) &amp; " - " &amp; INDIRECT("J"&amp;ROW()))</f>
        <v/>
      </c>
      <c r="J258" s="34" t="str" cm="1">
        <f t="array" aca="1" ref="J258" ca="1">IF(INDIRECT("E"&amp;ROW())=0,"",IF(INDIRECT("H"&amp;ROW())=INDIRECT("E"&amp;ROW()),"Active","Expired"))</f>
        <v/>
      </c>
    </row>
    <row r="259" spans="9:10" x14ac:dyDescent="0.2">
      <c r="I259" s="34" t="str" cm="1">
        <f t="array" aca="1" ref="I259" ca="1">IF(ISBLANK(INDIRECT("B"&amp;ROW())), "", INDIRECT("B"&amp;ROW()) &amp; " - " &amp; INDIRECT("J"&amp;ROW()))</f>
        <v/>
      </c>
      <c r="J259" s="34" t="str" cm="1">
        <f t="array" aca="1" ref="J259" ca="1">IF(INDIRECT("E"&amp;ROW())=0,"",IF(INDIRECT("H"&amp;ROW())=INDIRECT("E"&amp;ROW()),"Active","Expired"))</f>
        <v/>
      </c>
    </row>
    <row r="260" spans="9:10" x14ac:dyDescent="0.2">
      <c r="I260" s="34" t="str" cm="1">
        <f t="array" aca="1" ref="I260" ca="1">IF(ISBLANK(INDIRECT("B"&amp;ROW())), "", INDIRECT("B"&amp;ROW()) &amp; " - " &amp; INDIRECT("J"&amp;ROW()))</f>
        <v/>
      </c>
      <c r="J260" s="34" t="str" cm="1">
        <f t="array" aca="1" ref="J260" ca="1">IF(INDIRECT("E"&amp;ROW())=0,"",IF(INDIRECT("H"&amp;ROW())=INDIRECT("E"&amp;ROW()),"Active","Expired"))</f>
        <v/>
      </c>
    </row>
    <row r="261" spans="9:10" x14ac:dyDescent="0.2">
      <c r="I261" s="34" t="str" cm="1">
        <f t="array" aca="1" ref="I261" ca="1">IF(ISBLANK(INDIRECT("B"&amp;ROW())), "", INDIRECT("B"&amp;ROW()) &amp; " - " &amp; INDIRECT("J"&amp;ROW()))</f>
        <v/>
      </c>
      <c r="J261" s="34" t="str" cm="1">
        <f t="array" aca="1" ref="J261" ca="1">IF(INDIRECT("E"&amp;ROW())=0,"",IF(INDIRECT("H"&amp;ROW())=INDIRECT("E"&amp;ROW()),"Active","Expired"))</f>
        <v/>
      </c>
    </row>
    <row r="262" spans="9:10" x14ac:dyDescent="0.2">
      <c r="I262" s="34" t="str" cm="1">
        <f t="array" aca="1" ref="I262" ca="1">IF(ISBLANK(INDIRECT("B"&amp;ROW())), "", INDIRECT("B"&amp;ROW()) &amp; " - " &amp; INDIRECT("J"&amp;ROW()))</f>
        <v/>
      </c>
      <c r="J262" s="34" t="str" cm="1">
        <f t="array" aca="1" ref="J262" ca="1">IF(INDIRECT("E"&amp;ROW())=0,"",IF(INDIRECT("H"&amp;ROW())=INDIRECT("E"&amp;ROW()),"Active","Expired"))</f>
        <v/>
      </c>
    </row>
    <row r="263" spans="9:10" x14ac:dyDescent="0.2">
      <c r="I263" s="34" t="str" cm="1">
        <f t="array" aca="1" ref="I263" ca="1">IF(ISBLANK(INDIRECT("B"&amp;ROW())), "", INDIRECT("B"&amp;ROW()) &amp; " - " &amp; INDIRECT("J"&amp;ROW()))</f>
        <v/>
      </c>
      <c r="J263" s="34" t="str" cm="1">
        <f t="array" aca="1" ref="J263" ca="1">IF(INDIRECT("E"&amp;ROW())=0,"",IF(INDIRECT("H"&amp;ROW())=INDIRECT("E"&amp;ROW()),"Active","Expired"))</f>
        <v/>
      </c>
    </row>
    <row r="264" spans="9:10" x14ac:dyDescent="0.2">
      <c r="I264" s="34" t="str" cm="1">
        <f t="array" aca="1" ref="I264" ca="1">IF(ISBLANK(INDIRECT("B"&amp;ROW())), "", INDIRECT("B"&amp;ROW()) &amp; " - " &amp; INDIRECT("J"&amp;ROW()))</f>
        <v/>
      </c>
      <c r="J264" s="34" t="str" cm="1">
        <f t="array" aca="1" ref="J264" ca="1">IF(INDIRECT("E"&amp;ROW())=0,"",IF(INDIRECT("H"&amp;ROW())=INDIRECT("E"&amp;ROW()),"Active","Expired"))</f>
        <v/>
      </c>
    </row>
    <row r="265" spans="9:10" x14ac:dyDescent="0.2">
      <c r="I265" s="34" t="str" cm="1">
        <f t="array" aca="1" ref="I265" ca="1">IF(ISBLANK(INDIRECT("B"&amp;ROW())), "", INDIRECT("B"&amp;ROW()) &amp; " - " &amp; INDIRECT("J"&amp;ROW()))</f>
        <v/>
      </c>
      <c r="J265" s="34" t="str" cm="1">
        <f t="array" aca="1" ref="J265" ca="1">IF(INDIRECT("E"&amp;ROW())=0,"",IF(INDIRECT("H"&amp;ROW())=INDIRECT("E"&amp;ROW()),"Active","Expired"))</f>
        <v/>
      </c>
    </row>
    <row r="266" spans="9:10" x14ac:dyDescent="0.2">
      <c r="I266" s="34" t="str" cm="1">
        <f t="array" aca="1" ref="I266" ca="1">IF(ISBLANK(INDIRECT("B"&amp;ROW())), "", INDIRECT("B"&amp;ROW()) &amp; " - " &amp; INDIRECT("J"&amp;ROW()))</f>
        <v/>
      </c>
      <c r="J266" s="34" t="str" cm="1">
        <f t="array" aca="1" ref="J266" ca="1">IF(INDIRECT("E"&amp;ROW())=0,"",IF(INDIRECT("H"&amp;ROW())=INDIRECT("E"&amp;ROW()),"Active","Expired"))</f>
        <v/>
      </c>
    </row>
    <row r="267" spans="9:10" x14ac:dyDescent="0.2">
      <c r="I267" s="34" t="str" cm="1">
        <f t="array" aca="1" ref="I267" ca="1">IF(ISBLANK(INDIRECT("B"&amp;ROW())), "", INDIRECT("B"&amp;ROW()) &amp; " - " &amp; INDIRECT("J"&amp;ROW()))</f>
        <v/>
      </c>
      <c r="J267" s="34" t="str" cm="1">
        <f t="array" aca="1" ref="J267" ca="1">IF(INDIRECT("E"&amp;ROW())=0,"",IF(INDIRECT("H"&amp;ROW())=INDIRECT("E"&amp;ROW()),"Active","Expired"))</f>
        <v/>
      </c>
    </row>
    <row r="268" spans="9:10" x14ac:dyDescent="0.2">
      <c r="I268" s="34" t="str" cm="1">
        <f t="array" aca="1" ref="I268" ca="1">IF(ISBLANK(INDIRECT("B"&amp;ROW())), "", INDIRECT("B"&amp;ROW()) &amp; " - " &amp; INDIRECT("J"&amp;ROW()))</f>
        <v/>
      </c>
      <c r="J268" s="34" t="str" cm="1">
        <f t="array" aca="1" ref="J268" ca="1">IF(INDIRECT("E"&amp;ROW())=0,"",IF(INDIRECT("H"&amp;ROW())=INDIRECT("E"&amp;ROW()),"Active","Expired"))</f>
        <v/>
      </c>
    </row>
    <row r="269" spans="9:10" x14ac:dyDescent="0.2">
      <c r="I269" s="34" t="str" cm="1">
        <f t="array" aca="1" ref="I269" ca="1">IF(ISBLANK(INDIRECT("B"&amp;ROW())), "", INDIRECT("B"&amp;ROW()) &amp; " - " &amp; INDIRECT("J"&amp;ROW()))</f>
        <v/>
      </c>
      <c r="J269" s="34" t="str" cm="1">
        <f t="array" aca="1" ref="J269" ca="1">IF(INDIRECT("E"&amp;ROW())=0,"",IF(INDIRECT("H"&amp;ROW())=INDIRECT("E"&amp;ROW()),"Active","Expired"))</f>
        <v/>
      </c>
    </row>
    <row r="270" spans="9:10" x14ac:dyDescent="0.2">
      <c r="I270" s="34" t="str" cm="1">
        <f t="array" aca="1" ref="I270" ca="1">IF(ISBLANK(INDIRECT("B"&amp;ROW())), "", INDIRECT("B"&amp;ROW()) &amp; " - " &amp; INDIRECT("J"&amp;ROW()))</f>
        <v/>
      </c>
      <c r="J270" s="34" t="str" cm="1">
        <f t="array" aca="1" ref="J270" ca="1">IF(INDIRECT("E"&amp;ROW())=0,"",IF(INDIRECT("H"&amp;ROW())=INDIRECT("E"&amp;ROW()),"Active","Expired"))</f>
        <v/>
      </c>
    </row>
    <row r="271" spans="9:10" x14ac:dyDescent="0.2">
      <c r="I271" s="34" t="str" cm="1">
        <f t="array" aca="1" ref="I271" ca="1">IF(ISBLANK(INDIRECT("B"&amp;ROW())), "", INDIRECT("B"&amp;ROW()) &amp; " - " &amp; INDIRECT("J"&amp;ROW()))</f>
        <v/>
      </c>
      <c r="J271" s="34" t="str" cm="1">
        <f t="array" aca="1" ref="J271" ca="1">IF(INDIRECT("E"&amp;ROW())=0,"",IF(INDIRECT("H"&amp;ROW())=INDIRECT("E"&amp;ROW()),"Active","Expired"))</f>
        <v/>
      </c>
    </row>
    <row r="272" spans="9:10" x14ac:dyDescent="0.2">
      <c r="I272" s="34" t="str" cm="1">
        <f t="array" aca="1" ref="I272" ca="1">IF(ISBLANK(INDIRECT("B"&amp;ROW())), "", INDIRECT("B"&amp;ROW()) &amp; " - " &amp; INDIRECT("J"&amp;ROW()))</f>
        <v/>
      </c>
      <c r="J272" s="34" t="str" cm="1">
        <f t="array" aca="1" ref="J272" ca="1">IF(INDIRECT("E"&amp;ROW())=0,"",IF(INDIRECT("H"&amp;ROW())=INDIRECT("E"&amp;ROW()),"Active","Expired"))</f>
        <v/>
      </c>
    </row>
    <row r="273" spans="9:10" x14ac:dyDescent="0.2">
      <c r="I273" s="34" t="str" cm="1">
        <f t="array" aca="1" ref="I273" ca="1">IF(ISBLANK(INDIRECT("B"&amp;ROW())), "", INDIRECT("B"&amp;ROW()) &amp; " - " &amp; INDIRECT("J"&amp;ROW()))</f>
        <v/>
      </c>
      <c r="J273" s="34" t="str" cm="1">
        <f t="array" aca="1" ref="J273" ca="1">IF(INDIRECT("E"&amp;ROW())=0,"",IF(INDIRECT("H"&amp;ROW())=INDIRECT("E"&amp;ROW()),"Active","Expired"))</f>
        <v/>
      </c>
    </row>
    <row r="274" spans="9:10" x14ac:dyDescent="0.2">
      <c r="I274" s="34" t="str" cm="1">
        <f t="array" aca="1" ref="I274" ca="1">IF(ISBLANK(INDIRECT("B"&amp;ROW())), "", INDIRECT("B"&amp;ROW()) &amp; " - " &amp; INDIRECT("J"&amp;ROW()))</f>
        <v/>
      </c>
      <c r="J274" s="34" t="str" cm="1">
        <f t="array" aca="1" ref="J274" ca="1">IF(INDIRECT("E"&amp;ROW())=0,"",IF(INDIRECT("H"&amp;ROW())=INDIRECT("E"&amp;ROW()),"Active","Expired"))</f>
        <v/>
      </c>
    </row>
    <row r="275" spans="9:10" x14ac:dyDescent="0.2">
      <c r="I275" s="34" t="str" cm="1">
        <f t="array" aca="1" ref="I275" ca="1">IF(ISBLANK(INDIRECT("B"&amp;ROW())), "", INDIRECT("B"&amp;ROW()) &amp; " - " &amp; INDIRECT("J"&amp;ROW()))</f>
        <v/>
      </c>
      <c r="J275" s="34" t="str" cm="1">
        <f t="array" aca="1" ref="J275" ca="1">IF(INDIRECT("E"&amp;ROW())=0,"",IF(INDIRECT("H"&amp;ROW())=INDIRECT("E"&amp;ROW()),"Active","Expired"))</f>
        <v/>
      </c>
    </row>
    <row r="276" spans="9:10" x14ac:dyDescent="0.2">
      <c r="I276" s="34" t="str" cm="1">
        <f t="array" aca="1" ref="I276" ca="1">IF(ISBLANK(INDIRECT("B"&amp;ROW())), "", INDIRECT("B"&amp;ROW()) &amp; " - " &amp; INDIRECT("J"&amp;ROW()))</f>
        <v/>
      </c>
      <c r="J276" s="34" t="str" cm="1">
        <f t="array" aca="1" ref="J276" ca="1">IF(INDIRECT("E"&amp;ROW())=0,"",IF(INDIRECT("H"&amp;ROW())=INDIRECT("E"&amp;ROW()),"Active","Expired"))</f>
        <v/>
      </c>
    </row>
    <row r="277" spans="9:10" x14ac:dyDescent="0.2">
      <c r="I277" s="34" t="str" cm="1">
        <f t="array" aca="1" ref="I277" ca="1">IF(ISBLANK(INDIRECT("B"&amp;ROW())), "", INDIRECT("B"&amp;ROW()) &amp; " - " &amp; INDIRECT("J"&amp;ROW()))</f>
        <v/>
      </c>
      <c r="J277" s="34" t="str" cm="1">
        <f t="array" aca="1" ref="J277" ca="1">IF(INDIRECT("E"&amp;ROW())=0,"",IF(INDIRECT("H"&amp;ROW())=INDIRECT("E"&amp;ROW()),"Active","Expired"))</f>
        <v/>
      </c>
    </row>
    <row r="278" spans="9:10" x14ac:dyDescent="0.2">
      <c r="I278" s="34" t="str" cm="1">
        <f t="array" aca="1" ref="I278" ca="1">IF(ISBLANK(INDIRECT("B"&amp;ROW())), "", INDIRECT("B"&amp;ROW()) &amp; " - " &amp; INDIRECT("J"&amp;ROW()))</f>
        <v/>
      </c>
      <c r="J278" s="34" t="str" cm="1">
        <f t="array" aca="1" ref="J278" ca="1">IF(INDIRECT("E"&amp;ROW())=0,"",IF(INDIRECT("H"&amp;ROW())=INDIRECT("E"&amp;ROW()),"Active","Expired"))</f>
        <v/>
      </c>
    </row>
    <row r="279" spans="9:10" x14ac:dyDescent="0.2">
      <c r="I279" s="34" t="str" cm="1">
        <f t="array" aca="1" ref="I279" ca="1">IF(ISBLANK(INDIRECT("B"&amp;ROW())), "", INDIRECT("B"&amp;ROW()) &amp; " - " &amp; INDIRECT("J"&amp;ROW()))</f>
        <v/>
      </c>
      <c r="J279" s="34" t="str" cm="1">
        <f t="array" aca="1" ref="J279" ca="1">IF(INDIRECT("E"&amp;ROW())=0,"",IF(INDIRECT("H"&amp;ROW())=INDIRECT("E"&amp;ROW()),"Active","Expired"))</f>
        <v/>
      </c>
    </row>
    <row r="280" spans="9:10" x14ac:dyDescent="0.2">
      <c r="I280" s="34" t="str" cm="1">
        <f t="array" aca="1" ref="I280" ca="1">IF(ISBLANK(INDIRECT("B"&amp;ROW())), "", INDIRECT("B"&amp;ROW()) &amp; " - " &amp; INDIRECT("J"&amp;ROW()))</f>
        <v/>
      </c>
      <c r="J280" s="34" t="str" cm="1">
        <f t="array" aca="1" ref="J280" ca="1">IF(INDIRECT("E"&amp;ROW())=0,"",IF(INDIRECT("H"&amp;ROW())=INDIRECT("E"&amp;ROW()),"Active","Expired"))</f>
        <v/>
      </c>
    </row>
    <row r="281" spans="9:10" x14ac:dyDescent="0.2">
      <c r="I281" s="34" t="str" cm="1">
        <f t="array" aca="1" ref="I281" ca="1">IF(ISBLANK(INDIRECT("B"&amp;ROW())), "", INDIRECT("B"&amp;ROW()) &amp; " - " &amp; INDIRECT("J"&amp;ROW()))</f>
        <v/>
      </c>
      <c r="J281" s="34" t="str" cm="1">
        <f t="array" aca="1" ref="J281" ca="1">IF(INDIRECT("E"&amp;ROW())=0,"",IF(INDIRECT("H"&amp;ROW())=INDIRECT("E"&amp;ROW()),"Active","Expired"))</f>
        <v/>
      </c>
    </row>
    <row r="282" spans="9:10" x14ac:dyDescent="0.2">
      <c r="I282" s="34" t="str" cm="1">
        <f t="array" aca="1" ref="I282" ca="1">IF(ISBLANK(INDIRECT("B"&amp;ROW())), "", INDIRECT("B"&amp;ROW()) &amp; " - " &amp; INDIRECT("J"&amp;ROW()))</f>
        <v/>
      </c>
      <c r="J282" s="34" t="str" cm="1">
        <f t="array" aca="1" ref="J282" ca="1">IF(INDIRECT("E"&amp;ROW())=0,"",IF(INDIRECT("H"&amp;ROW())=INDIRECT("E"&amp;ROW()),"Active","Expired"))</f>
        <v/>
      </c>
    </row>
    <row r="283" spans="9:10" x14ac:dyDescent="0.2">
      <c r="I283" s="34" t="str" cm="1">
        <f t="array" aca="1" ref="I283" ca="1">IF(ISBLANK(INDIRECT("B"&amp;ROW())), "", INDIRECT("B"&amp;ROW()) &amp; " - " &amp; INDIRECT("J"&amp;ROW()))</f>
        <v/>
      </c>
      <c r="J283" s="34" t="str" cm="1">
        <f t="array" aca="1" ref="J283" ca="1">IF(INDIRECT("E"&amp;ROW())=0,"",IF(INDIRECT("H"&amp;ROW())=INDIRECT("E"&amp;ROW()),"Active","Expired"))</f>
        <v/>
      </c>
    </row>
    <row r="284" spans="9:10" x14ac:dyDescent="0.2">
      <c r="I284" s="34" t="str" cm="1">
        <f t="array" aca="1" ref="I284" ca="1">IF(ISBLANK(INDIRECT("B"&amp;ROW())), "", INDIRECT("B"&amp;ROW()) &amp; " - " &amp; INDIRECT("J"&amp;ROW()))</f>
        <v/>
      </c>
      <c r="J284" s="34" t="str" cm="1">
        <f t="array" aca="1" ref="J284" ca="1">IF(INDIRECT("E"&amp;ROW())=0,"",IF(INDIRECT("H"&amp;ROW())=INDIRECT("E"&amp;ROW()),"Active","Expired"))</f>
        <v/>
      </c>
    </row>
    <row r="285" spans="9:10" x14ac:dyDescent="0.2">
      <c r="I285" s="34" t="str" cm="1">
        <f t="array" aca="1" ref="I285" ca="1">IF(ISBLANK(INDIRECT("B"&amp;ROW())), "", INDIRECT("B"&amp;ROW()) &amp; " - " &amp; INDIRECT("J"&amp;ROW()))</f>
        <v/>
      </c>
      <c r="J285" s="34" t="str" cm="1">
        <f t="array" aca="1" ref="J285" ca="1">IF(INDIRECT("E"&amp;ROW())=0,"",IF(INDIRECT("H"&amp;ROW())=INDIRECT("E"&amp;ROW()),"Active","Expired"))</f>
        <v/>
      </c>
    </row>
    <row r="286" spans="9:10" x14ac:dyDescent="0.2">
      <c r="I286" s="34" t="str" cm="1">
        <f t="array" aca="1" ref="I286" ca="1">IF(ISBLANK(INDIRECT("B"&amp;ROW())), "", INDIRECT("B"&amp;ROW()) &amp; " - " &amp; INDIRECT("J"&amp;ROW()))</f>
        <v/>
      </c>
      <c r="J286" s="34" t="str" cm="1">
        <f t="array" aca="1" ref="J286" ca="1">IF(INDIRECT("E"&amp;ROW())=0,"",IF(INDIRECT("H"&amp;ROW())=INDIRECT("E"&amp;ROW()),"Active","Expired"))</f>
        <v/>
      </c>
    </row>
    <row r="287" spans="9:10" x14ac:dyDescent="0.2">
      <c r="I287" s="34" t="str" cm="1">
        <f t="array" aca="1" ref="I287" ca="1">IF(ISBLANK(INDIRECT("B"&amp;ROW())), "", INDIRECT("B"&amp;ROW()) &amp; " - " &amp; INDIRECT("J"&amp;ROW()))</f>
        <v/>
      </c>
      <c r="J287" s="34" t="str" cm="1">
        <f t="array" aca="1" ref="J287" ca="1">IF(INDIRECT("E"&amp;ROW())=0,"",IF(INDIRECT("H"&amp;ROW())=INDIRECT("E"&amp;ROW()),"Active","Expired"))</f>
        <v/>
      </c>
    </row>
    <row r="288" spans="9:10" x14ac:dyDescent="0.2">
      <c r="I288" s="34" t="str" cm="1">
        <f t="array" aca="1" ref="I288" ca="1">IF(ISBLANK(INDIRECT("B"&amp;ROW())), "", INDIRECT("B"&amp;ROW()) &amp; " - " &amp; INDIRECT("J"&amp;ROW()))</f>
        <v/>
      </c>
      <c r="J288" s="34" t="str" cm="1">
        <f t="array" aca="1" ref="J288" ca="1">IF(INDIRECT("E"&amp;ROW())=0,"",IF(INDIRECT("H"&amp;ROW())=INDIRECT("E"&amp;ROW()),"Active","Expired"))</f>
        <v/>
      </c>
    </row>
    <row r="289" spans="9:10" x14ac:dyDescent="0.2">
      <c r="I289" s="34" t="str" cm="1">
        <f t="array" aca="1" ref="I289" ca="1">IF(ISBLANK(INDIRECT("B"&amp;ROW())), "", INDIRECT("B"&amp;ROW()) &amp; " - " &amp; INDIRECT("J"&amp;ROW()))</f>
        <v/>
      </c>
      <c r="J289" s="34" t="str" cm="1">
        <f t="array" aca="1" ref="J289" ca="1">IF(INDIRECT("E"&amp;ROW())=0,"",IF(INDIRECT("H"&amp;ROW())=INDIRECT("E"&amp;ROW()),"Active","Expired"))</f>
        <v/>
      </c>
    </row>
    <row r="290" spans="9:10" x14ac:dyDescent="0.2">
      <c r="I290" s="34" t="str" cm="1">
        <f t="array" aca="1" ref="I290" ca="1">IF(ISBLANK(INDIRECT("B"&amp;ROW())), "", INDIRECT("B"&amp;ROW()) &amp; " - " &amp; INDIRECT("J"&amp;ROW()))</f>
        <v/>
      </c>
      <c r="J290" s="34" t="str" cm="1">
        <f t="array" aca="1" ref="J290" ca="1">IF(INDIRECT("E"&amp;ROW())=0,"",IF(INDIRECT("H"&amp;ROW())=INDIRECT("E"&amp;ROW()),"Active","Expired"))</f>
        <v/>
      </c>
    </row>
    <row r="291" spans="9:10" x14ac:dyDescent="0.2">
      <c r="I291" s="34" t="str" cm="1">
        <f t="array" aca="1" ref="I291" ca="1">IF(ISBLANK(INDIRECT("B"&amp;ROW())), "", INDIRECT("B"&amp;ROW()) &amp; " - " &amp; INDIRECT("J"&amp;ROW()))</f>
        <v/>
      </c>
      <c r="J291" s="34" t="str" cm="1">
        <f t="array" aca="1" ref="J291" ca="1">IF(INDIRECT("E"&amp;ROW())=0,"",IF(INDIRECT("H"&amp;ROW())=INDIRECT("E"&amp;ROW()),"Active","Expired"))</f>
        <v/>
      </c>
    </row>
    <row r="292" spans="9:10" x14ac:dyDescent="0.2">
      <c r="I292" s="34" t="str" cm="1">
        <f t="array" aca="1" ref="I292" ca="1">IF(ISBLANK(INDIRECT("B"&amp;ROW())), "", INDIRECT("B"&amp;ROW()) &amp; " - " &amp; INDIRECT("J"&amp;ROW()))</f>
        <v/>
      </c>
      <c r="J292" s="34" t="str" cm="1">
        <f t="array" aca="1" ref="J292" ca="1">IF(INDIRECT("E"&amp;ROW())=0,"",IF(INDIRECT("H"&amp;ROW())=INDIRECT("E"&amp;ROW()),"Active","Expired"))</f>
        <v/>
      </c>
    </row>
    <row r="293" spans="9:10" x14ac:dyDescent="0.2">
      <c r="I293" s="34" t="str" cm="1">
        <f t="array" aca="1" ref="I293" ca="1">IF(ISBLANK(INDIRECT("B"&amp;ROW())), "", INDIRECT("B"&amp;ROW()) &amp; " - " &amp; INDIRECT("J"&amp;ROW()))</f>
        <v/>
      </c>
      <c r="J293" s="34" t="str" cm="1">
        <f t="array" aca="1" ref="J293" ca="1">IF(INDIRECT("E"&amp;ROW())=0,"",IF(INDIRECT("H"&amp;ROW())=INDIRECT("E"&amp;ROW()),"Active","Expired"))</f>
        <v/>
      </c>
    </row>
    <row r="294" spans="9:10" x14ac:dyDescent="0.2">
      <c r="I294" s="34" t="str" cm="1">
        <f t="array" aca="1" ref="I294" ca="1">IF(ISBLANK(INDIRECT("B"&amp;ROW())), "", INDIRECT("B"&amp;ROW()) &amp; " - " &amp; INDIRECT("J"&amp;ROW()))</f>
        <v/>
      </c>
      <c r="J294" s="34" t="str" cm="1">
        <f t="array" aca="1" ref="J294" ca="1">IF(INDIRECT("E"&amp;ROW())=0,"",IF(INDIRECT("H"&amp;ROW())=INDIRECT("E"&amp;ROW()),"Active","Expired"))</f>
        <v/>
      </c>
    </row>
    <row r="295" spans="9:10" x14ac:dyDescent="0.2">
      <c r="I295" s="34" t="str" cm="1">
        <f t="array" aca="1" ref="I295" ca="1">IF(ISBLANK(INDIRECT("B"&amp;ROW())), "", INDIRECT("B"&amp;ROW()) &amp; " - " &amp; INDIRECT("J"&amp;ROW()))</f>
        <v/>
      </c>
      <c r="J295" s="34" t="str" cm="1">
        <f t="array" aca="1" ref="J295" ca="1">IF(INDIRECT("E"&amp;ROW())=0,"",IF(INDIRECT("H"&amp;ROW())=INDIRECT("E"&amp;ROW()),"Active","Expired"))</f>
        <v/>
      </c>
    </row>
    <row r="296" spans="9:10" x14ac:dyDescent="0.2">
      <c r="I296" s="34" t="str" cm="1">
        <f t="array" aca="1" ref="I296" ca="1">IF(ISBLANK(INDIRECT("B"&amp;ROW())), "", INDIRECT("B"&amp;ROW()) &amp; " - " &amp; INDIRECT("J"&amp;ROW()))</f>
        <v/>
      </c>
      <c r="J296" s="34" t="str" cm="1">
        <f t="array" aca="1" ref="J296" ca="1">IF(INDIRECT("E"&amp;ROW())=0,"",IF(INDIRECT("H"&amp;ROW())=INDIRECT("E"&amp;ROW()),"Active","Expired"))</f>
        <v/>
      </c>
    </row>
    <row r="297" spans="9:10" x14ac:dyDescent="0.2">
      <c r="I297" s="34" t="str" cm="1">
        <f t="array" aca="1" ref="I297" ca="1">IF(ISBLANK(INDIRECT("B"&amp;ROW())), "", INDIRECT("B"&amp;ROW()) &amp; " - " &amp; INDIRECT("J"&amp;ROW()))</f>
        <v/>
      </c>
      <c r="J297" s="34" t="str" cm="1">
        <f t="array" aca="1" ref="J297" ca="1">IF(INDIRECT("E"&amp;ROW())=0,"",IF(INDIRECT("H"&amp;ROW())=INDIRECT("E"&amp;ROW()),"Active","Expired"))</f>
        <v/>
      </c>
    </row>
    <row r="298" spans="9:10" x14ac:dyDescent="0.2">
      <c r="I298" s="34" t="str" cm="1">
        <f t="array" aca="1" ref="I298" ca="1">IF(ISBLANK(INDIRECT("B"&amp;ROW())), "", INDIRECT("B"&amp;ROW()) &amp; " - " &amp; INDIRECT("J"&amp;ROW()))</f>
        <v/>
      </c>
      <c r="J298" s="34" t="str" cm="1">
        <f t="array" aca="1" ref="J298" ca="1">IF(INDIRECT("E"&amp;ROW())=0,"",IF(INDIRECT("H"&amp;ROW())=INDIRECT("E"&amp;ROW()),"Active","Expired"))</f>
        <v/>
      </c>
    </row>
    <row r="299" spans="9:10" x14ac:dyDescent="0.2">
      <c r="I299" s="34" t="str" cm="1">
        <f t="array" aca="1" ref="I299" ca="1">IF(ISBLANK(INDIRECT("B"&amp;ROW())), "", INDIRECT("B"&amp;ROW()) &amp; " - " &amp; INDIRECT("J"&amp;ROW()))</f>
        <v/>
      </c>
      <c r="J299" s="34" t="str" cm="1">
        <f t="array" aca="1" ref="J299" ca="1">IF(INDIRECT("E"&amp;ROW())=0,"",IF(INDIRECT("H"&amp;ROW())=INDIRECT("E"&amp;ROW()),"Active","Expired"))</f>
        <v/>
      </c>
    </row>
    <row r="300" spans="9:10" x14ac:dyDescent="0.2">
      <c r="I300" s="34" t="str" cm="1">
        <f t="array" aca="1" ref="I300" ca="1">IF(ISBLANK(INDIRECT("B"&amp;ROW())), "", INDIRECT("B"&amp;ROW()) &amp; " - " &amp; INDIRECT("J"&amp;ROW()))</f>
        <v/>
      </c>
      <c r="J300" s="34" t="str" cm="1">
        <f t="array" aca="1" ref="J300" ca="1">IF(INDIRECT("E"&amp;ROW())=0,"",IF(INDIRECT("H"&amp;ROW())=INDIRECT("E"&amp;ROW()),"Active","Expired"))</f>
        <v/>
      </c>
    </row>
    <row r="301" spans="9:10" x14ac:dyDescent="0.2">
      <c r="I301" s="34" t="str" cm="1">
        <f t="array" aca="1" ref="I301" ca="1">IF(ISBLANK(INDIRECT("B"&amp;ROW())), "", INDIRECT("B"&amp;ROW()) &amp; " - " &amp; INDIRECT("J"&amp;ROW()))</f>
        <v/>
      </c>
      <c r="J301" s="34" t="str" cm="1">
        <f t="array" aca="1" ref="J301" ca="1">IF(INDIRECT("E"&amp;ROW())=0,"",IF(INDIRECT("H"&amp;ROW())=INDIRECT("E"&amp;ROW()),"Active","Expired"))</f>
        <v/>
      </c>
    </row>
    <row r="302" spans="9:10" x14ac:dyDescent="0.2">
      <c r="I302" s="34" t="str" cm="1">
        <f t="array" aca="1" ref="I302" ca="1">IF(ISBLANK(INDIRECT("B"&amp;ROW())), "", INDIRECT("B"&amp;ROW()) &amp; " - " &amp; INDIRECT("J"&amp;ROW()))</f>
        <v/>
      </c>
      <c r="J302" s="34" t="str" cm="1">
        <f t="array" aca="1" ref="J302" ca="1">IF(INDIRECT("E"&amp;ROW())=0,"",IF(INDIRECT("H"&amp;ROW())=INDIRECT("E"&amp;ROW()),"Active","Expired"))</f>
        <v/>
      </c>
    </row>
    <row r="303" spans="9:10" x14ac:dyDescent="0.2">
      <c r="I303" s="34" t="str" cm="1">
        <f t="array" aca="1" ref="I303" ca="1">IF(ISBLANK(INDIRECT("B"&amp;ROW())), "", INDIRECT("B"&amp;ROW()) &amp; " - " &amp; INDIRECT("J"&amp;ROW()))</f>
        <v/>
      </c>
      <c r="J303" s="34" t="str" cm="1">
        <f t="array" aca="1" ref="J303" ca="1">IF(INDIRECT("E"&amp;ROW())=0,"",IF(INDIRECT("H"&amp;ROW())=INDIRECT("E"&amp;ROW()),"Active","Expired"))</f>
        <v/>
      </c>
    </row>
    <row r="304" spans="9:10" x14ac:dyDescent="0.2">
      <c r="I304" s="34" t="str" cm="1">
        <f t="array" aca="1" ref="I304" ca="1">IF(ISBLANK(INDIRECT("B"&amp;ROW())), "", INDIRECT("B"&amp;ROW()) &amp; " - " &amp; INDIRECT("J"&amp;ROW()))</f>
        <v/>
      </c>
      <c r="J304" s="34" t="str" cm="1">
        <f t="array" aca="1" ref="J304" ca="1">IF(INDIRECT("E"&amp;ROW())=0,"",IF(INDIRECT("H"&amp;ROW())=INDIRECT("E"&amp;ROW()),"Active","Expired"))</f>
        <v/>
      </c>
    </row>
    <row r="305" spans="9:10" x14ac:dyDescent="0.2">
      <c r="I305" s="34" t="str" cm="1">
        <f t="array" aca="1" ref="I305" ca="1">IF(ISBLANK(INDIRECT("B"&amp;ROW())), "", INDIRECT("B"&amp;ROW()) &amp; " - " &amp; INDIRECT("J"&amp;ROW()))</f>
        <v/>
      </c>
      <c r="J305" s="34" t="str" cm="1">
        <f t="array" aca="1" ref="J305" ca="1">IF(INDIRECT("E"&amp;ROW())=0,"",IF(INDIRECT("H"&amp;ROW())=INDIRECT("E"&amp;ROW()),"Active","Expired"))</f>
        <v/>
      </c>
    </row>
    <row r="306" spans="9:10" x14ac:dyDescent="0.2">
      <c r="I306" s="34" t="str" cm="1">
        <f t="array" aca="1" ref="I306" ca="1">IF(ISBLANK(INDIRECT("B"&amp;ROW())), "", INDIRECT("B"&amp;ROW()) &amp; " - " &amp; INDIRECT("J"&amp;ROW()))</f>
        <v/>
      </c>
      <c r="J306" s="34" t="str" cm="1">
        <f t="array" aca="1" ref="J306" ca="1">IF(INDIRECT("E"&amp;ROW())=0,"",IF(INDIRECT("H"&amp;ROW())=INDIRECT("E"&amp;ROW()),"Active","Expired"))</f>
        <v/>
      </c>
    </row>
    <row r="307" spans="9:10" x14ac:dyDescent="0.2">
      <c r="I307" s="34" t="str" cm="1">
        <f t="array" aca="1" ref="I307" ca="1">IF(ISBLANK(INDIRECT("B"&amp;ROW())), "", INDIRECT("B"&amp;ROW()) &amp; " - " &amp; INDIRECT("J"&amp;ROW()))</f>
        <v/>
      </c>
      <c r="J307" s="34" t="str" cm="1">
        <f t="array" aca="1" ref="J307" ca="1">IF(INDIRECT("E"&amp;ROW())=0,"",IF(INDIRECT("H"&amp;ROW())=INDIRECT("E"&amp;ROW()),"Active","Expired"))</f>
        <v/>
      </c>
    </row>
    <row r="308" spans="9:10" x14ac:dyDescent="0.2">
      <c r="I308" s="34" t="str" cm="1">
        <f t="array" aca="1" ref="I308" ca="1">IF(ISBLANK(INDIRECT("B"&amp;ROW())), "", INDIRECT("B"&amp;ROW()) &amp; " - " &amp; INDIRECT("J"&amp;ROW()))</f>
        <v/>
      </c>
      <c r="J308" s="34" t="str" cm="1">
        <f t="array" aca="1" ref="J308" ca="1">IF(INDIRECT("E"&amp;ROW())=0,"",IF(INDIRECT("H"&amp;ROW())=INDIRECT("E"&amp;ROW()),"Active","Expired"))</f>
        <v/>
      </c>
    </row>
    <row r="309" spans="9:10" x14ac:dyDescent="0.2">
      <c r="I309" s="34" t="str" cm="1">
        <f t="array" aca="1" ref="I309" ca="1">IF(ISBLANK(INDIRECT("B"&amp;ROW())), "", INDIRECT("B"&amp;ROW()) &amp; " - " &amp; INDIRECT("J"&amp;ROW()))</f>
        <v/>
      </c>
      <c r="J309" s="34" t="str" cm="1">
        <f t="array" aca="1" ref="J309" ca="1">IF(INDIRECT("E"&amp;ROW())=0,"",IF(INDIRECT("H"&amp;ROW())=INDIRECT("E"&amp;ROW()),"Active","Expired"))</f>
        <v/>
      </c>
    </row>
    <row r="310" spans="9:10" x14ac:dyDescent="0.2">
      <c r="I310" s="34" t="str" cm="1">
        <f t="array" aca="1" ref="I310" ca="1">IF(ISBLANK(INDIRECT("B"&amp;ROW())), "", INDIRECT("B"&amp;ROW()) &amp; " - " &amp; INDIRECT("J"&amp;ROW()))</f>
        <v/>
      </c>
      <c r="J310" s="34" t="str" cm="1">
        <f t="array" aca="1" ref="J310" ca="1">IF(INDIRECT("E"&amp;ROW())=0,"",IF(INDIRECT("H"&amp;ROW())=INDIRECT("E"&amp;ROW()),"Active","Expired"))</f>
        <v/>
      </c>
    </row>
    <row r="311" spans="9:10" x14ac:dyDescent="0.2">
      <c r="I311" s="34" t="str" cm="1">
        <f t="array" aca="1" ref="I311" ca="1">IF(ISBLANK(INDIRECT("B"&amp;ROW())), "", INDIRECT("B"&amp;ROW()) &amp; " - " &amp; INDIRECT("J"&amp;ROW()))</f>
        <v/>
      </c>
      <c r="J311" s="34" t="str" cm="1">
        <f t="array" aca="1" ref="J311" ca="1">IF(INDIRECT("E"&amp;ROW())=0,"",IF(INDIRECT("H"&amp;ROW())=INDIRECT("E"&amp;ROW()),"Active","Expired"))</f>
        <v/>
      </c>
    </row>
    <row r="312" spans="9:10" x14ac:dyDescent="0.2">
      <c r="I312" s="34" t="str" cm="1">
        <f t="array" aca="1" ref="I312" ca="1">IF(ISBLANK(INDIRECT("B"&amp;ROW())), "", INDIRECT("B"&amp;ROW()) &amp; " - " &amp; INDIRECT("J"&amp;ROW()))</f>
        <v/>
      </c>
      <c r="J312" s="34" t="str" cm="1">
        <f t="array" aca="1" ref="J312" ca="1">IF(INDIRECT("E"&amp;ROW())=0,"",IF(INDIRECT("H"&amp;ROW())=INDIRECT("E"&amp;ROW()),"Active","Expired"))</f>
        <v/>
      </c>
    </row>
    <row r="313" spans="9:10" x14ac:dyDescent="0.2">
      <c r="I313" s="34" t="str" cm="1">
        <f t="array" aca="1" ref="I313" ca="1">IF(ISBLANK(INDIRECT("B"&amp;ROW())), "", INDIRECT("B"&amp;ROW()) &amp; " - " &amp; INDIRECT("J"&amp;ROW()))</f>
        <v/>
      </c>
      <c r="J313" s="34" t="str" cm="1">
        <f t="array" aca="1" ref="J313" ca="1">IF(INDIRECT("E"&amp;ROW())=0,"",IF(INDIRECT("H"&amp;ROW())=INDIRECT("E"&amp;ROW()),"Active","Expired"))</f>
        <v/>
      </c>
    </row>
    <row r="314" spans="9:10" x14ac:dyDescent="0.2">
      <c r="I314" s="34" t="str" cm="1">
        <f t="array" aca="1" ref="I314" ca="1">IF(ISBLANK(INDIRECT("B"&amp;ROW())), "", INDIRECT("B"&amp;ROW()) &amp; " - " &amp; INDIRECT("J"&amp;ROW()))</f>
        <v/>
      </c>
      <c r="J314" s="34" t="str" cm="1">
        <f t="array" aca="1" ref="J314" ca="1">IF(INDIRECT("E"&amp;ROW())=0,"",IF(INDIRECT("H"&amp;ROW())=INDIRECT("E"&amp;ROW()),"Active","Expired"))</f>
        <v/>
      </c>
    </row>
    <row r="315" spans="9:10" x14ac:dyDescent="0.2">
      <c r="I315" s="34" t="str" cm="1">
        <f t="array" aca="1" ref="I315" ca="1">IF(ISBLANK(INDIRECT("B"&amp;ROW())), "", INDIRECT("B"&amp;ROW()) &amp; " - " &amp; INDIRECT("J"&amp;ROW()))</f>
        <v/>
      </c>
      <c r="J315" s="34" t="str" cm="1">
        <f t="array" aca="1" ref="J315" ca="1">IF(INDIRECT("E"&amp;ROW())=0,"",IF(INDIRECT("H"&amp;ROW())=INDIRECT("E"&amp;ROW()),"Active","Expired"))</f>
        <v/>
      </c>
    </row>
    <row r="316" spans="9:10" x14ac:dyDescent="0.2">
      <c r="I316" s="34" t="str" cm="1">
        <f t="array" aca="1" ref="I316" ca="1">IF(ISBLANK(INDIRECT("B"&amp;ROW())), "", INDIRECT("B"&amp;ROW()) &amp; " - " &amp; INDIRECT("J"&amp;ROW()))</f>
        <v/>
      </c>
      <c r="J316" s="34" t="str" cm="1">
        <f t="array" aca="1" ref="J316" ca="1">IF(INDIRECT("E"&amp;ROW())=0,"",IF(INDIRECT("H"&amp;ROW())=INDIRECT("E"&amp;ROW()),"Active","Expired"))</f>
        <v/>
      </c>
    </row>
    <row r="317" spans="9:10" x14ac:dyDescent="0.2">
      <c r="I317" s="34" t="str" cm="1">
        <f t="array" aca="1" ref="I317" ca="1">IF(ISBLANK(INDIRECT("B"&amp;ROW())), "", INDIRECT("B"&amp;ROW()) &amp; " - " &amp; INDIRECT("J"&amp;ROW()))</f>
        <v/>
      </c>
      <c r="J317" s="34" t="str" cm="1">
        <f t="array" aca="1" ref="J317" ca="1">IF(INDIRECT("E"&amp;ROW())=0,"",IF(INDIRECT("H"&amp;ROW())=INDIRECT("E"&amp;ROW()),"Active","Expired"))</f>
        <v/>
      </c>
    </row>
    <row r="318" spans="9:10" x14ac:dyDescent="0.2">
      <c r="I318" s="34" t="str" cm="1">
        <f t="array" aca="1" ref="I318" ca="1">IF(ISBLANK(INDIRECT("B"&amp;ROW())), "", INDIRECT("B"&amp;ROW()) &amp; " - " &amp; INDIRECT("J"&amp;ROW()))</f>
        <v/>
      </c>
      <c r="J318" s="34" t="str" cm="1">
        <f t="array" aca="1" ref="J318" ca="1">IF(INDIRECT("E"&amp;ROW())=0,"",IF(INDIRECT("H"&amp;ROW())=INDIRECT("E"&amp;ROW()),"Active","Expired"))</f>
        <v/>
      </c>
    </row>
    <row r="319" spans="9:10" x14ac:dyDescent="0.2">
      <c r="I319" s="34" t="str" cm="1">
        <f t="array" aca="1" ref="I319" ca="1">IF(ISBLANK(INDIRECT("B"&amp;ROW())), "", INDIRECT("B"&amp;ROW()) &amp; " - " &amp; INDIRECT("J"&amp;ROW()))</f>
        <v/>
      </c>
      <c r="J319" s="34" t="str" cm="1">
        <f t="array" aca="1" ref="J319" ca="1">IF(INDIRECT("E"&amp;ROW())=0,"",IF(INDIRECT("H"&amp;ROW())=INDIRECT("E"&amp;ROW()),"Active","Expired"))</f>
        <v/>
      </c>
    </row>
    <row r="320" spans="9:10" x14ac:dyDescent="0.2">
      <c r="I320" s="34" t="str" cm="1">
        <f t="array" aca="1" ref="I320" ca="1">IF(ISBLANK(INDIRECT("B"&amp;ROW())), "", INDIRECT("B"&amp;ROW()) &amp; " - " &amp; INDIRECT("J"&amp;ROW()))</f>
        <v/>
      </c>
      <c r="J320" s="34" t="str" cm="1">
        <f t="array" aca="1" ref="J320" ca="1">IF(INDIRECT("E"&amp;ROW())=0,"",IF(INDIRECT("H"&amp;ROW())=INDIRECT("E"&amp;ROW()),"Active","Expired"))</f>
        <v/>
      </c>
    </row>
    <row r="321" spans="9:10" x14ac:dyDescent="0.2">
      <c r="I321" s="34" t="str" cm="1">
        <f t="array" aca="1" ref="I321" ca="1">IF(ISBLANK(INDIRECT("B"&amp;ROW())), "", INDIRECT("B"&amp;ROW()) &amp; " - " &amp; INDIRECT("J"&amp;ROW()))</f>
        <v/>
      </c>
      <c r="J321" s="34" t="str" cm="1">
        <f t="array" aca="1" ref="J321" ca="1">IF(INDIRECT("E"&amp;ROW())=0,"",IF(INDIRECT("H"&amp;ROW())=INDIRECT("E"&amp;ROW()),"Active","Expired"))</f>
        <v/>
      </c>
    </row>
    <row r="322" spans="9:10" x14ac:dyDescent="0.2">
      <c r="I322" s="34" t="str" cm="1">
        <f t="array" aca="1" ref="I322" ca="1">IF(ISBLANK(INDIRECT("B"&amp;ROW())), "", INDIRECT("B"&amp;ROW()) &amp; " - " &amp; INDIRECT("J"&amp;ROW()))</f>
        <v/>
      </c>
      <c r="J322" s="34" t="str" cm="1">
        <f t="array" aca="1" ref="J322" ca="1">IF(INDIRECT("E"&amp;ROW())=0,"",IF(INDIRECT("H"&amp;ROW())=INDIRECT("E"&amp;ROW()),"Active","Expired"))</f>
        <v/>
      </c>
    </row>
    <row r="323" spans="9:10" x14ac:dyDescent="0.2">
      <c r="I323" s="34" t="str" cm="1">
        <f t="array" aca="1" ref="I323" ca="1">IF(ISBLANK(INDIRECT("B"&amp;ROW())), "", INDIRECT("B"&amp;ROW()) &amp; " - " &amp; INDIRECT("J"&amp;ROW()))</f>
        <v/>
      </c>
      <c r="J323" s="34" t="str" cm="1">
        <f t="array" aca="1" ref="J323" ca="1">IF(INDIRECT("E"&amp;ROW())=0,"",IF(INDIRECT("H"&amp;ROW())=INDIRECT("E"&amp;ROW()),"Active","Expired"))</f>
        <v/>
      </c>
    </row>
    <row r="324" spans="9:10" x14ac:dyDescent="0.2">
      <c r="I324" s="34" t="str" cm="1">
        <f t="array" aca="1" ref="I324" ca="1">IF(ISBLANK(INDIRECT("B"&amp;ROW())), "", INDIRECT("B"&amp;ROW()) &amp; " - " &amp; INDIRECT("J"&amp;ROW()))</f>
        <v/>
      </c>
      <c r="J324" s="34" t="str" cm="1">
        <f t="array" aca="1" ref="J324" ca="1">IF(INDIRECT("E"&amp;ROW())=0,"",IF(INDIRECT("H"&amp;ROW())=INDIRECT("E"&amp;ROW()),"Active","Expired"))</f>
        <v/>
      </c>
    </row>
    <row r="325" spans="9:10" x14ac:dyDescent="0.2">
      <c r="I325" s="34" t="str" cm="1">
        <f t="array" aca="1" ref="I325" ca="1">IF(ISBLANK(INDIRECT("B"&amp;ROW())), "", INDIRECT("B"&amp;ROW()) &amp; " - " &amp; INDIRECT("J"&amp;ROW()))</f>
        <v/>
      </c>
      <c r="J325" s="34" t="str" cm="1">
        <f t="array" aca="1" ref="J325" ca="1">IF(INDIRECT("E"&amp;ROW())=0,"",IF(INDIRECT("H"&amp;ROW())=INDIRECT("E"&amp;ROW()),"Active","Expired"))</f>
        <v/>
      </c>
    </row>
    <row r="326" spans="9:10" x14ac:dyDescent="0.2">
      <c r="I326" s="34" t="str" cm="1">
        <f t="array" aca="1" ref="I326" ca="1">IF(ISBLANK(INDIRECT("B"&amp;ROW())), "", INDIRECT("B"&amp;ROW()) &amp; " - " &amp; INDIRECT("J"&amp;ROW()))</f>
        <v/>
      </c>
      <c r="J326" s="34" t="str" cm="1">
        <f t="array" aca="1" ref="J326" ca="1">IF(INDIRECT("E"&amp;ROW())=0,"",IF(INDIRECT("H"&amp;ROW())=INDIRECT("E"&amp;ROW()),"Active","Expired"))</f>
        <v/>
      </c>
    </row>
    <row r="327" spans="9:10" x14ac:dyDescent="0.2">
      <c r="I327" s="34" t="str" cm="1">
        <f t="array" aca="1" ref="I327" ca="1">IF(ISBLANK(INDIRECT("B"&amp;ROW())), "", INDIRECT("B"&amp;ROW()) &amp; " - " &amp; INDIRECT("J"&amp;ROW()))</f>
        <v/>
      </c>
      <c r="J327" s="34" t="str" cm="1">
        <f t="array" aca="1" ref="J327" ca="1">IF(INDIRECT("E"&amp;ROW())=0,"",IF(INDIRECT("H"&amp;ROW())=INDIRECT("E"&amp;ROW()),"Active","Expired"))</f>
        <v/>
      </c>
    </row>
    <row r="328" spans="9:10" x14ac:dyDescent="0.2">
      <c r="I328" s="34" t="str" cm="1">
        <f t="array" aca="1" ref="I328" ca="1">IF(ISBLANK(INDIRECT("B"&amp;ROW())), "", INDIRECT("B"&amp;ROW()) &amp; " - " &amp; INDIRECT("J"&amp;ROW()))</f>
        <v/>
      </c>
      <c r="J328" s="34" t="str" cm="1">
        <f t="array" aca="1" ref="J328" ca="1">IF(INDIRECT("E"&amp;ROW())=0,"",IF(INDIRECT("H"&amp;ROW())=INDIRECT("E"&amp;ROW()),"Active","Expired"))</f>
        <v/>
      </c>
    </row>
    <row r="329" spans="9:10" x14ac:dyDescent="0.2">
      <c r="I329" s="34" t="str" cm="1">
        <f t="array" aca="1" ref="I329" ca="1">IF(ISBLANK(INDIRECT("B"&amp;ROW())), "", INDIRECT("B"&amp;ROW()) &amp; " - " &amp; INDIRECT("J"&amp;ROW()))</f>
        <v/>
      </c>
      <c r="J329" s="34" t="str" cm="1">
        <f t="array" aca="1" ref="J329" ca="1">IF(INDIRECT("E"&amp;ROW())=0,"",IF(INDIRECT("H"&amp;ROW())=INDIRECT("E"&amp;ROW()),"Active","Expired"))</f>
        <v/>
      </c>
    </row>
    <row r="330" spans="9:10" x14ac:dyDescent="0.2">
      <c r="I330" s="34" t="str" cm="1">
        <f t="array" aca="1" ref="I330" ca="1">IF(ISBLANK(INDIRECT("B"&amp;ROW())), "", INDIRECT("B"&amp;ROW()) &amp; " - " &amp; INDIRECT("J"&amp;ROW()))</f>
        <v/>
      </c>
      <c r="J330" s="34" t="str" cm="1">
        <f t="array" aca="1" ref="J330" ca="1">IF(INDIRECT("E"&amp;ROW())=0,"",IF(INDIRECT("H"&amp;ROW())=INDIRECT("E"&amp;ROW()),"Active","Expired"))</f>
        <v/>
      </c>
    </row>
    <row r="331" spans="9:10" x14ac:dyDescent="0.2">
      <c r="I331" s="34" t="str" cm="1">
        <f t="array" aca="1" ref="I331" ca="1">IF(ISBLANK(INDIRECT("B"&amp;ROW())), "", INDIRECT("B"&amp;ROW()) &amp; " - " &amp; INDIRECT("J"&amp;ROW()))</f>
        <v/>
      </c>
      <c r="J331" s="34" t="str" cm="1">
        <f t="array" aca="1" ref="J331" ca="1">IF(INDIRECT("E"&amp;ROW())=0,"",IF(INDIRECT("H"&amp;ROW())=INDIRECT("E"&amp;ROW()),"Active","Expired"))</f>
        <v/>
      </c>
    </row>
    <row r="332" spans="9:10" x14ac:dyDescent="0.2">
      <c r="I332" s="34" t="str" cm="1">
        <f t="array" aca="1" ref="I332" ca="1">IF(ISBLANK(INDIRECT("B"&amp;ROW())), "", INDIRECT("B"&amp;ROW()) &amp; " - " &amp; INDIRECT("J"&amp;ROW()))</f>
        <v/>
      </c>
      <c r="J332" s="34" t="str" cm="1">
        <f t="array" aca="1" ref="J332" ca="1">IF(INDIRECT("E"&amp;ROW())=0,"",IF(INDIRECT("H"&amp;ROW())=INDIRECT("E"&amp;ROW()),"Active","Expired"))</f>
        <v/>
      </c>
    </row>
    <row r="333" spans="9:10" x14ac:dyDescent="0.2">
      <c r="I333" s="34" t="str" cm="1">
        <f t="array" aca="1" ref="I333" ca="1">IF(ISBLANK(INDIRECT("B"&amp;ROW())), "", INDIRECT("B"&amp;ROW()) &amp; " - " &amp; INDIRECT("J"&amp;ROW()))</f>
        <v/>
      </c>
      <c r="J333" s="34" t="str" cm="1">
        <f t="array" aca="1" ref="J333" ca="1">IF(INDIRECT("E"&amp;ROW())=0,"",IF(INDIRECT("H"&amp;ROW())=INDIRECT("E"&amp;ROW()),"Active","Expired"))</f>
        <v/>
      </c>
    </row>
    <row r="334" spans="9:10" x14ac:dyDescent="0.2">
      <c r="I334" s="34" t="str" cm="1">
        <f t="array" aca="1" ref="I334" ca="1">IF(ISBLANK(INDIRECT("B"&amp;ROW())), "", INDIRECT("B"&amp;ROW()) &amp; " - " &amp; INDIRECT("J"&amp;ROW()))</f>
        <v/>
      </c>
      <c r="J334" s="34" t="str" cm="1">
        <f t="array" aca="1" ref="J334" ca="1">IF(INDIRECT("E"&amp;ROW())=0,"",IF(INDIRECT("H"&amp;ROW())=INDIRECT("E"&amp;ROW()),"Active","Expired"))</f>
        <v/>
      </c>
    </row>
    <row r="335" spans="9:10" x14ac:dyDescent="0.2">
      <c r="I335" s="34" t="str" cm="1">
        <f t="array" aca="1" ref="I335" ca="1">IF(ISBLANK(INDIRECT("B"&amp;ROW())), "", INDIRECT("B"&amp;ROW()) &amp; " - " &amp; INDIRECT("J"&amp;ROW()))</f>
        <v/>
      </c>
      <c r="J335" s="34" t="str" cm="1">
        <f t="array" aca="1" ref="J335" ca="1">IF(INDIRECT("E"&amp;ROW())=0,"",IF(INDIRECT("H"&amp;ROW())=INDIRECT("E"&amp;ROW()),"Active","Expired"))</f>
        <v/>
      </c>
    </row>
    <row r="336" spans="9:10" x14ac:dyDescent="0.2">
      <c r="I336" s="34" t="str" cm="1">
        <f t="array" aca="1" ref="I336" ca="1">IF(ISBLANK(INDIRECT("B"&amp;ROW())), "", INDIRECT("B"&amp;ROW()) &amp; " - " &amp; INDIRECT("J"&amp;ROW()))</f>
        <v/>
      </c>
      <c r="J336" s="34" t="str" cm="1">
        <f t="array" aca="1" ref="J336" ca="1">IF(INDIRECT("E"&amp;ROW())=0,"",IF(INDIRECT("H"&amp;ROW())=INDIRECT("E"&amp;ROW()),"Active","Expired"))</f>
        <v/>
      </c>
    </row>
    <row r="337" spans="9:10" x14ac:dyDescent="0.2">
      <c r="I337" s="34" t="str" cm="1">
        <f t="array" aca="1" ref="I337" ca="1">IF(ISBLANK(INDIRECT("B"&amp;ROW())), "", INDIRECT("B"&amp;ROW()) &amp; " - " &amp; INDIRECT("J"&amp;ROW()))</f>
        <v/>
      </c>
      <c r="J337" s="34" t="str" cm="1">
        <f t="array" aca="1" ref="J337" ca="1">IF(INDIRECT("E"&amp;ROW())=0,"",IF(INDIRECT("H"&amp;ROW())=INDIRECT("E"&amp;ROW()),"Active","Expired"))</f>
        <v/>
      </c>
    </row>
    <row r="338" spans="9:10" x14ac:dyDescent="0.2">
      <c r="I338" s="34" t="str" cm="1">
        <f t="array" aca="1" ref="I338" ca="1">IF(ISBLANK(INDIRECT("B"&amp;ROW())), "", INDIRECT("B"&amp;ROW()) &amp; " - " &amp; INDIRECT("J"&amp;ROW()))</f>
        <v/>
      </c>
      <c r="J338" s="34" t="str" cm="1">
        <f t="array" aca="1" ref="J338" ca="1">IF(INDIRECT("E"&amp;ROW())=0,"",IF(INDIRECT("H"&amp;ROW())=INDIRECT("E"&amp;ROW()),"Active","Expired"))</f>
        <v/>
      </c>
    </row>
    <row r="339" spans="9:10" x14ac:dyDescent="0.2">
      <c r="I339" s="34" t="str" cm="1">
        <f t="array" aca="1" ref="I339" ca="1">IF(ISBLANK(INDIRECT("B"&amp;ROW())), "", INDIRECT("B"&amp;ROW()) &amp; " - " &amp; INDIRECT("J"&amp;ROW()))</f>
        <v/>
      </c>
      <c r="J339" s="34" t="str" cm="1">
        <f t="array" aca="1" ref="J339" ca="1">IF(INDIRECT("E"&amp;ROW())=0,"",IF(INDIRECT("H"&amp;ROW())=INDIRECT("E"&amp;ROW()),"Active","Expired"))</f>
        <v/>
      </c>
    </row>
    <row r="340" spans="9:10" x14ac:dyDescent="0.2">
      <c r="I340" s="34" t="str" cm="1">
        <f t="array" aca="1" ref="I340" ca="1">IF(ISBLANK(INDIRECT("B"&amp;ROW())), "", INDIRECT("B"&amp;ROW()) &amp; " - " &amp; INDIRECT("J"&amp;ROW()))</f>
        <v/>
      </c>
      <c r="J340" s="34" t="str" cm="1">
        <f t="array" aca="1" ref="J340" ca="1">IF(INDIRECT("E"&amp;ROW())=0,"",IF(INDIRECT("H"&amp;ROW())=INDIRECT("E"&amp;ROW()),"Active","Expired"))</f>
        <v/>
      </c>
    </row>
    <row r="341" spans="9:10" x14ac:dyDescent="0.2">
      <c r="I341" s="34" t="str" cm="1">
        <f t="array" aca="1" ref="I341" ca="1">IF(ISBLANK(INDIRECT("B"&amp;ROW())), "", INDIRECT("B"&amp;ROW()) &amp; " - " &amp; INDIRECT("J"&amp;ROW()))</f>
        <v/>
      </c>
      <c r="J341" s="34" t="str" cm="1">
        <f t="array" aca="1" ref="J341" ca="1">IF(INDIRECT("E"&amp;ROW())=0,"",IF(INDIRECT("H"&amp;ROW())=INDIRECT("E"&amp;ROW()),"Active","Expired"))</f>
        <v/>
      </c>
    </row>
    <row r="342" spans="9:10" x14ac:dyDescent="0.2">
      <c r="I342" s="34" t="str" cm="1">
        <f t="array" aca="1" ref="I342" ca="1">IF(ISBLANK(INDIRECT("B"&amp;ROW())), "", INDIRECT("B"&amp;ROW()) &amp; " - " &amp; INDIRECT("J"&amp;ROW()))</f>
        <v/>
      </c>
      <c r="J342" s="34" t="str" cm="1">
        <f t="array" aca="1" ref="J342" ca="1">IF(INDIRECT("E"&amp;ROW())=0,"",IF(INDIRECT("H"&amp;ROW())=INDIRECT("E"&amp;ROW()),"Active","Expired"))</f>
        <v/>
      </c>
    </row>
    <row r="343" spans="9:10" x14ac:dyDescent="0.2">
      <c r="I343" s="34" t="str" cm="1">
        <f t="array" aca="1" ref="I343" ca="1">IF(ISBLANK(INDIRECT("B"&amp;ROW())), "", INDIRECT("B"&amp;ROW()) &amp; " - " &amp; INDIRECT("J"&amp;ROW()))</f>
        <v/>
      </c>
      <c r="J343" s="34" t="str" cm="1">
        <f t="array" aca="1" ref="J343" ca="1">IF(INDIRECT("E"&amp;ROW())=0,"",IF(INDIRECT("H"&amp;ROW())=INDIRECT("E"&amp;ROW()),"Active","Expired"))</f>
        <v/>
      </c>
    </row>
    <row r="344" spans="9:10" x14ac:dyDescent="0.2">
      <c r="I344" s="34" t="str" cm="1">
        <f t="array" aca="1" ref="I344" ca="1">IF(ISBLANK(INDIRECT("B"&amp;ROW())), "", INDIRECT("B"&amp;ROW()) &amp; " - " &amp; INDIRECT("J"&amp;ROW()))</f>
        <v/>
      </c>
      <c r="J344" s="34" t="str" cm="1">
        <f t="array" aca="1" ref="J344" ca="1">IF(INDIRECT("E"&amp;ROW())=0,"",IF(INDIRECT("H"&amp;ROW())=INDIRECT("E"&amp;ROW()),"Active","Expired"))</f>
        <v/>
      </c>
    </row>
    <row r="345" spans="9:10" x14ac:dyDescent="0.2">
      <c r="I345" s="34" t="str" cm="1">
        <f t="array" aca="1" ref="I345" ca="1">IF(ISBLANK(INDIRECT("B"&amp;ROW())), "", INDIRECT("B"&amp;ROW()) &amp; " - " &amp; INDIRECT("J"&amp;ROW()))</f>
        <v/>
      </c>
      <c r="J345" s="34" t="str" cm="1">
        <f t="array" aca="1" ref="J345" ca="1">IF(INDIRECT("E"&amp;ROW())=0,"",IF(INDIRECT("H"&amp;ROW())=INDIRECT("E"&amp;ROW()),"Active","Expired"))</f>
        <v/>
      </c>
    </row>
    <row r="346" spans="9:10" x14ac:dyDescent="0.2">
      <c r="I346" s="34" t="str" cm="1">
        <f t="array" aca="1" ref="I346" ca="1">IF(ISBLANK(INDIRECT("B"&amp;ROW())), "", INDIRECT("B"&amp;ROW()) &amp; " - " &amp; INDIRECT("J"&amp;ROW()))</f>
        <v/>
      </c>
      <c r="J346" s="34" t="str" cm="1">
        <f t="array" aca="1" ref="J346" ca="1">IF(INDIRECT("E"&amp;ROW())=0,"",IF(INDIRECT("H"&amp;ROW())=INDIRECT("E"&amp;ROW()),"Active","Expired"))</f>
        <v/>
      </c>
    </row>
    <row r="347" spans="9:10" x14ac:dyDescent="0.2">
      <c r="I347" s="34" t="str" cm="1">
        <f t="array" aca="1" ref="I347" ca="1">IF(ISBLANK(INDIRECT("B"&amp;ROW())), "", INDIRECT("B"&amp;ROW()) &amp; " - " &amp; INDIRECT("J"&amp;ROW()))</f>
        <v/>
      </c>
      <c r="J347" s="34" t="str" cm="1">
        <f t="array" aca="1" ref="J347" ca="1">IF(INDIRECT("E"&amp;ROW())=0,"",IF(INDIRECT("H"&amp;ROW())=INDIRECT("E"&amp;ROW()),"Active","Expired"))</f>
        <v/>
      </c>
    </row>
    <row r="348" spans="9:10" x14ac:dyDescent="0.2">
      <c r="I348" s="34" t="str" cm="1">
        <f t="array" aca="1" ref="I348" ca="1">IF(ISBLANK(INDIRECT("B"&amp;ROW())), "", INDIRECT("B"&amp;ROW()) &amp; " - " &amp; INDIRECT("J"&amp;ROW()))</f>
        <v/>
      </c>
      <c r="J348" s="34" t="str" cm="1">
        <f t="array" aca="1" ref="J348" ca="1">IF(INDIRECT("E"&amp;ROW())=0,"",IF(INDIRECT("H"&amp;ROW())=INDIRECT("E"&amp;ROW()),"Active","Expired"))</f>
        <v/>
      </c>
    </row>
    <row r="349" spans="9:10" x14ac:dyDescent="0.2">
      <c r="I349" s="34" t="str" cm="1">
        <f t="array" aca="1" ref="I349" ca="1">IF(ISBLANK(INDIRECT("B"&amp;ROW())), "", INDIRECT("B"&amp;ROW()) &amp; " - " &amp; INDIRECT("J"&amp;ROW()))</f>
        <v/>
      </c>
      <c r="J349" s="34" t="str" cm="1">
        <f t="array" aca="1" ref="J349" ca="1">IF(INDIRECT("E"&amp;ROW())=0,"",IF(INDIRECT("H"&amp;ROW())=INDIRECT("E"&amp;ROW()),"Active","Expired"))</f>
        <v/>
      </c>
    </row>
    <row r="350" spans="9:10" x14ac:dyDescent="0.2">
      <c r="I350" s="34" t="str" cm="1">
        <f t="array" aca="1" ref="I350" ca="1">IF(ISBLANK(INDIRECT("B"&amp;ROW())), "", INDIRECT("B"&amp;ROW()) &amp; " - " &amp; INDIRECT("J"&amp;ROW()))</f>
        <v/>
      </c>
      <c r="J350" s="34" t="str" cm="1">
        <f t="array" aca="1" ref="J350" ca="1">IF(INDIRECT("E"&amp;ROW())=0,"",IF(INDIRECT("H"&amp;ROW())=INDIRECT("E"&amp;ROW()),"Active","Expired"))</f>
        <v/>
      </c>
    </row>
    <row r="351" spans="9:10" x14ac:dyDescent="0.2">
      <c r="I351" s="34" t="str" cm="1">
        <f t="array" aca="1" ref="I351" ca="1">IF(ISBLANK(INDIRECT("B"&amp;ROW())), "", INDIRECT("B"&amp;ROW()) &amp; " - " &amp; INDIRECT("J"&amp;ROW()))</f>
        <v/>
      </c>
      <c r="J351" s="34" t="str" cm="1">
        <f t="array" aca="1" ref="J351" ca="1">IF(INDIRECT("E"&amp;ROW())=0,"",IF(INDIRECT("H"&amp;ROW())=INDIRECT("E"&amp;ROW()),"Active","Expired"))</f>
        <v/>
      </c>
    </row>
    <row r="352" spans="9:10" x14ac:dyDescent="0.2">
      <c r="I352" s="34" t="str" cm="1">
        <f t="array" aca="1" ref="I352" ca="1">IF(ISBLANK(INDIRECT("B"&amp;ROW())), "", INDIRECT("B"&amp;ROW()) &amp; " - " &amp; INDIRECT("J"&amp;ROW()))</f>
        <v/>
      </c>
      <c r="J352" s="34" t="str" cm="1">
        <f t="array" aca="1" ref="J352" ca="1">IF(INDIRECT("E"&amp;ROW())=0,"",IF(INDIRECT("H"&amp;ROW())=INDIRECT("E"&amp;ROW()),"Active","Expired"))</f>
        <v/>
      </c>
    </row>
    <row r="353" spans="9:10" x14ac:dyDescent="0.2">
      <c r="I353" s="34" t="str" cm="1">
        <f t="array" aca="1" ref="I353" ca="1">IF(ISBLANK(INDIRECT("B"&amp;ROW())), "", INDIRECT("B"&amp;ROW()) &amp; " - " &amp; INDIRECT("J"&amp;ROW()))</f>
        <v/>
      </c>
      <c r="J353" s="34" t="str" cm="1">
        <f t="array" aca="1" ref="J353" ca="1">IF(INDIRECT("E"&amp;ROW())=0,"",IF(INDIRECT("H"&amp;ROW())=INDIRECT("E"&amp;ROW()),"Active","Expired"))</f>
        <v/>
      </c>
    </row>
    <row r="354" spans="9:10" x14ac:dyDescent="0.2">
      <c r="I354" s="34" t="str" cm="1">
        <f t="array" aca="1" ref="I354" ca="1">IF(ISBLANK(INDIRECT("B"&amp;ROW())), "", INDIRECT("B"&amp;ROW()) &amp; " - " &amp; INDIRECT("J"&amp;ROW()))</f>
        <v/>
      </c>
      <c r="J354" s="34" t="str" cm="1">
        <f t="array" aca="1" ref="J354" ca="1">IF(INDIRECT("E"&amp;ROW())=0,"",IF(INDIRECT("H"&amp;ROW())=INDIRECT("E"&amp;ROW()),"Active","Expired"))</f>
        <v/>
      </c>
    </row>
    <row r="355" spans="9:10" x14ac:dyDescent="0.2">
      <c r="I355" s="34" t="str" cm="1">
        <f t="array" aca="1" ref="I355" ca="1">IF(ISBLANK(INDIRECT("B"&amp;ROW())), "", INDIRECT("B"&amp;ROW()) &amp; " - " &amp; INDIRECT("J"&amp;ROW()))</f>
        <v/>
      </c>
      <c r="J355" s="34" t="str" cm="1">
        <f t="array" aca="1" ref="J355" ca="1">IF(INDIRECT("E"&amp;ROW())=0,"",IF(INDIRECT("H"&amp;ROW())=INDIRECT("E"&amp;ROW()),"Active","Expired"))</f>
        <v/>
      </c>
    </row>
    <row r="356" spans="9:10" x14ac:dyDescent="0.2">
      <c r="I356" s="34" t="str" cm="1">
        <f t="array" aca="1" ref="I356" ca="1">IF(ISBLANK(INDIRECT("B"&amp;ROW())), "", INDIRECT("B"&amp;ROW()) &amp; " - " &amp; INDIRECT("J"&amp;ROW()))</f>
        <v/>
      </c>
      <c r="J356" s="34" t="str" cm="1">
        <f t="array" aca="1" ref="J356" ca="1">IF(INDIRECT("E"&amp;ROW())=0,"",IF(INDIRECT("H"&amp;ROW())=INDIRECT("E"&amp;ROW()),"Active","Expired"))</f>
        <v/>
      </c>
    </row>
    <row r="357" spans="9:10" x14ac:dyDescent="0.2">
      <c r="I357" s="34" t="str" cm="1">
        <f t="array" aca="1" ref="I357" ca="1">IF(ISBLANK(INDIRECT("B"&amp;ROW())), "", INDIRECT("B"&amp;ROW()) &amp; " - " &amp; INDIRECT("J"&amp;ROW()))</f>
        <v/>
      </c>
      <c r="J357" s="34" t="str" cm="1">
        <f t="array" aca="1" ref="J357" ca="1">IF(INDIRECT("E"&amp;ROW())=0,"",IF(INDIRECT("H"&amp;ROW())=INDIRECT("E"&amp;ROW()),"Active","Expired"))</f>
        <v/>
      </c>
    </row>
    <row r="358" spans="9:10" x14ac:dyDescent="0.2">
      <c r="I358" s="34" t="str" cm="1">
        <f t="array" aca="1" ref="I358" ca="1">IF(ISBLANK(INDIRECT("B"&amp;ROW())), "", INDIRECT("B"&amp;ROW()) &amp; " - " &amp; INDIRECT("J"&amp;ROW()))</f>
        <v/>
      </c>
      <c r="J358" s="34" t="str" cm="1">
        <f t="array" aca="1" ref="J358" ca="1">IF(INDIRECT("E"&amp;ROW())=0,"",IF(INDIRECT("H"&amp;ROW())=INDIRECT("E"&amp;ROW()),"Active","Expired"))</f>
        <v/>
      </c>
    </row>
    <row r="359" spans="9:10" x14ac:dyDescent="0.2">
      <c r="I359" s="34" t="str" cm="1">
        <f t="array" aca="1" ref="I359" ca="1">IF(ISBLANK(INDIRECT("B"&amp;ROW())), "", INDIRECT("B"&amp;ROW()) &amp; " - " &amp; INDIRECT("J"&amp;ROW()))</f>
        <v/>
      </c>
      <c r="J359" s="34" t="str" cm="1">
        <f t="array" aca="1" ref="J359" ca="1">IF(INDIRECT("E"&amp;ROW())=0,"",IF(INDIRECT("H"&amp;ROW())=INDIRECT("E"&amp;ROW()),"Active","Expired"))</f>
        <v/>
      </c>
    </row>
    <row r="360" spans="9:10" x14ac:dyDescent="0.2">
      <c r="I360" s="34" t="str" cm="1">
        <f t="array" aca="1" ref="I360" ca="1">IF(ISBLANK(INDIRECT("B"&amp;ROW())), "", INDIRECT("B"&amp;ROW()) &amp; " - " &amp; INDIRECT("J"&amp;ROW()))</f>
        <v/>
      </c>
      <c r="J360" s="34" t="str" cm="1">
        <f t="array" aca="1" ref="J360" ca="1">IF(INDIRECT("E"&amp;ROW())=0,"",IF(INDIRECT("H"&amp;ROW())=INDIRECT("E"&amp;ROW()),"Active","Expired"))</f>
        <v/>
      </c>
    </row>
    <row r="361" spans="9:10" x14ac:dyDescent="0.2">
      <c r="I361" s="34" t="str" cm="1">
        <f t="array" aca="1" ref="I361" ca="1">IF(ISBLANK(INDIRECT("B"&amp;ROW())), "", INDIRECT("B"&amp;ROW()) &amp; " - " &amp; INDIRECT("J"&amp;ROW()))</f>
        <v/>
      </c>
      <c r="J361" s="34" t="str" cm="1">
        <f t="array" aca="1" ref="J361" ca="1">IF(INDIRECT("E"&amp;ROW())=0,"",IF(INDIRECT("H"&amp;ROW())=INDIRECT("E"&amp;ROW()),"Active","Expired"))</f>
        <v/>
      </c>
    </row>
    <row r="362" spans="9:10" x14ac:dyDescent="0.2">
      <c r="I362" s="34" t="str" cm="1">
        <f t="array" aca="1" ref="I362" ca="1">IF(ISBLANK(INDIRECT("B"&amp;ROW())), "", INDIRECT("B"&amp;ROW()) &amp; " - " &amp; INDIRECT("J"&amp;ROW()))</f>
        <v/>
      </c>
      <c r="J362" s="34" t="str" cm="1">
        <f t="array" aca="1" ref="J362" ca="1">IF(INDIRECT("E"&amp;ROW())=0,"",IF(INDIRECT("H"&amp;ROW())=INDIRECT("E"&amp;ROW()),"Active","Expired"))</f>
        <v/>
      </c>
    </row>
    <row r="363" spans="9:10" x14ac:dyDescent="0.2">
      <c r="I363" s="34" t="str" cm="1">
        <f t="array" aca="1" ref="I363" ca="1">IF(ISBLANK(INDIRECT("B"&amp;ROW())), "", INDIRECT("B"&amp;ROW()) &amp; " - " &amp; INDIRECT("J"&amp;ROW()))</f>
        <v/>
      </c>
      <c r="J363" s="34" t="str" cm="1">
        <f t="array" aca="1" ref="J363" ca="1">IF(INDIRECT("E"&amp;ROW())=0,"",IF(INDIRECT("H"&amp;ROW())=INDIRECT("E"&amp;ROW()),"Active","Expired"))</f>
        <v/>
      </c>
    </row>
    <row r="364" spans="9:10" x14ac:dyDescent="0.2">
      <c r="I364" s="34" t="str" cm="1">
        <f t="array" aca="1" ref="I364" ca="1">IF(ISBLANK(INDIRECT("B"&amp;ROW())), "", INDIRECT("B"&amp;ROW()) &amp; " - " &amp; INDIRECT("J"&amp;ROW()))</f>
        <v/>
      </c>
      <c r="J364" s="34" t="str" cm="1">
        <f t="array" aca="1" ref="J364" ca="1">IF(INDIRECT("E"&amp;ROW())=0,"",IF(INDIRECT("H"&amp;ROW())=INDIRECT("E"&amp;ROW()),"Active","Expired"))</f>
        <v/>
      </c>
    </row>
    <row r="365" spans="9:10" x14ac:dyDescent="0.2">
      <c r="I365" s="34" t="str" cm="1">
        <f t="array" aca="1" ref="I365" ca="1">IF(ISBLANK(INDIRECT("B"&amp;ROW())), "", INDIRECT("B"&amp;ROW()) &amp; " - " &amp; INDIRECT("J"&amp;ROW()))</f>
        <v/>
      </c>
      <c r="J365" s="34" t="str" cm="1">
        <f t="array" aca="1" ref="J365" ca="1">IF(INDIRECT("E"&amp;ROW())=0,"",IF(INDIRECT("H"&amp;ROW())=INDIRECT("E"&amp;ROW()),"Active","Expired"))</f>
        <v/>
      </c>
    </row>
    <row r="366" spans="9:10" x14ac:dyDescent="0.2">
      <c r="I366" s="34" t="str" cm="1">
        <f t="array" aca="1" ref="I366" ca="1">IF(ISBLANK(INDIRECT("B"&amp;ROW())), "", INDIRECT("B"&amp;ROW()) &amp; " - " &amp; INDIRECT("J"&amp;ROW()))</f>
        <v/>
      </c>
      <c r="J366" s="34" t="str" cm="1">
        <f t="array" aca="1" ref="J366" ca="1">IF(INDIRECT("E"&amp;ROW())=0,"",IF(INDIRECT("H"&amp;ROW())=INDIRECT("E"&amp;ROW()),"Active","Expired"))</f>
        <v/>
      </c>
    </row>
    <row r="367" spans="9:10" x14ac:dyDescent="0.2">
      <c r="I367" s="34" t="str" cm="1">
        <f t="array" aca="1" ref="I367" ca="1">IF(ISBLANK(INDIRECT("B"&amp;ROW())), "", INDIRECT("B"&amp;ROW()) &amp; " - " &amp; INDIRECT("J"&amp;ROW()))</f>
        <v/>
      </c>
      <c r="J367" s="34" t="str" cm="1">
        <f t="array" aca="1" ref="J367" ca="1">IF(INDIRECT("E"&amp;ROW())=0,"",IF(INDIRECT("H"&amp;ROW())=INDIRECT("E"&amp;ROW()),"Active","Expired"))</f>
        <v/>
      </c>
    </row>
    <row r="368" spans="9:10" x14ac:dyDescent="0.2">
      <c r="I368" s="34" t="str" cm="1">
        <f t="array" aca="1" ref="I368" ca="1">IF(ISBLANK(INDIRECT("B"&amp;ROW())), "", INDIRECT("B"&amp;ROW()) &amp; " - " &amp; INDIRECT("J"&amp;ROW()))</f>
        <v/>
      </c>
      <c r="J368" s="34" t="str" cm="1">
        <f t="array" aca="1" ref="J368" ca="1">IF(INDIRECT("E"&amp;ROW())=0,"",IF(INDIRECT("H"&amp;ROW())=INDIRECT("E"&amp;ROW()),"Active","Expired"))</f>
        <v/>
      </c>
    </row>
    <row r="369" spans="9:10" x14ac:dyDescent="0.2">
      <c r="I369" s="34" t="str" cm="1">
        <f t="array" aca="1" ref="I369" ca="1">IF(ISBLANK(INDIRECT("B"&amp;ROW())), "", INDIRECT("B"&amp;ROW()) &amp; " - " &amp; INDIRECT("J"&amp;ROW()))</f>
        <v/>
      </c>
      <c r="J369" s="34" t="str" cm="1">
        <f t="array" aca="1" ref="J369" ca="1">IF(INDIRECT("E"&amp;ROW())=0,"",IF(INDIRECT("H"&amp;ROW())=INDIRECT("E"&amp;ROW()),"Active","Expired"))</f>
        <v/>
      </c>
    </row>
    <row r="370" spans="9:10" x14ac:dyDescent="0.2">
      <c r="I370" s="34" t="str" cm="1">
        <f t="array" aca="1" ref="I370" ca="1">IF(ISBLANK(INDIRECT("B"&amp;ROW())), "", INDIRECT("B"&amp;ROW()) &amp; " - " &amp; INDIRECT("J"&amp;ROW()))</f>
        <v/>
      </c>
      <c r="J370" s="34" t="str" cm="1">
        <f t="array" aca="1" ref="J370" ca="1">IF(INDIRECT("E"&amp;ROW())=0,"",IF(INDIRECT("H"&amp;ROW())=INDIRECT("E"&amp;ROW()),"Active","Expired"))</f>
        <v/>
      </c>
    </row>
    <row r="371" spans="9:10" x14ac:dyDescent="0.2">
      <c r="I371" s="34" t="str" cm="1">
        <f t="array" aca="1" ref="I371" ca="1">IF(ISBLANK(INDIRECT("B"&amp;ROW())), "", INDIRECT("B"&amp;ROW()) &amp; " - " &amp; INDIRECT("J"&amp;ROW()))</f>
        <v/>
      </c>
      <c r="J371" s="34" t="str" cm="1">
        <f t="array" aca="1" ref="J371" ca="1">IF(INDIRECT("E"&amp;ROW())=0,"",IF(INDIRECT("H"&amp;ROW())=INDIRECT("E"&amp;ROW()),"Active","Expired"))</f>
        <v/>
      </c>
    </row>
    <row r="372" spans="9:10" x14ac:dyDescent="0.2">
      <c r="I372" s="34" t="str" cm="1">
        <f t="array" aca="1" ref="I372" ca="1">IF(ISBLANK(INDIRECT("B"&amp;ROW())), "", INDIRECT("B"&amp;ROW()) &amp; " - " &amp; INDIRECT("J"&amp;ROW()))</f>
        <v/>
      </c>
      <c r="J372" s="34" t="str" cm="1">
        <f t="array" aca="1" ref="J372" ca="1">IF(INDIRECT("E"&amp;ROW())=0,"",IF(INDIRECT("H"&amp;ROW())=INDIRECT("E"&amp;ROW()),"Active","Expired"))</f>
        <v/>
      </c>
    </row>
    <row r="373" spans="9:10" x14ac:dyDescent="0.2">
      <c r="I373" s="34" t="str" cm="1">
        <f t="array" aca="1" ref="I373" ca="1">IF(ISBLANK(INDIRECT("B"&amp;ROW())), "", INDIRECT("B"&amp;ROW()) &amp; " - " &amp; INDIRECT("J"&amp;ROW()))</f>
        <v/>
      </c>
      <c r="J373" s="34" t="str" cm="1">
        <f t="array" aca="1" ref="J373" ca="1">IF(INDIRECT("E"&amp;ROW())=0,"",IF(INDIRECT("H"&amp;ROW())=INDIRECT("E"&amp;ROW()),"Active","Expired"))</f>
        <v/>
      </c>
    </row>
    <row r="374" spans="9:10" x14ac:dyDescent="0.2">
      <c r="I374" s="34" t="str" cm="1">
        <f t="array" aca="1" ref="I374" ca="1">IF(ISBLANK(INDIRECT("B"&amp;ROW())), "", INDIRECT("B"&amp;ROW()) &amp; " - " &amp; INDIRECT("J"&amp;ROW()))</f>
        <v/>
      </c>
      <c r="J374" s="34" t="str" cm="1">
        <f t="array" aca="1" ref="J374" ca="1">IF(INDIRECT("E"&amp;ROW())=0,"",IF(INDIRECT("H"&amp;ROW())=INDIRECT("E"&amp;ROW()),"Active","Expired"))</f>
        <v/>
      </c>
    </row>
    <row r="375" spans="9:10" x14ac:dyDescent="0.2">
      <c r="I375" s="34" t="str" cm="1">
        <f t="array" aca="1" ref="I375" ca="1">IF(ISBLANK(INDIRECT("B"&amp;ROW())), "", INDIRECT("B"&amp;ROW()) &amp; " - " &amp; INDIRECT("J"&amp;ROW()))</f>
        <v/>
      </c>
      <c r="J375" s="34" t="str" cm="1">
        <f t="array" aca="1" ref="J375" ca="1">IF(INDIRECT("E"&amp;ROW())=0,"",IF(INDIRECT("H"&amp;ROW())=INDIRECT("E"&amp;ROW()),"Active","Expired"))</f>
        <v/>
      </c>
    </row>
    <row r="376" spans="9:10" x14ac:dyDescent="0.2">
      <c r="I376" s="34" t="str" cm="1">
        <f t="array" aca="1" ref="I376" ca="1">IF(ISBLANK(INDIRECT("B"&amp;ROW())), "", INDIRECT("B"&amp;ROW()) &amp; " - " &amp; INDIRECT("J"&amp;ROW()))</f>
        <v/>
      </c>
      <c r="J376" s="34" t="str" cm="1">
        <f t="array" aca="1" ref="J376" ca="1">IF(INDIRECT("E"&amp;ROW())=0,"",IF(INDIRECT("H"&amp;ROW())=INDIRECT("E"&amp;ROW()),"Active","Expired"))</f>
        <v/>
      </c>
    </row>
    <row r="377" spans="9:10" x14ac:dyDescent="0.2">
      <c r="I377" s="34" t="str" cm="1">
        <f t="array" aca="1" ref="I377" ca="1">IF(ISBLANK(INDIRECT("B"&amp;ROW())), "", INDIRECT("B"&amp;ROW()) &amp; " - " &amp; INDIRECT("J"&amp;ROW()))</f>
        <v/>
      </c>
      <c r="J377" s="34" t="str" cm="1">
        <f t="array" aca="1" ref="J377" ca="1">IF(INDIRECT("E"&amp;ROW())=0,"",IF(INDIRECT("H"&amp;ROW())=INDIRECT("E"&amp;ROW()),"Active","Expired"))</f>
        <v/>
      </c>
    </row>
    <row r="378" spans="9:10" x14ac:dyDescent="0.2">
      <c r="I378" s="34" t="str" cm="1">
        <f t="array" aca="1" ref="I378" ca="1">IF(ISBLANK(INDIRECT("B"&amp;ROW())), "", INDIRECT("B"&amp;ROW()) &amp; " - " &amp; INDIRECT("J"&amp;ROW()))</f>
        <v/>
      </c>
      <c r="J378" s="34" t="str" cm="1">
        <f t="array" aca="1" ref="J378" ca="1">IF(INDIRECT("E"&amp;ROW())=0,"",IF(INDIRECT("H"&amp;ROW())=INDIRECT("E"&amp;ROW()),"Active","Expired"))</f>
        <v/>
      </c>
    </row>
    <row r="379" spans="9:10" x14ac:dyDescent="0.2">
      <c r="I379" s="34" t="str" cm="1">
        <f t="array" aca="1" ref="I379" ca="1">IF(ISBLANK(INDIRECT("B"&amp;ROW())), "", INDIRECT("B"&amp;ROW()) &amp; " - " &amp; INDIRECT("J"&amp;ROW()))</f>
        <v/>
      </c>
      <c r="J379" s="34" t="str" cm="1">
        <f t="array" aca="1" ref="J379" ca="1">IF(INDIRECT("E"&amp;ROW())=0,"",IF(INDIRECT("H"&amp;ROW())=INDIRECT("E"&amp;ROW()),"Active","Expired"))</f>
        <v/>
      </c>
    </row>
    <row r="380" spans="9:10" x14ac:dyDescent="0.2">
      <c r="I380" s="34" t="str" cm="1">
        <f t="array" aca="1" ref="I380" ca="1">IF(ISBLANK(INDIRECT("B"&amp;ROW())), "", INDIRECT("B"&amp;ROW()) &amp; " - " &amp; INDIRECT("J"&amp;ROW()))</f>
        <v/>
      </c>
      <c r="J380" s="34" t="str" cm="1">
        <f t="array" aca="1" ref="J380" ca="1">IF(INDIRECT("E"&amp;ROW())=0,"",IF(INDIRECT("H"&amp;ROW())=INDIRECT("E"&amp;ROW()),"Active","Expired"))</f>
        <v/>
      </c>
    </row>
    <row r="381" spans="9:10" x14ac:dyDescent="0.2">
      <c r="I381" s="34" t="str" cm="1">
        <f t="array" aca="1" ref="I381" ca="1">IF(ISBLANK(INDIRECT("B"&amp;ROW())), "", INDIRECT("B"&amp;ROW()) &amp; " - " &amp; INDIRECT("J"&amp;ROW()))</f>
        <v/>
      </c>
      <c r="J381" s="34" t="str" cm="1">
        <f t="array" aca="1" ref="J381" ca="1">IF(INDIRECT("E"&amp;ROW())=0,"",IF(INDIRECT("H"&amp;ROW())=INDIRECT("E"&amp;ROW()),"Active","Expired"))</f>
        <v/>
      </c>
    </row>
    <row r="382" spans="9:10" x14ac:dyDescent="0.2">
      <c r="I382" s="34" t="str" cm="1">
        <f t="array" aca="1" ref="I382" ca="1">IF(ISBLANK(INDIRECT("B"&amp;ROW())), "", INDIRECT("B"&amp;ROW()) &amp; " - " &amp; INDIRECT("J"&amp;ROW()))</f>
        <v/>
      </c>
      <c r="J382" s="34" t="str" cm="1">
        <f t="array" aca="1" ref="J382" ca="1">IF(INDIRECT("E"&amp;ROW())=0,"",IF(INDIRECT("H"&amp;ROW())=INDIRECT("E"&amp;ROW()),"Active","Expired"))</f>
        <v/>
      </c>
    </row>
    <row r="383" spans="9:10" x14ac:dyDescent="0.2">
      <c r="I383" s="34" t="str" cm="1">
        <f t="array" aca="1" ref="I383" ca="1">IF(ISBLANK(INDIRECT("B"&amp;ROW())), "", INDIRECT("B"&amp;ROW()) &amp; " - " &amp; INDIRECT("J"&amp;ROW()))</f>
        <v/>
      </c>
      <c r="J383" s="34" t="str" cm="1">
        <f t="array" aca="1" ref="J383" ca="1">IF(INDIRECT("E"&amp;ROW())=0,"",IF(INDIRECT("H"&amp;ROW())=INDIRECT("E"&amp;ROW()),"Active","Expired"))</f>
        <v/>
      </c>
    </row>
    <row r="384" spans="9:10" x14ac:dyDescent="0.2">
      <c r="I384" s="34" t="str" cm="1">
        <f t="array" aca="1" ref="I384" ca="1">IF(ISBLANK(INDIRECT("B"&amp;ROW())), "", INDIRECT("B"&amp;ROW()) &amp; " - " &amp; INDIRECT("J"&amp;ROW()))</f>
        <v/>
      </c>
      <c r="J384" s="34" t="str" cm="1">
        <f t="array" aca="1" ref="J384" ca="1">IF(INDIRECT("E"&amp;ROW())=0,"",IF(INDIRECT("H"&amp;ROW())=INDIRECT("E"&amp;ROW()),"Active","Expired"))</f>
        <v/>
      </c>
    </row>
    <row r="385" spans="9:10" x14ac:dyDescent="0.2">
      <c r="I385" s="34" t="str" cm="1">
        <f t="array" aca="1" ref="I385" ca="1">IF(ISBLANK(INDIRECT("B"&amp;ROW())), "", INDIRECT("B"&amp;ROW()) &amp; " - " &amp; INDIRECT("J"&amp;ROW()))</f>
        <v/>
      </c>
      <c r="J385" s="34" t="str" cm="1">
        <f t="array" aca="1" ref="J385" ca="1">IF(INDIRECT("E"&amp;ROW())=0,"",IF(INDIRECT("H"&amp;ROW())=INDIRECT("E"&amp;ROW()),"Active","Expired"))</f>
        <v/>
      </c>
    </row>
    <row r="386" spans="9:10" x14ac:dyDescent="0.2">
      <c r="I386" s="34" t="str" cm="1">
        <f t="array" aca="1" ref="I386" ca="1">IF(ISBLANK(INDIRECT("B"&amp;ROW())), "", INDIRECT("B"&amp;ROW()) &amp; " - " &amp; INDIRECT("J"&amp;ROW()))</f>
        <v/>
      </c>
      <c r="J386" s="34" t="str" cm="1">
        <f t="array" aca="1" ref="J386" ca="1">IF(INDIRECT("E"&amp;ROW())=0,"",IF(INDIRECT("H"&amp;ROW())=INDIRECT("E"&amp;ROW()),"Active","Expired"))</f>
        <v/>
      </c>
    </row>
    <row r="387" spans="9:10" x14ac:dyDescent="0.2">
      <c r="I387" s="34" t="str" cm="1">
        <f t="array" aca="1" ref="I387" ca="1">IF(ISBLANK(INDIRECT("B"&amp;ROW())), "", INDIRECT("B"&amp;ROW()) &amp; " - " &amp; INDIRECT("J"&amp;ROW()))</f>
        <v/>
      </c>
      <c r="J387" s="34" t="str" cm="1">
        <f t="array" aca="1" ref="J387" ca="1">IF(INDIRECT("E"&amp;ROW())=0,"",IF(INDIRECT("H"&amp;ROW())=INDIRECT("E"&amp;ROW()),"Active","Expired"))</f>
        <v/>
      </c>
    </row>
    <row r="388" spans="9:10" x14ac:dyDescent="0.2">
      <c r="I388" s="34" t="str" cm="1">
        <f t="array" aca="1" ref="I388" ca="1">IF(ISBLANK(INDIRECT("B"&amp;ROW())), "", INDIRECT("B"&amp;ROW()) &amp; " - " &amp; INDIRECT("J"&amp;ROW()))</f>
        <v/>
      </c>
      <c r="J388" s="34" t="str" cm="1">
        <f t="array" aca="1" ref="J388" ca="1">IF(INDIRECT("E"&amp;ROW())=0,"",IF(INDIRECT("H"&amp;ROW())=INDIRECT("E"&amp;ROW()),"Active","Expired"))</f>
        <v/>
      </c>
    </row>
    <row r="389" spans="9:10" x14ac:dyDescent="0.2">
      <c r="I389" s="34" t="str" cm="1">
        <f t="array" aca="1" ref="I389" ca="1">IF(ISBLANK(INDIRECT("B"&amp;ROW())), "", INDIRECT("B"&amp;ROW()) &amp; " - " &amp; INDIRECT("J"&amp;ROW()))</f>
        <v/>
      </c>
      <c r="J389" s="34" t="str" cm="1">
        <f t="array" aca="1" ref="J389" ca="1">IF(INDIRECT("E"&amp;ROW())=0,"",IF(INDIRECT("H"&amp;ROW())=INDIRECT("E"&amp;ROW()),"Active","Expired"))</f>
        <v/>
      </c>
    </row>
    <row r="390" spans="9:10" x14ac:dyDescent="0.2">
      <c r="I390" s="34" t="str" cm="1">
        <f t="array" aca="1" ref="I390" ca="1">IF(ISBLANK(INDIRECT("B"&amp;ROW())), "", INDIRECT("B"&amp;ROW()) &amp; " - " &amp; INDIRECT("J"&amp;ROW()))</f>
        <v/>
      </c>
      <c r="J390" s="34" t="str" cm="1">
        <f t="array" aca="1" ref="J390" ca="1">IF(INDIRECT("E"&amp;ROW())=0,"",IF(INDIRECT("H"&amp;ROW())=INDIRECT("E"&amp;ROW()),"Active","Expired"))</f>
        <v/>
      </c>
    </row>
    <row r="391" spans="9:10" x14ac:dyDescent="0.2">
      <c r="I391" s="34" t="str" cm="1">
        <f t="array" aca="1" ref="I391" ca="1">IF(ISBLANK(INDIRECT("B"&amp;ROW())), "", INDIRECT("B"&amp;ROW()) &amp; " - " &amp; INDIRECT("J"&amp;ROW()))</f>
        <v/>
      </c>
      <c r="J391" s="34" t="str" cm="1">
        <f t="array" aca="1" ref="J391" ca="1">IF(INDIRECT("E"&amp;ROW())=0,"",IF(INDIRECT("H"&amp;ROW())=INDIRECT("E"&amp;ROW()),"Active","Expired"))</f>
        <v/>
      </c>
    </row>
    <row r="392" spans="9:10" x14ac:dyDescent="0.2">
      <c r="I392" s="34" t="str" cm="1">
        <f t="array" aca="1" ref="I392" ca="1">IF(ISBLANK(INDIRECT("B"&amp;ROW())), "", INDIRECT("B"&amp;ROW()) &amp; " - " &amp; INDIRECT("J"&amp;ROW()))</f>
        <v/>
      </c>
      <c r="J392" s="34" t="str" cm="1">
        <f t="array" aca="1" ref="J392" ca="1">IF(INDIRECT("E"&amp;ROW())=0,"",IF(INDIRECT("H"&amp;ROW())=INDIRECT("E"&amp;ROW()),"Active","Expired"))</f>
        <v/>
      </c>
    </row>
    <row r="393" spans="9:10" x14ac:dyDescent="0.2">
      <c r="I393" s="34" t="str" cm="1">
        <f t="array" aca="1" ref="I393" ca="1">IF(ISBLANK(INDIRECT("B"&amp;ROW())), "", INDIRECT("B"&amp;ROW()) &amp; " - " &amp; INDIRECT("J"&amp;ROW()))</f>
        <v/>
      </c>
      <c r="J393" s="34" t="str" cm="1">
        <f t="array" aca="1" ref="J393" ca="1">IF(INDIRECT("E"&amp;ROW())=0,"",IF(INDIRECT("H"&amp;ROW())=INDIRECT("E"&amp;ROW()),"Active","Expired"))</f>
        <v/>
      </c>
    </row>
    <row r="394" spans="9:10" x14ac:dyDescent="0.2">
      <c r="I394" s="34" t="str" cm="1">
        <f t="array" aca="1" ref="I394" ca="1">IF(ISBLANK(INDIRECT("B"&amp;ROW())), "", INDIRECT("B"&amp;ROW()) &amp; " - " &amp; INDIRECT("J"&amp;ROW()))</f>
        <v/>
      </c>
      <c r="J394" s="34" t="str" cm="1">
        <f t="array" aca="1" ref="J394" ca="1">IF(INDIRECT("E"&amp;ROW())=0,"",IF(INDIRECT("H"&amp;ROW())=INDIRECT("E"&amp;ROW()),"Active","Expired"))</f>
        <v/>
      </c>
    </row>
    <row r="395" spans="9:10" x14ac:dyDescent="0.2">
      <c r="I395" s="34" t="str" cm="1">
        <f t="array" aca="1" ref="I395" ca="1">IF(ISBLANK(INDIRECT("B"&amp;ROW())), "", INDIRECT("B"&amp;ROW()) &amp; " - " &amp; INDIRECT("J"&amp;ROW()))</f>
        <v/>
      </c>
      <c r="J395" s="34" t="str" cm="1">
        <f t="array" aca="1" ref="J395" ca="1">IF(INDIRECT("E"&amp;ROW())=0,"",IF(INDIRECT("H"&amp;ROW())=INDIRECT("E"&amp;ROW()),"Active","Expired"))</f>
        <v/>
      </c>
    </row>
    <row r="396" spans="9:10" x14ac:dyDescent="0.2">
      <c r="I396" s="34" t="str" cm="1">
        <f t="array" aca="1" ref="I396" ca="1">IF(ISBLANK(INDIRECT("B"&amp;ROW())), "", INDIRECT("B"&amp;ROW()) &amp; " - " &amp; INDIRECT("J"&amp;ROW()))</f>
        <v/>
      </c>
      <c r="J396" s="34" t="str" cm="1">
        <f t="array" aca="1" ref="J396" ca="1">IF(INDIRECT("E"&amp;ROW())=0,"",IF(INDIRECT("H"&amp;ROW())=INDIRECT("E"&amp;ROW()),"Active","Expired"))</f>
        <v/>
      </c>
    </row>
    <row r="397" spans="9:10" x14ac:dyDescent="0.2">
      <c r="I397" s="34" t="str" cm="1">
        <f t="array" aca="1" ref="I397" ca="1">IF(ISBLANK(INDIRECT("B"&amp;ROW())), "", INDIRECT("B"&amp;ROW()) &amp; " - " &amp; INDIRECT("J"&amp;ROW()))</f>
        <v/>
      </c>
      <c r="J397" s="34" t="str" cm="1">
        <f t="array" aca="1" ref="J397" ca="1">IF(INDIRECT("E"&amp;ROW())=0,"",IF(INDIRECT("H"&amp;ROW())=INDIRECT("E"&amp;ROW()),"Active","Expired"))</f>
        <v/>
      </c>
    </row>
    <row r="398" spans="9:10" x14ac:dyDescent="0.2">
      <c r="I398" s="34" t="str" cm="1">
        <f t="array" aca="1" ref="I398" ca="1">IF(ISBLANK(INDIRECT("B"&amp;ROW())), "", INDIRECT("B"&amp;ROW()) &amp; " - " &amp; INDIRECT("J"&amp;ROW()))</f>
        <v/>
      </c>
      <c r="J398" s="34" t="str" cm="1">
        <f t="array" aca="1" ref="J398" ca="1">IF(INDIRECT("E"&amp;ROW())=0,"",IF(INDIRECT("H"&amp;ROW())=INDIRECT("E"&amp;ROW()),"Active","Expired"))</f>
        <v/>
      </c>
    </row>
    <row r="399" spans="9:10" x14ac:dyDescent="0.2">
      <c r="I399" s="34" t="str" cm="1">
        <f t="array" aca="1" ref="I399" ca="1">IF(ISBLANK(INDIRECT("B"&amp;ROW())), "", INDIRECT("B"&amp;ROW()) &amp; " - " &amp; INDIRECT("J"&amp;ROW()))</f>
        <v/>
      </c>
      <c r="J399" s="34" t="str" cm="1">
        <f t="array" aca="1" ref="J399" ca="1">IF(INDIRECT("E"&amp;ROW())=0,"",IF(INDIRECT("H"&amp;ROW())=INDIRECT("E"&amp;ROW()),"Active","Expired"))</f>
        <v/>
      </c>
    </row>
    <row r="400" spans="9:10" x14ac:dyDescent="0.2">
      <c r="I400" s="34" t="str" cm="1">
        <f t="array" aca="1" ref="I400" ca="1">IF(ISBLANK(INDIRECT("B"&amp;ROW())), "", INDIRECT("B"&amp;ROW()) &amp; " - " &amp; INDIRECT("J"&amp;ROW()))</f>
        <v/>
      </c>
      <c r="J400" s="34" t="str" cm="1">
        <f t="array" aca="1" ref="J400" ca="1">IF(INDIRECT("E"&amp;ROW())=0,"",IF(INDIRECT("H"&amp;ROW())=INDIRECT("E"&amp;ROW()),"Active","Expired"))</f>
        <v/>
      </c>
    </row>
    <row r="401" spans="9:10" x14ac:dyDescent="0.2">
      <c r="I401" s="34" t="str" cm="1">
        <f t="array" aca="1" ref="I401" ca="1">IF(ISBLANK(INDIRECT("B"&amp;ROW())), "", INDIRECT("B"&amp;ROW()) &amp; " - " &amp; INDIRECT("J"&amp;ROW()))</f>
        <v/>
      </c>
      <c r="J401" s="34" t="str" cm="1">
        <f t="array" aca="1" ref="J401" ca="1">IF(INDIRECT("E"&amp;ROW())=0,"",IF(INDIRECT("H"&amp;ROW())=INDIRECT("E"&amp;ROW()),"Active","Expired"))</f>
        <v/>
      </c>
    </row>
    <row r="402" spans="9:10" x14ac:dyDescent="0.2">
      <c r="I402" s="34" t="str" cm="1">
        <f t="array" aca="1" ref="I402" ca="1">IF(ISBLANK(INDIRECT("B"&amp;ROW())), "", INDIRECT("B"&amp;ROW()) &amp; " - " &amp; INDIRECT("J"&amp;ROW()))</f>
        <v/>
      </c>
      <c r="J402" s="34" t="str" cm="1">
        <f t="array" aca="1" ref="J402" ca="1">IF(INDIRECT("E"&amp;ROW())=0,"",IF(INDIRECT("H"&amp;ROW())=INDIRECT("E"&amp;ROW()),"Active","Expired"))</f>
        <v/>
      </c>
    </row>
    <row r="403" spans="9:10" x14ac:dyDescent="0.2">
      <c r="I403" s="34" t="str" cm="1">
        <f t="array" aca="1" ref="I403" ca="1">IF(ISBLANK(INDIRECT("B"&amp;ROW())), "", INDIRECT("B"&amp;ROW()) &amp; " - " &amp; INDIRECT("J"&amp;ROW()))</f>
        <v/>
      </c>
      <c r="J403" s="34" t="str" cm="1">
        <f t="array" aca="1" ref="J403" ca="1">IF(INDIRECT("E"&amp;ROW())=0,"",IF(INDIRECT("H"&amp;ROW())=INDIRECT("E"&amp;ROW()),"Active","Expired"))</f>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1"/>
  </sheetPr>
  <dimension ref="B1:K23"/>
  <sheetViews>
    <sheetView showGridLines="0" zoomScaleNormal="100" workbookViewId="0"/>
  </sheetViews>
  <sheetFormatPr baseColWidth="10" defaultColWidth="8.6640625" defaultRowHeight="14" x14ac:dyDescent="0.2"/>
  <cols>
    <col min="1" max="1" width="2.5" style="7" customWidth="1"/>
    <col min="2" max="2" width="29" style="7" customWidth="1"/>
    <col min="3" max="5" width="14.83203125" style="60" customWidth="1"/>
    <col min="6" max="8" width="10.6640625" style="60" customWidth="1"/>
    <col min="9" max="11" width="10.6640625" style="61" customWidth="1"/>
    <col min="12" max="16384" width="8.6640625" style="7"/>
  </cols>
  <sheetData>
    <row r="1" spans="2:11" ht="8" customHeight="1" x14ac:dyDescent="0.2"/>
    <row r="2" spans="2:11" ht="21" x14ac:dyDescent="0.2">
      <c r="B2" s="516" t="s">
        <v>15</v>
      </c>
      <c r="C2" s="870" t="s">
        <v>496</v>
      </c>
      <c r="D2" s="870"/>
      <c r="E2" s="870"/>
      <c r="F2" s="870" t="s">
        <v>16</v>
      </c>
      <c r="G2" s="870"/>
      <c r="H2" s="870"/>
      <c r="I2" s="870" t="s">
        <v>97</v>
      </c>
      <c r="J2" s="870"/>
      <c r="K2" s="870"/>
    </row>
    <row r="3" spans="2:11" s="1" customFormat="1" ht="19" x14ac:dyDescent="0.2">
      <c r="B3" s="62" t="s">
        <v>17</v>
      </c>
      <c r="C3" s="63" t="s">
        <v>18</v>
      </c>
      <c r="D3" s="63" t="s">
        <v>19</v>
      </c>
      <c r="E3" s="63" t="s">
        <v>20</v>
      </c>
      <c r="F3" s="63" t="s">
        <v>18</v>
      </c>
      <c r="G3" s="63" t="s">
        <v>19</v>
      </c>
      <c r="H3" s="63" t="s">
        <v>20</v>
      </c>
      <c r="I3" s="64" t="s">
        <v>21</v>
      </c>
      <c r="J3" s="64" t="s">
        <v>22</v>
      </c>
      <c r="K3" s="64" t="s">
        <v>23</v>
      </c>
    </row>
    <row r="4" spans="2:11" s="31" customFormat="1" ht="19" customHeight="1" x14ac:dyDescent="0.2">
      <c r="B4" s="65" t="s">
        <v>24</v>
      </c>
      <c r="C4" s="66" t="s">
        <v>405</v>
      </c>
      <c r="D4" s="66" t="s">
        <v>405</v>
      </c>
      <c r="E4" s="66" t="s">
        <v>405</v>
      </c>
      <c r="F4" s="66" t="str">
        <f ca="1">IFERROR(C4/OFFSET('Rent Comps'!$A$1,3,7),"")</f>
        <v/>
      </c>
      <c r="G4" s="66" t="s">
        <v>405</v>
      </c>
      <c r="H4" s="66" t="str">
        <f ca="1">IFERROR(E4/OFFSET('Rent Comps'!$A$1,3,7),"")</f>
        <v/>
      </c>
      <c r="I4" s="67" t="s">
        <v>405</v>
      </c>
      <c r="J4" s="67" t="s">
        <v>405</v>
      </c>
      <c r="K4" s="67"/>
    </row>
    <row r="5" spans="2:11" s="31" customFormat="1" ht="19" customHeight="1" x14ac:dyDescent="0.2">
      <c r="B5" s="68" t="s">
        <v>25</v>
      </c>
      <c r="C5" s="69" t="s">
        <v>405</v>
      </c>
      <c r="D5" s="69" t="s">
        <v>405</v>
      </c>
      <c r="E5" s="69" t="s">
        <v>405</v>
      </c>
      <c r="F5" s="69" t="str">
        <f ca="1">IFERROR(C5/OFFSET('Rent Comps'!$A$1,3,7),"")</f>
        <v/>
      </c>
      <c r="G5" s="69" t="s">
        <v>405</v>
      </c>
      <c r="H5" s="69" t="str">
        <f ca="1">IFERROR(E5/OFFSET('Rent Comps'!$A$1,3,7),"")</f>
        <v/>
      </c>
      <c r="I5" s="70" t="s">
        <v>405</v>
      </c>
      <c r="J5" s="70" t="s">
        <v>405</v>
      </c>
      <c r="K5" s="70"/>
    </row>
    <row r="6" spans="2:11" s="31" customFormat="1" ht="19" customHeight="1" x14ac:dyDescent="0.2">
      <c r="B6" s="68" t="s">
        <v>27</v>
      </c>
      <c r="C6" s="69" t="s">
        <v>405</v>
      </c>
      <c r="D6" s="69" t="s">
        <v>405</v>
      </c>
      <c r="E6" s="69" t="s">
        <v>405</v>
      </c>
      <c r="F6" s="69" t="str">
        <f ca="1">IFERROR(C6/OFFSET('Rent Comps'!$A$1,3,7),"")</f>
        <v/>
      </c>
      <c r="G6" s="69" t="s">
        <v>405</v>
      </c>
      <c r="H6" s="69" t="str">
        <f ca="1">IFERROR(E6/OFFSET('Rent Comps'!$A$1,3,7),"")</f>
        <v/>
      </c>
      <c r="I6" s="70" t="s">
        <v>405</v>
      </c>
      <c r="J6" s="70" t="s">
        <v>405</v>
      </c>
      <c r="K6" s="70"/>
    </row>
    <row r="7" spans="2:11" s="31" customFormat="1" ht="19" customHeight="1" x14ac:dyDescent="0.2">
      <c r="B7" s="68" t="s">
        <v>26</v>
      </c>
      <c r="C7" s="69" t="s">
        <v>405</v>
      </c>
      <c r="D7" s="69" t="s">
        <v>405</v>
      </c>
      <c r="E7" s="69" t="s">
        <v>405</v>
      </c>
      <c r="F7" s="69" t="str">
        <f ca="1">IFERROR(C7/OFFSET('Rent Comps'!$A$1,3,7),"")</f>
        <v/>
      </c>
      <c r="G7" s="69" t="s">
        <v>405</v>
      </c>
      <c r="H7" s="69" t="str">
        <f ca="1">IFERROR(E7/OFFSET('Rent Comps'!$A$1,3,7),"")</f>
        <v/>
      </c>
      <c r="I7" s="70" t="s">
        <v>405</v>
      </c>
      <c r="J7" s="70" t="s">
        <v>405</v>
      </c>
      <c r="K7" s="70"/>
    </row>
    <row r="8" spans="2:11" s="31" customFormat="1" ht="19" customHeight="1" x14ac:dyDescent="0.2">
      <c r="B8" s="65" t="s">
        <v>28</v>
      </c>
      <c r="C8" s="66" t="s">
        <v>405</v>
      </c>
      <c r="D8" s="66" t="s">
        <v>405</v>
      </c>
      <c r="E8" s="66" t="s">
        <v>405</v>
      </c>
      <c r="F8" s="66" t="str">
        <f ca="1">IFERROR(C8/OFFSET('Rent Comps'!$A$1,3,7),"")</f>
        <v/>
      </c>
      <c r="G8" s="66" t="s">
        <v>405</v>
      </c>
      <c r="H8" s="66" t="str">
        <f ca="1">IFERROR(E8/OFFSET('Rent Comps'!$A$1,3,7),"")</f>
        <v/>
      </c>
      <c r="I8" s="67" t="s">
        <v>405</v>
      </c>
      <c r="J8" s="67" t="s">
        <v>405</v>
      </c>
      <c r="K8" s="67"/>
    </row>
    <row r="9" spans="2:11" s="1" customFormat="1" ht="19" customHeight="1" x14ac:dyDescent="0.2">
      <c r="B9" s="62" t="s">
        <v>29</v>
      </c>
      <c r="C9" s="63" t="s">
        <v>18</v>
      </c>
      <c r="D9" s="63" t="s">
        <v>19</v>
      </c>
      <c r="E9" s="63" t="s">
        <v>20</v>
      </c>
      <c r="F9" s="63" t="s">
        <v>18</v>
      </c>
      <c r="G9" s="63" t="s">
        <v>19</v>
      </c>
      <c r="H9" s="63" t="s">
        <v>20</v>
      </c>
      <c r="I9" s="64" t="s">
        <v>21</v>
      </c>
      <c r="J9" s="64" t="s">
        <v>22</v>
      </c>
      <c r="K9" s="64" t="s">
        <v>23</v>
      </c>
    </row>
    <row r="10" spans="2:11" s="31" customFormat="1" ht="19" customHeight="1" x14ac:dyDescent="0.2">
      <c r="B10" s="68" t="s">
        <v>30</v>
      </c>
      <c r="C10" s="69" t="s">
        <v>405</v>
      </c>
      <c r="D10" s="69" t="s">
        <v>405</v>
      </c>
      <c r="E10" s="69" t="s">
        <v>405</v>
      </c>
      <c r="F10" s="69" t="str">
        <f ca="1">IFERROR(C10/OFFSET('Rent Comps'!$A$1,3,7),"")</f>
        <v/>
      </c>
      <c r="G10" s="69" t="s">
        <v>405</v>
      </c>
      <c r="H10" s="69" t="str">
        <f ca="1">IFERROR(E10/OFFSET('Rent Comps'!$A$1,3,7),"")</f>
        <v/>
      </c>
      <c r="I10" s="70" t="s">
        <v>405</v>
      </c>
      <c r="J10" s="70" t="s">
        <v>405</v>
      </c>
      <c r="K10" s="70" t="str">
        <f t="shared" ref="K10:K21" si="0">IFERROR(D10/$D$21,"")</f>
        <v/>
      </c>
    </row>
    <row r="11" spans="2:11" s="31" customFormat="1" ht="19" customHeight="1" x14ac:dyDescent="0.2">
      <c r="B11" s="68" t="s">
        <v>31</v>
      </c>
      <c r="C11" s="69" t="s">
        <v>405</v>
      </c>
      <c r="D11" s="69" t="s">
        <v>405</v>
      </c>
      <c r="E11" s="69" t="s">
        <v>405</v>
      </c>
      <c r="F11" s="69" t="str">
        <f ca="1">IFERROR(C11/OFFSET('Rent Comps'!$A$1,3,7),"")</f>
        <v/>
      </c>
      <c r="G11" s="69" t="s">
        <v>405</v>
      </c>
      <c r="H11" s="69" t="str">
        <f ca="1">IFERROR(E11/OFFSET('Rent Comps'!$A$1,3,7),"")</f>
        <v/>
      </c>
      <c r="I11" s="70" t="s">
        <v>405</v>
      </c>
      <c r="J11" s="70" t="s">
        <v>405</v>
      </c>
      <c r="K11" s="70" t="str">
        <f t="shared" si="0"/>
        <v/>
      </c>
    </row>
    <row r="12" spans="2:11" s="31" customFormat="1" ht="19" customHeight="1" x14ac:dyDescent="0.2">
      <c r="B12" s="68" t="s">
        <v>32</v>
      </c>
      <c r="C12" s="69" t="s">
        <v>405</v>
      </c>
      <c r="D12" s="69" t="s">
        <v>405</v>
      </c>
      <c r="E12" s="69" t="s">
        <v>405</v>
      </c>
      <c r="F12" s="69" t="str">
        <f ca="1">IFERROR(C12/OFFSET('Rent Comps'!$A$1,3,7),"")</f>
        <v/>
      </c>
      <c r="G12" s="69" t="s">
        <v>405</v>
      </c>
      <c r="H12" s="69" t="str">
        <f ca="1">IFERROR(E12/OFFSET('Rent Comps'!$A$1,3,7),"")</f>
        <v/>
      </c>
      <c r="I12" s="70" t="s">
        <v>405</v>
      </c>
      <c r="J12" s="70" t="s">
        <v>405</v>
      </c>
      <c r="K12" s="70" t="str">
        <f t="shared" si="0"/>
        <v/>
      </c>
    </row>
    <row r="13" spans="2:11" s="31" customFormat="1" ht="19" customHeight="1" x14ac:dyDescent="0.2">
      <c r="B13" s="68" t="s">
        <v>33</v>
      </c>
      <c r="C13" s="69" t="s">
        <v>405</v>
      </c>
      <c r="D13" s="69" t="s">
        <v>405</v>
      </c>
      <c r="E13" s="69" t="s">
        <v>405</v>
      </c>
      <c r="F13" s="69" t="str">
        <f ca="1">IFERROR(C13/OFFSET('Rent Comps'!$A$1,3,7),"")</f>
        <v/>
      </c>
      <c r="G13" s="69" t="s">
        <v>405</v>
      </c>
      <c r="H13" s="69" t="str">
        <f ca="1">IFERROR(E13/OFFSET('Rent Comps'!$A$1,3,7),"")</f>
        <v/>
      </c>
      <c r="I13" s="70" t="s">
        <v>405</v>
      </c>
      <c r="J13" s="70" t="s">
        <v>405</v>
      </c>
      <c r="K13" s="70" t="str">
        <f t="shared" si="0"/>
        <v/>
      </c>
    </row>
    <row r="14" spans="2:11" s="31" customFormat="1" ht="19" customHeight="1" x14ac:dyDescent="0.2">
      <c r="B14" s="68" t="s">
        <v>34</v>
      </c>
      <c r="C14" s="69" t="s">
        <v>405</v>
      </c>
      <c r="D14" s="69" t="s">
        <v>405</v>
      </c>
      <c r="E14" s="69" t="s">
        <v>405</v>
      </c>
      <c r="F14" s="69" t="str">
        <f ca="1">IFERROR(C14/OFFSET('Rent Comps'!$A$1,3,7),"")</f>
        <v/>
      </c>
      <c r="G14" s="69" t="s">
        <v>405</v>
      </c>
      <c r="H14" s="69" t="str">
        <f ca="1">IFERROR(E14/OFFSET('Rent Comps'!$A$1,3,7),"")</f>
        <v/>
      </c>
      <c r="I14" s="70" t="s">
        <v>405</v>
      </c>
      <c r="J14" s="70" t="s">
        <v>405</v>
      </c>
      <c r="K14" s="70" t="str">
        <f t="shared" si="0"/>
        <v/>
      </c>
    </row>
    <row r="15" spans="2:11" s="31" customFormat="1" ht="19" customHeight="1" x14ac:dyDescent="0.2">
      <c r="B15" s="68" t="s">
        <v>35</v>
      </c>
      <c r="C15" s="69" t="s">
        <v>405</v>
      </c>
      <c r="D15" s="69" t="s">
        <v>405</v>
      </c>
      <c r="E15" s="69" t="s">
        <v>405</v>
      </c>
      <c r="F15" s="69" t="str">
        <f ca="1">IFERROR(C15/OFFSET('Rent Comps'!$A$1,3,7),"")</f>
        <v/>
      </c>
      <c r="G15" s="69" t="s">
        <v>405</v>
      </c>
      <c r="H15" s="69" t="str">
        <f ca="1">IFERROR(E15/OFFSET('Rent Comps'!$A$1,3,7),"")</f>
        <v/>
      </c>
      <c r="I15" s="70" t="s">
        <v>405</v>
      </c>
      <c r="J15" s="70" t="s">
        <v>405</v>
      </c>
      <c r="K15" s="70" t="str">
        <f t="shared" si="0"/>
        <v/>
      </c>
    </row>
    <row r="16" spans="2:11" s="31" customFormat="1" ht="19" customHeight="1" x14ac:dyDescent="0.2">
      <c r="B16" s="68" t="s">
        <v>36</v>
      </c>
      <c r="C16" s="69" t="s">
        <v>405</v>
      </c>
      <c r="D16" s="69" t="s">
        <v>405</v>
      </c>
      <c r="E16" s="69" t="s">
        <v>405</v>
      </c>
      <c r="F16" s="69" t="str">
        <f ca="1">IFERROR(C16/OFFSET('Rent Comps'!$A$1,3,7),"")</f>
        <v/>
      </c>
      <c r="G16" s="69" t="s">
        <v>405</v>
      </c>
      <c r="H16" s="69" t="str">
        <f ca="1">IFERROR(E16/OFFSET('Rent Comps'!$A$1,3,7),"")</f>
        <v/>
      </c>
      <c r="I16" s="70" t="s">
        <v>405</v>
      </c>
      <c r="J16" s="70" t="s">
        <v>405</v>
      </c>
      <c r="K16" s="70" t="str">
        <f t="shared" si="0"/>
        <v/>
      </c>
    </row>
    <row r="17" spans="2:11" s="31" customFormat="1" ht="19" customHeight="1" x14ac:dyDescent="0.2">
      <c r="B17" s="68" t="s">
        <v>37</v>
      </c>
      <c r="C17" s="69" t="s">
        <v>405</v>
      </c>
      <c r="D17" s="69" t="s">
        <v>405</v>
      </c>
      <c r="E17" s="69" t="s">
        <v>405</v>
      </c>
      <c r="F17" s="69" t="str">
        <f ca="1">IFERROR(C17/OFFSET('Rent Comps'!$A$1,3,7),"")</f>
        <v/>
      </c>
      <c r="G17" s="69" t="s">
        <v>405</v>
      </c>
      <c r="H17" s="69" t="str">
        <f ca="1">IFERROR(E17/OFFSET('Rent Comps'!$A$1,3,7),"")</f>
        <v/>
      </c>
      <c r="I17" s="70" t="s">
        <v>405</v>
      </c>
      <c r="J17" s="70" t="s">
        <v>405</v>
      </c>
      <c r="K17" s="70" t="str">
        <f t="shared" si="0"/>
        <v/>
      </c>
    </row>
    <row r="18" spans="2:11" s="31" customFormat="1" ht="19" customHeight="1" x14ac:dyDescent="0.2">
      <c r="B18" s="68" t="s">
        <v>38</v>
      </c>
      <c r="C18" s="69" t="s">
        <v>405</v>
      </c>
      <c r="D18" s="69" t="s">
        <v>405</v>
      </c>
      <c r="E18" s="69" t="s">
        <v>405</v>
      </c>
      <c r="F18" s="69" t="str">
        <f ca="1">IFERROR(C18/OFFSET('Rent Comps'!$A$1,3,7),"")</f>
        <v/>
      </c>
      <c r="G18" s="69" t="s">
        <v>405</v>
      </c>
      <c r="H18" s="69" t="str">
        <f ca="1">IFERROR(E18/OFFSET('Rent Comps'!$A$1,3,7),"")</f>
        <v/>
      </c>
      <c r="I18" s="70" t="s">
        <v>405</v>
      </c>
      <c r="J18" s="70" t="s">
        <v>405</v>
      </c>
      <c r="K18" s="70" t="str">
        <f t="shared" si="0"/>
        <v/>
      </c>
    </row>
    <row r="19" spans="2:11" s="31" customFormat="1" ht="19" customHeight="1" x14ac:dyDescent="0.2">
      <c r="B19" s="68" t="s">
        <v>39</v>
      </c>
      <c r="C19" s="69" t="s">
        <v>405</v>
      </c>
      <c r="D19" s="69" t="s">
        <v>405</v>
      </c>
      <c r="E19" s="69" t="s">
        <v>405</v>
      </c>
      <c r="F19" s="69" t="str">
        <f ca="1">IFERROR(C19/OFFSET('Rent Comps'!$A$1,3,7),"")</f>
        <v/>
      </c>
      <c r="G19" s="69" t="s">
        <v>405</v>
      </c>
      <c r="H19" s="69" t="str">
        <f ca="1">IFERROR(E19/OFFSET('Rent Comps'!$A$1,3,7),"")</f>
        <v/>
      </c>
      <c r="I19" s="70" t="s">
        <v>405</v>
      </c>
      <c r="J19" s="70" t="s">
        <v>405</v>
      </c>
      <c r="K19" s="70" t="str">
        <f t="shared" si="0"/>
        <v/>
      </c>
    </row>
    <row r="20" spans="2:11" s="31" customFormat="1" ht="19" customHeight="1" x14ac:dyDescent="0.2">
      <c r="B20" s="65" t="s">
        <v>40</v>
      </c>
      <c r="C20" s="66" t="s">
        <v>405</v>
      </c>
      <c r="D20" s="66" t="s">
        <v>405</v>
      </c>
      <c r="E20" s="66" t="s">
        <v>405</v>
      </c>
      <c r="F20" s="66" t="str">
        <f ca="1">IFERROR(C20/OFFSET('Rent Comps'!$A$1,3,7),"")</f>
        <v/>
      </c>
      <c r="G20" s="66" t="s">
        <v>405</v>
      </c>
      <c r="H20" s="66" t="str">
        <f ca="1">IFERROR(E20/OFFSET('Rent Comps'!$A$1,3,7),"")</f>
        <v/>
      </c>
      <c r="I20" s="67" t="s">
        <v>405</v>
      </c>
      <c r="J20" s="67" t="s">
        <v>405</v>
      </c>
      <c r="K20" s="67" t="str">
        <f t="shared" si="0"/>
        <v/>
      </c>
    </row>
    <row r="21" spans="2:11" s="31" customFormat="1" ht="19" customHeight="1" x14ac:dyDescent="0.2">
      <c r="B21" s="71" t="s">
        <v>41</v>
      </c>
      <c r="C21" s="72" t="s">
        <v>405</v>
      </c>
      <c r="D21" s="72" t="s">
        <v>405</v>
      </c>
      <c r="E21" s="72" t="s">
        <v>405</v>
      </c>
      <c r="F21" s="72" t="str">
        <f ca="1">IFERROR(C21/OFFSET('Rent Comps'!$A$1,3,7),"")</f>
        <v/>
      </c>
      <c r="G21" s="72" t="s">
        <v>405</v>
      </c>
      <c r="H21" s="72" t="str">
        <f ca="1">IFERROR(E21/OFFSET('Rent Comps'!$A$1,3,7),"")</f>
        <v/>
      </c>
      <c r="I21" s="73" t="s">
        <v>405</v>
      </c>
      <c r="J21" s="73" t="s">
        <v>405</v>
      </c>
      <c r="K21" s="73" t="str">
        <f t="shared" si="0"/>
        <v/>
      </c>
    </row>
    <row r="22" spans="2:11" s="31" customFormat="1" ht="23" customHeight="1" x14ac:dyDescent="0.2">
      <c r="B22" s="871" t="s">
        <v>406</v>
      </c>
      <c r="C22" s="871"/>
      <c r="D22" s="871"/>
      <c r="E22" s="871"/>
      <c r="F22" s="871"/>
      <c r="G22" s="871"/>
      <c r="H22" s="871"/>
      <c r="I22" s="871"/>
      <c r="J22" s="871"/>
      <c r="K22" s="871"/>
    </row>
    <row r="23" spans="2:11" ht="23" customHeight="1" x14ac:dyDescent="0.2">
      <c r="B23" s="871"/>
      <c r="C23" s="871"/>
      <c r="D23" s="871"/>
      <c r="E23" s="871"/>
      <c r="F23" s="871"/>
      <c r="G23" s="871"/>
      <c r="H23" s="871"/>
      <c r="I23" s="871"/>
      <c r="J23" s="871"/>
      <c r="K23" s="871"/>
    </row>
  </sheetData>
  <mergeCells count="4">
    <mergeCell ref="C2:E2"/>
    <mergeCell ref="F2:H2"/>
    <mergeCell ref="I2:K2"/>
    <mergeCell ref="B22:K23"/>
  </mergeCells>
  <pageMargins left="0.25" right="0.25" top="0.75" bottom="0.75" header="0.3" footer="0.3"/>
  <pageSetup scale="98" fitToHeight="0" orientation="landscape" r:id="rId1"/>
  <headerFooter>
    <oddHeader>&amp;L&amp;"-,Bold"&amp;K4438CAMarket Analysis Report&amp;R&amp;"-,Bold"&amp;K4438CAAs of: &amp;D</oddHeader>
    <oddFooter>&amp;L&amp;"-,Bold"&amp;K4438CAHelloData.ai</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0" zoomScale="85" zoomScaleNormal="85" workbookViewId="0">
      <pane ySplit="5" topLeftCell="A6" activePane="bottomLeft" state="frozen"/>
      <selection pane="bottomLeft"/>
    </sheetView>
  </sheetViews>
  <sheetFormatPr baseColWidth="10" defaultColWidth="8.6640625" defaultRowHeight="14" x14ac:dyDescent="0.2"/>
  <cols>
    <col min="1" max="1" width="2.6640625" style="7" customWidth="1"/>
    <col min="2" max="2" width="22.1640625" style="7" customWidth="1"/>
    <col min="3" max="3" width="9.33203125" style="7" customWidth="1"/>
    <col min="4" max="14" width="13.1640625" style="7" customWidth="1"/>
    <col min="15" max="16384" width="8.6640625" style="7"/>
  </cols>
  <sheetData>
    <row r="1" spans="2:14" ht="4" customHeight="1" x14ac:dyDescent="0.2"/>
    <row r="2" spans="2:14" ht="13" customHeight="1" x14ac:dyDescent="0.2">
      <c r="B2" s="872" t="s">
        <v>496</v>
      </c>
      <c r="C2" s="872"/>
      <c r="D2" s="872"/>
      <c r="E2" s="872"/>
      <c r="F2" s="564"/>
      <c r="G2" s="564"/>
      <c r="I2" s="174"/>
      <c r="J2" s="257" t="s">
        <v>262</v>
      </c>
      <c r="K2" s="257" t="s">
        <v>245</v>
      </c>
      <c r="L2" s="565" t="s">
        <v>418</v>
      </c>
      <c r="M2" s="257" t="s">
        <v>251</v>
      </c>
      <c r="N2" s="257" t="s">
        <v>250</v>
      </c>
    </row>
    <row r="3" spans="2:14" ht="13" customHeight="1" x14ac:dyDescent="0.2">
      <c r="B3" s="872"/>
      <c r="C3" s="872"/>
      <c r="D3" s="872"/>
      <c r="E3" s="872"/>
      <c r="F3" s="564"/>
      <c r="G3" s="564"/>
      <c r="I3" s="176" t="s">
        <v>246</v>
      </c>
      <c r="J3" s="164" t="str">
        <f ca="1">IFERROR(-SUM(E60:N60)/D60,"")</f>
        <v/>
      </c>
      <c r="K3" s="165" t="str">
        <f ca="1">IFERROR(IRR(D60:N60),"")</f>
        <v/>
      </c>
      <c r="L3" s="165" t="str">
        <f ca="1">IFERROR(E60/-D59,"")</f>
        <v/>
      </c>
      <c r="M3" s="164" t="str">
        <f>IFERROR(IF(C72="Unleveraged",-SUM(E97:N97)/D97,""),"")</f>
        <v/>
      </c>
      <c r="N3" s="165" t="str">
        <f>IFERROR(IF(C72="Unleveraged",IRR(D97:N97),""),"")</f>
        <v/>
      </c>
    </row>
    <row r="4" spans="2:14" x14ac:dyDescent="0.2">
      <c r="B4" s="185" t="s">
        <v>293</v>
      </c>
      <c r="I4" s="175" t="s">
        <v>247</v>
      </c>
      <c r="J4" s="164" t="str">
        <f ca="1">IFERROR(-SUM(E67:N67)/D67,"")</f>
        <v/>
      </c>
      <c r="K4" s="165" t="str">
        <f ca="1">IFERROR(IRR(D67:N67),"")</f>
        <v/>
      </c>
      <c r="L4" s="165" t="str">
        <f ca="1">IFERROR(E67/-D67,"")</f>
        <v/>
      </c>
      <c r="M4" s="164" t="str">
        <f ca="1">IFERROR(IF(C72="Leveraged",-SUM(E97:N97)/D97,""),"")</f>
        <v/>
      </c>
      <c r="N4" s="165" t="str">
        <f ca="1">IFERROR(IF(C72="Leveraged",IRR(D97:N97),""),"")</f>
        <v/>
      </c>
    </row>
    <row r="5" spans="2:14" ht="4" customHeight="1" x14ac:dyDescent="0.2">
      <c r="H5" s="177"/>
      <c r="I5" s="161"/>
      <c r="J5" s="178"/>
    </row>
    <row r="7" spans="2:14" x14ac:dyDescent="0.2">
      <c r="B7" s="194" t="s">
        <v>256</v>
      </c>
      <c r="C7" s="228"/>
      <c r="D7" s="228"/>
      <c r="E7" s="229"/>
      <c r="G7" s="197" t="s">
        <v>205</v>
      </c>
      <c r="H7" s="198"/>
      <c r="I7" s="208" t="s">
        <v>230</v>
      </c>
      <c r="J7" s="209" t="s">
        <v>233</v>
      </c>
      <c r="L7" s="194" t="s">
        <v>266</v>
      </c>
      <c r="M7" s="579" t="s">
        <v>276</v>
      </c>
      <c r="N7" s="229" t="s">
        <v>277</v>
      </c>
    </row>
    <row r="8" spans="2:14" x14ac:dyDescent="0.2">
      <c r="B8" s="572" t="s">
        <v>207</v>
      </c>
      <c r="C8" s="573"/>
      <c r="D8" s="573"/>
      <c r="E8" s="574">
        <f ca="1">ROUND(E12,-3)</f>
        <v>0</v>
      </c>
      <c r="G8" s="195" t="s">
        <v>201</v>
      </c>
      <c r="H8" s="193"/>
      <c r="I8" s="210">
        <v>0.06</v>
      </c>
      <c r="J8" s="211">
        <v>0.05</v>
      </c>
      <c r="L8" s="25" t="s">
        <v>230</v>
      </c>
      <c r="M8" s="60" t="e">
        <f ca="1">N8/$E$9</f>
        <v>#DIV/0!</v>
      </c>
      <c r="N8" s="223">
        <f ca="1">I21</f>
        <v>0</v>
      </c>
    </row>
    <row r="9" spans="2:14" x14ac:dyDescent="0.2">
      <c r="B9" s="569" t="s">
        <v>1</v>
      </c>
      <c r="E9" s="567" cm="1">
        <f t="array" aca="1" ref="E9" ca="1">IF(INDIRECT("'Rent Comps'!H"&amp;4)="{{subject.number_units}}","",INDIRECT("'Rent Comps'!H"&amp;4))</f>
        <v>0</v>
      </c>
      <c r="F9" s="102"/>
      <c r="G9" s="195" t="s">
        <v>204</v>
      </c>
      <c r="H9" s="199"/>
      <c r="I9" s="212">
        <v>360</v>
      </c>
      <c r="J9" s="213">
        <v>360</v>
      </c>
      <c r="L9" s="25" t="s">
        <v>281</v>
      </c>
      <c r="M9" s="60" t="e">
        <f t="shared" ref="M9:M18" ca="1" si="0">N9/$E$9</f>
        <v>#DIV/0!</v>
      </c>
      <c r="N9" s="223">
        <f ca="1">N18-N8-N10</f>
        <v>0</v>
      </c>
    </row>
    <row r="10" spans="2:14" x14ac:dyDescent="0.2">
      <c r="B10" s="570" t="s">
        <v>419</v>
      </c>
      <c r="C10" s="152"/>
      <c r="D10" s="152"/>
      <c r="E10" s="571" t="str">
        <f ca="1">IFERROR(E8/E9,"")</f>
        <v/>
      </c>
      <c r="G10" s="195" t="s">
        <v>232</v>
      </c>
      <c r="H10" s="199"/>
      <c r="I10" s="214">
        <v>16</v>
      </c>
      <c r="J10" s="215">
        <v>12</v>
      </c>
      <c r="L10" s="240" t="s">
        <v>288</v>
      </c>
      <c r="M10" s="611" t="e">
        <f t="shared" ca="1" si="0"/>
        <v>#DIV/0!</v>
      </c>
      <c r="N10" s="610">
        <v>0</v>
      </c>
    </row>
    <row r="11" spans="2:14" x14ac:dyDescent="0.2">
      <c r="B11" s="195" t="s">
        <v>198</v>
      </c>
      <c r="C11" s="210"/>
      <c r="D11" s="210"/>
      <c r="E11" s="211">
        <v>0.06</v>
      </c>
      <c r="G11" s="104" t="s">
        <v>237</v>
      </c>
      <c r="H11" s="107"/>
      <c r="I11" s="216">
        <v>10</v>
      </c>
      <c r="J11" s="217">
        <v>10</v>
      </c>
      <c r="L11" s="241" t="s">
        <v>287</v>
      </c>
      <c r="M11" s="580" t="e">
        <f t="shared" ca="1" si="0"/>
        <v>#DIV/0!</v>
      </c>
      <c r="N11" s="581">
        <f ca="1">SUM(N8:N10)</f>
        <v>0</v>
      </c>
    </row>
    <row r="12" spans="2:14" x14ac:dyDescent="0.2">
      <c r="B12" s="195" t="s">
        <v>273</v>
      </c>
      <c r="C12" s="568"/>
      <c r="D12" s="568"/>
      <c r="E12" s="230">
        <f ca="1">E54/E11</f>
        <v>0</v>
      </c>
      <c r="G12" s="195" t="s">
        <v>202</v>
      </c>
      <c r="H12" s="200"/>
      <c r="I12" s="218">
        <v>0.65</v>
      </c>
      <c r="J12" s="219">
        <v>0.65</v>
      </c>
      <c r="L12" s="196" t="s">
        <v>275</v>
      </c>
      <c r="M12" s="582" t="s">
        <v>276</v>
      </c>
      <c r="N12" s="583" t="s">
        <v>277</v>
      </c>
    </row>
    <row r="13" spans="2:14" x14ac:dyDescent="0.2">
      <c r="B13" s="195" t="s">
        <v>206</v>
      </c>
      <c r="C13" s="210"/>
      <c r="D13" s="210"/>
      <c r="E13" s="211">
        <f>E11</f>
        <v>0.06</v>
      </c>
      <c r="G13" s="104" t="s">
        <v>203</v>
      </c>
      <c r="H13" s="108"/>
      <c r="I13" s="220">
        <v>1.25</v>
      </c>
      <c r="J13" s="221">
        <v>1.25</v>
      </c>
      <c r="L13" s="411" t="s">
        <v>243</v>
      </c>
      <c r="M13" s="584" t="e">
        <f t="shared" ca="1" si="0"/>
        <v>#DIV/0!</v>
      </c>
      <c r="N13" s="585">
        <f ca="1">E8</f>
        <v>0</v>
      </c>
    </row>
    <row r="14" spans="2:14" x14ac:dyDescent="0.2">
      <c r="B14" s="104" t="s">
        <v>200</v>
      </c>
      <c r="C14" s="416"/>
      <c r="D14" s="416"/>
      <c r="E14" s="417">
        <v>0.03</v>
      </c>
      <c r="G14" s="195" t="s">
        <v>235</v>
      </c>
      <c r="H14" s="201"/>
      <c r="I14" s="254">
        <f ca="1">$E$54/$E$11*I12</f>
        <v>0</v>
      </c>
      <c r="J14" s="255">
        <f ca="1">IF(E20=0,0,OFFSET($E$54,0,(INT(E20-1)/12))/$E$11*J12)</f>
        <v>0</v>
      </c>
      <c r="L14" s="25" t="s">
        <v>200</v>
      </c>
      <c r="M14" s="60" t="e">
        <f t="shared" ca="1" si="0"/>
        <v>#DIV/0!</v>
      </c>
      <c r="N14" s="223">
        <f ca="1">E14*E8</f>
        <v>0</v>
      </c>
    </row>
    <row r="15" spans="2:14" x14ac:dyDescent="0.2">
      <c r="B15" s="196" t="s">
        <v>278</v>
      </c>
      <c r="C15" s="231"/>
      <c r="D15" s="231"/>
      <c r="E15" s="232"/>
      <c r="F15" s="8"/>
      <c r="G15" s="104" t="s">
        <v>236</v>
      </c>
      <c r="H15" s="109"/>
      <c r="I15" s="157">
        <f ca="1">PV(I8/12,I9,-$E$54/12/I13,0)</f>
        <v>0</v>
      </c>
      <c r="J15" s="256">
        <f ca="1">IF(E20=0,0,PV(J8/12,J9,-OFFSET($E$54,0,(INT(E20-1)/12))/12/J13,0))</f>
        <v>0</v>
      </c>
      <c r="L15" s="25" t="s">
        <v>337</v>
      </c>
      <c r="M15" s="60" t="e">
        <f t="shared" ca="1" si="0"/>
        <v>#DIV/0!</v>
      </c>
      <c r="N15" s="223">
        <f ca="1">E16*D18</f>
        <v>0</v>
      </c>
    </row>
    <row r="16" spans="2:14" x14ac:dyDescent="0.2">
      <c r="B16" s="25" t="s">
        <v>289</v>
      </c>
      <c r="C16" s="60"/>
      <c r="D16" s="60">
        <f ca="1">E16*OFFSET('Rent Comps'!$H$4,0,0)</f>
        <v>0</v>
      </c>
      <c r="E16" s="233">
        <v>20000</v>
      </c>
      <c r="G16" s="202" t="s">
        <v>234</v>
      </c>
      <c r="H16" s="158"/>
      <c r="I16" s="222">
        <f ca="1">MIN(I14:I15)</f>
        <v>0</v>
      </c>
      <c r="J16" s="253">
        <f ca="1">MIN(J14:J15)</f>
        <v>0</v>
      </c>
      <c r="L16" s="412" t="s">
        <v>335</v>
      </c>
      <c r="M16" s="60" t="e">
        <f t="shared" ca="1" si="0"/>
        <v>#DIV/0!</v>
      </c>
      <c r="N16" s="223">
        <f ca="1">SUM(D73:N73)</f>
        <v>0</v>
      </c>
    </row>
    <row r="17" spans="2:14" x14ac:dyDescent="0.2">
      <c r="B17" s="25" t="s">
        <v>274</v>
      </c>
      <c r="C17" s="60"/>
      <c r="D17" s="60">
        <f ca="1">E17*OFFSET('Rent Comps'!$H$4,0,0)</f>
        <v>0</v>
      </c>
      <c r="E17" s="233">
        <v>150</v>
      </c>
      <c r="G17" s="203" t="s">
        <v>254</v>
      </c>
      <c r="H17" s="204"/>
      <c r="I17" s="60">
        <f ca="1">I16*I8</f>
        <v>0</v>
      </c>
      <c r="J17" s="223">
        <f ca="1">J16*J8</f>
        <v>0</v>
      </c>
      <c r="L17" s="413" t="s">
        <v>336</v>
      </c>
      <c r="M17" s="224" t="e">
        <f t="shared" ca="1" si="0"/>
        <v>#DIV/0!</v>
      </c>
      <c r="N17" s="225">
        <f ca="1">SUM(D74:N74)</f>
        <v>0</v>
      </c>
    </row>
    <row r="18" spans="2:14" x14ac:dyDescent="0.2">
      <c r="B18" s="25" t="s">
        <v>280</v>
      </c>
      <c r="C18" s="234"/>
      <c r="D18" s="234">
        <f ca="1">E18*ROUND(OFFSET('Rent Comps'!$H$4,0,0),-2)</f>
        <v>0</v>
      </c>
      <c r="E18" s="235">
        <v>0.3</v>
      </c>
      <c r="G18" s="25" t="s">
        <v>255</v>
      </c>
      <c r="H18" s="204"/>
      <c r="I18" s="60">
        <f ca="1">PMT(I8/12,I9,-I14,0)*12</f>
        <v>0</v>
      </c>
      <c r="J18" s="223">
        <f ca="1">PMT(J8/12,J9,-J16,0)*12</f>
        <v>0</v>
      </c>
      <c r="L18" s="242" t="s">
        <v>286</v>
      </c>
      <c r="M18" s="226" t="e">
        <f t="shared" ca="1" si="0"/>
        <v>#DIV/0!</v>
      </c>
      <c r="N18" s="227">
        <f ca="1">SUM(N13:N16)</f>
        <v>0</v>
      </c>
    </row>
    <row r="19" spans="2:14" x14ac:dyDescent="0.2">
      <c r="B19" s="25" t="s">
        <v>279</v>
      </c>
      <c r="C19" s="153"/>
      <c r="D19" s="153"/>
      <c r="E19" s="215">
        <v>18</v>
      </c>
      <c r="G19" s="195" t="s">
        <v>242</v>
      </c>
      <c r="H19" s="205">
        <v>0.01</v>
      </c>
      <c r="I19" s="60">
        <f ca="1">$H19*I16</f>
        <v>0</v>
      </c>
      <c r="J19" s="223">
        <f ca="1">H19*J16</f>
        <v>0</v>
      </c>
      <c r="L19" s="159"/>
    </row>
    <row r="20" spans="2:14" x14ac:dyDescent="0.2">
      <c r="B20" s="103" t="s">
        <v>332</v>
      </c>
      <c r="C20" s="236"/>
      <c r="D20" s="236"/>
      <c r="E20" s="237">
        <v>36</v>
      </c>
      <c r="G20" s="104" t="s">
        <v>240</v>
      </c>
      <c r="H20" s="166">
        <f>IF(E20&gt;0,3%,"")</f>
        <v>0.03</v>
      </c>
      <c r="I20" s="224"/>
      <c r="J20" s="225">
        <f ca="1">IFERROR(H20*I22,0)</f>
        <v>0</v>
      </c>
      <c r="L20" s="160"/>
      <c r="M20" s="160"/>
    </row>
    <row r="21" spans="2:14" x14ac:dyDescent="0.2">
      <c r="B21" s="104" t="s">
        <v>238</v>
      </c>
      <c r="C21" s="238"/>
      <c r="D21" s="238"/>
      <c r="E21" s="239">
        <v>7</v>
      </c>
      <c r="G21" s="206" t="s">
        <v>241</v>
      </c>
      <c r="H21" s="150"/>
      <c r="I21" s="226">
        <f ca="1">I16-I19</f>
        <v>0</v>
      </c>
      <c r="J21" s="227">
        <f ca="1">IF(E20&gt;0,J16-I22-SUM(J19:J20),0)</f>
        <v>0</v>
      </c>
    </row>
    <row r="22" spans="2:14" x14ac:dyDescent="0.2">
      <c r="G22" s="104" t="s">
        <v>239</v>
      </c>
      <c r="H22" s="207"/>
      <c r="I22" s="224">
        <f ca="1">FV(I8/12,MIN(I11*12,IF(E20=0,I11*12,$E$20),$E$21*12)-I10,I18/12,-I16)</f>
        <v>0</v>
      </c>
      <c r="J22" s="225">
        <f ca="1">FV(J8/12,E21*12-$E$20-J10,J18/12,-J16)</f>
        <v>0</v>
      </c>
      <c r="L22" s="159"/>
    </row>
    <row r="23" spans="2:14" ht="19" x14ac:dyDescent="0.2">
      <c r="B23" s="80" t="s">
        <v>229</v>
      </c>
      <c r="C23" s="8"/>
      <c r="D23" s="8"/>
      <c r="E23" s="148"/>
      <c r="F23" s="148"/>
      <c r="G23" s="148"/>
      <c r="H23" s="148"/>
      <c r="I23" s="148"/>
      <c r="J23" s="148"/>
      <c r="K23" s="148"/>
      <c r="L23" s="148"/>
      <c r="M23" s="148"/>
      <c r="N23" s="148"/>
    </row>
    <row r="24" spans="2:14" x14ac:dyDescent="0.2">
      <c r="B24" s="105" t="s">
        <v>208</v>
      </c>
      <c r="C24" s="105"/>
      <c r="D24" s="105"/>
      <c r="E24" s="392">
        <v>1</v>
      </c>
      <c r="F24" s="112">
        <f t="shared" ref="F24:N24" si="1">E24+1</f>
        <v>2</v>
      </c>
      <c r="G24" s="112">
        <f t="shared" si="1"/>
        <v>3</v>
      </c>
      <c r="H24" s="112">
        <f t="shared" si="1"/>
        <v>4</v>
      </c>
      <c r="I24" s="112">
        <f t="shared" si="1"/>
        <v>5</v>
      </c>
      <c r="J24" s="112">
        <f t="shared" si="1"/>
        <v>6</v>
      </c>
      <c r="K24" s="112">
        <f t="shared" si="1"/>
        <v>7</v>
      </c>
      <c r="L24" s="112">
        <f t="shared" si="1"/>
        <v>8</v>
      </c>
      <c r="M24" s="112">
        <f t="shared" si="1"/>
        <v>9</v>
      </c>
      <c r="N24" s="112">
        <f t="shared" si="1"/>
        <v>10</v>
      </c>
    </row>
    <row r="25" spans="2:14" x14ac:dyDescent="0.2">
      <c r="B25" s="8" t="s">
        <v>226</v>
      </c>
      <c r="C25" s="111"/>
      <c r="D25" s="111"/>
      <c r="E25" s="405">
        <v>0.03</v>
      </c>
      <c r="F25" s="184">
        <f t="shared" ref="F25:N25" si="2">IF($E$21&gt;=F$24,E25,0)</f>
        <v>0.03</v>
      </c>
      <c r="G25" s="184">
        <f t="shared" si="2"/>
        <v>0.03</v>
      </c>
      <c r="H25" s="184">
        <f t="shared" si="2"/>
        <v>0.03</v>
      </c>
      <c r="I25" s="184">
        <f t="shared" si="2"/>
        <v>0.03</v>
      </c>
      <c r="J25" s="184">
        <f t="shared" si="2"/>
        <v>0.03</v>
      </c>
      <c r="K25" s="184">
        <f t="shared" si="2"/>
        <v>0.03</v>
      </c>
      <c r="L25" s="184">
        <f t="shared" si="2"/>
        <v>0</v>
      </c>
      <c r="M25" s="184">
        <f t="shared" si="2"/>
        <v>0</v>
      </c>
      <c r="N25" s="184">
        <f t="shared" si="2"/>
        <v>0</v>
      </c>
    </row>
    <row r="26" spans="2:14" x14ac:dyDescent="0.2">
      <c r="B26" s="8" t="s">
        <v>199</v>
      </c>
      <c r="C26" s="8"/>
      <c r="D26" s="8"/>
      <c r="E26" s="405">
        <v>0.03</v>
      </c>
      <c r="F26" s="184">
        <f t="shared" ref="F26:N26" si="3">IF($E$21&gt;=F$24,E26,0)</f>
        <v>0.03</v>
      </c>
      <c r="G26" s="184">
        <f t="shared" si="3"/>
        <v>0.03</v>
      </c>
      <c r="H26" s="184">
        <f t="shared" si="3"/>
        <v>0.03</v>
      </c>
      <c r="I26" s="184">
        <f t="shared" si="3"/>
        <v>0.03</v>
      </c>
      <c r="J26" s="184">
        <f t="shared" si="3"/>
        <v>0.03</v>
      </c>
      <c r="K26" s="184">
        <f t="shared" si="3"/>
        <v>0.03</v>
      </c>
      <c r="L26" s="184">
        <f t="shared" si="3"/>
        <v>0</v>
      </c>
      <c r="M26" s="184">
        <f t="shared" si="3"/>
        <v>0</v>
      </c>
      <c r="N26" s="184">
        <f t="shared" si="3"/>
        <v>0</v>
      </c>
    </row>
    <row r="27" spans="2:14" x14ac:dyDescent="0.2">
      <c r="B27" s="105" t="s">
        <v>17</v>
      </c>
      <c r="C27" s="105"/>
      <c r="D27" s="415" t="s">
        <v>338</v>
      </c>
      <c r="E27" s="392"/>
      <c r="F27" s="112"/>
      <c r="G27" s="112"/>
      <c r="H27" s="112"/>
      <c r="I27" s="112"/>
      <c r="J27" s="112"/>
      <c r="K27" s="112"/>
      <c r="L27" s="112"/>
      <c r="M27" s="112"/>
      <c r="N27" s="112"/>
    </row>
    <row r="28" spans="2:14" x14ac:dyDescent="0.2">
      <c r="B28" s="414" t="s">
        <v>24</v>
      </c>
      <c r="C28" s="414"/>
      <c r="D28" s="523">
        <f ca="1">IF(ISNUMBER(OFFSET('Financial Analysis'!D4,0,0)),OFFSET('Financial Analysis'!D4,0,0),0)</f>
        <v>0</v>
      </c>
      <c r="E28" s="407">
        <f ca="1">D28+(($D$18*$E$17*12)*IF(E24*12&lt;=$E$19,12/$E$19,IF(AND(E24*12&gt;=$E$19,D24*12&lt;$E$19),((12-(E24*12-$E$19))))/$E$19))</f>
        <v>0</v>
      </c>
      <c r="F28" s="122">
        <f t="shared" ref="F28:N28" ca="1" si="4">IF(F24&lt;=$E$21,E28*(1+F$25),0)+(($D$18*$E$17*12)*IF(F24*12&lt;=$E$19,12/$E$19,IF(AND(F24*12&gt;=$E$19,E24*12&lt;$E$19),((12-(F24*12-$E$19))))/$E$19))</f>
        <v>0</v>
      </c>
      <c r="G28" s="122">
        <f t="shared" ca="1" si="4"/>
        <v>0</v>
      </c>
      <c r="H28" s="122">
        <f t="shared" ca="1" si="4"/>
        <v>0</v>
      </c>
      <c r="I28" s="122">
        <f t="shared" ca="1" si="4"/>
        <v>0</v>
      </c>
      <c r="J28" s="122">
        <f t="shared" ca="1" si="4"/>
        <v>0</v>
      </c>
      <c r="K28" s="122">
        <f t="shared" ca="1" si="4"/>
        <v>0</v>
      </c>
      <c r="L28" s="122">
        <f t="shared" ca="1" si="4"/>
        <v>0</v>
      </c>
      <c r="M28" s="122">
        <f t="shared" ca="1" si="4"/>
        <v>0</v>
      </c>
      <c r="N28" s="122">
        <f t="shared" ca="1" si="4"/>
        <v>0</v>
      </c>
    </row>
    <row r="29" spans="2:14" x14ac:dyDescent="0.2">
      <c r="B29" s="115" t="s">
        <v>25</v>
      </c>
      <c r="C29" s="116"/>
      <c r="D29" s="117">
        <f ca="1">IF(ISNUMBER(OFFSET('Financial Analysis'!J5,0,0)),OFFSET('Financial Analysis'!J5,0,0),5%)</f>
        <v>0.05</v>
      </c>
      <c r="E29" s="383">
        <f t="shared" ref="E29:N31" ca="1" si="5">$D29*E$28</f>
        <v>0</v>
      </c>
      <c r="F29" s="110">
        <f t="shared" ca="1" si="5"/>
        <v>0</v>
      </c>
      <c r="G29" s="110">
        <f t="shared" ca="1" si="5"/>
        <v>0</v>
      </c>
      <c r="H29" s="110">
        <f t="shared" ca="1" si="5"/>
        <v>0</v>
      </c>
      <c r="I29" s="110">
        <f t="shared" ca="1" si="5"/>
        <v>0</v>
      </c>
      <c r="J29" s="110">
        <f t="shared" ca="1" si="5"/>
        <v>0</v>
      </c>
      <c r="K29" s="110">
        <f t="shared" ca="1" si="5"/>
        <v>0</v>
      </c>
      <c r="L29" s="110">
        <f t="shared" ca="1" si="5"/>
        <v>0</v>
      </c>
      <c r="M29" s="110">
        <f t="shared" ca="1" si="5"/>
        <v>0</v>
      </c>
      <c r="N29" s="110">
        <f t="shared" ca="1" si="5"/>
        <v>0</v>
      </c>
    </row>
    <row r="30" spans="2:14" x14ac:dyDescent="0.2">
      <c r="B30" s="115" t="s">
        <v>224</v>
      </c>
      <c r="C30" s="116"/>
      <c r="D30" s="117">
        <v>0.01</v>
      </c>
      <c r="E30" s="383">
        <f t="shared" ca="1" si="5"/>
        <v>0</v>
      </c>
      <c r="F30" s="110">
        <f t="shared" ca="1" si="5"/>
        <v>0</v>
      </c>
      <c r="G30" s="110">
        <f t="shared" ca="1" si="5"/>
        <v>0</v>
      </c>
      <c r="H30" s="110">
        <f t="shared" ca="1" si="5"/>
        <v>0</v>
      </c>
      <c r="I30" s="110">
        <f t="shared" ca="1" si="5"/>
        <v>0</v>
      </c>
      <c r="J30" s="110">
        <f t="shared" ca="1" si="5"/>
        <v>0</v>
      </c>
      <c r="K30" s="110">
        <f t="shared" ca="1" si="5"/>
        <v>0</v>
      </c>
      <c r="L30" s="110">
        <f t="shared" ca="1" si="5"/>
        <v>0</v>
      </c>
      <c r="M30" s="110">
        <f t="shared" ca="1" si="5"/>
        <v>0</v>
      </c>
      <c r="N30" s="110">
        <f t="shared" ca="1" si="5"/>
        <v>0</v>
      </c>
    </row>
    <row r="31" spans="2:14" x14ac:dyDescent="0.2">
      <c r="B31" s="118" t="s">
        <v>225</v>
      </c>
      <c r="C31" s="119"/>
      <c r="D31" s="120">
        <f>GETPIVOTDATA("Concessions as % of Asking Rent",Data!$BL$5)*0.5</f>
        <v>0</v>
      </c>
      <c r="E31" s="383">
        <f t="shared" ca="1" si="5"/>
        <v>0</v>
      </c>
      <c r="F31" s="110">
        <f t="shared" ca="1" si="5"/>
        <v>0</v>
      </c>
      <c r="G31" s="110">
        <f t="shared" ca="1" si="5"/>
        <v>0</v>
      </c>
      <c r="H31" s="110">
        <f t="shared" ca="1" si="5"/>
        <v>0</v>
      </c>
      <c r="I31" s="110">
        <f t="shared" ca="1" si="5"/>
        <v>0</v>
      </c>
      <c r="J31" s="110">
        <f t="shared" ca="1" si="5"/>
        <v>0</v>
      </c>
      <c r="K31" s="110">
        <f t="shared" ca="1" si="5"/>
        <v>0</v>
      </c>
      <c r="L31" s="110">
        <f t="shared" ca="1" si="5"/>
        <v>0</v>
      </c>
      <c r="M31" s="110">
        <f t="shared" ca="1" si="5"/>
        <v>0</v>
      </c>
      <c r="N31" s="110">
        <f t="shared" ca="1" si="5"/>
        <v>0</v>
      </c>
    </row>
    <row r="32" spans="2:14" x14ac:dyDescent="0.2">
      <c r="B32" s="121" t="s">
        <v>227</v>
      </c>
      <c r="C32" s="121"/>
      <c r="D32" s="121"/>
      <c r="E32" s="407">
        <f t="shared" ref="E32:N32" ca="1" si="6">E28-SUM(E29:E31)</f>
        <v>0</v>
      </c>
      <c r="F32" s="122">
        <f t="shared" ca="1" si="6"/>
        <v>0</v>
      </c>
      <c r="G32" s="122">
        <f t="shared" ca="1" si="6"/>
        <v>0</v>
      </c>
      <c r="H32" s="122">
        <f t="shared" ca="1" si="6"/>
        <v>0</v>
      </c>
      <c r="I32" s="122">
        <f t="shared" ca="1" si="6"/>
        <v>0</v>
      </c>
      <c r="J32" s="122">
        <f t="shared" ca="1" si="6"/>
        <v>0</v>
      </c>
      <c r="K32" s="122">
        <f t="shared" ca="1" si="6"/>
        <v>0</v>
      </c>
      <c r="L32" s="122">
        <f t="shared" ca="1" si="6"/>
        <v>0</v>
      </c>
      <c r="M32" s="122">
        <f t="shared" ca="1" si="6"/>
        <v>0</v>
      </c>
      <c r="N32" s="122">
        <f t="shared" ca="1" si="6"/>
        <v>0</v>
      </c>
    </row>
    <row r="33" spans="2:14" x14ac:dyDescent="0.2">
      <c r="B33" s="115" t="s">
        <v>27</v>
      </c>
      <c r="C33" s="116"/>
      <c r="D33" s="116"/>
      <c r="E33" s="408">
        <f ca="1">IF(ISNUMBER(OFFSET('Financial Analysis'!D6,0,0)),OFFSET('Financial Analysis'!D6,0,0),0)</f>
        <v>0</v>
      </c>
      <c r="F33" s="110">
        <f t="shared" ref="F33:N33" ca="1" si="7">IF(F$24&lt;=$E$21,E33*(1+F$25),0)</f>
        <v>0</v>
      </c>
      <c r="G33" s="110">
        <f t="shared" ca="1" si="7"/>
        <v>0</v>
      </c>
      <c r="H33" s="110">
        <f t="shared" ca="1" si="7"/>
        <v>0</v>
      </c>
      <c r="I33" s="110">
        <f t="shared" ca="1" si="7"/>
        <v>0</v>
      </c>
      <c r="J33" s="110">
        <f t="shared" ca="1" si="7"/>
        <v>0</v>
      </c>
      <c r="K33" s="110">
        <f t="shared" ca="1" si="7"/>
        <v>0</v>
      </c>
      <c r="L33" s="110">
        <f t="shared" si="7"/>
        <v>0</v>
      </c>
      <c r="M33" s="110">
        <f t="shared" si="7"/>
        <v>0</v>
      </c>
      <c r="N33" s="110">
        <f t="shared" si="7"/>
        <v>0</v>
      </c>
    </row>
    <row r="34" spans="2:14" x14ac:dyDescent="0.2">
      <c r="B34" s="115" t="s">
        <v>26</v>
      </c>
      <c r="C34" s="116"/>
      <c r="D34" s="116"/>
      <c r="E34" s="408">
        <f ca="1">IF(ISNUMBER(OFFSET('Financial Analysis'!D7,0,0)),OFFSET('Financial Analysis'!D7,0,0),0)</f>
        <v>0</v>
      </c>
      <c r="F34" s="110">
        <f t="shared" ref="F34:N34" ca="1" si="8">IF(F$24&lt;=$E$21,E34*(1+F$25),0)</f>
        <v>0</v>
      </c>
      <c r="G34" s="110">
        <f t="shared" ca="1" si="8"/>
        <v>0</v>
      </c>
      <c r="H34" s="110">
        <f t="shared" ca="1" si="8"/>
        <v>0</v>
      </c>
      <c r="I34" s="110">
        <f t="shared" ca="1" si="8"/>
        <v>0</v>
      </c>
      <c r="J34" s="110">
        <f t="shared" ca="1" si="8"/>
        <v>0</v>
      </c>
      <c r="K34" s="110">
        <f t="shared" ca="1" si="8"/>
        <v>0</v>
      </c>
      <c r="L34" s="110">
        <f t="shared" si="8"/>
        <v>0</v>
      </c>
      <c r="M34" s="110">
        <f t="shared" si="8"/>
        <v>0</v>
      </c>
      <c r="N34" s="110">
        <f t="shared" si="8"/>
        <v>0</v>
      </c>
    </row>
    <row r="35" spans="2:14" x14ac:dyDescent="0.2">
      <c r="B35" s="244" t="s">
        <v>26</v>
      </c>
      <c r="C35" s="248"/>
      <c r="D35" s="248"/>
      <c r="E35" s="408">
        <v>0</v>
      </c>
      <c r="F35" s="110">
        <f t="shared" ref="F35:N35" si="9">IF(F$24&lt;=$E$21,E35*(1+F$25),0)</f>
        <v>0</v>
      </c>
      <c r="G35" s="110">
        <f t="shared" si="9"/>
        <v>0</v>
      </c>
      <c r="H35" s="110">
        <f t="shared" si="9"/>
        <v>0</v>
      </c>
      <c r="I35" s="110">
        <f t="shared" si="9"/>
        <v>0</v>
      </c>
      <c r="J35" s="110">
        <f t="shared" si="9"/>
        <v>0</v>
      </c>
      <c r="K35" s="110">
        <f t="shared" si="9"/>
        <v>0</v>
      </c>
      <c r="L35" s="110">
        <f t="shared" si="9"/>
        <v>0</v>
      </c>
      <c r="M35" s="110">
        <f t="shared" si="9"/>
        <v>0</v>
      </c>
      <c r="N35" s="110">
        <f t="shared" si="9"/>
        <v>0</v>
      </c>
    </row>
    <row r="36" spans="2:14" x14ac:dyDescent="0.2">
      <c r="B36" s="246" t="s">
        <v>26</v>
      </c>
      <c r="C36" s="249"/>
      <c r="D36" s="249"/>
      <c r="E36" s="409">
        <v>0</v>
      </c>
      <c r="F36" s="123">
        <f t="shared" ref="F36:N36" si="10">IF(F$24&lt;=$E$21,E36*(1+F$25),0)</f>
        <v>0</v>
      </c>
      <c r="G36" s="123">
        <f t="shared" si="10"/>
        <v>0</v>
      </c>
      <c r="H36" s="123">
        <f t="shared" si="10"/>
        <v>0</v>
      </c>
      <c r="I36" s="123">
        <f t="shared" si="10"/>
        <v>0</v>
      </c>
      <c r="J36" s="123">
        <f t="shared" si="10"/>
        <v>0</v>
      </c>
      <c r="K36" s="123">
        <f t="shared" si="10"/>
        <v>0</v>
      </c>
      <c r="L36" s="123">
        <f t="shared" si="10"/>
        <v>0</v>
      </c>
      <c r="M36" s="123">
        <f t="shared" si="10"/>
        <v>0</v>
      </c>
      <c r="N36" s="123">
        <f t="shared" si="10"/>
        <v>0</v>
      </c>
    </row>
    <row r="37" spans="2:14" x14ac:dyDescent="0.2">
      <c r="B37" s="113" t="s">
        <v>28</v>
      </c>
      <c r="C37" s="124"/>
      <c r="D37" s="124"/>
      <c r="E37" s="406">
        <f t="shared" ref="E37:N37" ca="1" si="11">SUM(E32:E36)</f>
        <v>0</v>
      </c>
      <c r="F37" s="114">
        <f t="shared" ca="1" si="11"/>
        <v>0</v>
      </c>
      <c r="G37" s="114">
        <f t="shared" ca="1" si="11"/>
        <v>0</v>
      </c>
      <c r="H37" s="114">
        <f t="shared" ca="1" si="11"/>
        <v>0</v>
      </c>
      <c r="I37" s="114">
        <f t="shared" ca="1" si="11"/>
        <v>0</v>
      </c>
      <c r="J37" s="114">
        <f t="shared" ca="1" si="11"/>
        <v>0</v>
      </c>
      <c r="K37" s="114">
        <f t="shared" ca="1" si="11"/>
        <v>0</v>
      </c>
      <c r="L37" s="114">
        <f t="shared" ca="1" si="11"/>
        <v>0</v>
      </c>
      <c r="M37" s="114">
        <f t="shared" ca="1" si="11"/>
        <v>0</v>
      </c>
      <c r="N37" s="114">
        <f t="shared" ca="1" si="11"/>
        <v>0</v>
      </c>
    </row>
    <row r="38" spans="2:14" x14ac:dyDescent="0.2">
      <c r="B38" s="105" t="s">
        <v>228</v>
      </c>
      <c r="C38" s="105"/>
      <c r="D38" s="105"/>
      <c r="E38" s="395"/>
      <c r="F38" s="125"/>
      <c r="G38" s="125"/>
      <c r="H38" s="125"/>
      <c r="I38" s="125"/>
      <c r="J38" s="125"/>
      <c r="K38" s="125"/>
      <c r="L38" s="125"/>
      <c r="M38" s="125"/>
      <c r="N38" s="125"/>
    </row>
    <row r="39" spans="2:14" x14ac:dyDescent="0.2">
      <c r="B39" s="126" t="s">
        <v>30</v>
      </c>
      <c r="C39" s="127"/>
      <c r="D39" s="127"/>
      <c r="E39" s="408">
        <f ca="1">IF(ISNUMBER(OFFSET('Financial Analysis'!D10,0,0)),OFFSET('Financial Analysis'!D10,0,0),0)</f>
        <v>0</v>
      </c>
      <c r="F39" s="110">
        <f t="shared" ref="F39:N39" ca="1" si="12">IF(F$24&lt;=$E$21,E39*(1+F$26),0)</f>
        <v>0</v>
      </c>
      <c r="G39" s="110">
        <f t="shared" ca="1" si="12"/>
        <v>0</v>
      </c>
      <c r="H39" s="110">
        <f t="shared" ca="1" si="12"/>
        <v>0</v>
      </c>
      <c r="I39" s="110">
        <f t="shared" ca="1" si="12"/>
        <v>0</v>
      </c>
      <c r="J39" s="110">
        <f t="shared" ca="1" si="12"/>
        <v>0</v>
      </c>
      <c r="K39" s="110">
        <f t="shared" ca="1" si="12"/>
        <v>0</v>
      </c>
      <c r="L39" s="110">
        <f t="shared" si="12"/>
        <v>0</v>
      </c>
      <c r="M39" s="110">
        <f t="shared" si="12"/>
        <v>0</v>
      </c>
      <c r="N39" s="110">
        <f t="shared" si="12"/>
        <v>0</v>
      </c>
    </row>
    <row r="40" spans="2:14" x14ac:dyDescent="0.2">
      <c r="B40" s="126" t="s">
        <v>31</v>
      </c>
      <c r="C40" s="127"/>
      <c r="D40" s="127"/>
      <c r="E40" s="408">
        <f ca="1">IF(ISNUMBER(OFFSET('Financial Analysis'!D11,0,0)),OFFSET('Financial Analysis'!D11,0,0),0)</f>
        <v>0</v>
      </c>
      <c r="F40" s="110">
        <f t="shared" ref="F40:N40" ca="1" si="13">IF(F$24&lt;=$E$21,E40*(1+F$26),0)</f>
        <v>0</v>
      </c>
      <c r="G40" s="110">
        <f t="shared" ca="1" si="13"/>
        <v>0</v>
      </c>
      <c r="H40" s="110">
        <f t="shared" ca="1" si="13"/>
        <v>0</v>
      </c>
      <c r="I40" s="110">
        <f t="shared" ca="1" si="13"/>
        <v>0</v>
      </c>
      <c r="J40" s="110">
        <f t="shared" ca="1" si="13"/>
        <v>0</v>
      </c>
      <c r="K40" s="110">
        <f t="shared" ca="1" si="13"/>
        <v>0</v>
      </c>
      <c r="L40" s="110">
        <f t="shared" si="13"/>
        <v>0</v>
      </c>
      <c r="M40" s="110">
        <f t="shared" si="13"/>
        <v>0</v>
      </c>
      <c r="N40" s="110">
        <f t="shared" si="13"/>
        <v>0</v>
      </c>
    </row>
    <row r="41" spans="2:14" x14ac:dyDescent="0.2">
      <c r="B41" s="126" t="s">
        <v>32</v>
      </c>
      <c r="C41" s="127"/>
      <c r="D41" s="127"/>
      <c r="E41" s="408">
        <f ca="1">IF(ISNUMBER(OFFSET('Financial Analysis'!D12,0,0)),OFFSET('Financial Analysis'!D12,0,0),0)</f>
        <v>0</v>
      </c>
      <c r="F41" s="110">
        <f t="shared" ref="F41:N41" ca="1" si="14">IF(F$24&lt;=$E$21,E41*(1+F$26),0)</f>
        <v>0</v>
      </c>
      <c r="G41" s="110">
        <f t="shared" ca="1" si="14"/>
        <v>0</v>
      </c>
      <c r="H41" s="110">
        <f t="shared" ca="1" si="14"/>
        <v>0</v>
      </c>
      <c r="I41" s="110">
        <f t="shared" ca="1" si="14"/>
        <v>0</v>
      </c>
      <c r="J41" s="110">
        <f t="shared" ca="1" si="14"/>
        <v>0</v>
      </c>
      <c r="K41" s="110">
        <f t="shared" ca="1" si="14"/>
        <v>0</v>
      </c>
      <c r="L41" s="110">
        <f t="shared" si="14"/>
        <v>0</v>
      </c>
      <c r="M41" s="110">
        <f t="shared" si="14"/>
        <v>0</v>
      </c>
      <c r="N41" s="110">
        <f t="shared" si="14"/>
        <v>0</v>
      </c>
    </row>
    <row r="42" spans="2:14" x14ac:dyDescent="0.2">
      <c r="B42" s="126" t="s">
        <v>33</v>
      </c>
      <c r="C42" s="127"/>
      <c r="D42" s="127"/>
      <c r="E42" s="408">
        <f ca="1">IF(ISNUMBER(OFFSET('Financial Analysis'!D13,0,0)),OFFSET('Financial Analysis'!D13,0,0),0)</f>
        <v>0</v>
      </c>
      <c r="F42" s="110">
        <f t="shared" ref="F42:N42" ca="1" si="15">IF(F$24&lt;=$E$21,E42*(1+F$26),0)</f>
        <v>0</v>
      </c>
      <c r="G42" s="110">
        <f t="shared" ca="1" si="15"/>
        <v>0</v>
      </c>
      <c r="H42" s="110">
        <f t="shared" ca="1" si="15"/>
        <v>0</v>
      </c>
      <c r="I42" s="110">
        <f t="shared" ca="1" si="15"/>
        <v>0</v>
      </c>
      <c r="J42" s="110">
        <f t="shared" ca="1" si="15"/>
        <v>0</v>
      </c>
      <c r="K42" s="110">
        <f t="shared" ca="1" si="15"/>
        <v>0</v>
      </c>
      <c r="L42" s="110">
        <f t="shared" si="15"/>
        <v>0</v>
      </c>
      <c r="M42" s="110">
        <f t="shared" si="15"/>
        <v>0</v>
      </c>
      <c r="N42" s="110">
        <f t="shared" si="15"/>
        <v>0</v>
      </c>
    </row>
    <row r="43" spans="2:14" x14ac:dyDescent="0.2">
      <c r="B43" s="126" t="s">
        <v>34</v>
      </c>
      <c r="C43" s="127"/>
      <c r="D43" s="127"/>
      <c r="E43" s="408">
        <f ca="1">IF(ISNUMBER(OFFSET('Financial Analysis'!D14,0,0)),OFFSET('Financial Analysis'!D14,0,0),0)</f>
        <v>0</v>
      </c>
      <c r="F43" s="110">
        <f t="shared" ref="F43:N43" ca="1" si="16">IF(F$24&lt;=$E$21,E43*(1+F$26),0)</f>
        <v>0</v>
      </c>
      <c r="G43" s="110">
        <f t="shared" ca="1" si="16"/>
        <v>0</v>
      </c>
      <c r="H43" s="110">
        <f t="shared" ca="1" si="16"/>
        <v>0</v>
      </c>
      <c r="I43" s="110">
        <f t="shared" ca="1" si="16"/>
        <v>0</v>
      </c>
      <c r="J43" s="110">
        <f t="shared" ca="1" si="16"/>
        <v>0</v>
      </c>
      <c r="K43" s="110">
        <f t="shared" ca="1" si="16"/>
        <v>0</v>
      </c>
      <c r="L43" s="110">
        <f t="shared" si="16"/>
        <v>0</v>
      </c>
      <c r="M43" s="110">
        <f t="shared" si="16"/>
        <v>0</v>
      </c>
      <c r="N43" s="110">
        <f t="shared" si="16"/>
        <v>0</v>
      </c>
    </row>
    <row r="44" spans="2:14" x14ac:dyDescent="0.2">
      <c r="B44" s="126" t="s">
        <v>35</v>
      </c>
      <c r="C44" s="127"/>
      <c r="D44" s="127"/>
      <c r="E44" s="408">
        <f ca="1">IF(ISNUMBER(OFFSET('Financial Analysis'!D15,0,0)),OFFSET('Financial Analysis'!D15,0,0),0)</f>
        <v>0</v>
      </c>
      <c r="F44" s="110">
        <f t="shared" ref="F44:N44" ca="1" si="17">IF(F$24&lt;=$E$21,E44*(1+F$26),0)</f>
        <v>0</v>
      </c>
      <c r="G44" s="110">
        <f t="shared" ca="1" si="17"/>
        <v>0</v>
      </c>
      <c r="H44" s="110">
        <f t="shared" ca="1" si="17"/>
        <v>0</v>
      </c>
      <c r="I44" s="110">
        <f t="shared" ca="1" si="17"/>
        <v>0</v>
      </c>
      <c r="J44" s="110">
        <f t="shared" ca="1" si="17"/>
        <v>0</v>
      </c>
      <c r="K44" s="110">
        <f t="shared" ca="1" si="17"/>
        <v>0</v>
      </c>
      <c r="L44" s="110">
        <f t="shared" si="17"/>
        <v>0</v>
      </c>
      <c r="M44" s="110">
        <f t="shared" si="17"/>
        <v>0</v>
      </c>
      <c r="N44" s="110">
        <f t="shared" si="17"/>
        <v>0</v>
      </c>
    </row>
    <row r="45" spans="2:14" x14ac:dyDescent="0.2">
      <c r="B45" s="126" t="s">
        <v>36</v>
      </c>
      <c r="C45" s="127"/>
      <c r="D45" s="127"/>
      <c r="E45" s="408">
        <f ca="1">IF(ISNUMBER(OFFSET('Financial Analysis'!D16,0,0)),OFFSET('Financial Analysis'!D16,0,0),0)</f>
        <v>0</v>
      </c>
      <c r="F45" s="110">
        <f t="shared" ref="F45:N45" ca="1" si="18">IF(F$24&lt;=$E$21,E45*(1+F$26),0)</f>
        <v>0</v>
      </c>
      <c r="G45" s="110">
        <f t="shared" ca="1" si="18"/>
        <v>0</v>
      </c>
      <c r="H45" s="110">
        <f t="shared" ca="1" si="18"/>
        <v>0</v>
      </c>
      <c r="I45" s="110">
        <f t="shared" ca="1" si="18"/>
        <v>0</v>
      </c>
      <c r="J45" s="110">
        <f t="shared" ca="1" si="18"/>
        <v>0</v>
      </c>
      <c r="K45" s="110">
        <f t="shared" ca="1" si="18"/>
        <v>0</v>
      </c>
      <c r="L45" s="110">
        <f t="shared" si="18"/>
        <v>0</v>
      </c>
      <c r="M45" s="110">
        <f t="shared" si="18"/>
        <v>0</v>
      </c>
      <c r="N45" s="110">
        <f t="shared" si="18"/>
        <v>0</v>
      </c>
    </row>
    <row r="46" spans="2:14" x14ac:dyDescent="0.2">
      <c r="B46" s="126" t="s">
        <v>37</v>
      </c>
      <c r="C46" s="127"/>
      <c r="D46" s="127"/>
      <c r="E46" s="408">
        <f ca="1">IF(ISNUMBER(OFFSET('Financial Analysis'!D17,0,0)),OFFSET('Financial Analysis'!D17,0,0),0)</f>
        <v>0</v>
      </c>
      <c r="F46" s="110">
        <f t="shared" ref="F46:N46" ca="1" si="19">IF(F$24&lt;=$E$21,E46*(1+F$26),0)</f>
        <v>0</v>
      </c>
      <c r="G46" s="110">
        <f t="shared" ca="1" si="19"/>
        <v>0</v>
      </c>
      <c r="H46" s="110">
        <f t="shared" ca="1" si="19"/>
        <v>0</v>
      </c>
      <c r="I46" s="110">
        <f t="shared" ca="1" si="19"/>
        <v>0</v>
      </c>
      <c r="J46" s="110">
        <f t="shared" ca="1" si="19"/>
        <v>0</v>
      </c>
      <c r="K46" s="110">
        <f t="shared" ca="1" si="19"/>
        <v>0</v>
      </c>
      <c r="L46" s="110">
        <f t="shared" si="19"/>
        <v>0</v>
      </c>
      <c r="M46" s="110">
        <f t="shared" si="19"/>
        <v>0</v>
      </c>
      <c r="N46" s="110">
        <f t="shared" si="19"/>
        <v>0</v>
      </c>
    </row>
    <row r="47" spans="2:14" x14ac:dyDescent="0.2">
      <c r="B47" s="126" t="s">
        <v>38</v>
      </c>
      <c r="C47" s="127"/>
      <c r="D47" s="127"/>
      <c r="E47" s="408">
        <f ca="1">IF(ISNUMBER(OFFSET('Financial Analysis'!D18,0,0)),OFFSET('Financial Analysis'!D18,0,0),0)</f>
        <v>0</v>
      </c>
      <c r="F47" s="110">
        <f t="shared" ref="F47:N47" ca="1" si="20">IF(F$24&lt;=$E$21,E47*(1+F$26),0)</f>
        <v>0</v>
      </c>
      <c r="G47" s="110">
        <f t="shared" ca="1" si="20"/>
        <v>0</v>
      </c>
      <c r="H47" s="110">
        <f t="shared" ca="1" si="20"/>
        <v>0</v>
      </c>
      <c r="I47" s="110">
        <f t="shared" ca="1" si="20"/>
        <v>0</v>
      </c>
      <c r="J47" s="110">
        <f t="shared" ca="1" si="20"/>
        <v>0</v>
      </c>
      <c r="K47" s="110">
        <f t="shared" ca="1" si="20"/>
        <v>0</v>
      </c>
      <c r="L47" s="110">
        <f t="shared" si="20"/>
        <v>0</v>
      </c>
      <c r="M47" s="110">
        <f t="shared" si="20"/>
        <v>0</v>
      </c>
      <c r="N47" s="110">
        <f t="shared" si="20"/>
        <v>0</v>
      </c>
    </row>
    <row r="48" spans="2:14" x14ac:dyDescent="0.2">
      <c r="B48" s="126" t="s">
        <v>39</v>
      </c>
      <c r="C48" s="127"/>
      <c r="D48" s="127"/>
      <c r="E48" s="408">
        <f ca="1">IF(ISNUMBER(OFFSET('Financial Analysis'!D19,0,0)),OFFSET('Financial Analysis'!D19,0,0),0)</f>
        <v>0</v>
      </c>
      <c r="F48" s="110">
        <f t="shared" ref="F48:N48" ca="1" si="21">IF(F$24&lt;=$E$21,E48*(1+F$26),0)</f>
        <v>0</v>
      </c>
      <c r="G48" s="110">
        <f t="shared" ca="1" si="21"/>
        <v>0</v>
      </c>
      <c r="H48" s="110">
        <f t="shared" ca="1" si="21"/>
        <v>0</v>
      </c>
      <c r="I48" s="110">
        <f t="shared" ca="1" si="21"/>
        <v>0</v>
      </c>
      <c r="J48" s="110">
        <f t="shared" ca="1" si="21"/>
        <v>0</v>
      </c>
      <c r="K48" s="110">
        <f t="shared" ca="1" si="21"/>
        <v>0</v>
      </c>
      <c r="L48" s="110">
        <f t="shared" si="21"/>
        <v>0</v>
      </c>
      <c r="M48" s="110">
        <f t="shared" si="21"/>
        <v>0</v>
      </c>
      <c r="N48" s="110">
        <f t="shared" si="21"/>
        <v>0</v>
      </c>
    </row>
    <row r="49" spans="2:14" x14ac:dyDescent="0.2">
      <c r="B49" s="244" t="s">
        <v>39</v>
      </c>
      <c r="C49" s="245"/>
      <c r="D49" s="245"/>
      <c r="E49" s="408">
        <v>0</v>
      </c>
      <c r="F49" s="110">
        <f t="shared" ref="F49:N49" si="22">IF(F$24&lt;=$E$21,E49*(1+F$26),0)</f>
        <v>0</v>
      </c>
      <c r="G49" s="110">
        <f t="shared" si="22"/>
        <v>0</v>
      </c>
      <c r="H49" s="110">
        <f t="shared" si="22"/>
        <v>0</v>
      </c>
      <c r="I49" s="110">
        <f t="shared" si="22"/>
        <v>0</v>
      </c>
      <c r="J49" s="110">
        <f t="shared" si="22"/>
        <v>0</v>
      </c>
      <c r="K49" s="110">
        <f t="shared" si="22"/>
        <v>0</v>
      </c>
      <c r="L49" s="110">
        <f t="shared" si="22"/>
        <v>0</v>
      </c>
      <c r="M49" s="110">
        <f t="shared" si="22"/>
        <v>0</v>
      </c>
      <c r="N49" s="110">
        <f t="shared" si="22"/>
        <v>0</v>
      </c>
    </row>
    <row r="50" spans="2:14" x14ac:dyDescent="0.2">
      <c r="B50" s="246" t="s">
        <v>39</v>
      </c>
      <c r="C50" s="247"/>
      <c r="D50" s="247"/>
      <c r="E50" s="409">
        <v>0</v>
      </c>
      <c r="F50" s="110">
        <f t="shared" ref="F50:N50" si="23">IF(F$24&lt;=$E$21,E50*(1+F$26),0)</f>
        <v>0</v>
      </c>
      <c r="G50" s="110">
        <f t="shared" si="23"/>
        <v>0</v>
      </c>
      <c r="H50" s="110">
        <f t="shared" si="23"/>
        <v>0</v>
      </c>
      <c r="I50" s="110">
        <f t="shared" si="23"/>
        <v>0</v>
      </c>
      <c r="J50" s="110">
        <f t="shared" si="23"/>
        <v>0</v>
      </c>
      <c r="K50" s="110">
        <f t="shared" si="23"/>
        <v>0</v>
      </c>
      <c r="L50" s="110">
        <f t="shared" si="23"/>
        <v>0</v>
      </c>
      <c r="M50" s="110">
        <f t="shared" si="23"/>
        <v>0</v>
      </c>
      <c r="N50" s="110">
        <f t="shared" si="23"/>
        <v>0</v>
      </c>
    </row>
    <row r="51" spans="2:14" x14ac:dyDescent="0.2">
      <c r="B51" s="128" t="s">
        <v>40</v>
      </c>
      <c r="C51" s="128"/>
      <c r="D51" s="128"/>
      <c r="E51" s="407">
        <f t="shared" ref="E51:N51" ca="1" si="24">SUM(E39:E50)</f>
        <v>0</v>
      </c>
      <c r="F51" s="122">
        <f t="shared" ca="1" si="24"/>
        <v>0</v>
      </c>
      <c r="G51" s="122">
        <f t="shared" ca="1" si="24"/>
        <v>0</v>
      </c>
      <c r="H51" s="122">
        <f t="shared" ca="1" si="24"/>
        <v>0</v>
      </c>
      <c r="I51" s="122">
        <f t="shared" ca="1" si="24"/>
        <v>0</v>
      </c>
      <c r="J51" s="122">
        <f t="shared" ca="1" si="24"/>
        <v>0</v>
      </c>
      <c r="K51" s="122">
        <f t="shared" ca="1" si="24"/>
        <v>0</v>
      </c>
      <c r="L51" s="122">
        <f t="shared" si="24"/>
        <v>0</v>
      </c>
      <c r="M51" s="122">
        <f t="shared" si="24"/>
        <v>0</v>
      </c>
      <c r="N51" s="122">
        <f t="shared" si="24"/>
        <v>0</v>
      </c>
    </row>
    <row r="52" spans="2:14" x14ac:dyDescent="0.2">
      <c r="B52" s="129" t="s">
        <v>209</v>
      </c>
      <c r="C52" s="129"/>
      <c r="D52" s="129"/>
      <c r="E52" s="130">
        <f t="shared" ref="E52:N52" ca="1" si="25">IFERROR(E51/E37,0)</f>
        <v>0</v>
      </c>
      <c r="F52" s="130">
        <f t="shared" ca="1" si="25"/>
        <v>0</v>
      </c>
      <c r="G52" s="130">
        <f t="shared" ca="1" si="25"/>
        <v>0</v>
      </c>
      <c r="H52" s="130">
        <f t="shared" ca="1" si="25"/>
        <v>0</v>
      </c>
      <c r="I52" s="130">
        <f t="shared" ca="1" si="25"/>
        <v>0</v>
      </c>
      <c r="J52" s="130">
        <f t="shared" ca="1" si="25"/>
        <v>0</v>
      </c>
      <c r="K52" s="130">
        <f t="shared" ca="1" si="25"/>
        <v>0</v>
      </c>
      <c r="L52" s="130">
        <f t="shared" ca="1" si="25"/>
        <v>0</v>
      </c>
      <c r="M52" s="130">
        <f t="shared" ca="1" si="25"/>
        <v>0</v>
      </c>
      <c r="N52" s="130">
        <f t="shared" ca="1" si="25"/>
        <v>0</v>
      </c>
    </row>
    <row r="53" spans="2:14" ht="15" thickBot="1" x14ac:dyDescent="0.25">
      <c r="B53" s="131"/>
      <c r="C53" s="131"/>
      <c r="D53" s="131"/>
      <c r="E53" s="1"/>
      <c r="F53" s="1"/>
      <c r="G53" s="1"/>
      <c r="H53" s="1"/>
      <c r="I53" s="1"/>
      <c r="J53" s="1"/>
      <c r="K53" s="1"/>
      <c r="L53" s="1"/>
      <c r="M53" s="1"/>
      <c r="N53" s="132"/>
    </row>
    <row r="54" spans="2:14" ht="15" thickBot="1" x14ac:dyDescent="0.25">
      <c r="B54" s="179" t="s">
        <v>41</v>
      </c>
      <c r="C54" s="180"/>
      <c r="D54" s="180"/>
      <c r="E54" s="410">
        <f t="shared" ref="E54:N54" ca="1" si="26">E37-E51</f>
        <v>0</v>
      </c>
      <c r="F54" s="181">
        <f t="shared" ca="1" si="26"/>
        <v>0</v>
      </c>
      <c r="G54" s="181">
        <f t="shared" ca="1" si="26"/>
        <v>0</v>
      </c>
      <c r="H54" s="181">
        <f t="shared" ca="1" si="26"/>
        <v>0</v>
      </c>
      <c r="I54" s="181">
        <f t="shared" ca="1" si="26"/>
        <v>0</v>
      </c>
      <c r="J54" s="181">
        <f t="shared" ca="1" si="26"/>
        <v>0</v>
      </c>
      <c r="K54" s="181">
        <f t="shared" ca="1" si="26"/>
        <v>0</v>
      </c>
      <c r="L54" s="181">
        <f t="shared" ca="1" si="26"/>
        <v>0</v>
      </c>
      <c r="M54" s="181">
        <f t="shared" ca="1" si="26"/>
        <v>0</v>
      </c>
      <c r="N54" s="182">
        <f t="shared" ca="1" si="26"/>
        <v>0</v>
      </c>
    </row>
    <row r="55" spans="2:14" x14ac:dyDescent="0.2">
      <c r="B55" s="124"/>
      <c r="C55" s="124"/>
      <c r="D55" s="124"/>
      <c r="E55" s="114"/>
      <c r="F55" s="114"/>
      <c r="G55" s="114"/>
      <c r="H55" s="114"/>
      <c r="I55" s="114"/>
      <c r="J55" s="114"/>
      <c r="K55" s="114"/>
      <c r="L55" s="114"/>
      <c r="M55" s="114"/>
      <c r="N55" s="114"/>
    </row>
    <row r="56" spans="2:14" ht="19" x14ac:dyDescent="0.2">
      <c r="B56" s="52" t="s">
        <v>260</v>
      </c>
      <c r="C56" s="124"/>
      <c r="D56" s="124"/>
      <c r="E56" s="114"/>
      <c r="F56" s="114"/>
      <c r="G56" s="114"/>
      <c r="H56" s="114"/>
      <c r="I56" s="114"/>
      <c r="J56" s="114"/>
      <c r="K56" s="114"/>
      <c r="L56" s="114"/>
      <c r="M56" s="114"/>
      <c r="N56" s="114"/>
    </row>
    <row r="57" spans="2:14" x14ac:dyDescent="0.2">
      <c r="B57" s="105" t="s">
        <v>249</v>
      </c>
      <c r="C57" s="105"/>
      <c r="D57" s="105"/>
      <c r="E57" s="392">
        <v>1</v>
      </c>
      <c r="F57" s="112">
        <f t="shared" ref="F57:N57" si="27">E57+1</f>
        <v>2</v>
      </c>
      <c r="G57" s="112">
        <f t="shared" si="27"/>
        <v>3</v>
      </c>
      <c r="H57" s="112">
        <f t="shared" si="27"/>
        <v>4</v>
      </c>
      <c r="I57" s="112">
        <f t="shared" si="27"/>
        <v>5</v>
      </c>
      <c r="J57" s="112">
        <f t="shared" si="27"/>
        <v>6</v>
      </c>
      <c r="K57" s="112">
        <f t="shared" si="27"/>
        <v>7</v>
      </c>
      <c r="L57" s="112">
        <f t="shared" si="27"/>
        <v>8</v>
      </c>
      <c r="M57" s="112">
        <f t="shared" si="27"/>
        <v>9</v>
      </c>
      <c r="N57" s="112">
        <f t="shared" si="27"/>
        <v>10</v>
      </c>
    </row>
    <row r="58" spans="2:14" x14ac:dyDescent="0.2">
      <c r="B58" s="53" t="s">
        <v>248</v>
      </c>
      <c r="C58" s="53"/>
      <c r="D58" s="162"/>
      <c r="E58" s="393">
        <f t="shared" ref="E58:N58" ca="1" si="28">E54</f>
        <v>0</v>
      </c>
      <c r="F58" s="162">
        <f t="shared" ca="1" si="28"/>
        <v>0</v>
      </c>
      <c r="G58" s="162">
        <f t="shared" ca="1" si="28"/>
        <v>0</v>
      </c>
      <c r="H58" s="162">
        <f t="shared" ca="1" si="28"/>
        <v>0</v>
      </c>
      <c r="I58" s="162">
        <f t="shared" ca="1" si="28"/>
        <v>0</v>
      </c>
      <c r="J58" s="162">
        <f t="shared" ca="1" si="28"/>
        <v>0</v>
      </c>
      <c r="K58" s="162">
        <f t="shared" ca="1" si="28"/>
        <v>0</v>
      </c>
      <c r="L58" s="162">
        <f t="shared" ca="1" si="28"/>
        <v>0</v>
      </c>
      <c r="M58" s="162">
        <f t="shared" ca="1" si="28"/>
        <v>0</v>
      </c>
      <c r="N58" s="162">
        <f t="shared" ca="1" si="28"/>
        <v>0</v>
      </c>
    </row>
    <row r="59" spans="2:14" x14ac:dyDescent="0.2">
      <c r="B59" s="151" t="s">
        <v>253</v>
      </c>
      <c r="C59" s="151"/>
      <c r="D59" s="155">
        <f ca="1">-N18</f>
        <v>0</v>
      </c>
      <c r="E59" s="394">
        <f t="shared" ref="E59:N59" ca="1" si="29">E65</f>
        <v>0</v>
      </c>
      <c r="F59" s="163">
        <f t="shared" ca="1" si="29"/>
        <v>0</v>
      </c>
      <c r="G59" s="163">
        <f t="shared" ca="1" si="29"/>
        <v>0</v>
      </c>
      <c r="H59" s="163">
        <f t="shared" ca="1" si="29"/>
        <v>0</v>
      </c>
      <c r="I59" s="163">
        <f t="shared" ca="1" si="29"/>
        <v>0</v>
      </c>
      <c r="J59" s="163">
        <f t="shared" ca="1" si="29"/>
        <v>0</v>
      </c>
      <c r="K59" s="163">
        <f t="shared" ca="1" si="29"/>
        <v>0</v>
      </c>
      <c r="L59" s="163">
        <f t="shared" ca="1" si="29"/>
        <v>0</v>
      </c>
      <c r="M59" s="163">
        <f t="shared" ca="1" si="29"/>
        <v>0</v>
      </c>
      <c r="N59" s="163">
        <f t="shared" ca="1" si="29"/>
        <v>0</v>
      </c>
    </row>
    <row r="60" spans="2:14" x14ac:dyDescent="0.2">
      <c r="B60" s="128" t="s">
        <v>244</v>
      </c>
      <c r="C60" s="128"/>
      <c r="D60" s="398">
        <f t="shared" ref="D60:N60" ca="1" si="30">SUM(D58:D59)</f>
        <v>0</v>
      </c>
      <c r="E60" s="399">
        <f t="shared" ca="1" si="30"/>
        <v>0</v>
      </c>
      <c r="F60" s="398">
        <f t="shared" ca="1" si="30"/>
        <v>0</v>
      </c>
      <c r="G60" s="398">
        <f t="shared" ca="1" si="30"/>
        <v>0</v>
      </c>
      <c r="H60" s="398">
        <f t="shared" ca="1" si="30"/>
        <v>0</v>
      </c>
      <c r="I60" s="398">
        <f t="shared" ca="1" si="30"/>
        <v>0</v>
      </c>
      <c r="J60" s="398">
        <f t="shared" ca="1" si="30"/>
        <v>0</v>
      </c>
      <c r="K60" s="398">
        <f t="shared" ca="1" si="30"/>
        <v>0</v>
      </c>
      <c r="L60" s="398">
        <f t="shared" ca="1" si="30"/>
        <v>0</v>
      </c>
      <c r="M60" s="398">
        <f t="shared" ca="1" si="30"/>
        <v>0</v>
      </c>
      <c r="N60" s="398">
        <f t="shared" ca="1" si="30"/>
        <v>0</v>
      </c>
    </row>
    <row r="61" spans="2:14" x14ac:dyDescent="0.2">
      <c r="B61" s="124"/>
      <c r="C61" s="124"/>
      <c r="D61" s="124"/>
      <c r="E61" s="114"/>
      <c r="F61" s="114"/>
      <c r="G61" s="114"/>
      <c r="H61" s="114"/>
      <c r="I61" s="114"/>
      <c r="J61" s="114"/>
      <c r="K61" s="114"/>
      <c r="L61" s="114"/>
      <c r="M61" s="114"/>
      <c r="N61" s="114"/>
    </row>
    <row r="62" spans="2:14" x14ac:dyDescent="0.2">
      <c r="B62" s="105" t="s">
        <v>257</v>
      </c>
      <c r="C62" s="105"/>
      <c r="D62" s="105"/>
      <c r="E62" s="395"/>
      <c r="F62" s="125"/>
      <c r="G62" s="125"/>
      <c r="H62" s="125"/>
      <c r="I62" s="125"/>
      <c r="J62" s="125"/>
      <c r="K62" s="125"/>
      <c r="L62" s="125"/>
      <c r="M62" s="125"/>
      <c r="N62" s="125"/>
    </row>
    <row r="63" spans="2:14" x14ac:dyDescent="0.2">
      <c r="B63" s="53" t="s">
        <v>248</v>
      </c>
      <c r="C63" s="53"/>
      <c r="D63" s="156"/>
      <c r="E63" s="396">
        <f t="shared" ref="E63:N63" ca="1" si="31">E54</f>
        <v>0</v>
      </c>
      <c r="F63" s="154">
        <f t="shared" ca="1" si="31"/>
        <v>0</v>
      </c>
      <c r="G63" s="154">
        <f t="shared" ca="1" si="31"/>
        <v>0</v>
      </c>
      <c r="H63" s="154">
        <f t="shared" ca="1" si="31"/>
        <v>0</v>
      </c>
      <c r="I63" s="154">
        <f t="shared" ca="1" si="31"/>
        <v>0</v>
      </c>
      <c r="J63" s="154">
        <f t="shared" ca="1" si="31"/>
        <v>0</v>
      </c>
      <c r="K63" s="154">
        <f t="shared" ca="1" si="31"/>
        <v>0</v>
      </c>
      <c r="L63" s="154">
        <f t="shared" ca="1" si="31"/>
        <v>0</v>
      </c>
      <c r="M63" s="154">
        <f t="shared" ca="1" si="31"/>
        <v>0</v>
      </c>
      <c r="N63" s="154">
        <f t="shared" ca="1" si="31"/>
        <v>0</v>
      </c>
    </row>
    <row r="64" spans="2:14" x14ac:dyDescent="0.2">
      <c r="B64" s="53" t="s">
        <v>231</v>
      </c>
      <c r="C64" s="53"/>
      <c r="D64" s="156"/>
      <c r="E64" s="396">
        <f t="shared" ref="E64:N64" ca="1" si="32">IF(E24&gt;$E$21,0,-IF(AND($I$10&gt;D$24*12,$I$10&lt;=E$24*12),((($I$10-D$24*12)/12)*$I$17+(1-($I$10-D$24*12)/12)*$I$18),IF($I$10&gt;E$24*12,$I$17,$I$18))*IF($E$20=0,1,IF(AND(D$24*12&lt;$E$20,E$24*12&gt;=$E$20),($E$20-D$24*12)/12,IF(E$24*12&lt;$E$20,1,0)))
-IF(AND(($J$10+$E$20)&gt;D$24*12,($J$10+$E$20)&lt;=E$24*12),(((($J$10+$E$20)-D$24*12)/12)*$J$17+(1-(($J$10+$E$20)-D$24*12)/12)*$J$18),IF(($J$10+$E$20)&gt;E$24*12,$J$17,$J$18))*IF($E$20=0,0,IF(AND(D$24*12&lt;$E$20,E$24*12&gt;=$E$20),(12-($E$20-D$24*12))/12,IF(E$24*12&lt;$E$20,0,1))))</f>
        <v>0</v>
      </c>
      <c r="F64" s="154">
        <f t="shared" ca="1" si="32"/>
        <v>0</v>
      </c>
      <c r="G64" s="154">
        <f t="shared" ca="1" si="32"/>
        <v>0</v>
      </c>
      <c r="H64" s="154">
        <f t="shared" ca="1" si="32"/>
        <v>0</v>
      </c>
      <c r="I64" s="154">
        <f t="shared" ca="1" si="32"/>
        <v>0</v>
      </c>
      <c r="J64" s="154">
        <f t="shared" ca="1" si="32"/>
        <v>0</v>
      </c>
      <c r="K64" s="154">
        <f t="shared" ca="1" si="32"/>
        <v>0</v>
      </c>
      <c r="L64" s="154">
        <f t="shared" si="32"/>
        <v>0</v>
      </c>
      <c r="M64" s="154">
        <f t="shared" si="32"/>
        <v>0</v>
      </c>
      <c r="N64" s="154">
        <f t="shared" si="32"/>
        <v>0</v>
      </c>
    </row>
    <row r="65" spans="2:14" x14ac:dyDescent="0.2">
      <c r="B65" s="53" t="s">
        <v>253</v>
      </c>
      <c r="C65" s="53"/>
      <c r="D65" s="162">
        <f ca="1">D59</f>
        <v>0</v>
      </c>
      <c r="E65" s="396">
        <f t="shared" ref="E65:N65" ca="1" si="33">IF(AND($E$21&gt;D$24,$E$21&lt;=E$24),(OFFSET($D$54,0,$E$21)/$E$13)*(1-$E$14),0)</f>
        <v>0</v>
      </c>
      <c r="F65" s="154">
        <f t="shared" ca="1" si="33"/>
        <v>0</v>
      </c>
      <c r="G65" s="154">
        <f t="shared" ca="1" si="33"/>
        <v>0</v>
      </c>
      <c r="H65" s="154">
        <f t="shared" ca="1" si="33"/>
        <v>0</v>
      </c>
      <c r="I65" s="154">
        <f t="shared" ca="1" si="33"/>
        <v>0</v>
      </c>
      <c r="J65" s="154">
        <f t="shared" ca="1" si="33"/>
        <v>0</v>
      </c>
      <c r="K65" s="154">
        <f t="shared" ca="1" si="33"/>
        <v>0</v>
      </c>
      <c r="L65" s="154">
        <f t="shared" ca="1" si="33"/>
        <v>0</v>
      </c>
      <c r="M65" s="154">
        <f t="shared" ca="1" si="33"/>
        <v>0</v>
      </c>
      <c r="N65" s="154">
        <f t="shared" ca="1" si="33"/>
        <v>0</v>
      </c>
    </row>
    <row r="66" spans="2:14" x14ac:dyDescent="0.2">
      <c r="B66" s="151" t="s">
        <v>252</v>
      </c>
      <c r="C66" s="151"/>
      <c r="D66" s="157">
        <f ca="1">I21</f>
        <v>0</v>
      </c>
      <c r="E66" s="397">
        <f t="shared" ref="E66:N66" si="34">IF(AND($E$21&gt;D$24,$E$21&lt;=E$24),IF($E$20=0,-$I$22,-$J$22),0)+IF(AND($E$20&gt;D$24*12,$E$20&lt;=E$24*12),$J$21,0)</f>
        <v>0</v>
      </c>
      <c r="F66" s="155">
        <f t="shared" si="34"/>
        <v>0</v>
      </c>
      <c r="G66" s="155">
        <f t="shared" ca="1" si="34"/>
        <v>0</v>
      </c>
      <c r="H66" s="155">
        <f t="shared" si="34"/>
        <v>0</v>
      </c>
      <c r="I66" s="155">
        <f t="shared" si="34"/>
        <v>0</v>
      </c>
      <c r="J66" s="155">
        <f t="shared" si="34"/>
        <v>0</v>
      </c>
      <c r="K66" s="155">
        <f t="shared" ca="1" si="34"/>
        <v>0</v>
      </c>
      <c r="L66" s="155">
        <f t="shared" si="34"/>
        <v>0</v>
      </c>
      <c r="M66" s="155">
        <f t="shared" si="34"/>
        <v>0</v>
      </c>
      <c r="N66" s="155">
        <f t="shared" si="34"/>
        <v>0</v>
      </c>
    </row>
    <row r="67" spans="2:14" x14ac:dyDescent="0.2">
      <c r="B67" s="128" t="s">
        <v>244</v>
      </c>
      <c r="C67" s="128"/>
      <c r="D67" s="400">
        <f t="shared" ref="D67:N67" ca="1" si="35">SUM(D63:D66)</f>
        <v>0</v>
      </c>
      <c r="E67" s="401">
        <f t="shared" ca="1" si="35"/>
        <v>0</v>
      </c>
      <c r="F67" s="400">
        <f t="shared" ca="1" si="35"/>
        <v>0</v>
      </c>
      <c r="G67" s="400">
        <f t="shared" ca="1" si="35"/>
        <v>0</v>
      </c>
      <c r="H67" s="400">
        <f t="shared" ca="1" si="35"/>
        <v>0</v>
      </c>
      <c r="I67" s="400">
        <f t="shared" ca="1" si="35"/>
        <v>0</v>
      </c>
      <c r="J67" s="400">
        <f t="shared" ca="1" si="35"/>
        <v>0</v>
      </c>
      <c r="K67" s="400">
        <f t="shared" ca="1" si="35"/>
        <v>0</v>
      </c>
      <c r="L67" s="400">
        <f t="shared" ca="1" si="35"/>
        <v>0</v>
      </c>
      <c r="M67" s="400">
        <f t="shared" ca="1" si="35"/>
        <v>0</v>
      </c>
      <c r="N67" s="400">
        <f t="shared" ca="1" si="35"/>
        <v>0</v>
      </c>
    </row>
    <row r="68" spans="2:14" x14ac:dyDescent="0.2">
      <c r="B68" s="402" t="s">
        <v>203</v>
      </c>
      <c r="C68" s="403"/>
      <c r="D68" s="403"/>
      <c r="E68" s="404" t="str">
        <f t="shared" ref="E68:N68" ca="1" si="36">IFERROR(-E63/E64,"")</f>
        <v/>
      </c>
      <c r="F68" s="404" t="str">
        <f t="shared" ca="1" si="36"/>
        <v/>
      </c>
      <c r="G68" s="404" t="str">
        <f t="shared" ca="1" si="36"/>
        <v/>
      </c>
      <c r="H68" s="404" t="str">
        <f t="shared" ca="1" si="36"/>
        <v/>
      </c>
      <c r="I68" s="404" t="str">
        <f t="shared" ca="1" si="36"/>
        <v/>
      </c>
      <c r="J68" s="404" t="str">
        <f t="shared" ca="1" si="36"/>
        <v/>
      </c>
      <c r="K68" s="404" t="str">
        <f t="shared" ca="1" si="36"/>
        <v/>
      </c>
      <c r="L68" s="404" t="str">
        <f t="shared" ca="1" si="36"/>
        <v/>
      </c>
      <c r="M68" s="404" t="str">
        <f t="shared" ca="1" si="36"/>
        <v/>
      </c>
      <c r="N68" s="404" t="str">
        <f t="shared" ca="1" si="36"/>
        <v/>
      </c>
    </row>
    <row r="69" spans="2:14" x14ac:dyDescent="0.2">
      <c r="B69" s="124"/>
      <c r="C69" s="124"/>
      <c r="D69" s="124"/>
      <c r="E69" s="114"/>
      <c r="F69" s="114"/>
      <c r="G69" s="114"/>
      <c r="H69" s="114"/>
      <c r="I69" s="114"/>
      <c r="J69" s="114"/>
      <c r="K69" s="114"/>
      <c r="L69" s="114"/>
      <c r="M69" s="114"/>
      <c r="N69" s="114"/>
    </row>
    <row r="70" spans="2:14" ht="19" x14ac:dyDescent="0.2">
      <c r="B70" s="183" t="s">
        <v>261</v>
      </c>
      <c r="C70" s="124"/>
      <c r="D70" s="124"/>
      <c r="E70" s="114"/>
      <c r="F70" s="114"/>
      <c r="G70" s="114"/>
      <c r="H70" s="114"/>
      <c r="I70" s="114"/>
      <c r="J70" s="114"/>
      <c r="K70" s="114"/>
      <c r="L70" s="114"/>
      <c r="M70" s="114"/>
      <c r="N70" s="114"/>
    </row>
    <row r="71" spans="2:14" x14ac:dyDescent="0.2">
      <c r="B71" s="243" t="s">
        <v>258</v>
      </c>
      <c r="C71" s="243"/>
      <c r="D71" s="243"/>
      <c r="E71" s="380">
        <v>1</v>
      </c>
      <c r="F71" s="173">
        <f t="shared" ref="F71:N71" si="37">E71+1</f>
        <v>2</v>
      </c>
      <c r="G71" s="173">
        <f t="shared" si="37"/>
        <v>3</v>
      </c>
      <c r="H71" s="173">
        <f t="shared" si="37"/>
        <v>4</v>
      </c>
      <c r="I71" s="173">
        <f t="shared" si="37"/>
        <v>5</v>
      </c>
      <c r="J71" s="173">
        <f t="shared" si="37"/>
        <v>6</v>
      </c>
      <c r="K71" s="173">
        <f t="shared" si="37"/>
        <v>7</v>
      </c>
      <c r="L71" s="173">
        <f t="shared" si="37"/>
        <v>8</v>
      </c>
      <c r="M71" s="173">
        <f t="shared" si="37"/>
        <v>9</v>
      </c>
      <c r="N71" s="173">
        <f t="shared" si="37"/>
        <v>10</v>
      </c>
    </row>
    <row r="72" spans="2:14" x14ac:dyDescent="0.2">
      <c r="B72" s="135" t="s">
        <v>210</v>
      </c>
      <c r="C72" s="169" t="s">
        <v>247</v>
      </c>
      <c r="D72" s="167">
        <f t="shared" ref="D72:N72" ca="1" si="38">IF($C$72="Leveraged",D67,D60)</f>
        <v>0</v>
      </c>
      <c r="E72" s="388">
        <f t="shared" ca="1" si="38"/>
        <v>0</v>
      </c>
      <c r="F72" s="167">
        <f t="shared" ca="1" si="38"/>
        <v>0</v>
      </c>
      <c r="G72" s="167">
        <f t="shared" ca="1" si="38"/>
        <v>0</v>
      </c>
      <c r="H72" s="167">
        <f t="shared" ca="1" si="38"/>
        <v>0</v>
      </c>
      <c r="I72" s="167">
        <f t="shared" ca="1" si="38"/>
        <v>0</v>
      </c>
      <c r="J72" s="167">
        <f t="shared" ca="1" si="38"/>
        <v>0</v>
      </c>
      <c r="K72" s="167">
        <f t="shared" ca="1" si="38"/>
        <v>0</v>
      </c>
      <c r="L72" s="167">
        <f t="shared" ca="1" si="38"/>
        <v>0</v>
      </c>
      <c r="M72" s="167">
        <f t="shared" ca="1" si="38"/>
        <v>0</v>
      </c>
      <c r="N72" s="167">
        <f t="shared" ca="1" si="38"/>
        <v>0</v>
      </c>
    </row>
    <row r="73" spans="2:14" x14ac:dyDescent="0.2">
      <c r="B73" s="12" t="s">
        <v>211</v>
      </c>
      <c r="C73" s="117">
        <v>0.01</v>
      </c>
      <c r="D73" s="159">
        <f ca="1">$C$73*E8</f>
        <v>0</v>
      </c>
      <c r="E73" s="389">
        <f t="shared" ref="E73:N73" si="39">IF(E71=$E$21,E65*$C$73,0)+IF(AND($E$20&gt;D$24*12,$E$20&lt;=E$24*12),$J$21,0)*$C$73</f>
        <v>0</v>
      </c>
      <c r="F73" s="156">
        <f t="shared" si="39"/>
        <v>0</v>
      </c>
      <c r="G73" s="156">
        <f t="shared" ca="1" si="39"/>
        <v>0</v>
      </c>
      <c r="H73" s="156">
        <f t="shared" si="39"/>
        <v>0</v>
      </c>
      <c r="I73" s="156">
        <f t="shared" si="39"/>
        <v>0</v>
      </c>
      <c r="J73" s="156">
        <f t="shared" si="39"/>
        <v>0</v>
      </c>
      <c r="K73" s="156">
        <f t="shared" ca="1" si="39"/>
        <v>0</v>
      </c>
      <c r="L73" s="156">
        <f t="shared" si="39"/>
        <v>0</v>
      </c>
      <c r="M73" s="156">
        <f t="shared" si="39"/>
        <v>0</v>
      </c>
      <c r="N73" s="156">
        <f t="shared" si="39"/>
        <v>0</v>
      </c>
    </row>
    <row r="74" spans="2:14" x14ac:dyDescent="0.2">
      <c r="B74" s="191" t="s">
        <v>259</v>
      </c>
      <c r="C74" s="120">
        <v>0.01</v>
      </c>
      <c r="D74" s="192">
        <v>0</v>
      </c>
      <c r="E74" s="390">
        <f t="shared" ref="E74:N74" ca="1" si="40">SUM(E63:E64)*$C$74</f>
        <v>0</v>
      </c>
      <c r="F74" s="168">
        <f t="shared" ca="1" si="40"/>
        <v>0</v>
      </c>
      <c r="G74" s="168">
        <f t="shared" ca="1" si="40"/>
        <v>0</v>
      </c>
      <c r="H74" s="168">
        <f t="shared" ca="1" si="40"/>
        <v>0</v>
      </c>
      <c r="I74" s="168">
        <f t="shared" ca="1" si="40"/>
        <v>0</v>
      </c>
      <c r="J74" s="168">
        <f t="shared" ca="1" si="40"/>
        <v>0</v>
      </c>
      <c r="K74" s="168">
        <f t="shared" ca="1" si="40"/>
        <v>0</v>
      </c>
      <c r="L74" s="168">
        <f t="shared" ca="1" si="40"/>
        <v>0</v>
      </c>
      <c r="M74" s="168">
        <f t="shared" ca="1" si="40"/>
        <v>0</v>
      </c>
      <c r="N74" s="168">
        <f t="shared" ca="1" si="40"/>
        <v>0</v>
      </c>
    </row>
    <row r="75" spans="2:14" x14ac:dyDescent="0.2">
      <c r="B75" s="136" t="s">
        <v>258</v>
      </c>
      <c r="C75" s="136"/>
      <c r="D75" s="137">
        <f t="shared" ref="D75:N75" ca="1" si="41">SUM(D72:D72)-SUM(D73:D74)</f>
        <v>0</v>
      </c>
      <c r="E75" s="391">
        <f t="shared" ca="1" si="41"/>
        <v>0</v>
      </c>
      <c r="F75" s="137">
        <f t="shared" ca="1" si="41"/>
        <v>0</v>
      </c>
      <c r="G75" s="137">
        <f t="shared" ca="1" si="41"/>
        <v>0</v>
      </c>
      <c r="H75" s="137">
        <f t="shared" ca="1" si="41"/>
        <v>0</v>
      </c>
      <c r="I75" s="137">
        <f t="shared" ca="1" si="41"/>
        <v>0</v>
      </c>
      <c r="J75" s="137">
        <f t="shared" ca="1" si="41"/>
        <v>0</v>
      </c>
      <c r="K75" s="137">
        <f t="shared" ca="1" si="41"/>
        <v>0</v>
      </c>
      <c r="L75" s="137">
        <f t="shared" ca="1" si="41"/>
        <v>0</v>
      </c>
      <c r="M75" s="137">
        <f t="shared" ca="1" si="41"/>
        <v>0</v>
      </c>
      <c r="N75" s="137">
        <f t="shared" ca="1" si="41"/>
        <v>0</v>
      </c>
    </row>
    <row r="76" spans="2:14" x14ac:dyDescent="0.2">
      <c r="B76" s="138"/>
      <c r="C76" s="138"/>
      <c r="D76" s="138"/>
      <c r="E76" s="139"/>
      <c r="F76" s="140"/>
      <c r="G76" s="140"/>
      <c r="H76" s="140"/>
      <c r="I76" s="140"/>
      <c r="J76" s="140"/>
      <c r="K76" s="140"/>
      <c r="L76" s="140"/>
      <c r="M76" s="140"/>
      <c r="N76" s="140"/>
    </row>
    <row r="77" spans="2:14" x14ac:dyDescent="0.2">
      <c r="B77" s="133" t="s">
        <v>212</v>
      </c>
      <c r="C77" s="134" t="s">
        <v>217</v>
      </c>
      <c r="D77" s="134" t="s">
        <v>218</v>
      </c>
      <c r="E77" s="134" t="s">
        <v>285</v>
      </c>
      <c r="F77" s="141" t="s">
        <v>213</v>
      </c>
      <c r="G77" s="8"/>
      <c r="H77" s="142"/>
      <c r="I77" s="8"/>
      <c r="J77" s="8"/>
      <c r="K77" s="8"/>
      <c r="L77" s="8"/>
      <c r="M77" s="8"/>
      <c r="N77" s="8"/>
    </row>
    <row r="78" spans="2:14" x14ac:dyDescent="0.2">
      <c r="B78" s="8" t="s">
        <v>284</v>
      </c>
      <c r="C78" s="143">
        <v>0.1</v>
      </c>
      <c r="D78" s="146">
        <f>1-C78</f>
        <v>0.9</v>
      </c>
      <c r="E78" s="143" t="s">
        <v>214</v>
      </c>
      <c r="F78" s="141"/>
      <c r="G78" s="8"/>
      <c r="H78" s="142"/>
      <c r="I78" s="8"/>
      <c r="J78" s="8"/>
      <c r="K78" s="8"/>
      <c r="L78" s="8"/>
      <c r="M78" s="8"/>
      <c r="N78" s="8"/>
    </row>
    <row r="79" spans="2:14" x14ac:dyDescent="0.2">
      <c r="B79" s="8" t="s">
        <v>282</v>
      </c>
      <c r="C79" s="8"/>
      <c r="D79" s="8"/>
      <c r="E79" s="143">
        <v>0.05</v>
      </c>
      <c r="F79" s="186" t="str">
        <f>IF(E78="European","Investors get back all of their capital and a "&amp;TEXT(E79,"0.00%")&amp;" pref return.","Investors receive a "&amp;TEXT(E79,"0.00%")&amp;" pref return.")</f>
        <v>Investors receive a 5.00% pref return.</v>
      </c>
      <c r="G79" s="8"/>
      <c r="H79" s="8"/>
      <c r="I79" s="8"/>
      <c r="J79" s="8"/>
      <c r="K79" s="8"/>
      <c r="L79" s="8"/>
      <c r="M79" s="8"/>
      <c r="N79" s="8"/>
    </row>
    <row r="80" spans="2:14" x14ac:dyDescent="0.2">
      <c r="B80" s="8" t="s">
        <v>271</v>
      </c>
      <c r="C80" s="8"/>
      <c r="D80" s="8"/>
      <c r="E80" s="143" t="s">
        <v>333</v>
      </c>
      <c r="F80" s="186"/>
      <c r="G80" s="8"/>
      <c r="H80" s="8"/>
      <c r="I80" s="148"/>
      <c r="J80" s="8"/>
      <c r="K80" s="8"/>
      <c r="L80" s="8"/>
      <c r="M80" s="8"/>
      <c r="N80" s="8"/>
    </row>
    <row r="81" spans="2:14" x14ac:dyDescent="0.2">
      <c r="B81" s="8" t="s">
        <v>215</v>
      </c>
      <c r="C81" s="144"/>
      <c r="D81" s="144"/>
      <c r="E81" s="143" t="s">
        <v>216</v>
      </c>
      <c r="F81" s="186" t="str">
        <f>IF(E81="No","","After Investors receive a "&amp;TEXT(E79,"0.00%")&amp;" return on their investment, the Sponsor receives all cash flow until the Sponsor has received at least "&amp;TEXT(C83,"0.00%")&amp;" of aggregate cash flow from the deal.")</f>
        <v/>
      </c>
      <c r="G81" s="8"/>
      <c r="H81" s="8"/>
      <c r="I81" s="8"/>
      <c r="J81" s="8"/>
      <c r="K81" s="8"/>
      <c r="L81" s="8"/>
      <c r="M81" s="8"/>
      <c r="N81" s="8"/>
    </row>
    <row r="82" spans="2:14" ht="15" x14ac:dyDescent="0.2">
      <c r="B82" s="133" t="str">
        <f>IF(E81=0,"Splits After Pref","Splits After Pref and Catchup")</f>
        <v>Splits After Pref and Catchup</v>
      </c>
      <c r="C82" s="134" t="s">
        <v>217</v>
      </c>
      <c r="D82" s="134" t="s">
        <v>218</v>
      </c>
      <c r="E82" s="145" t="s">
        <v>265</v>
      </c>
      <c r="F82" s="187"/>
      <c r="G82" s="8"/>
      <c r="H82" s="8"/>
      <c r="I82" s="8"/>
      <c r="J82" s="8"/>
      <c r="K82" s="8"/>
      <c r="L82" s="8"/>
      <c r="M82" s="8"/>
      <c r="N82" s="8"/>
    </row>
    <row r="83" spans="2:14" x14ac:dyDescent="0.2">
      <c r="B83" s="8" t="s">
        <v>219</v>
      </c>
      <c r="C83" s="143">
        <v>0.2</v>
      </c>
      <c r="D83" s="146">
        <f>1-C83</f>
        <v>0.8</v>
      </c>
      <c r="E83" s="147">
        <v>0.2</v>
      </c>
      <c r="F83" s="186"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20.00% to the Sponsor and 80.00% to the Investors until the Investors have received a 20.00% return.</v>
      </c>
      <c r="G83" s="8"/>
      <c r="H83" s="8"/>
      <c r="I83" s="8"/>
      <c r="J83" s="8"/>
      <c r="K83" s="8"/>
      <c r="L83" s="8"/>
      <c r="M83" s="8"/>
      <c r="N83" s="8"/>
    </row>
    <row r="84" spans="2:14" x14ac:dyDescent="0.2">
      <c r="B84" s="8" t="s">
        <v>220</v>
      </c>
      <c r="C84" s="143">
        <v>0.5</v>
      </c>
      <c r="D84" s="146">
        <f>1-C84</f>
        <v>0.5</v>
      </c>
      <c r="E84" s="144"/>
      <c r="F84" s="186"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x14ac:dyDescent="0.2">
      <c r="B85" s="8"/>
      <c r="C85" s="8"/>
      <c r="D85" s="8"/>
      <c r="E85" s="8"/>
      <c r="F85" s="188"/>
      <c r="G85" s="111"/>
      <c r="H85" s="8"/>
      <c r="I85" s="8"/>
      <c r="J85" s="148"/>
      <c r="K85" s="148"/>
      <c r="L85" s="8"/>
      <c r="M85" s="8"/>
      <c r="N85" s="8"/>
    </row>
    <row r="86" spans="2:14" x14ac:dyDescent="0.2">
      <c r="B86" s="243" t="s">
        <v>263</v>
      </c>
      <c r="C86" s="243"/>
      <c r="D86" s="243"/>
      <c r="E86" s="380">
        <v>1</v>
      </c>
      <c r="F86" s="173">
        <f t="shared" ref="F86:N86" si="42">E86+1</f>
        <v>2</v>
      </c>
      <c r="G86" s="173">
        <f t="shared" si="42"/>
        <v>3</v>
      </c>
      <c r="H86" s="173">
        <f t="shared" si="42"/>
        <v>4</v>
      </c>
      <c r="I86" s="173">
        <f t="shared" si="42"/>
        <v>5</v>
      </c>
      <c r="J86" s="173">
        <f t="shared" si="42"/>
        <v>6</v>
      </c>
      <c r="K86" s="173">
        <f t="shared" si="42"/>
        <v>7</v>
      </c>
      <c r="L86" s="173">
        <f t="shared" si="42"/>
        <v>8</v>
      </c>
      <c r="M86" s="173">
        <f t="shared" si="42"/>
        <v>9</v>
      </c>
      <c r="N86" s="173">
        <f t="shared" si="42"/>
        <v>10</v>
      </c>
    </row>
    <row r="87" spans="2:14" x14ac:dyDescent="0.2">
      <c r="B87" s="189" t="s">
        <v>334</v>
      </c>
      <c r="C87" s="189"/>
      <c r="D87" s="189"/>
      <c r="E87" s="381">
        <f ca="1">-D75</f>
        <v>0</v>
      </c>
      <c r="F87" s="190">
        <f t="shared" ref="F87:N87" ca="1" si="43">MAX(E87*(1+$E$79)-SUM(E89:E90)-E91,0)</f>
        <v>0</v>
      </c>
      <c r="G87" s="190">
        <f t="shared" ca="1" si="43"/>
        <v>0</v>
      </c>
      <c r="H87" s="190">
        <f t="shared" ca="1" si="43"/>
        <v>0</v>
      </c>
      <c r="I87" s="190">
        <f t="shared" ca="1" si="43"/>
        <v>0</v>
      </c>
      <c r="J87" s="190">
        <f t="shared" ca="1" si="43"/>
        <v>0</v>
      </c>
      <c r="K87" s="190">
        <f t="shared" ca="1" si="43"/>
        <v>0</v>
      </c>
      <c r="L87" s="190">
        <f t="shared" ca="1" si="43"/>
        <v>0</v>
      </c>
      <c r="M87" s="190">
        <f t="shared" ca="1" si="43"/>
        <v>0</v>
      </c>
      <c r="N87" s="190">
        <f t="shared" ca="1" si="43"/>
        <v>0</v>
      </c>
    </row>
    <row r="88" spans="2:14" x14ac:dyDescent="0.2">
      <c r="B88" s="378" t="s">
        <v>258</v>
      </c>
      <c r="C88" s="378"/>
      <c r="D88" s="379">
        <f t="shared" ref="D88:N88" ca="1" si="44">D75</f>
        <v>0</v>
      </c>
      <c r="E88" s="382">
        <f t="shared" ca="1" si="44"/>
        <v>0</v>
      </c>
      <c r="F88" s="379">
        <f t="shared" ca="1" si="44"/>
        <v>0</v>
      </c>
      <c r="G88" s="379">
        <f t="shared" ca="1" si="44"/>
        <v>0</v>
      </c>
      <c r="H88" s="379">
        <f t="shared" ca="1" si="44"/>
        <v>0</v>
      </c>
      <c r="I88" s="379">
        <f t="shared" ca="1" si="44"/>
        <v>0</v>
      </c>
      <c r="J88" s="379">
        <f t="shared" ca="1" si="44"/>
        <v>0</v>
      </c>
      <c r="K88" s="379">
        <f t="shared" ca="1" si="44"/>
        <v>0</v>
      </c>
      <c r="L88" s="379">
        <f t="shared" ca="1" si="44"/>
        <v>0</v>
      </c>
      <c r="M88" s="379">
        <f t="shared" ca="1" si="44"/>
        <v>0</v>
      </c>
      <c r="N88" s="379">
        <f t="shared" ca="1" si="44"/>
        <v>0</v>
      </c>
    </row>
    <row r="89" spans="2:14" x14ac:dyDescent="0.2">
      <c r="B89" s="8" t="str">
        <f>IF(E78="American","Preferred Return - LP","Preferred Return &amp; Return of Capital - LP")</f>
        <v>Preferred Return - LP</v>
      </c>
      <c r="C89" s="8"/>
      <c r="D89" s="148"/>
      <c r="E89" s="383">
        <f t="shared" ref="E89:N89" ca="1" si="45">IF($E$78="American",MIN(E75,E87*$E$79)*IF($E$80="Yes",$D$78,1),MIN(E75,E87*(1+$E$79))*IF($E$80="Yes",$D$78,1))</f>
        <v>0</v>
      </c>
      <c r="F89" s="110">
        <f t="shared" ca="1" si="45"/>
        <v>0</v>
      </c>
      <c r="G89" s="110">
        <f t="shared" ca="1" si="45"/>
        <v>0</v>
      </c>
      <c r="H89" s="110">
        <f t="shared" ca="1" si="45"/>
        <v>0</v>
      </c>
      <c r="I89" s="110">
        <f t="shared" ca="1" si="45"/>
        <v>0</v>
      </c>
      <c r="J89" s="110">
        <f t="shared" ca="1" si="45"/>
        <v>0</v>
      </c>
      <c r="K89" s="110">
        <f t="shared" ca="1" si="45"/>
        <v>0</v>
      </c>
      <c r="L89" s="110">
        <f t="shared" ca="1" si="45"/>
        <v>0</v>
      </c>
      <c r="M89" s="110">
        <f t="shared" ca="1" si="45"/>
        <v>0</v>
      </c>
      <c r="N89" s="110">
        <f t="shared" ca="1" si="45"/>
        <v>0</v>
      </c>
    </row>
    <row r="90" spans="2:14" x14ac:dyDescent="0.2">
      <c r="B90" s="170" t="s">
        <v>283</v>
      </c>
      <c r="C90" s="170"/>
      <c r="D90" s="171"/>
      <c r="E90" s="384">
        <f t="shared" ref="E90:N90" ca="1" si="46">MIN(E75,E87*$E$79)*IF($E$80="Yes",$C$78,0)</f>
        <v>0</v>
      </c>
      <c r="F90" s="171">
        <f t="shared" ca="1" si="46"/>
        <v>0</v>
      </c>
      <c r="G90" s="171">
        <f t="shared" ca="1" si="46"/>
        <v>0</v>
      </c>
      <c r="H90" s="171">
        <f t="shared" ca="1" si="46"/>
        <v>0</v>
      </c>
      <c r="I90" s="171">
        <f t="shared" ca="1" si="46"/>
        <v>0</v>
      </c>
      <c r="J90" s="171">
        <f t="shared" ca="1" si="46"/>
        <v>0</v>
      </c>
      <c r="K90" s="171">
        <f t="shared" ca="1" si="46"/>
        <v>0</v>
      </c>
      <c r="L90" s="171">
        <f t="shared" ca="1" si="46"/>
        <v>0</v>
      </c>
      <c r="M90" s="171">
        <f t="shared" ca="1" si="46"/>
        <v>0</v>
      </c>
      <c r="N90" s="171">
        <f t="shared" ca="1" si="46"/>
        <v>0</v>
      </c>
    </row>
    <row r="91" spans="2:14" x14ac:dyDescent="0.2">
      <c r="B91" s="8" t="s">
        <v>267</v>
      </c>
      <c r="C91" s="8"/>
      <c r="D91" s="8"/>
      <c r="E91" s="385">
        <f t="shared" ref="E91:N91" ca="1" si="47">IF($E$81="Yes",MAX(MIN(E75-SUM(E89:E90)-E92,E93),0),MAX(MIN((E75-SUM(E89:E90))*$D$83,E93),0))</f>
        <v>0</v>
      </c>
      <c r="F91" s="148">
        <f t="shared" ca="1" si="47"/>
        <v>0</v>
      </c>
      <c r="G91" s="148">
        <f t="shared" ca="1" si="47"/>
        <v>0</v>
      </c>
      <c r="H91" s="148">
        <f t="shared" ca="1" si="47"/>
        <v>0</v>
      </c>
      <c r="I91" s="148">
        <f t="shared" ca="1" si="47"/>
        <v>0</v>
      </c>
      <c r="J91" s="148">
        <f t="shared" ca="1" si="47"/>
        <v>0</v>
      </c>
      <c r="K91" s="148">
        <f t="shared" ca="1" si="47"/>
        <v>0</v>
      </c>
      <c r="L91" s="148">
        <f t="shared" ca="1" si="47"/>
        <v>0</v>
      </c>
      <c r="M91" s="148">
        <f t="shared" ca="1" si="47"/>
        <v>0</v>
      </c>
      <c r="N91" s="148">
        <f t="shared" ca="1" si="47"/>
        <v>0</v>
      </c>
    </row>
    <row r="92" spans="2:14" x14ac:dyDescent="0.2">
      <c r="B92" s="170" t="s">
        <v>268</v>
      </c>
      <c r="C92" s="171"/>
      <c r="D92" s="171"/>
      <c r="E92" s="384">
        <f ca="1">IF(E93=0,0,IF($E$81="Yes",MAX(MIN(E75-SUM(E89:E90),SUM($E$75:E75)*$C$83-SUM($D$92:D92)),0),MAX((E75-SUM(E89:E90)),0)*$C$83))</f>
        <v>0</v>
      </c>
      <c r="F92" s="171">
        <f ca="1">IF(F93=0,0,IF($E$81="Yes",MAX(MIN(F75-SUM(F89:F90),SUM($E$75:F75)*$C$83-SUM($D$92:E92)),0),MAX((F75-SUM(F89:F90)),0)*$C$83))</f>
        <v>0</v>
      </c>
      <c r="G92" s="171">
        <f ca="1">IF(G93=0,0,IF($E$81="Yes",MAX(MIN(G75-SUM(G89:G90),SUM($E$75:G75)*$C$83-SUM($D$92:F92)),0),MAX((G75-SUM(G89:G90)),0)*$C$83))</f>
        <v>0</v>
      </c>
      <c r="H92" s="171">
        <f ca="1">IF(H93=0,0,IF($E$81="Yes",MAX(MIN(H75-SUM(H89:H90),SUM($E$75:H75)*$C$83-SUM($D$92:G92)),0),MAX((H75-SUM(H89:H90)),0)*$C$83))</f>
        <v>0</v>
      </c>
      <c r="I92" s="171">
        <f ca="1">IF(I93=0,0,IF($E$81="Yes",MAX(MIN(I75-SUM(I89:I90),SUM($E$75:I75)*$C$83-SUM($D$92:H92)),0),MAX((I75-SUM(I89:I90)),0)*$C$83))</f>
        <v>0</v>
      </c>
      <c r="J92" s="171">
        <f ca="1">IF(J93=0,0,IF($E$81="Yes",MAX(MIN(J75-SUM(J89:J90),SUM($E$75:J75)*$C$83-SUM($D$92:I92)),0),MAX((J75-SUM(J89:J90)),0)*$C$83))</f>
        <v>0</v>
      </c>
      <c r="K92" s="171">
        <f ca="1">IF(K93=0,0,IF($E$81="Yes",MAX(MIN(K75-SUM(K89:K90),SUM($E$75:K75)*$C$83-SUM($D$92:J92)),0),MAX((K75-SUM(K89:K90)),0)*$C$83))</f>
        <v>0</v>
      </c>
      <c r="L92" s="171">
        <f>IF(L93=0,0,IF($E$81="Yes",MAX(MIN(L75-SUM(L89:L90),SUM($E$75:L75)*$C$83-SUM($D$92:K92)),0),MAX((L75-SUM(L89:L90)),0)*$C$83))</f>
        <v>0</v>
      </c>
      <c r="M92" s="171">
        <f>IF(M93=0,0,IF($E$81="Yes",MAX(MIN(M75-SUM(M89:M90),SUM($E$75:M75)*$C$83-SUM($D$92:L92)),0),MAX((M75-SUM(M89:M90)),0)*$C$83))</f>
        <v>0</v>
      </c>
      <c r="N92" s="171">
        <f>IF(N93=0,0,IF($E$81="Yes",MAX(MIN(N75-SUM(N89:N90),SUM($E$75:N75)*$C$83-SUM($D$92:M92)),0),MAX((N75-SUM(N89:N90)),0)*$C$83))</f>
        <v>0</v>
      </c>
    </row>
    <row r="93" spans="2:14" x14ac:dyDescent="0.2">
      <c r="B93" s="170" t="s">
        <v>272</v>
      </c>
      <c r="C93" s="172"/>
      <c r="D93" s="171"/>
      <c r="E93" s="384">
        <f ca="1">IF(E71&lt;=$E$21,-$D$75*(1+$E$83),0)</f>
        <v>0</v>
      </c>
      <c r="F93" s="171">
        <f t="shared" ref="F93:N93" ca="1" si="48">IF(F71&lt;=$E$21,MAX((E93-E89-E91)*(1+$E$83),0),0)</f>
        <v>0</v>
      </c>
      <c r="G93" s="171">
        <f t="shared" ca="1" si="48"/>
        <v>0</v>
      </c>
      <c r="H93" s="171">
        <f t="shared" ca="1" si="48"/>
        <v>0</v>
      </c>
      <c r="I93" s="171">
        <f t="shared" ca="1" si="48"/>
        <v>0</v>
      </c>
      <c r="J93" s="171">
        <f t="shared" ca="1" si="48"/>
        <v>0</v>
      </c>
      <c r="K93" s="171">
        <f t="shared" ca="1" si="48"/>
        <v>0</v>
      </c>
      <c r="L93" s="171">
        <f t="shared" si="48"/>
        <v>0</v>
      </c>
      <c r="M93" s="171">
        <f t="shared" si="48"/>
        <v>0</v>
      </c>
      <c r="N93" s="171">
        <f t="shared" si="48"/>
        <v>0</v>
      </c>
    </row>
    <row r="94" spans="2:14" x14ac:dyDescent="0.2">
      <c r="B94" s="8" t="s">
        <v>269</v>
      </c>
      <c r="C94" s="8"/>
      <c r="D94" s="8"/>
      <c r="E94" s="385">
        <f t="shared" ref="E94:N94" ca="1" si="49">(E$75-SUM(E89:E90)-E$92-E$91)*$D$84</f>
        <v>0</v>
      </c>
      <c r="F94" s="148">
        <f t="shared" ca="1" si="49"/>
        <v>0</v>
      </c>
      <c r="G94" s="148">
        <f t="shared" ca="1" si="49"/>
        <v>0</v>
      </c>
      <c r="H94" s="148">
        <f t="shared" ca="1" si="49"/>
        <v>0</v>
      </c>
      <c r="I94" s="148">
        <f t="shared" ca="1" si="49"/>
        <v>0</v>
      </c>
      <c r="J94" s="148">
        <f t="shared" ca="1" si="49"/>
        <v>0</v>
      </c>
      <c r="K94" s="148">
        <f t="shared" ca="1" si="49"/>
        <v>0</v>
      </c>
      <c r="L94" s="148">
        <f t="shared" ca="1" si="49"/>
        <v>0</v>
      </c>
      <c r="M94" s="148">
        <f t="shared" ca="1" si="49"/>
        <v>0</v>
      </c>
      <c r="N94" s="148">
        <f t="shared" ca="1" si="49"/>
        <v>0</v>
      </c>
    </row>
    <row r="95" spans="2:14" x14ac:dyDescent="0.2">
      <c r="B95" s="8" t="s">
        <v>270</v>
      </c>
      <c r="C95" s="8"/>
      <c r="D95" s="8"/>
      <c r="E95" s="385">
        <f t="shared" ref="E95:N95" ca="1" si="50">(E$75-SUM(E89:E90)-E$92-E$91)*$C$84</f>
        <v>0</v>
      </c>
      <c r="F95" s="148">
        <f t="shared" ca="1" si="50"/>
        <v>0</v>
      </c>
      <c r="G95" s="148">
        <f t="shared" ca="1" si="50"/>
        <v>0</v>
      </c>
      <c r="H95" s="148">
        <f t="shared" ca="1" si="50"/>
        <v>0</v>
      </c>
      <c r="I95" s="148">
        <f t="shared" ca="1" si="50"/>
        <v>0</v>
      </c>
      <c r="J95" s="148">
        <f t="shared" ca="1" si="50"/>
        <v>0</v>
      </c>
      <c r="K95" s="148">
        <f t="shared" ca="1" si="50"/>
        <v>0</v>
      </c>
      <c r="L95" s="148">
        <f t="shared" ca="1" si="50"/>
        <v>0</v>
      </c>
      <c r="M95" s="148">
        <f t="shared" ca="1" si="50"/>
        <v>0</v>
      </c>
      <c r="N95" s="148">
        <f t="shared" ca="1" si="50"/>
        <v>0</v>
      </c>
    </row>
    <row r="96" spans="2:14" x14ac:dyDescent="0.2">
      <c r="B96" s="243" t="s">
        <v>264</v>
      </c>
      <c r="C96" s="251"/>
      <c r="D96" s="243"/>
      <c r="E96" s="386"/>
      <c r="F96" s="252"/>
      <c r="G96" s="252"/>
      <c r="H96" s="252"/>
      <c r="I96" s="252"/>
      <c r="J96" s="252"/>
      <c r="K96" s="252"/>
      <c r="L96" s="252"/>
      <c r="M96" s="252"/>
      <c r="N96" s="252"/>
    </row>
    <row r="97" spans="2:14" x14ac:dyDescent="0.2">
      <c r="B97" s="8" t="s">
        <v>221</v>
      </c>
      <c r="C97" s="250"/>
      <c r="D97" s="148">
        <f ca="1">D75*$D$78</f>
        <v>0</v>
      </c>
      <c r="E97" s="385">
        <f t="shared" ref="E97:N97" ca="1" si="51">E89+E91+E94</f>
        <v>0</v>
      </c>
      <c r="F97" s="148">
        <f t="shared" ca="1" si="51"/>
        <v>0</v>
      </c>
      <c r="G97" s="148">
        <f t="shared" ca="1" si="51"/>
        <v>0</v>
      </c>
      <c r="H97" s="148">
        <f t="shared" ca="1" si="51"/>
        <v>0</v>
      </c>
      <c r="I97" s="148">
        <f t="shared" ca="1" si="51"/>
        <v>0</v>
      </c>
      <c r="J97" s="148">
        <f t="shared" ca="1" si="51"/>
        <v>0</v>
      </c>
      <c r="K97" s="148">
        <f t="shared" ca="1" si="51"/>
        <v>0</v>
      </c>
      <c r="L97" s="148">
        <f t="shared" ca="1" si="51"/>
        <v>0</v>
      </c>
      <c r="M97" s="148">
        <f t="shared" ca="1" si="51"/>
        <v>0</v>
      </c>
      <c r="N97" s="148">
        <f t="shared" ca="1" si="51"/>
        <v>0</v>
      </c>
    </row>
    <row r="98" spans="2:14" x14ac:dyDescent="0.2">
      <c r="B98" s="170" t="s">
        <v>222</v>
      </c>
      <c r="C98" s="170"/>
      <c r="D98" s="171">
        <f ca="1">D75*$C$78</f>
        <v>0</v>
      </c>
      <c r="E98" s="384">
        <f t="shared" ref="E98:N98" ca="1" si="52">E92+E95+E90</f>
        <v>0</v>
      </c>
      <c r="F98" s="171">
        <f t="shared" ca="1" si="52"/>
        <v>0</v>
      </c>
      <c r="G98" s="171">
        <f t="shared" ca="1" si="52"/>
        <v>0</v>
      </c>
      <c r="H98" s="171">
        <f t="shared" ca="1" si="52"/>
        <v>0</v>
      </c>
      <c r="I98" s="171">
        <f t="shared" ca="1" si="52"/>
        <v>0</v>
      </c>
      <c r="J98" s="171">
        <f t="shared" ca="1" si="52"/>
        <v>0</v>
      </c>
      <c r="K98" s="171">
        <f t="shared" ca="1" si="52"/>
        <v>0</v>
      </c>
      <c r="L98" s="171">
        <f t="shared" ca="1" si="52"/>
        <v>0</v>
      </c>
      <c r="M98" s="171">
        <f t="shared" ca="1" si="52"/>
        <v>0</v>
      </c>
      <c r="N98" s="171">
        <f t="shared" ca="1" si="52"/>
        <v>0</v>
      </c>
    </row>
    <row r="99" spans="2:14" x14ac:dyDescent="0.2">
      <c r="B99" s="106" t="s">
        <v>223</v>
      </c>
      <c r="C99" s="106"/>
      <c r="D99" s="149">
        <f t="shared" ref="D99:N99" ca="1" si="53">SUM(D97:D98)</f>
        <v>0</v>
      </c>
      <c r="E99" s="387">
        <f t="shared" ca="1" si="53"/>
        <v>0</v>
      </c>
      <c r="F99" s="149">
        <f t="shared" ca="1" si="53"/>
        <v>0</v>
      </c>
      <c r="G99" s="149">
        <f t="shared" ca="1" si="53"/>
        <v>0</v>
      </c>
      <c r="H99" s="149">
        <f t="shared" ca="1" si="53"/>
        <v>0</v>
      </c>
      <c r="I99" s="149">
        <f t="shared" ca="1" si="53"/>
        <v>0</v>
      </c>
      <c r="J99" s="149">
        <f t="shared" ca="1" si="53"/>
        <v>0</v>
      </c>
      <c r="K99" s="149">
        <f t="shared" ca="1" si="53"/>
        <v>0</v>
      </c>
      <c r="L99" s="149">
        <f t="shared" ca="1" si="53"/>
        <v>0</v>
      </c>
      <c r="M99" s="149">
        <f t="shared" ca="1" si="53"/>
        <v>0</v>
      </c>
      <c r="N99" s="149">
        <f t="shared" ca="1" si="53"/>
        <v>0</v>
      </c>
    </row>
  </sheetData>
  <mergeCells count="1">
    <mergeCell ref="B2:E3"/>
  </mergeCells>
  <phoneticPr fontId="33" type="noConversion"/>
  <conditionalFormatting sqref="B20">
    <cfRule type="expression" dxfId="2367" priority="13">
      <formula>#REF!="No"</formula>
    </cfRule>
  </conditionalFormatting>
  <conditionalFormatting sqref="G7:G17">
    <cfRule type="expression" dxfId="2366" priority="5">
      <formula>#REF!="No"</formula>
    </cfRule>
  </conditionalFormatting>
  <dataValidations disablePrompts="1" count="3">
    <dataValidation type="list" showInputMessage="1" showErrorMessage="1" sqref="E78" xr:uid="{00000000-0002-0000-0F00-000000000000}">
      <formula1>"American,European"</formula1>
    </dataValidation>
    <dataValidation type="list" allowBlank="1" showInputMessage="1" showErrorMessage="1" sqref="C72" xr:uid="{00000000-0002-0000-0F00-000001000000}">
      <formula1>"Leveraged,Unleveraged"</formula1>
    </dataValidation>
    <dataValidation type="list" showInputMessage="1" showErrorMessage="1" sqref="E80:E81" xr:uid="{00000000-0002-0000-0F00-000002000000}">
      <formula1>"Yes,No"</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74"/>
  <sheetViews>
    <sheetView showGridLines="0" zoomScale="115" zoomScaleNormal="115" workbookViewId="0"/>
  </sheetViews>
  <sheetFormatPr baseColWidth="10" defaultColWidth="8.83203125" defaultRowHeight="15" x14ac:dyDescent="0.2"/>
  <cols>
    <col min="1" max="1" width="2.6640625" customWidth="1"/>
    <col min="2" max="2" width="29.5" customWidth="1"/>
    <col min="3" max="3" width="49.83203125" customWidth="1"/>
    <col min="4" max="6" width="14.6640625" customWidth="1"/>
    <col min="7" max="7" width="16.83203125" customWidth="1"/>
    <col min="8" max="11" width="14.6640625" customWidth="1"/>
    <col min="12" max="12" width="17.83203125" customWidth="1"/>
    <col min="13" max="13" width="15.1640625" customWidth="1"/>
    <col min="14" max="14" width="14.1640625" customWidth="1"/>
    <col min="15" max="15" width="17.1640625" customWidth="1"/>
  </cols>
  <sheetData>
    <row r="2" spans="2:15" ht="21" x14ac:dyDescent="0.2">
      <c r="B2" s="20" t="s">
        <v>4</v>
      </c>
      <c r="C2" s="475"/>
      <c r="D2" s="21"/>
      <c r="E2" s="21"/>
      <c r="F2" s="21"/>
      <c r="G2" s="21"/>
      <c r="H2" s="55"/>
      <c r="I2" s="476"/>
      <c r="J2" s="476"/>
      <c r="K2" s="873" t="s">
        <v>382</v>
      </c>
      <c r="L2" s="874"/>
      <c r="M2" s="874"/>
      <c r="N2" s="874"/>
      <c r="O2" s="874"/>
    </row>
    <row r="3" spans="2:15" x14ac:dyDescent="0.2">
      <c r="B3" s="477" t="s">
        <v>5</v>
      </c>
      <c r="C3" s="478" t="s">
        <v>126</v>
      </c>
      <c r="D3" s="479" t="s">
        <v>3</v>
      </c>
      <c r="E3" s="480" t="s">
        <v>0</v>
      </c>
      <c r="F3" s="480" t="s">
        <v>1</v>
      </c>
      <c r="G3" s="480" t="s">
        <v>2</v>
      </c>
      <c r="H3" s="481" t="s">
        <v>165</v>
      </c>
      <c r="I3" s="482" t="s">
        <v>290</v>
      </c>
      <c r="J3" s="482" t="s">
        <v>128</v>
      </c>
      <c r="K3" s="483" t="s">
        <v>7</v>
      </c>
      <c r="L3" s="483" t="s">
        <v>115</v>
      </c>
      <c r="M3" s="483" t="s">
        <v>116</v>
      </c>
      <c r="N3" s="483" t="s">
        <v>117</v>
      </c>
      <c r="O3" s="483" t="s">
        <v>170</v>
      </c>
    </row>
    <row r="4" spans="2:15" x14ac:dyDescent="0.2">
      <c r="B4" s="484" t="s">
        <v>496</v>
      </c>
      <c r="C4" s="485" t="s">
        <v>8</v>
      </c>
      <c r="D4" s="486">
        <v>0.51493199658935951</v>
      </c>
      <c r="E4" s="487"/>
      <c r="F4" s="487"/>
      <c r="G4" s="488"/>
      <c r="H4" s="489">
        <v>1113</v>
      </c>
      <c r="I4" s="490"/>
      <c r="J4" s="490"/>
      <c r="K4" s="491"/>
      <c r="L4" s="491"/>
      <c r="M4" s="491">
        <v>1438</v>
      </c>
      <c r="N4" s="491"/>
      <c r="O4" s="491"/>
    </row>
    <row r="5" spans="2:15" x14ac:dyDescent="0.2">
      <c r="B5" s="492"/>
      <c r="C5" s="493">
        <v>4.2283875612071613</v>
      </c>
      <c r="D5" s="494">
        <v>0.30491646007743156</v>
      </c>
      <c r="E5" s="495">
        <v>1993</v>
      </c>
      <c r="F5" s="495"/>
      <c r="G5" s="495"/>
      <c r="H5" s="496">
        <v>952</v>
      </c>
      <c r="I5" s="497"/>
      <c r="J5" s="497"/>
      <c r="K5" s="498"/>
      <c r="L5" s="498"/>
      <c r="M5" s="498"/>
      <c r="N5" s="498"/>
      <c r="O5" s="498"/>
    </row>
    <row r="6" spans="2:15" x14ac:dyDescent="0.2">
      <c r="B6" s="492"/>
      <c r="C6" s="493">
        <v>4.4823118423040533</v>
      </c>
      <c r="D6" s="494">
        <v>0.32871179623809271</v>
      </c>
      <c r="E6" s="495"/>
      <c r="F6" s="495">
        <v>2</v>
      </c>
      <c r="G6" s="495"/>
      <c r="H6" s="496">
        <v>925</v>
      </c>
      <c r="I6" s="497">
        <v>1</v>
      </c>
      <c r="J6" s="497">
        <v>0</v>
      </c>
      <c r="K6" s="498"/>
      <c r="L6" s="498"/>
      <c r="M6" s="498"/>
      <c r="N6" s="498"/>
      <c r="O6" s="498"/>
    </row>
    <row r="7" spans="2:15" x14ac:dyDescent="0.2">
      <c r="B7" s="492"/>
      <c r="C7" s="493">
        <v>4.2336276529097088</v>
      </c>
      <c r="D7" s="494">
        <v>0.29737036019806284</v>
      </c>
      <c r="E7" s="495">
        <v>1995</v>
      </c>
      <c r="F7" s="495"/>
      <c r="G7" s="495"/>
      <c r="H7" s="496">
        <v>952</v>
      </c>
      <c r="I7" s="497"/>
      <c r="J7" s="497"/>
      <c r="K7" s="498"/>
      <c r="L7" s="498"/>
      <c r="M7" s="498"/>
      <c r="N7" s="498"/>
      <c r="O7" s="498"/>
    </row>
    <row r="8" spans="2:15" x14ac:dyDescent="0.2">
      <c r="B8" s="492"/>
      <c r="C8" s="493">
        <v>3.7591410443994473</v>
      </c>
      <c r="D8" s="494"/>
      <c r="E8" s="495"/>
      <c r="F8" s="495">
        <v>2</v>
      </c>
      <c r="G8" s="495"/>
      <c r="H8" s="496">
        <v>650</v>
      </c>
      <c r="I8" s="497">
        <v>1</v>
      </c>
      <c r="J8" s="497">
        <v>0</v>
      </c>
      <c r="K8" s="498"/>
      <c r="L8" s="498">
        <v>1025</v>
      </c>
      <c r="M8" s="498">
        <v>1150</v>
      </c>
      <c r="N8" s="498"/>
      <c r="O8" s="498"/>
    </row>
    <row r="9" spans="2:15" x14ac:dyDescent="0.2">
      <c r="B9" s="492"/>
      <c r="C9" s="493">
        <v>3.7636159295529503</v>
      </c>
      <c r="D9" s="494"/>
      <c r="E9" s="495"/>
      <c r="F9" s="495">
        <v>1</v>
      </c>
      <c r="G9" s="495"/>
      <c r="H9" s="496"/>
      <c r="I9" s="497">
        <v>1</v>
      </c>
      <c r="J9" s="497">
        <v>0</v>
      </c>
      <c r="K9" s="498"/>
      <c r="L9" s="498">
        <v>1033.3333333333333</v>
      </c>
      <c r="M9" s="498">
        <v>1200</v>
      </c>
      <c r="N9" s="498"/>
      <c r="O9" s="498"/>
    </row>
    <row r="10" spans="2:15" x14ac:dyDescent="0.2">
      <c r="B10" s="492" t="s">
        <v>497</v>
      </c>
      <c r="C10" s="493">
        <v>3.7363130110413976</v>
      </c>
      <c r="D10" s="494"/>
      <c r="E10" s="495"/>
      <c r="F10" s="495"/>
      <c r="G10" s="495"/>
      <c r="H10" s="496"/>
      <c r="I10" s="497"/>
      <c r="J10" s="497"/>
      <c r="K10" s="498"/>
      <c r="L10" s="498"/>
      <c r="M10" s="498"/>
      <c r="N10" s="498"/>
      <c r="O10" s="498"/>
    </row>
    <row r="11" spans="2:15" x14ac:dyDescent="0.2">
      <c r="B11" s="492"/>
      <c r="C11" s="493">
        <v>4.2315267108493151</v>
      </c>
      <c r="D11" s="494"/>
      <c r="E11" s="495">
        <v>1994</v>
      </c>
      <c r="F11" s="495"/>
      <c r="G11" s="495"/>
      <c r="H11" s="496">
        <v>951</v>
      </c>
      <c r="I11" s="497"/>
      <c r="J11" s="497"/>
      <c r="K11" s="498"/>
      <c r="L11" s="498"/>
      <c r="M11" s="498"/>
      <c r="N11" s="498"/>
      <c r="O11" s="498"/>
    </row>
    <row r="12" spans="2:15" x14ac:dyDescent="0.2">
      <c r="B12" s="492"/>
      <c r="C12" s="493">
        <v>4.3364955476273126</v>
      </c>
      <c r="D12" s="494"/>
      <c r="E12" s="495"/>
      <c r="F12" s="495"/>
      <c r="G12" s="495"/>
      <c r="H12" s="496">
        <v>1270</v>
      </c>
      <c r="I12" s="497"/>
      <c r="J12" s="497"/>
      <c r="K12" s="498"/>
      <c r="L12" s="498"/>
      <c r="M12" s="498">
        <v>1850</v>
      </c>
      <c r="N12" s="498"/>
      <c r="O12" s="498"/>
    </row>
    <row r="13" spans="2:15" x14ac:dyDescent="0.2">
      <c r="B13" s="492"/>
      <c r="C13" s="493">
        <v>4.7936759583349602</v>
      </c>
      <c r="D13" s="494"/>
      <c r="E13" s="495"/>
      <c r="F13" s="495">
        <v>1</v>
      </c>
      <c r="G13" s="495"/>
      <c r="H13" s="496">
        <v>900</v>
      </c>
      <c r="I13" s="497">
        <v>1</v>
      </c>
      <c r="J13" s="497">
        <v>0</v>
      </c>
      <c r="K13" s="498"/>
      <c r="L13" s="498"/>
      <c r="M13" s="498"/>
      <c r="N13" s="498"/>
      <c r="O13" s="498"/>
    </row>
    <row r="14" spans="2:15" x14ac:dyDescent="0.2">
      <c r="B14" s="492"/>
      <c r="C14" s="493">
        <v>4.0799306585764503</v>
      </c>
      <c r="D14" s="494"/>
      <c r="E14" s="495"/>
      <c r="F14" s="495"/>
      <c r="G14" s="495"/>
      <c r="H14" s="496">
        <v>864</v>
      </c>
      <c r="I14" s="497"/>
      <c r="J14" s="497"/>
      <c r="K14" s="498"/>
      <c r="L14" s="498"/>
      <c r="M14" s="498">
        <v>1325</v>
      </c>
      <c r="N14" s="498"/>
      <c r="O14" s="498"/>
    </row>
    <row r="15" spans="2:15" x14ac:dyDescent="0.2">
      <c r="B15" s="492"/>
      <c r="C15" s="493">
        <v>3.5927930287883751</v>
      </c>
      <c r="D15" s="494"/>
      <c r="E15" s="495"/>
      <c r="F15" s="495">
        <v>2</v>
      </c>
      <c r="G15" s="495"/>
      <c r="H15" s="496"/>
      <c r="I15" s="497">
        <v>1</v>
      </c>
      <c r="J15" s="497">
        <v>0</v>
      </c>
      <c r="K15" s="498"/>
      <c r="L15" s="498"/>
      <c r="M15" s="498"/>
      <c r="N15" s="498"/>
      <c r="O15" s="498"/>
    </row>
    <row r="16" spans="2:15" x14ac:dyDescent="0.2">
      <c r="B16" s="492"/>
      <c r="C16" s="493">
        <v>5.6926547083736336</v>
      </c>
      <c r="D16" s="494"/>
      <c r="E16" s="495"/>
      <c r="F16" s="495"/>
      <c r="G16" s="495"/>
      <c r="H16" s="496">
        <v>1250</v>
      </c>
      <c r="I16" s="497"/>
      <c r="J16" s="497"/>
      <c r="K16" s="498"/>
      <c r="L16" s="498"/>
      <c r="M16" s="498"/>
      <c r="N16" s="498"/>
      <c r="O16" s="498"/>
    </row>
    <row r="17" spans="2:15" x14ac:dyDescent="0.2">
      <c r="B17" s="492"/>
      <c r="C17" s="493">
        <v>4.2464266486968603</v>
      </c>
      <c r="D17" s="494"/>
      <c r="E17" s="495"/>
      <c r="F17" s="495"/>
      <c r="G17" s="495"/>
      <c r="H17" s="496">
        <v>1200</v>
      </c>
      <c r="I17" s="497"/>
      <c r="J17" s="497"/>
      <c r="K17" s="498"/>
      <c r="L17" s="498"/>
      <c r="M17" s="498"/>
      <c r="N17" s="498"/>
      <c r="O17" s="498"/>
    </row>
    <row r="18" spans="2:15" x14ac:dyDescent="0.2">
      <c r="B18" s="492"/>
      <c r="C18" s="493">
        <v>3.8401886248954358</v>
      </c>
      <c r="D18" s="494">
        <v>0.35847542006032074</v>
      </c>
      <c r="E18" s="495"/>
      <c r="F18" s="495"/>
      <c r="G18" s="495"/>
      <c r="H18" s="496">
        <v>572</v>
      </c>
      <c r="I18" s="497"/>
      <c r="J18" s="497"/>
      <c r="K18" s="498"/>
      <c r="L18" s="498"/>
      <c r="M18" s="498"/>
      <c r="N18" s="498"/>
      <c r="O18" s="498"/>
    </row>
    <row r="19" spans="2:15" x14ac:dyDescent="0.2">
      <c r="B19" s="492" t="s">
        <v>498</v>
      </c>
      <c r="C19" s="493">
        <v>4.3142358985164515</v>
      </c>
      <c r="D19" s="494"/>
      <c r="E19" s="495">
        <v>1976</v>
      </c>
      <c r="F19" s="495"/>
      <c r="G19" s="495">
        <v>1</v>
      </c>
      <c r="H19" s="496">
        <v>792</v>
      </c>
      <c r="I19" s="497"/>
      <c r="J19" s="497"/>
      <c r="K19" s="498"/>
      <c r="L19" s="498"/>
      <c r="M19" s="498">
        <v>1150</v>
      </c>
      <c r="N19" s="498"/>
      <c r="O19" s="498"/>
    </row>
    <row r="20" spans="2:15" x14ac:dyDescent="0.2">
      <c r="B20" s="492"/>
      <c r="C20" s="493">
        <v>4.2979671236733461</v>
      </c>
      <c r="D20" s="494"/>
      <c r="E20" s="495"/>
      <c r="F20" s="495">
        <v>1</v>
      </c>
      <c r="G20" s="495"/>
      <c r="H20" s="496">
        <v>835</v>
      </c>
      <c r="I20" s="497"/>
      <c r="J20" s="497"/>
      <c r="K20" s="498"/>
      <c r="L20" s="498"/>
      <c r="M20" s="498">
        <v>1187.5</v>
      </c>
      <c r="N20" s="498"/>
      <c r="O20" s="498"/>
    </row>
    <row r="21" spans="2:15" x14ac:dyDescent="0.2">
      <c r="B21" s="492"/>
      <c r="C21" s="493">
        <v>4.2115154153375389</v>
      </c>
      <c r="D21" s="494"/>
      <c r="E21" s="495"/>
      <c r="F21" s="495"/>
      <c r="G21" s="495"/>
      <c r="H21" s="496">
        <v>600</v>
      </c>
      <c r="I21" s="497"/>
      <c r="J21" s="497"/>
      <c r="K21" s="498"/>
      <c r="L21" s="498"/>
      <c r="M21" s="498">
        <v>1250</v>
      </c>
      <c r="N21" s="498"/>
      <c r="O21" s="498"/>
    </row>
    <row r="22" spans="2:15" x14ac:dyDescent="0.2">
      <c r="B22" s="492"/>
      <c r="C22" s="493">
        <v>3.7747930722641514</v>
      </c>
      <c r="D22" s="494"/>
      <c r="E22" s="495">
        <v>1920</v>
      </c>
      <c r="F22" s="495"/>
      <c r="G22" s="495"/>
      <c r="H22" s="496">
        <v>1125</v>
      </c>
      <c r="I22" s="497"/>
      <c r="J22" s="497"/>
      <c r="K22" s="498"/>
      <c r="L22" s="498"/>
      <c r="M22" s="498"/>
      <c r="N22" s="498"/>
      <c r="O22" s="498"/>
    </row>
    <row r="23" spans="2:15" x14ac:dyDescent="0.2">
      <c r="B23" s="492"/>
      <c r="C23" s="493">
        <v>3.7143555998874263</v>
      </c>
      <c r="D23" s="494"/>
      <c r="E23" s="495"/>
      <c r="F23" s="495"/>
      <c r="G23" s="495"/>
      <c r="H23" s="496">
        <v>667</v>
      </c>
      <c r="I23" s="497"/>
      <c r="J23" s="497"/>
      <c r="K23" s="498"/>
      <c r="L23" s="498"/>
      <c r="M23" s="498"/>
      <c r="N23" s="498"/>
      <c r="O23" s="498"/>
    </row>
    <row r="24" spans="2:15" x14ac:dyDescent="0.2">
      <c r="B24" s="492" t="s">
        <v>499</v>
      </c>
      <c r="C24" s="493">
        <v>4.2170454902472674</v>
      </c>
      <c r="D24" s="494"/>
      <c r="E24" s="495"/>
      <c r="F24" s="495"/>
      <c r="G24" s="495"/>
      <c r="H24" s="496">
        <v>725</v>
      </c>
      <c r="I24" s="497"/>
      <c r="J24" s="497"/>
      <c r="K24" s="498"/>
      <c r="L24" s="498"/>
      <c r="M24" s="498">
        <v>1150</v>
      </c>
      <c r="N24" s="498"/>
      <c r="O24" s="498"/>
    </row>
    <row r="25" spans="2:15" x14ac:dyDescent="0.2">
      <c r="B25" s="875">
        <v>936</v>
      </c>
      <c r="C25" s="876"/>
      <c r="D25" s="877"/>
      <c r="E25" s="878"/>
      <c r="F25" s="878"/>
      <c r="G25" s="878"/>
      <c r="H25" s="879"/>
      <c r="I25" s="497"/>
      <c r="J25" s="497"/>
      <c r="K25" s="498"/>
      <c r="L25" s="498"/>
      <c r="M25" s="498"/>
      <c r="N25" s="498"/>
      <c r="O25" s="498"/>
    </row>
    <row r="26" spans="2:15" x14ac:dyDescent="0.2">
      <c r="B26" s="492"/>
      <c r="C26" s="493">
        <v>3.7351900077190714</v>
      </c>
      <c r="D26" s="494"/>
      <c r="E26" s="495"/>
      <c r="F26" s="495"/>
      <c r="G26" s="495"/>
      <c r="H26" s="496"/>
      <c r="I26" s="497"/>
      <c r="J26" s="497"/>
      <c r="K26" s="498"/>
      <c r="L26" s="498"/>
      <c r="M26" s="498"/>
      <c r="N26" s="498"/>
      <c r="O26" s="498"/>
    </row>
    <row r="27" spans="2:15" x14ac:dyDescent="0.2">
      <c r="B27" s="492" t="s">
        <v>496</v>
      </c>
      <c r="C27" s="493"/>
      <c r="D27" s="494"/>
      <c r="E27" s="495"/>
      <c r="F27" s="495"/>
      <c r="G27" s="495"/>
      <c r="H27" s="496"/>
      <c r="I27" s="497"/>
      <c r="J27" s="497"/>
      <c r="K27" s="498"/>
      <c r="L27" s="498"/>
      <c r="M27" s="498"/>
      <c r="N27" s="498"/>
      <c r="O27" s="498"/>
    </row>
    <row r="28" spans="2:15" x14ac:dyDescent="0.2">
      <c r="B28" s="492"/>
      <c r="C28" s="493"/>
      <c r="D28" s="494"/>
      <c r="E28" s="495"/>
      <c r="F28" s="495"/>
      <c r="G28" s="495"/>
      <c r="H28" s="496"/>
      <c r="I28" s="497"/>
      <c r="J28" s="497"/>
      <c r="K28" s="498"/>
      <c r="L28" s="498"/>
      <c r="M28" s="498"/>
      <c r="N28" s="498"/>
      <c r="O28" s="498"/>
    </row>
    <row r="29" spans="2:15" x14ac:dyDescent="0.2">
      <c r="B29" s="492"/>
      <c r="C29" s="493"/>
      <c r="D29" s="494"/>
      <c r="E29" s="495"/>
      <c r="F29" s="495"/>
      <c r="G29" s="495"/>
      <c r="H29" s="496"/>
      <c r="I29" s="497"/>
      <c r="J29" s="497"/>
      <c r="K29" s="498"/>
      <c r="L29" s="498"/>
      <c r="M29" s="498"/>
      <c r="N29" s="498"/>
      <c r="O29" s="498"/>
    </row>
    <row r="30" spans="2:15" x14ac:dyDescent="0.2">
      <c r="B30" s="492"/>
      <c r="C30" s="493"/>
      <c r="D30" s="494"/>
      <c r="E30" s="495"/>
      <c r="F30" s="495"/>
      <c r="G30" s="495"/>
      <c r="H30" s="496"/>
      <c r="I30" s="497"/>
      <c r="J30" s="497"/>
      <c r="K30" s="498"/>
      <c r="L30" s="498"/>
      <c r="M30" s="498"/>
      <c r="N30" s="498"/>
      <c r="O30" s="498"/>
    </row>
    <row r="31" spans="2:15" x14ac:dyDescent="0.2">
      <c r="B31" s="492"/>
      <c r="C31" s="493"/>
      <c r="D31" s="494"/>
      <c r="E31" s="495"/>
      <c r="F31" s="495"/>
      <c r="G31" s="495"/>
      <c r="H31" s="496"/>
      <c r="I31" s="497"/>
      <c r="J31" s="497"/>
      <c r="K31" s="498"/>
      <c r="L31" s="498"/>
      <c r="M31" s="498"/>
      <c r="N31" s="498"/>
      <c r="O31" s="498"/>
    </row>
    <row r="32" spans="2:15" x14ac:dyDescent="0.2">
      <c r="B32" s="492"/>
      <c r="C32" s="493"/>
      <c r="D32" s="494"/>
      <c r="E32" s="495"/>
      <c r="F32" s="495"/>
      <c r="G32" s="495"/>
      <c r="H32" s="496"/>
      <c r="I32" s="497"/>
      <c r="J32" s="497"/>
      <c r="K32" s="498"/>
      <c r="L32" s="498"/>
      <c r="M32" s="498"/>
      <c r="N32" s="498"/>
      <c r="O32" s="498"/>
    </row>
    <row r="33" spans="2:15" x14ac:dyDescent="0.2">
      <c r="B33" s="492" t="s">
        <v>497</v>
      </c>
      <c r="C33" s="493"/>
      <c r="D33" s="494"/>
      <c r="E33" s="495"/>
      <c r="F33" s="495"/>
      <c r="G33" s="495"/>
      <c r="H33" s="496"/>
      <c r="I33" s="497"/>
      <c r="J33" s="497"/>
      <c r="K33" s="498"/>
      <c r="L33" s="498"/>
      <c r="M33" s="498"/>
      <c r="N33" s="498"/>
      <c r="O33" s="498"/>
    </row>
    <row r="34" spans="2:15" x14ac:dyDescent="0.2">
      <c r="B34" s="492"/>
      <c r="C34" s="493"/>
      <c r="D34" s="494"/>
      <c r="E34" s="495"/>
      <c r="F34" s="495"/>
      <c r="G34" s="495"/>
      <c r="H34" s="496"/>
      <c r="I34" s="497"/>
      <c r="J34" s="497"/>
      <c r="K34" s="498"/>
      <c r="L34" s="498"/>
      <c r="M34" s="498"/>
      <c r="N34" s="498"/>
      <c r="O34" s="498"/>
    </row>
    <row r="35" spans="2:15" x14ac:dyDescent="0.2">
      <c r="B35" s="492"/>
      <c r="C35" s="493"/>
      <c r="D35" s="494"/>
      <c r="E35" s="495"/>
      <c r="F35" s="495"/>
      <c r="G35" s="495"/>
      <c r="H35" s="496"/>
      <c r="I35" s="497"/>
      <c r="J35" s="497"/>
      <c r="K35" s="498"/>
      <c r="L35" s="498"/>
      <c r="M35" s="498"/>
      <c r="N35" s="498"/>
      <c r="O35" s="498"/>
    </row>
    <row r="36" spans="2:15" x14ac:dyDescent="0.2">
      <c r="B36" s="492"/>
      <c r="C36" s="493"/>
      <c r="D36" s="494"/>
      <c r="E36" s="495"/>
      <c r="F36" s="495"/>
      <c r="G36" s="495"/>
      <c r="H36" s="496"/>
      <c r="I36" s="497"/>
      <c r="J36" s="497"/>
      <c r="K36" s="498"/>
      <c r="L36" s="498"/>
      <c r="M36" s="498"/>
      <c r="N36" s="498"/>
      <c r="O36" s="498"/>
    </row>
    <row r="37" spans="2:15" x14ac:dyDescent="0.2">
      <c r="B37" s="492"/>
      <c r="C37" s="493"/>
      <c r="D37" s="494"/>
      <c r="E37" s="495"/>
      <c r="F37" s="495"/>
      <c r="G37" s="495"/>
      <c r="H37" s="496"/>
      <c r="I37" s="497"/>
      <c r="J37" s="497"/>
      <c r="K37" s="498"/>
      <c r="L37" s="498"/>
      <c r="M37" s="498"/>
      <c r="N37" s="498"/>
      <c r="O37" s="498"/>
    </row>
    <row r="38" spans="2:15" x14ac:dyDescent="0.2">
      <c r="B38" s="492"/>
      <c r="C38" s="493"/>
      <c r="D38" s="494"/>
      <c r="E38" s="495"/>
      <c r="F38" s="495"/>
      <c r="G38" s="495"/>
      <c r="H38" s="496"/>
      <c r="I38" s="497"/>
      <c r="J38" s="497"/>
      <c r="K38" s="498"/>
      <c r="L38" s="498"/>
      <c r="M38" s="498"/>
      <c r="N38" s="498"/>
      <c r="O38" s="498"/>
    </row>
    <row r="39" spans="2:15" x14ac:dyDescent="0.2">
      <c r="B39" s="492"/>
      <c r="C39" s="493"/>
      <c r="D39" s="494"/>
      <c r="E39" s="495"/>
      <c r="F39" s="495"/>
      <c r="G39" s="495"/>
      <c r="H39" s="496"/>
      <c r="I39" s="497"/>
      <c r="J39" s="497"/>
      <c r="K39" s="498"/>
      <c r="L39" s="498"/>
      <c r="M39" s="498"/>
      <c r="N39" s="498"/>
      <c r="O39" s="498"/>
    </row>
    <row r="40" spans="2:15" x14ac:dyDescent="0.2">
      <c r="B40" s="492"/>
      <c r="C40" s="493"/>
      <c r="D40" s="494"/>
      <c r="E40" s="495"/>
      <c r="F40" s="495"/>
      <c r="G40" s="495"/>
      <c r="H40" s="496"/>
      <c r="I40" s="497"/>
      <c r="J40" s="497"/>
      <c r="K40" s="498"/>
      <c r="L40" s="498"/>
      <c r="M40" s="498"/>
      <c r="N40" s="498"/>
      <c r="O40" s="498"/>
    </row>
    <row r="41" spans="2:15" x14ac:dyDescent="0.2">
      <c r="B41" s="492"/>
      <c r="C41" s="493"/>
      <c r="D41" s="494"/>
      <c r="E41" s="495"/>
      <c r="F41" s="495"/>
      <c r="G41" s="495"/>
      <c r="H41" s="496"/>
      <c r="I41" s="497"/>
      <c r="J41" s="497"/>
      <c r="K41" s="498"/>
      <c r="L41" s="498"/>
      <c r="M41" s="498"/>
      <c r="N41" s="498"/>
      <c r="O41" s="498"/>
    </row>
    <row r="42" spans="2:15" x14ac:dyDescent="0.2">
      <c r="B42" s="492" t="s">
        <v>498</v>
      </c>
      <c r="C42" s="493"/>
      <c r="D42" s="494"/>
      <c r="E42" s="495"/>
      <c r="F42" s="495"/>
      <c r="G42" s="495"/>
      <c r="H42" s="496"/>
      <c r="I42" s="497"/>
      <c r="J42" s="497"/>
      <c r="K42" s="498"/>
      <c r="L42" s="498"/>
      <c r="M42" s="498"/>
      <c r="N42" s="498"/>
      <c r="O42" s="498"/>
    </row>
    <row r="43" spans="2:15" x14ac:dyDescent="0.2">
      <c r="B43" s="492"/>
      <c r="C43" s="493"/>
      <c r="D43" s="494"/>
      <c r="E43" s="495"/>
      <c r="F43" s="495"/>
      <c r="G43" s="495"/>
      <c r="H43" s="496"/>
      <c r="I43" s="497"/>
      <c r="J43" s="497"/>
      <c r="K43" s="498"/>
      <c r="L43" s="498"/>
      <c r="M43" s="498"/>
      <c r="N43" s="498"/>
      <c r="O43" s="498"/>
    </row>
    <row r="44" spans="2:15" x14ac:dyDescent="0.2">
      <c r="B44" s="492"/>
      <c r="C44" s="493"/>
      <c r="D44" s="494"/>
      <c r="E44" s="495"/>
      <c r="F44" s="495"/>
      <c r="G44" s="495"/>
      <c r="H44" s="496"/>
      <c r="I44" s="497"/>
      <c r="J44" s="497"/>
      <c r="K44" s="498"/>
      <c r="L44" s="498"/>
      <c r="M44" s="498"/>
      <c r="N44" s="498"/>
      <c r="O44" s="498"/>
    </row>
    <row r="45" spans="2:15" x14ac:dyDescent="0.2">
      <c r="B45" s="492"/>
      <c r="C45" s="493"/>
      <c r="D45" s="494"/>
      <c r="E45" s="495"/>
      <c r="F45" s="495"/>
      <c r="G45" s="495"/>
      <c r="H45" s="496"/>
      <c r="I45" s="497"/>
      <c r="J45" s="497"/>
      <c r="K45" s="498"/>
      <c r="L45" s="498"/>
      <c r="M45" s="498"/>
      <c r="N45" s="498"/>
      <c r="O45" s="498"/>
    </row>
    <row r="46" spans="2:15" x14ac:dyDescent="0.2">
      <c r="B46" s="492"/>
      <c r="C46" s="493"/>
      <c r="D46" s="494"/>
      <c r="E46" s="495"/>
      <c r="F46" s="495"/>
      <c r="G46" s="495"/>
      <c r="H46" s="496"/>
      <c r="I46" s="497"/>
      <c r="J46" s="497"/>
      <c r="K46" s="498"/>
      <c r="L46" s="498"/>
      <c r="M46" s="498"/>
      <c r="N46" s="498"/>
      <c r="O46" s="498"/>
    </row>
    <row r="47" spans="2:15" x14ac:dyDescent="0.2">
      <c r="B47" s="492" t="s">
        <v>499</v>
      </c>
      <c r="C47" s="493"/>
      <c r="D47" s="494"/>
      <c r="E47" s="495"/>
      <c r="F47" s="495"/>
      <c r="G47" s="495"/>
      <c r="H47" s="496"/>
      <c r="I47" s="497"/>
      <c r="J47" s="497"/>
      <c r="K47" s="498"/>
      <c r="L47" s="498"/>
      <c r="M47" s="498"/>
      <c r="N47" s="498"/>
      <c r="O47" s="498"/>
    </row>
    <row r="48" spans="2:15" x14ac:dyDescent="0.2">
      <c r="B48" s="492"/>
      <c r="C48" s="493"/>
      <c r="D48" s="494"/>
      <c r="E48" s="495"/>
      <c r="F48" s="495"/>
      <c r="G48" s="495"/>
      <c r="H48" s="496"/>
      <c r="I48" s="497"/>
      <c r="J48" s="497"/>
      <c r="K48" s="498"/>
      <c r="L48" s="498"/>
      <c r="M48" s="498"/>
      <c r="N48" s="498"/>
      <c r="O48" s="498"/>
    </row>
    <row r="49" spans="2:15" x14ac:dyDescent="0.2">
      <c r="B49" s="492"/>
      <c r="C49" s="493"/>
      <c r="D49" s="494"/>
      <c r="E49" s="495"/>
      <c r="F49" s="495"/>
      <c r="G49" s="495"/>
      <c r="H49" s="496"/>
      <c r="I49" s="497"/>
      <c r="J49" s="497"/>
      <c r="K49" s="498"/>
      <c r="L49" s="498"/>
      <c r="M49" s="498"/>
      <c r="N49" s="498"/>
      <c r="O49" s="498"/>
    </row>
    <row r="50" spans="2:15" ht="33.5" customHeight="1" x14ac:dyDescent="0.2">
      <c r="B50" s="492" t="s">
        <v>496</v>
      </c>
      <c r="C50" s="493"/>
      <c r="D50" s="494"/>
      <c r="E50" s="495"/>
      <c r="F50" s="495"/>
      <c r="G50" s="495"/>
      <c r="H50" s="496"/>
      <c r="I50" s="497"/>
      <c r="J50" s="497"/>
      <c r="K50" s="498"/>
      <c r="L50" s="498"/>
      <c r="M50" s="498"/>
      <c r="N50" s="498"/>
      <c r="O50" s="498"/>
    </row>
    <row r="51" spans="2:15" ht="33.5" customHeight="1" x14ac:dyDescent="0.2">
      <c r="B51" s="492"/>
      <c r="C51" s="493"/>
      <c r="D51" s="494"/>
      <c r="E51" s="495"/>
      <c r="F51" s="495"/>
      <c r="G51" s="495"/>
      <c r="H51" s="496"/>
      <c r="I51" s="497"/>
      <c r="J51" s="497"/>
      <c r="K51" s="498"/>
      <c r="L51" s="498"/>
      <c r="M51" s="498"/>
      <c r="N51" s="498"/>
      <c r="O51" s="498"/>
    </row>
    <row r="52" spans="2:15" ht="33.5" customHeight="1" x14ac:dyDescent="0.2">
      <c r="B52" s="492"/>
      <c r="C52" s="499" t="str">
        <f>IF(ISBLANK(B52),"",IFERROR(INDEX(Specials!B:J,MATCH(Tables!B52&amp;" - Active",Specials!I:I,0),2),""))</f>
        <v/>
      </c>
      <c r="D52" s="500" t="str">
        <f>IF(ISBLANK(B52),"",IFERROR(INDEX(Specials!B:J,MATCH(Tables!B52&amp;" - Active",Specials!I:I,0),3),""))</f>
        <v/>
      </c>
      <c r="E52" s="500" t="str">
        <f>IF(ISBLANK(B52),"",IFERROR(INDEX(Specials!B:J,MATCH(Tables!B52&amp;" - Active",Specials!I:I,0),4),""))</f>
        <v/>
      </c>
    </row>
    <row r="53" spans="2:15" ht="33.5" customHeight="1" x14ac:dyDescent="0.2">
      <c r="B53" s="492"/>
      <c r="C53" s="499" t="str">
        <f>IF(ISBLANK(B53),"",IFERROR(INDEX(Specials!B:J,MATCH(Tables!B53&amp;" - Active",Specials!I:I,0),2),""))</f>
        <v/>
      </c>
      <c r="D53" s="500" t="str">
        <f>IF(ISBLANK(B53),"",IFERROR(INDEX(Specials!B:J,MATCH(Tables!B53&amp;" - Active",Specials!I:I,0),3),""))</f>
        <v/>
      </c>
      <c r="E53" s="500" t="str">
        <f>IF(ISBLANK(B53),"",IFERROR(INDEX(Specials!B:J,MATCH(Tables!B53&amp;" - Active",Specials!I:I,0),4),""))</f>
        <v/>
      </c>
    </row>
    <row r="54" spans="2:15" ht="33.5" customHeight="1" x14ac:dyDescent="0.2">
      <c r="B54" s="492"/>
      <c r="C54" s="499" t="str">
        <f>IF(ISBLANK(B54),"",IFERROR(INDEX(Specials!B:J,MATCH(Tables!B54&amp;" - Active",Specials!I:I,0),2),""))</f>
        <v/>
      </c>
      <c r="D54" s="500" t="str">
        <f>IF(ISBLANK(B54),"",IFERROR(INDEX(Specials!B:J,MATCH(Tables!B54&amp;" - Active",Specials!I:I,0),3),""))</f>
        <v/>
      </c>
      <c r="E54" s="500" t="str">
        <f>IF(ISBLANK(B54),"",IFERROR(INDEX(Specials!B:J,MATCH(Tables!B54&amp;" - Active",Specials!I:I,0),4),""))</f>
        <v/>
      </c>
    </row>
    <row r="55" spans="2:15" ht="33.5" customHeight="1" x14ac:dyDescent="0.2">
      <c r="B55" s="492"/>
      <c r="C55" s="499" t="str">
        <f>IF(ISBLANK(B55),"",IFERROR(INDEX(Specials!B:J,MATCH(Tables!B55&amp;" - Active",Specials!I:I,0),2),""))</f>
        <v/>
      </c>
      <c r="D55" s="500" t="str">
        <f>IF(ISBLANK(B55),"",IFERROR(INDEX(Specials!B:J,MATCH(Tables!B55&amp;" - Active",Specials!I:I,0),3),""))</f>
        <v/>
      </c>
      <c r="E55" s="500" t="str">
        <f>IF(ISBLANK(B55),"",IFERROR(INDEX(Specials!B:J,MATCH(Tables!B55&amp;" - Active",Specials!I:I,0),4),""))</f>
        <v/>
      </c>
    </row>
    <row r="56" spans="2:15" ht="33.5" customHeight="1" x14ac:dyDescent="0.2">
      <c r="B56" s="492" t="s">
        <v>497</v>
      </c>
      <c r="C56" s="499" t="str">
        <f ca="1">IF(ISBLANK(B56),"",IFERROR(INDEX(Specials!B:J,MATCH(Tables!B56&amp;" - Active",Specials!I:I,0),2),""))</f>
        <v/>
      </c>
      <c r="D56" s="500" t="str">
        <f ca="1">IF(ISBLANK(B56),"",IFERROR(INDEX(Specials!B:J,MATCH(Tables!B56&amp;" - Active",Specials!I:I,0),3),""))</f>
        <v/>
      </c>
      <c r="E56" s="500" t="str">
        <f ca="1">IF(ISBLANK(B56),"",IFERROR(INDEX(Specials!B:J,MATCH(Tables!B56&amp;" - Active",Specials!I:I,0),4),""))</f>
        <v/>
      </c>
    </row>
    <row r="57" spans="2:15" ht="33.5" customHeight="1" x14ac:dyDescent="0.2">
      <c r="B57" s="492"/>
      <c r="C57" s="499" t="str">
        <f>IF(ISBLANK(B57),"",IFERROR(INDEX(Specials!B:J,MATCH(Tables!B57&amp;" - Active",Specials!I:I,0),2),""))</f>
        <v/>
      </c>
      <c r="D57" s="500" t="str">
        <f>IF(ISBLANK(B57),"",IFERROR(INDEX(Specials!B:J,MATCH(Tables!B57&amp;" - Active",Specials!I:I,0),3),""))</f>
        <v/>
      </c>
      <c r="E57" s="500" t="str">
        <f>IF(ISBLANK(B57),"",IFERROR(INDEX(Specials!B:J,MATCH(Tables!B57&amp;" - Active",Specials!I:I,0),4),""))</f>
        <v/>
      </c>
    </row>
    <row r="58" spans="2:15" ht="33.5" customHeight="1" x14ac:dyDescent="0.2">
      <c r="B58" s="492"/>
      <c r="C58" s="499" t="str">
        <f>IF(ISBLANK(B58),"",IFERROR(INDEX(Specials!B:J,MATCH(Tables!B58&amp;" - Active",Specials!I:I,0),2),""))</f>
        <v/>
      </c>
      <c r="D58" s="500" t="str">
        <f>IF(ISBLANK(B58),"",IFERROR(INDEX(Specials!B:J,MATCH(Tables!B58&amp;" - Active",Specials!I:I,0),3),""))</f>
        <v/>
      </c>
      <c r="E58" s="500" t="str">
        <f>IF(ISBLANK(B58),"",IFERROR(INDEX(Specials!B:J,MATCH(Tables!B58&amp;" - Active",Specials!I:I,0),4),""))</f>
        <v/>
      </c>
    </row>
    <row r="59" spans="2:15" ht="33.5" customHeight="1" x14ac:dyDescent="0.2">
      <c r="B59" s="492"/>
      <c r="C59" s="499" t="str">
        <f>IF(ISBLANK(B59),"",IFERROR(INDEX(Specials!B:J,MATCH(Tables!B59&amp;" - Active",Specials!I:I,0),2),""))</f>
        <v/>
      </c>
      <c r="D59" s="500" t="str">
        <f>IF(ISBLANK(B59),"",IFERROR(INDEX(Specials!B:J,MATCH(Tables!B59&amp;" - Active",Specials!I:I,0),3),""))</f>
        <v/>
      </c>
      <c r="E59" s="500" t="str">
        <f>IF(ISBLANK(B59),"",IFERROR(INDEX(Specials!B:J,MATCH(Tables!B59&amp;" - Active",Specials!I:I,0),4),""))</f>
        <v/>
      </c>
    </row>
    <row r="60" spans="2:15" ht="33.5" customHeight="1" x14ac:dyDescent="0.2">
      <c r="B60" s="492"/>
      <c r="C60" s="499" t="str">
        <f>IF(ISBLANK(B60),"",IFERROR(INDEX(Specials!B:J,MATCH(Tables!B60&amp;" - Active",Specials!I:I,0),2),""))</f>
        <v/>
      </c>
      <c r="D60" s="500" t="str">
        <f>IF(ISBLANK(B60),"",IFERROR(INDEX(Specials!B:J,MATCH(Tables!B60&amp;" - Active",Specials!I:I,0),3),""))</f>
        <v/>
      </c>
      <c r="E60" s="500" t="str">
        <f>IF(ISBLANK(B60),"",IFERROR(INDEX(Specials!B:J,MATCH(Tables!B60&amp;" - Active",Specials!I:I,0),4),""))</f>
        <v/>
      </c>
    </row>
    <row r="61" spans="2:15" ht="33.5" customHeight="1" x14ac:dyDescent="0.2">
      <c r="B61" s="492"/>
      <c r="C61" s="499" t="str">
        <f>IF(ISBLANK(B61),"",IFERROR(INDEX(Specials!B:J,MATCH(Tables!B61&amp;" - Active",Specials!I:I,0),2),""))</f>
        <v/>
      </c>
      <c r="D61" s="500" t="str">
        <f>IF(ISBLANK(B61),"",IFERROR(INDEX(Specials!B:J,MATCH(Tables!B61&amp;" - Active",Specials!I:I,0),3),""))</f>
        <v/>
      </c>
      <c r="E61" s="500" t="str">
        <f>IF(ISBLANK(B61),"",IFERROR(INDEX(Specials!B:J,MATCH(Tables!B61&amp;" - Active",Specials!I:I,0),4),""))</f>
        <v/>
      </c>
    </row>
    <row r="62" spans="2:15" ht="33.5" customHeight="1" x14ac:dyDescent="0.2">
      <c r="B62" s="492"/>
      <c r="C62" s="499" t="str">
        <f>IF(ISBLANK(B62),"",IFERROR(INDEX(Specials!B:J,MATCH(Tables!B62&amp;" - Active",Specials!I:I,0),2),""))</f>
        <v/>
      </c>
      <c r="D62" s="500" t="str">
        <f>IF(ISBLANK(B62),"",IFERROR(INDEX(Specials!B:J,MATCH(Tables!B62&amp;" - Active",Specials!I:I,0),3),""))</f>
        <v/>
      </c>
      <c r="E62" s="500" t="str">
        <f>IF(ISBLANK(B62),"",IFERROR(INDEX(Specials!B:J,MATCH(Tables!B62&amp;" - Active",Specials!I:I,0),4),""))</f>
        <v/>
      </c>
    </row>
    <row r="63" spans="2:15" ht="33.5" customHeight="1" x14ac:dyDescent="0.2">
      <c r="B63" s="492"/>
      <c r="C63" s="499" t="str">
        <f>IF(ISBLANK(B63),"",IFERROR(INDEX(Specials!B:J,MATCH(Tables!B63&amp;" - Active",Specials!I:I,0),2),""))</f>
        <v/>
      </c>
      <c r="D63" s="500" t="str">
        <f>IF(ISBLANK(B63),"",IFERROR(INDEX(Specials!B:J,MATCH(Tables!B63&amp;" - Active",Specials!I:I,0),3),""))</f>
        <v/>
      </c>
      <c r="E63" s="500" t="str">
        <f>IF(ISBLANK(B63),"",IFERROR(INDEX(Specials!B:J,MATCH(Tables!B63&amp;" - Active",Specials!I:I,0),4),""))</f>
        <v/>
      </c>
    </row>
    <row r="64" spans="2:15" ht="33.5" customHeight="1" x14ac:dyDescent="0.2">
      <c r="B64" s="492"/>
      <c r="C64" s="499" t="str">
        <f>IF(ISBLANK(B64),"",IFERROR(INDEX(Specials!B:J,MATCH(Tables!B64&amp;" - Active",Specials!I:I,0),2),""))</f>
        <v/>
      </c>
      <c r="D64" s="500" t="str">
        <f>IF(ISBLANK(B64),"",IFERROR(INDEX(Specials!B:J,MATCH(Tables!B64&amp;" - Active",Specials!I:I,0),3),""))</f>
        <v/>
      </c>
      <c r="E64" s="500" t="str">
        <f>IF(ISBLANK(B64),"",IFERROR(INDEX(Specials!B:J,MATCH(Tables!B64&amp;" - Active",Specials!I:I,0),4),""))</f>
        <v/>
      </c>
    </row>
    <row r="65" spans="2:5" ht="33.5" customHeight="1" x14ac:dyDescent="0.2">
      <c r="B65" s="492" t="s">
        <v>498</v>
      </c>
      <c r="C65" s="499" t="str">
        <f ca="1">IF(ISBLANK(B65),"",IFERROR(INDEX(Specials!B:J,MATCH(Tables!B65&amp;" - Active",Specials!I:I,0),2),""))</f>
        <v/>
      </c>
      <c r="D65" s="500" t="str">
        <f ca="1">IF(ISBLANK(B65),"",IFERROR(INDEX(Specials!B:J,MATCH(Tables!B65&amp;" - Active",Specials!I:I,0),3),""))</f>
        <v/>
      </c>
      <c r="E65" s="500" t="str">
        <f ca="1">IF(ISBLANK(B65),"",IFERROR(INDEX(Specials!B:J,MATCH(Tables!B65&amp;" - Active",Specials!I:I,0),4),""))</f>
        <v/>
      </c>
    </row>
    <row r="66" spans="2:5" ht="33.5" customHeight="1" x14ac:dyDescent="0.2">
      <c r="B66" s="492"/>
      <c r="C66" s="499" t="str">
        <f>IF(ISBLANK(B66),"",IFERROR(INDEX(Specials!B:J,MATCH(Tables!B66&amp;" - Active",Specials!I:I,0),2),""))</f>
        <v/>
      </c>
      <c r="D66" s="500" t="str">
        <f>IF(ISBLANK(B66),"",IFERROR(INDEX(Specials!B:J,MATCH(Tables!B66&amp;" - Active",Specials!I:I,0),3),""))</f>
        <v/>
      </c>
      <c r="E66" s="500" t="str">
        <f>IF(ISBLANK(B66),"",IFERROR(INDEX(Specials!B:J,MATCH(Tables!B66&amp;" - Active",Specials!I:I,0),4),""))</f>
        <v/>
      </c>
    </row>
    <row r="67" spans="2:5" ht="33.5" customHeight="1" x14ac:dyDescent="0.2">
      <c r="B67" s="492"/>
      <c r="C67" s="499" t="str">
        <f>IF(ISBLANK(B67),"",IFERROR(INDEX(Specials!B:J,MATCH(Tables!B67&amp;" - Active",Specials!I:I,0),2),""))</f>
        <v/>
      </c>
      <c r="D67" s="500" t="str">
        <f>IF(ISBLANK(B67),"",IFERROR(INDEX(Specials!B:J,MATCH(Tables!B67&amp;" - Active",Specials!I:I,0),3),""))</f>
        <v/>
      </c>
      <c r="E67" s="500" t="str">
        <f>IF(ISBLANK(B67),"",IFERROR(INDEX(Specials!B:J,MATCH(Tables!B67&amp;" - Active",Specials!I:I,0),4),""))</f>
        <v/>
      </c>
    </row>
    <row r="68" spans="2:5" ht="33.5" customHeight="1" x14ac:dyDescent="0.2">
      <c r="B68" s="492"/>
      <c r="C68" s="499" t="str">
        <f>IF(ISBLANK(B68),"",IFERROR(INDEX(Specials!B:J,MATCH(Tables!B68&amp;" - Active",Specials!I:I,0),2),""))</f>
        <v/>
      </c>
      <c r="D68" s="500" t="str">
        <f>IF(ISBLANK(B68),"",IFERROR(INDEX(Specials!B:J,MATCH(Tables!B68&amp;" - Active",Specials!I:I,0),3),""))</f>
        <v/>
      </c>
      <c r="E68" s="500" t="str">
        <f>IF(ISBLANK(B68),"",IFERROR(INDEX(Specials!B:J,MATCH(Tables!B68&amp;" - Active",Specials!I:I,0),4),""))</f>
        <v/>
      </c>
    </row>
    <row r="69" spans="2:5" ht="33.5" customHeight="1" x14ac:dyDescent="0.2">
      <c r="B69" s="492"/>
      <c r="C69" s="499" t="str">
        <f>IF(ISBLANK(B69),"",IFERROR(INDEX(Specials!B:J,MATCH(Tables!B69&amp;" - Active",Specials!I:I,0),2),""))</f>
        <v/>
      </c>
      <c r="D69" s="500" t="str">
        <f>IF(ISBLANK(B69),"",IFERROR(INDEX(Specials!B:J,MATCH(Tables!B69&amp;" - Active",Specials!I:I,0),3),""))</f>
        <v/>
      </c>
      <c r="E69" s="500" t="str">
        <f>IF(ISBLANK(B69),"",IFERROR(INDEX(Specials!B:J,MATCH(Tables!B69&amp;" - Active",Specials!I:I,0),4),""))</f>
        <v/>
      </c>
    </row>
    <row r="70" spans="2:5" x14ac:dyDescent="0.2">
      <c r="B70" s="492" t="s">
        <v>499</v>
      </c>
    </row>
    <row r="71" spans="2:5" x14ac:dyDescent="0.2">
      <c r="B71" s="492"/>
    </row>
    <row r="72" spans="2:5" x14ac:dyDescent="0.2">
      <c r="B72" s="492"/>
    </row>
    <row r="73" spans="2:5" x14ac:dyDescent="0.2">
      <c r="B73" s="492"/>
    </row>
    <row r="74" spans="2:5" x14ac:dyDescent="0.2">
      <c r="B74" s="492" t="s">
        <v>500</v>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Intro</vt:lpstr>
      <vt:lpstr>Weekly Market Updates</vt:lpstr>
      <vt:lpstr>30-Day Trends</vt:lpstr>
      <vt:lpstr>Data</vt:lpstr>
      <vt:lpstr>Data Analysis</vt:lpstr>
      <vt:lpstr>Leasing Trends</vt:lpstr>
      <vt:lpstr>Rent Comps</vt:lpstr>
      <vt:lpstr>Rent Comparison</vt:lpstr>
      <vt:lpstr>Rents by Unit Type</vt:lpstr>
      <vt:lpstr>Unit-Level Data</vt:lpstr>
      <vt:lpstr>Unit Mix</vt:lpstr>
      <vt:lpstr>Reviews Analysis</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Sarah Brown McClain</cp:lastModifiedBy>
  <cp:lastPrinted>2024-08-05T12:40:24Z</cp:lastPrinted>
  <dcterms:created xsi:type="dcterms:W3CDTF">2024-01-09T22:45:58Z</dcterms:created>
  <dcterms:modified xsi:type="dcterms:W3CDTF">2025-11-17T22:33:52Z</dcterms:modified>
</cp:coreProperties>
</file>